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omments1.xml" ContentType="application/vnd.openxmlformats-officedocument.spreadsheetml.comments+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5.xml" ContentType="application/vnd.openxmlformats-officedocument.drawing+xml"/>
  <Override PartName="/xl/tables/table2.xml" ContentType="application/vnd.openxmlformats-officedocument.spreadsheetml.tab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1.xml" ContentType="application/vnd.ms-excel.threadedcomments+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2.xml" ContentType="application/vnd.openxmlformats-officedocument.spreadsheetml.comments+xml"/>
  <Override PartName="/xl/drawings/drawing23.xml" ContentType="application/vnd.openxmlformats-officedocument.drawing+xml"/>
  <Override PartName="/xl/tables/table3.xml" ContentType="application/vnd.openxmlformats-officedocument.spreadsheetml.table+xml"/>
  <Override PartName="/xl/charts/chart16.xml" ContentType="application/vnd.openxmlformats-officedocument.drawingml.chart+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omments13.xml" ContentType="application/vnd.openxmlformats-officedocument.spreadsheetml.comments+xml"/>
  <Override PartName="/xl/drawings/drawing24.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comments15.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6.xml" ContentType="application/vnd.openxmlformats-officedocument.spreadsheetml.comments+xml"/>
  <Override PartName="/xl/threadedComments/threadedComment3.xml" ContentType="application/vnd.ms-excel.threadedcomments+xml"/>
  <Override PartName="/xl/drawings/drawing28.xml" ContentType="application/vnd.openxmlformats-officedocument.drawing+xml"/>
  <Override PartName="/xl/comments17.xml" ContentType="application/vnd.openxmlformats-officedocument.spreadsheetml.comments+xml"/>
  <Override PartName="/xl/threadedComments/threadedComment4.xml" ContentType="application/vnd.ms-excel.threadedcomments+xml"/>
  <Override PartName="/xl/drawings/drawing29.xml" ContentType="application/vnd.openxmlformats-officedocument.drawing+xml"/>
  <Override PartName="/xl/drawings/drawing30.xml" ContentType="application/vnd.openxmlformats-officedocument.drawing+xml"/>
  <Override PartName="/xl/tables/table4.xml" ContentType="application/vnd.openxmlformats-officedocument.spreadsheetml.table+xml"/>
  <Override PartName="/xl/charts/chart20.xml" ContentType="application/vnd.openxmlformats-officedocument.drawingml.chart+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xml"/>
  <Override PartName="/xl/comments18.xml" ContentType="application/vnd.openxmlformats-officedocument.spreadsheetml.comments+xml"/>
  <Override PartName="/xl/threadedComments/threadedComment5.xml" ContentType="application/vnd.ms-excel.threaded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omments19.xml" ContentType="application/vnd.openxmlformats-officedocument.spreadsheetml.comments+xml"/>
  <Override PartName="/xl/threadedComments/threadedComment6.xml" ContentType="application/vnd.ms-excel.threadedcomments+xml"/>
  <Override PartName="/xl/drawings/drawing47.xml" ContentType="application/vnd.openxmlformats-officedocument.drawing+xml"/>
  <Override PartName="/xl/tables/table5.xml" ContentType="application/vnd.openxmlformats-officedocument.spreadsheetml.table+xml"/>
  <Override PartName="/xl/charts/chart27.xml" ContentType="application/vnd.openxmlformats-officedocument.drawingml.chart+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comments20.xml" ContentType="application/vnd.openxmlformats-officedocument.spreadsheetml.comments+xml"/>
  <Override PartName="/xl/threadedComments/threadedComment7.xml" ContentType="application/vnd.ms-excel.threadedcomments+xml"/>
  <Override PartName="/xl/drawings/drawing48.xml" ContentType="application/vnd.openxmlformats-officedocument.drawing+xml"/>
  <Override PartName="/xl/comments21.xml" ContentType="application/vnd.openxmlformats-officedocument.spreadsheetml.comments+xml"/>
  <Override PartName="/xl/threadedComments/threadedComment8.xml" ContentType="application/vnd.ms-excel.threadedcomments+xml"/>
  <Override PartName="/xl/drawings/drawing49.xml" ContentType="application/vnd.openxmlformats-officedocument.drawing+xml"/>
  <Override PartName="/xl/comments22.xml" ContentType="application/vnd.openxmlformats-officedocument.spreadsheetml.comments+xml"/>
  <Override PartName="/xl/threadedComments/threadedComment9.xml" ContentType="application/vnd.ms-excel.threadedcomments+xml"/>
  <Override PartName="/xl/drawings/drawing50.xml" ContentType="application/vnd.openxmlformats-officedocument.drawing+xml"/>
  <Override PartName="/xl/drawings/drawing51.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53.xml" ContentType="application/vnd.openxmlformats-officedocument.drawingml.chartshapes+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7.xml" ContentType="application/vnd.openxmlformats-officedocument.drawingml.chartshapes+xml"/>
  <Override PartName="/xl/charts/chart36.xml" ContentType="application/vnd.openxmlformats-officedocument.drawingml.chart+xml"/>
  <Override PartName="/xl/drawings/drawing58.xml" ContentType="application/vnd.openxmlformats-officedocument.drawingml.chartshapes+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9.xml" ContentType="application/vnd.openxmlformats-officedocument.drawingml.chartshapes+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6.xml" ContentType="application/vnd.openxmlformats-officedocument.spreadsheetml.table+xml"/>
  <Override PartName="/xl/charts/chart39.xml" ContentType="application/vnd.openxmlformats-officedocument.drawingml.chart+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charts/chart41.xml" ContentType="application/vnd.openxmlformats-officedocument.drawingml.chart+xml"/>
  <Override PartName="/xl/drawings/drawing62.xml" ContentType="application/vnd.openxmlformats-officedocument.drawing+xml"/>
  <Override PartName="/xl/charts/chart4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4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omments23.xml" ContentType="application/vnd.openxmlformats-officedocument.spreadsheetml.comments+xml"/>
  <Override PartName="/xl/threadedComments/threadedComment10.xml" ContentType="application/vnd.ms-excel.threadedcomments+xml"/>
  <Override PartName="/xl/drawings/drawing66.xml" ContentType="application/vnd.openxmlformats-officedocument.drawing+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tables/table7.xml" ContentType="application/vnd.openxmlformats-officedocument.spreadsheetml.table+xml"/>
  <Override PartName="/xl/charts/chart47.xml" ContentType="application/vnd.openxmlformats-officedocument.drawingml.chart+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charts/chart49.xml" ContentType="application/vnd.openxmlformats-officedocument.drawingml.chart+xml"/>
  <Override PartName="/xl/drawings/drawing72.xml" ContentType="application/vnd.openxmlformats-officedocument.drawing+xml"/>
  <Override PartName="/xl/charts/chart50.xml" ContentType="application/vnd.openxmlformats-officedocument.drawingml.chart+xml"/>
  <Override PartName="/xl/charts/style37.xml" ContentType="application/vnd.ms-office.chartstyle+xml"/>
  <Override PartName="/xl/charts/colors37.xml" ContentType="application/vnd.ms-office.chartcolorstyle+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charts/chart52.xml" ContentType="application/vnd.openxmlformats-officedocument.drawingml.chart+xml"/>
  <Override PartName="/xl/charts/style39.xml" ContentType="application/vnd.ms-office.chartstyle+xml"/>
  <Override PartName="/xl/charts/colors39.xml" ContentType="application/vnd.ms-office.chartcolorstyle+xml"/>
  <Override PartName="/xl/comments24.xml" ContentType="application/vnd.openxmlformats-officedocument.spreadsheetml.comments+xml"/>
  <Override PartName="/xl/threadedComments/threadedComment11.xml" ContentType="application/vnd.ms-excel.threadedcomments+xml"/>
  <Override PartName="/xl/drawings/drawing73.xml" ContentType="application/vnd.openxmlformats-officedocument.drawing+xml"/>
  <Override PartName="/xl/comments25.xml" ContentType="application/vnd.openxmlformats-officedocument.spreadsheetml.comments+xml"/>
  <Override PartName="/xl/threadedComments/threadedComment12.xml" ContentType="application/vnd.ms-excel.threadedcomments+xml"/>
  <Override PartName="/xl/drawings/drawing74.xml" ContentType="application/vnd.openxmlformats-officedocument.drawing+xml"/>
  <Override PartName="/xl/comments26.xml" ContentType="application/vnd.openxmlformats-officedocument.spreadsheetml.comments+xml"/>
  <Override PartName="/xl/threadedComments/threadedComment13.xml" ContentType="application/vnd.ms-excel.threadedcomments+xml"/>
  <Override PartName="/xl/drawings/drawing75.xml" ContentType="application/vnd.openxmlformats-officedocument.drawing+xml"/>
  <Override PartName="/xl/charts/chart5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6.xml" ContentType="application/vnd.openxmlformats-officedocument.drawing+xml"/>
  <Override PartName="/xl/charts/chart54.xml" ContentType="application/vnd.openxmlformats-officedocument.drawingml.chart+xml"/>
  <Override PartName="/xl/charts/style41.xml" ContentType="application/vnd.ms-office.chartstyle+xml"/>
  <Override PartName="/xl/charts/colors41.xml" ContentType="application/vnd.ms-office.chartcolorstyle+xml"/>
  <Override PartName="/xl/charts/chart5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7.xml" ContentType="application/vnd.openxmlformats-officedocument.drawing+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charts/chart5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8.xml" ContentType="application/vnd.openxmlformats-officedocument.drawing+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charts/chart5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9.xml" ContentType="application/vnd.openxmlformats-officedocument.drawing+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0.xml" ContentType="application/vnd.openxmlformats-officedocument.drawing+xml"/>
  <Override PartName="/xl/comments27.xml" ContentType="application/vnd.openxmlformats-officedocument.spreadsheetml.comments+xml"/>
  <Override PartName="/xl/threadedComments/threadedComment14.xml" ContentType="application/vnd.ms-excel.threadedcomments+xml"/>
  <Override PartName="/xl/charts/chart62.xml" ContentType="application/vnd.openxmlformats-officedocument.drawingml.chart+xml"/>
  <Override PartName="/xl/charts/style49.xml" ContentType="application/vnd.ms-office.chartstyle+xml"/>
  <Override PartName="/xl/charts/colors49.xml" ContentType="application/vnd.ms-office.chartcolorstyle+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1.xml" ContentType="application/vnd.openxmlformats-officedocument.drawing+xml"/>
  <Override PartName="/xl/charts/chart64.xml" ContentType="application/vnd.openxmlformats-officedocument.drawingml.chart+xml"/>
  <Override PartName="/xl/charts/style51.xml" ContentType="application/vnd.ms-office.chartstyle+xml"/>
  <Override PartName="/xl/charts/colors51.xml" ContentType="application/vnd.ms-office.chartcolorstyle+xml"/>
  <Override PartName="/xl/charts/chart65.xml" ContentType="application/vnd.openxmlformats-officedocument.drawingml.chart+xml"/>
  <Override PartName="/xl/charts/style52.xml" ContentType="application/vnd.ms-office.chartstyle+xml"/>
  <Override PartName="/xl/charts/colors52.xml" ContentType="application/vnd.ms-office.chartcolorstyle+xml"/>
  <Override PartName="/xl/charts/chart6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2.xml" ContentType="application/vnd.openxmlformats-officedocument.drawing+xml"/>
  <Override PartName="/xl/charts/chart6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3.xml" ContentType="application/vnd.openxmlformats-officedocument.drawing+xml"/>
  <Override PartName="/xl/charts/chart6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4.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mc:AlternateContent xmlns:mc="http://schemas.openxmlformats.org/markup-compatibility/2006">
    <mc:Choice Requires="x15">
      <x15ac:absPath xmlns:x15ac="http://schemas.microsoft.com/office/spreadsheetml/2010/11/ac" url="https://meadcm-my.sharepoint.com/personal/adam_meadcm_com/Documents/Research/Berkshire Book Project/Publishing/Harriman House/FINAL BOOK/"/>
    </mc:Choice>
  </mc:AlternateContent>
  <xr:revisionPtr revIDLastSave="575" documentId="14_{97822D82-39C0-4FB9-9BDD-06B94C884741}" xr6:coauthVersionLast="47" xr6:coauthVersionMax="47" xr10:uidLastSave="{C621176D-E6FF-4917-AA01-6834A3B3B554}"/>
  <bookViews>
    <workbookView xWindow="264" yWindow="936" windowWidth="11520" windowHeight="11568" tabRatio="892" firstSheet="65" activeTab="67" xr2:uid="{00000000-000D-0000-FFFF-FFFF00000000}"/>
  </bookViews>
  <sheets>
    <sheet name="WELCOME!" sheetId="326" r:id="rId1"/>
    <sheet name="1. 1930s - Spindles" sheetId="170" r:id="rId2"/>
    <sheet name="1. 1930s - Select Data" sheetId="171" r:id="rId3"/>
    <sheet name="1. 1940s" sheetId="172" r:id="rId4"/>
    <sheet name="1. 1950s" sheetId="173" r:id="rId5"/>
    <sheet name="1. Spindles 1940-50-55" sheetId="174" r:id="rId6"/>
    <sheet name="1. Concl. - Active Spindle &amp; %" sheetId="175" r:id="rId7"/>
    <sheet name="1. BFSA " sheetId="36" r:id="rId8"/>
    <sheet name="1. Timeline" sheetId="35" r:id="rId9"/>
    <sheet name="1. Financials" sheetId="34" r:id="rId10"/>
    <sheet name="2. Lead Page" sheetId="5" r:id="rId11"/>
    <sheet name="2. 1954" sheetId="176" r:id="rId12"/>
    <sheet name="2. 1958" sheetId="177" r:id="rId13"/>
    <sheet name="2. 1964 Decade in Review" sheetId="178" r:id="rId14"/>
    <sheet name="2. Financials" sheetId="2" r:id="rId15"/>
    <sheet name="3. Lead Page" sheetId="12" r:id="rId16"/>
    <sheet name="3. 1969-insurance" sheetId="179" r:id="rId17"/>
    <sheet name="3. 1969 bank" sheetId="180" r:id="rId18"/>
    <sheet name="3. 1970" sheetId="181" r:id="rId19"/>
    <sheet name="3. 1971" sheetId="182" r:id="rId20"/>
    <sheet name="3. 1972" sheetId="183" r:id="rId21"/>
    <sheet name="3. 1973" sheetId="184" r:id="rId22"/>
    <sheet name="3. 1973 year-end illustration" sheetId="185" r:id="rId23"/>
    <sheet name="3. 1974" sheetId="186" r:id="rId24"/>
    <sheet name="3. 65-74 Conclusion" sheetId="187" r:id="rId25"/>
    <sheet name="3. Stock price data" sheetId="215" r:id="rId26"/>
    <sheet name="3. &quot;Summary Table&quot;" sheetId="13" r:id="rId27"/>
    <sheet name="3. Financials" sheetId="6" r:id="rId28"/>
    <sheet name="3. Insurance Detail" sheetId="217" r:id="rId29"/>
    <sheet name="3. Insurance" sheetId="8" r:id="rId30"/>
    <sheet name="3. Insurance 1970 Acc Change" sheetId="9" r:id="rId31"/>
    <sheet name="3. Banking" sheetId="11" r:id="rId32"/>
    <sheet name="4. Lead Page " sheetId="15" r:id="rId33"/>
    <sheet name="4. Summary Table" sheetId="20" r:id="rId34"/>
    <sheet name="4. 1975" sheetId="188" r:id="rId35"/>
    <sheet name="4. 1976" sheetId="190" r:id="rId36"/>
    <sheet name="4. 1977" sheetId="192" r:id="rId37"/>
    <sheet name="4. Diversifed Merger" sheetId="23" r:id="rId38"/>
    <sheet name="4. 1978" sheetId="194" r:id="rId39"/>
    <sheet name="4. Blue Chip summary" sheetId="24" r:id="rId40"/>
    <sheet name="4. Blue Chip" sheetId="86" r:id="rId41"/>
    <sheet name="4. 1978-Cont'd" sheetId="196" r:id="rId42"/>
    <sheet name="4. Wesco" sheetId="87" r:id="rId43"/>
    <sheet name="4. Buffalo News" sheetId="88" r:id="rId44"/>
    <sheet name="4. 1979" sheetId="197" r:id="rId45"/>
    <sheet name="4. 1981" sheetId="200" r:id="rId46"/>
    <sheet name="4. 1982" sheetId="202" r:id="rId47"/>
    <sheet name="4. 1983" sheetId="204" r:id="rId48"/>
    <sheet name="4. 1983 TOTAL earnings" sheetId="205" r:id="rId49"/>
    <sheet name="4. 1984 TOTAL earnings" sheetId="207" r:id="rId50"/>
    <sheet name="4. See's" sheetId="27" r:id="rId51"/>
    <sheet name="4. 1984" sheetId="209" r:id="rId52"/>
    <sheet name="4. Equity Reconciliation" sheetId="91" r:id="rId53"/>
    <sheet name="4. Stock price data" sheetId="218" r:id="rId54"/>
    <sheet name="4. 75-84 Conclusion" sheetId="210" r:id="rId55"/>
    <sheet name="4. Financials" sheetId="16" r:id="rId56"/>
    <sheet name="4. Insurance Fin'ls " sheetId="17" r:id="rId57"/>
    <sheet name="4. Insurance Detail" sheetId="26" r:id="rId58"/>
    <sheet name="4. Banking" sheetId="22" r:id="rId59"/>
    <sheet name="5. Lead Page" sheetId="41" r:id="rId60"/>
    <sheet name="5. &quot;Summary Table&quot;" sheetId="29" r:id="rId61"/>
    <sheet name="5. 1985" sheetId="211" r:id="rId62"/>
    <sheet name="5. 1985 equity port." sheetId="213" r:id="rId63"/>
    <sheet name="5. Scott Fetzer" sheetId="94" r:id="rId64"/>
    <sheet name="5. Fechheimer" sheetId="95" r:id="rId65"/>
    <sheet name="5. 1986 equity" sheetId="221" r:id="rId66"/>
    <sheet name="5. 1988 equity" sheetId="225" r:id="rId67"/>
    <sheet name="5. Coke" sheetId="96" r:id="rId68"/>
    <sheet name="5. 1989 equity" sheetId="227" r:id="rId69"/>
    <sheet name="5. 1989 Valuation-Conversion" sheetId="228" r:id="rId70"/>
    <sheet name="5. '65-'89 equity rec. " sheetId="45" r:id="rId71"/>
    <sheet name="5. 25-year summary" sheetId="44" r:id="rId72"/>
    <sheet name="5. 1990" sheetId="229" r:id="rId73"/>
    <sheet name="5. 1991" sheetId="232" r:id="rId74"/>
    <sheet name="5. 1992" sheetId="233" r:id="rId75"/>
    <sheet name="5. 1993" sheetId="236" r:id="rId76"/>
    <sheet name="5. 1994" sheetId="238" r:id="rId77"/>
    <sheet name="5. 1994 Look-thru earnings" sheetId="239" r:id="rId78"/>
    <sheet name="5. '65-'94 equity rec." sheetId="46" r:id="rId79"/>
    <sheet name="5. 1985-94 Conclusion" sheetId="240" r:id="rId80"/>
    <sheet name="5. Stock price data" sheetId="219" r:id="rId81"/>
    <sheet name="5. Select Parent Fin'l Data" sheetId="37" r:id="rId82"/>
    <sheet name="5. Equity Reconc." sheetId="40" r:id="rId83"/>
    <sheet name="5. Zero Coupon" sheetId="43" r:id="rId84"/>
    <sheet name="5. Insurance Detail" sheetId="97" r:id="rId85"/>
    <sheet name="5. Insurance" sheetId="30" r:id="rId86"/>
    <sheet name="5. Manuf., Pub., Retail" sheetId="31" r:id="rId87"/>
    <sheet name="5. Finance" sheetId="32" r:id="rId88"/>
    <sheet name="5. 1987 Finance detail" sheetId="42" r:id="rId89"/>
    <sheet name="5. Non-Op" sheetId="33" r:id="rId90"/>
    <sheet name="6. Lead Page" sheetId="67" r:id="rId91"/>
    <sheet name="6. &quot;Summary Table&quot;" sheetId="49" r:id="rId92"/>
    <sheet name="6. 1995" sheetId="241" r:id="rId93"/>
    <sheet name="6. FlightSafety" sheetId="100" r:id="rId94"/>
    <sheet name="6. GEICO effect on equity" sheetId="55" r:id="rId95"/>
    <sheet name="6. 1996" sheetId="244" r:id="rId96"/>
    <sheet name="6. 1997" sheetId="245" r:id="rId97"/>
    <sheet name="6. Dairy Queen" sheetId="101" r:id="rId98"/>
    <sheet name="6. 1998" sheetId="247" r:id="rId99"/>
    <sheet name="6. General Re" sheetId="102" r:id="rId100"/>
    <sheet name="6. 1998 equities" sheetId="249" r:id="rId101"/>
    <sheet name="6. '99 Invest. Gain" sheetId="69" r:id="rId102"/>
    <sheet name="6. MidAmer." sheetId="81" r:id="rId103"/>
    <sheet name="6. CORT" sheetId="103" r:id="rId104"/>
    <sheet name="6. Justin" sheetId="80" r:id="rId105"/>
    <sheet name="6.  Shaw" sheetId="79" r:id="rId106"/>
    <sheet name="6. Johns Manville" sheetId="104" r:id="rId107"/>
    <sheet name="6. 2000" sheetId="252" r:id="rId108"/>
    <sheet name="6. XTRA" sheetId="105" r:id="rId109"/>
    <sheet name="6. 2002" sheetId="255" r:id="rId110"/>
    <sheet name="6. Clayton" sheetId="108" r:id="rId111"/>
    <sheet name="6. '65-'04 equity rec." sheetId="64" r:id="rId112"/>
    <sheet name="6. Equity portfolio 94-04" sheetId="66" r:id="rId113"/>
    <sheet name="6. Conclusion 94-04" sheetId="258" r:id="rId114"/>
    <sheet name="6. Stock price data" sheetId="220" r:id="rId115"/>
    <sheet name="6. Select Parent Fin'l Data" sheetId="48" r:id="rId116"/>
    <sheet name="6. Equity Reconc." sheetId="124" r:id="rId117"/>
    <sheet name="6. Insurance" sheetId="51" r:id="rId118"/>
    <sheet name="6. Insurance Summary" sheetId="99" r:id="rId119"/>
    <sheet name="6. Insurance Detail" sheetId="98" r:id="rId120"/>
    <sheet name="6. Finance Liab." sheetId="68" r:id="rId121"/>
    <sheet name="6. Loss Dev. Table" sheetId="107" r:id="rId122"/>
    <sheet name="6. Float Breakdown" sheetId="60" r:id="rId123"/>
    <sheet name="6. Manuf., Pub., Ret 94-00" sheetId="50" r:id="rId124"/>
    <sheet name="6. Manf., Serv, Ret. 02-04" sheetId="63" r:id="rId125"/>
    <sheet name="6. Float&gt;Equity" sheetId="57" r:id="rId126"/>
    <sheet name="6. Finance" sheetId="52" r:id="rId127"/>
    <sheet name="6. Non-Op" sheetId="53" r:id="rId128"/>
    <sheet name="6. BRK Valuation" sheetId="58" r:id="rId129"/>
    <sheet name="_xltb_storage_" sheetId="169" state="veryHidden" r:id="rId130"/>
    <sheet name="6. FOL" sheetId="106" r:id="rId131"/>
    <sheet name="6. Mclane" sheetId="109" r:id="rId132"/>
    <sheet name="7. Lead Page" sheetId="122" r:id="rId133"/>
    <sheet name="7. Pre-tax earnings summary" sheetId="132" r:id="rId134"/>
    <sheet name="7. After Tax Earnings summary" sheetId="118" r:id="rId135"/>
    <sheet name="7. 2005" sheetId="259" r:id="rId136"/>
    <sheet name="7. 2007" sheetId="263" r:id="rId137"/>
    <sheet name="7. 2007 UW gain per sh." sheetId="77" r:id="rId138"/>
    <sheet name="7. 2008" sheetId="266" r:id="rId139"/>
    <sheet name="7. Marmon" sheetId="82" r:id="rId140"/>
    <sheet name="7. 2009" sheetId="269" r:id="rId141"/>
    <sheet name="7. BNSF" sheetId="112" r:id="rId142"/>
    <sheet name="7. 2010" sheetId="270" r:id="rId143"/>
    <sheet name="7. 2011 Valuation" sheetId="272" r:id="rId144"/>
    <sheet name="7. Lubrizol" sheetId="113" r:id="rId145"/>
    <sheet name="7. 2011" sheetId="274" r:id="rId146"/>
    <sheet name="7. Equities Calc." sheetId="275" r:id="rId147"/>
    <sheet name="7. 2012 Valuation" sheetId="276" r:id="rId148"/>
    <sheet name="7. 2013 Valuation" sheetId="278" r:id="rId149"/>
    <sheet name="7. 2013 Heinz pie chart" sheetId="279" r:id="rId150"/>
    <sheet name="7. Heinz" sheetId="115" r:id="rId151"/>
    <sheet name="7. 2013 Float shrink" sheetId="117" r:id="rId152"/>
    <sheet name="7. 2013" sheetId="281" r:id="rId153"/>
    <sheet name="7. NV Energy" sheetId="116" r:id="rId154"/>
    <sheet name="7. 2013 KO Dilution" sheetId="282" r:id="rId155"/>
    <sheet name="7. 2014" sheetId="283" r:id="rId156"/>
    <sheet name="7. Equity portfolio '04-'14" sheetId="123" r:id="rId157"/>
    <sheet name="7. '65-'14 equity rec." sheetId="125" r:id="rId158"/>
    <sheet name="7. Stock price data" sheetId="285" r:id="rId159"/>
    <sheet name="7. Select Parent Fin'l Data" sheetId="70" r:id="rId160"/>
    <sheet name="7. Equity Reconc. '04-'14" sheetId="120" r:id="rId161"/>
    <sheet name="7. Major Capital Alloc." sheetId="121" r:id="rId162"/>
    <sheet name="7. Insurance Summary" sheetId="111" r:id="rId163"/>
    <sheet name="7. Insurance Detail" sheetId="110" r:id="rId164"/>
    <sheet name="7. Float Breakdown" sheetId="75" r:id="rId165"/>
    <sheet name="7. Loss Dev. Table" sheetId="127" r:id="rId166"/>
    <sheet name="7. Utilities" sheetId="78" r:id="rId167"/>
    <sheet name="7. Manf., Serv, Retail" sheetId="71" r:id="rId168"/>
    <sheet name="7. Fin. &amp; Fin'l Prod." sheetId="74" r:id="rId169"/>
    <sheet name="7. Deferred Taxes" sheetId="114" r:id="rId170"/>
    <sheet name="7. Equity portfolio" sheetId="84" r:id="rId171"/>
    <sheet name="7. Equity portfolio 07-08" sheetId="83" r:id="rId172"/>
    <sheet name="7. Conclusion - Float" sheetId="286" r:id="rId173"/>
    <sheet name="8. BV &amp; S&amp;P increase" sheetId="126" r:id="rId174"/>
    <sheet name="8. Employees" sheetId="129" r:id="rId175"/>
    <sheet name="8. Float-Cost" sheetId="131" r:id="rId176"/>
    <sheet name="Part 8" sheetId="287" r:id="rId177"/>
    <sheet name="Part 8.1" sheetId="288" r:id="rId178"/>
    <sheet name="Part 8.2" sheetId="289" r:id="rId179"/>
    <sheet name="8.3" sheetId="290" r:id="rId180"/>
    <sheet name="8. Stock price data" sheetId="291" r:id="rId181"/>
    <sheet name="9. Lead Page" sheetId="146" r:id="rId182"/>
    <sheet name="9. Pre-tax earnings summary" sheetId="149" r:id="rId183"/>
    <sheet name="9. After Tax Earnings" sheetId="137" r:id="rId184"/>
    <sheet name="9. 2015" sheetId="292" r:id="rId185"/>
    <sheet name="9. 2015 MSR" sheetId="293" r:id="rId186"/>
    <sheet name="9. Kraft Heinz" sheetId="140" r:id="rId187"/>
    <sheet name="9. 2015 Kraft pie chart" sheetId="295" r:id="rId188"/>
    <sheet name="9. 2016" sheetId="296" r:id="rId189"/>
    <sheet name="9. Precision Castparts" sheetId="142" r:id="rId190"/>
    <sheet name="9. 2016.2 MSR" sheetId="297" r:id="rId191"/>
    <sheet name="9. 2016. Equity port. '15-'16" sheetId="298" r:id="rId192"/>
    <sheet name="9. 2015 Q4 13F filing" sheetId="299" r:id="rId193"/>
    <sheet name="9. 2016 Q4 13F filing" sheetId="300" r:id="rId194"/>
    <sheet name="2017" sheetId="302" r:id="rId195"/>
    <sheet name="2017 AIG deal" sheetId="304" r:id="rId196"/>
    <sheet name="9. 2017 MSR" sheetId="305" r:id="rId197"/>
    <sheet name="9. Apple" sheetId="143" r:id="rId198"/>
    <sheet name="2018 - repurchases" sheetId="314" r:id="rId199"/>
    <sheet name="9. 2018 Valuation" sheetId="306" r:id="rId200"/>
    <sheet name="9. 2018" sheetId="315" r:id="rId201"/>
    <sheet name="9. 2018 MSR" sheetId="308" r:id="rId202"/>
    <sheet name="9. 2018 KHC" sheetId="309" r:id="rId203"/>
    <sheet name="9. 2019 Valuation" sheetId="311" r:id="rId204"/>
    <sheet name="9. 2019 BHE Ownership Hist" sheetId="312" r:id="rId205"/>
    <sheet name="9. 2019 Retro Economics" sheetId="318" r:id="rId206"/>
    <sheet name="9. 2019 MSR" sheetId="313" r:id="rId207"/>
    <sheet name="9. Stock price data" sheetId="316" r:id="rId208"/>
    <sheet name="9. BRK-A Price Hist." sheetId="317" r:id="rId209"/>
    <sheet name="9. Select Parent Fin'l Data" sheetId="136" r:id="rId210"/>
    <sheet name="9. Equity portfolio '14-'19" sheetId="156" r:id="rId211"/>
    <sheet name="9. Equity recon. '14-'19" sheetId="144" r:id="rId212"/>
    <sheet name="9. Insurance For Years" sheetId="145" r:id="rId213"/>
    <sheet name="9. Float Breakdown" sheetId="135" r:id="rId214"/>
    <sheet name="9. MSR Breakdown" sheetId="138" r:id="rId215"/>
    <sheet name="9. '65-'19 equity rec." sheetId="148" r:id="rId216"/>
    <sheet name="9. Major Capital Alloc." sheetId="147" r:id="rId217"/>
    <sheet name="9. Manf., Serv, Retail" sheetId="150" r:id="rId218"/>
    <sheet name="9. Utilities" sheetId="151" r:id="rId219"/>
    <sheet name="9. Deferred Taxes" sheetId="155" r:id="rId220"/>
    <sheet name="10. WGC Float shrink" sheetId="154" r:id="rId221"/>
    <sheet name="Textron" sheetId="159" r:id="rId222"/>
    <sheet name="Litton" sheetId="157" r:id="rId223"/>
    <sheet name="LTV" sheetId="160" r:id="rId224"/>
    <sheet name="G&amp;W" sheetId="161" r:id="rId225"/>
    <sheet name="ITT" sheetId="163" r:id="rId226"/>
    <sheet name="Teledyne" sheetId="164" r:id="rId227"/>
    <sheet name="Conglomerate Overview" sheetId="166" r:id="rId228"/>
    <sheet name="Berkshire shares out" sheetId="167" r:id="rId229"/>
    <sheet name="Pages Calculation" sheetId="158" r:id="rId230"/>
  </sheets>
  <externalReferences>
    <externalReference r:id="rId231"/>
  </externalReferences>
  <definedNames>
    <definedName name="_xlnm._FilterDatabase" localSheetId="178" hidden="1">'Part 8.2'!$A$2:$F$19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3" i="96" l="1"/>
  <c r="A41" i="96"/>
  <c r="A40" i="96"/>
  <c r="A34" i="96"/>
  <c r="A38" i="96"/>
  <c r="A29" i="96"/>
  <c r="B12" i="96"/>
  <c r="B6" i="96"/>
  <c r="B13" i="96"/>
  <c r="N36" i="136"/>
  <c r="P36" i="136"/>
  <c r="N20" i="120"/>
  <c r="W31" i="70"/>
  <c r="B13" i="282" l="1"/>
  <c r="B11" i="282"/>
  <c r="O15" i="124"/>
  <c r="O8" i="124"/>
  <c r="B43" i="48"/>
  <c r="H75" i="31"/>
  <c r="I44" i="30"/>
  <c r="B44" i="30"/>
  <c r="H5" i="236"/>
  <c r="H6" i="236"/>
  <c r="H7" i="236"/>
  <c r="H8" i="236"/>
  <c r="H9" i="236"/>
  <c r="H10" i="236"/>
  <c r="H11" i="236"/>
  <c r="H12" i="236"/>
  <c r="H13" i="236"/>
  <c r="H14" i="236"/>
  <c r="H15" i="236"/>
  <c r="J27" i="44"/>
  <c r="B12" i="94"/>
  <c r="D15" i="204" l="1"/>
  <c r="K24" i="87"/>
  <c r="F23" i="23"/>
  <c r="F22" i="23"/>
  <c r="C171" i="2"/>
  <c r="P27" i="135"/>
  <c r="P29" i="135"/>
  <c r="X62" i="98"/>
  <c r="X66" i="98"/>
  <c r="X63" i="98"/>
  <c r="T66" i="98"/>
  <c r="J15" i="124"/>
  <c r="B20" i="124"/>
  <c r="H44" i="30" l="1"/>
  <c r="F44" i="30"/>
  <c r="C44" i="30"/>
  <c r="D44" i="30"/>
  <c r="E44" i="30"/>
  <c r="G44" i="30"/>
  <c r="B50" i="30"/>
  <c r="B64" i="30"/>
  <c r="N134" i="17" l="1"/>
  <c r="G106" i="6" l="1"/>
  <c r="B178" i="8"/>
  <c r="B177" i="8"/>
  <c r="C139" i="2" l="1"/>
  <c r="D73" i="158" l="1"/>
  <c r="G73" i="158"/>
  <c r="I73" i="158" l="1"/>
  <c r="C73" i="158"/>
  <c r="C170" i="2" l="1"/>
  <c r="D170" i="2"/>
  <c r="E170" i="2"/>
  <c r="F170" i="2"/>
  <c r="G170" i="2"/>
  <c r="H170" i="2"/>
  <c r="I170" i="2"/>
  <c r="J170" i="2"/>
  <c r="K170" i="2"/>
  <c r="L170" i="2"/>
  <c r="H80" i="31"/>
  <c r="N17" i="138" l="1"/>
  <c r="L17" i="138"/>
  <c r="J17" i="138"/>
  <c r="H17" i="138"/>
  <c r="F17" i="138"/>
  <c r="D17" i="138"/>
  <c r="B17" i="138"/>
  <c r="D17" i="313"/>
  <c r="B17" i="313"/>
  <c r="F17" i="313" s="1"/>
  <c r="F16" i="313"/>
  <c r="E26" i="318"/>
  <c r="C26" i="318"/>
  <c r="E25" i="318"/>
  <c r="C25" i="318"/>
  <c r="E8" i="318"/>
  <c r="E20" i="318"/>
  <c r="E23" i="318" s="1"/>
  <c r="C15" i="318"/>
  <c r="C8" i="318"/>
  <c r="C9" i="318" s="1"/>
  <c r="F11" i="308"/>
  <c r="F16" i="308"/>
  <c r="D17" i="308"/>
  <c r="F17" i="308" s="1"/>
  <c r="B17" i="308"/>
  <c r="F16" i="305"/>
  <c r="F16" i="297"/>
  <c r="F17" i="293" l="1"/>
  <c r="F16" i="293"/>
  <c r="F15" i="293"/>
  <c r="C17" i="293"/>
  <c r="D17" i="293"/>
  <c r="B17" i="293"/>
  <c r="B78" i="71"/>
  <c r="B28" i="283"/>
  <c r="B91" i="71"/>
  <c r="L48" i="115"/>
  <c r="L47" i="115"/>
  <c r="D83" i="71"/>
  <c r="B10" i="82" l="1"/>
  <c r="H20" i="75"/>
  <c r="K71" i="71"/>
  <c r="K73" i="71" s="1"/>
  <c r="K72" i="71"/>
  <c r="J70" i="71"/>
  <c r="J72" i="71"/>
  <c r="K83" i="71"/>
  <c r="C77" i="71"/>
  <c r="B77" i="71"/>
  <c r="C72" i="71"/>
  <c r="D72" i="71"/>
  <c r="E72" i="71"/>
  <c r="F72" i="71"/>
  <c r="G72" i="71"/>
  <c r="H72" i="71"/>
  <c r="I72" i="71"/>
  <c r="L72" i="71"/>
  <c r="B70" i="71"/>
  <c r="B72" i="71"/>
  <c r="K70" i="71"/>
  <c r="B81" i="63" l="1"/>
  <c r="B101" i="50" l="1"/>
  <c r="C101" i="50"/>
  <c r="G113" i="49"/>
  <c r="B113" i="49"/>
  <c r="C113" i="49"/>
  <c r="D113" i="49"/>
  <c r="E113" i="49"/>
  <c r="F113" i="49"/>
  <c r="H113" i="49"/>
  <c r="D101" i="50" l="1"/>
  <c r="E101" i="50"/>
  <c r="G25" i="247"/>
  <c r="B18" i="101"/>
  <c r="J113" i="49"/>
  <c r="K113" i="49"/>
  <c r="L113" i="49"/>
  <c r="I113" i="49"/>
  <c r="N74" i="245"/>
  <c r="F101" i="50"/>
  <c r="G91" i="50"/>
  <c r="H91" i="50"/>
  <c r="G134" i="219" l="1"/>
  <c r="G132" i="219"/>
  <c r="M142" i="219"/>
  <c r="J128" i="219"/>
  <c r="J129" i="219" s="1"/>
  <c r="K119" i="219"/>
  <c r="G30" i="126"/>
  <c r="G31" i="126" s="1"/>
  <c r="K128" i="219" l="1"/>
  <c r="K129" i="219" s="1"/>
  <c r="M135" i="219" s="1"/>
  <c r="G128" i="219"/>
  <c r="G166" i="220"/>
  <c r="G129" i="219"/>
  <c r="G80" i="31"/>
  <c r="D183" i="6" l="1"/>
  <c r="E183" i="6"/>
  <c r="F183" i="6"/>
  <c r="G183" i="6"/>
  <c r="H183" i="6"/>
  <c r="I183" i="6"/>
  <c r="J183" i="6"/>
  <c r="K183" i="6"/>
  <c r="L183" i="6"/>
  <c r="M183" i="6"/>
  <c r="C183" i="6"/>
  <c r="C8" i="182"/>
  <c r="B8" i="182"/>
  <c r="D164" i="6"/>
  <c r="E164" i="6"/>
  <c r="F164" i="6"/>
  <c r="G164" i="6"/>
  <c r="H164" i="6"/>
  <c r="I164" i="6"/>
  <c r="J164" i="6"/>
  <c r="K164" i="6"/>
  <c r="L164" i="6"/>
  <c r="C164" i="6"/>
  <c r="I44" i="317"/>
  <c r="J44" i="317"/>
  <c r="I105" i="317"/>
  <c r="J105" i="317"/>
  <c r="I547" i="317"/>
  <c r="J547" i="317"/>
  <c r="I608" i="317"/>
  <c r="J608" i="317"/>
  <c r="I672" i="317"/>
  <c r="J672" i="317"/>
  <c r="I735" i="317"/>
  <c r="J735" i="317"/>
  <c r="I798" i="317"/>
  <c r="J798" i="317"/>
  <c r="I859" i="317"/>
  <c r="J859" i="317"/>
  <c r="I922" i="317"/>
  <c r="J922" i="317"/>
  <c r="I986" i="317"/>
  <c r="J986" i="317"/>
  <c r="M222" i="316"/>
  <c r="M221" i="316"/>
  <c r="M220" i="316"/>
  <c r="M219" i="316"/>
  <c r="M218" i="316"/>
  <c r="N218" i="316" s="1"/>
  <c r="M217" i="316"/>
  <c r="M216" i="316"/>
  <c r="M215" i="316"/>
  <c r="T215" i="316"/>
  <c r="T219" i="316"/>
  <c r="T216" i="316"/>
  <c r="S200" i="316"/>
  <c r="S212" i="316"/>
  <c r="S213" i="316"/>
  <c r="S206" i="316"/>
  <c r="S205" i="316"/>
  <c r="S204" i="316"/>
  <c r="Q215" i="316"/>
  <c r="Q219" i="316"/>
  <c r="Q211" i="316"/>
  <c r="Q207" i="316"/>
  <c r="Q203" i="316"/>
  <c r="L211" i="316"/>
  <c r="S211" i="316" s="1"/>
  <c r="M211" i="316"/>
  <c r="T211" i="316" s="1"/>
  <c r="L212" i="316"/>
  <c r="M212" i="316"/>
  <c r="T212" i="316" s="1"/>
  <c r="L213" i="316"/>
  <c r="M213" i="316"/>
  <c r="N213" i="316" s="1"/>
  <c r="L214" i="316"/>
  <c r="S214" i="316" s="1"/>
  <c r="M214" i="316"/>
  <c r="T214" i="316" s="1"/>
  <c r="L215" i="316"/>
  <c r="S215" i="316" s="1"/>
  <c r="L216" i="316"/>
  <c r="N216" i="316" s="1"/>
  <c r="L217" i="316"/>
  <c r="S217" i="316" s="1"/>
  <c r="T217" i="316"/>
  <c r="L218" i="316"/>
  <c r="S218" i="316" s="1"/>
  <c r="L219" i="316"/>
  <c r="N219" i="316" s="1"/>
  <c r="L220" i="316"/>
  <c r="T220" i="316"/>
  <c r="L221" i="316"/>
  <c r="S221" i="316" s="1"/>
  <c r="T221" i="316"/>
  <c r="L222" i="316"/>
  <c r="S222" i="316" s="1"/>
  <c r="T222" i="316"/>
  <c r="N211" i="316"/>
  <c r="M210" i="316"/>
  <c r="T210" i="316" s="1"/>
  <c r="L210" i="316"/>
  <c r="S210" i="316" s="1"/>
  <c r="M209" i="316"/>
  <c r="N209" i="316" s="1"/>
  <c r="L209" i="316"/>
  <c r="S209" i="316" s="1"/>
  <c r="M208" i="316"/>
  <c r="T208" i="316" s="1"/>
  <c r="L208" i="316"/>
  <c r="M207" i="316"/>
  <c r="T207" i="316" s="1"/>
  <c r="L207" i="316"/>
  <c r="M206" i="316"/>
  <c r="T206" i="316" s="1"/>
  <c r="L206" i="316"/>
  <c r="M205" i="316"/>
  <c r="T205" i="316" s="1"/>
  <c r="L205" i="316"/>
  <c r="M204" i="316"/>
  <c r="T204" i="316" s="1"/>
  <c r="U204" i="316" s="1"/>
  <c r="L204" i="316"/>
  <c r="M203" i="316"/>
  <c r="T203" i="316" s="1"/>
  <c r="L203" i="316"/>
  <c r="N203" i="316" s="1"/>
  <c r="K219" i="316"/>
  <c r="K215" i="316"/>
  <c r="K211" i="316"/>
  <c r="K207" i="316"/>
  <c r="K203" i="316"/>
  <c r="C223" i="316"/>
  <c r="V223" i="316" s="1"/>
  <c r="N223" i="316"/>
  <c r="G203" i="316"/>
  <c r="G204" i="316"/>
  <c r="G205" i="316"/>
  <c r="G206" i="316"/>
  <c r="G207" i="316"/>
  <c r="G208" i="316"/>
  <c r="G209" i="316"/>
  <c r="G210" i="316"/>
  <c r="G211" i="316"/>
  <c r="G212" i="316"/>
  <c r="G213" i="316"/>
  <c r="G214" i="316"/>
  <c r="G215" i="316"/>
  <c r="G216" i="316"/>
  <c r="G217" i="316"/>
  <c r="G218" i="316"/>
  <c r="G219" i="316"/>
  <c r="G220" i="316"/>
  <c r="G221" i="316"/>
  <c r="G222" i="316"/>
  <c r="N204" i="316"/>
  <c r="N205" i="316"/>
  <c r="N206" i="316"/>
  <c r="N210" i="316"/>
  <c r="V203" i="316"/>
  <c r="V204" i="316"/>
  <c r="V205" i="316"/>
  <c r="V206" i="316"/>
  <c r="V207" i="316"/>
  <c r="V208" i="316"/>
  <c r="V209" i="316"/>
  <c r="V210" i="316"/>
  <c r="V211" i="316"/>
  <c r="V212" i="316"/>
  <c r="V213" i="316"/>
  <c r="V214" i="316"/>
  <c r="V215" i="316"/>
  <c r="V216" i="316"/>
  <c r="V217" i="316"/>
  <c r="V218" i="316"/>
  <c r="V219" i="316"/>
  <c r="V220" i="316"/>
  <c r="V221" i="316"/>
  <c r="V222" i="316"/>
  <c r="A203" i="316"/>
  <c r="C203" i="316" s="1"/>
  <c r="B203" i="316"/>
  <c r="A204" i="316"/>
  <c r="C204" i="316" s="1"/>
  <c r="B204" i="316"/>
  <c r="A205" i="316"/>
  <c r="B205" i="316"/>
  <c r="C205" i="316" s="1"/>
  <c r="A206" i="316"/>
  <c r="B206" i="316"/>
  <c r="C206" i="316"/>
  <c r="A207" i="316"/>
  <c r="C207" i="316" s="1"/>
  <c r="B207" i="316"/>
  <c r="A208" i="316"/>
  <c r="C208" i="316" s="1"/>
  <c r="B208" i="316"/>
  <c r="A209" i="316"/>
  <c r="A210" i="316"/>
  <c r="B210" i="316"/>
  <c r="C210" i="316"/>
  <c r="A211" i="316"/>
  <c r="B211" i="316"/>
  <c r="C211" i="316" s="1"/>
  <c r="A212" i="316"/>
  <c r="C212" i="316" s="1"/>
  <c r="B212" i="316"/>
  <c r="A213" i="316"/>
  <c r="A214" i="316"/>
  <c r="B214" i="316"/>
  <c r="C214" i="316"/>
  <c r="A215" i="316"/>
  <c r="B215" i="316"/>
  <c r="C215" i="316" s="1"/>
  <c r="A216" i="316"/>
  <c r="C216" i="316" s="1"/>
  <c r="B216" i="316"/>
  <c r="A217" i="316"/>
  <c r="A218" i="316"/>
  <c r="B218" i="316"/>
  <c r="C218" i="316"/>
  <c r="A219" i="316"/>
  <c r="C219" i="316" s="1"/>
  <c r="B219" i="316"/>
  <c r="A220" i="316"/>
  <c r="C220" i="316" s="1"/>
  <c r="B220" i="316"/>
  <c r="A221" i="316"/>
  <c r="A222" i="316"/>
  <c r="B222" i="316"/>
  <c r="C222" i="316"/>
  <c r="P235" i="316"/>
  <c r="P236" i="316" s="1"/>
  <c r="J235" i="316"/>
  <c r="J236" i="316" s="1"/>
  <c r="G202" i="316"/>
  <c r="G201" i="316"/>
  <c r="M200" i="316"/>
  <c r="T200" i="316" s="1"/>
  <c r="G200" i="316"/>
  <c r="Q199" i="316"/>
  <c r="M199" i="316"/>
  <c r="T199" i="316" s="1"/>
  <c r="K199" i="316"/>
  <c r="M202" i="316" s="1"/>
  <c r="T202" i="316" s="1"/>
  <c r="G199" i="316"/>
  <c r="G198" i="316"/>
  <c r="G197" i="316"/>
  <c r="G196" i="316"/>
  <c r="Q195" i="316"/>
  <c r="K195" i="316"/>
  <c r="G195" i="316"/>
  <c r="G194" i="316"/>
  <c r="G193" i="316"/>
  <c r="G192" i="316"/>
  <c r="Q191" i="316"/>
  <c r="K191" i="316"/>
  <c r="M194" i="316" s="1"/>
  <c r="T194" i="316" s="1"/>
  <c r="G191" i="316"/>
  <c r="G190" i="316"/>
  <c r="G189" i="316"/>
  <c r="G188" i="316"/>
  <c r="Q187" i="316"/>
  <c r="K187" i="316"/>
  <c r="L189" i="316" s="1"/>
  <c r="G187" i="316"/>
  <c r="G186" i="316"/>
  <c r="M185" i="316"/>
  <c r="T185" i="316" s="1"/>
  <c r="G185" i="316"/>
  <c r="G184" i="316"/>
  <c r="Q183" i="316"/>
  <c r="L183" i="316"/>
  <c r="S183" i="316" s="1"/>
  <c r="K183" i="316"/>
  <c r="M186" i="316" s="1"/>
  <c r="G183" i="316"/>
  <c r="G182" i="316"/>
  <c r="G181" i="316"/>
  <c r="G180" i="316"/>
  <c r="Q179" i="316"/>
  <c r="K179" i="316"/>
  <c r="L182" i="316" s="1"/>
  <c r="G179" i="316"/>
  <c r="G178" i="316"/>
  <c r="G177" i="316"/>
  <c r="G176" i="316"/>
  <c r="Q175" i="316"/>
  <c r="K175" i="316"/>
  <c r="M178" i="316" s="1"/>
  <c r="T178" i="316" s="1"/>
  <c r="G175" i="316"/>
  <c r="G174" i="316"/>
  <c r="G173" i="316"/>
  <c r="G172" i="316"/>
  <c r="Q171" i="316"/>
  <c r="K171" i="316"/>
  <c r="M174" i="316" s="1"/>
  <c r="G171" i="316"/>
  <c r="G170" i="316"/>
  <c r="G169" i="316"/>
  <c r="G168" i="316"/>
  <c r="Q167" i="316"/>
  <c r="K167" i="316"/>
  <c r="M170" i="316" s="1"/>
  <c r="G167" i="316"/>
  <c r="G166" i="316"/>
  <c r="G165" i="316"/>
  <c r="G164" i="316"/>
  <c r="Q163" i="316"/>
  <c r="K163" i="316"/>
  <c r="G163" i="316"/>
  <c r="G162" i="316"/>
  <c r="G161" i="316"/>
  <c r="G160" i="316"/>
  <c r="Q159" i="316"/>
  <c r="K159" i="316"/>
  <c r="M161" i="316" s="1"/>
  <c r="T161" i="316" s="1"/>
  <c r="G159" i="316"/>
  <c r="G158" i="316"/>
  <c r="L157" i="316"/>
  <c r="G157" i="316"/>
  <c r="G156" i="316"/>
  <c r="Q155" i="316"/>
  <c r="K155" i="316"/>
  <c r="M155" i="316" s="1"/>
  <c r="T155" i="316" s="1"/>
  <c r="G155" i="316"/>
  <c r="M154" i="316"/>
  <c r="G154" i="316"/>
  <c r="G153" i="316"/>
  <c r="G152" i="316"/>
  <c r="Q151" i="316"/>
  <c r="K151" i="316"/>
  <c r="M152" i="316" s="1"/>
  <c r="G151" i="316"/>
  <c r="G150" i="316"/>
  <c r="G149" i="316"/>
  <c r="G148" i="316"/>
  <c r="Q147" i="316"/>
  <c r="S150" i="316" s="1"/>
  <c r="K147" i="316"/>
  <c r="L150" i="316" s="1"/>
  <c r="G147" i="316"/>
  <c r="G146" i="316"/>
  <c r="M145" i="316"/>
  <c r="T145" i="316" s="1"/>
  <c r="G145" i="316"/>
  <c r="L144" i="316"/>
  <c r="G144" i="316"/>
  <c r="Q143" i="316"/>
  <c r="M143" i="316"/>
  <c r="T143" i="316" s="1"/>
  <c r="K143" i="316"/>
  <c r="M146" i="316" s="1"/>
  <c r="T146" i="316" s="1"/>
  <c r="G143" i="316"/>
  <c r="L142" i="316"/>
  <c r="G142" i="316"/>
  <c r="G141" i="316"/>
  <c r="G140" i="316"/>
  <c r="Q139" i="316"/>
  <c r="K139" i="316"/>
  <c r="M140" i="316" s="1"/>
  <c r="G139" i="316"/>
  <c r="G138" i="316"/>
  <c r="M137" i="316"/>
  <c r="T137" i="316" s="1"/>
  <c r="G137" i="316"/>
  <c r="L136" i="316"/>
  <c r="G136" i="316"/>
  <c r="Q135" i="316"/>
  <c r="L135" i="316"/>
  <c r="K135" i="316"/>
  <c r="M138" i="316" s="1"/>
  <c r="T138" i="316" s="1"/>
  <c r="G135" i="316"/>
  <c r="G134" i="316"/>
  <c r="G133" i="316"/>
  <c r="G132" i="316"/>
  <c r="Q131" i="316"/>
  <c r="K131" i="316"/>
  <c r="G131" i="316"/>
  <c r="G130" i="316"/>
  <c r="G129" i="316"/>
  <c r="M128" i="316"/>
  <c r="T128" i="316" s="1"/>
  <c r="G128" i="316"/>
  <c r="Q127" i="316"/>
  <c r="L127" i="316"/>
  <c r="K127" i="316"/>
  <c r="M129" i="316" s="1"/>
  <c r="T129" i="316" s="1"/>
  <c r="G127" i="316"/>
  <c r="G126" i="316"/>
  <c r="M125" i="316"/>
  <c r="G125" i="316"/>
  <c r="G124" i="316"/>
  <c r="Q123" i="316"/>
  <c r="L123" i="316"/>
  <c r="K123" i="316"/>
  <c r="M124" i="316" s="1"/>
  <c r="G123" i="316"/>
  <c r="G122" i="316"/>
  <c r="G121" i="316"/>
  <c r="G120" i="316"/>
  <c r="Q119" i="316"/>
  <c r="M119" i="316"/>
  <c r="T119" i="316" s="1"/>
  <c r="K119" i="316"/>
  <c r="M122" i="316" s="1"/>
  <c r="T122" i="316" s="1"/>
  <c r="G119" i="316"/>
  <c r="G118" i="316"/>
  <c r="G117" i="316"/>
  <c r="G116" i="316"/>
  <c r="Q115" i="316"/>
  <c r="K115" i="316"/>
  <c r="M116" i="316" s="1"/>
  <c r="T116" i="316" s="1"/>
  <c r="G115" i="316"/>
  <c r="G114" i="316"/>
  <c r="M113" i="316"/>
  <c r="G113" i="316"/>
  <c r="G112" i="316"/>
  <c r="Q111" i="316"/>
  <c r="K111" i="316"/>
  <c r="M114" i="316" s="1"/>
  <c r="G111" i="316"/>
  <c r="G110" i="316"/>
  <c r="G109" i="316"/>
  <c r="G108" i="316"/>
  <c r="Q107" i="316"/>
  <c r="K107" i="316"/>
  <c r="M108" i="316" s="1"/>
  <c r="T108" i="316" s="1"/>
  <c r="G107" i="316"/>
  <c r="G106" i="316"/>
  <c r="G105" i="316"/>
  <c r="G104" i="316"/>
  <c r="Q103" i="316"/>
  <c r="K103" i="316"/>
  <c r="M106" i="316" s="1"/>
  <c r="T106" i="316" s="1"/>
  <c r="G103" i="316"/>
  <c r="G102" i="316"/>
  <c r="M101" i="316"/>
  <c r="G101" i="316"/>
  <c r="G100" i="316"/>
  <c r="Q99" i="316"/>
  <c r="K99" i="316"/>
  <c r="M100" i="316" s="1"/>
  <c r="G99" i="316"/>
  <c r="L98" i="316"/>
  <c r="S98" i="316" s="1"/>
  <c r="G98" i="316"/>
  <c r="M97" i="316"/>
  <c r="T97" i="316" s="1"/>
  <c r="G97" i="316"/>
  <c r="L96" i="316"/>
  <c r="G96" i="316"/>
  <c r="Q95" i="316"/>
  <c r="L95" i="316"/>
  <c r="S95" i="316" s="1"/>
  <c r="K95" i="316"/>
  <c r="M98" i="316" s="1"/>
  <c r="G95" i="316"/>
  <c r="G94" i="316"/>
  <c r="G93" i="316"/>
  <c r="G92" i="316"/>
  <c r="Q91" i="316"/>
  <c r="L91" i="316"/>
  <c r="S91" i="316" s="1"/>
  <c r="K91" i="316"/>
  <c r="M92" i="316" s="1"/>
  <c r="G91" i="316"/>
  <c r="G90" i="316"/>
  <c r="M89" i="316"/>
  <c r="G89" i="316"/>
  <c r="G88" i="316"/>
  <c r="Q87" i="316"/>
  <c r="L87" i="316"/>
  <c r="S87" i="316" s="1"/>
  <c r="K87" i="316"/>
  <c r="M90" i="316" s="1"/>
  <c r="G87" i="316"/>
  <c r="G86" i="316"/>
  <c r="G85" i="316"/>
  <c r="G84" i="316"/>
  <c r="M83" i="316"/>
  <c r="K83" i="316"/>
  <c r="M84" i="316" s="1"/>
  <c r="G83" i="316"/>
  <c r="G82" i="316"/>
  <c r="M81" i="316"/>
  <c r="G81" i="316"/>
  <c r="G80" i="316"/>
  <c r="P79" i="316"/>
  <c r="Q83" i="316" s="1"/>
  <c r="M79" i="316"/>
  <c r="K79" i="316"/>
  <c r="M82" i="316" s="1"/>
  <c r="G79" i="316"/>
  <c r="G78" i="316"/>
  <c r="G77" i="316"/>
  <c r="G76" i="316"/>
  <c r="P75" i="316"/>
  <c r="L75" i="316"/>
  <c r="K75" i="316"/>
  <c r="L78" i="316" s="1"/>
  <c r="G75" i="316"/>
  <c r="G74" i="316"/>
  <c r="G73" i="316"/>
  <c r="G72" i="316"/>
  <c r="P71" i="316"/>
  <c r="K71" i="316"/>
  <c r="L74" i="316" s="1"/>
  <c r="G71" i="316"/>
  <c r="G70" i="316"/>
  <c r="G69" i="316"/>
  <c r="G68" i="316"/>
  <c r="P67" i="316"/>
  <c r="L67" i="316"/>
  <c r="K67" i="316"/>
  <c r="M69" i="316" s="1"/>
  <c r="G67" i="316"/>
  <c r="G66" i="316"/>
  <c r="L65" i="316"/>
  <c r="G65" i="316"/>
  <c r="M64" i="316"/>
  <c r="G64" i="316"/>
  <c r="P63" i="316"/>
  <c r="L63" i="316"/>
  <c r="K63" i="316"/>
  <c r="M66" i="316" s="1"/>
  <c r="G63" i="316"/>
  <c r="G62" i="316"/>
  <c r="G61" i="316"/>
  <c r="G60" i="316"/>
  <c r="P59" i="316"/>
  <c r="Q63" i="316" s="1"/>
  <c r="S65" i="316" s="1"/>
  <c r="K59" i="316"/>
  <c r="G59" i="316"/>
  <c r="G58" i="316"/>
  <c r="G57" i="316"/>
  <c r="L56" i="316"/>
  <c r="G56" i="316"/>
  <c r="P55" i="316"/>
  <c r="M55" i="316"/>
  <c r="L55" i="316"/>
  <c r="N55" i="316" s="1"/>
  <c r="K55" i="316"/>
  <c r="M57" i="316" s="1"/>
  <c r="G55" i="316"/>
  <c r="G54" i="316"/>
  <c r="M53" i="316"/>
  <c r="G53" i="316"/>
  <c r="G52" i="316"/>
  <c r="P51" i="316"/>
  <c r="M51" i="316"/>
  <c r="K51" i="316"/>
  <c r="M54" i="316" s="1"/>
  <c r="G51" i="316"/>
  <c r="G50" i="316"/>
  <c r="G49" i="316"/>
  <c r="G48" i="316"/>
  <c r="P47" i="316"/>
  <c r="L47" i="316"/>
  <c r="K47" i="316"/>
  <c r="L50" i="316" s="1"/>
  <c r="G47" i="316"/>
  <c r="G46" i="316"/>
  <c r="G45" i="316"/>
  <c r="G44" i="316"/>
  <c r="P43" i="316"/>
  <c r="K43" i="316"/>
  <c r="L46" i="316" s="1"/>
  <c r="G43" i="316"/>
  <c r="G42" i="316"/>
  <c r="G41" i="316"/>
  <c r="G40" i="316"/>
  <c r="P39" i="316"/>
  <c r="K39" i="316"/>
  <c r="M41" i="316" s="1"/>
  <c r="G39" i="316"/>
  <c r="G38" i="316"/>
  <c r="G37" i="316"/>
  <c r="G36" i="316"/>
  <c r="P35" i="316"/>
  <c r="Q39" i="316" s="1"/>
  <c r="K35" i="316"/>
  <c r="M37" i="316" s="1"/>
  <c r="G35" i="316"/>
  <c r="G34" i="316"/>
  <c r="G33" i="316"/>
  <c r="G32" i="316"/>
  <c r="P31" i="316"/>
  <c r="K31" i="316"/>
  <c r="M33" i="316" s="1"/>
  <c r="G31" i="316"/>
  <c r="G30" i="316"/>
  <c r="G29" i="316"/>
  <c r="G28" i="316"/>
  <c r="P27" i="316"/>
  <c r="Q31" i="316" s="1"/>
  <c r="K27" i="316"/>
  <c r="M29" i="316" s="1"/>
  <c r="G27" i="316"/>
  <c r="M26" i="316"/>
  <c r="G26" i="316"/>
  <c r="L25" i="316"/>
  <c r="G25" i="316"/>
  <c r="M24" i="316"/>
  <c r="G24" i="316"/>
  <c r="P23" i="316"/>
  <c r="L23" i="316"/>
  <c r="K23" i="316"/>
  <c r="M25" i="316" s="1"/>
  <c r="G23" i="316"/>
  <c r="M22" i="316"/>
  <c r="G22" i="316"/>
  <c r="L21" i="316"/>
  <c r="G21" i="316"/>
  <c r="M20" i="316"/>
  <c r="G20" i="316"/>
  <c r="P19" i="316"/>
  <c r="Q19" i="316" s="1"/>
  <c r="L19" i="316"/>
  <c r="K19" i="316"/>
  <c r="M21" i="316" s="1"/>
  <c r="G19" i="316"/>
  <c r="M18" i="316"/>
  <c r="G18" i="316"/>
  <c r="G17" i="316"/>
  <c r="M16" i="316"/>
  <c r="G16" i="316"/>
  <c r="P15" i="316"/>
  <c r="L15" i="316"/>
  <c r="K15" i="316"/>
  <c r="M17" i="316" s="1"/>
  <c r="G15" i="316"/>
  <c r="G14" i="316"/>
  <c r="B14" i="316"/>
  <c r="B18" i="316" s="1"/>
  <c r="B22" i="316" s="1"/>
  <c r="B26" i="316" s="1"/>
  <c r="B30" i="316" s="1"/>
  <c r="B34" i="316" s="1"/>
  <c r="B38" i="316" s="1"/>
  <c r="B42" i="316" s="1"/>
  <c r="B46" i="316" s="1"/>
  <c r="B50" i="316" s="1"/>
  <c r="B54" i="316" s="1"/>
  <c r="B58" i="316" s="1"/>
  <c r="B62" i="316" s="1"/>
  <c r="B66" i="316" s="1"/>
  <c r="B70" i="316" s="1"/>
  <c r="B74" i="316" s="1"/>
  <c r="B78" i="316" s="1"/>
  <c r="B82" i="316" s="1"/>
  <c r="B86" i="316" s="1"/>
  <c r="B90" i="316" s="1"/>
  <c r="B94" i="316" s="1"/>
  <c r="B98" i="316" s="1"/>
  <c r="B102" i="316" s="1"/>
  <c r="B106" i="316" s="1"/>
  <c r="B110" i="316" s="1"/>
  <c r="B114" i="316" s="1"/>
  <c r="B118" i="316" s="1"/>
  <c r="B122" i="316" s="1"/>
  <c r="B126" i="316" s="1"/>
  <c r="B130" i="316" s="1"/>
  <c r="B134" i="316" s="1"/>
  <c r="B138" i="316" s="1"/>
  <c r="B142" i="316" s="1"/>
  <c r="B146" i="316" s="1"/>
  <c r="B150" i="316" s="1"/>
  <c r="B154" i="316" s="1"/>
  <c r="B158" i="316" s="1"/>
  <c r="B162" i="316" s="1"/>
  <c r="B166" i="316" s="1"/>
  <c r="B170" i="316" s="1"/>
  <c r="B174" i="316" s="1"/>
  <c r="B178" i="316" s="1"/>
  <c r="B182" i="316" s="1"/>
  <c r="B186" i="316" s="1"/>
  <c r="B190" i="316" s="1"/>
  <c r="B194" i="316" s="1"/>
  <c r="B198" i="316" s="1"/>
  <c r="B202" i="316" s="1"/>
  <c r="A14" i="316"/>
  <c r="G13" i="316"/>
  <c r="B13" i="316"/>
  <c r="B17" i="316" s="1"/>
  <c r="B21" i="316" s="1"/>
  <c r="B25" i="316" s="1"/>
  <c r="B29" i="316" s="1"/>
  <c r="B33" i="316" s="1"/>
  <c r="B37" i="316" s="1"/>
  <c r="B41" i="316" s="1"/>
  <c r="B45" i="316" s="1"/>
  <c r="B49" i="316" s="1"/>
  <c r="B53" i="316" s="1"/>
  <c r="B57" i="316" s="1"/>
  <c r="B61" i="316" s="1"/>
  <c r="B65" i="316" s="1"/>
  <c r="B69" i="316" s="1"/>
  <c r="B73" i="316" s="1"/>
  <c r="B77" i="316" s="1"/>
  <c r="B81" i="316" s="1"/>
  <c r="B85" i="316" s="1"/>
  <c r="B89" i="316" s="1"/>
  <c r="B93" i="316" s="1"/>
  <c r="B97" i="316" s="1"/>
  <c r="B101" i="316" s="1"/>
  <c r="B105" i="316" s="1"/>
  <c r="B109" i="316" s="1"/>
  <c r="B113" i="316" s="1"/>
  <c r="B117" i="316" s="1"/>
  <c r="B121" i="316" s="1"/>
  <c r="B125" i="316" s="1"/>
  <c r="B129" i="316" s="1"/>
  <c r="B133" i="316" s="1"/>
  <c r="B137" i="316" s="1"/>
  <c r="B141" i="316" s="1"/>
  <c r="B145" i="316" s="1"/>
  <c r="B149" i="316" s="1"/>
  <c r="B153" i="316" s="1"/>
  <c r="B157" i="316" s="1"/>
  <c r="B161" i="316" s="1"/>
  <c r="B165" i="316" s="1"/>
  <c r="B169" i="316" s="1"/>
  <c r="B173" i="316" s="1"/>
  <c r="B177" i="316" s="1"/>
  <c r="B181" i="316" s="1"/>
  <c r="B185" i="316" s="1"/>
  <c r="B189" i="316" s="1"/>
  <c r="B193" i="316" s="1"/>
  <c r="B197" i="316" s="1"/>
  <c r="B201" i="316" s="1"/>
  <c r="A13" i="316"/>
  <c r="A17" i="316" s="1"/>
  <c r="A21" i="316" s="1"/>
  <c r="G12" i="316"/>
  <c r="B12" i="316"/>
  <c r="B16" i="316" s="1"/>
  <c r="B20" i="316" s="1"/>
  <c r="B24" i="316" s="1"/>
  <c r="B28" i="316" s="1"/>
  <c r="B32" i="316" s="1"/>
  <c r="B36" i="316" s="1"/>
  <c r="B40" i="316" s="1"/>
  <c r="B44" i="316" s="1"/>
  <c r="B48" i="316" s="1"/>
  <c r="B52" i="316" s="1"/>
  <c r="B56" i="316" s="1"/>
  <c r="B60" i="316" s="1"/>
  <c r="B64" i="316" s="1"/>
  <c r="B68" i="316" s="1"/>
  <c r="B72" i="316" s="1"/>
  <c r="B76" i="316" s="1"/>
  <c r="B80" i="316" s="1"/>
  <c r="B84" i="316" s="1"/>
  <c r="B88" i="316" s="1"/>
  <c r="B92" i="316" s="1"/>
  <c r="B96" i="316" s="1"/>
  <c r="B100" i="316" s="1"/>
  <c r="B104" i="316" s="1"/>
  <c r="B108" i="316" s="1"/>
  <c r="B112" i="316" s="1"/>
  <c r="B116" i="316" s="1"/>
  <c r="B120" i="316" s="1"/>
  <c r="B124" i="316" s="1"/>
  <c r="B128" i="316" s="1"/>
  <c r="B132" i="316" s="1"/>
  <c r="B136" i="316" s="1"/>
  <c r="B140" i="316" s="1"/>
  <c r="B144" i="316" s="1"/>
  <c r="B148" i="316" s="1"/>
  <c r="B152" i="316" s="1"/>
  <c r="B156" i="316" s="1"/>
  <c r="B160" i="316" s="1"/>
  <c r="B164" i="316" s="1"/>
  <c r="B168" i="316" s="1"/>
  <c r="B172" i="316" s="1"/>
  <c r="B176" i="316" s="1"/>
  <c r="B180" i="316" s="1"/>
  <c r="B184" i="316" s="1"/>
  <c r="B188" i="316" s="1"/>
  <c r="B192" i="316" s="1"/>
  <c r="B196" i="316" s="1"/>
  <c r="B200" i="316" s="1"/>
  <c r="A12" i="316"/>
  <c r="A16" i="316" s="1"/>
  <c r="P11" i="316"/>
  <c r="Q15" i="316" s="1"/>
  <c r="K11" i="316"/>
  <c r="G11" i="316"/>
  <c r="B11" i="316"/>
  <c r="B15" i="316" s="1"/>
  <c r="B19" i="316" s="1"/>
  <c r="B23" i="316" s="1"/>
  <c r="B27" i="316" s="1"/>
  <c r="B31" i="316" s="1"/>
  <c r="B35" i="316" s="1"/>
  <c r="B39" i="316" s="1"/>
  <c r="B43" i="316" s="1"/>
  <c r="B47" i="316" s="1"/>
  <c r="B51" i="316" s="1"/>
  <c r="B55" i="316" s="1"/>
  <c r="B59" i="316" s="1"/>
  <c r="B63" i="316" s="1"/>
  <c r="B67" i="316" s="1"/>
  <c r="B71" i="316" s="1"/>
  <c r="B75" i="316" s="1"/>
  <c r="B79" i="316" s="1"/>
  <c r="B83" i="316" s="1"/>
  <c r="B87" i="316" s="1"/>
  <c r="B91" i="316" s="1"/>
  <c r="B95" i="316" s="1"/>
  <c r="B99" i="316" s="1"/>
  <c r="B103" i="316" s="1"/>
  <c r="B107" i="316" s="1"/>
  <c r="B111" i="316" s="1"/>
  <c r="B115" i="316" s="1"/>
  <c r="B119" i="316" s="1"/>
  <c r="B123" i="316" s="1"/>
  <c r="B127" i="316" s="1"/>
  <c r="B131" i="316" s="1"/>
  <c r="B135" i="316" s="1"/>
  <c r="B139" i="316" s="1"/>
  <c r="B143" i="316" s="1"/>
  <c r="B147" i="316" s="1"/>
  <c r="B151" i="316" s="1"/>
  <c r="B155" i="316" s="1"/>
  <c r="B159" i="316" s="1"/>
  <c r="B163" i="316" s="1"/>
  <c r="B167" i="316" s="1"/>
  <c r="B171" i="316" s="1"/>
  <c r="B175" i="316" s="1"/>
  <c r="B179" i="316" s="1"/>
  <c r="B183" i="316" s="1"/>
  <c r="B187" i="316" s="1"/>
  <c r="B191" i="316" s="1"/>
  <c r="B195" i="316" s="1"/>
  <c r="B199" i="316" s="1"/>
  <c r="A11" i="316"/>
  <c r="A15" i="316" s="1"/>
  <c r="G10" i="316"/>
  <c r="D10" i="316"/>
  <c r="C10" i="316"/>
  <c r="V10" i="316" s="1"/>
  <c r="G9" i="316"/>
  <c r="D9" i="316"/>
  <c r="C9" i="316"/>
  <c r="V9" i="316" s="1"/>
  <c r="G8" i="316"/>
  <c r="D8" i="316"/>
  <c r="C8" i="316"/>
  <c r="V8" i="316" s="1"/>
  <c r="P7" i="316"/>
  <c r="K7" i="316"/>
  <c r="M9" i="316" s="1"/>
  <c r="G7" i="316"/>
  <c r="D7" i="316"/>
  <c r="D11" i="316" s="1"/>
  <c r="C7" i="316"/>
  <c r="V7" i="316" s="1"/>
  <c r="G6" i="316"/>
  <c r="C6" i="316"/>
  <c r="V6" i="316" s="1"/>
  <c r="G5" i="316"/>
  <c r="C5" i="316"/>
  <c r="V5" i="316" s="1"/>
  <c r="M4" i="316"/>
  <c r="G4" i="316"/>
  <c r="C4" i="316"/>
  <c r="V4" i="316" s="1"/>
  <c r="P3" i="316"/>
  <c r="Q3" i="316" s="1"/>
  <c r="K3" i="316"/>
  <c r="L4" i="316" s="1"/>
  <c r="G3" i="316"/>
  <c r="D3" i="316"/>
  <c r="C3" i="316"/>
  <c r="V3" i="316" s="1"/>
  <c r="P2" i="316"/>
  <c r="N220" i="316" l="1"/>
  <c r="N215" i="316"/>
  <c r="U222" i="316"/>
  <c r="N222" i="316"/>
  <c r="N221" i="316"/>
  <c r="U221" i="316"/>
  <c r="S220" i="316"/>
  <c r="U220" i="316" s="1"/>
  <c r="S219" i="316"/>
  <c r="U219" i="316" s="1"/>
  <c r="T218" i="316"/>
  <c r="U218" i="316" s="1"/>
  <c r="U217" i="316"/>
  <c r="N217" i="316"/>
  <c r="S216" i="316"/>
  <c r="U216" i="316" s="1"/>
  <c r="U215" i="316"/>
  <c r="U214" i="316"/>
  <c r="T213" i="316"/>
  <c r="U213" i="316" s="1"/>
  <c r="N212" i="316"/>
  <c r="U212" i="316"/>
  <c r="U211" i="316"/>
  <c r="N214" i="316"/>
  <c r="U210" i="316"/>
  <c r="T209" i="316"/>
  <c r="U209" i="316" s="1"/>
  <c r="N208" i="316"/>
  <c r="N207" i="316"/>
  <c r="S208" i="316"/>
  <c r="U208" i="316" s="1"/>
  <c r="S207" i="316"/>
  <c r="U207" i="316" s="1"/>
  <c r="U206" i="316"/>
  <c r="U205" i="316"/>
  <c r="S203" i="316"/>
  <c r="U203" i="316" s="1"/>
  <c r="B209" i="316"/>
  <c r="Q23" i="316"/>
  <c r="Q75" i="316"/>
  <c r="T21" i="316"/>
  <c r="Q67" i="316"/>
  <c r="S67" i="316" s="1"/>
  <c r="Q47" i="316"/>
  <c r="Q11" i="316"/>
  <c r="Q27" i="316"/>
  <c r="T29" i="316" s="1"/>
  <c r="Q35" i="316"/>
  <c r="T37" i="316" s="1"/>
  <c r="Q43" i="316"/>
  <c r="Q55" i="316"/>
  <c r="T58" i="316" s="1"/>
  <c r="T4" i="316"/>
  <c r="T33" i="316"/>
  <c r="Q7" i="316"/>
  <c r="L8" i="316"/>
  <c r="S8" i="316" s="1"/>
  <c r="L17" i="316"/>
  <c r="S17" i="316" s="1"/>
  <c r="T25" i="316"/>
  <c r="L27" i="316"/>
  <c r="M28" i="316"/>
  <c r="L31" i="316"/>
  <c r="S31" i="316" s="1"/>
  <c r="M32" i="316"/>
  <c r="T32" i="316" s="1"/>
  <c r="L35" i="316"/>
  <c r="M36" i="316"/>
  <c r="L39" i="316"/>
  <c r="S39" i="316" s="1"/>
  <c r="M40" i="316"/>
  <c r="T40" i="316" s="1"/>
  <c r="Q51" i="316"/>
  <c r="L49" i="316"/>
  <c r="L52" i="316"/>
  <c r="S52" i="316" s="1"/>
  <c r="M56" i="316"/>
  <c r="M58" i="316"/>
  <c r="M67" i="316"/>
  <c r="M68" i="316"/>
  <c r="Q79" i="316"/>
  <c r="T82" i="316" s="1"/>
  <c r="L77" i="316"/>
  <c r="L80" i="316"/>
  <c r="M85" i="316"/>
  <c r="T90" i="316"/>
  <c r="L88" i="316"/>
  <c r="L90" i="316"/>
  <c r="S90" i="316" s="1"/>
  <c r="U90" i="316" s="1"/>
  <c r="M91" i="316"/>
  <c r="T91" i="316" s="1"/>
  <c r="U91" i="316" s="1"/>
  <c r="L92" i="316"/>
  <c r="S92" i="316" s="1"/>
  <c r="L94" i="316"/>
  <c r="L103" i="316"/>
  <c r="S103" i="316" s="1"/>
  <c r="L104" i="316"/>
  <c r="L106" i="316"/>
  <c r="L107" i="316"/>
  <c r="S107" i="316" s="1"/>
  <c r="L115" i="316"/>
  <c r="S115" i="316" s="1"/>
  <c r="M121" i="316"/>
  <c r="T121" i="316" s="1"/>
  <c r="T124" i="316"/>
  <c r="L124" i="316"/>
  <c r="S124" i="316" s="1"/>
  <c r="L126" i="316"/>
  <c r="M127" i="316"/>
  <c r="T127" i="316" s="1"/>
  <c r="M135" i="316"/>
  <c r="T135" i="316" s="1"/>
  <c r="M136" i="316"/>
  <c r="T136" i="316" s="1"/>
  <c r="M144" i="316"/>
  <c r="T144" i="316" s="1"/>
  <c r="M159" i="316"/>
  <c r="T159" i="316" s="1"/>
  <c r="L175" i="316"/>
  <c r="M182" i="316"/>
  <c r="T182" i="316" s="1"/>
  <c r="M183" i="316"/>
  <c r="T183" i="316" s="1"/>
  <c r="L184" i="316"/>
  <c r="S184" i="316" s="1"/>
  <c r="U184" i="316" s="1"/>
  <c r="L191" i="316"/>
  <c r="L110" i="316"/>
  <c r="S110" i="316" s="1"/>
  <c r="T113" i="316"/>
  <c r="L116" i="316"/>
  <c r="S116" i="316" s="1"/>
  <c r="N135" i="316"/>
  <c r="M160" i="316"/>
  <c r="T160" i="316" s="1"/>
  <c r="C12" i="316"/>
  <c r="V12" i="316" s="1"/>
  <c r="C13" i="316"/>
  <c r="V13" i="316" s="1"/>
  <c r="S19" i="316"/>
  <c r="T20" i="316"/>
  <c r="M30" i="316"/>
  <c r="T30" i="316" s="1"/>
  <c r="M34" i="316"/>
  <c r="T34" i="316" s="1"/>
  <c r="M38" i="316"/>
  <c r="M42" i="316"/>
  <c r="T42" i="316" s="1"/>
  <c r="Q59" i="316"/>
  <c r="M70" i="316"/>
  <c r="T100" i="316"/>
  <c r="L100" i="316"/>
  <c r="S100" i="316" s="1"/>
  <c r="L102" i="316"/>
  <c r="S102" i="316" s="1"/>
  <c r="M109" i="316"/>
  <c r="T109" i="316" s="1"/>
  <c r="T114" i="316"/>
  <c r="L112" i="316"/>
  <c r="L114" i="316"/>
  <c r="S114" i="316" s="1"/>
  <c r="U114" i="316" s="1"/>
  <c r="M117" i="316"/>
  <c r="T117" i="316" s="1"/>
  <c r="S123" i="316"/>
  <c r="M156" i="316"/>
  <c r="M158" i="316"/>
  <c r="T158" i="316" s="1"/>
  <c r="T170" i="316"/>
  <c r="M168" i="316"/>
  <c r="T168" i="316" s="1"/>
  <c r="T174" i="316"/>
  <c r="L174" i="316"/>
  <c r="S174" i="316" s="1"/>
  <c r="U174" i="316" s="1"/>
  <c r="M175" i="316"/>
  <c r="T175" i="316" s="1"/>
  <c r="L176" i="316"/>
  <c r="M177" i="316"/>
  <c r="T177" i="316" s="1"/>
  <c r="M184" i="316"/>
  <c r="T184" i="316" s="1"/>
  <c r="L186" i="316"/>
  <c r="S186" i="316" s="1"/>
  <c r="M191" i="316"/>
  <c r="T191" i="316" s="1"/>
  <c r="L192" i="316"/>
  <c r="M193" i="316"/>
  <c r="T193" i="316" s="1"/>
  <c r="S21" i="316"/>
  <c r="T41" i="316"/>
  <c r="T101" i="316"/>
  <c r="L108" i="316"/>
  <c r="S108" i="316" s="1"/>
  <c r="U108" i="316" s="1"/>
  <c r="L118" i="316"/>
  <c r="L178" i="316"/>
  <c r="L194" i="316"/>
  <c r="M6" i="316"/>
  <c r="T6" i="316" s="1"/>
  <c r="L9" i="316"/>
  <c r="S9" i="316" s="1"/>
  <c r="L3" i="316"/>
  <c r="L5" i="316"/>
  <c r="S5" i="316" s="1"/>
  <c r="L7" i="316"/>
  <c r="N7" i="316" s="1"/>
  <c r="L10" i="316"/>
  <c r="S10" i="316" s="1"/>
  <c r="T22" i="316"/>
  <c r="L29" i="316"/>
  <c r="L33" i="316"/>
  <c r="L37" i="316"/>
  <c r="L41" i="316"/>
  <c r="M48" i="316"/>
  <c r="M50" i="316"/>
  <c r="N50" i="316" s="1"/>
  <c r="S56" i="316"/>
  <c r="T53" i="316"/>
  <c r="L57" i="316"/>
  <c r="N57" i="316" s="1"/>
  <c r="T69" i="316"/>
  <c r="L69" i="316"/>
  <c r="N69" i="316" s="1"/>
  <c r="M76" i="316"/>
  <c r="M78" i="316"/>
  <c r="T81" i="316"/>
  <c r="L83" i="316"/>
  <c r="N83" i="316" s="1"/>
  <c r="L84" i="316"/>
  <c r="L86" i="316"/>
  <c r="T89" i="316"/>
  <c r="M93" i="316"/>
  <c r="T93" i="316" s="1"/>
  <c r="L99" i="316"/>
  <c r="S99" i="316" s="1"/>
  <c r="M105" i="316"/>
  <c r="T105" i="316" s="1"/>
  <c r="L111" i="316"/>
  <c r="S111" i="316" s="1"/>
  <c r="L119" i="316"/>
  <c r="L120" i="316"/>
  <c r="L122" i="316"/>
  <c r="S122" i="316" s="1"/>
  <c r="U122" i="316" s="1"/>
  <c r="T125" i="316"/>
  <c r="T140" i="316"/>
  <c r="L143" i="316"/>
  <c r="M167" i="316"/>
  <c r="T167" i="316" s="1"/>
  <c r="L171" i="316"/>
  <c r="S171" i="316" s="1"/>
  <c r="U171" i="316" s="1"/>
  <c r="M173" i="316"/>
  <c r="T173" i="316" s="1"/>
  <c r="M176" i="316"/>
  <c r="T176" i="316" s="1"/>
  <c r="M192" i="316"/>
  <c r="T192" i="316" s="1"/>
  <c r="L199" i="316"/>
  <c r="N199" i="316" s="1"/>
  <c r="L200" i="316"/>
  <c r="M201" i="316"/>
  <c r="T201" i="316" s="1"/>
  <c r="D15" i="316"/>
  <c r="C15" i="316"/>
  <c r="V15" i="316" s="1"/>
  <c r="A19" i="316"/>
  <c r="S4" i="316"/>
  <c r="N4" i="316"/>
  <c r="T9" i="316"/>
  <c r="U9" i="316" s="1"/>
  <c r="N9" i="316"/>
  <c r="A25" i="316"/>
  <c r="C21" i="316"/>
  <c r="V21" i="316" s="1"/>
  <c r="M13" i="316"/>
  <c r="T13" i="316" s="1"/>
  <c r="L12" i="316"/>
  <c r="M11" i="316"/>
  <c r="T11" i="316" s="1"/>
  <c r="L14" i="316"/>
  <c r="A20" i="316"/>
  <c r="C16" i="316"/>
  <c r="V16" i="316" s="1"/>
  <c r="T56" i="316"/>
  <c r="S78" i="316"/>
  <c r="N78" i="316"/>
  <c r="N119" i="316"/>
  <c r="S119" i="316"/>
  <c r="U119" i="316" s="1"/>
  <c r="M3" i="316"/>
  <c r="T3" i="316" s="1"/>
  <c r="S3" i="316"/>
  <c r="M5" i="316"/>
  <c r="T5" i="316" s="1"/>
  <c r="L6" i="316"/>
  <c r="M7" i="316"/>
  <c r="T7" i="316" s="1"/>
  <c r="M8" i="316"/>
  <c r="T8" i="316" s="1"/>
  <c r="U8" i="316" s="1"/>
  <c r="M10" i="316"/>
  <c r="T10" i="316" s="1"/>
  <c r="C11" i="316"/>
  <c r="V11" i="316" s="1"/>
  <c r="L11" i="316"/>
  <c r="S15" i="316"/>
  <c r="T16" i="316"/>
  <c r="C17" i="316"/>
  <c r="V17" i="316" s="1"/>
  <c r="T17" i="316"/>
  <c r="T18" i="316"/>
  <c r="S25" i="316"/>
  <c r="M44" i="316"/>
  <c r="T44" i="316" s="1"/>
  <c r="M45" i="316"/>
  <c r="T45" i="316" s="1"/>
  <c r="L44" i="316"/>
  <c r="M43" i="316"/>
  <c r="T43" i="316" s="1"/>
  <c r="M46" i="316"/>
  <c r="T46" i="316" s="1"/>
  <c r="L45" i="316"/>
  <c r="L43" i="316"/>
  <c r="S47" i="316"/>
  <c r="T64" i="316"/>
  <c r="S83" i="316"/>
  <c r="T92" i="316"/>
  <c r="U92" i="316" s="1"/>
  <c r="N92" i="316"/>
  <c r="T98" i="316"/>
  <c r="N98" i="316"/>
  <c r="M12" i="316"/>
  <c r="T12" i="316" s="1"/>
  <c r="S46" i="316"/>
  <c r="N46" i="316"/>
  <c r="M60" i="316"/>
  <c r="T60" i="316" s="1"/>
  <c r="M61" i="316"/>
  <c r="L60" i="316"/>
  <c r="M59" i="316"/>
  <c r="M62" i="316"/>
  <c r="T62" i="316" s="1"/>
  <c r="L61" i="316"/>
  <c r="L59" i="316"/>
  <c r="M14" i="316"/>
  <c r="T14" i="316" s="1"/>
  <c r="U21" i="316"/>
  <c r="N25" i="316"/>
  <c r="T48" i="316"/>
  <c r="S49" i="316"/>
  <c r="T50" i="316"/>
  <c r="T54" i="316"/>
  <c r="S50" i="316"/>
  <c r="S55" i="316"/>
  <c r="T55" i="316"/>
  <c r="S57" i="316"/>
  <c r="S63" i="316"/>
  <c r="N5" i="316"/>
  <c r="N10" i="316"/>
  <c r="L13" i="316"/>
  <c r="C14" i="316"/>
  <c r="V14" i="316" s="1"/>
  <c r="N21" i="316"/>
  <c r="S23" i="316"/>
  <c r="T24" i="316"/>
  <c r="T26" i="316"/>
  <c r="T51" i="316"/>
  <c r="T57" i="316"/>
  <c r="N56" i="316"/>
  <c r="L62" i="316"/>
  <c r="T66" i="316"/>
  <c r="N67" i="316"/>
  <c r="S88" i="316"/>
  <c r="S94" i="316"/>
  <c r="S112" i="316"/>
  <c r="N116" i="316"/>
  <c r="A18" i="316"/>
  <c r="L18" i="316"/>
  <c r="L22" i="316"/>
  <c r="L26" i="316"/>
  <c r="L30" i="316"/>
  <c r="L34" i="316"/>
  <c r="L38" i="316"/>
  <c r="L42" i="316"/>
  <c r="M47" i="316"/>
  <c r="T47" i="316" s="1"/>
  <c r="L48" i="316"/>
  <c r="M49" i="316"/>
  <c r="T49" i="316" s="1"/>
  <c r="M52" i="316"/>
  <c r="T52" i="316" s="1"/>
  <c r="L58" i="316"/>
  <c r="M63" i="316"/>
  <c r="T63" i="316" s="1"/>
  <c r="L64" i="316"/>
  <c r="L66" i="316"/>
  <c r="M72" i="316"/>
  <c r="M73" i="316"/>
  <c r="L72" i="316"/>
  <c r="M71" i="316"/>
  <c r="M74" i="316"/>
  <c r="N74" i="316" s="1"/>
  <c r="L73" i="316"/>
  <c r="L71" i="316"/>
  <c r="N75" i="316"/>
  <c r="S75" i="316"/>
  <c r="T83" i="316"/>
  <c r="N90" i="316"/>
  <c r="U100" i="316"/>
  <c r="U124" i="316"/>
  <c r="S126" i="316"/>
  <c r="S127" i="316"/>
  <c r="S136" i="316"/>
  <c r="U136" i="316" s="1"/>
  <c r="N136" i="316"/>
  <c r="L54" i="316"/>
  <c r="T76" i="316"/>
  <c r="S77" i="316"/>
  <c r="T78" i="316"/>
  <c r="S84" i="316"/>
  <c r="T85" i="316"/>
  <c r="S86" i="316"/>
  <c r="S96" i="316"/>
  <c r="U98" i="316"/>
  <c r="N100" i="316"/>
  <c r="S120" i="316"/>
  <c r="N124" i="316"/>
  <c r="S142" i="316"/>
  <c r="U142" i="316" s="1"/>
  <c r="M15" i="316"/>
  <c r="L16" i="316"/>
  <c r="M19" i="316"/>
  <c r="T19" i="316" s="1"/>
  <c r="L20" i="316"/>
  <c r="M23" i="316"/>
  <c r="L24" i="316"/>
  <c r="M27" i="316"/>
  <c r="L28" i="316"/>
  <c r="M31" i="316"/>
  <c r="L32" i="316"/>
  <c r="M35" i="316"/>
  <c r="L36" i="316"/>
  <c r="M39" i="316"/>
  <c r="L40" i="316"/>
  <c r="L51" i="316"/>
  <c r="L53" i="316"/>
  <c r="M65" i="316"/>
  <c r="T65" i="316" s="1"/>
  <c r="U65" i="316" s="1"/>
  <c r="Q71" i="316"/>
  <c r="S74" i="316" s="1"/>
  <c r="T84" i="316"/>
  <c r="N84" i="316"/>
  <c r="S104" i="316"/>
  <c r="U116" i="316"/>
  <c r="S118" i="316"/>
  <c r="N122" i="316"/>
  <c r="L70" i="316"/>
  <c r="M75" i="316"/>
  <c r="T75" i="316" s="1"/>
  <c r="L76" i="316"/>
  <c r="M77" i="316"/>
  <c r="T77" i="316" s="1"/>
  <c r="M80" i="316"/>
  <c r="L85" i="316"/>
  <c r="M86" i="316"/>
  <c r="T86" i="316" s="1"/>
  <c r="M87" i="316"/>
  <c r="T87" i="316" s="1"/>
  <c r="U87" i="316" s="1"/>
  <c r="M88" i="316"/>
  <c r="T88" i="316" s="1"/>
  <c r="L93" i="316"/>
  <c r="M94" i="316"/>
  <c r="T94" i="316" s="1"/>
  <c r="M95" i="316"/>
  <c r="T95" i="316" s="1"/>
  <c r="U95" i="316" s="1"/>
  <c r="M96" i="316"/>
  <c r="T96" i="316" s="1"/>
  <c r="L101" i="316"/>
  <c r="M102" i="316"/>
  <c r="T102" i="316" s="1"/>
  <c r="M103" i="316"/>
  <c r="T103" i="316" s="1"/>
  <c r="U103" i="316" s="1"/>
  <c r="M104" i="316"/>
  <c r="T104" i="316" s="1"/>
  <c r="L109" i="316"/>
  <c r="M110" i="316"/>
  <c r="T110" i="316" s="1"/>
  <c r="M111" i="316"/>
  <c r="T111" i="316" s="1"/>
  <c r="U111" i="316" s="1"/>
  <c r="M112" i="316"/>
  <c r="T112" i="316" s="1"/>
  <c r="L117" i="316"/>
  <c r="M118" i="316"/>
  <c r="T118" i="316" s="1"/>
  <c r="M120" i="316"/>
  <c r="T120" i="316" s="1"/>
  <c r="L125" i="316"/>
  <c r="M126" i="316"/>
  <c r="T126" i="316" s="1"/>
  <c r="M132" i="316"/>
  <c r="T132" i="316" s="1"/>
  <c r="M131" i="316"/>
  <c r="T131" i="316" s="1"/>
  <c r="M133" i="316"/>
  <c r="T133" i="316" s="1"/>
  <c r="L132" i="316"/>
  <c r="L131" i="316"/>
  <c r="M134" i="316"/>
  <c r="T134" i="316" s="1"/>
  <c r="L133" i="316"/>
  <c r="L134" i="316"/>
  <c r="S135" i="316"/>
  <c r="U135" i="316" s="1"/>
  <c r="S157" i="316"/>
  <c r="L82" i="316"/>
  <c r="L68" i="316"/>
  <c r="L79" i="316"/>
  <c r="L81" i="316"/>
  <c r="L89" i="316"/>
  <c r="L97" i="316"/>
  <c r="M99" i="316"/>
  <c r="L105" i="316"/>
  <c r="M107" i="316"/>
  <c r="L113" i="316"/>
  <c r="M115" i="316"/>
  <c r="L121" i="316"/>
  <c r="M123" i="316"/>
  <c r="M130" i="316"/>
  <c r="T130" i="316" s="1"/>
  <c r="L129" i="316"/>
  <c r="L130" i="316"/>
  <c r="L128" i="316"/>
  <c r="S144" i="316"/>
  <c r="U144" i="316" s="1"/>
  <c r="N144" i="316"/>
  <c r="L166" i="316"/>
  <c r="M164" i="316"/>
  <c r="T164" i="316" s="1"/>
  <c r="M163" i="316"/>
  <c r="T163" i="316" s="1"/>
  <c r="M165" i="316"/>
  <c r="T165" i="316" s="1"/>
  <c r="L164" i="316"/>
  <c r="L163" i="316"/>
  <c r="M166" i="316"/>
  <c r="T166" i="316" s="1"/>
  <c r="L165" i="316"/>
  <c r="L141" i="316"/>
  <c r="M142" i="316"/>
  <c r="T142" i="316" s="1"/>
  <c r="L149" i="316"/>
  <c r="T152" i="316"/>
  <c r="T154" i="316"/>
  <c r="N174" i="316"/>
  <c r="N175" i="316"/>
  <c r="S175" i="316"/>
  <c r="U175" i="316" s="1"/>
  <c r="S189" i="316"/>
  <c r="L138" i="316"/>
  <c r="L139" i="316"/>
  <c r="L140" i="316"/>
  <c r="M141" i="316"/>
  <c r="T141" i="316" s="1"/>
  <c r="L146" i="316"/>
  <c r="L147" i="316"/>
  <c r="L148" i="316"/>
  <c r="M149" i="316"/>
  <c r="T149" i="316" s="1"/>
  <c r="M150" i="316"/>
  <c r="T150" i="316" s="1"/>
  <c r="U150" i="316" s="1"/>
  <c r="M153" i="316"/>
  <c r="T153" i="316" s="1"/>
  <c r="L152" i="316"/>
  <c r="L151" i="316"/>
  <c r="L154" i="316"/>
  <c r="T156" i="316"/>
  <c r="S176" i="316"/>
  <c r="U176" i="316" s="1"/>
  <c r="N176" i="316"/>
  <c r="L137" i="316"/>
  <c r="M139" i="316"/>
  <c r="T139" i="316" s="1"/>
  <c r="L145" i="316"/>
  <c r="M147" i="316"/>
  <c r="T147" i="316" s="1"/>
  <c r="M148" i="316"/>
  <c r="T148" i="316" s="1"/>
  <c r="M151" i="316"/>
  <c r="T151" i="316" s="1"/>
  <c r="L153" i="316"/>
  <c r="L158" i="316"/>
  <c r="M157" i="316"/>
  <c r="T157" i="316" s="1"/>
  <c r="L156" i="316"/>
  <c r="L155" i="316"/>
  <c r="S182" i="316"/>
  <c r="U182" i="316" s="1"/>
  <c r="N182" i="316"/>
  <c r="T186" i="316"/>
  <c r="U186" i="316" s="1"/>
  <c r="N186" i="316"/>
  <c r="U183" i="316"/>
  <c r="M188" i="316"/>
  <c r="T188" i="316" s="1"/>
  <c r="M187" i="316"/>
  <c r="T187" i="316" s="1"/>
  <c r="M189" i="316"/>
  <c r="T189" i="316" s="1"/>
  <c r="L188" i="316"/>
  <c r="L187" i="316"/>
  <c r="M190" i="316"/>
  <c r="T190" i="316" s="1"/>
  <c r="L190" i="316"/>
  <c r="L162" i="316"/>
  <c r="L172" i="316"/>
  <c r="L173" i="316"/>
  <c r="N183" i="316"/>
  <c r="N184" i="316"/>
  <c r="S191" i="316"/>
  <c r="U191" i="316" s="1"/>
  <c r="M196" i="316"/>
  <c r="T196" i="316" s="1"/>
  <c r="M195" i="316"/>
  <c r="T195" i="316" s="1"/>
  <c r="M197" i="316"/>
  <c r="T197" i="316" s="1"/>
  <c r="L196" i="316"/>
  <c r="L195" i="316"/>
  <c r="M198" i="316"/>
  <c r="T198" i="316" s="1"/>
  <c r="L197" i="316"/>
  <c r="Q235" i="316"/>
  <c r="Q236" i="316" s="1"/>
  <c r="U200" i="316"/>
  <c r="N200" i="316"/>
  <c r="Q241" i="316"/>
  <c r="L161" i="316"/>
  <c r="M162" i="316"/>
  <c r="T162" i="316" s="1"/>
  <c r="L169" i="316"/>
  <c r="S192" i="316"/>
  <c r="U192" i="316" s="1"/>
  <c r="N192" i="316"/>
  <c r="L198" i="316"/>
  <c r="T235" i="316"/>
  <c r="T236" i="316" s="1"/>
  <c r="L159" i="316"/>
  <c r="L160" i="316"/>
  <c r="L167" i="316"/>
  <c r="L168" i="316"/>
  <c r="M169" i="316"/>
  <c r="T169" i="316" s="1"/>
  <c r="L170" i="316"/>
  <c r="M172" i="316"/>
  <c r="T172" i="316" s="1"/>
  <c r="M171" i="316"/>
  <c r="T171" i="316" s="1"/>
  <c r="M180" i="316"/>
  <c r="T180" i="316" s="1"/>
  <c r="M179" i="316"/>
  <c r="T179" i="316" s="1"/>
  <c r="M181" i="316"/>
  <c r="T181" i="316" s="1"/>
  <c r="L180" i="316"/>
  <c r="L179" i="316"/>
  <c r="L181" i="316"/>
  <c r="K235" i="316"/>
  <c r="K236" i="316" s="1"/>
  <c r="Q242" i="316"/>
  <c r="Q243" i="316" s="1"/>
  <c r="Q244" i="316" s="1"/>
  <c r="L202" i="316"/>
  <c r="L177" i="316"/>
  <c r="L185" i="316"/>
  <c r="L193" i="316"/>
  <c r="L201" i="316"/>
  <c r="B11" i="315"/>
  <c r="D11" i="315"/>
  <c r="B15" i="315"/>
  <c r="D15" i="315"/>
  <c r="B27" i="315"/>
  <c r="B29" i="315"/>
  <c r="B35" i="315"/>
  <c r="B39" i="315" s="1"/>
  <c r="B36" i="315"/>
  <c r="B37" i="315"/>
  <c r="D3" i="314"/>
  <c r="D4" i="314"/>
  <c r="D6" i="314"/>
  <c r="B8" i="314"/>
  <c r="D8" i="314"/>
  <c r="C8" i="314" s="1"/>
  <c r="B14" i="314"/>
  <c r="B17" i="314"/>
  <c r="B22" i="314"/>
  <c r="F5" i="313"/>
  <c r="F6" i="313"/>
  <c r="F7" i="313"/>
  <c r="B8" i="313"/>
  <c r="D8" i="313"/>
  <c r="F8" i="313" s="1"/>
  <c r="F10" i="313"/>
  <c r="F11" i="313"/>
  <c r="F12" i="313"/>
  <c r="B13" i="313"/>
  <c r="F13" i="313" s="1"/>
  <c r="D13" i="313"/>
  <c r="B15" i="313"/>
  <c r="D5" i="312"/>
  <c r="D6" i="312"/>
  <c r="D9" i="312"/>
  <c r="W24" i="312"/>
  <c r="M25" i="312"/>
  <c r="E5" i="312" s="1"/>
  <c r="W25" i="312"/>
  <c r="M26" i="312"/>
  <c r="W26" i="312"/>
  <c r="K27" i="312"/>
  <c r="D7" i="312" s="1"/>
  <c r="U27" i="312"/>
  <c r="M28" i="312"/>
  <c r="O28" i="312" s="1"/>
  <c r="W29" i="312"/>
  <c r="M30" i="312"/>
  <c r="E9" i="312" s="1"/>
  <c r="O30" i="312"/>
  <c r="F9" i="312" s="1"/>
  <c r="U31" i="312"/>
  <c r="U32" i="312"/>
  <c r="L35" i="312"/>
  <c r="O35" i="312"/>
  <c r="U35" i="312"/>
  <c r="U36" i="312"/>
  <c r="U38" i="312"/>
  <c r="O39" i="312"/>
  <c r="B6" i="311"/>
  <c r="D6" i="311"/>
  <c r="D10" i="311" s="1"/>
  <c r="I15" i="311" s="1"/>
  <c r="B7" i="311"/>
  <c r="D7" i="311"/>
  <c r="D16" i="311" s="1"/>
  <c r="D17" i="311" s="1"/>
  <c r="D20" i="311" s="1"/>
  <c r="B8" i="311"/>
  <c r="D8" i="311"/>
  <c r="B9" i="311"/>
  <c r="D9" i="311"/>
  <c r="H9" i="311"/>
  <c r="B10" i="311"/>
  <c r="F10" i="311" s="1"/>
  <c r="H10" i="311"/>
  <c r="H15" i="311"/>
  <c r="B16" i="311"/>
  <c r="B17" i="311"/>
  <c r="B19" i="311"/>
  <c r="D19" i="311"/>
  <c r="B20" i="311"/>
  <c r="H22" i="311"/>
  <c r="I22" i="311"/>
  <c r="H23" i="311"/>
  <c r="H26" i="311" s="1"/>
  <c r="H30" i="311" s="1"/>
  <c r="I23" i="311"/>
  <c r="I26" i="311" s="1"/>
  <c r="H29" i="311"/>
  <c r="H36" i="311"/>
  <c r="H41" i="311"/>
  <c r="B7" i="309"/>
  <c r="D11" i="309"/>
  <c r="D13" i="309"/>
  <c r="B16" i="309"/>
  <c r="D16" i="309"/>
  <c r="F17" i="309"/>
  <c r="F5" i="308"/>
  <c r="I5" i="308"/>
  <c r="F6" i="308"/>
  <c r="I6" i="308"/>
  <c r="F7" i="308"/>
  <c r="I7" i="308"/>
  <c r="B8" i="308"/>
  <c r="F8" i="308" s="1"/>
  <c r="D8" i="308"/>
  <c r="H8" i="308"/>
  <c r="I8" i="308" s="1"/>
  <c r="F10" i="308"/>
  <c r="I10" i="308"/>
  <c r="I11" i="308"/>
  <c r="F12" i="308"/>
  <c r="I12" i="308"/>
  <c r="B13" i="308"/>
  <c r="B15" i="308" s="1"/>
  <c r="D13" i="308"/>
  <c r="D15" i="308" s="1"/>
  <c r="I15" i="308" s="1"/>
  <c r="I24" i="308" s="1"/>
  <c r="H13" i="308"/>
  <c r="I13" i="308"/>
  <c r="H15" i="308"/>
  <c r="B6" i="306"/>
  <c r="B7" i="306"/>
  <c r="B16" i="306" s="1"/>
  <c r="B17" i="306" s="1"/>
  <c r="B8" i="306"/>
  <c r="B9" i="306"/>
  <c r="F9" i="306"/>
  <c r="B10" i="306"/>
  <c r="E15" i="306" s="1"/>
  <c r="F10" i="306"/>
  <c r="B19" i="306"/>
  <c r="B20" i="306" s="1"/>
  <c r="F5" i="305"/>
  <c r="F6" i="305"/>
  <c r="F7" i="305"/>
  <c r="B8" i="305"/>
  <c r="D8" i="305"/>
  <c r="D15" i="305" s="1"/>
  <c r="D17" i="305" s="1"/>
  <c r="F10" i="305"/>
  <c r="F11" i="305"/>
  <c r="F12" i="305"/>
  <c r="B13" i="305"/>
  <c r="F13" i="305" s="1"/>
  <c r="D13" i="305"/>
  <c r="B14" i="304"/>
  <c r="C14" i="304"/>
  <c r="B7" i="302"/>
  <c r="B8" i="302" s="1"/>
  <c r="G7" i="302"/>
  <c r="G8" i="302" s="1"/>
  <c r="B9" i="302"/>
  <c r="B13" i="302"/>
  <c r="B16" i="302" s="1"/>
  <c r="D13" i="302"/>
  <c r="D16" i="302" s="1"/>
  <c r="D5" i="302" s="1"/>
  <c r="E13" i="302"/>
  <c r="H13" i="302"/>
  <c r="B14" i="302"/>
  <c r="D14" i="302"/>
  <c r="E14" i="302"/>
  <c r="E16" i="302"/>
  <c r="E5" i="302" s="1"/>
  <c r="B22" i="302"/>
  <c r="D22" i="302"/>
  <c r="E22" i="302"/>
  <c r="H22" i="302"/>
  <c r="H25" i="302" s="1"/>
  <c r="H26" i="302" s="1"/>
  <c r="B25" i="302"/>
  <c r="D25" i="302" s="1"/>
  <c r="B26" i="302"/>
  <c r="B28" i="302"/>
  <c r="D28" i="302"/>
  <c r="E28" i="302"/>
  <c r="H28" i="302"/>
  <c r="H30" i="302" s="1"/>
  <c r="B29" i="302"/>
  <c r="D29" i="302"/>
  <c r="E29" i="302"/>
  <c r="H29" i="302"/>
  <c r="B30" i="302"/>
  <c r="D30" i="302"/>
  <c r="E30" i="302"/>
  <c r="B33" i="302"/>
  <c r="B38" i="302"/>
  <c r="E38" i="302"/>
  <c r="D42" i="302"/>
  <c r="E42" i="302"/>
  <c r="D49" i="302"/>
  <c r="E49" i="302"/>
  <c r="D55" i="302"/>
  <c r="E55" i="302"/>
  <c r="P30" i="300"/>
  <c r="Q30" i="300"/>
  <c r="P41" i="300"/>
  <c r="Q41" i="300"/>
  <c r="P116" i="300"/>
  <c r="Q116" i="300"/>
  <c r="P119" i="300"/>
  <c r="Q119" i="300"/>
  <c r="P130" i="300"/>
  <c r="Q130" i="300"/>
  <c r="O8" i="299"/>
  <c r="P8" i="299"/>
  <c r="Q8" i="299"/>
  <c r="P22" i="299"/>
  <c r="Q22" i="299"/>
  <c r="O33" i="299"/>
  <c r="P33" i="299"/>
  <c r="Q33" i="299"/>
  <c r="P117" i="299"/>
  <c r="Q117" i="299"/>
  <c r="P137" i="299"/>
  <c r="Q137" i="299"/>
  <c r="H6" i="298"/>
  <c r="I6" i="298"/>
  <c r="H7" i="298"/>
  <c r="I7" i="298"/>
  <c r="H8" i="298"/>
  <c r="I8" i="298"/>
  <c r="H9" i="298"/>
  <c r="I9" i="298"/>
  <c r="H10" i="298"/>
  <c r="I10" i="298"/>
  <c r="H11" i="298"/>
  <c r="I11" i="298"/>
  <c r="H12" i="298"/>
  <c r="I12" i="298"/>
  <c r="H13" i="298"/>
  <c r="I13" i="298"/>
  <c r="H14" i="298"/>
  <c r="I14" i="298"/>
  <c r="H15" i="298"/>
  <c r="I15" i="298"/>
  <c r="H16" i="298"/>
  <c r="I16" i="298"/>
  <c r="H17" i="298"/>
  <c r="I17" i="298"/>
  <c r="H18" i="298"/>
  <c r="I18" i="298"/>
  <c r="H19" i="298"/>
  <c r="I19" i="298"/>
  <c r="H20" i="298"/>
  <c r="I20" i="298"/>
  <c r="H21" i="298"/>
  <c r="I21" i="298"/>
  <c r="H22" i="298"/>
  <c r="I22" i="298"/>
  <c r="H23" i="298"/>
  <c r="I23" i="298"/>
  <c r="H24" i="298"/>
  <c r="I24" i="298"/>
  <c r="H25" i="298"/>
  <c r="I25" i="298"/>
  <c r="B26" i="298"/>
  <c r="C26" i="298"/>
  <c r="E26" i="298"/>
  <c r="F26" i="298"/>
  <c r="H26" i="298"/>
  <c r="I26" i="298"/>
  <c r="H27" i="298"/>
  <c r="I27" i="298"/>
  <c r="C32" i="298"/>
  <c r="C33" i="298"/>
  <c r="F33" i="298"/>
  <c r="F32" i="298" s="1"/>
  <c r="F5" i="297"/>
  <c r="F6" i="297"/>
  <c r="F7" i="297"/>
  <c r="B8" i="297"/>
  <c r="D8" i="297"/>
  <c r="F10" i="297"/>
  <c r="F11" i="297"/>
  <c r="F12" i="297"/>
  <c r="B13" i="297"/>
  <c r="D13" i="297"/>
  <c r="G19" i="296"/>
  <c r="B20" i="296"/>
  <c r="D21" i="296" s="1"/>
  <c r="C20" i="296"/>
  <c r="E21" i="296"/>
  <c r="C2" i="295"/>
  <c r="C6" i="295"/>
  <c r="B9" i="295"/>
  <c r="C3" i="295" s="1"/>
  <c r="C9" i="295"/>
  <c r="F5" i="293"/>
  <c r="F6" i="293"/>
  <c r="F7" i="293"/>
  <c r="B8" i="293"/>
  <c r="D8" i="293"/>
  <c r="F8" i="293"/>
  <c r="F10" i="293"/>
  <c r="F11" i="293"/>
  <c r="F12" i="293"/>
  <c r="B13" i="293"/>
  <c r="F13" i="293" s="1"/>
  <c r="D13" i="293"/>
  <c r="D15" i="293" s="1"/>
  <c r="H8" i="292"/>
  <c r="B7" i="292"/>
  <c r="E7" i="292"/>
  <c r="E8" i="292" s="1"/>
  <c r="B8" i="292"/>
  <c r="B19" i="292" s="1"/>
  <c r="F8" i="292"/>
  <c r="F17" i="292" s="1"/>
  <c r="B18" i="292"/>
  <c r="C18" i="292"/>
  <c r="E18" i="292"/>
  <c r="F18" i="292"/>
  <c r="F19" i="292"/>
  <c r="B24" i="292"/>
  <c r="E24" i="292"/>
  <c r="B29" i="292"/>
  <c r="B34" i="292" s="1"/>
  <c r="C29" i="292"/>
  <c r="C34" i="292"/>
  <c r="P208" i="291"/>
  <c r="P207" i="291"/>
  <c r="J207" i="291"/>
  <c r="J208" i="291" s="1"/>
  <c r="N203" i="291"/>
  <c r="C203" i="291"/>
  <c r="V203" i="291" s="1"/>
  <c r="G202" i="291"/>
  <c r="M201" i="291"/>
  <c r="T201" i="291" s="1"/>
  <c r="G201" i="291"/>
  <c r="M200" i="291"/>
  <c r="T200" i="291" s="1"/>
  <c r="L200" i="291"/>
  <c r="G200" i="291"/>
  <c r="T199" i="291"/>
  <c r="S199" i="291"/>
  <c r="U199" i="291" s="1"/>
  <c r="Q199" i="291"/>
  <c r="M199" i="291"/>
  <c r="L199" i="291"/>
  <c r="N199" i="291" s="1"/>
  <c r="K199" i="291"/>
  <c r="M202" i="291" s="1"/>
  <c r="T202" i="291" s="1"/>
  <c r="T207" i="291" s="1"/>
  <c r="T208" i="291" s="1"/>
  <c r="G199" i="291"/>
  <c r="L198" i="291"/>
  <c r="G198" i="291"/>
  <c r="G197" i="291"/>
  <c r="G196" i="291"/>
  <c r="Q195" i="291"/>
  <c r="K195" i="291"/>
  <c r="M198" i="291" s="1"/>
  <c r="G195" i="291"/>
  <c r="G194" i="291"/>
  <c r="M193" i="291"/>
  <c r="T193" i="291" s="1"/>
  <c r="G193" i="291"/>
  <c r="M192" i="291"/>
  <c r="T192" i="291" s="1"/>
  <c r="L192" i="291"/>
  <c r="G192" i="291"/>
  <c r="T191" i="291"/>
  <c r="Q191" i="291"/>
  <c r="M191" i="291"/>
  <c r="L191" i="291"/>
  <c r="K191" i="291"/>
  <c r="M194" i="291" s="1"/>
  <c r="T194" i="291" s="1"/>
  <c r="G191" i="291"/>
  <c r="L190" i="291"/>
  <c r="G190" i="291"/>
  <c r="G189" i="291"/>
  <c r="G188" i="291"/>
  <c r="Q187" i="291"/>
  <c r="K187" i="291"/>
  <c r="M190" i="291" s="1"/>
  <c r="T190" i="291" s="1"/>
  <c r="G187" i="291"/>
  <c r="G186" i="291"/>
  <c r="M185" i="291"/>
  <c r="T185" i="291" s="1"/>
  <c r="G185" i="291"/>
  <c r="M184" i="291"/>
  <c r="T184" i="291" s="1"/>
  <c r="L184" i="291"/>
  <c r="G184" i="291"/>
  <c r="T183" i="291"/>
  <c r="S183" i="291"/>
  <c r="U183" i="291" s="1"/>
  <c r="Q183" i="291"/>
  <c r="M183" i="291"/>
  <c r="L183" i="291"/>
  <c r="N183" i="291" s="1"/>
  <c r="K183" i="291"/>
  <c r="M186" i="291" s="1"/>
  <c r="T186" i="291" s="1"/>
  <c r="G183" i="291"/>
  <c r="L182" i="291"/>
  <c r="G182" i="291"/>
  <c r="G181" i="291"/>
  <c r="G180" i="291"/>
  <c r="Q179" i="291"/>
  <c r="K179" i="291"/>
  <c r="M182" i="291" s="1"/>
  <c r="G179" i="291"/>
  <c r="G178" i="291"/>
  <c r="L177" i="291"/>
  <c r="G177" i="291"/>
  <c r="M176" i="291"/>
  <c r="T176" i="291" s="1"/>
  <c r="G176" i="291"/>
  <c r="Q175" i="291"/>
  <c r="K175" i="291"/>
  <c r="G175" i="291"/>
  <c r="G174" i="291"/>
  <c r="L173" i="291"/>
  <c r="G173" i="291"/>
  <c r="G172" i="291"/>
  <c r="Q171" i="291"/>
  <c r="K171" i="291"/>
  <c r="G171" i="291"/>
  <c r="G170" i="291"/>
  <c r="M169" i="291"/>
  <c r="T169" i="291" s="1"/>
  <c r="G169" i="291"/>
  <c r="M168" i="291"/>
  <c r="T168" i="291" s="1"/>
  <c r="L168" i="291"/>
  <c r="G168" i="291"/>
  <c r="S167" i="291"/>
  <c r="Q167" i="291"/>
  <c r="M167" i="291"/>
  <c r="T167" i="291" s="1"/>
  <c r="L167" i="291"/>
  <c r="K167" i="291"/>
  <c r="M170" i="291" s="1"/>
  <c r="T170" i="291" s="1"/>
  <c r="G167" i="291"/>
  <c r="M166" i="291"/>
  <c r="T166" i="291" s="1"/>
  <c r="G166" i="291"/>
  <c r="G165" i="291"/>
  <c r="G164" i="291"/>
  <c r="Q163" i="291"/>
  <c r="K163" i="291"/>
  <c r="G163" i="291"/>
  <c r="G162" i="291"/>
  <c r="M161" i="291"/>
  <c r="T161" i="291" s="1"/>
  <c r="G161" i="291"/>
  <c r="M160" i="291"/>
  <c r="T160" i="291" s="1"/>
  <c r="L160" i="291"/>
  <c r="G160" i="291"/>
  <c r="S159" i="291"/>
  <c r="Q159" i="291"/>
  <c r="Q213" i="291" s="1"/>
  <c r="M159" i="291"/>
  <c r="T159" i="291" s="1"/>
  <c r="L159" i="291"/>
  <c r="K159" i="291"/>
  <c r="M162" i="291" s="1"/>
  <c r="T162" i="291" s="1"/>
  <c r="G159" i="291"/>
  <c r="M158" i="291"/>
  <c r="T158" i="291" s="1"/>
  <c r="G158" i="291"/>
  <c r="G157" i="291"/>
  <c r="G156" i="291"/>
  <c r="Q155" i="291"/>
  <c r="K155" i="291"/>
  <c r="G155" i="291"/>
  <c r="G154" i="291"/>
  <c r="G153" i="291"/>
  <c r="G152" i="291"/>
  <c r="Q151" i="291"/>
  <c r="K151" i="291"/>
  <c r="L153" i="291" s="1"/>
  <c r="G151" i="291"/>
  <c r="G150" i="291"/>
  <c r="G149" i="291"/>
  <c r="G148" i="291"/>
  <c r="Q147" i="291"/>
  <c r="K147" i="291"/>
  <c r="G147" i="291"/>
  <c r="G146" i="291"/>
  <c r="M145" i="291"/>
  <c r="T145" i="291" s="1"/>
  <c r="G145" i="291"/>
  <c r="M144" i="291"/>
  <c r="T144" i="291" s="1"/>
  <c r="L144" i="291"/>
  <c r="G144" i="291"/>
  <c r="Q143" i="291"/>
  <c r="M143" i="291"/>
  <c r="T143" i="291" s="1"/>
  <c r="L143" i="291"/>
  <c r="S143" i="291" s="1"/>
  <c r="K143" i="291"/>
  <c r="M146" i="291" s="1"/>
  <c r="T146" i="291" s="1"/>
  <c r="G143" i="291"/>
  <c r="M142" i="291"/>
  <c r="T142" i="291" s="1"/>
  <c r="G142" i="291"/>
  <c r="G141" i="291"/>
  <c r="G140" i="291"/>
  <c r="Q139" i="291"/>
  <c r="K139" i="291"/>
  <c r="G139" i="291"/>
  <c r="G138" i="291"/>
  <c r="M137" i="291"/>
  <c r="T137" i="291" s="1"/>
  <c r="G137" i="291"/>
  <c r="M136" i="291"/>
  <c r="T136" i="291" s="1"/>
  <c r="L136" i="291"/>
  <c r="G136" i="291"/>
  <c r="Q135" i="291"/>
  <c r="M135" i="291"/>
  <c r="T135" i="291" s="1"/>
  <c r="L135" i="291"/>
  <c r="S135" i="291" s="1"/>
  <c r="U135" i="291" s="1"/>
  <c r="K135" i="291"/>
  <c r="M138" i="291" s="1"/>
  <c r="T138" i="291" s="1"/>
  <c r="G135" i="291"/>
  <c r="M134" i="291"/>
  <c r="T134" i="291" s="1"/>
  <c r="G134" i="291"/>
  <c r="G133" i="291"/>
  <c r="G132" i="291"/>
  <c r="Q131" i="291"/>
  <c r="K131" i="291"/>
  <c r="G131" i="291"/>
  <c r="G130" i="291"/>
  <c r="M129" i="291"/>
  <c r="T129" i="291" s="1"/>
  <c r="G129" i="291"/>
  <c r="M128" i="291"/>
  <c r="T128" i="291" s="1"/>
  <c r="L128" i="291"/>
  <c r="G128" i="291"/>
  <c r="Q127" i="291"/>
  <c r="M127" i="291"/>
  <c r="T127" i="291" s="1"/>
  <c r="L127" i="291"/>
  <c r="S127" i="291" s="1"/>
  <c r="K127" i="291"/>
  <c r="M130" i="291" s="1"/>
  <c r="T130" i="291" s="1"/>
  <c r="G127" i="291"/>
  <c r="M126" i="291"/>
  <c r="T126" i="291" s="1"/>
  <c r="L126" i="291"/>
  <c r="G126" i="291"/>
  <c r="G125" i="291"/>
  <c r="G124" i="291"/>
  <c r="Q123" i="291"/>
  <c r="K123" i="291"/>
  <c r="G123" i="291"/>
  <c r="G122" i="291"/>
  <c r="M121" i="291"/>
  <c r="T121" i="291" s="1"/>
  <c r="G121" i="291"/>
  <c r="M120" i="291"/>
  <c r="T120" i="291" s="1"/>
  <c r="L120" i="291"/>
  <c r="G120" i="291"/>
  <c r="Q119" i="291"/>
  <c r="M119" i="291"/>
  <c r="T119" i="291" s="1"/>
  <c r="L119" i="291"/>
  <c r="S119" i="291" s="1"/>
  <c r="U119" i="291" s="1"/>
  <c r="K119" i="291"/>
  <c r="M122" i="291" s="1"/>
  <c r="T122" i="291" s="1"/>
  <c r="G119" i="291"/>
  <c r="M118" i="291"/>
  <c r="T118" i="291" s="1"/>
  <c r="L118" i="291"/>
  <c r="G118" i="291"/>
  <c r="G117" i="291"/>
  <c r="G116" i="291"/>
  <c r="Q115" i="291"/>
  <c r="K115" i="291"/>
  <c r="G115" i="291"/>
  <c r="G114" i="291"/>
  <c r="M113" i="291"/>
  <c r="T113" i="291" s="1"/>
  <c r="G113" i="291"/>
  <c r="M112" i="291"/>
  <c r="T112" i="291" s="1"/>
  <c r="L112" i="291"/>
  <c r="G112" i="291"/>
  <c r="Q111" i="291"/>
  <c r="M111" i="291"/>
  <c r="T111" i="291" s="1"/>
  <c r="L111" i="291"/>
  <c r="S111" i="291" s="1"/>
  <c r="U111" i="291" s="1"/>
  <c r="K111" i="291"/>
  <c r="M114" i="291" s="1"/>
  <c r="T114" i="291" s="1"/>
  <c r="G111" i="291"/>
  <c r="M110" i="291"/>
  <c r="T110" i="291" s="1"/>
  <c r="L110" i="291"/>
  <c r="G110" i="291"/>
  <c r="G109" i="291"/>
  <c r="G108" i="291"/>
  <c r="Q107" i="291"/>
  <c r="K107" i="291"/>
  <c r="G107" i="291"/>
  <c r="G106" i="291"/>
  <c r="G105" i="291"/>
  <c r="G104" i="291"/>
  <c r="Q103" i="291"/>
  <c r="L103" i="291"/>
  <c r="K103" i="291"/>
  <c r="M105" i="291" s="1"/>
  <c r="T105" i="291" s="1"/>
  <c r="G103" i="291"/>
  <c r="L102" i="291"/>
  <c r="G102" i="291"/>
  <c r="M101" i="291"/>
  <c r="T101" i="291" s="1"/>
  <c r="G101" i="291"/>
  <c r="N100" i="291"/>
  <c r="M100" i="291"/>
  <c r="T100" i="291" s="1"/>
  <c r="L100" i="291"/>
  <c r="S100" i="291" s="1"/>
  <c r="G100" i="291"/>
  <c r="T99" i="291"/>
  <c r="Q99" i="291"/>
  <c r="N99" i="291"/>
  <c r="M99" i="291"/>
  <c r="L99" i="291"/>
  <c r="S99" i="291" s="1"/>
  <c r="U99" i="291" s="1"/>
  <c r="K99" i="291"/>
  <c r="M102" i="291" s="1"/>
  <c r="T102" i="291" s="1"/>
  <c r="G99" i="291"/>
  <c r="M98" i="291"/>
  <c r="T98" i="291" s="1"/>
  <c r="G98" i="291"/>
  <c r="G97" i="291"/>
  <c r="T96" i="291"/>
  <c r="G96" i="291"/>
  <c r="T95" i="291"/>
  <c r="Q95" i="291"/>
  <c r="M95" i="291"/>
  <c r="K95" i="291"/>
  <c r="M96" i="291" s="1"/>
  <c r="G95" i="291"/>
  <c r="M94" i="291"/>
  <c r="T94" i="291" s="1"/>
  <c r="G94" i="291"/>
  <c r="L93" i="291"/>
  <c r="G93" i="291"/>
  <c r="G92" i="291"/>
  <c r="Q91" i="291"/>
  <c r="K91" i="291"/>
  <c r="G91" i="291"/>
  <c r="S90" i="291"/>
  <c r="L90" i="291"/>
  <c r="G90" i="291"/>
  <c r="G89" i="291"/>
  <c r="M88" i="291"/>
  <c r="T88" i="291" s="1"/>
  <c r="G88" i="291"/>
  <c r="T87" i="291"/>
  <c r="Q87" i="291"/>
  <c r="M87" i="291"/>
  <c r="K87" i="291"/>
  <c r="M89" i="291" s="1"/>
  <c r="T89" i="291" s="1"/>
  <c r="G87" i="291"/>
  <c r="M86" i="291"/>
  <c r="G86" i="291"/>
  <c r="L85" i="291"/>
  <c r="G85" i="291"/>
  <c r="G84" i="291"/>
  <c r="K83" i="291"/>
  <c r="G83" i="291"/>
  <c r="G82" i="291"/>
  <c r="G81" i="291"/>
  <c r="G80" i="291"/>
  <c r="P79" i="291"/>
  <c r="Q83" i="291" s="1"/>
  <c r="K79" i="291"/>
  <c r="G79" i="291"/>
  <c r="G78" i="291"/>
  <c r="M77" i="291"/>
  <c r="G77" i="291"/>
  <c r="M76" i="291"/>
  <c r="T76" i="291" s="1"/>
  <c r="L76" i="291"/>
  <c r="G76" i="291"/>
  <c r="P75" i="291"/>
  <c r="Q79" i="291" s="1"/>
  <c r="M75" i="291"/>
  <c r="T75" i="291" s="1"/>
  <c r="K75" i="291"/>
  <c r="M78" i="291" s="1"/>
  <c r="G75" i="291"/>
  <c r="M74" i="291"/>
  <c r="G74" i="291"/>
  <c r="M73" i="291"/>
  <c r="L73" i="291"/>
  <c r="G73" i="291"/>
  <c r="M72" i="291"/>
  <c r="L72" i="291"/>
  <c r="N72" i="291" s="1"/>
  <c r="G72" i="291"/>
  <c r="P71" i="291"/>
  <c r="Q75" i="291" s="1"/>
  <c r="M71" i="291"/>
  <c r="L71" i="291"/>
  <c r="N71" i="291" s="1"/>
  <c r="K71" i="291"/>
  <c r="L74" i="291" s="1"/>
  <c r="G71" i="291"/>
  <c r="L70" i="291"/>
  <c r="G70" i="291"/>
  <c r="L69" i="291"/>
  <c r="G69" i="291"/>
  <c r="G68" i="291"/>
  <c r="P67" i="291"/>
  <c r="L67" i="291"/>
  <c r="K67" i="291"/>
  <c r="G67" i="291"/>
  <c r="L66" i="291"/>
  <c r="G66" i="291"/>
  <c r="G65" i="291"/>
  <c r="G64" i="291"/>
  <c r="P63" i="291"/>
  <c r="Q67" i="291" s="1"/>
  <c r="K63" i="291"/>
  <c r="G63" i="291"/>
  <c r="G62" i="291"/>
  <c r="M61" i="291"/>
  <c r="G61" i="291"/>
  <c r="M60" i="291"/>
  <c r="L60" i="291"/>
  <c r="G60" i="291"/>
  <c r="P59" i="291"/>
  <c r="M59" i="291"/>
  <c r="K59" i="291"/>
  <c r="M62" i="291" s="1"/>
  <c r="G59" i="291"/>
  <c r="M58" i="291"/>
  <c r="G58" i="291"/>
  <c r="M57" i="291"/>
  <c r="L57" i="291"/>
  <c r="G57" i="291"/>
  <c r="L56" i="291"/>
  <c r="G56" i="291"/>
  <c r="P55" i="291"/>
  <c r="Q59" i="291" s="1"/>
  <c r="M55" i="291"/>
  <c r="L55" i="291"/>
  <c r="N55" i="291" s="1"/>
  <c r="K55" i="291"/>
  <c r="L58" i="291" s="1"/>
  <c r="N58" i="291" s="1"/>
  <c r="G55" i="291"/>
  <c r="L54" i="291"/>
  <c r="G54" i="291"/>
  <c r="G53" i="291"/>
  <c r="G52" i="291"/>
  <c r="Q51" i="291"/>
  <c r="P51" i="291"/>
  <c r="Q55" i="291" s="1"/>
  <c r="T57" i="291" s="1"/>
  <c r="K51" i="291"/>
  <c r="G51" i="291"/>
  <c r="G50" i="291"/>
  <c r="G49" i="291"/>
  <c r="G48" i="291"/>
  <c r="P47" i="291"/>
  <c r="K47" i="291"/>
  <c r="G47" i="291"/>
  <c r="G46" i="291"/>
  <c r="M45" i="291"/>
  <c r="G45" i="291"/>
  <c r="M44" i="291"/>
  <c r="L44" i="291"/>
  <c r="G44" i="291"/>
  <c r="P43" i="291"/>
  <c r="Q47" i="291" s="1"/>
  <c r="M43" i="291"/>
  <c r="T43" i="291" s="1"/>
  <c r="K43" i="291"/>
  <c r="M46" i="291" s="1"/>
  <c r="G43" i="291"/>
  <c r="G42" i="291"/>
  <c r="L41" i="291"/>
  <c r="G41" i="291"/>
  <c r="G40" i="291"/>
  <c r="P39" i="291"/>
  <c r="Q43" i="291" s="1"/>
  <c r="T44" i="291" s="1"/>
  <c r="K39" i="291"/>
  <c r="L42" i="291" s="1"/>
  <c r="G39" i="291"/>
  <c r="G38" i="291"/>
  <c r="G37" i="291"/>
  <c r="M36" i="291"/>
  <c r="G36" i="291"/>
  <c r="P35" i="291"/>
  <c r="Q39" i="291" s="1"/>
  <c r="K35" i="291"/>
  <c r="M37" i="291" s="1"/>
  <c r="T37" i="291" s="1"/>
  <c r="G35" i="291"/>
  <c r="G34" i="291"/>
  <c r="G33" i="291"/>
  <c r="M32" i="291"/>
  <c r="G32" i="291"/>
  <c r="P31" i="291"/>
  <c r="Q35" i="291" s="1"/>
  <c r="K31" i="291"/>
  <c r="M33" i="291" s="1"/>
  <c r="T33" i="291" s="1"/>
  <c r="G31" i="291"/>
  <c r="G30" i="291"/>
  <c r="G29" i="291"/>
  <c r="M28" i="291"/>
  <c r="G28" i="291"/>
  <c r="P27" i="291"/>
  <c r="Q31" i="291" s="1"/>
  <c r="K27" i="291"/>
  <c r="M29" i="291" s="1"/>
  <c r="T29" i="291" s="1"/>
  <c r="G27" i="291"/>
  <c r="G26" i="291"/>
  <c r="G25" i="291"/>
  <c r="M24" i="291"/>
  <c r="G24" i="291"/>
  <c r="P23" i="291"/>
  <c r="Q27" i="291" s="1"/>
  <c r="K23" i="291"/>
  <c r="M25" i="291" s="1"/>
  <c r="T25" i="291" s="1"/>
  <c r="G23" i="291"/>
  <c r="G22" i="291"/>
  <c r="G21" i="291"/>
  <c r="M20" i="291"/>
  <c r="G20" i="291"/>
  <c r="P19" i="291"/>
  <c r="Q23" i="291" s="1"/>
  <c r="K19" i="291"/>
  <c r="M21" i="291" s="1"/>
  <c r="T21" i="291" s="1"/>
  <c r="G19" i="291"/>
  <c r="G18" i="291"/>
  <c r="G17" i="291"/>
  <c r="M16" i="291"/>
  <c r="G16" i="291"/>
  <c r="P15" i="291"/>
  <c r="Q19" i="291" s="1"/>
  <c r="K15" i="291"/>
  <c r="M17" i="291" s="1"/>
  <c r="G15" i="291"/>
  <c r="G14" i="291"/>
  <c r="B14" i="291"/>
  <c r="B18" i="291" s="1"/>
  <c r="B22" i="291" s="1"/>
  <c r="B26" i="291" s="1"/>
  <c r="B30" i="291" s="1"/>
  <c r="B34" i="291" s="1"/>
  <c r="B38" i="291" s="1"/>
  <c r="B42" i="291" s="1"/>
  <c r="B46" i="291" s="1"/>
  <c r="B50" i="291" s="1"/>
  <c r="B54" i="291" s="1"/>
  <c r="B58" i="291" s="1"/>
  <c r="B62" i="291" s="1"/>
  <c r="B66" i="291" s="1"/>
  <c r="B70" i="291" s="1"/>
  <c r="B74" i="291" s="1"/>
  <c r="B78" i="291" s="1"/>
  <c r="B82" i="291" s="1"/>
  <c r="B86" i="291" s="1"/>
  <c r="B90" i="291" s="1"/>
  <c r="B94" i="291" s="1"/>
  <c r="B98" i="291" s="1"/>
  <c r="B102" i="291" s="1"/>
  <c r="B106" i="291" s="1"/>
  <c r="B110" i="291" s="1"/>
  <c r="B114" i="291" s="1"/>
  <c r="B118" i="291" s="1"/>
  <c r="B122" i="291" s="1"/>
  <c r="B126" i="291" s="1"/>
  <c r="B130" i="291" s="1"/>
  <c r="B134" i="291" s="1"/>
  <c r="B138" i="291" s="1"/>
  <c r="B142" i="291" s="1"/>
  <c r="B146" i="291" s="1"/>
  <c r="B150" i="291" s="1"/>
  <c r="B154" i="291" s="1"/>
  <c r="B158" i="291" s="1"/>
  <c r="B162" i="291" s="1"/>
  <c r="B166" i="291" s="1"/>
  <c r="B170" i="291" s="1"/>
  <c r="B174" i="291" s="1"/>
  <c r="B178" i="291" s="1"/>
  <c r="B182" i="291" s="1"/>
  <c r="B186" i="291" s="1"/>
  <c r="B190" i="291" s="1"/>
  <c r="B194" i="291" s="1"/>
  <c r="B198" i="291" s="1"/>
  <c r="B202" i="291" s="1"/>
  <c r="A14" i="291"/>
  <c r="C14" i="291" s="1"/>
  <c r="V14" i="291" s="1"/>
  <c r="G13" i="291"/>
  <c r="C13" i="291"/>
  <c r="V13" i="291" s="1"/>
  <c r="B13" i="291"/>
  <c r="B17" i="291" s="1"/>
  <c r="B21" i="291" s="1"/>
  <c r="B25" i="291" s="1"/>
  <c r="B29" i="291" s="1"/>
  <c r="B33" i="291" s="1"/>
  <c r="B37" i="291" s="1"/>
  <c r="B41" i="291" s="1"/>
  <c r="B45" i="291" s="1"/>
  <c r="B49" i="291" s="1"/>
  <c r="B53" i="291" s="1"/>
  <c r="B57" i="291" s="1"/>
  <c r="B61" i="291" s="1"/>
  <c r="B65" i="291" s="1"/>
  <c r="B69" i="291" s="1"/>
  <c r="B73" i="291" s="1"/>
  <c r="B77" i="291" s="1"/>
  <c r="B81" i="291" s="1"/>
  <c r="B85" i="291" s="1"/>
  <c r="B89" i="291" s="1"/>
  <c r="B93" i="291" s="1"/>
  <c r="B97" i="291" s="1"/>
  <c r="B101" i="291" s="1"/>
  <c r="B105" i="291" s="1"/>
  <c r="B109" i="291" s="1"/>
  <c r="B113" i="291" s="1"/>
  <c r="B117" i="291" s="1"/>
  <c r="B121" i="291" s="1"/>
  <c r="B125" i="291" s="1"/>
  <c r="B129" i="291" s="1"/>
  <c r="B133" i="291" s="1"/>
  <c r="B137" i="291" s="1"/>
  <c r="B141" i="291" s="1"/>
  <c r="B145" i="291" s="1"/>
  <c r="B149" i="291" s="1"/>
  <c r="B153" i="291" s="1"/>
  <c r="B157" i="291" s="1"/>
  <c r="B161" i="291" s="1"/>
  <c r="B165" i="291" s="1"/>
  <c r="B169" i="291" s="1"/>
  <c r="B173" i="291" s="1"/>
  <c r="B177" i="291" s="1"/>
  <c r="B181" i="291" s="1"/>
  <c r="B185" i="291" s="1"/>
  <c r="B189" i="291" s="1"/>
  <c r="B193" i="291" s="1"/>
  <c r="B197" i="291" s="1"/>
  <c r="B201" i="291" s="1"/>
  <c r="A13" i="291"/>
  <c r="A17" i="291" s="1"/>
  <c r="A21" i="291" s="1"/>
  <c r="A25" i="291" s="1"/>
  <c r="A29" i="291" s="1"/>
  <c r="A33" i="291" s="1"/>
  <c r="A37" i="291" s="1"/>
  <c r="A41" i="291" s="1"/>
  <c r="M12" i="291"/>
  <c r="G12" i="291"/>
  <c r="B12" i="291"/>
  <c r="C12" i="291" s="1"/>
  <c r="V12" i="291" s="1"/>
  <c r="A12" i="291"/>
  <c r="A16" i="291" s="1"/>
  <c r="P11" i="291"/>
  <c r="Q15" i="291" s="1"/>
  <c r="K11" i="291"/>
  <c r="M13" i="291" s="1"/>
  <c r="T13" i="291" s="1"/>
  <c r="G11" i="291"/>
  <c r="B11" i="291"/>
  <c r="B15" i="291" s="1"/>
  <c r="B19" i="291" s="1"/>
  <c r="B23" i="291" s="1"/>
  <c r="B27" i="291" s="1"/>
  <c r="B31" i="291" s="1"/>
  <c r="B35" i="291" s="1"/>
  <c r="B39" i="291" s="1"/>
  <c r="B43" i="291" s="1"/>
  <c r="B47" i="291" s="1"/>
  <c r="B51" i="291" s="1"/>
  <c r="B55" i="291" s="1"/>
  <c r="B59" i="291" s="1"/>
  <c r="B63" i="291" s="1"/>
  <c r="B67" i="291" s="1"/>
  <c r="B71" i="291" s="1"/>
  <c r="B75" i="291" s="1"/>
  <c r="B79" i="291" s="1"/>
  <c r="B83" i="291" s="1"/>
  <c r="B87" i="291" s="1"/>
  <c r="B91" i="291" s="1"/>
  <c r="B95" i="291" s="1"/>
  <c r="B99" i="291" s="1"/>
  <c r="B103" i="291" s="1"/>
  <c r="B107" i="291" s="1"/>
  <c r="B111" i="291" s="1"/>
  <c r="B115" i="291" s="1"/>
  <c r="B119" i="291" s="1"/>
  <c r="B123" i="291" s="1"/>
  <c r="B127" i="291" s="1"/>
  <c r="B131" i="291" s="1"/>
  <c r="B135" i="291" s="1"/>
  <c r="B139" i="291" s="1"/>
  <c r="B143" i="291" s="1"/>
  <c r="B147" i="291" s="1"/>
  <c r="B151" i="291" s="1"/>
  <c r="B155" i="291" s="1"/>
  <c r="B159" i="291" s="1"/>
  <c r="B163" i="291" s="1"/>
  <c r="B167" i="291" s="1"/>
  <c r="B171" i="291" s="1"/>
  <c r="B175" i="291" s="1"/>
  <c r="B179" i="291" s="1"/>
  <c r="B183" i="291" s="1"/>
  <c r="B187" i="291" s="1"/>
  <c r="B191" i="291" s="1"/>
  <c r="B195" i="291" s="1"/>
  <c r="B199" i="291" s="1"/>
  <c r="A11" i="291"/>
  <c r="C11" i="291" s="1"/>
  <c r="V11" i="291" s="1"/>
  <c r="G10" i="291"/>
  <c r="D10" i="291"/>
  <c r="C10" i="291"/>
  <c r="V10" i="291" s="1"/>
  <c r="G9" i="291"/>
  <c r="D9" i="291"/>
  <c r="C9" i="291"/>
  <c r="V9" i="291" s="1"/>
  <c r="G8" i="291"/>
  <c r="D8" i="291"/>
  <c r="C8" i="291"/>
  <c r="V8" i="291" s="1"/>
  <c r="P7" i="291"/>
  <c r="Q11" i="291" s="1"/>
  <c r="K7" i="291"/>
  <c r="G7" i="291"/>
  <c r="D7" i="291"/>
  <c r="D11" i="291" s="1"/>
  <c r="C7" i="291"/>
  <c r="V7" i="291" s="1"/>
  <c r="G6" i="291"/>
  <c r="C6" i="291"/>
  <c r="V6" i="291" s="1"/>
  <c r="G5" i="291"/>
  <c r="C5" i="291"/>
  <c r="V5" i="291" s="1"/>
  <c r="G4" i="291"/>
  <c r="C4" i="291"/>
  <c r="V4" i="291" s="1"/>
  <c r="P3" i="291"/>
  <c r="K3" i="291"/>
  <c r="G3" i="291"/>
  <c r="D3" i="291"/>
  <c r="C3" i="291"/>
  <c r="V3" i="291" s="1"/>
  <c r="P2" i="291"/>
  <c r="Q3" i="291" s="1"/>
  <c r="E3" i="290"/>
  <c r="F3" i="290"/>
  <c r="E4" i="290"/>
  <c r="F4" i="290"/>
  <c r="E5" i="290"/>
  <c r="F5" i="290"/>
  <c r="E6" i="290"/>
  <c r="F6" i="290"/>
  <c r="E7" i="290"/>
  <c r="F7" i="290"/>
  <c r="E8" i="290"/>
  <c r="F8" i="290"/>
  <c r="E9" i="290"/>
  <c r="F9" i="290"/>
  <c r="E10" i="290"/>
  <c r="F10" i="290"/>
  <c r="E11" i="290"/>
  <c r="F11" i="290"/>
  <c r="E12" i="290"/>
  <c r="F12" i="290"/>
  <c r="F3" i="289"/>
  <c r="F4" i="289"/>
  <c r="F5" i="289"/>
  <c r="F6" i="289"/>
  <c r="F7" i="289"/>
  <c r="F8" i="289"/>
  <c r="F9" i="289"/>
  <c r="F10" i="289"/>
  <c r="F11" i="289"/>
  <c r="F12" i="289"/>
  <c r="F13" i="289"/>
  <c r="F14" i="289"/>
  <c r="F15" i="289"/>
  <c r="F16" i="289"/>
  <c r="F17" i="289"/>
  <c r="F18" i="289"/>
  <c r="F19" i="289"/>
  <c r="F20" i="289"/>
  <c r="E7" i="288"/>
  <c r="F7" i="288"/>
  <c r="G7" i="288"/>
  <c r="C10" i="288"/>
  <c r="D10" i="288"/>
  <c r="E10" i="288"/>
  <c r="E11" i="288" s="1"/>
  <c r="F10" i="288"/>
  <c r="G10" i="288"/>
  <c r="C11" i="288"/>
  <c r="D11" i="288"/>
  <c r="F11" i="288"/>
  <c r="G11" i="288"/>
  <c r="C16" i="288"/>
  <c r="C17" i="288"/>
  <c r="D19" i="288"/>
  <c r="E20" i="288"/>
  <c r="E21" i="288"/>
  <c r="F22" i="288"/>
  <c r="F23" i="288"/>
  <c r="G24" i="288"/>
  <c r="G25" i="288"/>
  <c r="B37" i="288"/>
  <c r="B38" i="288" s="1"/>
  <c r="C40" i="288"/>
  <c r="B44" i="288"/>
  <c r="B46" i="288" s="1"/>
  <c r="C48" i="288" s="1"/>
  <c r="B45" i="288"/>
  <c r="U31" i="287"/>
  <c r="Z31" i="287"/>
  <c r="AE31" i="287"/>
  <c r="AJ31" i="287"/>
  <c r="AO31" i="287"/>
  <c r="U32" i="287"/>
  <c r="Y32" i="287"/>
  <c r="Z32" i="287" s="1"/>
  <c r="AE32" i="287"/>
  <c r="AJ32" i="287"/>
  <c r="AO32" i="287"/>
  <c r="U33" i="287"/>
  <c r="Z33" i="287"/>
  <c r="AE33" i="287"/>
  <c r="AJ33" i="287"/>
  <c r="AO33" i="287"/>
  <c r="Z37" i="287"/>
  <c r="AE37" i="287"/>
  <c r="AJ37" i="287"/>
  <c r="AO37" i="287"/>
  <c r="U38" i="287"/>
  <c r="Z38" i="287"/>
  <c r="AE38" i="287"/>
  <c r="AJ38" i="287"/>
  <c r="AO38" i="287"/>
  <c r="U42" i="287"/>
  <c r="Z42" i="287"/>
  <c r="AE42" i="287"/>
  <c r="AJ42" i="287"/>
  <c r="AO42" i="287"/>
  <c r="S53" i="287"/>
  <c r="S54" i="287"/>
  <c r="S55" i="287"/>
  <c r="S56" i="287"/>
  <c r="S57" i="287"/>
  <c r="S58" i="287"/>
  <c r="N5" i="286"/>
  <c r="I6" i="286"/>
  <c r="R6" i="286"/>
  <c r="I7" i="286"/>
  <c r="R7" i="286"/>
  <c r="I8" i="286"/>
  <c r="R8" i="286"/>
  <c r="F9" i="286"/>
  <c r="I9" i="286"/>
  <c r="R9" i="286"/>
  <c r="F10" i="286"/>
  <c r="H10" i="286"/>
  <c r="I10" i="286"/>
  <c r="L10" i="286"/>
  <c r="N10" i="286"/>
  <c r="O10" i="286"/>
  <c r="P10" i="286"/>
  <c r="R10" i="286"/>
  <c r="F11" i="286"/>
  <c r="H11" i="286"/>
  <c r="R11" i="286" s="1"/>
  <c r="I11" i="286"/>
  <c r="L11" i="286"/>
  <c r="M11" i="286"/>
  <c r="N11" i="286"/>
  <c r="O11" i="286"/>
  <c r="P11" i="286"/>
  <c r="F12" i="286"/>
  <c r="P12" i="286" s="1"/>
  <c r="H12" i="286"/>
  <c r="I12" i="286" s="1"/>
  <c r="L12" i="286"/>
  <c r="M12" i="286"/>
  <c r="N12" i="286"/>
  <c r="O12" i="286"/>
  <c r="F13" i="286"/>
  <c r="H13" i="286" s="1"/>
  <c r="L13" i="286"/>
  <c r="M13" i="286"/>
  <c r="N13" i="286"/>
  <c r="O13" i="286"/>
  <c r="F14" i="286"/>
  <c r="H14" i="286" s="1"/>
  <c r="L14" i="286"/>
  <c r="M14" i="286"/>
  <c r="N14" i="286"/>
  <c r="O14" i="286"/>
  <c r="P14" i="286"/>
  <c r="F15" i="286"/>
  <c r="H15" i="286" s="1"/>
  <c r="L15" i="286"/>
  <c r="M15" i="286"/>
  <c r="N15" i="286"/>
  <c r="O15" i="286"/>
  <c r="P15" i="286"/>
  <c r="F16" i="286"/>
  <c r="H16" i="286"/>
  <c r="I16" i="286" s="1"/>
  <c r="L16" i="286"/>
  <c r="M16" i="286"/>
  <c r="N16" i="286"/>
  <c r="O16" i="286"/>
  <c r="P16" i="286"/>
  <c r="F17" i="286"/>
  <c r="H17" i="286" s="1"/>
  <c r="L17" i="286"/>
  <c r="M17" i="286"/>
  <c r="N17" i="286"/>
  <c r="O17" i="286"/>
  <c r="F18" i="286"/>
  <c r="L18" i="286"/>
  <c r="M18" i="286"/>
  <c r="N18" i="286"/>
  <c r="O18" i="286"/>
  <c r="P18" i="286"/>
  <c r="F19" i="286"/>
  <c r="P19" i="286" s="1"/>
  <c r="L19" i="286"/>
  <c r="M19" i="286"/>
  <c r="N19" i="286"/>
  <c r="O19" i="286"/>
  <c r="F20" i="286"/>
  <c r="H20" i="286"/>
  <c r="I20" i="286" s="1"/>
  <c r="L20" i="286"/>
  <c r="M20" i="286"/>
  <c r="N20" i="286"/>
  <c r="O20" i="286"/>
  <c r="P20" i="286"/>
  <c r="F21" i="286"/>
  <c r="H21" i="286" s="1"/>
  <c r="L21" i="286"/>
  <c r="M21" i="286"/>
  <c r="N21" i="286"/>
  <c r="O21" i="286"/>
  <c r="F22" i="286"/>
  <c r="L22" i="286"/>
  <c r="M22" i="286"/>
  <c r="N22" i="286"/>
  <c r="O22" i="286"/>
  <c r="P22" i="286"/>
  <c r="F23" i="286"/>
  <c r="P23" i="286" s="1"/>
  <c r="L23" i="286"/>
  <c r="M23" i="286"/>
  <c r="N23" i="286"/>
  <c r="O23" i="286"/>
  <c r="F24" i="286"/>
  <c r="H24" i="286"/>
  <c r="I24" i="286" s="1"/>
  <c r="L24" i="286"/>
  <c r="M24" i="286"/>
  <c r="N24" i="286"/>
  <c r="O24" i="286"/>
  <c r="P24" i="286"/>
  <c r="F25" i="286"/>
  <c r="H25" i="286" s="1"/>
  <c r="L25" i="286"/>
  <c r="M25" i="286"/>
  <c r="N25" i="286"/>
  <c r="O25" i="286"/>
  <c r="F26" i="286"/>
  <c r="L26" i="286"/>
  <c r="M26" i="286"/>
  <c r="N26" i="286"/>
  <c r="O26" i="286"/>
  <c r="P26" i="286"/>
  <c r="D30" i="286"/>
  <c r="B34" i="286"/>
  <c r="C34" i="286"/>
  <c r="D34" i="286"/>
  <c r="E34" i="286"/>
  <c r="F34" i="286"/>
  <c r="B35" i="286"/>
  <c r="C35" i="286"/>
  <c r="D35" i="286"/>
  <c r="E35" i="286"/>
  <c r="F35" i="286"/>
  <c r="B36" i="286"/>
  <c r="C36" i="286"/>
  <c r="D36" i="286"/>
  <c r="E36" i="286"/>
  <c r="F36" i="286"/>
  <c r="B37" i="286"/>
  <c r="C37" i="286"/>
  <c r="D37" i="286"/>
  <c r="E37" i="286"/>
  <c r="F37" i="286"/>
  <c r="C38" i="286"/>
  <c r="B39" i="286"/>
  <c r="C39" i="286"/>
  <c r="D39" i="286"/>
  <c r="E39" i="286"/>
  <c r="F39" i="286"/>
  <c r="B40" i="286"/>
  <c r="C40" i="286"/>
  <c r="D40" i="286"/>
  <c r="E40" i="286"/>
  <c r="F40" i="286"/>
  <c r="B41" i="286"/>
  <c r="C41" i="286"/>
  <c r="D41" i="286"/>
  <c r="E41" i="286"/>
  <c r="F41" i="286"/>
  <c r="C42" i="286"/>
  <c r="B43" i="286"/>
  <c r="C43" i="286"/>
  <c r="D43" i="286"/>
  <c r="E43" i="286"/>
  <c r="F43" i="286"/>
  <c r="B44" i="286"/>
  <c r="C44" i="286"/>
  <c r="D44" i="286"/>
  <c r="E44" i="286"/>
  <c r="F44" i="286"/>
  <c r="B45" i="286"/>
  <c r="C45" i="286"/>
  <c r="D45" i="286"/>
  <c r="E45" i="286"/>
  <c r="F45" i="286"/>
  <c r="C46" i="286"/>
  <c r="B47" i="286"/>
  <c r="C47" i="286"/>
  <c r="D47" i="286"/>
  <c r="E47" i="286"/>
  <c r="F47" i="286"/>
  <c r="B48" i="286"/>
  <c r="C48" i="286"/>
  <c r="D48" i="286"/>
  <c r="E48" i="286"/>
  <c r="F48" i="286"/>
  <c r="B49" i="286"/>
  <c r="C49" i="286"/>
  <c r="D49" i="286"/>
  <c r="E49" i="286"/>
  <c r="F49" i="286"/>
  <c r="C50" i="286"/>
  <c r="B51" i="286"/>
  <c r="C51" i="286"/>
  <c r="D51" i="286"/>
  <c r="E51" i="286"/>
  <c r="F51" i="286"/>
  <c r="Z62" i="286"/>
  <c r="AB62" i="286" s="1"/>
  <c r="AA62" i="286"/>
  <c r="AC62" i="286"/>
  <c r="Z63" i="286"/>
  <c r="AA63" i="286"/>
  <c r="AB63" i="286" s="1"/>
  <c r="AC63" i="286"/>
  <c r="Z64" i="286"/>
  <c r="AA64" i="286"/>
  <c r="AB64" i="286" s="1"/>
  <c r="AC64" i="286"/>
  <c r="Z65" i="286"/>
  <c r="AA65" i="286"/>
  <c r="AB65" i="286" s="1"/>
  <c r="AC65" i="286"/>
  <c r="Z66" i="286"/>
  <c r="AA66" i="286"/>
  <c r="AC66" i="286"/>
  <c r="T59" i="291" l="1"/>
  <c r="T60" i="291"/>
  <c r="U55" i="316"/>
  <c r="Q71" i="291"/>
  <c r="S74" i="291" s="1"/>
  <c r="B15" i="305"/>
  <c r="F13" i="297"/>
  <c r="F8" i="297"/>
  <c r="B15" i="297"/>
  <c r="D15" i="297"/>
  <c r="D17" i="297" s="1"/>
  <c r="C209" i="316"/>
  <c r="B213" i="316"/>
  <c r="T70" i="316"/>
  <c r="T59" i="316"/>
  <c r="T79" i="316"/>
  <c r="S80" i="316"/>
  <c r="U80" i="316" s="1"/>
  <c r="U25" i="316"/>
  <c r="U10" i="316"/>
  <c r="U5" i="316"/>
  <c r="U56" i="316"/>
  <c r="U4" i="316"/>
  <c r="T38" i="316"/>
  <c r="T67" i="316"/>
  <c r="T36" i="316"/>
  <c r="T28" i="316"/>
  <c r="T71" i="316"/>
  <c r="U50" i="316"/>
  <c r="T68" i="316"/>
  <c r="U17" i="316"/>
  <c r="T80" i="316"/>
  <c r="S69" i="316"/>
  <c r="U69" i="316" s="1"/>
  <c r="T61" i="316"/>
  <c r="U3" i="316"/>
  <c r="S35" i="316"/>
  <c r="S27" i="316"/>
  <c r="N87" i="316"/>
  <c r="U19" i="316"/>
  <c r="N114" i="316"/>
  <c r="U67" i="316"/>
  <c r="N52" i="316"/>
  <c r="N49" i="316"/>
  <c r="U83" i="316"/>
  <c r="S7" i="316"/>
  <c r="U7" i="316" s="1"/>
  <c r="S29" i="316"/>
  <c r="U29" i="316" s="1"/>
  <c r="N29" i="316"/>
  <c r="S194" i="316"/>
  <c r="U194" i="316" s="1"/>
  <c r="N194" i="316"/>
  <c r="N127" i="316"/>
  <c r="N17" i="316"/>
  <c r="S33" i="316"/>
  <c r="U33" i="316" s="1"/>
  <c r="N33" i="316"/>
  <c r="N65" i="316"/>
  <c r="U127" i="316"/>
  <c r="N88" i="316"/>
  <c r="U57" i="316"/>
  <c r="N143" i="316"/>
  <c r="S143" i="316"/>
  <c r="U143" i="316" s="1"/>
  <c r="S41" i="316"/>
  <c r="U41" i="316" s="1"/>
  <c r="N41" i="316"/>
  <c r="S178" i="316"/>
  <c r="U178" i="316" s="1"/>
  <c r="N178" i="316"/>
  <c r="N95" i="316"/>
  <c r="S199" i="316"/>
  <c r="U199" i="316" s="1"/>
  <c r="N150" i="316"/>
  <c r="N108" i="316"/>
  <c r="U112" i="316"/>
  <c r="N8" i="316"/>
  <c r="U46" i="316"/>
  <c r="S37" i="316"/>
  <c r="U37" i="316" s="1"/>
  <c r="N37" i="316"/>
  <c r="N91" i="316"/>
  <c r="N191" i="316"/>
  <c r="S106" i="316"/>
  <c r="U106" i="316" s="1"/>
  <c r="N106" i="316"/>
  <c r="S159" i="316"/>
  <c r="U159" i="316" s="1"/>
  <c r="N159" i="316"/>
  <c r="S161" i="316"/>
  <c r="U161" i="316" s="1"/>
  <c r="N161" i="316"/>
  <c r="S196" i="316"/>
  <c r="U196" i="316" s="1"/>
  <c r="N196" i="316"/>
  <c r="N155" i="316"/>
  <c r="S155" i="316"/>
  <c r="U155" i="316" s="1"/>
  <c r="S145" i="316"/>
  <c r="U145" i="316" s="1"/>
  <c r="N145" i="316"/>
  <c r="N152" i="316"/>
  <c r="S152" i="316"/>
  <c r="U152" i="316" s="1"/>
  <c r="N189" i="316"/>
  <c r="S149" i="316"/>
  <c r="U149" i="316" s="1"/>
  <c r="N149" i="316"/>
  <c r="S105" i="316"/>
  <c r="U105" i="316" s="1"/>
  <c r="N105" i="316"/>
  <c r="N76" i="316"/>
  <c r="S76" i="316"/>
  <c r="U76" i="316" s="1"/>
  <c r="N51" i="316"/>
  <c r="S51" i="316"/>
  <c r="U51" i="316" s="1"/>
  <c r="N48" i="316"/>
  <c r="S48" i="316"/>
  <c r="U48" i="316" s="1"/>
  <c r="N18" i="316"/>
  <c r="S18" i="316"/>
  <c r="U18" i="316" s="1"/>
  <c r="S44" i="316"/>
  <c r="U44" i="316" s="1"/>
  <c r="N44" i="316"/>
  <c r="N19" i="316"/>
  <c r="N6" i="316"/>
  <c r="S6" i="316"/>
  <c r="U6" i="316" s="1"/>
  <c r="D19" i="316"/>
  <c r="A23" i="316"/>
  <c r="C19" i="316"/>
  <c r="V19" i="316" s="1"/>
  <c r="S185" i="316"/>
  <c r="U185" i="316" s="1"/>
  <c r="N185" i="316"/>
  <c r="S168" i="316"/>
  <c r="U168" i="316" s="1"/>
  <c r="N168" i="316"/>
  <c r="N197" i="316"/>
  <c r="S197" i="316"/>
  <c r="U197" i="316" s="1"/>
  <c r="N173" i="316"/>
  <c r="S173" i="316"/>
  <c r="U173" i="316" s="1"/>
  <c r="N156" i="316"/>
  <c r="S156" i="316"/>
  <c r="U156" i="316" s="1"/>
  <c r="S147" i="316"/>
  <c r="U147" i="316" s="1"/>
  <c r="N147" i="316"/>
  <c r="S139" i="316"/>
  <c r="U139" i="316" s="1"/>
  <c r="N139" i="316"/>
  <c r="N163" i="316"/>
  <c r="S163" i="316"/>
  <c r="U163" i="316" s="1"/>
  <c r="S129" i="316"/>
  <c r="U129" i="316" s="1"/>
  <c r="N129" i="316"/>
  <c r="T115" i="316"/>
  <c r="U115" i="316" s="1"/>
  <c r="N115" i="316"/>
  <c r="T99" i="316"/>
  <c r="U99" i="316" s="1"/>
  <c r="N99" i="316"/>
  <c r="N79" i="316"/>
  <c r="S79" i="316"/>
  <c r="U79" i="316" s="1"/>
  <c r="S82" i="316"/>
  <c r="U82" i="316" s="1"/>
  <c r="N82" i="316"/>
  <c r="S134" i="316"/>
  <c r="U134" i="316" s="1"/>
  <c r="N134" i="316"/>
  <c r="S132" i="316"/>
  <c r="U132" i="316" s="1"/>
  <c r="N132" i="316"/>
  <c r="N117" i="316"/>
  <c r="S117" i="316"/>
  <c r="U117" i="316" s="1"/>
  <c r="N109" i="316"/>
  <c r="S109" i="316"/>
  <c r="U109" i="316" s="1"/>
  <c r="N101" i="316"/>
  <c r="S101" i="316"/>
  <c r="U101" i="316" s="1"/>
  <c r="N93" i="316"/>
  <c r="S93" i="316"/>
  <c r="U93" i="316" s="1"/>
  <c r="N85" i="316"/>
  <c r="S85" i="316"/>
  <c r="U85" i="316" s="1"/>
  <c r="U118" i="316"/>
  <c r="N104" i="316"/>
  <c r="S40" i="316"/>
  <c r="U40" i="316" s="1"/>
  <c r="N40" i="316"/>
  <c r="S32" i="316"/>
  <c r="U32" i="316" s="1"/>
  <c r="N32" i="316"/>
  <c r="N24" i="316"/>
  <c r="S24" i="316"/>
  <c r="U24" i="316" s="1"/>
  <c r="N16" i="316"/>
  <c r="S16" i="316"/>
  <c r="U16" i="316" s="1"/>
  <c r="U110" i="316"/>
  <c r="N96" i="316"/>
  <c r="N77" i="316"/>
  <c r="S54" i="316"/>
  <c r="U54" i="316" s="1"/>
  <c r="N54" i="316"/>
  <c r="N126" i="316"/>
  <c r="N102" i="316"/>
  <c r="N71" i="316"/>
  <c r="S71" i="316"/>
  <c r="U71" i="316" s="1"/>
  <c r="S72" i="316"/>
  <c r="N72" i="316"/>
  <c r="N58" i="316"/>
  <c r="S58" i="316"/>
  <c r="U58" i="316" s="1"/>
  <c r="N30" i="316"/>
  <c r="S30" i="316"/>
  <c r="U30" i="316" s="1"/>
  <c r="C18" i="316"/>
  <c r="V18" i="316" s="1"/>
  <c r="A22" i="316"/>
  <c r="N94" i="316"/>
  <c r="U88" i="316"/>
  <c r="S62" i="316"/>
  <c r="U62" i="316" s="1"/>
  <c r="N62" i="316"/>
  <c r="U52" i="316"/>
  <c r="U49" i="316"/>
  <c r="N45" i="316"/>
  <c r="S45" i="316"/>
  <c r="U45" i="316" s="1"/>
  <c r="U78" i="316"/>
  <c r="N12" i="316"/>
  <c r="S12" i="316"/>
  <c r="U12" i="316" s="1"/>
  <c r="S193" i="316"/>
  <c r="U193" i="316" s="1"/>
  <c r="N193" i="316"/>
  <c r="S153" i="316"/>
  <c r="U153" i="316" s="1"/>
  <c r="N153" i="316"/>
  <c r="S148" i="316"/>
  <c r="U148" i="316" s="1"/>
  <c r="N148" i="316"/>
  <c r="S130" i="316"/>
  <c r="U130" i="316" s="1"/>
  <c r="N130" i="316"/>
  <c r="S81" i="316"/>
  <c r="U81" i="316" s="1"/>
  <c r="N81" i="316"/>
  <c r="N110" i="316"/>
  <c r="N63" i="316"/>
  <c r="N43" i="316"/>
  <c r="S43" i="316"/>
  <c r="U43" i="316" s="1"/>
  <c r="S177" i="316"/>
  <c r="U177" i="316" s="1"/>
  <c r="N177" i="316"/>
  <c r="N181" i="316"/>
  <c r="S181" i="316"/>
  <c r="U181" i="316" s="1"/>
  <c r="S167" i="316"/>
  <c r="U167" i="316" s="1"/>
  <c r="N167" i="316"/>
  <c r="S169" i="316"/>
  <c r="U169" i="316" s="1"/>
  <c r="N169" i="316"/>
  <c r="S172" i="316"/>
  <c r="U172" i="316" s="1"/>
  <c r="N172" i="316"/>
  <c r="S187" i="316"/>
  <c r="U187" i="316" s="1"/>
  <c r="N187" i="316"/>
  <c r="S137" i="316"/>
  <c r="U137" i="316" s="1"/>
  <c r="N137" i="316"/>
  <c r="N154" i="316"/>
  <c r="S154" i="316"/>
  <c r="U154" i="316" s="1"/>
  <c r="S146" i="316"/>
  <c r="U146" i="316" s="1"/>
  <c r="N146" i="316"/>
  <c r="S138" i="316"/>
  <c r="U138" i="316" s="1"/>
  <c r="N138" i="316"/>
  <c r="N141" i="316"/>
  <c r="S141" i="316"/>
  <c r="U141" i="316" s="1"/>
  <c r="N164" i="316"/>
  <c r="S164" i="316"/>
  <c r="U164" i="316" s="1"/>
  <c r="S166" i="316"/>
  <c r="U166" i="316" s="1"/>
  <c r="N166" i="316"/>
  <c r="S113" i="316"/>
  <c r="U113" i="316" s="1"/>
  <c r="N113" i="316"/>
  <c r="S97" i="316"/>
  <c r="U97" i="316" s="1"/>
  <c r="N97" i="316"/>
  <c r="N68" i="316"/>
  <c r="S68" i="316"/>
  <c r="U68" i="316" s="1"/>
  <c r="N157" i="316"/>
  <c r="N133" i="316"/>
  <c r="S133" i="316"/>
  <c r="U133" i="316" s="1"/>
  <c r="N125" i="316"/>
  <c r="S125" i="316"/>
  <c r="U125" i="316" s="1"/>
  <c r="N70" i="316"/>
  <c r="S70" i="316"/>
  <c r="U104" i="316"/>
  <c r="N39" i="316"/>
  <c r="T39" i="316"/>
  <c r="U39" i="316" s="1"/>
  <c r="N31" i="316"/>
  <c r="T31" i="316"/>
  <c r="U31" i="316" s="1"/>
  <c r="T23" i="316"/>
  <c r="U23" i="316" s="1"/>
  <c r="N23" i="316"/>
  <c r="N15" i="316"/>
  <c r="T15" i="316"/>
  <c r="U15" i="316" s="1"/>
  <c r="N120" i="316"/>
  <c r="N103" i="316"/>
  <c r="U96" i="316"/>
  <c r="U84" i="316"/>
  <c r="U77" i="316"/>
  <c r="U126" i="316"/>
  <c r="U102" i="316"/>
  <c r="N73" i="316"/>
  <c r="S73" i="316"/>
  <c r="T73" i="316"/>
  <c r="S66" i="316"/>
  <c r="U66" i="316" s="1"/>
  <c r="N66" i="316"/>
  <c r="N42" i="316"/>
  <c r="S42" i="316"/>
  <c r="U42" i="316" s="1"/>
  <c r="N26" i="316"/>
  <c r="S26" i="316"/>
  <c r="U26" i="316" s="1"/>
  <c r="U94" i="316"/>
  <c r="N80" i="316"/>
  <c r="N59" i="316"/>
  <c r="S59" i="316"/>
  <c r="U59" i="316" s="1"/>
  <c r="S60" i="316"/>
  <c r="U60" i="316" s="1"/>
  <c r="N60" i="316"/>
  <c r="U47" i="316"/>
  <c r="S11" i="316"/>
  <c r="U11" i="316" s="1"/>
  <c r="N11" i="316"/>
  <c r="A24" i="316"/>
  <c r="C20" i="316"/>
  <c r="V20" i="316" s="1"/>
  <c r="A29" i="316"/>
  <c r="C25" i="316"/>
  <c r="V25" i="316" s="1"/>
  <c r="N3" i="316"/>
  <c r="S180" i="316"/>
  <c r="U180" i="316" s="1"/>
  <c r="N180" i="316"/>
  <c r="S190" i="316"/>
  <c r="U190" i="316" s="1"/>
  <c r="N190" i="316"/>
  <c r="S140" i="316"/>
  <c r="U140" i="316" s="1"/>
  <c r="N140" i="316"/>
  <c r="S121" i="316"/>
  <c r="U121" i="316" s="1"/>
  <c r="N121" i="316"/>
  <c r="S131" i="316"/>
  <c r="U131" i="316" s="1"/>
  <c r="N131" i="316"/>
  <c r="N118" i="316"/>
  <c r="N35" i="316"/>
  <c r="T35" i="316"/>
  <c r="U35" i="316" s="1"/>
  <c r="N27" i="316"/>
  <c r="T27" i="316"/>
  <c r="U86" i="316"/>
  <c r="N34" i="316"/>
  <c r="S34" i="316"/>
  <c r="U34" i="316" s="1"/>
  <c r="S201" i="316"/>
  <c r="U201" i="316" s="1"/>
  <c r="N201" i="316"/>
  <c r="S202" i="316"/>
  <c r="U202" i="316" s="1"/>
  <c r="U235" i="316" s="1"/>
  <c r="U236" i="316" s="1"/>
  <c r="N202" i="316"/>
  <c r="S179" i="316"/>
  <c r="U179" i="316" s="1"/>
  <c r="N179" i="316"/>
  <c r="S170" i="316"/>
  <c r="U170" i="316" s="1"/>
  <c r="N170" i="316"/>
  <c r="S160" i="316"/>
  <c r="U160" i="316" s="1"/>
  <c r="N160" i="316"/>
  <c r="S198" i="316"/>
  <c r="U198" i="316" s="1"/>
  <c r="N198" i="316"/>
  <c r="S195" i="316"/>
  <c r="U195" i="316" s="1"/>
  <c r="N195" i="316"/>
  <c r="N162" i="316"/>
  <c r="S162" i="316"/>
  <c r="U162" i="316" s="1"/>
  <c r="N188" i="316"/>
  <c r="S188" i="316"/>
  <c r="U188" i="316" s="1"/>
  <c r="S158" i="316"/>
  <c r="U158" i="316" s="1"/>
  <c r="N158" i="316"/>
  <c r="S151" i="316"/>
  <c r="U151" i="316" s="1"/>
  <c r="N151" i="316"/>
  <c r="U189" i="316"/>
  <c r="S165" i="316"/>
  <c r="U165" i="316" s="1"/>
  <c r="N165" i="316"/>
  <c r="S128" i="316"/>
  <c r="U128" i="316" s="1"/>
  <c r="N128" i="316"/>
  <c r="T123" i="316"/>
  <c r="U123" i="316" s="1"/>
  <c r="N123" i="316"/>
  <c r="T107" i="316"/>
  <c r="U107" i="316" s="1"/>
  <c r="N107" i="316"/>
  <c r="S89" i="316"/>
  <c r="U89" i="316" s="1"/>
  <c r="N89" i="316"/>
  <c r="N171" i="316"/>
  <c r="U157" i="316"/>
  <c r="N111" i="316"/>
  <c r="S53" i="316"/>
  <c r="U53" i="316" s="1"/>
  <c r="N53" i="316"/>
  <c r="S36" i="316"/>
  <c r="N36" i="316"/>
  <c r="S28" i="316"/>
  <c r="U28" i="316" s="1"/>
  <c r="N28" i="316"/>
  <c r="N20" i="316"/>
  <c r="S20" i="316"/>
  <c r="U20" i="316" s="1"/>
  <c r="N142" i="316"/>
  <c r="U120" i="316"/>
  <c r="N86" i="316"/>
  <c r="U75" i="316"/>
  <c r="T74" i="316"/>
  <c r="U74" i="316" s="1"/>
  <c r="T72" i="316"/>
  <c r="N64" i="316"/>
  <c r="S64" i="316"/>
  <c r="U64" i="316" s="1"/>
  <c r="N38" i="316"/>
  <c r="S38" i="316"/>
  <c r="U38" i="316" s="1"/>
  <c r="N22" i="316"/>
  <c r="S22" i="316"/>
  <c r="U22" i="316" s="1"/>
  <c r="N112" i="316"/>
  <c r="S13" i="316"/>
  <c r="U13" i="316" s="1"/>
  <c r="N13" i="316"/>
  <c r="U63" i="316"/>
  <c r="N61" i="316"/>
  <c r="S61" i="316"/>
  <c r="N47" i="316"/>
  <c r="N14" i="316"/>
  <c r="S14" i="316"/>
  <c r="U14" i="316" s="1"/>
  <c r="N26" i="312"/>
  <c r="I29" i="311"/>
  <c r="I30" i="311" s="1"/>
  <c r="E6" i="312"/>
  <c r="O26" i="312"/>
  <c r="F6" i="312" s="1"/>
  <c r="O25" i="312"/>
  <c r="F5" i="312" s="1"/>
  <c r="E7" i="312"/>
  <c r="M27" i="312"/>
  <c r="O27" i="312" s="1"/>
  <c r="F7" i="312" s="1"/>
  <c r="N25" i="312"/>
  <c r="D15" i="313"/>
  <c r="F15" i="313" s="1"/>
  <c r="F15" i="308"/>
  <c r="F13" i="308"/>
  <c r="D26" i="302"/>
  <c r="D10" i="302" s="1"/>
  <c r="E25" i="302"/>
  <c r="E26" i="302" s="1"/>
  <c r="E10" i="302" s="1"/>
  <c r="D6" i="302"/>
  <c r="H10" i="302"/>
  <c r="H43" i="302" s="1"/>
  <c r="H33" i="302"/>
  <c r="H55" i="302"/>
  <c r="H6" i="302"/>
  <c r="F8" i="305"/>
  <c r="C5" i="295"/>
  <c r="B15" i="293"/>
  <c r="C8" i="295"/>
  <c r="C4" i="295"/>
  <c r="C7" i="295"/>
  <c r="E23" i="292"/>
  <c r="E17" i="292"/>
  <c r="E19" i="292"/>
  <c r="B17" i="292"/>
  <c r="C7" i="292"/>
  <c r="C8" i="292" s="1"/>
  <c r="M6" i="291"/>
  <c r="T6" i="291" s="1"/>
  <c r="L6" i="291"/>
  <c r="M5" i="291"/>
  <c r="T5" i="291" s="1"/>
  <c r="M3" i="291"/>
  <c r="T3" i="291" s="1"/>
  <c r="L5" i="291"/>
  <c r="M4" i="291"/>
  <c r="T4" i="291" s="1"/>
  <c r="L3" i="291"/>
  <c r="Q7" i="291"/>
  <c r="L4" i="291"/>
  <c r="L9" i="291"/>
  <c r="M8" i="291"/>
  <c r="M7" i="291"/>
  <c r="T7" i="291" s="1"/>
  <c r="M10" i="291"/>
  <c r="L10" i="291"/>
  <c r="L8" i="291"/>
  <c r="L7" i="291"/>
  <c r="A45" i="291"/>
  <c r="C41" i="291"/>
  <c r="V41" i="291" s="1"/>
  <c r="T17" i="291"/>
  <c r="B16" i="291"/>
  <c r="B20" i="291" s="1"/>
  <c r="B24" i="291" s="1"/>
  <c r="B28" i="291" s="1"/>
  <c r="B32" i="291" s="1"/>
  <c r="B36" i="291" s="1"/>
  <c r="B40" i="291" s="1"/>
  <c r="B44" i="291" s="1"/>
  <c r="B48" i="291" s="1"/>
  <c r="B52" i="291" s="1"/>
  <c r="B56" i="291" s="1"/>
  <c r="B60" i="291" s="1"/>
  <c r="B64" i="291" s="1"/>
  <c r="B68" i="291" s="1"/>
  <c r="B72" i="291" s="1"/>
  <c r="B76" i="291" s="1"/>
  <c r="B80" i="291" s="1"/>
  <c r="B84" i="291" s="1"/>
  <c r="B88" i="291" s="1"/>
  <c r="B92" i="291" s="1"/>
  <c r="B96" i="291" s="1"/>
  <c r="B100" i="291" s="1"/>
  <c r="B104" i="291" s="1"/>
  <c r="B108" i="291" s="1"/>
  <c r="B112" i="291" s="1"/>
  <c r="B116" i="291" s="1"/>
  <c r="B120" i="291" s="1"/>
  <c r="B124" i="291" s="1"/>
  <c r="B128" i="291" s="1"/>
  <c r="B132" i="291" s="1"/>
  <c r="B136" i="291" s="1"/>
  <c r="B140" i="291" s="1"/>
  <c r="B144" i="291" s="1"/>
  <c r="B148" i="291" s="1"/>
  <c r="B152" i="291" s="1"/>
  <c r="B156" i="291" s="1"/>
  <c r="B160" i="291" s="1"/>
  <c r="B164" i="291" s="1"/>
  <c r="B168" i="291" s="1"/>
  <c r="B172" i="291" s="1"/>
  <c r="B176" i="291" s="1"/>
  <c r="B180" i="291" s="1"/>
  <c r="B184" i="291" s="1"/>
  <c r="B188" i="291" s="1"/>
  <c r="B192" i="291" s="1"/>
  <c r="B196" i="291" s="1"/>
  <c r="B200" i="291" s="1"/>
  <c r="C17" i="291"/>
  <c r="V17" i="291" s="1"/>
  <c r="C21" i="291"/>
  <c r="V21" i="291" s="1"/>
  <c r="C25" i="291"/>
  <c r="V25" i="291" s="1"/>
  <c r="C29" i="291"/>
  <c r="V29" i="291" s="1"/>
  <c r="C33" i="291"/>
  <c r="V33" i="291" s="1"/>
  <c r="C37" i="291"/>
  <c r="V37" i="291" s="1"/>
  <c r="T73" i="291"/>
  <c r="A20" i="291"/>
  <c r="M9" i="291"/>
  <c r="T9" i="291" s="1"/>
  <c r="T12" i="291"/>
  <c r="A15" i="291"/>
  <c r="T16" i="291"/>
  <c r="T20" i="291"/>
  <c r="T24" i="291"/>
  <c r="T28" i="291"/>
  <c r="T32" i="291"/>
  <c r="T36" i="291"/>
  <c r="S56" i="291"/>
  <c r="M49" i="291"/>
  <c r="T49" i="291" s="1"/>
  <c r="L48" i="291"/>
  <c r="M47" i="291"/>
  <c r="T47" i="291" s="1"/>
  <c r="M50" i="291"/>
  <c r="T50" i="291" s="1"/>
  <c r="L49" i="291"/>
  <c r="L47" i="291"/>
  <c r="S54" i="291"/>
  <c r="U54" i="291" s="1"/>
  <c r="S55" i="291"/>
  <c r="S60" i="291"/>
  <c r="U60" i="291" s="1"/>
  <c r="N60" i="291"/>
  <c r="S67" i="291"/>
  <c r="L14" i="291"/>
  <c r="A18" i="291"/>
  <c r="L18" i="291"/>
  <c r="L22" i="291"/>
  <c r="L26" i="291"/>
  <c r="L30" i="291"/>
  <c r="L34" i="291"/>
  <c r="L38" i="291"/>
  <c r="S42" i="291"/>
  <c r="L40" i="291"/>
  <c r="M41" i="291"/>
  <c r="T41" i="291" s="1"/>
  <c r="T46" i="291"/>
  <c r="T45" i="291"/>
  <c r="M52" i="291"/>
  <c r="T52" i="291" s="1"/>
  <c r="M53" i="291"/>
  <c r="T53" i="291" s="1"/>
  <c r="L52" i="291"/>
  <c r="M51" i="291"/>
  <c r="T51" i="291" s="1"/>
  <c r="M54" i="291"/>
  <c r="T54" i="291" s="1"/>
  <c r="T55" i="291"/>
  <c r="T58" i="291"/>
  <c r="S69" i="291"/>
  <c r="N73" i="291"/>
  <c r="N74" i="291"/>
  <c r="M81" i="291"/>
  <c r="T81" i="291" s="1"/>
  <c r="L80" i="291"/>
  <c r="M79" i="291"/>
  <c r="T79" i="291" s="1"/>
  <c r="M82" i="291"/>
  <c r="T82" i="291" s="1"/>
  <c r="L81" i="291"/>
  <c r="L79" i="291"/>
  <c r="L82" i="291"/>
  <c r="M80" i="291"/>
  <c r="T80" i="291" s="1"/>
  <c r="S85" i="291"/>
  <c r="N85" i="291"/>
  <c r="T86" i="291"/>
  <c r="S93" i="291"/>
  <c r="N93" i="291"/>
  <c r="L11" i="291"/>
  <c r="L13" i="291"/>
  <c r="M14" i="291"/>
  <c r="T14" i="291" s="1"/>
  <c r="L15" i="291"/>
  <c r="L17" i="291"/>
  <c r="M18" i="291"/>
  <c r="T18" i="291" s="1"/>
  <c r="L19" i="291"/>
  <c r="L21" i="291"/>
  <c r="M22" i="291"/>
  <c r="T22" i="291" s="1"/>
  <c r="L23" i="291"/>
  <c r="L25" i="291"/>
  <c r="M26" i="291"/>
  <c r="T26" i="291" s="1"/>
  <c r="L27" i="291"/>
  <c r="L29" i="291"/>
  <c r="M30" i="291"/>
  <c r="T30" i="291" s="1"/>
  <c r="L31" i="291"/>
  <c r="L33" i="291"/>
  <c r="M34" i="291"/>
  <c r="T34" i="291" s="1"/>
  <c r="L35" i="291"/>
  <c r="L37" i="291"/>
  <c r="M38" i="291"/>
  <c r="T38" i="291" s="1"/>
  <c r="L39" i="291"/>
  <c r="M40" i="291"/>
  <c r="T40" i="291" s="1"/>
  <c r="S44" i="291"/>
  <c r="U44" i="291" s="1"/>
  <c r="N44" i="291"/>
  <c r="L51" i="291"/>
  <c r="L53" i="291"/>
  <c r="S57" i="291"/>
  <c r="U57" i="291" s="1"/>
  <c r="N57" i="291"/>
  <c r="Q63" i="291"/>
  <c r="M65" i="291"/>
  <c r="L64" i="291"/>
  <c r="M63" i="291"/>
  <c r="M66" i="291"/>
  <c r="T66" i="291" s="1"/>
  <c r="L65" i="291"/>
  <c r="L63" i="291"/>
  <c r="M64" i="291"/>
  <c r="S66" i="291"/>
  <c r="U66" i="291" s="1"/>
  <c r="S70" i="291"/>
  <c r="N70" i="291"/>
  <c r="T78" i="291"/>
  <c r="T77" i="291"/>
  <c r="L86" i="291"/>
  <c r="M84" i="291"/>
  <c r="T84" i="291" s="1"/>
  <c r="M83" i="291"/>
  <c r="T83" i="291" s="1"/>
  <c r="M85" i="291"/>
  <c r="T85" i="291" s="1"/>
  <c r="L84" i="291"/>
  <c r="L83" i="291"/>
  <c r="L94" i="291"/>
  <c r="M92" i="291"/>
  <c r="T92" i="291" s="1"/>
  <c r="M91" i="291"/>
  <c r="T91" i="291" s="1"/>
  <c r="M93" i="291"/>
  <c r="T93" i="291" s="1"/>
  <c r="L92" i="291"/>
  <c r="L91" i="291"/>
  <c r="S41" i="291"/>
  <c r="U41" i="291" s="1"/>
  <c r="M48" i="291"/>
  <c r="T48" i="291" s="1"/>
  <c r="N103" i="291"/>
  <c r="S103" i="291"/>
  <c r="U103" i="291" s="1"/>
  <c r="M11" i="291"/>
  <c r="T11" i="291" s="1"/>
  <c r="L12" i="291"/>
  <c r="M15" i="291"/>
  <c r="T15" i="291" s="1"/>
  <c r="L16" i="291"/>
  <c r="M19" i="291"/>
  <c r="T19" i="291" s="1"/>
  <c r="L20" i="291"/>
  <c r="M23" i="291"/>
  <c r="T23" i="291" s="1"/>
  <c r="L24" i="291"/>
  <c r="M27" i="291"/>
  <c r="T27" i="291" s="1"/>
  <c r="L28" i="291"/>
  <c r="M31" i="291"/>
  <c r="T31" i="291" s="1"/>
  <c r="L32" i="291"/>
  <c r="M35" i="291"/>
  <c r="T35" i="291" s="1"/>
  <c r="L36" i="291"/>
  <c r="M39" i="291"/>
  <c r="T39" i="291" s="1"/>
  <c r="M42" i="291"/>
  <c r="L50" i="291"/>
  <c r="S58" i="291"/>
  <c r="T62" i="291"/>
  <c r="T61" i="291"/>
  <c r="M68" i="291"/>
  <c r="T68" i="291" s="1"/>
  <c r="M69" i="291"/>
  <c r="T69" i="291" s="1"/>
  <c r="L68" i="291"/>
  <c r="M67" i="291"/>
  <c r="T67" i="291" s="1"/>
  <c r="M70" i="291"/>
  <c r="T70" i="291" s="1"/>
  <c r="S76" i="291"/>
  <c r="U76" i="291" s="1"/>
  <c r="N76" i="291"/>
  <c r="L46" i="291"/>
  <c r="M56" i="291"/>
  <c r="T56" i="291" s="1"/>
  <c r="L62" i="291"/>
  <c r="L78" i="291"/>
  <c r="L89" i="291"/>
  <c r="M90" i="291"/>
  <c r="T90" i="291" s="1"/>
  <c r="U90" i="291" s="1"/>
  <c r="L96" i="291"/>
  <c r="L97" i="291"/>
  <c r="U100" i="291"/>
  <c r="L43" i="291"/>
  <c r="L45" i="291"/>
  <c r="L59" i="291"/>
  <c r="L61" i="291"/>
  <c r="L75" i="291"/>
  <c r="L77" i="291"/>
  <c r="L87" i="291"/>
  <c r="L88" i="291"/>
  <c r="L95" i="291"/>
  <c r="M97" i="291"/>
  <c r="T97" i="291" s="1"/>
  <c r="L98" i="291"/>
  <c r="S102" i="291"/>
  <c r="U102" i="291" s="1"/>
  <c r="N102" i="291"/>
  <c r="U127" i="291"/>
  <c r="U143" i="291"/>
  <c r="S153" i="291"/>
  <c r="U153" i="291" s="1"/>
  <c r="N153" i="291"/>
  <c r="L101" i="291"/>
  <c r="M103" i="291"/>
  <c r="T103" i="291" s="1"/>
  <c r="M108" i="291"/>
  <c r="T108" i="291" s="1"/>
  <c r="M107" i="291"/>
  <c r="T107" i="291" s="1"/>
  <c r="M109" i="291"/>
  <c r="T109" i="291" s="1"/>
  <c r="L108" i="291"/>
  <c r="L107" i="291"/>
  <c r="L109" i="291"/>
  <c r="M116" i="291"/>
  <c r="T116" i="291" s="1"/>
  <c r="M115" i="291"/>
  <c r="T115" i="291" s="1"/>
  <c r="M117" i="291"/>
  <c r="T117" i="291" s="1"/>
  <c r="L116" i="291"/>
  <c r="L115" i="291"/>
  <c r="L117" i="291"/>
  <c r="M124" i="291"/>
  <c r="T124" i="291" s="1"/>
  <c r="M123" i="291"/>
  <c r="T123" i="291" s="1"/>
  <c r="M125" i="291"/>
  <c r="T125" i="291" s="1"/>
  <c r="L124" i="291"/>
  <c r="L123" i="291"/>
  <c r="L125" i="291"/>
  <c r="M132" i="291"/>
  <c r="T132" i="291" s="1"/>
  <c r="M131" i="291"/>
  <c r="T131" i="291" s="1"/>
  <c r="M133" i="291"/>
  <c r="T133" i="291" s="1"/>
  <c r="L132" i="291"/>
  <c r="L131" i="291"/>
  <c r="L133" i="291"/>
  <c r="M140" i="291"/>
  <c r="T140" i="291" s="1"/>
  <c r="M139" i="291"/>
  <c r="T139" i="291" s="1"/>
  <c r="M141" i="291"/>
  <c r="T141" i="291" s="1"/>
  <c r="L140" i="291"/>
  <c r="L139" i="291"/>
  <c r="L141" i="291"/>
  <c r="M149" i="291"/>
  <c r="T149" i="291" s="1"/>
  <c r="M148" i="291"/>
  <c r="T148" i="291" s="1"/>
  <c r="M147" i="291"/>
  <c r="T147" i="291" s="1"/>
  <c r="L148" i="291"/>
  <c r="L147" i="291"/>
  <c r="L149" i="291"/>
  <c r="M152" i="291"/>
  <c r="T152" i="291" s="1"/>
  <c r="S184" i="291"/>
  <c r="U184" i="291" s="1"/>
  <c r="N184" i="291"/>
  <c r="N191" i="291"/>
  <c r="S191" i="291"/>
  <c r="U191" i="291" s="1"/>
  <c r="L104" i="291"/>
  <c r="L150" i="291"/>
  <c r="S200" i="291"/>
  <c r="U200" i="291" s="1"/>
  <c r="N200" i="291"/>
  <c r="M106" i="291"/>
  <c r="T106" i="291" s="1"/>
  <c r="L105" i="291"/>
  <c r="L106" i="291"/>
  <c r="M104" i="291"/>
  <c r="T104" i="291" s="1"/>
  <c r="S110" i="291"/>
  <c r="U110" i="291" s="1"/>
  <c r="N110" i="291"/>
  <c r="N111" i="291"/>
  <c r="S112" i="291"/>
  <c r="U112" i="291" s="1"/>
  <c r="N112" i="291"/>
  <c r="S118" i="291"/>
  <c r="U118" i="291" s="1"/>
  <c r="N118" i="291"/>
  <c r="N119" i="291"/>
  <c r="S120" i="291"/>
  <c r="U120" i="291" s="1"/>
  <c r="N120" i="291"/>
  <c r="S126" i="291"/>
  <c r="U126" i="291" s="1"/>
  <c r="N126" i="291"/>
  <c r="N127" i="291"/>
  <c r="S128" i="291"/>
  <c r="U128" i="291" s="1"/>
  <c r="N128" i="291"/>
  <c r="L134" i="291"/>
  <c r="N135" i="291"/>
  <c r="S136" i="291"/>
  <c r="U136" i="291" s="1"/>
  <c r="N136" i="291"/>
  <c r="L142" i="291"/>
  <c r="N143" i="291"/>
  <c r="S144" i="291"/>
  <c r="U144" i="291" s="1"/>
  <c r="N144" i="291"/>
  <c r="M150" i="291"/>
  <c r="T150" i="291" s="1"/>
  <c r="M154" i="291"/>
  <c r="T154" i="291" s="1"/>
  <c r="L154" i="291"/>
  <c r="L152" i="291"/>
  <c r="M151" i="291"/>
  <c r="T151" i="291" s="1"/>
  <c r="L151" i="291"/>
  <c r="M153" i="291"/>
  <c r="T153" i="291" s="1"/>
  <c r="S173" i="291"/>
  <c r="M156" i="291"/>
  <c r="T156" i="291" s="1"/>
  <c r="M155" i="291"/>
  <c r="T155" i="291" s="1"/>
  <c r="M157" i="291"/>
  <c r="T157" i="291" s="1"/>
  <c r="L156" i="291"/>
  <c r="L155" i="291"/>
  <c r="L157" i="291"/>
  <c r="M164" i="291"/>
  <c r="T164" i="291" s="1"/>
  <c r="M163" i="291"/>
  <c r="T163" i="291" s="1"/>
  <c r="M165" i="291"/>
  <c r="T165" i="291" s="1"/>
  <c r="L164" i="291"/>
  <c r="L163" i="291"/>
  <c r="L165" i="291"/>
  <c r="M173" i="291"/>
  <c r="T173" i="291" s="1"/>
  <c r="L172" i="291"/>
  <c r="M171" i="291"/>
  <c r="T171" i="291" s="1"/>
  <c r="L171" i="291"/>
  <c r="L174" i="291"/>
  <c r="S177" i="291"/>
  <c r="S182" i="291"/>
  <c r="U182" i="291" s="1"/>
  <c r="N182" i="291"/>
  <c r="S198" i="291"/>
  <c r="N198" i="291"/>
  <c r="L114" i="291"/>
  <c r="L122" i="291"/>
  <c r="L130" i="291"/>
  <c r="L138" i="291"/>
  <c r="L146" i="291"/>
  <c r="U159" i="291"/>
  <c r="U167" i="291"/>
  <c r="M174" i="291"/>
  <c r="T174" i="291" s="1"/>
  <c r="L178" i="291"/>
  <c r="L176" i="291"/>
  <c r="M175" i="291"/>
  <c r="T175" i="291" s="1"/>
  <c r="L175" i="291"/>
  <c r="M177" i="291"/>
  <c r="T177" i="291" s="1"/>
  <c r="M178" i="291"/>
  <c r="T178" i="291" s="1"/>
  <c r="T182" i="291"/>
  <c r="S192" i="291"/>
  <c r="U192" i="291" s="1"/>
  <c r="N192" i="291"/>
  <c r="T198" i="291"/>
  <c r="L113" i="291"/>
  <c r="L121" i="291"/>
  <c r="L129" i="291"/>
  <c r="L137" i="291"/>
  <c r="L145" i="291"/>
  <c r="L158" i="291"/>
  <c r="N159" i="291"/>
  <c r="S160" i="291"/>
  <c r="U160" i="291" s="1"/>
  <c r="N160" i="291"/>
  <c r="L166" i="291"/>
  <c r="N167" i="291"/>
  <c r="S168" i="291"/>
  <c r="U168" i="291" s="1"/>
  <c r="N168" i="291"/>
  <c r="M172" i="291"/>
  <c r="T172" i="291" s="1"/>
  <c r="S190" i="291"/>
  <c r="U190" i="291" s="1"/>
  <c r="N190" i="291"/>
  <c r="L162" i="291"/>
  <c r="L170" i="291"/>
  <c r="L161" i="291"/>
  <c r="L169" i="291"/>
  <c r="M180" i="291"/>
  <c r="T180" i="291" s="1"/>
  <c r="M179" i="291"/>
  <c r="T179" i="291" s="1"/>
  <c r="M181" i="291"/>
  <c r="T181" i="291" s="1"/>
  <c r="L180" i="291"/>
  <c r="L179" i="291"/>
  <c r="L181" i="291"/>
  <c r="M188" i="291"/>
  <c r="T188" i="291" s="1"/>
  <c r="M187" i="291"/>
  <c r="T187" i="291" s="1"/>
  <c r="M189" i="291"/>
  <c r="T189" i="291" s="1"/>
  <c r="L188" i="291"/>
  <c r="L187" i="291"/>
  <c r="L189" i="291"/>
  <c r="M196" i="291"/>
  <c r="T196" i="291" s="1"/>
  <c r="M195" i="291"/>
  <c r="T195" i="291" s="1"/>
  <c r="M197" i="291"/>
  <c r="T197" i="291" s="1"/>
  <c r="L196" i="291"/>
  <c r="L195" i="291"/>
  <c r="L197" i="291"/>
  <c r="Q207" i="291"/>
  <c r="Q208" i="291" s="1"/>
  <c r="K207" i="291"/>
  <c r="K208" i="291" s="1"/>
  <c r="Q214" i="291"/>
  <c r="Q215" i="291" s="1"/>
  <c r="Q216" i="291" s="1"/>
  <c r="L186" i="291"/>
  <c r="L194" i="291"/>
  <c r="L202" i="291"/>
  <c r="L185" i="291"/>
  <c r="L193" i="291"/>
  <c r="L201" i="291"/>
  <c r="R14" i="286"/>
  <c r="I14" i="286"/>
  <c r="AB66" i="286"/>
  <c r="R17" i="286"/>
  <c r="I17" i="286"/>
  <c r="I13" i="286"/>
  <c r="R13" i="286"/>
  <c r="I21" i="286"/>
  <c r="R21" i="286"/>
  <c r="R15" i="286"/>
  <c r="I15" i="286"/>
  <c r="I25" i="286"/>
  <c r="R25" i="286"/>
  <c r="F50" i="286"/>
  <c r="B50" i="286"/>
  <c r="F46" i="286"/>
  <c r="B46" i="286"/>
  <c r="F42" i="286"/>
  <c r="B42" i="286"/>
  <c r="F38" i="286"/>
  <c r="B38" i="286"/>
  <c r="P25" i="286"/>
  <c r="H23" i="286"/>
  <c r="P21" i="286"/>
  <c r="H19" i="286"/>
  <c r="P17" i="286"/>
  <c r="R16" i="286"/>
  <c r="P13" i="286"/>
  <c r="R12" i="286"/>
  <c r="E42" i="286"/>
  <c r="H26" i="286"/>
  <c r="H22" i="286"/>
  <c r="H18" i="286"/>
  <c r="E50" i="286"/>
  <c r="E46" i="286"/>
  <c r="E38" i="286"/>
  <c r="D50" i="286"/>
  <c r="D46" i="286"/>
  <c r="D42" i="286"/>
  <c r="D38" i="286"/>
  <c r="T74" i="291" l="1"/>
  <c r="T72" i="291"/>
  <c r="T71" i="291"/>
  <c r="S71" i="291"/>
  <c r="U71" i="291" s="1"/>
  <c r="T64" i="291"/>
  <c r="T63" i="291"/>
  <c r="S73" i="291"/>
  <c r="U73" i="291" s="1"/>
  <c r="S72" i="291"/>
  <c r="U72" i="291" s="1"/>
  <c r="U85" i="291"/>
  <c r="U70" i="316"/>
  <c r="F15" i="305"/>
  <c r="B17" i="305"/>
  <c r="F17" i="305" s="1"/>
  <c r="F15" i="297"/>
  <c r="B17" i="297"/>
  <c r="F17" i="297" s="1"/>
  <c r="C213" i="316"/>
  <c r="B217" i="316"/>
  <c r="U36" i="316"/>
  <c r="U61" i="316"/>
  <c r="U27" i="316"/>
  <c r="U73" i="316"/>
  <c r="A33" i="316"/>
  <c r="C29" i="316"/>
  <c r="V29" i="316" s="1"/>
  <c r="U72" i="316"/>
  <c r="A28" i="316"/>
  <c r="C24" i="316"/>
  <c r="V24" i="316" s="1"/>
  <c r="C22" i="316"/>
  <c r="V22" i="316" s="1"/>
  <c r="A26" i="316"/>
  <c r="D23" i="316"/>
  <c r="A27" i="316"/>
  <c r="C23" i="316"/>
  <c r="V23" i="316" s="1"/>
  <c r="E43" i="302"/>
  <c r="D43" i="302"/>
  <c r="E6" i="302"/>
  <c r="B23" i="292"/>
  <c r="C17" i="292"/>
  <c r="C19" i="292"/>
  <c r="S202" i="291"/>
  <c r="U202" i="291" s="1"/>
  <c r="N202" i="291"/>
  <c r="S122" i="291"/>
  <c r="U122" i="291" s="1"/>
  <c r="N122" i="291"/>
  <c r="S155" i="291"/>
  <c r="U155" i="291" s="1"/>
  <c r="N155" i="291"/>
  <c r="N151" i="291"/>
  <c r="S151" i="291"/>
  <c r="U151" i="291" s="1"/>
  <c r="N104" i="291"/>
  <c r="S104" i="291"/>
  <c r="U104" i="291" s="1"/>
  <c r="N125" i="291"/>
  <c r="S125" i="291"/>
  <c r="U125" i="291" s="1"/>
  <c r="S116" i="291"/>
  <c r="U116" i="291" s="1"/>
  <c r="N116" i="291"/>
  <c r="S75" i="291"/>
  <c r="U75" i="291" s="1"/>
  <c r="N75" i="291"/>
  <c r="N68" i="291"/>
  <c r="S68" i="291"/>
  <c r="U68" i="291" s="1"/>
  <c r="S194" i="291"/>
  <c r="U194" i="291" s="1"/>
  <c r="N194" i="291"/>
  <c r="S187" i="291"/>
  <c r="U187" i="291" s="1"/>
  <c r="N187" i="291"/>
  <c r="S129" i="291"/>
  <c r="U129" i="291" s="1"/>
  <c r="N129" i="291"/>
  <c r="S146" i="291"/>
  <c r="U146" i="291" s="1"/>
  <c r="N146" i="291"/>
  <c r="S171" i="291"/>
  <c r="U171" i="291" s="1"/>
  <c r="N171" i="291"/>
  <c r="N165" i="291"/>
  <c r="S165" i="291"/>
  <c r="U165" i="291" s="1"/>
  <c r="N173" i="291"/>
  <c r="S134" i="291"/>
  <c r="U134" i="291" s="1"/>
  <c r="N134" i="291"/>
  <c r="S123" i="291"/>
  <c r="U123" i="291" s="1"/>
  <c r="N123" i="291"/>
  <c r="S107" i="291"/>
  <c r="U107" i="291" s="1"/>
  <c r="N107" i="291"/>
  <c r="S88" i="291"/>
  <c r="U88" i="291" s="1"/>
  <c r="N88" i="291"/>
  <c r="S61" i="291"/>
  <c r="U61" i="291" s="1"/>
  <c r="N61" i="291"/>
  <c r="S89" i="291"/>
  <c r="U89" i="291" s="1"/>
  <c r="N89" i="291"/>
  <c r="N46" i="291"/>
  <c r="S46" i="291"/>
  <c r="U46" i="291" s="1"/>
  <c r="U58" i="291"/>
  <c r="S36" i="291"/>
  <c r="U36" i="291" s="1"/>
  <c r="N36" i="291"/>
  <c r="S28" i="291"/>
  <c r="U28" i="291" s="1"/>
  <c r="N28" i="291"/>
  <c r="S20" i="291"/>
  <c r="U20" i="291" s="1"/>
  <c r="N20" i="291"/>
  <c r="S12" i="291"/>
  <c r="U12" i="291" s="1"/>
  <c r="N12" i="291"/>
  <c r="N56" i="291"/>
  <c r="N91" i="291"/>
  <c r="S91" i="291"/>
  <c r="U91" i="291" s="1"/>
  <c r="N84" i="291"/>
  <c r="S84" i="291"/>
  <c r="U84" i="291" s="1"/>
  <c r="S86" i="291"/>
  <c r="U86" i="291" s="1"/>
  <c r="N86" i="291"/>
  <c r="S63" i="291"/>
  <c r="U63" i="291" s="1"/>
  <c r="N63" i="291"/>
  <c r="S64" i="291"/>
  <c r="U64" i="291" s="1"/>
  <c r="N64" i="291"/>
  <c r="S37" i="291"/>
  <c r="U37" i="291" s="1"/>
  <c r="N37" i="291"/>
  <c r="S31" i="291"/>
  <c r="U31" i="291" s="1"/>
  <c r="N31" i="291"/>
  <c r="S21" i="291"/>
  <c r="U21" i="291" s="1"/>
  <c r="N21" i="291"/>
  <c r="S15" i="291"/>
  <c r="U15" i="291" s="1"/>
  <c r="N15" i="291"/>
  <c r="N81" i="291"/>
  <c r="S81" i="291"/>
  <c r="U81" i="291" s="1"/>
  <c r="U74" i="291"/>
  <c r="N34" i="291"/>
  <c r="S34" i="291"/>
  <c r="U34" i="291" s="1"/>
  <c r="N18" i="291"/>
  <c r="S18" i="291"/>
  <c r="U18" i="291" s="1"/>
  <c r="N69" i="291"/>
  <c r="S47" i="291"/>
  <c r="U47" i="291" s="1"/>
  <c r="N47" i="291"/>
  <c r="S48" i="291"/>
  <c r="U48" i="291" s="1"/>
  <c r="N48" i="291"/>
  <c r="C16" i="291"/>
  <c r="V16" i="291" s="1"/>
  <c r="N8" i="291"/>
  <c r="S8" i="291"/>
  <c r="T8" i="291"/>
  <c r="N3" i="291"/>
  <c r="S3" i="291"/>
  <c r="U3" i="291" s="1"/>
  <c r="N189" i="291"/>
  <c r="S189" i="291"/>
  <c r="U189" i="291" s="1"/>
  <c r="S169" i="291"/>
  <c r="U169" i="291" s="1"/>
  <c r="N169" i="291"/>
  <c r="N174" i="291"/>
  <c r="S174" i="291"/>
  <c r="U174" i="291" s="1"/>
  <c r="S148" i="291"/>
  <c r="U148" i="291" s="1"/>
  <c r="N148" i="291"/>
  <c r="S132" i="291"/>
  <c r="U132" i="291" s="1"/>
  <c r="N132" i="291"/>
  <c r="S95" i="291"/>
  <c r="U95" i="291" s="1"/>
  <c r="N95" i="291"/>
  <c r="N83" i="291"/>
  <c r="S83" i="291"/>
  <c r="U83" i="291" s="1"/>
  <c r="N7" i="291"/>
  <c r="S7" i="291"/>
  <c r="U7" i="291" s="1"/>
  <c r="S161" i="291"/>
  <c r="U161" i="291" s="1"/>
  <c r="N161" i="291"/>
  <c r="S178" i="291"/>
  <c r="U178" i="291" s="1"/>
  <c r="N178" i="291"/>
  <c r="S114" i="291"/>
  <c r="U114" i="291" s="1"/>
  <c r="N114" i="291"/>
  <c r="S156" i="291"/>
  <c r="U156" i="291" s="1"/>
  <c r="N156" i="291"/>
  <c r="S142" i="291"/>
  <c r="U142" i="291" s="1"/>
  <c r="N142" i="291"/>
  <c r="S139" i="291"/>
  <c r="U139" i="291" s="1"/>
  <c r="N139" i="291"/>
  <c r="S193" i="291"/>
  <c r="U193" i="291" s="1"/>
  <c r="N193" i="291"/>
  <c r="S186" i="291"/>
  <c r="U186" i="291" s="1"/>
  <c r="N186" i="291"/>
  <c r="N197" i="291"/>
  <c r="S197" i="291"/>
  <c r="U197" i="291" s="1"/>
  <c r="S188" i="291"/>
  <c r="U188" i="291" s="1"/>
  <c r="N188" i="291"/>
  <c r="N181" i="291"/>
  <c r="S181" i="291"/>
  <c r="U181" i="291" s="1"/>
  <c r="S170" i="291"/>
  <c r="U170" i="291" s="1"/>
  <c r="N170" i="291"/>
  <c r="S166" i="291"/>
  <c r="U166" i="291" s="1"/>
  <c r="N166" i="291"/>
  <c r="S158" i="291"/>
  <c r="U158" i="291" s="1"/>
  <c r="N158" i="291"/>
  <c r="S121" i="291"/>
  <c r="U121" i="291" s="1"/>
  <c r="N121" i="291"/>
  <c r="N175" i="291"/>
  <c r="S175" i="291"/>
  <c r="U175" i="291" s="1"/>
  <c r="S138" i="291"/>
  <c r="U138" i="291" s="1"/>
  <c r="N138" i="291"/>
  <c r="N177" i="291"/>
  <c r="S163" i="291"/>
  <c r="U163" i="291" s="1"/>
  <c r="N163" i="291"/>
  <c r="U173" i="291"/>
  <c r="N152" i="291"/>
  <c r="S152" i="291"/>
  <c r="U152" i="291" s="1"/>
  <c r="S106" i="291"/>
  <c r="U106" i="291" s="1"/>
  <c r="N106" i="291"/>
  <c r="S149" i="291"/>
  <c r="U149" i="291" s="1"/>
  <c r="N149" i="291"/>
  <c r="S140" i="291"/>
  <c r="U140" i="291" s="1"/>
  <c r="N140" i="291"/>
  <c r="N133" i="291"/>
  <c r="S133" i="291"/>
  <c r="U133" i="291" s="1"/>
  <c r="S124" i="291"/>
  <c r="U124" i="291" s="1"/>
  <c r="N124" i="291"/>
  <c r="N117" i="291"/>
  <c r="S117" i="291"/>
  <c r="U117" i="291" s="1"/>
  <c r="S108" i="291"/>
  <c r="U108" i="291" s="1"/>
  <c r="N108" i="291"/>
  <c r="S98" i="291"/>
  <c r="U98" i="291" s="1"/>
  <c r="N98" i="291"/>
  <c r="S87" i="291"/>
  <c r="U87" i="291" s="1"/>
  <c r="N87" i="291"/>
  <c r="S59" i="291"/>
  <c r="U59" i="291" s="1"/>
  <c r="N59" i="291"/>
  <c r="N97" i="291"/>
  <c r="S97" i="291"/>
  <c r="U97" i="291" s="1"/>
  <c r="N78" i="291"/>
  <c r="S78" i="291"/>
  <c r="U78" i="291" s="1"/>
  <c r="N50" i="291"/>
  <c r="S50" i="291"/>
  <c r="U50" i="291" s="1"/>
  <c r="N92" i="291"/>
  <c r="S92" i="291"/>
  <c r="U92" i="291" s="1"/>
  <c r="S94" i="291"/>
  <c r="U94" i="291" s="1"/>
  <c r="N94" i="291"/>
  <c r="U70" i="291"/>
  <c r="S65" i="291"/>
  <c r="U65" i="291" s="1"/>
  <c r="N65" i="291"/>
  <c r="T65" i="291"/>
  <c r="N53" i="291"/>
  <c r="S53" i="291"/>
  <c r="U53" i="291" s="1"/>
  <c r="S35" i="291"/>
  <c r="U35" i="291" s="1"/>
  <c r="N35" i="291"/>
  <c r="S25" i="291"/>
  <c r="U25" i="291" s="1"/>
  <c r="N25" i="291"/>
  <c r="S19" i="291"/>
  <c r="U19" i="291" s="1"/>
  <c r="N19" i="291"/>
  <c r="U93" i="291"/>
  <c r="U69" i="291"/>
  <c r="N40" i="291"/>
  <c r="S40" i="291"/>
  <c r="U40" i="291" s="1"/>
  <c r="N30" i="291"/>
  <c r="S30" i="291"/>
  <c r="U30" i="291" s="1"/>
  <c r="C18" i="291"/>
  <c r="V18" i="291" s="1"/>
  <c r="A22" i="291"/>
  <c r="U67" i="291"/>
  <c r="U55" i="291"/>
  <c r="S49" i="291"/>
  <c r="U49" i="291" s="1"/>
  <c r="N49" i="291"/>
  <c r="D15" i="291"/>
  <c r="C15" i="291"/>
  <c r="V15" i="291" s="1"/>
  <c r="A19" i="291"/>
  <c r="A24" i="291"/>
  <c r="C20" i="291"/>
  <c r="V20" i="291" s="1"/>
  <c r="N10" i="291"/>
  <c r="S10" i="291"/>
  <c r="S9" i="291"/>
  <c r="U9" i="291" s="1"/>
  <c r="N9" i="291"/>
  <c r="S6" i="291"/>
  <c r="U6" i="291" s="1"/>
  <c r="N6" i="291"/>
  <c r="S196" i="291"/>
  <c r="U196" i="291" s="1"/>
  <c r="N196" i="291"/>
  <c r="S180" i="291"/>
  <c r="U180" i="291" s="1"/>
  <c r="N180" i="291"/>
  <c r="S137" i="291"/>
  <c r="U137" i="291" s="1"/>
  <c r="N137" i="291"/>
  <c r="N176" i="291"/>
  <c r="S176" i="291"/>
  <c r="U176" i="291" s="1"/>
  <c r="N141" i="291"/>
  <c r="S141" i="291"/>
  <c r="U141" i="291" s="1"/>
  <c r="N109" i="291"/>
  <c r="S109" i="291"/>
  <c r="U109" i="291" s="1"/>
  <c r="N43" i="291"/>
  <c r="S43" i="291"/>
  <c r="U43" i="291" s="1"/>
  <c r="S33" i="291"/>
  <c r="U33" i="291" s="1"/>
  <c r="N33" i="291"/>
  <c r="S27" i="291"/>
  <c r="U27" i="291" s="1"/>
  <c r="N27" i="291"/>
  <c r="S17" i="291"/>
  <c r="U17" i="291" s="1"/>
  <c r="N17" i="291"/>
  <c r="S11" i="291"/>
  <c r="U11" i="291" s="1"/>
  <c r="N11" i="291"/>
  <c r="S79" i="291"/>
  <c r="U79" i="291" s="1"/>
  <c r="N79" i="291"/>
  <c r="S80" i="291"/>
  <c r="U80" i="291" s="1"/>
  <c r="N80" i="291"/>
  <c r="S52" i="291"/>
  <c r="U52" i="291" s="1"/>
  <c r="N52" i="291"/>
  <c r="N38" i="291"/>
  <c r="S38" i="291"/>
  <c r="U38" i="291" s="1"/>
  <c r="N22" i="291"/>
  <c r="S22" i="291"/>
  <c r="U22" i="291" s="1"/>
  <c r="S201" i="291"/>
  <c r="U201" i="291" s="1"/>
  <c r="N201" i="291"/>
  <c r="S185" i="291"/>
  <c r="U185" i="291" s="1"/>
  <c r="N185" i="291"/>
  <c r="S195" i="291"/>
  <c r="U195" i="291" s="1"/>
  <c r="N195" i="291"/>
  <c r="S179" i="291"/>
  <c r="U179" i="291" s="1"/>
  <c r="N179" i="291"/>
  <c r="S162" i="291"/>
  <c r="U162" i="291" s="1"/>
  <c r="N162" i="291"/>
  <c r="S145" i="291"/>
  <c r="U145" i="291" s="1"/>
  <c r="N145" i="291"/>
  <c r="S113" i="291"/>
  <c r="U113" i="291" s="1"/>
  <c r="N113" i="291"/>
  <c r="S130" i="291"/>
  <c r="U130" i="291" s="1"/>
  <c r="N130" i="291"/>
  <c r="U198" i="291"/>
  <c r="U177" i="291"/>
  <c r="S172" i="291"/>
  <c r="U172" i="291" s="1"/>
  <c r="N172" i="291"/>
  <c r="S164" i="291"/>
  <c r="U164" i="291" s="1"/>
  <c r="N164" i="291"/>
  <c r="N157" i="291"/>
  <c r="S157" i="291"/>
  <c r="U157" i="291" s="1"/>
  <c r="S154" i="291"/>
  <c r="U154" i="291" s="1"/>
  <c r="N154" i="291"/>
  <c r="S105" i="291"/>
  <c r="U105" i="291" s="1"/>
  <c r="N105" i="291"/>
  <c r="N150" i="291"/>
  <c r="S150" i="291"/>
  <c r="U150" i="291" s="1"/>
  <c r="S147" i="291"/>
  <c r="U147" i="291" s="1"/>
  <c r="N147" i="291"/>
  <c r="S131" i="291"/>
  <c r="U131" i="291" s="1"/>
  <c r="N131" i="291"/>
  <c r="S115" i="291"/>
  <c r="U115" i="291" s="1"/>
  <c r="N115" i="291"/>
  <c r="N101" i="291"/>
  <c r="S101" i="291"/>
  <c r="U101" i="291" s="1"/>
  <c r="S77" i="291"/>
  <c r="U77" i="291" s="1"/>
  <c r="N77" i="291"/>
  <c r="S45" i="291"/>
  <c r="U45" i="291" s="1"/>
  <c r="N45" i="291"/>
  <c r="N96" i="291"/>
  <c r="S96" i="291"/>
  <c r="U96" i="291" s="1"/>
  <c r="S62" i="291"/>
  <c r="U62" i="291" s="1"/>
  <c r="N62" i="291"/>
  <c r="T42" i="291"/>
  <c r="U42" i="291" s="1"/>
  <c r="N42" i="291"/>
  <c r="S32" i="291"/>
  <c r="U32" i="291" s="1"/>
  <c r="N32" i="291"/>
  <c r="S24" i="291"/>
  <c r="U24" i="291" s="1"/>
  <c r="N24" i="291"/>
  <c r="S16" i="291"/>
  <c r="U16" i="291" s="1"/>
  <c r="N16" i="291"/>
  <c r="N41" i="291"/>
  <c r="N90" i="291"/>
  <c r="N51" i="291"/>
  <c r="S51" i="291"/>
  <c r="U51" i="291" s="1"/>
  <c r="S39" i="291"/>
  <c r="U39" i="291" s="1"/>
  <c r="N39" i="291"/>
  <c r="S29" i="291"/>
  <c r="U29" i="291" s="1"/>
  <c r="N29" i="291"/>
  <c r="S23" i="291"/>
  <c r="U23" i="291" s="1"/>
  <c r="N23" i="291"/>
  <c r="S13" i="291"/>
  <c r="U13" i="291" s="1"/>
  <c r="N13" i="291"/>
  <c r="N82" i="291"/>
  <c r="S82" i="291"/>
  <c r="U82" i="291" s="1"/>
  <c r="N66" i="291"/>
  <c r="N26" i="291"/>
  <c r="S26" i="291"/>
  <c r="U26" i="291" s="1"/>
  <c r="N14" i="291"/>
  <c r="S14" i="291"/>
  <c r="U14" i="291" s="1"/>
  <c r="N67" i="291"/>
  <c r="N54" i="291"/>
  <c r="U56" i="291"/>
  <c r="A49" i="291"/>
  <c r="C45" i="291"/>
  <c r="V45" i="291" s="1"/>
  <c r="T10" i="291"/>
  <c r="S4" i="291"/>
  <c r="U4" i="291" s="1"/>
  <c r="N4" i="291"/>
  <c r="N5" i="291"/>
  <c r="S5" i="291"/>
  <c r="U5" i="291" s="1"/>
  <c r="I23" i="286"/>
  <c r="R23" i="286"/>
  <c r="R18" i="286"/>
  <c r="I18" i="286"/>
  <c r="R19" i="286"/>
  <c r="I19" i="286"/>
  <c r="R24" i="286"/>
  <c r="R22" i="286"/>
  <c r="I22" i="286"/>
  <c r="R20" i="286"/>
  <c r="R26" i="286"/>
  <c r="I26" i="286"/>
  <c r="C217" i="316" l="1"/>
  <c r="B221" i="316"/>
  <c r="C221" i="316" s="1"/>
  <c r="A32" i="316"/>
  <c r="C28" i="316"/>
  <c r="V28" i="316" s="1"/>
  <c r="C26" i="316"/>
  <c r="V26" i="316" s="1"/>
  <c r="A30" i="316"/>
  <c r="D27" i="316"/>
  <c r="A31" i="316"/>
  <c r="C27" i="316"/>
  <c r="V27" i="316" s="1"/>
  <c r="A37" i="316"/>
  <c r="C33" i="316"/>
  <c r="V33" i="316" s="1"/>
  <c r="A53" i="291"/>
  <c r="C49" i="291"/>
  <c r="V49" i="291" s="1"/>
  <c r="A28" i="291"/>
  <c r="C24" i="291"/>
  <c r="V24" i="291" s="1"/>
  <c r="C22" i="291"/>
  <c r="V22" i="291" s="1"/>
  <c r="A26" i="291"/>
  <c r="U10" i="291"/>
  <c r="D19" i="291"/>
  <c r="C19" i="291"/>
  <c r="V19" i="291" s="1"/>
  <c r="A23" i="291"/>
  <c r="U8" i="291"/>
  <c r="U207" i="291"/>
  <c r="U208" i="291" s="1"/>
  <c r="A41" i="316" l="1"/>
  <c r="C37" i="316"/>
  <c r="V37" i="316" s="1"/>
  <c r="C30" i="316"/>
  <c r="V30" i="316" s="1"/>
  <c r="A34" i="316"/>
  <c r="D31" i="316"/>
  <c r="C31" i="316"/>
  <c r="V31" i="316" s="1"/>
  <c r="A35" i="316"/>
  <c r="A36" i="316"/>
  <c r="C32" i="316"/>
  <c r="V32" i="316" s="1"/>
  <c r="A32" i="291"/>
  <c r="C28" i="291"/>
  <c r="V28" i="291" s="1"/>
  <c r="D23" i="291"/>
  <c r="C23" i="291"/>
  <c r="V23" i="291" s="1"/>
  <c r="A27" i="291"/>
  <c r="C26" i="291"/>
  <c r="V26" i="291" s="1"/>
  <c r="A30" i="291"/>
  <c r="C53" i="291"/>
  <c r="V53" i="291" s="1"/>
  <c r="A57" i="291"/>
  <c r="A45" i="316" l="1"/>
  <c r="C41" i="316"/>
  <c r="V41" i="316" s="1"/>
  <c r="A40" i="316"/>
  <c r="C36" i="316"/>
  <c r="V36" i="316" s="1"/>
  <c r="C34" i="316"/>
  <c r="V34" i="316" s="1"/>
  <c r="A38" i="316"/>
  <c r="D35" i="316"/>
  <c r="C35" i="316"/>
  <c r="V35" i="316" s="1"/>
  <c r="A39" i="316"/>
  <c r="C30" i="291"/>
  <c r="V30" i="291" s="1"/>
  <c r="A34" i="291"/>
  <c r="A61" i="291"/>
  <c r="C57" i="291"/>
  <c r="V57" i="291" s="1"/>
  <c r="D27" i="291"/>
  <c r="C27" i="291"/>
  <c r="V27" i="291" s="1"/>
  <c r="A31" i="291"/>
  <c r="A36" i="291"/>
  <c r="C32" i="291"/>
  <c r="V32" i="291" s="1"/>
  <c r="D39" i="316" l="1"/>
  <c r="C39" i="316"/>
  <c r="V39" i="316" s="1"/>
  <c r="A43" i="316"/>
  <c r="C45" i="316"/>
  <c r="V45" i="316" s="1"/>
  <c r="A49" i="316"/>
  <c r="A44" i="316"/>
  <c r="C40" i="316"/>
  <c r="V40" i="316" s="1"/>
  <c r="C38" i="316"/>
  <c r="V38" i="316" s="1"/>
  <c r="A42" i="316"/>
  <c r="D31" i="291"/>
  <c r="C31" i="291"/>
  <c r="V31" i="291" s="1"/>
  <c r="A35" i="291"/>
  <c r="A65" i="291"/>
  <c r="C61" i="291"/>
  <c r="V61" i="291" s="1"/>
  <c r="A40" i="291"/>
  <c r="C36" i="291"/>
  <c r="V36" i="291" s="1"/>
  <c r="C34" i="291"/>
  <c r="V34" i="291" s="1"/>
  <c r="A38" i="291"/>
  <c r="C42" i="316" l="1"/>
  <c r="V42" i="316" s="1"/>
  <c r="A46" i="316"/>
  <c r="A53" i="316"/>
  <c r="C49" i="316"/>
  <c r="V49" i="316" s="1"/>
  <c r="A47" i="316"/>
  <c r="C43" i="316"/>
  <c r="V43" i="316" s="1"/>
  <c r="A48" i="316"/>
  <c r="C44" i="316"/>
  <c r="V44" i="316" s="1"/>
  <c r="D35" i="291"/>
  <c r="C35" i="291"/>
  <c r="V35" i="291" s="1"/>
  <c r="A39" i="291"/>
  <c r="A69" i="291"/>
  <c r="C65" i="291"/>
  <c r="V65" i="291" s="1"/>
  <c r="C40" i="291"/>
  <c r="V40" i="291" s="1"/>
  <c r="A44" i="291"/>
  <c r="A42" i="291"/>
  <c r="C38" i="291"/>
  <c r="V38" i="291" s="1"/>
  <c r="C48" i="316" l="1"/>
  <c r="V48" i="316" s="1"/>
  <c r="A52" i="316"/>
  <c r="A57" i="316"/>
  <c r="C53" i="316"/>
  <c r="V53" i="316" s="1"/>
  <c r="A50" i="316"/>
  <c r="C46" i="316"/>
  <c r="V46" i="316" s="1"/>
  <c r="A51" i="316"/>
  <c r="C47" i="316"/>
  <c r="V47" i="316" s="1"/>
  <c r="C69" i="291"/>
  <c r="V69" i="291" s="1"/>
  <c r="A73" i="291"/>
  <c r="A48" i="291"/>
  <c r="C44" i="291"/>
  <c r="V44" i="291" s="1"/>
  <c r="A43" i="291"/>
  <c r="D39" i="291"/>
  <c r="C39" i="291"/>
  <c r="V39" i="291" s="1"/>
  <c r="A46" i="291"/>
  <c r="C42" i="291"/>
  <c r="V42" i="291" s="1"/>
  <c r="A55" i="316" l="1"/>
  <c r="C51" i="316"/>
  <c r="V51" i="316" s="1"/>
  <c r="A61" i="316"/>
  <c r="C57" i="316"/>
  <c r="V57" i="316" s="1"/>
  <c r="A56" i="316"/>
  <c r="C52" i="316"/>
  <c r="V52" i="316" s="1"/>
  <c r="A54" i="316"/>
  <c r="C50" i="316"/>
  <c r="V50" i="316" s="1"/>
  <c r="C43" i="291"/>
  <c r="V43" i="291" s="1"/>
  <c r="A47" i="291"/>
  <c r="A50" i="291"/>
  <c r="C46" i="291"/>
  <c r="V46" i="291" s="1"/>
  <c r="A52" i="291"/>
  <c r="C48" i="291"/>
  <c r="V48" i="291" s="1"/>
  <c r="A77" i="291"/>
  <c r="C73" i="291"/>
  <c r="V73" i="291" s="1"/>
  <c r="A58" i="316" l="1"/>
  <c r="C54" i="316"/>
  <c r="V54" i="316" s="1"/>
  <c r="A65" i="316"/>
  <c r="C61" i="316"/>
  <c r="V61" i="316" s="1"/>
  <c r="A60" i="316"/>
  <c r="C56" i="316"/>
  <c r="V56" i="316" s="1"/>
  <c r="C55" i="316"/>
  <c r="V55" i="316" s="1"/>
  <c r="A59" i="316"/>
  <c r="A81" i="291"/>
  <c r="C77" i="291"/>
  <c r="V77" i="291" s="1"/>
  <c r="C50" i="291"/>
  <c r="V50" i="291" s="1"/>
  <c r="A54" i="291"/>
  <c r="C47" i="291"/>
  <c r="V47" i="291" s="1"/>
  <c r="A51" i="291"/>
  <c r="C52" i="291"/>
  <c r="V52" i="291" s="1"/>
  <c r="A56" i="291"/>
  <c r="A63" i="316" l="1"/>
  <c r="C59" i="316"/>
  <c r="V59" i="316" s="1"/>
  <c r="C65" i="316"/>
  <c r="V65" i="316" s="1"/>
  <c r="A69" i="316"/>
  <c r="A64" i="316"/>
  <c r="C60" i="316"/>
  <c r="V60" i="316" s="1"/>
  <c r="C58" i="316"/>
  <c r="V58" i="316" s="1"/>
  <c r="A62" i="316"/>
  <c r="C56" i="291"/>
  <c r="V56" i="291" s="1"/>
  <c r="A60" i="291"/>
  <c r="A55" i="291"/>
  <c r="C51" i="291"/>
  <c r="V51" i="291" s="1"/>
  <c r="A58" i="291"/>
  <c r="C54" i="291"/>
  <c r="V54" i="291" s="1"/>
  <c r="A85" i="291"/>
  <c r="C81" i="291"/>
  <c r="V81" i="291" s="1"/>
  <c r="A68" i="316" l="1"/>
  <c r="C64" i="316"/>
  <c r="V64" i="316" s="1"/>
  <c r="A67" i="316"/>
  <c r="C63" i="316"/>
  <c r="V63" i="316" s="1"/>
  <c r="A66" i="316"/>
  <c r="C62" i="316"/>
  <c r="V62" i="316" s="1"/>
  <c r="A73" i="316"/>
  <c r="C69" i="316"/>
  <c r="V69" i="316" s="1"/>
  <c r="A89" i="291"/>
  <c r="C85" i="291"/>
  <c r="V85" i="291" s="1"/>
  <c r="A59" i="291"/>
  <c r="C55" i="291"/>
  <c r="V55" i="291" s="1"/>
  <c r="A64" i="291"/>
  <c r="C60" i="291"/>
  <c r="V60" i="291" s="1"/>
  <c r="A62" i="291"/>
  <c r="C58" i="291"/>
  <c r="V58" i="291" s="1"/>
  <c r="C73" i="316" l="1"/>
  <c r="V73" i="316" s="1"/>
  <c r="A77" i="316"/>
  <c r="C67" i="316"/>
  <c r="V67" i="316" s="1"/>
  <c r="A71" i="316"/>
  <c r="A70" i="316"/>
  <c r="C66" i="316"/>
  <c r="V66" i="316" s="1"/>
  <c r="A72" i="316"/>
  <c r="C68" i="316"/>
  <c r="V68" i="316" s="1"/>
  <c r="A66" i="291"/>
  <c r="C62" i="291"/>
  <c r="V62" i="291" s="1"/>
  <c r="C59" i="291"/>
  <c r="V59" i="291" s="1"/>
  <c r="A63" i="291"/>
  <c r="A68" i="291"/>
  <c r="C64" i="291"/>
  <c r="V64" i="291" s="1"/>
  <c r="A93" i="291"/>
  <c r="C89" i="291"/>
  <c r="V89" i="291" s="1"/>
  <c r="C70" i="316" l="1"/>
  <c r="V70" i="316" s="1"/>
  <c r="A74" i="316"/>
  <c r="A75" i="316"/>
  <c r="C71" i="316"/>
  <c r="V71" i="316" s="1"/>
  <c r="A76" i="316"/>
  <c r="C72" i="316"/>
  <c r="V72" i="316" s="1"/>
  <c r="A81" i="316"/>
  <c r="C77" i="316"/>
  <c r="V77" i="316" s="1"/>
  <c r="C63" i="291"/>
  <c r="V63" i="291" s="1"/>
  <c r="A67" i="291"/>
  <c r="A97" i="291"/>
  <c r="C93" i="291"/>
  <c r="V93" i="291" s="1"/>
  <c r="C68" i="291"/>
  <c r="V68" i="291" s="1"/>
  <c r="A72" i="291"/>
  <c r="C66" i="291"/>
  <c r="V66" i="291" s="1"/>
  <c r="A70" i="291"/>
  <c r="C76" i="316" l="1"/>
  <c r="V76" i="316" s="1"/>
  <c r="A80" i="316"/>
  <c r="A85" i="316"/>
  <c r="C81" i="316"/>
  <c r="V81" i="316" s="1"/>
  <c r="A79" i="316"/>
  <c r="C75" i="316"/>
  <c r="V75" i="316" s="1"/>
  <c r="A78" i="316"/>
  <c r="C74" i="316"/>
  <c r="V74" i="316" s="1"/>
  <c r="A101" i="291"/>
  <c r="C97" i="291"/>
  <c r="V97" i="291" s="1"/>
  <c r="A74" i="291"/>
  <c r="C70" i="291"/>
  <c r="V70" i="291" s="1"/>
  <c r="C72" i="291"/>
  <c r="V72" i="291" s="1"/>
  <c r="A76" i="291"/>
  <c r="A71" i="291"/>
  <c r="C67" i="291"/>
  <c r="V67" i="291" s="1"/>
  <c r="A89" i="316" l="1"/>
  <c r="C85" i="316"/>
  <c r="V85" i="316" s="1"/>
  <c r="A84" i="316"/>
  <c r="C80" i="316"/>
  <c r="V80" i="316" s="1"/>
  <c r="A82" i="316"/>
  <c r="C78" i="316"/>
  <c r="V78" i="316" s="1"/>
  <c r="A83" i="316"/>
  <c r="C79" i="316"/>
  <c r="V79" i="316" s="1"/>
  <c r="A75" i="291"/>
  <c r="C71" i="291"/>
  <c r="V71" i="291" s="1"/>
  <c r="A78" i="291"/>
  <c r="C74" i="291"/>
  <c r="V74" i="291" s="1"/>
  <c r="A80" i="291"/>
  <c r="C76" i="291"/>
  <c r="V76" i="291" s="1"/>
  <c r="A105" i="291"/>
  <c r="C101" i="291"/>
  <c r="V101" i="291" s="1"/>
  <c r="C82" i="316" l="1"/>
  <c r="V82" i="316" s="1"/>
  <c r="A86" i="316"/>
  <c r="A87" i="316"/>
  <c r="C83" i="316"/>
  <c r="V83" i="316" s="1"/>
  <c r="A88" i="316"/>
  <c r="C84" i="316"/>
  <c r="V84" i="316" s="1"/>
  <c r="A93" i="316"/>
  <c r="C89" i="316"/>
  <c r="V89" i="316" s="1"/>
  <c r="A109" i="291"/>
  <c r="C105" i="291"/>
  <c r="V105" i="291" s="1"/>
  <c r="A82" i="291"/>
  <c r="C78" i="291"/>
  <c r="V78" i="291" s="1"/>
  <c r="A84" i="291"/>
  <c r="C80" i="291"/>
  <c r="V80" i="291" s="1"/>
  <c r="A79" i="291"/>
  <c r="C75" i="291"/>
  <c r="V75" i="291" s="1"/>
  <c r="A97" i="316" l="1"/>
  <c r="C93" i="316"/>
  <c r="V93" i="316" s="1"/>
  <c r="A91" i="316"/>
  <c r="C87" i="316"/>
  <c r="V87" i="316" s="1"/>
  <c r="A90" i="316"/>
  <c r="C86" i="316"/>
  <c r="V86" i="316" s="1"/>
  <c r="A92" i="316"/>
  <c r="C88" i="316"/>
  <c r="V88" i="316" s="1"/>
  <c r="C79" i="291"/>
  <c r="V79" i="291" s="1"/>
  <c r="A83" i="291"/>
  <c r="A86" i="291"/>
  <c r="C82" i="291"/>
  <c r="V82" i="291" s="1"/>
  <c r="A88" i="291"/>
  <c r="C84" i="291"/>
  <c r="V84" i="291" s="1"/>
  <c r="A113" i="291"/>
  <c r="C109" i="291"/>
  <c r="V109" i="291" s="1"/>
  <c r="C92" i="316" l="1"/>
  <c r="V92" i="316" s="1"/>
  <c r="A96" i="316"/>
  <c r="A95" i="316"/>
  <c r="C91" i="316"/>
  <c r="V91" i="316" s="1"/>
  <c r="A94" i="316"/>
  <c r="C90" i="316"/>
  <c r="V90" i="316" s="1"/>
  <c r="A101" i="316"/>
  <c r="C97" i="316"/>
  <c r="V97" i="316" s="1"/>
  <c r="A117" i="291"/>
  <c r="C113" i="291"/>
  <c r="V113" i="291" s="1"/>
  <c r="A90" i="291"/>
  <c r="C86" i="291"/>
  <c r="V86" i="291" s="1"/>
  <c r="A87" i="291"/>
  <c r="C83" i="291"/>
  <c r="V83" i="291" s="1"/>
  <c r="A92" i="291"/>
  <c r="C88" i="291"/>
  <c r="V88" i="291" s="1"/>
  <c r="A98" i="316" l="1"/>
  <c r="C94" i="316"/>
  <c r="V94" i="316" s="1"/>
  <c r="A105" i="316"/>
  <c r="C101" i="316"/>
  <c r="V101" i="316" s="1"/>
  <c r="A99" i="316"/>
  <c r="C95" i="316"/>
  <c r="V95" i="316" s="1"/>
  <c r="A100" i="316"/>
  <c r="C96" i="316"/>
  <c r="V96" i="316" s="1"/>
  <c r="A96" i="291"/>
  <c r="C92" i="291"/>
  <c r="V92" i="291" s="1"/>
  <c r="A94" i="291"/>
  <c r="C90" i="291"/>
  <c r="V90" i="291" s="1"/>
  <c r="C87" i="291"/>
  <c r="V87" i="291" s="1"/>
  <c r="A91" i="291"/>
  <c r="A121" i="291"/>
  <c r="C117" i="291"/>
  <c r="V117" i="291" s="1"/>
  <c r="C100" i="316" l="1"/>
  <c r="V100" i="316" s="1"/>
  <c r="A104" i="316"/>
  <c r="A109" i="316"/>
  <c r="C105" i="316"/>
  <c r="V105" i="316" s="1"/>
  <c r="A103" i="316"/>
  <c r="C99" i="316"/>
  <c r="V99" i="316" s="1"/>
  <c r="A102" i="316"/>
  <c r="C98" i="316"/>
  <c r="V98" i="316" s="1"/>
  <c r="A125" i="291"/>
  <c r="C121" i="291"/>
  <c r="V121" i="291" s="1"/>
  <c r="A98" i="291"/>
  <c r="C94" i="291"/>
  <c r="V94" i="291" s="1"/>
  <c r="A95" i="291"/>
  <c r="C91" i="291"/>
  <c r="V91" i="291" s="1"/>
  <c r="A100" i="291"/>
  <c r="C96" i="291"/>
  <c r="V96" i="291" s="1"/>
  <c r="A106" i="316" l="1"/>
  <c r="C102" i="316"/>
  <c r="V102" i="316" s="1"/>
  <c r="A113" i="316"/>
  <c r="C109" i="316"/>
  <c r="V109" i="316" s="1"/>
  <c r="A108" i="316"/>
  <c r="C104" i="316"/>
  <c r="V104" i="316" s="1"/>
  <c r="A107" i="316"/>
  <c r="C103" i="316"/>
  <c r="V103" i="316" s="1"/>
  <c r="A104" i="291"/>
  <c r="C100" i="291"/>
  <c r="V100" i="291" s="1"/>
  <c r="A102" i="291"/>
  <c r="C98" i="291"/>
  <c r="V98" i="291" s="1"/>
  <c r="A99" i="291"/>
  <c r="C95" i="291"/>
  <c r="V95" i="291" s="1"/>
  <c r="A129" i="291"/>
  <c r="C125" i="291"/>
  <c r="V125" i="291" s="1"/>
  <c r="A111" i="316" l="1"/>
  <c r="C107" i="316"/>
  <c r="V107" i="316" s="1"/>
  <c r="A117" i="316"/>
  <c r="C113" i="316"/>
  <c r="V113" i="316" s="1"/>
  <c r="A112" i="316"/>
  <c r="C108" i="316"/>
  <c r="V108" i="316" s="1"/>
  <c r="C106" i="316"/>
  <c r="V106" i="316" s="1"/>
  <c r="A110" i="316"/>
  <c r="A133" i="291"/>
  <c r="C129" i="291"/>
  <c r="V129" i="291" s="1"/>
  <c r="A106" i="291"/>
  <c r="C102" i="291"/>
  <c r="V102" i="291" s="1"/>
  <c r="A103" i="291"/>
  <c r="C99" i="291"/>
  <c r="V99" i="291" s="1"/>
  <c r="A108" i="291"/>
  <c r="C104" i="291"/>
  <c r="V104" i="291" s="1"/>
  <c r="T66" i="110"/>
  <c r="P207" i="285"/>
  <c r="Q216" i="285"/>
  <c r="Q215" i="285"/>
  <c r="Q214" i="285"/>
  <c r="Q213" i="285"/>
  <c r="J207" i="285"/>
  <c r="T207" i="285"/>
  <c r="T208" i="285" s="1"/>
  <c r="J208" i="285"/>
  <c r="P208" i="285"/>
  <c r="K207" i="285"/>
  <c r="K208" i="285" s="1"/>
  <c r="Q208" i="285"/>
  <c r="Q207" i="285"/>
  <c r="U208" i="285"/>
  <c r="U207" i="285"/>
  <c r="G41" i="126"/>
  <c r="S187" i="285"/>
  <c r="T187" i="285"/>
  <c r="S188" i="285"/>
  <c r="T188" i="285"/>
  <c r="S189" i="285"/>
  <c r="U189" i="285" s="1"/>
  <c r="T189" i="285"/>
  <c r="S190" i="285"/>
  <c r="T190" i="285"/>
  <c r="S191" i="285"/>
  <c r="T191" i="285"/>
  <c r="S192" i="285"/>
  <c r="T192" i="285"/>
  <c r="U192" i="285" s="1"/>
  <c r="S193" i="285"/>
  <c r="T193" i="285"/>
  <c r="S194" i="285"/>
  <c r="T194" i="285"/>
  <c r="S195" i="285"/>
  <c r="T195" i="285"/>
  <c r="S196" i="285"/>
  <c r="T196" i="285"/>
  <c r="U196" i="285" s="1"/>
  <c r="S197" i="285"/>
  <c r="T197" i="285"/>
  <c r="S198" i="285"/>
  <c r="T198" i="285"/>
  <c r="S199" i="285"/>
  <c r="T199" i="285"/>
  <c r="S200" i="285"/>
  <c r="T200" i="285"/>
  <c r="U200" i="285" s="1"/>
  <c r="S201" i="285"/>
  <c r="T201" i="285"/>
  <c r="S202" i="285"/>
  <c r="T202" i="285"/>
  <c r="U193" i="285"/>
  <c r="U191" i="285"/>
  <c r="U187" i="285"/>
  <c r="T186" i="285"/>
  <c r="S186" i="285"/>
  <c r="T185" i="285"/>
  <c r="S185" i="285"/>
  <c r="U185" i="285" s="1"/>
  <c r="T184" i="285"/>
  <c r="S184" i="285"/>
  <c r="T183" i="285"/>
  <c r="S183" i="285"/>
  <c r="U183" i="285" s="1"/>
  <c r="T182" i="285"/>
  <c r="S182" i="285"/>
  <c r="T181" i="285"/>
  <c r="S181" i="285"/>
  <c r="U181" i="285" s="1"/>
  <c r="T180" i="285"/>
  <c r="U180" i="285" s="1"/>
  <c r="S180" i="285"/>
  <c r="T179" i="285"/>
  <c r="S179" i="285"/>
  <c r="U179" i="285" s="1"/>
  <c r="T178" i="285"/>
  <c r="S178" i="285"/>
  <c r="T177" i="285"/>
  <c r="S177" i="285"/>
  <c r="U177" i="285" s="1"/>
  <c r="T176" i="285"/>
  <c r="S176" i="285"/>
  <c r="T175" i="285"/>
  <c r="S175" i="285"/>
  <c r="U175" i="285" s="1"/>
  <c r="T174" i="285"/>
  <c r="S174" i="285"/>
  <c r="T173" i="285"/>
  <c r="S173" i="285"/>
  <c r="U173" i="285" s="1"/>
  <c r="T172" i="285"/>
  <c r="S172" i="285"/>
  <c r="T171" i="285"/>
  <c r="S171" i="285"/>
  <c r="U171" i="285" s="1"/>
  <c r="T170" i="285"/>
  <c r="S170" i="285"/>
  <c r="T169" i="285"/>
  <c r="S169" i="285"/>
  <c r="U169" i="285" s="1"/>
  <c r="T168" i="285"/>
  <c r="S168" i="285"/>
  <c r="T167" i="285"/>
  <c r="S167" i="285"/>
  <c r="U167" i="285" s="1"/>
  <c r="T166" i="285"/>
  <c r="S166" i="285"/>
  <c r="T165" i="285"/>
  <c r="S165" i="285"/>
  <c r="U165" i="285" s="1"/>
  <c r="T164" i="285"/>
  <c r="S164" i="285"/>
  <c r="T163" i="285"/>
  <c r="S163" i="285"/>
  <c r="U163" i="285" s="1"/>
  <c r="Q183" i="285"/>
  <c r="Q187" i="285"/>
  <c r="Q191" i="285"/>
  <c r="Q195" i="285"/>
  <c r="Q199" i="285"/>
  <c r="Q175" i="285"/>
  <c r="Q179" i="285"/>
  <c r="Q171" i="285"/>
  <c r="Q167" i="285"/>
  <c r="Q163" i="285"/>
  <c r="L187" i="285"/>
  <c r="M187" i="285"/>
  <c r="L188" i="285"/>
  <c r="N188" i="285" s="1"/>
  <c r="M188" i="285"/>
  <c r="L189" i="285"/>
  <c r="M189" i="285"/>
  <c r="L190" i="285"/>
  <c r="M190" i="285"/>
  <c r="N190" i="285" s="1"/>
  <c r="L191" i="285"/>
  <c r="M191" i="285"/>
  <c r="L192" i="285"/>
  <c r="M192" i="285"/>
  <c r="L193" i="285"/>
  <c r="M193" i="285"/>
  <c r="L194" i="285"/>
  <c r="M194" i="285"/>
  <c r="N194" i="285" s="1"/>
  <c r="L195" i="285"/>
  <c r="M195" i="285"/>
  <c r="L196" i="285"/>
  <c r="N196" i="285" s="1"/>
  <c r="M196" i="285"/>
  <c r="L197" i="285"/>
  <c r="M197" i="285"/>
  <c r="L198" i="285"/>
  <c r="N198" i="285" s="1"/>
  <c r="M198" i="285"/>
  <c r="L199" i="285"/>
  <c r="M199" i="285"/>
  <c r="L200" i="285"/>
  <c r="M200" i="285"/>
  <c r="N200" i="285" s="1"/>
  <c r="L201" i="285"/>
  <c r="M201" i="285"/>
  <c r="L202" i="285"/>
  <c r="N202" i="285" s="1"/>
  <c r="M202" i="285"/>
  <c r="N197" i="285"/>
  <c r="N195" i="285"/>
  <c r="N193" i="285"/>
  <c r="N191" i="285"/>
  <c r="N187" i="285"/>
  <c r="N192" i="285"/>
  <c r="N201" i="285"/>
  <c r="N189" i="285"/>
  <c r="M186" i="285"/>
  <c r="L186" i="285"/>
  <c r="M185" i="285"/>
  <c r="L185" i="285"/>
  <c r="N185" i="285" s="1"/>
  <c r="M184" i="285"/>
  <c r="L184" i="285"/>
  <c r="M183" i="285"/>
  <c r="L183" i="285"/>
  <c r="N183" i="285" s="1"/>
  <c r="M182" i="285"/>
  <c r="L182" i="285"/>
  <c r="M181" i="285"/>
  <c r="L181" i="285"/>
  <c r="N181" i="285" s="1"/>
  <c r="M180" i="285"/>
  <c r="L180" i="285"/>
  <c r="M179" i="285"/>
  <c r="L179" i="285"/>
  <c r="N179" i="285" s="1"/>
  <c r="M178" i="285"/>
  <c r="L178" i="285"/>
  <c r="M177" i="285"/>
  <c r="L177" i="285"/>
  <c r="N177" i="285" s="1"/>
  <c r="M176" i="285"/>
  <c r="L176" i="285"/>
  <c r="M175" i="285"/>
  <c r="L175" i="285"/>
  <c r="N175" i="285" s="1"/>
  <c r="M174" i="285"/>
  <c r="L174" i="285"/>
  <c r="M173" i="285"/>
  <c r="L173" i="285"/>
  <c r="N173" i="285" s="1"/>
  <c r="M172" i="285"/>
  <c r="L172" i="285"/>
  <c r="M171" i="285"/>
  <c r="L171" i="285"/>
  <c r="N171" i="285" s="1"/>
  <c r="M170" i="285"/>
  <c r="L170" i="285"/>
  <c r="M169" i="285"/>
  <c r="L169" i="285"/>
  <c r="N169" i="285" s="1"/>
  <c r="M168" i="285"/>
  <c r="L168" i="285"/>
  <c r="M167" i="285"/>
  <c r="L167" i="285"/>
  <c r="N167" i="285" s="1"/>
  <c r="M166" i="285"/>
  <c r="L166" i="285"/>
  <c r="M165" i="285"/>
  <c r="L165" i="285"/>
  <c r="M164" i="285"/>
  <c r="L164" i="285"/>
  <c r="M163" i="285"/>
  <c r="L163" i="285"/>
  <c r="N163" i="285" s="1"/>
  <c r="K199" i="285"/>
  <c r="K195" i="285"/>
  <c r="K191" i="285"/>
  <c r="K187" i="285"/>
  <c r="K183" i="285"/>
  <c r="K179" i="285"/>
  <c r="K175" i="285"/>
  <c r="K171" i="285"/>
  <c r="K167" i="285"/>
  <c r="K163" i="285"/>
  <c r="C203" i="285"/>
  <c r="N203" i="285"/>
  <c r="V203" i="285"/>
  <c r="A199" i="285"/>
  <c r="B199" i="285"/>
  <c r="C199" i="285"/>
  <c r="G199" i="285"/>
  <c r="N199" i="285"/>
  <c r="U199" i="285"/>
  <c r="V199" i="285"/>
  <c r="A200" i="285"/>
  <c r="C200" i="285" s="1"/>
  <c r="B200" i="285"/>
  <c r="G200" i="285"/>
  <c r="V200" i="285"/>
  <c r="A201" i="285"/>
  <c r="C201" i="285" s="1"/>
  <c r="B201" i="285"/>
  <c r="G201" i="285"/>
  <c r="U201" i="285"/>
  <c r="V201" i="285"/>
  <c r="A202" i="285"/>
  <c r="B202" i="285"/>
  <c r="C202" i="285"/>
  <c r="G202" i="285"/>
  <c r="U202" i="285"/>
  <c r="V202" i="285"/>
  <c r="A196" i="285"/>
  <c r="C196" i="285" s="1"/>
  <c r="B196" i="285"/>
  <c r="G196" i="285"/>
  <c r="V196" i="285"/>
  <c r="A197" i="285"/>
  <c r="C197" i="285" s="1"/>
  <c r="B197" i="285"/>
  <c r="G197" i="285"/>
  <c r="U197" i="285"/>
  <c r="V197" i="285"/>
  <c r="A198" i="285"/>
  <c r="B198" i="285"/>
  <c r="C198" i="285" s="1"/>
  <c r="G198" i="285"/>
  <c r="U198" i="285"/>
  <c r="V198" i="285"/>
  <c r="A190" i="285"/>
  <c r="C190" i="285" s="1"/>
  <c r="B190" i="285"/>
  <c r="G190" i="285"/>
  <c r="U190" i="285"/>
  <c r="V190" i="285"/>
  <c r="A191" i="285"/>
  <c r="C191" i="285" s="1"/>
  <c r="B191" i="285"/>
  <c r="G191" i="285"/>
  <c r="V191" i="285"/>
  <c r="A192" i="285"/>
  <c r="B192" i="285"/>
  <c r="C192" i="285" s="1"/>
  <c r="G192" i="285"/>
  <c r="V192" i="285"/>
  <c r="A193" i="285"/>
  <c r="B193" i="285"/>
  <c r="C193" i="285"/>
  <c r="G193" i="285"/>
  <c r="V193" i="285"/>
  <c r="A194" i="285"/>
  <c r="C194" i="285" s="1"/>
  <c r="B194" i="285"/>
  <c r="G194" i="285"/>
  <c r="U194" i="285"/>
  <c r="V194" i="285"/>
  <c r="A195" i="285"/>
  <c r="C195" i="285" s="1"/>
  <c r="B195" i="285"/>
  <c r="G195" i="285"/>
  <c r="U195" i="285"/>
  <c r="V195" i="285"/>
  <c r="G182" i="285"/>
  <c r="N182" i="285"/>
  <c r="U182" i="285"/>
  <c r="V182" i="285"/>
  <c r="G183" i="285"/>
  <c r="V183" i="285"/>
  <c r="G184" i="285"/>
  <c r="N184" i="285"/>
  <c r="U184" i="285"/>
  <c r="V184" i="285"/>
  <c r="G185" i="285"/>
  <c r="G186" i="285"/>
  <c r="G187" i="285"/>
  <c r="G188" i="285"/>
  <c r="G189" i="285"/>
  <c r="N186" i="285"/>
  <c r="U186" i="285"/>
  <c r="U188" i="285"/>
  <c r="V185" i="285"/>
  <c r="V186" i="285"/>
  <c r="V187" i="285"/>
  <c r="V188" i="285"/>
  <c r="V189" i="285"/>
  <c r="A181" i="285"/>
  <c r="B181" i="285"/>
  <c r="C181" i="285"/>
  <c r="A182" i="285"/>
  <c r="C182" i="285" s="1"/>
  <c r="B182" i="285"/>
  <c r="A183" i="285"/>
  <c r="C183" i="285" s="1"/>
  <c r="B183" i="285"/>
  <c r="A184" i="285"/>
  <c r="B184" i="285"/>
  <c r="C184" i="285"/>
  <c r="A185" i="285"/>
  <c r="B185" i="285"/>
  <c r="C185" i="285"/>
  <c r="A186" i="285"/>
  <c r="C186" i="285" s="1"/>
  <c r="B186" i="285"/>
  <c r="A187" i="285"/>
  <c r="C187" i="285" s="1"/>
  <c r="B187" i="285"/>
  <c r="A188" i="285"/>
  <c r="B188" i="285"/>
  <c r="C188" i="285"/>
  <c r="A189" i="285"/>
  <c r="B189" i="285"/>
  <c r="C189" i="285"/>
  <c r="A163" i="285"/>
  <c r="C163" i="285" s="1"/>
  <c r="V163" i="285" s="1"/>
  <c r="B163" i="285"/>
  <c r="A164" i="285"/>
  <c r="C164" i="285" s="1"/>
  <c r="V164" i="285" s="1"/>
  <c r="B164" i="285"/>
  <c r="A165" i="285"/>
  <c r="B165" i="285"/>
  <c r="C165" i="285" s="1"/>
  <c r="V165" i="285" s="1"/>
  <c r="A166" i="285"/>
  <c r="B166" i="285"/>
  <c r="C166" i="285"/>
  <c r="A167" i="285"/>
  <c r="C167" i="285" s="1"/>
  <c r="V167" i="285" s="1"/>
  <c r="B167" i="285"/>
  <c r="A168" i="285"/>
  <c r="C168" i="285" s="1"/>
  <c r="V168" i="285" s="1"/>
  <c r="B168" i="285"/>
  <c r="A169" i="285"/>
  <c r="A170" i="285"/>
  <c r="B170" i="285"/>
  <c r="C170" i="285"/>
  <c r="A171" i="285"/>
  <c r="C171" i="285" s="1"/>
  <c r="V171" i="285" s="1"/>
  <c r="B171" i="285"/>
  <c r="A172" i="285"/>
  <c r="C172" i="285" s="1"/>
  <c r="V172" i="285" s="1"/>
  <c r="B172" i="285"/>
  <c r="A173" i="285"/>
  <c r="A174" i="285"/>
  <c r="B174" i="285"/>
  <c r="C174" i="285"/>
  <c r="A175" i="285"/>
  <c r="C175" i="285" s="1"/>
  <c r="V175" i="285" s="1"/>
  <c r="B175" i="285"/>
  <c r="A176" i="285"/>
  <c r="C176" i="285" s="1"/>
  <c r="V176" i="285" s="1"/>
  <c r="B176" i="285"/>
  <c r="A177" i="285"/>
  <c r="A178" i="285"/>
  <c r="B178" i="285"/>
  <c r="C178" i="285"/>
  <c r="A179" i="285"/>
  <c r="C179" i="285" s="1"/>
  <c r="V179" i="285" s="1"/>
  <c r="B179" i="285"/>
  <c r="B180" i="285"/>
  <c r="G163" i="285"/>
  <c r="G164" i="285"/>
  <c r="G165" i="285"/>
  <c r="G166" i="285"/>
  <c r="G167" i="285"/>
  <c r="G168" i="285"/>
  <c r="G169" i="285"/>
  <c r="G170" i="285"/>
  <c r="G171" i="285"/>
  <c r="G172" i="285"/>
  <c r="G173" i="285"/>
  <c r="G174" i="285"/>
  <c r="G175" i="285"/>
  <c r="G176" i="285"/>
  <c r="G177" i="285"/>
  <c r="G178" i="285"/>
  <c r="G179" i="285"/>
  <c r="G180" i="285"/>
  <c r="G181" i="285"/>
  <c r="N164" i="285"/>
  <c r="N165" i="285"/>
  <c r="N166" i="285"/>
  <c r="N168" i="285"/>
  <c r="N170" i="285"/>
  <c r="N172" i="285"/>
  <c r="N174" i="285"/>
  <c r="N176" i="285"/>
  <c r="N178" i="285"/>
  <c r="N180" i="285"/>
  <c r="U164" i="285"/>
  <c r="U166" i="285"/>
  <c r="U168" i="285"/>
  <c r="U170" i="285"/>
  <c r="U172" i="285"/>
  <c r="U174" i="285"/>
  <c r="U176" i="285"/>
  <c r="U178" i="285"/>
  <c r="V166" i="285"/>
  <c r="V170" i="285"/>
  <c r="V174" i="285"/>
  <c r="V178" i="285"/>
  <c r="V181" i="285"/>
  <c r="S162" i="285"/>
  <c r="L162" i="285"/>
  <c r="G162" i="285"/>
  <c r="M161" i="285"/>
  <c r="T161" i="285" s="1"/>
  <c r="G161" i="285"/>
  <c r="M160" i="285"/>
  <c r="T160" i="285" s="1"/>
  <c r="L160" i="285"/>
  <c r="S160" i="285" s="1"/>
  <c r="G160" i="285"/>
  <c r="T159" i="285"/>
  <c r="Q159" i="285"/>
  <c r="M159" i="285"/>
  <c r="L159" i="285"/>
  <c r="S159" i="285" s="1"/>
  <c r="K159" i="285"/>
  <c r="M162" i="285" s="1"/>
  <c r="G159" i="285"/>
  <c r="M158" i="285"/>
  <c r="G158" i="285"/>
  <c r="L157" i="285"/>
  <c r="G157" i="285"/>
  <c r="G156" i="285"/>
  <c r="Q155" i="285"/>
  <c r="K155" i="285"/>
  <c r="G155" i="285"/>
  <c r="S154" i="285"/>
  <c r="L154" i="285"/>
  <c r="G154" i="285"/>
  <c r="M153" i="285"/>
  <c r="T153" i="285" s="1"/>
  <c r="G153" i="285"/>
  <c r="U152" i="285"/>
  <c r="M152" i="285"/>
  <c r="T152" i="285" s="1"/>
  <c r="L152" i="285"/>
  <c r="S152" i="285" s="1"/>
  <c r="G152" i="285"/>
  <c r="Q151" i="285"/>
  <c r="M151" i="285"/>
  <c r="T151" i="285" s="1"/>
  <c r="L151" i="285"/>
  <c r="S151" i="285" s="1"/>
  <c r="U151" i="285" s="1"/>
  <c r="K151" i="285"/>
  <c r="M154" i="285" s="1"/>
  <c r="G151" i="285"/>
  <c r="G150" i="285"/>
  <c r="G149" i="285"/>
  <c r="G148" i="285"/>
  <c r="Q147" i="285"/>
  <c r="K147" i="285"/>
  <c r="G147" i="285"/>
  <c r="S146" i="285"/>
  <c r="L146" i="285"/>
  <c r="G146" i="285"/>
  <c r="M145" i="285"/>
  <c r="T145" i="285" s="1"/>
  <c r="G145" i="285"/>
  <c r="M144" i="285"/>
  <c r="T144" i="285" s="1"/>
  <c r="U144" i="285" s="1"/>
  <c r="L144" i="285"/>
  <c r="S144" i="285" s="1"/>
  <c r="G144" i="285"/>
  <c r="T143" i="285"/>
  <c r="Q143" i="285"/>
  <c r="M143" i="285"/>
  <c r="L143" i="285"/>
  <c r="S143" i="285" s="1"/>
  <c r="K143" i="285"/>
  <c r="M146" i="285" s="1"/>
  <c r="G143" i="285"/>
  <c r="M142" i="285"/>
  <c r="T142" i="285" s="1"/>
  <c r="G142" i="285"/>
  <c r="L141" i="285"/>
  <c r="G141" i="285"/>
  <c r="G140" i="285"/>
  <c r="Q139" i="285"/>
  <c r="K139" i="285"/>
  <c r="G139" i="285"/>
  <c r="G138" i="285"/>
  <c r="M137" i="285"/>
  <c r="T137" i="285" s="1"/>
  <c r="G137" i="285"/>
  <c r="M136" i="285"/>
  <c r="T136" i="285" s="1"/>
  <c r="L136" i="285"/>
  <c r="G136" i="285"/>
  <c r="S135" i="285"/>
  <c r="Q135" i="285"/>
  <c r="M135" i="285"/>
  <c r="T135" i="285" s="1"/>
  <c r="L135" i="285"/>
  <c r="K135" i="285"/>
  <c r="M138" i="285" s="1"/>
  <c r="T138" i="285" s="1"/>
  <c r="G135" i="285"/>
  <c r="G134" i="285"/>
  <c r="L133" i="285"/>
  <c r="G133" i="285"/>
  <c r="G132" i="285"/>
  <c r="Q131" i="285"/>
  <c r="K131" i="285"/>
  <c r="G131" i="285"/>
  <c r="G130" i="285"/>
  <c r="G129" i="285"/>
  <c r="G128" i="285"/>
  <c r="Q127" i="285"/>
  <c r="K127" i="285"/>
  <c r="G127" i="285"/>
  <c r="M126" i="285"/>
  <c r="T126" i="285" s="1"/>
  <c r="G126" i="285"/>
  <c r="G125" i="285"/>
  <c r="G124" i="285"/>
  <c r="Q123" i="285"/>
  <c r="K123" i="285"/>
  <c r="G123" i="285"/>
  <c r="M122" i="285"/>
  <c r="G122" i="285"/>
  <c r="G121" i="285"/>
  <c r="G120" i="285"/>
  <c r="Q119" i="285"/>
  <c r="K119" i="285"/>
  <c r="G119" i="285"/>
  <c r="G118" i="285"/>
  <c r="L117" i="285"/>
  <c r="G117" i="285"/>
  <c r="M116" i="285"/>
  <c r="T116" i="285" s="1"/>
  <c r="G116" i="285"/>
  <c r="Q115" i="285"/>
  <c r="K115" i="285"/>
  <c r="L118" i="285" s="1"/>
  <c r="S118" i="285" s="1"/>
  <c r="G115" i="285"/>
  <c r="M114" i="285"/>
  <c r="T114" i="285" s="1"/>
  <c r="L114" i="285"/>
  <c r="G114" i="285"/>
  <c r="L113" i="285"/>
  <c r="G113" i="285"/>
  <c r="M112" i="285"/>
  <c r="T112" i="285" s="1"/>
  <c r="G112" i="285"/>
  <c r="Q111" i="285"/>
  <c r="K111" i="285"/>
  <c r="G111" i="285"/>
  <c r="S110" i="285"/>
  <c r="G110" i="285"/>
  <c r="L109" i="285"/>
  <c r="G109" i="285"/>
  <c r="M108" i="285"/>
  <c r="T108" i="285" s="1"/>
  <c r="L108" i="285"/>
  <c r="G108" i="285"/>
  <c r="Q107" i="285"/>
  <c r="M107" i="285"/>
  <c r="T107" i="285" s="1"/>
  <c r="K107" i="285"/>
  <c r="L110" i="285" s="1"/>
  <c r="G107" i="285"/>
  <c r="L106" i="285"/>
  <c r="G106" i="285"/>
  <c r="G105" i="285"/>
  <c r="M104" i="285"/>
  <c r="T104" i="285" s="1"/>
  <c r="G104" i="285"/>
  <c r="Q103" i="285"/>
  <c r="M103" i="285"/>
  <c r="T103" i="285" s="1"/>
  <c r="K103" i="285"/>
  <c r="M105" i="285" s="1"/>
  <c r="T105" i="285" s="1"/>
  <c r="G103" i="285"/>
  <c r="G102" i="285"/>
  <c r="G101" i="285"/>
  <c r="G100" i="285"/>
  <c r="Q99" i="285"/>
  <c r="K99" i="285"/>
  <c r="G99" i="285"/>
  <c r="G98" i="285"/>
  <c r="G97" i="285"/>
  <c r="G96" i="285"/>
  <c r="Q95" i="285"/>
  <c r="M95" i="285"/>
  <c r="T95" i="285" s="1"/>
  <c r="L95" i="285"/>
  <c r="N95" i="285" s="1"/>
  <c r="K95" i="285"/>
  <c r="L98" i="285" s="1"/>
  <c r="G95" i="285"/>
  <c r="L94" i="285"/>
  <c r="G94" i="285"/>
  <c r="G93" i="285"/>
  <c r="G92" i="285"/>
  <c r="Q91" i="285"/>
  <c r="K91" i="285"/>
  <c r="M92" i="285" s="1"/>
  <c r="T92" i="285" s="1"/>
  <c r="G91" i="285"/>
  <c r="G90" i="285"/>
  <c r="M89" i="285"/>
  <c r="T89" i="285" s="1"/>
  <c r="G89" i="285"/>
  <c r="T88" i="285"/>
  <c r="M88" i="285"/>
  <c r="L88" i="285"/>
  <c r="G88" i="285"/>
  <c r="Q87" i="285"/>
  <c r="M87" i="285"/>
  <c r="T87" i="285" s="1"/>
  <c r="L87" i="285"/>
  <c r="K87" i="285"/>
  <c r="M90" i="285" s="1"/>
  <c r="T90" i="285" s="1"/>
  <c r="G87" i="285"/>
  <c r="L86" i="285"/>
  <c r="G86" i="285"/>
  <c r="G85" i="285"/>
  <c r="G84" i="285"/>
  <c r="K83" i="285"/>
  <c r="M84" i="285" s="1"/>
  <c r="G83" i="285"/>
  <c r="G82" i="285"/>
  <c r="M81" i="285"/>
  <c r="G81" i="285"/>
  <c r="M80" i="285"/>
  <c r="L80" i="285"/>
  <c r="G80" i="285"/>
  <c r="P79" i="285"/>
  <c r="Q83" i="285" s="1"/>
  <c r="M79" i="285"/>
  <c r="K79" i="285"/>
  <c r="M82" i="285" s="1"/>
  <c r="G79" i="285"/>
  <c r="M78" i="285"/>
  <c r="G78" i="285"/>
  <c r="M77" i="285"/>
  <c r="L77" i="285"/>
  <c r="G77" i="285"/>
  <c r="M76" i="285"/>
  <c r="L76" i="285"/>
  <c r="N76" i="285" s="1"/>
  <c r="G76" i="285"/>
  <c r="P75" i="285"/>
  <c r="Q79" i="285" s="1"/>
  <c r="T80" i="285" s="1"/>
  <c r="M75" i="285"/>
  <c r="L75" i="285"/>
  <c r="K75" i="285"/>
  <c r="L78" i="285" s="1"/>
  <c r="G75" i="285"/>
  <c r="G74" i="285"/>
  <c r="G73" i="285"/>
  <c r="G72" i="285"/>
  <c r="P71" i="285"/>
  <c r="Q75" i="285" s="1"/>
  <c r="K71" i="285"/>
  <c r="L74" i="285" s="1"/>
  <c r="G71" i="285"/>
  <c r="G70" i="285"/>
  <c r="G69" i="285"/>
  <c r="G68" i="285"/>
  <c r="P67" i="285"/>
  <c r="K67" i="285"/>
  <c r="G67" i="285"/>
  <c r="G66" i="285"/>
  <c r="M65" i="285"/>
  <c r="G65" i="285"/>
  <c r="L64" i="285"/>
  <c r="G64" i="285"/>
  <c r="P63" i="285"/>
  <c r="M63" i="285"/>
  <c r="L63" i="285"/>
  <c r="N63" i="285" s="1"/>
  <c r="K63" i="285"/>
  <c r="M64" i="285" s="1"/>
  <c r="G63" i="285"/>
  <c r="M62" i="285"/>
  <c r="G62" i="285"/>
  <c r="L61" i="285"/>
  <c r="G61" i="285"/>
  <c r="G60" i="285"/>
  <c r="P59" i="285"/>
  <c r="Q63" i="285" s="1"/>
  <c r="S63" i="285" s="1"/>
  <c r="L59" i="285"/>
  <c r="K59" i="285"/>
  <c r="L62" i="285" s="1"/>
  <c r="G59" i="285"/>
  <c r="L58" i="285"/>
  <c r="G58" i="285"/>
  <c r="G57" i="285"/>
  <c r="G56" i="285"/>
  <c r="P55" i="285"/>
  <c r="Q59" i="285" s="1"/>
  <c r="K55" i="285"/>
  <c r="G55" i="285"/>
  <c r="G54" i="285"/>
  <c r="G53" i="285"/>
  <c r="M52" i="285"/>
  <c r="L52" i="285"/>
  <c r="G52" i="285"/>
  <c r="P51" i="285"/>
  <c r="Q55" i="285" s="1"/>
  <c r="M51" i="285"/>
  <c r="K51" i="285"/>
  <c r="M53" i="285" s="1"/>
  <c r="G51" i="285"/>
  <c r="G50" i="285"/>
  <c r="M49" i="285"/>
  <c r="G49" i="285"/>
  <c r="L48" i="285"/>
  <c r="G48" i="285"/>
  <c r="P47" i="285"/>
  <c r="M47" i="285"/>
  <c r="L47" i="285"/>
  <c r="N47" i="285" s="1"/>
  <c r="K47" i="285"/>
  <c r="M50" i="285" s="1"/>
  <c r="G47" i="285"/>
  <c r="M46" i="285"/>
  <c r="G46" i="285"/>
  <c r="L45" i="285"/>
  <c r="G45" i="285"/>
  <c r="G44" i="285"/>
  <c r="P43" i="285"/>
  <c r="Q47" i="285" s="1"/>
  <c r="S47" i="285" s="1"/>
  <c r="L43" i="285"/>
  <c r="K43" i="285"/>
  <c r="L46" i="285" s="1"/>
  <c r="G43" i="285"/>
  <c r="L42" i="285"/>
  <c r="G42" i="285"/>
  <c r="G41" i="285"/>
  <c r="G40" i="285"/>
  <c r="P39" i="285"/>
  <c r="Q43" i="285" s="1"/>
  <c r="K39" i="285"/>
  <c r="G39" i="285"/>
  <c r="L38" i="285"/>
  <c r="G38" i="285"/>
  <c r="G37" i="285"/>
  <c r="G36" i="285"/>
  <c r="P35" i="285"/>
  <c r="K35" i="285"/>
  <c r="G35" i="285"/>
  <c r="G34" i="285"/>
  <c r="G33" i="285"/>
  <c r="G32" i="285"/>
  <c r="P31" i="285"/>
  <c r="Q35" i="285" s="1"/>
  <c r="K31" i="285"/>
  <c r="L34" i="285" s="1"/>
  <c r="G31" i="285"/>
  <c r="G30" i="285"/>
  <c r="G29" i="285"/>
  <c r="G28" i="285"/>
  <c r="P27" i="285"/>
  <c r="K27" i="285"/>
  <c r="G27" i="285"/>
  <c r="L26" i="285"/>
  <c r="G26" i="285"/>
  <c r="G25" i="285"/>
  <c r="G24" i="285"/>
  <c r="P23" i="285"/>
  <c r="K23" i="285"/>
  <c r="G23" i="285"/>
  <c r="L22" i="285"/>
  <c r="G22" i="285"/>
  <c r="G21" i="285"/>
  <c r="G20" i="285"/>
  <c r="P19" i="285"/>
  <c r="Q23" i="285" s="1"/>
  <c r="K19" i="285"/>
  <c r="G19" i="285"/>
  <c r="G18" i="285"/>
  <c r="G17" i="285"/>
  <c r="G16" i="285"/>
  <c r="B16" i="285"/>
  <c r="B20" i="285" s="1"/>
  <c r="B24" i="285" s="1"/>
  <c r="B28" i="285" s="1"/>
  <c r="B32" i="285" s="1"/>
  <c r="B36" i="285" s="1"/>
  <c r="B40" i="285" s="1"/>
  <c r="B44" i="285" s="1"/>
  <c r="B48" i="285" s="1"/>
  <c r="B52" i="285" s="1"/>
  <c r="B56" i="285" s="1"/>
  <c r="B60" i="285" s="1"/>
  <c r="B64" i="285" s="1"/>
  <c r="B68" i="285" s="1"/>
  <c r="B72" i="285" s="1"/>
  <c r="B76" i="285" s="1"/>
  <c r="B80" i="285" s="1"/>
  <c r="B84" i="285" s="1"/>
  <c r="B88" i="285" s="1"/>
  <c r="B92" i="285" s="1"/>
  <c r="B96" i="285" s="1"/>
  <c r="B100" i="285" s="1"/>
  <c r="B104" i="285" s="1"/>
  <c r="B108" i="285" s="1"/>
  <c r="B112" i="285" s="1"/>
  <c r="B116" i="285" s="1"/>
  <c r="B120" i="285" s="1"/>
  <c r="B124" i="285" s="1"/>
  <c r="B128" i="285" s="1"/>
  <c r="B132" i="285" s="1"/>
  <c r="B136" i="285" s="1"/>
  <c r="B140" i="285" s="1"/>
  <c r="B144" i="285" s="1"/>
  <c r="B148" i="285" s="1"/>
  <c r="B152" i="285" s="1"/>
  <c r="B156" i="285" s="1"/>
  <c r="B160" i="285" s="1"/>
  <c r="P15" i="285"/>
  <c r="K15" i="285"/>
  <c r="L18" i="285" s="1"/>
  <c r="G15" i="285"/>
  <c r="B15" i="285"/>
  <c r="B19" i="285" s="1"/>
  <c r="B23" i="285" s="1"/>
  <c r="B27" i="285" s="1"/>
  <c r="B31" i="285" s="1"/>
  <c r="B35" i="285" s="1"/>
  <c r="B39" i="285" s="1"/>
  <c r="B43" i="285" s="1"/>
  <c r="B47" i="285" s="1"/>
  <c r="B51" i="285" s="1"/>
  <c r="B55" i="285" s="1"/>
  <c r="B59" i="285" s="1"/>
  <c r="B63" i="285" s="1"/>
  <c r="B67" i="285" s="1"/>
  <c r="B71" i="285" s="1"/>
  <c r="B75" i="285" s="1"/>
  <c r="B79" i="285" s="1"/>
  <c r="B83" i="285" s="1"/>
  <c r="B87" i="285" s="1"/>
  <c r="B91" i="285" s="1"/>
  <c r="B95" i="285" s="1"/>
  <c r="B99" i="285" s="1"/>
  <c r="B103" i="285" s="1"/>
  <c r="B107" i="285" s="1"/>
  <c r="B111" i="285" s="1"/>
  <c r="B115" i="285" s="1"/>
  <c r="B119" i="285" s="1"/>
  <c r="B123" i="285" s="1"/>
  <c r="B127" i="285" s="1"/>
  <c r="B131" i="285" s="1"/>
  <c r="B135" i="285" s="1"/>
  <c r="B139" i="285" s="1"/>
  <c r="B143" i="285" s="1"/>
  <c r="B147" i="285" s="1"/>
  <c r="B151" i="285" s="1"/>
  <c r="B155" i="285" s="1"/>
  <c r="B159" i="285" s="1"/>
  <c r="A15" i="285"/>
  <c r="M14" i="285"/>
  <c r="L14" i="285"/>
  <c r="N14" i="285" s="1"/>
  <c r="G14" i="285"/>
  <c r="B14" i="285"/>
  <c r="B18" i="285" s="1"/>
  <c r="B22" i="285" s="1"/>
  <c r="B26" i="285" s="1"/>
  <c r="B30" i="285" s="1"/>
  <c r="B34" i="285" s="1"/>
  <c r="B38" i="285" s="1"/>
  <c r="B42" i="285" s="1"/>
  <c r="B46" i="285" s="1"/>
  <c r="B50" i="285" s="1"/>
  <c r="B54" i="285" s="1"/>
  <c r="B58" i="285" s="1"/>
  <c r="B62" i="285" s="1"/>
  <c r="B66" i="285" s="1"/>
  <c r="B70" i="285" s="1"/>
  <c r="B74" i="285" s="1"/>
  <c r="B78" i="285" s="1"/>
  <c r="B82" i="285" s="1"/>
  <c r="B86" i="285" s="1"/>
  <c r="B90" i="285" s="1"/>
  <c r="B94" i="285" s="1"/>
  <c r="B98" i="285" s="1"/>
  <c r="B102" i="285" s="1"/>
  <c r="B106" i="285" s="1"/>
  <c r="B110" i="285" s="1"/>
  <c r="B114" i="285" s="1"/>
  <c r="B118" i="285" s="1"/>
  <c r="B122" i="285" s="1"/>
  <c r="B126" i="285" s="1"/>
  <c r="B130" i="285" s="1"/>
  <c r="B134" i="285" s="1"/>
  <c r="B138" i="285" s="1"/>
  <c r="B142" i="285" s="1"/>
  <c r="B146" i="285" s="1"/>
  <c r="B150" i="285" s="1"/>
  <c r="B154" i="285" s="1"/>
  <c r="B158" i="285" s="1"/>
  <c r="B162" i="285" s="1"/>
  <c r="A14" i="285"/>
  <c r="C14" i="285" s="1"/>
  <c r="V14" i="285" s="1"/>
  <c r="M13" i="285"/>
  <c r="G13" i="285"/>
  <c r="B13" i="285"/>
  <c r="B17" i="285" s="1"/>
  <c r="B21" i="285" s="1"/>
  <c r="B25" i="285" s="1"/>
  <c r="B29" i="285" s="1"/>
  <c r="B33" i="285" s="1"/>
  <c r="B37" i="285" s="1"/>
  <c r="B41" i="285" s="1"/>
  <c r="B45" i="285" s="1"/>
  <c r="B49" i="285" s="1"/>
  <c r="B53" i="285" s="1"/>
  <c r="B57" i="285" s="1"/>
  <c r="B61" i="285" s="1"/>
  <c r="B65" i="285" s="1"/>
  <c r="B69" i="285" s="1"/>
  <c r="B73" i="285" s="1"/>
  <c r="B77" i="285" s="1"/>
  <c r="B81" i="285" s="1"/>
  <c r="B85" i="285" s="1"/>
  <c r="B89" i="285" s="1"/>
  <c r="B93" i="285" s="1"/>
  <c r="B97" i="285" s="1"/>
  <c r="B101" i="285" s="1"/>
  <c r="B105" i="285" s="1"/>
  <c r="B109" i="285" s="1"/>
  <c r="B113" i="285" s="1"/>
  <c r="B117" i="285" s="1"/>
  <c r="B121" i="285" s="1"/>
  <c r="B125" i="285" s="1"/>
  <c r="B129" i="285" s="1"/>
  <c r="B133" i="285" s="1"/>
  <c r="B137" i="285" s="1"/>
  <c r="B141" i="285" s="1"/>
  <c r="B145" i="285" s="1"/>
  <c r="B149" i="285" s="1"/>
  <c r="B153" i="285" s="1"/>
  <c r="B157" i="285" s="1"/>
  <c r="B161" i="285" s="1"/>
  <c r="A13" i="285"/>
  <c r="A17" i="285" s="1"/>
  <c r="M12" i="285"/>
  <c r="L12" i="285"/>
  <c r="G12" i="285"/>
  <c r="B12" i="285"/>
  <c r="A12" i="285"/>
  <c r="A16" i="285" s="1"/>
  <c r="A20" i="285" s="1"/>
  <c r="A24" i="285" s="1"/>
  <c r="A28" i="285" s="1"/>
  <c r="A32" i="285" s="1"/>
  <c r="A36" i="285" s="1"/>
  <c r="A40" i="285" s="1"/>
  <c r="A44" i="285" s="1"/>
  <c r="A48" i="285" s="1"/>
  <c r="P11" i="285"/>
  <c r="M11" i="285"/>
  <c r="K11" i="285"/>
  <c r="L13" i="285" s="1"/>
  <c r="G11" i="285"/>
  <c r="D11" i="285"/>
  <c r="B11" i="285"/>
  <c r="A11" i="285"/>
  <c r="C11" i="285" s="1"/>
  <c r="V11" i="285" s="1"/>
  <c r="V10" i="285"/>
  <c r="G10" i="285"/>
  <c r="D10" i="285"/>
  <c r="C10" i="285"/>
  <c r="L9" i="285"/>
  <c r="G9" i="285"/>
  <c r="D9" i="285"/>
  <c r="C9" i="285"/>
  <c r="V9" i="285" s="1"/>
  <c r="V8" i="285"/>
  <c r="G8" i="285"/>
  <c r="D8" i="285"/>
  <c r="C8" i="285"/>
  <c r="P7" i="285"/>
  <c r="K7" i="285"/>
  <c r="M10" i="285" s="1"/>
  <c r="G7" i="285"/>
  <c r="D7" i="285"/>
  <c r="C7" i="285"/>
  <c r="V7" i="285" s="1"/>
  <c r="M6" i="285"/>
  <c r="G6" i="285"/>
  <c r="C6" i="285"/>
  <c r="V6" i="285" s="1"/>
  <c r="G5" i="285"/>
  <c r="C5" i="285"/>
  <c r="V5" i="285" s="1"/>
  <c r="G4" i="285"/>
  <c r="C4" i="285"/>
  <c r="V4" i="285" s="1"/>
  <c r="P3" i="285"/>
  <c r="Q7" i="285" s="1"/>
  <c r="K3" i="285"/>
  <c r="L6" i="285" s="1"/>
  <c r="G3" i="285"/>
  <c r="D3" i="285"/>
  <c r="C3" i="285"/>
  <c r="V3" i="285" s="1"/>
  <c r="P2" i="285"/>
  <c r="Q3" i="285" s="1"/>
  <c r="B29" i="283"/>
  <c r="B7" i="283"/>
  <c r="B10" i="283" s="1"/>
  <c r="D7" i="283"/>
  <c r="D10" i="283"/>
  <c r="B11" i="283"/>
  <c r="D11" i="283"/>
  <c r="B22" i="283"/>
  <c r="D22" i="283"/>
  <c r="B23" i="283"/>
  <c r="D23" i="283"/>
  <c r="B24" i="283"/>
  <c r="D24" i="283"/>
  <c r="P38" i="283"/>
  <c r="Q38" i="283"/>
  <c r="P39" i="283"/>
  <c r="Q39" i="283"/>
  <c r="P40" i="283"/>
  <c r="Q40" i="283"/>
  <c r="I41" i="283"/>
  <c r="J41" i="283"/>
  <c r="K41" i="283"/>
  <c r="M41" i="283"/>
  <c r="M43" i="283" s="1"/>
  <c r="P43" i="283" s="1"/>
  <c r="N41" i="283"/>
  <c r="Q41" i="283"/>
  <c r="P42" i="283"/>
  <c r="Q42" i="283"/>
  <c r="I43" i="283"/>
  <c r="J43" i="283"/>
  <c r="K43" i="283"/>
  <c r="N43" i="283"/>
  <c r="Q43" i="283"/>
  <c r="U56" i="283"/>
  <c r="V56" i="283"/>
  <c r="W56" i="283"/>
  <c r="Y56" i="283"/>
  <c r="Z56" i="283"/>
  <c r="AA56" i="283"/>
  <c r="AE74" i="283"/>
  <c r="AF74" i="283"/>
  <c r="AG74" i="283"/>
  <c r="AK86" i="283"/>
  <c r="AK92" i="283" s="1"/>
  <c r="AM90" i="283"/>
  <c r="AM99" i="283"/>
  <c r="AK100" i="283"/>
  <c r="AM100" i="283"/>
  <c r="AK102" i="283"/>
  <c r="B14" i="282"/>
  <c r="B15" i="282"/>
  <c r="B17" i="282" s="1"/>
  <c r="B18" i="282" s="1"/>
  <c r="B20" i="282" s="1"/>
  <c r="B7" i="281"/>
  <c r="C7" i="281"/>
  <c r="D7" i="281"/>
  <c r="E7" i="281"/>
  <c r="F7" i="281"/>
  <c r="L54" i="115"/>
  <c r="B29" i="278"/>
  <c r="B28" i="278"/>
  <c r="C23" i="278"/>
  <c r="C11" i="278"/>
  <c r="C7" i="278"/>
  <c r="C24" i="278" s="1"/>
  <c r="Q102" i="278"/>
  <c r="Q100" i="278"/>
  <c r="S99" i="278"/>
  <c r="S100" i="278" s="1"/>
  <c r="S90" i="278"/>
  <c r="Q86" i="278"/>
  <c r="Q92" i="278" s="1"/>
  <c r="M74" i="278"/>
  <c r="L74" i="278"/>
  <c r="K74" i="278"/>
  <c r="B23" i="278"/>
  <c r="B7" i="278"/>
  <c r="E6" i="278"/>
  <c r="E5" i="278"/>
  <c r="B29" i="276"/>
  <c r="C23" i="276"/>
  <c r="C11" i="276"/>
  <c r="C7" i="276"/>
  <c r="C24" i="276" s="1"/>
  <c r="AJ102" i="276"/>
  <c r="AJ100" i="276"/>
  <c r="AL99" i="276"/>
  <c r="AL100" i="276" s="1"/>
  <c r="AL90" i="276"/>
  <c r="AJ86" i="276"/>
  <c r="AJ92" i="276" s="1"/>
  <c r="AF74" i="276"/>
  <c r="AE74" i="276"/>
  <c r="AD74" i="276"/>
  <c r="Z56" i="276"/>
  <c r="Y56" i="276"/>
  <c r="X56" i="276"/>
  <c r="V56" i="276"/>
  <c r="U56" i="276"/>
  <c r="T56" i="276"/>
  <c r="I43" i="276"/>
  <c r="P42" i="276"/>
  <c r="O42" i="276"/>
  <c r="M41" i="276"/>
  <c r="M43" i="276" s="1"/>
  <c r="L41" i="276"/>
  <c r="L43" i="276" s="1"/>
  <c r="J41" i="276"/>
  <c r="J43" i="276" s="1"/>
  <c r="P43" i="276" s="1"/>
  <c r="I41" i="276"/>
  <c r="O41" i="276" s="1"/>
  <c r="H41" i="276"/>
  <c r="H43" i="276" s="1"/>
  <c r="P40" i="276"/>
  <c r="O40" i="276"/>
  <c r="P39" i="276"/>
  <c r="O39" i="276"/>
  <c r="P38" i="276"/>
  <c r="O38" i="276"/>
  <c r="B23" i="276"/>
  <c r="B7" i="276"/>
  <c r="B28" i="276" s="1"/>
  <c r="E6" i="276"/>
  <c r="E5" i="276"/>
  <c r="D14" i="121"/>
  <c r="D7" i="275"/>
  <c r="D4" i="275"/>
  <c r="D5" i="275"/>
  <c r="D6" i="275"/>
  <c r="D3" i="275"/>
  <c r="B8" i="274"/>
  <c r="D8" i="274"/>
  <c r="C8" i="274"/>
  <c r="B6" i="274"/>
  <c r="I24" i="274"/>
  <c r="J24" i="274"/>
  <c r="K24" i="274"/>
  <c r="K25" i="274" s="1"/>
  <c r="L24" i="274"/>
  <c r="L25" i="274" s="1"/>
  <c r="M24" i="274"/>
  <c r="I25" i="274"/>
  <c r="J25" i="274"/>
  <c r="M25" i="274"/>
  <c r="I30" i="274"/>
  <c r="I47" i="274"/>
  <c r="J47" i="274"/>
  <c r="J48" i="274" s="1"/>
  <c r="K47" i="274"/>
  <c r="L47" i="274"/>
  <c r="I48" i="274"/>
  <c r="K48" i="274"/>
  <c r="L48" i="274"/>
  <c r="M48" i="274"/>
  <c r="I52" i="274"/>
  <c r="I31" i="274" s="1"/>
  <c r="I32" i="274" s="1"/>
  <c r="J52" i="274"/>
  <c r="K52" i="274"/>
  <c r="L52" i="274"/>
  <c r="L55" i="274" s="1"/>
  <c r="L23" i="274" s="1"/>
  <c r="M52" i="274"/>
  <c r="M55" i="274" s="1"/>
  <c r="M23" i="274" s="1"/>
  <c r="N52" i="274"/>
  <c r="J55" i="274"/>
  <c r="J23" i="274" s="1"/>
  <c r="K55" i="274"/>
  <c r="K23" i="274" s="1"/>
  <c r="N55" i="274"/>
  <c r="E6" i="272"/>
  <c r="E5" i="272"/>
  <c r="AJ102" i="272"/>
  <c r="AJ100" i="272"/>
  <c r="AL99" i="272"/>
  <c r="AL100" i="272" s="1"/>
  <c r="AL90" i="272"/>
  <c r="AJ86" i="272"/>
  <c r="AJ92" i="272" s="1"/>
  <c r="AF74" i="272"/>
  <c r="AE74" i="272"/>
  <c r="AD74" i="272"/>
  <c r="Z56" i="272"/>
  <c r="Y56" i="272"/>
  <c r="X56" i="272"/>
  <c r="V56" i="272"/>
  <c r="U56" i="272"/>
  <c r="T56" i="272"/>
  <c r="M43" i="272"/>
  <c r="H43" i="272"/>
  <c r="P42" i="272"/>
  <c r="O42" i="272"/>
  <c r="M41" i="272"/>
  <c r="L41" i="272"/>
  <c r="L43" i="272" s="1"/>
  <c r="J41" i="272"/>
  <c r="J43" i="272" s="1"/>
  <c r="P43" i="272" s="1"/>
  <c r="I41" i="272"/>
  <c r="O41" i="272" s="1"/>
  <c r="H41" i="272"/>
  <c r="P40" i="272"/>
  <c r="O40" i="272"/>
  <c r="P39" i="272"/>
  <c r="O39" i="272"/>
  <c r="P38" i="272"/>
  <c r="O38" i="272"/>
  <c r="B29" i="272"/>
  <c r="C23" i="272"/>
  <c r="B23" i="272"/>
  <c r="C7" i="272"/>
  <c r="C24" i="272" s="1"/>
  <c r="B7" i="272"/>
  <c r="B7" i="270"/>
  <c r="B10" i="270" s="1"/>
  <c r="C7" i="270"/>
  <c r="C10" i="270"/>
  <c r="B11" i="270"/>
  <c r="C11" i="270"/>
  <c r="B22" i="270"/>
  <c r="C22" i="270"/>
  <c r="B23" i="270"/>
  <c r="C23" i="270"/>
  <c r="B24" i="270"/>
  <c r="C24" i="270"/>
  <c r="B28" i="270"/>
  <c r="B29" i="270"/>
  <c r="H40" i="270"/>
  <c r="B9" i="269"/>
  <c r="M36" i="269"/>
  <c r="M41" i="269"/>
  <c r="Q71" i="285" l="1"/>
  <c r="M26" i="274"/>
  <c r="K26" i="274"/>
  <c r="L26" i="274"/>
  <c r="J26" i="274"/>
  <c r="A114" i="316"/>
  <c r="C110" i="316"/>
  <c r="V110" i="316" s="1"/>
  <c r="A121" i="316"/>
  <c r="C117" i="316"/>
  <c r="V117" i="316" s="1"/>
  <c r="A116" i="316"/>
  <c r="C112" i="316"/>
  <c r="V112" i="316" s="1"/>
  <c r="A115" i="316"/>
  <c r="C111" i="316"/>
  <c r="V111" i="316" s="1"/>
  <c r="C108" i="291"/>
  <c r="V108" i="291" s="1"/>
  <c r="A112" i="291"/>
  <c r="C106" i="291"/>
  <c r="V106" i="291" s="1"/>
  <c r="A110" i="291"/>
  <c r="A107" i="291"/>
  <c r="C103" i="291"/>
  <c r="V103" i="291" s="1"/>
  <c r="A137" i="291"/>
  <c r="C133" i="291"/>
  <c r="V133" i="291" s="1"/>
  <c r="A180" i="285"/>
  <c r="C180" i="285" s="1"/>
  <c r="V180" i="285" s="1"/>
  <c r="B169" i="285"/>
  <c r="Q11" i="285"/>
  <c r="T12" i="285" s="1"/>
  <c r="Q39" i="285"/>
  <c r="Q19" i="285"/>
  <c r="S22" i="285" s="1"/>
  <c r="A18" i="285"/>
  <c r="C18" i="285" s="1"/>
  <c r="V18" i="285" s="1"/>
  <c r="Q51" i="285"/>
  <c r="T51" i="285" s="1"/>
  <c r="Q67" i="285"/>
  <c r="T50" i="285"/>
  <c r="T49" i="285"/>
  <c r="T64" i="285"/>
  <c r="T65" i="285"/>
  <c r="S9" i="285"/>
  <c r="A52" i="285"/>
  <c r="C48" i="285"/>
  <c r="V48" i="285" s="1"/>
  <c r="T13" i="285"/>
  <c r="S13" i="285"/>
  <c r="N13" i="285"/>
  <c r="T14" i="285"/>
  <c r="S18" i="285"/>
  <c r="T11" i="285"/>
  <c r="N34" i="285"/>
  <c r="S6" i="285"/>
  <c r="N6" i="285"/>
  <c r="T6" i="285"/>
  <c r="T10" i="285"/>
  <c r="S12" i="285"/>
  <c r="U12" i="285" s="1"/>
  <c r="C24" i="285"/>
  <c r="V24" i="285" s="1"/>
  <c r="S26" i="285"/>
  <c r="S48" i="285"/>
  <c r="S58" i="285"/>
  <c r="N58" i="285"/>
  <c r="S64" i="285"/>
  <c r="N64" i="285"/>
  <c r="S74" i="285"/>
  <c r="U74" i="285" s="1"/>
  <c r="N74" i="285"/>
  <c r="L4" i="285"/>
  <c r="M9" i="285"/>
  <c r="T9" i="285" s="1"/>
  <c r="C13" i="285"/>
  <c r="V13" i="285" s="1"/>
  <c r="M24" i="285"/>
  <c r="T24" i="285" s="1"/>
  <c r="M25" i="285"/>
  <c r="T25" i="285" s="1"/>
  <c r="L24" i="285"/>
  <c r="M23" i="285"/>
  <c r="T23" i="285" s="1"/>
  <c r="M26" i="285"/>
  <c r="T26" i="285" s="1"/>
  <c r="L25" i="285"/>
  <c r="L23" i="285"/>
  <c r="C36" i="285"/>
  <c r="V36" i="285" s="1"/>
  <c r="L7" i="285"/>
  <c r="L8" i="285"/>
  <c r="N9" i="285"/>
  <c r="L10" i="285"/>
  <c r="Q15" i="285"/>
  <c r="C12" i="285"/>
  <c r="V12" i="285" s="1"/>
  <c r="N12" i="285"/>
  <c r="S14" i="285"/>
  <c r="U14" i="285" s="1"/>
  <c r="M20" i="285"/>
  <c r="M21" i="285"/>
  <c r="L20" i="285"/>
  <c r="M19" i="285"/>
  <c r="T19" i="285" s="1"/>
  <c r="M22" i="285"/>
  <c r="L21" i="285"/>
  <c r="L19" i="285"/>
  <c r="Q27" i="285"/>
  <c r="C32" i="285"/>
  <c r="V32" i="285" s="1"/>
  <c r="M36" i="285"/>
  <c r="T36" i="285" s="1"/>
  <c r="M37" i="285"/>
  <c r="T37" i="285" s="1"/>
  <c r="L36" i="285"/>
  <c r="M35" i="285"/>
  <c r="T35" i="285" s="1"/>
  <c r="M38" i="285"/>
  <c r="T38" i="285" s="1"/>
  <c r="L37" i="285"/>
  <c r="L35" i="285"/>
  <c r="N87" i="285"/>
  <c r="S87" i="285"/>
  <c r="U87" i="285" s="1"/>
  <c r="C44" i="285"/>
  <c r="V44" i="285" s="1"/>
  <c r="A19" i="285"/>
  <c r="D15" i="285"/>
  <c r="C15" i="285"/>
  <c r="V15" i="285" s="1"/>
  <c r="M28" i="285"/>
  <c r="T28" i="285" s="1"/>
  <c r="M29" i="285"/>
  <c r="L28" i="285"/>
  <c r="M27" i="285"/>
  <c r="M30" i="285"/>
  <c r="T30" i="285" s="1"/>
  <c r="L29" i="285"/>
  <c r="L27" i="285"/>
  <c r="C40" i="285"/>
  <c r="V40" i="285" s="1"/>
  <c r="S42" i="285"/>
  <c r="S46" i="285"/>
  <c r="N46" i="285"/>
  <c r="S62" i="285"/>
  <c r="N62" i="285"/>
  <c r="C16" i="285"/>
  <c r="V16" i="285" s="1"/>
  <c r="C20" i="285"/>
  <c r="V20" i="285" s="1"/>
  <c r="N22" i="285"/>
  <c r="Q31" i="285"/>
  <c r="S34" i="285" s="1"/>
  <c r="U34" i="285" s="1"/>
  <c r="S38" i="285"/>
  <c r="U38" i="285" s="1"/>
  <c r="N38" i="285"/>
  <c r="M40" i="285"/>
  <c r="T40" i="285" s="1"/>
  <c r="M41" i="285"/>
  <c r="T41" i="285" s="1"/>
  <c r="L40" i="285"/>
  <c r="M39" i="285"/>
  <c r="T39" i="285" s="1"/>
  <c r="M42" i="285"/>
  <c r="T42" i="285" s="1"/>
  <c r="L41" i="285"/>
  <c r="L39" i="285"/>
  <c r="N43" i="285"/>
  <c r="S43" i="285"/>
  <c r="S45" i="285"/>
  <c r="N45" i="285"/>
  <c r="T46" i="285"/>
  <c r="M56" i="285"/>
  <c r="T56" i="285" s="1"/>
  <c r="M57" i="285"/>
  <c r="T57" i="285" s="1"/>
  <c r="L56" i="285"/>
  <c r="M55" i="285"/>
  <c r="T55" i="285" s="1"/>
  <c r="M58" i="285"/>
  <c r="T58" i="285" s="1"/>
  <c r="L57" i="285"/>
  <c r="L55" i="285"/>
  <c r="N59" i="285"/>
  <c r="S59" i="285"/>
  <c r="S61" i="285"/>
  <c r="T62" i="285"/>
  <c r="M69" i="285"/>
  <c r="T69" i="285" s="1"/>
  <c r="L68" i="285"/>
  <c r="M67" i="285"/>
  <c r="M70" i="285"/>
  <c r="L69" i="285"/>
  <c r="L67" i="285"/>
  <c r="L70" i="285"/>
  <c r="M68" i="285"/>
  <c r="T76" i="285"/>
  <c r="T77" i="285"/>
  <c r="S76" i="285"/>
  <c r="T84" i="285"/>
  <c r="L3" i="285"/>
  <c r="M4" i="285"/>
  <c r="T4" i="285" s="1"/>
  <c r="L5" i="285"/>
  <c r="M3" i="285"/>
  <c r="T3" i="285" s="1"/>
  <c r="M5" i="285"/>
  <c r="T5" i="285" s="1"/>
  <c r="M7" i="285"/>
  <c r="T7" i="285" s="1"/>
  <c r="M8" i="285"/>
  <c r="T8" i="285" s="1"/>
  <c r="L11" i="285"/>
  <c r="C17" i="285"/>
  <c r="V17" i="285" s="1"/>
  <c r="A21" i="285"/>
  <c r="M17" i="285"/>
  <c r="T17" i="285" s="1"/>
  <c r="L16" i="285"/>
  <c r="M15" i="285"/>
  <c r="T15" i="285" s="1"/>
  <c r="M18" i="285"/>
  <c r="T18" i="285" s="1"/>
  <c r="L17" i="285"/>
  <c r="L15" i="285"/>
  <c r="M16" i="285"/>
  <c r="T16" i="285" s="1"/>
  <c r="A22" i="285"/>
  <c r="C28" i="285"/>
  <c r="V28" i="285" s="1"/>
  <c r="L30" i="285"/>
  <c r="M32" i="285"/>
  <c r="T32" i="285" s="1"/>
  <c r="M33" i="285"/>
  <c r="T33" i="285" s="1"/>
  <c r="L32" i="285"/>
  <c r="M31" i="285"/>
  <c r="M34" i="285"/>
  <c r="T34" i="285" s="1"/>
  <c r="L33" i="285"/>
  <c r="L31" i="285"/>
  <c r="T47" i="285"/>
  <c r="U47" i="285" s="1"/>
  <c r="T52" i="285"/>
  <c r="T63" i="285"/>
  <c r="U63" i="285" s="1"/>
  <c r="S80" i="285"/>
  <c r="U80" i="285" s="1"/>
  <c r="N80" i="285"/>
  <c r="M130" i="285"/>
  <c r="T130" i="285" s="1"/>
  <c r="L130" i="285"/>
  <c r="M129" i="285"/>
  <c r="T129" i="285" s="1"/>
  <c r="L128" i="285"/>
  <c r="L127" i="285"/>
  <c r="L129" i="285"/>
  <c r="M128" i="285"/>
  <c r="T128" i="285" s="1"/>
  <c r="M127" i="285"/>
  <c r="T127" i="285" s="1"/>
  <c r="M43" i="285"/>
  <c r="T43" i="285" s="1"/>
  <c r="L44" i="285"/>
  <c r="M45" i="285"/>
  <c r="T45" i="285" s="1"/>
  <c r="M48" i="285"/>
  <c r="T48" i="285" s="1"/>
  <c r="N52" i="285"/>
  <c r="L54" i="285"/>
  <c r="M59" i="285"/>
  <c r="T59" i="285" s="1"/>
  <c r="L60" i="285"/>
  <c r="M61" i="285"/>
  <c r="T61" i="285" s="1"/>
  <c r="S78" i="285"/>
  <c r="N78" i="285"/>
  <c r="S77" i="285"/>
  <c r="N77" i="285"/>
  <c r="T81" i="285"/>
  <c r="L102" i="285"/>
  <c r="M100" i="285"/>
  <c r="T100" i="285" s="1"/>
  <c r="M99" i="285"/>
  <c r="T99" i="285" s="1"/>
  <c r="L100" i="285"/>
  <c r="M101" i="285"/>
  <c r="T101" i="285" s="1"/>
  <c r="L101" i="285"/>
  <c r="L99" i="285"/>
  <c r="M102" i="285"/>
  <c r="T102" i="285" s="1"/>
  <c r="M44" i="285"/>
  <c r="T44" i="285" s="1"/>
  <c r="L50" i="285"/>
  <c r="L51" i="285"/>
  <c r="L53" i="285"/>
  <c r="M54" i="285"/>
  <c r="M60" i="285"/>
  <c r="T60" i="285" s="1"/>
  <c r="M66" i="285"/>
  <c r="T66" i="285" s="1"/>
  <c r="L66" i="285"/>
  <c r="M72" i="285"/>
  <c r="T72" i="285" s="1"/>
  <c r="M73" i="285"/>
  <c r="T73" i="285" s="1"/>
  <c r="L72" i="285"/>
  <c r="M71" i="285"/>
  <c r="T71" i="285" s="1"/>
  <c r="M74" i="285"/>
  <c r="T74" i="285" s="1"/>
  <c r="L73" i="285"/>
  <c r="L71" i="285"/>
  <c r="N75" i="285"/>
  <c r="S75" i="285"/>
  <c r="T78" i="285"/>
  <c r="T82" i="285"/>
  <c r="S88" i="285"/>
  <c r="U88" i="285" s="1"/>
  <c r="N88" i="285"/>
  <c r="S94" i="285"/>
  <c r="N98" i="285"/>
  <c r="S98" i="285"/>
  <c r="S95" i="285"/>
  <c r="U95" i="285" s="1"/>
  <c r="L49" i="285"/>
  <c r="L65" i="285"/>
  <c r="T75" i="285"/>
  <c r="T79" i="285"/>
  <c r="S86" i="285"/>
  <c r="S117" i="285"/>
  <c r="L85" i="285"/>
  <c r="M86" i="285"/>
  <c r="T86" i="285" s="1"/>
  <c r="L93" i="285"/>
  <c r="M94" i="285"/>
  <c r="T94" i="285" s="1"/>
  <c r="N114" i="285"/>
  <c r="S114" i="285"/>
  <c r="U114" i="285" s="1"/>
  <c r="S141" i="285"/>
  <c r="N141" i="285"/>
  <c r="N146" i="285"/>
  <c r="T146" i="285"/>
  <c r="L82" i="285"/>
  <c r="L83" i="285"/>
  <c r="L84" i="285"/>
  <c r="M85" i="285"/>
  <c r="T85" i="285" s="1"/>
  <c r="L90" i="285"/>
  <c r="L91" i="285"/>
  <c r="L92" i="285"/>
  <c r="M93" i="285"/>
  <c r="T93" i="285" s="1"/>
  <c r="S106" i="285"/>
  <c r="U106" i="285" s="1"/>
  <c r="S113" i="285"/>
  <c r="L126" i="285"/>
  <c r="L125" i="285"/>
  <c r="M124" i="285"/>
  <c r="T124" i="285" s="1"/>
  <c r="L124" i="285"/>
  <c r="M123" i="285"/>
  <c r="T123" i="285" s="1"/>
  <c r="L123" i="285"/>
  <c r="M125" i="285"/>
  <c r="T125" i="285" s="1"/>
  <c r="N162" i="285"/>
  <c r="T162" i="285"/>
  <c r="L79" i="285"/>
  <c r="L81" i="285"/>
  <c r="M83" i="285"/>
  <c r="T83" i="285" s="1"/>
  <c r="L89" i="285"/>
  <c r="M91" i="285"/>
  <c r="T91" i="285" s="1"/>
  <c r="M97" i="285"/>
  <c r="T97" i="285" s="1"/>
  <c r="L96" i="285"/>
  <c r="M98" i="285"/>
  <c r="T98" i="285" s="1"/>
  <c r="M96" i="285"/>
  <c r="T96" i="285" s="1"/>
  <c r="L97" i="285"/>
  <c r="N108" i="285"/>
  <c r="S108" i="285"/>
  <c r="U108" i="285" s="1"/>
  <c r="T122" i="285"/>
  <c r="L150" i="285"/>
  <c r="M148" i="285"/>
  <c r="T148" i="285" s="1"/>
  <c r="M147" i="285"/>
  <c r="T147" i="285" s="1"/>
  <c r="M149" i="285"/>
  <c r="T149" i="285" s="1"/>
  <c r="L148" i="285"/>
  <c r="L147" i="285"/>
  <c r="M150" i="285"/>
  <c r="T150" i="285" s="1"/>
  <c r="L149" i="285"/>
  <c r="S109" i="285"/>
  <c r="M117" i="285"/>
  <c r="T117" i="285" s="1"/>
  <c r="M118" i="285"/>
  <c r="T118" i="285" s="1"/>
  <c r="U118" i="285" s="1"/>
  <c r="M121" i="285"/>
  <c r="T121" i="285" s="1"/>
  <c r="L120" i="285"/>
  <c r="L119" i="285"/>
  <c r="N133" i="285"/>
  <c r="U143" i="285"/>
  <c r="U146" i="285"/>
  <c r="T158" i="285"/>
  <c r="L105" i="285"/>
  <c r="M106" i="285"/>
  <c r="T106" i="285" s="1"/>
  <c r="M109" i="285"/>
  <c r="T109" i="285" s="1"/>
  <c r="M110" i="285"/>
  <c r="T110" i="285" s="1"/>
  <c r="U110" i="285" s="1"/>
  <c r="M113" i="285"/>
  <c r="T113" i="285" s="1"/>
  <c r="L112" i="285"/>
  <c r="L111" i="285"/>
  <c r="L115" i="285"/>
  <c r="M119" i="285"/>
  <c r="T119" i="285" s="1"/>
  <c r="M132" i="285"/>
  <c r="T132" i="285" s="1"/>
  <c r="M131" i="285"/>
  <c r="T131" i="285" s="1"/>
  <c r="M133" i="285"/>
  <c r="T133" i="285" s="1"/>
  <c r="L132" i="285"/>
  <c r="L131" i="285"/>
  <c r="L134" i="285"/>
  <c r="S133" i="285"/>
  <c r="U133" i="285" s="1"/>
  <c r="M134" i="285"/>
  <c r="T134" i="285" s="1"/>
  <c r="L142" i="285"/>
  <c r="M140" i="285"/>
  <c r="T140" i="285" s="1"/>
  <c r="M139" i="285"/>
  <c r="T139" i="285" s="1"/>
  <c r="M141" i="285"/>
  <c r="T141" i="285" s="1"/>
  <c r="L140" i="285"/>
  <c r="L139" i="285"/>
  <c r="S157" i="285"/>
  <c r="U160" i="285"/>
  <c r="L103" i="285"/>
  <c r="L104" i="285"/>
  <c r="L107" i="285"/>
  <c r="N109" i="285"/>
  <c r="M111" i="285"/>
  <c r="T111" i="285" s="1"/>
  <c r="M115" i="285"/>
  <c r="T115" i="285" s="1"/>
  <c r="L116" i="285"/>
  <c r="M120" i="285"/>
  <c r="T120" i="285" s="1"/>
  <c r="L121" i="285"/>
  <c r="L122" i="285"/>
  <c r="U135" i="285"/>
  <c r="N135" i="285"/>
  <c r="S136" i="285"/>
  <c r="U136" i="285" s="1"/>
  <c r="N136" i="285"/>
  <c r="N154" i="285"/>
  <c r="T154" i="285"/>
  <c r="U154" i="285" s="1"/>
  <c r="L158" i="285"/>
  <c r="M156" i="285"/>
  <c r="T156" i="285" s="1"/>
  <c r="M155" i="285"/>
  <c r="T155" i="285" s="1"/>
  <c r="M157" i="285"/>
  <c r="T157" i="285" s="1"/>
  <c r="L156" i="285"/>
  <c r="L155" i="285"/>
  <c r="U159" i="285"/>
  <c r="U162" i="285"/>
  <c r="L138" i="285"/>
  <c r="N143" i="285"/>
  <c r="N144" i="285"/>
  <c r="N151" i="285"/>
  <c r="N152" i="285"/>
  <c r="N159" i="285"/>
  <c r="N160" i="285"/>
  <c r="L137" i="285"/>
  <c r="L145" i="285"/>
  <c r="L153" i="285"/>
  <c r="L161" i="285"/>
  <c r="AK90" i="283"/>
  <c r="P41" i="283"/>
  <c r="C22" i="278"/>
  <c r="C10" i="278"/>
  <c r="B10" i="278"/>
  <c r="B22" i="278"/>
  <c r="B24" i="278"/>
  <c r="Q90" i="278"/>
  <c r="B11" i="278"/>
  <c r="B10" i="276"/>
  <c r="B22" i="276"/>
  <c r="B24" i="276"/>
  <c r="C22" i="276"/>
  <c r="C10" i="276"/>
  <c r="O43" i="276"/>
  <c r="P41" i="276"/>
  <c r="B11" i="276"/>
  <c r="AJ90" i="276"/>
  <c r="I55" i="274"/>
  <c r="I23" i="274" s="1"/>
  <c r="I26" i="274" s="1"/>
  <c r="B28" i="272"/>
  <c r="C11" i="272"/>
  <c r="B10" i="272"/>
  <c r="B22" i="272"/>
  <c r="B24" i="272"/>
  <c r="P41" i="272"/>
  <c r="I43" i="272"/>
  <c r="O43" i="272" s="1"/>
  <c r="AJ90" i="272"/>
  <c r="C10" i="272"/>
  <c r="C22" i="272"/>
  <c r="B11" i="272"/>
  <c r="D5" i="263"/>
  <c r="D6" i="263"/>
  <c r="D7" i="263"/>
  <c r="B11" i="263"/>
  <c r="D11" i="263" s="1"/>
  <c r="C11" i="263"/>
  <c r="J21" i="263"/>
  <c r="L21" i="263"/>
  <c r="J22" i="263"/>
  <c r="L22" i="263"/>
  <c r="U86" i="285" l="1"/>
  <c r="T53" i="285"/>
  <c r="T54" i="285"/>
  <c r="S52" i="285"/>
  <c r="U52" i="285" s="1"/>
  <c r="U64" i="285"/>
  <c r="C116" i="316"/>
  <c r="V116" i="316" s="1"/>
  <c r="A120" i="316"/>
  <c r="C114" i="316"/>
  <c r="V114" i="316" s="1"/>
  <c r="A118" i="316"/>
  <c r="A119" i="316"/>
  <c r="C115" i="316"/>
  <c r="V115" i="316" s="1"/>
  <c r="A125" i="316"/>
  <c r="C121" i="316"/>
  <c r="V121" i="316" s="1"/>
  <c r="A141" i="291"/>
  <c r="C137" i="291"/>
  <c r="V137" i="291" s="1"/>
  <c r="A116" i="291"/>
  <c r="C112" i="291"/>
  <c r="V112" i="291" s="1"/>
  <c r="A114" i="291"/>
  <c r="C110" i="291"/>
  <c r="V110" i="291" s="1"/>
  <c r="A111" i="291"/>
  <c r="C107" i="291"/>
  <c r="V107" i="291" s="1"/>
  <c r="C169" i="285"/>
  <c r="V169" i="285" s="1"/>
  <c r="B173" i="285"/>
  <c r="U42" i="285"/>
  <c r="U58" i="285"/>
  <c r="U18" i="285"/>
  <c r="T31" i="285"/>
  <c r="T68" i="285"/>
  <c r="T70" i="285"/>
  <c r="T21" i="285"/>
  <c r="U78" i="285"/>
  <c r="U76" i="285"/>
  <c r="T67" i="285"/>
  <c r="T22" i="285"/>
  <c r="U22" i="285" s="1"/>
  <c r="T20" i="285"/>
  <c r="S145" i="285"/>
  <c r="U145" i="285" s="1"/>
  <c r="N145" i="285"/>
  <c r="S138" i="285"/>
  <c r="U138" i="285" s="1"/>
  <c r="N138" i="285"/>
  <c r="S121" i="285"/>
  <c r="U121" i="285" s="1"/>
  <c r="N121" i="285"/>
  <c r="S103" i="285"/>
  <c r="U103" i="285" s="1"/>
  <c r="N103" i="285"/>
  <c r="N139" i="285"/>
  <c r="S139" i="285"/>
  <c r="U139" i="285" s="1"/>
  <c r="N123" i="285"/>
  <c r="S123" i="285"/>
  <c r="U123" i="285" s="1"/>
  <c r="N110" i="285"/>
  <c r="S84" i="285"/>
  <c r="U84" i="285" s="1"/>
  <c r="N84" i="285"/>
  <c r="N85" i="285"/>
  <c r="S85" i="285"/>
  <c r="U85" i="285" s="1"/>
  <c r="S49" i="285"/>
  <c r="U49" i="285" s="1"/>
  <c r="N49" i="285"/>
  <c r="N66" i="285"/>
  <c r="S66" i="285"/>
  <c r="U66" i="285" s="1"/>
  <c r="N54" i="285"/>
  <c r="S54" i="285"/>
  <c r="N70" i="285"/>
  <c r="S70" i="285"/>
  <c r="U62" i="285"/>
  <c r="S142" i="285"/>
  <c r="U142" i="285" s="1"/>
  <c r="N142" i="285"/>
  <c r="S131" i="285"/>
  <c r="U131" i="285" s="1"/>
  <c r="N131" i="285"/>
  <c r="N147" i="285"/>
  <c r="S147" i="285"/>
  <c r="U147" i="285" s="1"/>
  <c r="S89" i="285"/>
  <c r="U89" i="285" s="1"/>
  <c r="N89" i="285"/>
  <c r="S83" i="285"/>
  <c r="U83" i="285" s="1"/>
  <c r="N83" i="285"/>
  <c r="N117" i="285"/>
  <c r="S127" i="285"/>
  <c r="U127" i="285" s="1"/>
  <c r="N127" i="285"/>
  <c r="N33" i="285"/>
  <c r="S33" i="285"/>
  <c r="U33" i="285" s="1"/>
  <c r="C22" i="285"/>
  <c r="V22" i="285" s="1"/>
  <c r="A26" i="285"/>
  <c r="C21" i="285"/>
  <c r="V21" i="285" s="1"/>
  <c r="A25" i="285"/>
  <c r="S68" i="285"/>
  <c r="N68" i="285"/>
  <c r="N55" i="285"/>
  <c r="S55" i="285"/>
  <c r="U55" i="285" s="1"/>
  <c r="S20" i="285"/>
  <c r="U20" i="285" s="1"/>
  <c r="N20" i="285"/>
  <c r="S161" i="285"/>
  <c r="U161" i="285" s="1"/>
  <c r="N161" i="285"/>
  <c r="N116" i="285"/>
  <c r="S116" i="285"/>
  <c r="U116" i="285" s="1"/>
  <c r="N107" i="285"/>
  <c r="S107" i="285"/>
  <c r="U107" i="285" s="1"/>
  <c r="N157" i="285"/>
  <c r="S132" i="285"/>
  <c r="U132" i="285" s="1"/>
  <c r="N132" i="285"/>
  <c r="S112" i="285"/>
  <c r="U112" i="285" s="1"/>
  <c r="N112" i="285"/>
  <c r="S120" i="285"/>
  <c r="U120" i="285" s="1"/>
  <c r="N120" i="285"/>
  <c r="U109" i="285"/>
  <c r="N148" i="285"/>
  <c r="S148" i="285"/>
  <c r="U148" i="285" s="1"/>
  <c r="S150" i="285"/>
  <c r="U150" i="285" s="1"/>
  <c r="N150" i="285"/>
  <c r="S96" i="285"/>
  <c r="U96" i="285" s="1"/>
  <c r="N96" i="285"/>
  <c r="N124" i="285"/>
  <c r="S124" i="285"/>
  <c r="U124" i="285" s="1"/>
  <c r="N113" i="285"/>
  <c r="N106" i="285"/>
  <c r="S90" i="285"/>
  <c r="U90" i="285" s="1"/>
  <c r="N90" i="285"/>
  <c r="S82" i="285"/>
  <c r="U82" i="285" s="1"/>
  <c r="N82" i="285"/>
  <c r="U141" i="285"/>
  <c r="N93" i="285"/>
  <c r="S93" i="285"/>
  <c r="U93" i="285" s="1"/>
  <c r="U117" i="285"/>
  <c r="U94" i="285"/>
  <c r="N73" i="285"/>
  <c r="S73" i="285"/>
  <c r="U73" i="285" s="1"/>
  <c r="S50" i="285"/>
  <c r="U50" i="285" s="1"/>
  <c r="N50" i="285"/>
  <c r="S101" i="285"/>
  <c r="U101" i="285" s="1"/>
  <c r="N101" i="285"/>
  <c r="U77" i="285"/>
  <c r="N60" i="285"/>
  <c r="S60" i="285"/>
  <c r="U60" i="285" s="1"/>
  <c r="N128" i="285"/>
  <c r="S128" i="285"/>
  <c r="U128" i="285" s="1"/>
  <c r="S3" i="285"/>
  <c r="U3" i="285" s="1"/>
  <c r="N3" i="285"/>
  <c r="S69" i="285"/>
  <c r="U69" i="285" s="1"/>
  <c r="N69" i="285"/>
  <c r="U61" i="285"/>
  <c r="N57" i="285"/>
  <c r="S57" i="285"/>
  <c r="U57" i="285" s="1"/>
  <c r="U45" i="285"/>
  <c r="N41" i="285"/>
  <c r="S41" i="285"/>
  <c r="U41" i="285" s="1"/>
  <c r="U46" i="285"/>
  <c r="N27" i="285"/>
  <c r="S27" i="285"/>
  <c r="S28" i="285"/>
  <c r="U28" i="285" s="1"/>
  <c r="N28" i="285"/>
  <c r="N21" i="285"/>
  <c r="S21" i="285"/>
  <c r="S8" i="285"/>
  <c r="U8" i="285" s="1"/>
  <c r="N8" i="285"/>
  <c r="N23" i="285"/>
  <c r="S23" i="285"/>
  <c r="U23" i="285" s="1"/>
  <c r="S24" i="285"/>
  <c r="U24" i="285" s="1"/>
  <c r="N24" i="285"/>
  <c r="N48" i="285"/>
  <c r="A56" i="285"/>
  <c r="C52" i="285"/>
  <c r="V52" i="285" s="1"/>
  <c r="N156" i="285"/>
  <c r="S156" i="285"/>
  <c r="U156" i="285" s="1"/>
  <c r="S158" i="285"/>
  <c r="U158" i="285" s="1"/>
  <c r="N158" i="285"/>
  <c r="S134" i="285"/>
  <c r="U134" i="285" s="1"/>
  <c r="N134" i="285"/>
  <c r="N115" i="285"/>
  <c r="S115" i="285"/>
  <c r="U115" i="285" s="1"/>
  <c r="N79" i="285"/>
  <c r="S79" i="285"/>
  <c r="U79" i="285" s="1"/>
  <c r="S125" i="285"/>
  <c r="U125" i="285" s="1"/>
  <c r="N125" i="285"/>
  <c r="S92" i="285"/>
  <c r="U92" i="285" s="1"/>
  <c r="N92" i="285"/>
  <c r="S53" i="285"/>
  <c r="U53" i="285" s="1"/>
  <c r="N53" i="285"/>
  <c r="N100" i="285"/>
  <c r="S100" i="285"/>
  <c r="U100" i="285" s="1"/>
  <c r="N44" i="285"/>
  <c r="S44" i="285"/>
  <c r="U44" i="285" s="1"/>
  <c r="N129" i="285"/>
  <c r="S129" i="285"/>
  <c r="U129" i="285" s="1"/>
  <c r="S130" i="285"/>
  <c r="U130" i="285" s="1"/>
  <c r="N130" i="285"/>
  <c r="N31" i="285"/>
  <c r="S31" i="285"/>
  <c r="U31" i="285" s="1"/>
  <c r="S32" i="285"/>
  <c r="U32" i="285" s="1"/>
  <c r="N32" i="285"/>
  <c r="N17" i="285"/>
  <c r="S17" i="285"/>
  <c r="U17" i="285" s="1"/>
  <c r="N5" i="285"/>
  <c r="S5" i="285"/>
  <c r="U5" i="285" s="1"/>
  <c r="N35" i="285"/>
  <c r="S35" i="285"/>
  <c r="U35" i="285" s="1"/>
  <c r="S36" i="285"/>
  <c r="U36" i="285" s="1"/>
  <c r="N36" i="285"/>
  <c r="N10" i="285"/>
  <c r="S10" i="285"/>
  <c r="U10" i="285" s="1"/>
  <c r="N26" i="285"/>
  <c r="S137" i="285"/>
  <c r="U137" i="285" s="1"/>
  <c r="N137" i="285"/>
  <c r="N140" i="285"/>
  <c r="S140" i="285"/>
  <c r="U140" i="285" s="1"/>
  <c r="S111" i="285"/>
  <c r="U111" i="285" s="1"/>
  <c r="N111" i="285"/>
  <c r="S119" i="285"/>
  <c r="U119" i="285" s="1"/>
  <c r="N119" i="285"/>
  <c r="S126" i="285"/>
  <c r="U126" i="285" s="1"/>
  <c r="N126" i="285"/>
  <c r="S91" i="285"/>
  <c r="U91" i="285" s="1"/>
  <c r="N91" i="285"/>
  <c r="N94" i="285"/>
  <c r="N71" i="285"/>
  <c r="S71" i="285"/>
  <c r="U71" i="285" s="1"/>
  <c r="S72" i="285"/>
  <c r="U72" i="285" s="1"/>
  <c r="N72" i="285"/>
  <c r="S51" i="285"/>
  <c r="U51" i="285" s="1"/>
  <c r="N51" i="285"/>
  <c r="N99" i="285"/>
  <c r="S99" i="285"/>
  <c r="U99" i="285" s="1"/>
  <c r="S67" i="285"/>
  <c r="U67" i="285" s="1"/>
  <c r="N67" i="285"/>
  <c r="N61" i="285"/>
  <c r="S56" i="285"/>
  <c r="U56" i="285" s="1"/>
  <c r="N56" i="285"/>
  <c r="N39" i="285"/>
  <c r="S39" i="285"/>
  <c r="U39" i="285" s="1"/>
  <c r="S40" i="285"/>
  <c r="U40" i="285" s="1"/>
  <c r="N40" i="285"/>
  <c r="T27" i="285"/>
  <c r="N37" i="285"/>
  <c r="S37" i="285"/>
  <c r="U37" i="285" s="1"/>
  <c r="N19" i="285"/>
  <c r="S19" i="285"/>
  <c r="U19" i="285" s="1"/>
  <c r="U26" i="285"/>
  <c r="S153" i="285"/>
  <c r="U153" i="285" s="1"/>
  <c r="N153" i="285"/>
  <c r="N155" i="285"/>
  <c r="S155" i="285"/>
  <c r="U155" i="285" s="1"/>
  <c r="N122" i="285"/>
  <c r="S122" i="285"/>
  <c r="U122" i="285" s="1"/>
  <c r="S104" i="285"/>
  <c r="U104" i="285" s="1"/>
  <c r="N104" i="285"/>
  <c r="U157" i="285"/>
  <c r="N118" i="285"/>
  <c r="S105" i="285"/>
  <c r="U105" i="285" s="1"/>
  <c r="N105" i="285"/>
  <c r="S149" i="285"/>
  <c r="U149" i="285" s="1"/>
  <c r="N149" i="285"/>
  <c r="S97" i="285"/>
  <c r="U97" i="285" s="1"/>
  <c r="N97" i="285"/>
  <c r="S81" i="285"/>
  <c r="U81" i="285" s="1"/>
  <c r="N81" i="285"/>
  <c r="U113" i="285"/>
  <c r="N86" i="285"/>
  <c r="S65" i="285"/>
  <c r="U65" i="285" s="1"/>
  <c r="N65" i="285"/>
  <c r="U98" i="285"/>
  <c r="U75" i="285"/>
  <c r="S102" i="285"/>
  <c r="U102" i="285" s="1"/>
  <c r="N102" i="285"/>
  <c r="S30" i="285"/>
  <c r="U30" i="285" s="1"/>
  <c r="N30" i="285"/>
  <c r="S15" i="285"/>
  <c r="U15" i="285" s="1"/>
  <c r="N15" i="285"/>
  <c r="S16" i="285"/>
  <c r="U16" i="285" s="1"/>
  <c r="N16" i="285"/>
  <c r="N11" i="285"/>
  <c r="S11" i="285"/>
  <c r="U11" i="285" s="1"/>
  <c r="U59" i="285"/>
  <c r="U43" i="285"/>
  <c r="N42" i="285"/>
  <c r="N29" i="285"/>
  <c r="S29" i="285"/>
  <c r="U29" i="285" s="1"/>
  <c r="T29" i="285"/>
  <c r="A23" i="285"/>
  <c r="D19" i="285"/>
  <c r="C19" i="285"/>
  <c r="V19" i="285" s="1"/>
  <c r="S7" i="285"/>
  <c r="U7" i="285" s="1"/>
  <c r="N7" i="285"/>
  <c r="N25" i="285"/>
  <c r="S25" i="285"/>
  <c r="U25" i="285" s="1"/>
  <c r="N4" i="285"/>
  <c r="S4" i="285"/>
  <c r="U4" i="285" s="1"/>
  <c r="U48" i="285"/>
  <c r="U6" i="285"/>
  <c r="N18" i="285"/>
  <c r="U13" i="285"/>
  <c r="U9" i="285"/>
  <c r="I36" i="274"/>
  <c r="I38" i="274" s="1"/>
  <c r="H12" i="259"/>
  <c r="I12" i="259"/>
  <c r="H13" i="259"/>
  <c r="I13" i="259"/>
  <c r="G29" i="259"/>
  <c r="H29" i="259"/>
  <c r="G30" i="259"/>
  <c r="H30" i="259"/>
  <c r="U54" i="285" l="1"/>
  <c r="U68" i="285"/>
  <c r="A122" i="316"/>
  <c r="C118" i="316"/>
  <c r="V118" i="316" s="1"/>
  <c r="A129" i="316"/>
  <c r="C125" i="316"/>
  <c r="V125" i="316" s="1"/>
  <c r="A124" i="316"/>
  <c r="C120" i="316"/>
  <c r="V120" i="316" s="1"/>
  <c r="A123" i="316"/>
  <c r="C119" i="316"/>
  <c r="V119" i="316" s="1"/>
  <c r="A115" i="291"/>
  <c r="C111" i="291"/>
  <c r="V111" i="291" s="1"/>
  <c r="C116" i="291"/>
  <c r="V116" i="291" s="1"/>
  <c r="A120" i="291"/>
  <c r="C114" i="291"/>
  <c r="V114" i="291" s="1"/>
  <c r="A118" i="291"/>
  <c r="A145" i="291"/>
  <c r="C141" i="291"/>
  <c r="V141" i="291" s="1"/>
  <c r="C173" i="285"/>
  <c r="V173" i="285" s="1"/>
  <c r="B177" i="285"/>
  <c r="C177" i="285" s="1"/>
  <c r="V177" i="285" s="1"/>
  <c r="U70" i="285"/>
  <c r="U21" i="285"/>
  <c r="C26" i="285"/>
  <c r="V26" i="285" s="1"/>
  <c r="A30" i="285"/>
  <c r="A27" i="285"/>
  <c r="D23" i="285"/>
  <c r="C23" i="285"/>
  <c r="V23" i="285" s="1"/>
  <c r="C25" i="285"/>
  <c r="V25" i="285" s="1"/>
  <c r="A29" i="285"/>
  <c r="A60" i="285"/>
  <c r="C56" i="285"/>
  <c r="V56" i="285" s="1"/>
  <c r="U27" i="285"/>
  <c r="I37" i="274"/>
  <c r="A127" i="316" l="1"/>
  <c r="C123" i="316"/>
  <c r="V123" i="316" s="1"/>
  <c r="A133" i="316"/>
  <c r="C129" i="316"/>
  <c r="V129" i="316" s="1"/>
  <c r="A128" i="316"/>
  <c r="C124" i="316"/>
  <c r="V124" i="316" s="1"/>
  <c r="A126" i="316"/>
  <c r="C122" i="316"/>
  <c r="V122" i="316" s="1"/>
  <c r="A124" i="291"/>
  <c r="C120" i="291"/>
  <c r="V120" i="291" s="1"/>
  <c r="A149" i="291"/>
  <c r="C145" i="291"/>
  <c r="V145" i="291" s="1"/>
  <c r="A122" i="291"/>
  <c r="C118" i="291"/>
  <c r="V118" i="291" s="1"/>
  <c r="A119" i="291"/>
  <c r="C115" i="291"/>
  <c r="V115" i="291" s="1"/>
  <c r="C60" i="285"/>
  <c r="V60" i="285" s="1"/>
  <c r="A64" i="285"/>
  <c r="C29" i="285"/>
  <c r="V29" i="285" s="1"/>
  <c r="A33" i="285"/>
  <c r="A31" i="285"/>
  <c r="D27" i="285"/>
  <c r="C27" i="285"/>
  <c r="V27" i="285" s="1"/>
  <c r="C30" i="285"/>
  <c r="V30" i="285" s="1"/>
  <c r="A34" i="285"/>
  <c r="A132" i="316" l="1"/>
  <c r="C128" i="316"/>
  <c r="V128" i="316" s="1"/>
  <c r="A131" i="316"/>
  <c r="C127" i="316"/>
  <c r="V127" i="316" s="1"/>
  <c r="A130" i="316"/>
  <c r="C126" i="316"/>
  <c r="V126" i="316" s="1"/>
  <c r="A137" i="316"/>
  <c r="C133" i="316"/>
  <c r="V133" i="316" s="1"/>
  <c r="A123" i="291"/>
  <c r="C119" i="291"/>
  <c r="V119" i="291" s="1"/>
  <c r="C149" i="291"/>
  <c r="V149" i="291" s="1"/>
  <c r="A153" i="291"/>
  <c r="C122" i="291"/>
  <c r="V122" i="291" s="1"/>
  <c r="A126" i="291"/>
  <c r="C124" i="291"/>
  <c r="V124" i="291" s="1"/>
  <c r="A128" i="291"/>
  <c r="C33" i="285"/>
  <c r="V33" i="285" s="1"/>
  <c r="A37" i="285"/>
  <c r="A68" i="285"/>
  <c r="C64" i="285"/>
  <c r="V64" i="285" s="1"/>
  <c r="C34" i="285"/>
  <c r="V34" i="285" s="1"/>
  <c r="A38" i="285"/>
  <c r="A35" i="285"/>
  <c r="D31" i="285"/>
  <c r="C31" i="285"/>
  <c r="V31" i="285" s="1"/>
  <c r="I6" i="60"/>
  <c r="W89" i="99"/>
  <c r="U175" i="220"/>
  <c r="U174" i="220"/>
  <c r="J177" i="220"/>
  <c r="J167" i="220"/>
  <c r="J168" i="220"/>
  <c r="J169" i="220"/>
  <c r="J170" i="220"/>
  <c r="J171" i="220"/>
  <c r="J172" i="220"/>
  <c r="J173" i="220"/>
  <c r="J174" i="220"/>
  <c r="J175" i="220"/>
  <c r="J176" i="220"/>
  <c r="J166" i="220"/>
  <c r="B7" i="258"/>
  <c r="C7" i="258"/>
  <c r="E86" i="64"/>
  <c r="A134" i="316" l="1"/>
  <c r="C130" i="316"/>
  <c r="V130" i="316" s="1"/>
  <c r="A136" i="316"/>
  <c r="C132" i="316"/>
  <c r="V132" i="316" s="1"/>
  <c r="A141" i="316"/>
  <c r="C137" i="316"/>
  <c r="V137" i="316" s="1"/>
  <c r="A135" i="316"/>
  <c r="C131" i="316"/>
  <c r="V131" i="316" s="1"/>
  <c r="A132" i="291"/>
  <c r="C128" i="291"/>
  <c r="V128" i="291" s="1"/>
  <c r="A157" i="291"/>
  <c r="C153" i="291"/>
  <c r="V153" i="291" s="1"/>
  <c r="A130" i="291"/>
  <c r="C126" i="291"/>
  <c r="V126" i="291" s="1"/>
  <c r="A127" i="291"/>
  <c r="C123" i="291"/>
  <c r="V123" i="291" s="1"/>
  <c r="A39" i="285"/>
  <c r="D35" i="285"/>
  <c r="C35" i="285"/>
  <c r="V35" i="285" s="1"/>
  <c r="A72" i="285"/>
  <c r="C68" i="285"/>
  <c r="V68" i="285" s="1"/>
  <c r="C38" i="285"/>
  <c r="V38" i="285" s="1"/>
  <c r="A42" i="285"/>
  <c r="C37" i="285"/>
  <c r="V37" i="285" s="1"/>
  <c r="A41" i="285"/>
  <c r="A139" i="316" l="1"/>
  <c r="C135" i="316"/>
  <c r="V135" i="316" s="1"/>
  <c r="A140" i="316"/>
  <c r="C136" i="316"/>
  <c r="V136" i="316" s="1"/>
  <c r="A145" i="316"/>
  <c r="C141" i="316"/>
  <c r="V141" i="316" s="1"/>
  <c r="A138" i="316"/>
  <c r="C134" i="316"/>
  <c r="V134" i="316" s="1"/>
  <c r="A131" i="291"/>
  <c r="C127" i="291"/>
  <c r="V127" i="291" s="1"/>
  <c r="A161" i="291"/>
  <c r="C157" i="291"/>
  <c r="V157" i="291" s="1"/>
  <c r="C130" i="291"/>
  <c r="V130" i="291" s="1"/>
  <c r="A134" i="291"/>
  <c r="C132" i="291"/>
  <c r="V132" i="291" s="1"/>
  <c r="A136" i="291"/>
  <c r="A76" i="285"/>
  <c r="C72" i="285"/>
  <c r="V72" i="285" s="1"/>
  <c r="A46" i="285"/>
  <c r="C42" i="285"/>
  <c r="V42" i="285" s="1"/>
  <c r="C41" i="285"/>
  <c r="V41" i="285" s="1"/>
  <c r="A45" i="285"/>
  <c r="A43" i="285"/>
  <c r="D39" i="285"/>
  <c r="C39" i="285"/>
  <c r="V39" i="285" s="1"/>
  <c r="C138" i="316" l="1"/>
  <c r="V138" i="316" s="1"/>
  <c r="A142" i="316"/>
  <c r="A144" i="316"/>
  <c r="C140" i="316"/>
  <c r="V140" i="316" s="1"/>
  <c r="A149" i="316"/>
  <c r="C145" i="316"/>
  <c r="V145" i="316" s="1"/>
  <c r="A143" i="316"/>
  <c r="C139" i="316"/>
  <c r="V139" i="316" s="1"/>
  <c r="A140" i="291"/>
  <c r="C136" i="291"/>
  <c r="V136" i="291" s="1"/>
  <c r="A165" i="291"/>
  <c r="C161" i="291"/>
  <c r="V161" i="291" s="1"/>
  <c r="A138" i="291"/>
  <c r="C134" i="291"/>
  <c r="V134" i="291" s="1"/>
  <c r="A135" i="291"/>
  <c r="C131" i="291"/>
  <c r="V131" i="291" s="1"/>
  <c r="A47" i="285"/>
  <c r="C43" i="285"/>
  <c r="V43" i="285" s="1"/>
  <c r="A50" i="285"/>
  <c r="C46" i="285"/>
  <c r="V46" i="285" s="1"/>
  <c r="A49" i="285"/>
  <c r="C45" i="285"/>
  <c r="V45" i="285" s="1"/>
  <c r="C76" i="285"/>
  <c r="V76" i="285" s="1"/>
  <c r="A80" i="285"/>
  <c r="B6" i="255"/>
  <c r="B12" i="255"/>
  <c r="B17" i="255" s="1"/>
  <c r="B13" i="255"/>
  <c r="B7" i="255" s="1"/>
  <c r="B18" i="255" l="1"/>
  <c r="C149" i="316"/>
  <c r="V149" i="316" s="1"/>
  <c r="A153" i="316"/>
  <c r="A147" i="316"/>
  <c r="C143" i="316"/>
  <c r="V143" i="316" s="1"/>
  <c r="A148" i="316"/>
  <c r="C144" i="316"/>
  <c r="V144" i="316" s="1"/>
  <c r="A146" i="316"/>
  <c r="C142" i="316"/>
  <c r="V142" i="316" s="1"/>
  <c r="A139" i="291"/>
  <c r="C135" i="291"/>
  <c r="V135" i="291" s="1"/>
  <c r="A169" i="291"/>
  <c r="C165" i="291"/>
  <c r="V165" i="291" s="1"/>
  <c r="C138" i="291"/>
  <c r="V138" i="291" s="1"/>
  <c r="A142" i="291"/>
  <c r="C140" i="291"/>
  <c r="V140" i="291" s="1"/>
  <c r="A144" i="291"/>
  <c r="A54" i="285"/>
  <c r="C50" i="285"/>
  <c r="V50" i="285" s="1"/>
  <c r="A84" i="285"/>
  <c r="C80" i="285"/>
  <c r="V80" i="285" s="1"/>
  <c r="A53" i="285"/>
  <c r="C49" i="285"/>
  <c r="V49" i="285" s="1"/>
  <c r="A51" i="285"/>
  <c r="C47" i="285"/>
  <c r="V47" i="285" s="1"/>
  <c r="A150" i="316" l="1"/>
  <c r="C146" i="316"/>
  <c r="V146" i="316" s="1"/>
  <c r="A151" i="316"/>
  <c r="C147" i="316"/>
  <c r="V147" i="316" s="1"/>
  <c r="A157" i="316"/>
  <c r="C153" i="316"/>
  <c r="V153" i="316" s="1"/>
  <c r="A152" i="316"/>
  <c r="C148" i="316"/>
  <c r="V148" i="316" s="1"/>
  <c r="A148" i="291"/>
  <c r="C144" i="291"/>
  <c r="V144" i="291" s="1"/>
  <c r="A173" i="291"/>
  <c r="C169" i="291"/>
  <c r="V169" i="291" s="1"/>
  <c r="A146" i="291"/>
  <c r="C142" i="291"/>
  <c r="V142" i="291" s="1"/>
  <c r="A143" i="291"/>
  <c r="C139" i="291"/>
  <c r="V139" i="291" s="1"/>
  <c r="C51" i="285"/>
  <c r="V51" i="285" s="1"/>
  <c r="A55" i="285"/>
  <c r="C84" i="285"/>
  <c r="V84" i="285" s="1"/>
  <c r="A88" i="285"/>
  <c r="A57" i="285"/>
  <c r="C53" i="285"/>
  <c r="V53" i="285" s="1"/>
  <c r="C54" i="285"/>
  <c r="V54" i="285" s="1"/>
  <c r="A58" i="285"/>
  <c r="B8" i="252"/>
  <c r="B14" i="252"/>
  <c r="B15" i="252"/>
  <c r="B16" i="252"/>
  <c r="G27" i="252"/>
  <c r="H27" i="252"/>
  <c r="G28" i="252"/>
  <c r="G31" i="252" s="1"/>
  <c r="H28" i="252"/>
  <c r="H31" i="252" s="1"/>
  <c r="G32" i="252"/>
  <c r="H32" i="252"/>
  <c r="G44" i="252"/>
  <c r="H44" i="252"/>
  <c r="G50" i="252"/>
  <c r="C18" i="80"/>
  <c r="D18" i="80"/>
  <c r="E18" i="80"/>
  <c r="F18" i="80"/>
  <c r="B18" i="80"/>
  <c r="L63" i="80"/>
  <c r="M63" i="80"/>
  <c r="N63" i="80"/>
  <c r="O63" i="80"/>
  <c r="K63" i="80"/>
  <c r="O56" i="80"/>
  <c r="O57" i="80" s="1"/>
  <c r="L55" i="80"/>
  <c r="L56" i="80" s="1"/>
  <c r="M55" i="80"/>
  <c r="M56" i="80" s="1"/>
  <c r="N55" i="80"/>
  <c r="N56" i="80" s="1"/>
  <c r="O55" i="80"/>
  <c r="K55" i="80"/>
  <c r="K56" i="80" s="1"/>
  <c r="L53" i="80"/>
  <c r="M53" i="80"/>
  <c r="N53" i="80"/>
  <c r="O53" i="80"/>
  <c r="K53" i="80"/>
  <c r="H12" i="80"/>
  <c r="H13" i="80"/>
  <c r="H14" i="80"/>
  <c r="H4" i="80"/>
  <c r="H6" i="80"/>
  <c r="H7" i="80"/>
  <c r="H8" i="80"/>
  <c r="H9" i="80"/>
  <c r="H3" i="80"/>
  <c r="C16" i="80"/>
  <c r="D16" i="80"/>
  <c r="E16" i="80"/>
  <c r="F16" i="80"/>
  <c r="B16" i="80"/>
  <c r="C15" i="80"/>
  <c r="D15" i="80"/>
  <c r="E15" i="80"/>
  <c r="F15" i="80"/>
  <c r="B15" i="80"/>
  <c r="G17" i="80"/>
  <c r="G14" i="80"/>
  <c r="F6" i="249"/>
  <c r="F7" i="249"/>
  <c r="F8" i="249"/>
  <c r="F9" i="249"/>
  <c r="F10" i="249"/>
  <c r="B11" i="249"/>
  <c r="C5" i="249" s="1"/>
  <c r="C11" i="249"/>
  <c r="E11" i="249"/>
  <c r="F5" i="249" s="1"/>
  <c r="F11" i="249"/>
  <c r="Z38" i="98"/>
  <c r="N68" i="245"/>
  <c r="N67" i="245"/>
  <c r="N69" i="245"/>
  <c r="O69" i="245"/>
  <c r="B30" i="247"/>
  <c r="B29" i="247"/>
  <c r="C25" i="247"/>
  <c r="B25" i="247"/>
  <c r="B24" i="247"/>
  <c r="B23" i="247"/>
  <c r="B8" i="247"/>
  <c r="E8" i="247"/>
  <c r="E12" i="247" s="1"/>
  <c r="E11" i="247"/>
  <c r="E24" i="247"/>
  <c r="E25" i="247"/>
  <c r="C24" i="247"/>
  <c r="C8" i="247"/>
  <c r="A161" i="316" l="1"/>
  <c r="C157" i="316"/>
  <c r="V157" i="316" s="1"/>
  <c r="A154" i="316"/>
  <c r="C150" i="316"/>
  <c r="V150" i="316" s="1"/>
  <c r="A156" i="316"/>
  <c r="C152" i="316"/>
  <c r="V152" i="316" s="1"/>
  <c r="A155" i="316"/>
  <c r="C151" i="316"/>
  <c r="V151" i="316" s="1"/>
  <c r="A147" i="291"/>
  <c r="C143" i="291"/>
  <c r="V143" i="291" s="1"/>
  <c r="C173" i="291"/>
  <c r="V173" i="291" s="1"/>
  <c r="A177" i="291"/>
  <c r="C146" i="291"/>
  <c r="V146" i="291" s="1"/>
  <c r="A150" i="291"/>
  <c r="A152" i="291"/>
  <c r="C148" i="291"/>
  <c r="V148" i="291" s="1"/>
  <c r="A62" i="285"/>
  <c r="C58" i="285"/>
  <c r="V58" i="285" s="1"/>
  <c r="A59" i="285"/>
  <c r="C55" i="285"/>
  <c r="V55" i="285" s="1"/>
  <c r="A92" i="285"/>
  <c r="C88" i="285"/>
  <c r="V88" i="285" s="1"/>
  <c r="C57" i="285"/>
  <c r="V57" i="285" s="1"/>
  <c r="A61" i="285"/>
  <c r="G49" i="252"/>
  <c r="H45" i="252"/>
  <c r="H43" i="252"/>
  <c r="G45" i="252"/>
  <c r="G43" i="252"/>
  <c r="K57" i="80"/>
  <c r="L57" i="80"/>
  <c r="M57" i="80"/>
  <c r="N57" i="80"/>
  <c r="C10" i="249"/>
  <c r="C8" i="249"/>
  <c r="C6" i="249"/>
  <c r="C9" i="249"/>
  <c r="C7" i="249"/>
  <c r="B11" i="247"/>
  <c r="B12" i="247"/>
  <c r="E23" i="247"/>
  <c r="C12" i="247"/>
  <c r="C11" i="247"/>
  <c r="C23" i="247"/>
  <c r="A159" i="316" l="1"/>
  <c r="C155" i="316"/>
  <c r="V155" i="316" s="1"/>
  <c r="A158" i="316"/>
  <c r="C154" i="316"/>
  <c r="V154" i="316" s="1"/>
  <c r="A160" i="316"/>
  <c r="C156" i="316"/>
  <c r="V156" i="316" s="1"/>
  <c r="A165" i="316"/>
  <c r="C161" i="316"/>
  <c r="V161" i="316" s="1"/>
  <c r="C177" i="291"/>
  <c r="V177" i="291" s="1"/>
  <c r="A181" i="291"/>
  <c r="A156" i="291"/>
  <c r="C152" i="291"/>
  <c r="V152" i="291" s="1"/>
  <c r="A154" i="291"/>
  <c r="C150" i="291"/>
  <c r="V150" i="291" s="1"/>
  <c r="C147" i="291"/>
  <c r="V147" i="291" s="1"/>
  <c r="A151" i="291"/>
  <c r="A65" i="285"/>
  <c r="C61" i="285"/>
  <c r="V61" i="285" s="1"/>
  <c r="A63" i="285"/>
  <c r="C59" i="285"/>
  <c r="V59" i="285" s="1"/>
  <c r="A96" i="285"/>
  <c r="C92" i="285"/>
  <c r="V92" i="285" s="1"/>
  <c r="A66" i="285"/>
  <c r="C62" i="285"/>
  <c r="V62" i="285" s="1"/>
  <c r="A169" i="316" l="1"/>
  <c r="C165" i="316"/>
  <c r="V165" i="316" s="1"/>
  <c r="A162" i="316"/>
  <c r="C158" i="316"/>
  <c r="V158" i="316" s="1"/>
  <c r="A164" i="316"/>
  <c r="C160" i="316"/>
  <c r="V160" i="316" s="1"/>
  <c r="A163" i="316"/>
  <c r="C159" i="316"/>
  <c r="V159" i="316" s="1"/>
  <c r="C156" i="291"/>
  <c r="V156" i="291" s="1"/>
  <c r="A160" i="291"/>
  <c r="C154" i="291"/>
  <c r="V154" i="291" s="1"/>
  <c r="A158" i="291"/>
  <c r="A155" i="291"/>
  <c r="C151" i="291"/>
  <c r="V151" i="291" s="1"/>
  <c r="A185" i="291"/>
  <c r="C181" i="291"/>
  <c r="V181" i="291" s="1"/>
  <c r="A70" i="285"/>
  <c r="C66" i="285"/>
  <c r="V66" i="285" s="1"/>
  <c r="A67" i="285"/>
  <c r="C63" i="285"/>
  <c r="V63" i="285" s="1"/>
  <c r="A100" i="285"/>
  <c r="C96" i="285"/>
  <c r="V96" i="285" s="1"/>
  <c r="A69" i="285"/>
  <c r="C65" i="285"/>
  <c r="V65" i="285" s="1"/>
  <c r="E6" i="245"/>
  <c r="E7" i="245"/>
  <c r="B12" i="245"/>
  <c r="C12" i="245"/>
  <c r="C13" i="245" s="1"/>
  <c r="B13" i="245"/>
  <c r="H34" i="245"/>
  <c r="I27" i="245" s="1"/>
  <c r="N52" i="245"/>
  <c r="O52" i="245"/>
  <c r="O55" i="245" s="1"/>
  <c r="N55" i="245"/>
  <c r="N56" i="245"/>
  <c r="O56" i="245"/>
  <c r="O68" i="245"/>
  <c r="N73" i="245"/>
  <c r="B7" i="244"/>
  <c r="B10" i="244" s="1"/>
  <c r="C7" i="244"/>
  <c r="C10" i="244"/>
  <c r="B11" i="244"/>
  <c r="C11" i="244"/>
  <c r="B22" i="244"/>
  <c r="C22" i="244"/>
  <c r="B23" i="244"/>
  <c r="C23" i="244"/>
  <c r="B24" i="244"/>
  <c r="C24" i="244"/>
  <c r="AH88" i="98"/>
  <c r="AH86" i="98"/>
  <c r="AH85" i="98"/>
  <c r="AN85" i="98"/>
  <c r="B19" i="100"/>
  <c r="B7" i="241"/>
  <c r="B10" i="241" s="1"/>
  <c r="B13" i="241"/>
  <c r="B14" i="241"/>
  <c r="B22" i="241"/>
  <c r="B25" i="241" s="1"/>
  <c r="B28" i="241" s="1"/>
  <c r="B27" i="241"/>
  <c r="A168" i="316" l="1"/>
  <c r="C164" i="316"/>
  <c r="V164" i="316" s="1"/>
  <c r="A173" i="316"/>
  <c r="C169" i="316"/>
  <c r="V169" i="316" s="1"/>
  <c r="A167" i="316"/>
  <c r="C163" i="316"/>
  <c r="V163" i="316" s="1"/>
  <c r="A166" i="316"/>
  <c r="C162" i="316"/>
  <c r="V162" i="316" s="1"/>
  <c r="A162" i="291"/>
  <c r="C158" i="291"/>
  <c r="V158" i="291" s="1"/>
  <c r="C185" i="291"/>
  <c r="V185" i="291" s="1"/>
  <c r="A189" i="291"/>
  <c r="A164" i="291"/>
  <c r="C160" i="291"/>
  <c r="V160" i="291" s="1"/>
  <c r="A159" i="291"/>
  <c r="C155" i="291"/>
  <c r="V155" i="291" s="1"/>
  <c r="A73" i="285"/>
  <c r="C69" i="285"/>
  <c r="V69" i="285" s="1"/>
  <c r="C67" i="285"/>
  <c r="V67" i="285" s="1"/>
  <c r="A71" i="285"/>
  <c r="A104" i="285"/>
  <c r="C100" i="285"/>
  <c r="V100" i="285" s="1"/>
  <c r="C70" i="285"/>
  <c r="V70" i="285" s="1"/>
  <c r="A74" i="285"/>
  <c r="I26" i="245"/>
  <c r="I33" i="245"/>
  <c r="I29" i="245"/>
  <c r="I25" i="245"/>
  <c r="I32" i="245"/>
  <c r="I28" i="245"/>
  <c r="I30" i="245"/>
  <c r="O67" i="245"/>
  <c r="I34" i="245"/>
  <c r="I31" i="245"/>
  <c r="AH87" i="98"/>
  <c r="A171" i="316" l="1"/>
  <c r="C167" i="316"/>
  <c r="V167" i="316" s="1"/>
  <c r="A172" i="316"/>
  <c r="C168" i="316"/>
  <c r="V168" i="316" s="1"/>
  <c r="C166" i="316"/>
  <c r="V166" i="316" s="1"/>
  <c r="A170" i="316"/>
  <c r="A177" i="316"/>
  <c r="C173" i="316"/>
  <c r="V173" i="316" s="1"/>
  <c r="A193" i="291"/>
  <c r="C189" i="291"/>
  <c r="V189" i="291" s="1"/>
  <c r="A163" i="291"/>
  <c r="C159" i="291"/>
  <c r="V159" i="291" s="1"/>
  <c r="C164" i="291"/>
  <c r="V164" i="291" s="1"/>
  <c r="A168" i="291"/>
  <c r="C162" i="291"/>
  <c r="V162" i="291" s="1"/>
  <c r="A166" i="291"/>
  <c r="A78" i="285"/>
  <c r="C74" i="285"/>
  <c r="V74" i="285" s="1"/>
  <c r="A75" i="285"/>
  <c r="C71" i="285"/>
  <c r="V71" i="285" s="1"/>
  <c r="A108" i="285"/>
  <c r="C104" i="285"/>
  <c r="V104" i="285" s="1"/>
  <c r="C73" i="285"/>
  <c r="V73" i="285" s="1"/>
  <c r="A77" i="285"/>
  <c r="B9" i="239"/>
  <c r="D9" i="239"/>
  <c r="F9" i="239"/>
  <c r="D31" i="239" s="1"/>
  <c r="H9" i="239"/>
  <c r="F31" i="239" s="1"/>
  <c r="J9" i="239"/>
  <c r="B15" i="239"/>
  <c r="D15" i="239"/>
  <c r="D17" i="239" s="1"/>
  <c r="F15" i="239"/>
  <c r="F22" i="239" s="1"/>
  <c r="H15" i="239"/>
  <c r="J15" i="239"/>
  <c r="B16" i="239"/>
  <c r="B21" i="239" s="1"/>
  <c r="D16" i="239"/>
  <c r="D21" i="239" s="1"/>
  <c r="F16" i="239"/>
  <c r="H16" i="239"/>
  <c r="J16" i="239"/>
  <c r="B17" i="239"/>
  <c r="H17" i="239"/>
  <c r="J17" i="239"/>
  <c r="F21" i="239"/>
  <c r="H21" i="239"/>
  <c r="H22" i="239"/>
  <c r="B31" i="239"/>
  <c r="H31" i="239"/>
  <c r="Q43" i="239"/>
  <c r="Q44" i="239"/>
  <c r="Q45" i="239"/>
  <c r="O47" i="239"/>
  <c r="O49" i="239" s="1"/>
  <c r="O48" i="239"/>
  <c r="O51" i="239"/>
  <c r="P51" i="239"/>
  <c r="O52" i="239"/>
  <c r="P52" i="239"/>
  <c r="G28" i="238"/>
  <c r="G30" i="238"/>
  <c r="G37" i="238" s="1"/>
  <c r="F32" i="238"/>
  <c r="G32" i="238"/>
  <c r="F33" i="238"/>
  <c r="G33" i="238"/>
  <c r="F34" i="238"/>
  <c r="G34" i="238"/>
  <c r="G36" i="238"/>
  <c r="F5" i="236"/>
  <c r="F6" i="236"/>
  <c r="F7" i="236"/>
  <c r="F8" i="236"/>
  <c r="F9" i="236"/>
  <c r="F10" i="236"/>
  <c r="F11" i="236"/>
  <c r="F12" i="236"/>
  <c r="F13" i="236"/>
  <c r="B14" i="236"/>
  <c r="D14" i="236"/>
  <c r="F14" i="236" s="1"/>
  <c r="F15" i="236"/>
  <c r="A181" i="316" l="1"/>
  <c r="C177" i="316"/>
  <c r="V177" i="316" s="1"/>
  <c r="C172" i="316"/>
  <c r="V172" i="316" s="1"/>
  <c r="A176" i="316"/>
  <c r="A174" i="316"/>
  <c r="C170" i="316"/>
  <c r="V170" i="316" s="1"/>
  <c r="A175" i="316"/>
  <c r="C171" i="316"/>
  <c r="V171" i="316" s="1"/>
  <c r="A170" i="291"/>
  <c r="C166" i="291"/>
  <c r="V166" i="291" s="1"/>
  <c r="A172" i="291"/>
  <c r="C168" i="291"/>
  <c r="V168" i="291" s="1"/>
  <c r="A167" i="291"/>
  <c r="C163" i="291"/>
  <c r="V163" i="291" s="1"/>
  <c r="C193" i="291"/>
  <c r="V193" i="291" s="1"/>
  <c r="A197" i="291"/>
  <c r="A81" i="285"/>
  <c r="C77" i="285"/>
  <c r="V77" i="285" s="1"/>
  <c r="A79" i="285"/>
  <c r="C75" i="285"/>
  <c r="V75" i="285" s="1"/>
  <c r="A112" i="285"/>
  <c r="C108" i="285"/>
  <c r="V108" i="285" s="1"/>
  <c r="A82" i="285"/>
  <c r="C78" i="285"/>
  <c r="V78" i="285" s="1"/>
  <c r="F17" i="239"/>
  <c r="D22" i="239"/>
  <c r="B22" i="239"/>
  <c r="G41" i="238"/>
  <c r="A180" i="316" l="1"/>
  <c r="C176" i="316"/>
  <c r="V176" i="316" s="1"/>
  <c r="A179" i="316"/>
  <c r="C175" i="316"/>
  <c r="V175" i="316" s="1"/>
  <c r="A178" i="316"/>
  <c r="C174" i="316"/>
  <c r="V174" i="316" s="1"/>
  <c r="A185" i="316"/>
  <c r="C181" i="316"/>
  <c r="V181" i="316" s="1"/>
  <c r="A201" i="291"/>
  <c r="C201" i="291" s="1"/>
  <c r="V201" i="291" s="1"/>
  <c r="C197" i="291"/>
  <c r="V197" i="291" s="1"/>
  <c r="C172" i="291"/>
  <c r="V172" i="291" s="1"/>
  <c r="A176" i="291"/>
  <c r="A171" i="291"/>
  <c r="C167" i="291"/>
  <c r="V167" i="291" s="1"/>
  <c r="A174" i="291"/>
  <c r="C170" i="291"/>
  <c r="V170" i="291" s="1"/>
  <c r="C82" i="285"/>
  <c r="V82" i="285" s="1"/>
  <c r="A86" i="285"/>
  <c r="A83" i="285"/>
  <c r="C79" i="285"/>
  <c r="V79" i="285" s="1"/>
  <c r="C112" i="285"/>
  <c r="V112" i="285" s="1"/>
  <c r="A116" i="285"/>
  <c r="A85" i="285"/>
  <c r="C81" i="285"/>
  <c r="V81" i="285" s="1"/>
  <c r="A189" i="316" l="1"/>
  <c r="C185" i="316"/>
  <c r="V185" i="316" s="1"/>
  <c r="A183" i="316"/>
  <c r="C179" i="316"/>
  <c r="V179" i="316" s="1"/>
  <c r="C178" i="316"/>
  <c r="V178" i="316" s="1"/>
  <c r="A182" i="316"/>
  <c r="A184" i="316"/>
  <c r="C180" i="316"/>
  <c r="V180" i="316" s="1"/>
  <c r="A180" i="291"/>
  <c r="C176" i="291"/>
  <c r="V176" i="291" s="1"/>
  <c r="A178" i="291"/>
  <c r="C174" i="291"/>
  <c r="V174" i="291" s="1"/>
  <c r="C171" i="291"/>
  <c r="V171" i="291" s="1"/>
  <c r="A175" i="291"/>
  <c r="A89" i="285"/>
  <c r="C85" i="285"/>
  <c r="V85" i="285" s="1"/>
  <c r="A87" i="285"/>
  <c r="C83" i="285"/>
  <c r="V83" i="285" s="1"/>
  <c r="A120" i="285"/>
  <c r="C116" i="285"/>
  <c r="V116" i="285" s="1"/>
  <c r="A90" i="285"/>
  <c r="C86" i="285"/>
  <c r="V86" i="285" s="1"/>
  <c r="B6" i="233"/>
  <c r="B11" i="233" s="1"/>
  <c r="B16" i="233"/>
  <c r="G14" i="232"/>
  <c r="I14" i="232"/>
  <c r="G17" i="232"/>
  <c r="I17" i="232"/>
  <c r="P39" i="232"/>
  <c r="P40" i="232"/>
  <c r="P41" i="232"/>
  <c r="N45" i="232"/>
  <c r="N47" i="232" s="1"/>
  <c r="N46" i="232"/>
  <c r="N51" i="232"/>
  <c r="O51" i="232"/>
  <c r="N52" i="232"/>
  <c r="O52" i="232"/>
  <c r="B7" i="229"/>
  <c r="C7" i="229"/>
  <c r="F18" i="229"/>
  <c r="F20" i="229" s="1"/>
  <c r="B8" i="228"/>
  <c r="B11" i="228"/>
  <c r="B14" i="228"/>
  <c r="A188" i="316" l="1"/>
  <c r="C184" i="316"/>
  <c r="V184" i="316" s="1"/>
  <c r="A187" i="316"/>
  <c r="C183" i="316"/>
  <c r="V183" i="316" s="1"/>
  <c r="A186" i="316"/>
  <c r="C182" i="316"/>
  <c r="V182" i="316" s="1"/>
  <c r="A193" i="316"/>
  <c r="C189" i="316"/>
  <c r="V189" i="316" s="1"/>
  <c r="C178" i="291"/>
  <c r="V178" i="291" s="1"/>
  <c r="A182" i="291"/>
  <c r="C175" i="291"/>
  <c r="V175" i="291" s="1"/>
  <c r="A179" i="291"/>
  <c r="A184" i="291"/>
  <c r="C180" i="291"/>
  <c r="V180" i="291" s="1"/>
  <c r="C90" i="285"/>
  <c r="V90" i="285" s="1"/>
  <c r="A94" i="285"/>
  <c r="A91" i="285"/>
  <c r="C87" i="285"/>
  <c r="V87" i="285" s="1"/>
  <c r="A124" i="285"/>
  <c r="C120" i="285"/>
  <c r="V120" i="285" s="1"/>
  <c r="A93" i="285"/>
  <c r="C89" i="285"/>
  <c r="V89" i="285" s="1"/>
  <c r="A197" i="316" l="1"/>
  <c r="C193" i="316"/>
  <c r="V193" i="316" s="1"/>
  <c r="A191" i="316"/>
  <c r="C187" i="316"/>
  <c r="V187" i="316" s="1"/>
  <c r="A190" i="316"/>
  <c r="C186" i="316"/>
  <c r="V186" i="316" s="1"/>
  <c r="A192" i="316"/>
  <c r="C188" i="316"/>
  <c r="V188" i="316" s="1"/>
  <c r="A183" i="291"/>
  <c r="C179" i="291"/>
  <c r="V179" i="291" s="1"/>
  <c r="A186" i="291"/>
  <c r="C182" i="291"/>
  <c r="V182" i="291" s="1"/>
  <c r="A188" i="291"/>
  <c r="C184" i="291"/>
  <c r="V184" i="291" s="1"/>
  <c r="C93" i="285"/>
  <c r="V93" i="285" s="1"/>
  <c r="A97" i="285"/>
  <c r="A95" i="285"/>
  <c r="C91" i="285"/>
  <c r="V91" i="285" s="1"/>
  <c r="C94" i="285"/>
  <c r="V94" i="285" s="1"/>
  <c r="A98" i="285"/>
  <c r="A128" i="285"/>
  <c r="C124" i="285"/>
  <c r="V124" i="285" s="1"/>
  <c r="A194" i="316" l="1"/>
  <c r="C190" i="316"/>
  <c r="V190" i="316" s="1"/>
  <c r="A201" i="316"/>
  <c r="C201" i="316" s="1"/>
  <c r="V201" i="316" s="1"/>
  <c r="C197" i="316"/>
  <c r="V197" i="316" s="1"/>
  <c r="A196" i="316"/>
  <c r="C192" i="316"/>
  <c r="V192" i="316" s="1"/>
  <c r="A195" i="316"/>
  <c r="C191" i="316"/>
  <c r="V191" i="316" s="1"/>
  <c r="A190" i="291"/>
  <c r="C186" i="291"/>
  <c r="V186" i="291" s="1"/>
  <c r="A192" i="291"/>
  <c r="C188" i="291"/>
  <c r="V188" i="291" s="1"/>
  <c r="C183" i="291"/>
  <c r="V183" i="291" s="1"/>
  <c r="A187" i="291"/>
  <c r="A99" i="285"/>
  <c r="C95" i="285"/>
  <c r="V95" i="285" s="1"/>
  <c r="A132" i="285"/>
  <c r="C128" i="285"/>
  <c r="V128" i="285" s="1"/>
  <c r="A102" i="285"/>
  <c r="C98" i="285"/>
  <c r="V98" i="285" s="1"/>
  <c r="A101" i="285"/>
  <c r="C97" i="285"/>
  <c r="V97" i="285" s="1"/>
  <c r="A199" i="316" l="1"/>
  <c r="C199" i="316" s="1"/>
  <c r="V199" i="316" s="1"/>
  <c r="C195" i="316"/>
  <c r="V195" i="316" s="1"/>
  <c r="A200" i="316"/>
  <c r="C200" i="316" s="1"/>
  <c r="V200" i="316" s="1"/>
  <c r="C196" i="316"/>
  <c r="V196" i="316" s="1"/>
  <c r="C194" i="316"/>
  <c r="V194" i="316" s="1"/>
  <c r="A198" i="316"/>
  <c r="A196" i="291"/>
  <c r="C192" i="291"/>
  <c r="V192" i="291" s="1"/>
  <c r="A191" i="291"/>
  <c r="C187" i="291"/>
  <c r="V187" i="291" s="1"/>
  <c r="A194" i="291"/>
  <c r="C190" i="291"/>
  <c r="V190" i="291" s="1"/>
  <c r="A105" i="285"/>
  <c r="C101" i="285"/>
  <c r="V101" i="285" s="1"/>
  <c r="C132" i="285"/>
  <c r="V132" i="285" s="1"/>
  <c r="A136" i="285"/>
  <c r="C102" i="285"/>
  <c r="V102" i="285" s="1"/>
  <c r="A106" i="285"/>
  <c r="A103" i="285"/>
  <c r="C99" i="285"/>
  <c r="V99" i="285" s="1"/>
  <c r="D5" i="178"/>
  <c r="E5" i="178"/>
  <c r="A202" i="316" l="1"/>
  <c r="C202" i="316" s="1"/>
  <c r="V202" i="316" s="1"/>
  <c r="C198" i="316"/>
  <c r="V198" i="316" s="1"/>
  <c r="C191" i="291"/>
  <c r="V191" i="291" s="1"/>
  <c r="A195" i="291"/>
  <c r="A198" i="291"/>
  <c r="C194" i="291"/>
  <c r="V194" i="291" s="1"/>
  <c r="A200" i="291"/>
  <c r="C200" i="291" s="1"/>
  <c r="V200" i="291" s="1"/>
  <c r="C196" i="291"/>
  <c r="V196" i="291" s="1"/>
  <c r="A140" i="285"/>
  <c r="C136" i="285"/>
  <c r="V136" i="285" s="1"/>
  <c r="A107" i="285"/>
  <c r="C103" i="285"/>
  <c r="V103" i="285" s="1"/>
  <c r="A110" i="285"/>
  <c r="C106" i="285"/>
  <c r="V106" i="285" s="1"/>
  <c r="A109" i="285"/>
  <c r="C105" i="285"/>
  <c r="V105" i="285" s="1"/>
  <c r="A199" i="291" l="1"/>
  <c r="C199" i="291" s="1"/>
  <c r="V199" i="291" s="1"/>
  <c r="C195" i="291"/>
  <c r="V195" i="291" s="1"/>
  <c r="A202" i="291"/>
  <c r="C202" i="291" s="1"/>
  <c r="V202" i="291" s="1"/>
  <c r="C198" i="291"/>
  <c r="V198" i="291" s="1"/>
  <c r="C109" i="285"/>
  <c r="V109" i="285" s="1"/>
  <c r="A113" i="285"/>
  <c r="A111" i="285"/>
  <c r="C107" i="285"/>
  <c r="V107" i="285" s="1"/>
  <c r="A114" i="285"/>
  <c r="C110" i="285"/>
  <c r="V110" i="285" s="1"/>
  <c r="A144" i="285"/>
  <c r="C140" i="285"/>
  <c r="V140" i="285" s="1"/>
  <c r="G5" i="221"/>
  <c r="G6" i="221"/>
  <c r="G7" i="221"/>
  <c r="D8" i="221"/>
  <c r="D9" i="221"/>
  <c r="G9" i="221"/>
  <c r="D10" i="221"/>
  <c r="G10" i="221"/>
  <c r="D11" i="221"/>
  <c r="G12" i="221"/>
  <c r="D13" i="221"/>
  <c r="G13" i="221"/>
  <c r="B14" i="221"/>
  <c r="D14" i="221" s="1"/>
  <c r="E14" i="221"/>
  <c r="G14" i="221"/>
  <c r="D15" i="221"/>
  <c r="G15" i="221"/>
  <c r="A148" i="285" l="1"/>
  <c r="C144" i="285"/>
  <c r="V144" i="285" s="1"/>
  <c r="A115" i="285"/>
  <c r="C111" i="285"/>
  <c r="V111" i="285" s="1"/>
  <c r="C113" i="285"/>
  <c r="V113" i="285" s="1"/>
  <c r="A117" i="285"/>
  <c r="A118" i="285"/>
  <c r="C114" i="285"/>
  <c r="V114" i="285" s="1"/>
  <c r="C118" i="285" l="1"/>
  <c r="V118" i="285" s="1"/>
  <c r="A122" i="285"/>
  <c r="C115" i="285"/>
  <c r="V115" i="285" s="1"/>
  <c r="A119" i="285"/>
  <c r="C117" i="285"/>
  <c r="V117" i="285" s="1"/>
  <c r="A121" i="285"/>
  <c r="A152" i="285"/>
  <c r="C148" i="285"/>
  <c r="V148" i="285" s="1"/>
  <c r="C119" i="285" l="1"/>
  <c r="V119" i="285" s="1"/>
  <c r="A123" i="285"/>
  <c r="A156" i="285"/>
  <c r="C152" i="285"/>
  <c r="V152" i="285" s="1"/>
  <c r="A125" i="285"/>
  <c r="C121" i="285"/>
  <c r="V121" i="285" s="1"/>
  <c r="A126" i="285"/>
  <c r="C122" i="285"/>
  <c r="V122" i="285" s="1"/>
  <c r="H119" i="30"/>
  <c r="A130" i="285" l="1"/>
  <c r="C126" i="285"/>
  <c r="V126" i="285" s="1"/>
  <c r="A160" i="285"/>
  <c r="C160" i="285" s="1"/>
  <c r="V160" i="285" s="1"/>
  <c r="C156" i="285"/>
  <c r="V156" i="285" s="1"/>
  <c r="C123" i="285"/>
  <c r="V123" i="285" s="1"/>
  <c r="A127" i="285"/>
  <c r="A129" i="285"/>
  <c r="C125" i="285"/>
  <c r="V125" i="285" s="1"/>
  <c r="G85" i="218"/>
  <c r="A131" i="285" l="1"/>
  <c r="C127" i="285"/>
  <c r="V127" i="285" s="1"/>
  <c r="A133" i="285"/>
  <c r="C129" i="285"/>
  <c r="V129" i="285" s="1"/>
  <c r="A134" i="285"/>
  <c r="C130" i="285"/>
  <c r="V130" i="285" s="1"/>
  <c r="V2" i="218"/>
  <c r="V3" i="218"/>
  <c r="V4" i="218"/>
  <c r="V5" i="218"/>
  <c r="V6" i="218"/>
  <c r="V7" i="218"/>
  <c r="V8" i="218"/>
  <c r="V9" i="218"/>
  <c r="V10" i="218"/>
  <c r="V11" i="218"/>
  <c r="V12" i="218"/>
  <c r="V13" i="218"/>
  <c r="V14" i="218"/>
  <c r="V15" i="218"/>
  <c r="V16" i="218"/>
  <c r="V17" i="218"/>
  <c r="V18" i="218"/>
  <c r="V19" i="218"/>
  <c r="V20" i="218"/>
  <c r="V21" i="218"/>
  <c r="V22" i="218"/>
  <c r="V23" i="218"/>
  <c r="V24" i="218"/>
  <c r="V25" i="218"/>
  <c r="V26" i="218"/>
  <c r="V27" i="218"/>
  <c r="V28" i="218"/>
  <c r="V29" i="218"/>
  <c r="V30" i="218"/>
  <c r="V31" i="218"/>
  <c r="V32" i="218"/>
  <c r="V33" i="218"/>
  <c r="V34" i="218"/>
  <c r="V35" i="218"/>
  <c r="V36" i="218"/>
  <c r="V37" i="218"/>
  <c r="V38" i="218"/>
  <c r="V39" i="218"/>
  <c r="V40" i="218"/>
  <c r="V41" i="218"/>
  <c r="V42" i="218"/>
  <c r="V43" i="218"/>
  <c r="V44" i="218"/>
  <c r="V45" i="218"/>
  <c r="V46" i="218"/>
  <c r="V47" i="218"/>
  <c r="V48" i="218"/>
  <c r="V49" i="218"/>
  <c r="V50" i="218"/>
  <c r="V51" i="218"/>
  <c r="V52" i="218"/>
  <c r="V53" i="218"/>
  <c r="V54" i="218"/>
  <c r="V55" i="218"/>
  <c r="V56" i="218"/>
  <c r="V57" i="218"/>
  <c r="V58" i="218"/>
  <c r="V59" i="218"/>
  <c r="V60" i="218"/>
  <c r="V61" i="218"/>
  <c r="V62" i="218"/>
  <c r="V63" i="218"/>
  <c r="V64" i="218"/>
  <c r="V65" i="218"/>
  <c r="V66" i="218"/>
  <c r="V67" i="218"/>
  <c r="V68" i="218"/>
  <c r="V69" i="218"/>
  <c r="V70" i="218"/>
  <c r="V71" i="218"/>
  <c r="V72" i="218"/>
  <c r="V73" i="218"/>
  <c r="V74" i="218"/>
  <c r="V75" i="218"/>
  <c r="V76" i="218"/>
  <c r="V77" i="218"/>
  <c r="V78" i="218"/>
  <c r="V79" i="218"/>
  <c r="V80" i="218"/>
  <c r="V81" i="218"/>
  <c r="V82" i="218"/>
  <c r="A137" i="285" l="1"/>
  <c r="C133" i="285"/>
  <c r="V133" i="285" s="1"/>
  <c r="A138" i="285"/>
  <c r="C134" i="285"/>
  <c r="V134" i="285" s="1"/>
  <c r="A135" i="285"/>
  <c r="C131" i="285"/>
  <c r="V131" i="285" s="1"/>
  <c r="U123" i="220"/>
  <c r="S147" i="220"/>
  <c r="T147" i="220"/>
  <c r="S148" i="220"/>
  <c r="U148" i="220" s="1"/>
  <c r="T148" i="220"/>
  <c r="S149" i="220"/>
  <c r="T149" i="220"/>
  <c r="S150" i="220"/>
  <c r="U150" i="220" s="1"/>
  <c r="T150" i="220"/>
  <c r="S151" i="220"/>
  <c r="T151" i="220"/>
  <c r="S152" i="220"/>
  <c r="T152" i="220"/>
  <c r="S153" i="220"/>
  <c r="T153" i="220"/>
  <c r="S154" i="220"/>
  <c r="U154" i="220" s="1"/>
  <c r="T154" i="220"/>
  <c r="S155" i="220"/>
  <c r="T155" i="220"/>
  <c r="S156" i="220"/>
  <c r="T156" i="220"/>
  <c r="U156" i="220" s="1"/>
  <c r="S157" i="220"/>
  <c r="T157" i="220"/>
  <c r="S158" i="220"/>
  <c r="U158" i="220" s="1"/>
  <c r="T158" i="220"/>
  <c r="S159" i="220"/>
  <c r="T159" i="220"/>
  <c r="S160" i="220"/>
  <c r="T160" i="220"/>
  <c r="U160" i="220" s="1"/>
  <c r="S161" i="220"/>
  <c r="T161" i="220"/>
  <c r="S162" i="220"/>
  <c r="U162" i="220" s="1"/>
  <c r="T162" i="220"/>
  <c r="U153" i="220"/>
  <c r="U149" i="220"/>
  <c r="T146" i="220"/>
  <c r="S146" i="220"/>
  <c r="T145" i="220"/>
  <c r="S145" i="220"/>
  <c r="U145" i="220" s="1"/>
  <c r="T144" i="220"/>
  <c r="S144" i="220"/>
  <c r="T143" i="220"/>
  <c r="S143" i="220"/>
  <c r="T142" i="220"/>
  <c r="S142" i="220"/>
  <c r="T141" i="220"/>
  <c r="S141" i="220"/>
  <c r="U141" i="220" s="1"/>
  <c r="T140" i="220"/>
  <c r="S140" i="220"/>
  <c r="T139" i="220"/>
  <c r="S139" i="220"/>
  <c r="T138" i="220"/>
  <c r="S138" i="220"/>
  <c r="T137" i="220"/>
  <c r="S137" i="220"/>
  <c r="T136" i="220"/>
  <c r="S136" i="220"/>
  <c r="T135" i="220"/>
  <c r="S135" i="220"/>
  <c r="U135" i="220" s="1"/>
  <c r="T134" i="220"/>
  <c r="S134" i="220"/>
  <c r="T133" i="220"/>
  <c r="S133" i="220"/>
  <c r="T132" i="220"/>
  <c r="S132" i="220"/>
  <c r="T131" i="220"/>
  <c r="S131" i="220"/>
  <c r="U131" i="220" s="1"/>
  <c r="T130" i="220"/>
  <c r="S130" i="220"/>
  <c r="T129" i="220"/>
  <c r="S129" i="220"/>
  <c r="T128" i="220"/>
  <c r="S128" i="220"/>
  <c r="T127" i="220"/>
  <c r="S127" i="220"/>
  <c r="U127" i="220" s="1"/>
  <c r="T126" i="220"/>
  <c r="S126" i="220"/>
  <c r="T125" i="220"/>
  <c r="S125" i="220"/>
  <c r="T124" i="220"/>
  <c r="S124" i="220"/>
  <c r="T123" i="220"/>
  <c r="S123" i="220"/>
  <c r="Q151" i="220"/>
  <c r="Q155" i="220"/>
  <c r="Q159" i="220"/>
  <c r="Q147" i="220"/>
  <c r="Q143" i="220"/>
  <c r="Q139" i="220"/>
  <c r="Q135" i="220"/>
  <c r="Q131" i="220"/>
  <c r="Q127" i="220"/>
  <c r="Q123" i="220"/>
  <c r="N123" i="220"/>
  <c r="N122" i="220"/>
  <c r="L151" i="220"/>
  <c r="M151" i="220"/>
  <c r="L152" i="220"/>
  <c r="M152" i="220"/>
  <c r="N152" i="220" s="1"/>
  <c r="L153" i="220"/>
  <c r="M153" i="220"/>
  <c r="L154" i="220"/>
  <c r="N154" i="220" s="1"/>
  <c r="M154" i="220"/>
  <c r="L155" i="220"/>
  <c r="M155" i="220"/>
  <c r="L156" i="220"/>
  <c r="M156" i="220"/>
  <c r="N156" i="220" s="1"/>
  <c r="L157" i="220"/>
  <c r="M157" i="220"/>
  <c r="L158" i="220"/>
  <c r="N158" i="220" s="1"/>
  <c r="M158" i="220"/>
  <c r="L159" i="220"/>
  <c r="M159" i="220"/>
  <c r="L160" i="220"/>
  <c r="N160" i="220" s="1"/>
  <c r="M160" i="220"/>
  <c r="L161" i="220"/>
  <c r="M161" i="220"/>
  <c r="L162" i="220"/>
  <c r="N162" i="220" s="1"/>
  <c r="M162" i="220"/>
  <c r="N153" i="220"/>
  <c r="N151" i="220"/>
  <c r="M150" i="220"/>
  <c r="L150" i="220"/>
  <c r="M149" i="220"/>
  <c r="L149" i="220"/>
  <c r="N149" i="220" s="1"/>
  <c r="M148" i="220"/>
  <c r="L148" i="220"/>
  <c r="M147" i="220"/>
  <c r="L147" i="220"/>
  <c r="N147" i="220" s="1"/>
  <c r="M146" i="220"/>
  <c r="L146" i="220"/>
  <c r="M145" i="220"/>
  <c r="L145" i="220"/>
  <c r="N145" i="220" s="1"/>
  <c r="M144" i="220"/>
  <c r="L144" i="220"/>
  <c r="M143" i="220"/>
  <c r="L143" i="220"/>
  <c r="N143" i="220" s="1"/>
  <c r="M142" i="220"/>
  <c r="L142" i="220"/>
  <c r="M141" i="220"/>
  <c r="L141" i="220"/>
  <c r="M140" i="220"/>
  <c r="L140" i="220"/>
  <c r="M139" i="220"/>
  <c r="L139" i="220"/>
  <c r="N139" i="220" s="1"/>
  <c r="M138" i="220"/>
  <c r="L138" i="220"/>
  <c r="M137" i="220"/>
  <c r="L137" i="220"/>
  <c r="M136" i="220"/>
  <c r="L136" i="220"/>
  <c r="M135" i="220"/>
  <c r="L135" i="220"/>
  <c r="N135" i="220" s="1"/>
  <c r="M134" i="220"/>
  <c r="L134" i="220"/>
  <c r="M133" i="220"/>
  <c r="L133" i="220"/>
  <c r="M132" i="220"/>
  <c r="L132" i="220"/>
  <c r="M131" i="220"/>
  <c r="L131" i="220"/>
  <c r="N131" i="220" s="1"/>
  <c r="M130" i="220"/>
  <c r="L130" i="220"/>
  <c r="M129" i="220"/>
  <c r="L129" i="220"/>
  <c r="N129" i="220" s="1"/>
  <c r="M128" i="220"/>
  <c r="L128" i="220"/>
  <c r="M127" i="220"/>
  <c r="L127" i="220"/>
  <c r="N127" i="220" s="1"/>
  <c r="M126" i="220"/>
  <c r="L126" i="220"/>
  <c r="M125" i="220"/>
  <c r="L125" i="220"/>
  <c r="N125" i="220" s="1"/>
  <c r="M124" i="220"/>
  <c r="L124" i="220"/>
  <c r="M123" i="220"/>
  <c r="L123" i="220"/>
  <c r="K159" i="220"/>
  <c r="K155" i="220"/>
  <c r="K151" i="220"/>
  <c r="K147" i="220"/>
  <c r="K143" i="220"/>
  <c r="K139" i="220"/>
  <c r="K127" i="220"/>
  <c r="K131" i="220"/>
  <c r="K135" i="220"/>
  <c r="K119" i="220"/>
  <c r="K123" i="220"/>
  <c r="G123" i="220"/>
  <c r="C163" i="220"/>
  <c r="V163" i="220"/>
  <c r="G162" i="220"/>
  <c r="V162" i="220"/>
  <c r="A162" i="220"/>
  <c r="B162" i="220"/>
  <c r="C162" i="220" s="1"/>
  <c r="G159" i="220"/>
  <c r="G160" i="220"/>
  <c r="G161" i="220"/>
  <c r="N159" i="220"/>
  <c r="N161" i="220"/>
  <c r="U159" i="220"/>
  <c r="U161" i="220"/>
  <c r="V159" i="220"/>
  <c r="V160" i="220"/>
  <c r="V161" i="220"/>
  <c r="A159" i="220"/>
  <c r="C159" i="220" s="1"/>
  <c r="B159" i="220"/>
  <c r="A160" i="220"/>
  <c r="C160" i="220" s="1"/>
  <c r="B160" i="220"/>
  <c r="A161" i="220"/>
  <c r="B161" i="220"/>
  <c r="C161" i="220" s="1"/>
  <c r="G154" i="220"/>
  <c r="G155" i="220"/>
  <c r="G156" i="220"/>
  <c r="G157" i="220"/>
  <c r="G158" i="220"/>
  <c r="N155" i="220"/>
  <c r="N157" i="220"/>
  <c r="U155" i="220"/>
  <c r="U157" i="220"/>
  <c r="V154" i="220"/>
  <c r="V155" i="220"/>
  <c r="V156" i="220"/>
  <c r="V157" i="220"/>
  <c r="V158" i="220"/>
  <c r="A154" i="220"/>
  <c r="B154" i="220"/>
  <c r="C154" i="220"/>
  <c r="A155" i="220"/>
  <c r="C155" i="220" s="1"/>
  <c r="B155" i="220"/>
  <c r="A156" i="220"/>
  <c r="C156" i="220" s="1"/>
  <c r="B156" i="220"/>
  <c r="A157" i="220"/>
  <c r="B157" i="220"/>
  <c r="C157" i="220"/>
  <c r="A158" i="220"/>
  <c r="B158" i="220"/>
  <c r="C158" i="220"/>
  <c r="G139" i="220"/>
  <c r="G140" i="220"/>
  <c r="G141" i="220"/>
  <c r="G142" i="220"/>
  <c r="G143" i="220"/>
  <c r="G144" i="220"/>
  <c r="G145" i="220"/>
  <c r="G146" i="220"/>
  <c r="G147" i="220"/>
  <c r="G148" i="220"/>
  <c r="G149" i="220"/>
  <c r="G150" i="220"/>
  <c r="G151" i="220"/>
  <c r="G152" i="220"/>
  <c r="G153" i="220"/>
  <c r="N140" i="220"/>
  <c r="N141" i="220"/>
  <c r="N142" i="220"/>
  <c r="N144" i="220"/>
  <c r="N146" i="220"/>
  <c r="N148" i="220"/>
  <c r="N150" i="220"/>
  <c r="U139" i="220"/>
  <c r="U140" i="220"/>
  <c r="U142" i="220"/>
  <c r="U143" i="220"/>
  <c r="U144" i="220"/>
  <c r="U146" i="220"/>
  <c r="U147" i="220"/>
  <c r="U151" i="220"/>
  <c r="U152" i="220"/>
  <c r="V139" i="220"/>
  <c r="V140" i="220"/>
  <c r="V141" i="220"/>
  <c r="V142" i="220"/>
  <c r="V143" i="220"/>
  <c r="V144" i="220"/>
  <c r="V145" i="220"/>
  <c r="V146" i="220"/>
  <c r="V147" i="220"/>
  <c r="V148" i="220"/>
  <c r="V149" i="220"/>
  <c r="V150" i="220"/>
  <c r="V151" i="220"/>
  <c r="V152" i="220"/>
  <c r="V153" i="220"/>
  <c r="A139" i="220"/>
  <c r="C139" i="220" s="1"/>
  <c r="B139" i="220"/>
  <c r="A140" i="220"/>
  <c r="C140" i="220" s="1"/>
  <c r="B140" i="220"/>
  <c r="A141" i="220"/>
  <c r="B141" i="220"/>
  <c r="C141" i="220" s="1"/>
  <c r="A142" i="220"/>
  <c r="B142" i="220"/>
  <c r="C142" i="220"/>
  <c r="A143" i="220"/>
  <c r="C143" i="220" s="1"/>
  <c r="B143" i="220"/>
  <c r="A144" i="220"/>
  <c r="C144" i="220" s="1"/>
  <c r="B144" i="220"/>
  <c r="A145" i="220"/>
  <c r="A146" i="220"/>
  <c r="B146" i="220"/>
  <c r="C146" i="220"/>
  <c r="A147" i="220"/>
  <c r="C147" i="220" s="1"/>
  <c r="B147" i="220"/>
  <c r="A148" i="220"/>
  <c r="C148" i="220" s="1"/>
  <c r="B148" i="220"/>
  <c r="A149" i="220"/>
  <c r="A150" i="220"/>
  <c r="B150" i="220"/>
  <c r="C150" i="220"/>
  <c r="A151" i="220"/>
  <c r="C151" i="220" s="1"/>
  <c r="B151" i="220"/>
  <c r="A152" i="220"/>
  <c r="C152" i="220" s="1"/>
  <c r="B152" i="220"/>
  <c r="A153" i="220"/>
  <c r="V123" i="220"/>
  <c r="V124" i="220"/>
  <c r="G124" i="220"/>
  <c r="G125" i="220"/>
  <c r="G126" i="220"/>
  <c r="G127" i="220"/>
  <c r="G128" i="220"/>
  <c r="G129" i="220"/>
  <c r="G130" i="220"/>
  <c r="G131" i="220"/>
  <c r="G132" i="220"/>
  <c r="G133" i="220"/>
  <c r="G134" i="220"/>
  <c r="G135" i="220"/>
  <c r="G136" i="220"/>
  <c r="G137" i="220"/>
  <c r="G138" i="220"/>
  <c r="N124" i="220"/>
  <c r="N126" i="220"/>
  <c r="N128" i="220"/>
  <c r="N130" i="220"/>
  <c r="N132" i="220"/>
  <c r="N133" i="220"/>
  <c r="N134" i="220"/>
  <c r="N136" i="220"/>
  <c r="N137" i="220"/>
  <c r="N138" i="220"/>
  <c r="U124" i="220"/>
  <c r="U125" i="220"/>
  <c r="U126" i="220"/>
  <c r="U128" i="220"/>
  <c r="U129" i="220"/>
  <c r="U130" i="220"/>
  <c r="U132" i="220"/>
  <c r="U133" i="220"/>
  <c r="U134" i="220"/>
  <c r="U136" i="220"/>
  <c r="U137" i="220"/>
  <c r="U138" i="220"/>
  <c r="V125" i="220"/>
  <c r="V126" i="220"/>
  <c r="V127" i="220"/>
  <c r="V128" i="220"/>
  <c r="V129" i="220"/>
  <c r="V130" i="220"/>
  <c r="V131" i="220"/>
  <c r="V132" i="220"/>
  <c r="V133" i="220"/>
  <c r="V134" i="220"/>
  <c r="V135" i="220"/>
  <c r="V136" i="220"/>
  <c r="V137" i="220"/>
  <c r="V138" i="220"/>
  <c r="A123" i="220"/>
  <c r="C123" i="220" s="1"/>
  <c r="B123" i="220"/>
  <c r="A124" i="220"/>
  <c r="C124" i="220" s="1"/>
  <c r="B124" i="220"/>
  <c r="A125" i="220"/>
  <c r="B125" i="220"/>
  <c r="C125" i="220" s="1"/>
  <c r="A126" i="220"/>
  <c r="B126" i="220"/>
  <c r="C126" i="220"/>
  <c r="A127" i="220"/>
  <c r="C127" i="220" s="1"/>
  <c r="B127" i="220"/>
  <c r="A128" i="220"/>
  <c r="C128" i="220" s="1"/>
  <c r="B128" i="220"/>
  <c r="A129" i="220"/>
  <c r="B129" i="220"/>
  <c r="C129" i="220" s="1"/>
  <c r="A130" i="220"/>
  <c r="B130" i="220"/>
  <c r="C130" i="220"/>
  <c r="A131" i="220"/>
  <c r="C131" i="220" s="1"/>
  <c r="B131" i="220"/>
  <c r="A132" i="220"/>
  <c r="C132" i="220" s="1"/>
  <c r="B132" i="220"/>
  <c r="A133" i="220"/>
  <c r="B133" i="220"/>
  <c r="C133" i="220" s="1"/>
  <c r="A134" i="220"/>
  <c r="B134" i="220"/>
  <c r="C134" i="220"/>
  <c r="A135" i="220"/>
  <c r="C135" i="220" s="1"/>
  <c r="B135" i="220"/>
  <c r="A136" i="220"/>
  <c r="C136" i="220" s="1"/>
  <c r="B136" i="220"/>
  <c r="A137" i="220"/>
  <c r="B137" i="220"/>
  <c r="C137" i="220" s="1"/>
  <c r="A138" i="220"/>
  <c r="B138" i="220"/>
  <c r="C138" i="220"/>
  <c r="G122" i="220"/>
  <c r="M121" i="220"/>
  <c r="T121" i="220" s="1"/>
  <c r="G121" i="220"/>
  <c r="M120" i="220"/>
  <c r="T120" i="220" s="1"/>
  <c r="L120" i="220"/>
  <c r="S120" i="220" s="1"/>
  <c r="U120" i="220" s="1"/>
  <c r="G120" i="220"/>
  <c r="Q119" i="220"/>
  <c r="N119" i="220"/>
  <c r="M119" i="220"/>
  <c r="T119" i="220" s="1"/>
  <c r="L119" i="220"/>
  <c r="S119" i="220" s="1"/>
  <c r="M122" i="220"/>
  <c r="T122" i="220" s="1"/>
  <c r="G119" i="220"/>
  <c r="G118" i="220"/>
  <c r="G117" i="220"/>
  <c r="G116" i="220"/>
  <c r="Q115" i="220"/>
  <c r="K115" i="220"/>
  <c r="M118" i="220" s="1"/>
  <c r="T118" i="220" s="1"/>
  <c r="G115" i="220"/>
  <c r="L114" i="220"/>
  <c r="G114" i="220"/>
  <c r="M113" i="220"/>
  <c r="T113" i="220" s="1"/>
  <c r="G113" i="220"/>
  <c r="M112" i="220"/>
  <c r="L112" i="220"/>
  <c r="S112" i="220" s="1"/>
  <c r="G112" i="220"/>
  <c r="Q111" i="220"/>
  <c r="M111" i="220"/>
  <c r="T111" i="220" s="1"/>
  <c r="L111" i="220"/>
  <c r="N111" i="220" s="1"/>
  <c r="K111" i="220"/>
  <c r="M114" i="220" s="1"/>
  <c r="T114" i="220" s="1"/>
  <c r="G111" i="220"/>
  <c r="G110" i="220"/>
  <c r="L109" i="220"/>
  <c r="G109" i="220"/>
  <c r="L108" i="220"/>
  <c r="S108" i="220" s="1"/>
  <c r="G108" i="220"/>
  <c r="Q107" i="220"/>
  <c r="L107" i="220"/>
  <c r="K107" i="220"/>
  <c r="L110" i="220" s="1"/>
  <c r="S110" i="220" s="1"/>
  <c r="G107" i="220"/>
  <c r="S106" i="220"/>
  <c r="N106" i="220"/>
  <c r="L106" i="220"/>
  <c r="G106" i="220"/>
  <c r="M105" i="220"/>
  <c r="T105" i="220" s="1"/>
  <c r="G105" i="220"/>
  <c r="T104" i="220"/>
  <c r="N104" i="220"/>
  <c r="M104" i="220"/>
  <c r="L104" i="220"/>
  <c r="S104" i="220" s="1"/>
  <c r="U104" i="220" s="1"/>
  <c r="G104" i="220"/>
  <c r="T103" i="220"/>
  <c r="Q103" i="220"/>
  <c r="M103" i="220"/>
  <c r="N103" i="220" s="1"/>
  <c r="L103" i="220"/>
  <c r="S103" i="220" s="1"/>
  <c r="K103" i="220"/>
  <c r="M106" i="220" s="1"/>
  <c r="T106" i="220" s="1"/>
  <c r="G103" i="220"/>
  <c r="L102" i="220"/>
  <c r="G102" i="220"/>
  <c r="M101" i="220"/>
  <c r="T101" i="220" s="1"/>
  <c r="L101" i="220"/>
  <c r="G101" i="220"/>
  <c r="L100" i="220"/>
  <c r="G100" i="220"/>
  <c r="Q99" i="220"/>
  <c r="L99" i="220"/>
  <c r="S99" i="220" s="1"/>
  <c r="K99" i="220"/>
  <c r="G99" i="220"/>
  <c r="S98" i="220"/>
  <c r="L98" i="220"/>
  <c r="G98" i="220"/>
  <c r="M97" i="220"/>
  <c r="T97" i="220" s="1"/>
  <c r="G97" i="220"/>
  <c r="T96" i="220"/>
  <c r="M96" i="220"/>
  <c r="L96" i="220"/>
  <c r="S96" i="220" s="1"/>
  <c r="G96" i="220"/>
  <c r="Q95" i="220"/>
  <c r="N95" i="220"/>
  <c r="M95" i="220"/>
  <c r="T95" i="220" s="1"/>
  <c r="L95" i="220"/>
  <c r="S95" i="220" s="1"/>
  <c r="U95" i="220" s="1"/>
  <c r="K95" i="220"/>
  <c r="M98" i="220" s="1"/>
  <c r="N98" i="220" s="1"/>
  <c r="G95" i="220"/>
  <c r="L94" i="220"/>
  <c r="G94" i="220"/>
  <c r="M93" i="220"/>
  <c r="T93" i="220" s="1"/>
  <c r="G93" i="220"/>
  <c r="G92" i="220"/>
  <c r="Q91" i="220"/>
  <c r="K91" i="220"/>
  <c r="G91" i="220"/>
  <c r="L90" i="220"/>
  <c r="G90" i="220"/>
  <c r="M89" i="220"/>
  <c r="T89" i="220" s="1"/>
  <c r="G89" i="220"/>
  <c r="M88" i="220"/>
  <c r="T88" i="220" s="1"/>
  <c r="L88" i="220"/>
  <c r="G88" i="220"/>
  <c r="Q87" i="220"/>
  <c r="M87" i="220"/>
  <c r="T87" i="220" s="1"/>
  <c r="L87" i="220"/>
  <c r="N87" i="220" s="1"/>
  <c r="K87" i="220"/>
  <c r="M90" i="220" s="1"/>
  <c r="T90" i="220" s="1"/>
  <c r="G87" i="220"/>
  <c r="G86" i="220"/>
  <c r="M85" i="220"/>
  <c r="G85" i="220"/>
  <c r="M84" i="220"/>
  <c r="L84" i="220"/>
  <c r="G84" i="220"/>
  <c r="M83" i="220"/>
  <c r="L83" i="220"/>
  <c r="K83" i="220"/>
  <c r="M86" i="220" s="1"/>
  <c r="G83" i="220"/>
  <c r="L82" i="220"/>
  <c r="G82" i="220"/>
  <c r="L81" i="220"/>
  <c r="G81" i="220"/>
  <c r="M80" i="220"/>
  <c r="G80" i="220"/>
  <c r="P79" i="220"/>
  <c r="Q83" i="220" s="1"/>
  <c r="L79" i="220"/>
  <c r="K79" i="220"/>
  <c r="G79" i="220"/>
  <c r="G78" i="220"/>
  <c r="G77" i="220"/>
  <c r="M76" i="220"/>
  <c r="L76" i="220"/>
  <c r="N76" i="220" s="1"/>
  <c r="G76" i="220"/>
  <c r="P75" i="220"/>
  <c r="M75" i="220"/>
  <c r="L75" i="220"/>
  <c r="K75" i="220"/>
  <c r="G75" i="220"/>
  <c r="L74" i="220"/>
  <c r="G74" i="220"/>
  <c r="G73" i="220"/>
  <c r="G72" i="220"/>
  <c r="P71" i="220"/>
  <c r="Q75" i="220" s="1"/>
  <c r="T75" i="220" s="1"/>
  <c r="K71" i="220"/>
  <c r="G71" i="220"/>
  <c r="M70" i="220"/>
  <c r="G70" i="220"/>
  <c r="L69" i="220"/>
  <c r="G69" i="220"/>
  <c r="M68" i="220"/>
  <c r="G68" i="220"/>
  <c r="P67" i="220"/>
  <c r="Q71" i="220" s="1"/>
  <c r="L67" i="220"/>
  <c r="K67" i="220"/>
  <c r="M69" i="220" s="1"/>
  <c r="G67" i="220"/>
  <c r="G66" i="220"/>
  <c r="M65" i="220"/>
  <c r="G65" i="220"/>
  <c r="G64" i="220"/>
  <c r="P63" i="220"/>
  <c r="Q67" i="220" s="1"/>
  <c r="K63" i="220"/>
  <c r="G63" i="220"/>
  <c r="M62" i="220"/>
  <c r="G62" i="220"/>
  <c r="L61" i="220"/>
  <c r="G61" i="220"/>
  <c r="M60" i="220"/>
  <c r="G60" i="220"/>
  <c r="P59" i="220"/>
  <c r="L59" i="220"/>
  <c r="K59" i="220"/>
  <c r="L62" i="220" s="1"/>
  <c r="G59" i="220"/>
  <c r="G58" i="220"/>
  <c r="G57" i="220"/>
  <c r="G56" i="220"/>
  <c r="P55" i="220"/>
  <c r="Q59" i="220" s="1"/>
  <c r="S62" i="220" s="1"/>
  <c r="M55" i="220"/>
  <c r="K55" i="220"/>
  <c r="L58" i="220" s="1"/>
  <c r="G55" i="220"/>
  <c r="M54" i="220"/>
  <c r="G54" i="220"/>
  <c r="M53" i="220"/>
  <c r="L53" i="220"/>
  <c r="G53" i="220"/>
  <c r="M52" i="220"/>
  <c r="L52" i="220"/>
  <c r="N52" i="220" s="1"/>
  <c r="G52" i="220"/>
  <c r="Q51" i="220"/>
  <c r="T51" i="220" s="1"/>
  <c r="P51" i="220"/>
  <c r="M51" i="220"/>
  <c r="L51" i="220"/>
  <c r="K51" i="220"/>
  <c r="L54" i="220" s="1"/>
  <c r="G51" i="220"/>
  <c r="L50" i="220"/>
  <c r="G50" i="220"/>
  <c r="G49" i="220"/>
  <c r="G48" i="220"/>
  <c r="P47" i="220"/>
  <c r="K47" i="220"/>
  <c r="G47" i="220"/>
  <c r="M46" i="220"/>
  <c r="G46" i="220"/>
  <c r="L45" i="220"/>
  <c r="G45" i="220"/>
  <c r="M44" i="220"/>
  <c r="G44" i="220"/>
  <c r="P43" i="220"/>
  <c r="L43" i="220"/>
  <c r="K43" i="220"/>
  <c r="M45" i="220" s="1"/>
  <c r="G43" i="220"/>
  <c r="G42" i="220"/>
  <c r="M41" i="220"/>
  <c r="G41" i="220"/>
  <c r="L40" i="220"/>
  <c r="G40" i="220"/>
  <c r="P39" i="220"/>
  <c r="Q43" i="220" s="1"/>
  <c r="M39" i="220"/>
  <c r="T39" i="220" s="1"/>
  <c r="K39" i="220"/>
  <c r="M42" i="220" s="1"/>
  <c r="G39" i="220"/>
  <c r="G38" i="220"/>
  <c r="M37" i="220"/>
  <c r="G37" i="220"/>
  <c r="L36" i="220"/>
  <c r="G36" i="220"/>
  <c r="P35" i="220"/>
  <c r="Q39" i="220" s="1"/>
  <c r="M35" i="220"/>
  <c r="T35" i="220" s="1"/>
  <c r="K35" i="220"/>
  <c r="M38" i="220" s="1"/>
  <c r="G35" i="220"/>
  <c r="G34" i="220"/>
  <c r="M33" i="220"/>
  <c r="G33" i="220"/>
  <c r="L32" i="220"/>
  <c r="G32" i="220"/>
  <c r="P31" i="220"/>
  <c r="Q35" i="220" s="1"/>
  <c r="M31" i="220"/>
  <c r="T31" i="220" s="1"/>
  <c r="K31" i="220"/>
  <c r="M34" i="220" s="1"/>
  <c r="G31" i="220"/>
  <c r="G30" i="220"/>
  <c r="M29" i="220"/>
  <c r="G29" i="220"/>
  <c r="L28" i="220"/>
  <c r="G28" i="220"/>
  <c r="P27" i="220"/>
  <c r="Q31" i="220" s="1"/>
  <c r="M27" i="220"/>
  <c r="T27" i="220" s="1"/>
  <c r="K27" i="220"/>
  <c r="M30" i="220" s="1"/>
  <c r="G27" i="220"/>
  <c r="G26" i="220"/>
  <c r="M25" i="220"/>
  <c r="G25" i="220"/>
  <c r="L24" i="220"/>
  <c r="G24" i="220"/>
  <c r="P23" i="220"/>
  <c r="Q27" i="220" s="1"/>
  <c r="M23" i="220"/>
  <c r="T23" i="220" s="1"/>
  <c r="K23" i="220"/>
  <c r="M26" i="220" s="1"/>
  <c r="G23" i="220"/>
  <c r="G22" i="220"/>
  <c r="M21" i="220"/>
  <c r="G21" i="220"/>
  <c r="L20" i="220"/>
  <c r="G20" i="220"/>
  <c r="P19" i="220"/>
  <c r="Q23" i="220" s="1"/>
  <c r="M19" i="220"/>
  <c r="T19" i="220" s="1"/>
  <c r="K19" i="220"/>
  <c r="M22" i="220" s="1"/>
  <c r="G19" i="220"/>
  <c r="G18" i="220"/>
  <c r="M17" i="220"/>
  <c r="G17" i="220"/>
  <c r="L16" i="220"/>
  <c r="G16" i="220"/>
  <c r="P15" i="220"/>
  <c r="Q19" i="220" s="1"/>
  <c r="M15" i="220"/>
  <c r="K15" i="220"/>
  <c r="M18" i="220" s="1"/>
  <c r="G15" i="220"/>
  <c r="G14" i="220"/>
  <c r="C14" i="220"/>
  <c r="V14" i="220" s="1"/>
  <c r="B14" i="220"/>
  <c r="B18" i="220" s="1"/>
  <c r="B22" i="220" s="1"/>
  <c r="B26" i="220" s="1"/>
  <c r="B30" i="220" s="1"/>
  <c r="B34" i="220" s="1"/>
  <c r="B38" i="220" s="1"/>
  <c r="B42" i="220" s="1"/>
  <c r="B46" i="220" s="1"/>
  <c r="B50" i="220" s="1"/>
  <c r="B54" i="220" s="1"/>
  <c r="B58" i="220" s="1"/>
  <c r="B62" i="220" s="1"/>
  <c r="B66" i="220" s="1"/>
  <c r="B70" i="220" s="1"/>
  <c r="B74" i="220" s="1"/>
  <c r="B78" i="220" s="1"/>
  <c r="B82" i="220" s="1"/>
  <c r="B86" i="220" s="1"/>
  <c r="B90" i="220" s="1"/>
  <c r="B94" i="220" s="1"/>
  <c r="B98" i="220" s="1"/>
  <c r="B102" i="220" s="1"/>
  <c r="B106" i="220" s="1"/>
  <c r="B110" i="220" s="1"/>
  <c r="B114" i="220" s="1"/>
  <c r="B118" i="220" s="1"/>
  <c r="B122" i="220" s="1"/>
  <c r="A14" i="220"/>
  <c r="A18" i="220" s="1"/>
  <c r="A22" i="220" s="1"/>
  <c r="A26" i="220" s="1"/>
  <c r="A30" i="220" s="1"/>
  <c r="A34" i="220" s="1"/>
  <c r="A38" i="220" s="1"/>
  <c r="A42" i="220" s="1"/>
  <c r="A46" i="220" s="1"/>
  <c r="M13" i="220"/>
  <c r="G13" i="220"/>
  <c r="B13" i="220"/>
  <c r="B17" i="220" s="1"/>
  <c r="B21" i="220" s="1"/>
  <c r="B25" i="220" s="1"/>
  <c r="B29" i="220" s="1"/>
  <c r="B33" i="220" s="1"/>
  <c r="B37" i="220" s="1"/>
  <c r="B41" i="220" s="1"/>
  <c r="B45" i="220" s="1"/>
  <c r="B49" i="220" s="1"/>
  <c r="B53" i="220" s="1"/>
  <c r="B57" i="220" s="1"/>
  <c r="B61" i="220" s="1"/>
  <c r="B65" i="220" s="1"/>
  <c r="B69" i="220" s="1"/>
  <c r="B73" i="220" s="1"/>
  <c r="B77" i="220" s="1"/>
  <c r="B81" i="220" s="1"/>
  <c r="B85" i="220" s="1"/>
  <c r="B89" i="220" s="1"/>
  <c r="B93" i="220" s="1"/>
  <c r="B97" i="220" s="1"/>
  <c r="B101" i="220" s="1"/>
  <c r="B105" i="220" s="1"/>
  <c r="B109" i="220" s="1"/>
  <c r="B113" i="220" s="1"/>
  <c r="B117" i="220" s="1"/>
  <c r="B121" i="220" s="1"/>
  <c r="A13" i="220"/>
  <c r="A17" i="220" s="1"/>
  <c r="L12" i="220"/>
  <c r="G12" i="220"/>
  <c r="B12" i="220"/>
  <c r="B16" i="220" s="1"/>
  <c r="B20" i="220" s="1"/>
  <c r="B24" i="220" s="1"/>
  <c r="B28" i="220" s="1"/>
  <c r="B32" i="220" s="1"/>
  <c r="B36" i="220" s="1"/>
  <c r="B40" i="220" s="1"/>
  <c r="B44" i="220" s="1"/>
  <c r="B48" i="220" s="1"/>
  <c r="B52" i="220" s="1"/>
  <c r="B56" i="220" s="1"/>
  <c r="B60" i="220" s="1"/>
  <c r="B64" i="220" s="1"/>
  <c r="B68" i="220" s="1"/>
  <c r="B72" i="220" s="1"/>
  <c r="B76" i="220" s="1"/>
  <c r="B80" i="220" s="1"/>
  <c r="B84" i="220" s="1"/>
  <c r="B88" i="220" s="1"/>
  <c r="B92" i="220" s="1"/>
  <c r="B96" i="220" s="1"/>
  <c r="B100" i="220" s="1"/>
  <c r="B104" i="220" s="1"/>
  <c r="B108" i="220" s="1"/>
  <c r="B112" i="220" s="1"/>
  <c r="B116" i="220" s="1"/>
  <c r="B120" i="220" s="1"/>
  <c r="A12" i="220"/>
  <c r="C12" i="220" s="1"/>
  <c r="V12" i="220" s="1"/>
  <c r="P11" i="220"/>
  <c r="Q15" i="220" s="1"/>
  <c r="M11" i="220"/>
  <c r="T11" i="220" s="1"/>
  <c r="K11" i="220"/>
  <c r="M14" i="220" s="1"/>
  <c r="G11" i="220"/>
  <c r="D11" i="220"/>
  <c r="B11" i="220"/>
  <c r="C11" i="220" s="1"/>
  <c r="V11" i="220" s="1"/>
  <c r="A11" i="220"/>
  <c r="A15" i="220" s="1"/>
  <c r="V10" i="220"/>
  <c r="L10" i="220"/>
  <c r="S10" i="220" s="1"/>
  <c r="U10" i="220" s="1"/>
  <c r="G10" i="220"/>
  <c r="D10" i="220"/>
  <c r="C10" i="220"/>
  <c r="V9" i="220"/>
  <c r="L9" i="220"/>
  <c r="G9" i="220"/>
  <c r="D9" i="220"/>
  <c r="C9" i="220"/>
  <c r="V8" i="220"/>
  <c r="L8" i="220"/>
  <c r="S8" i="220" s="1"/>
  <c r="G8" i="220"/>
  <c r="D8" i="220"/>
  <c r="C8" i="220"/>
  <c r="T7" i="220"/>
  <c r="Q7" i="220"/>
  <c r="P7" i="220"/>
  <c r="Q11" i="220" s="1"/>
  <c r="N7" i="220"/>
  <c r="M7" i="220"/>
  <c r="L7" i="220"/>
  <c r="S7" i="220" s="1"/>
  <c r="K7" i="220"/>
  <c r="M10" i="220" s="1"/>
  <c r="T10" i="220" s="1"/>
  <c r="G7" i="220"/>
  <c r="D7" i="220"/>
  <c r="C7" i="220"/>
  <c r="V7" i="220" s="1"/>
  <c r="M6" i="220"/>
  <c r="T6" i="220" s="1"/>
  <c r="G6" i="220"/>
  <c r="C6" i="220"/>
  <c r="V6" i="220" s="1"/>
  <c r="L5" i="220"/>
  <c r="S5" i="220" s="1"/>
  <c r="G5" i="220"/>
  <c r="C5" i="220"/>
  <c r="V5" i="220" s="1"/>
  <c r="M4" i="220"/>
  <c r="T4" i="220" s="1"/>
  <c r="G4" i="220"/>
  <c r="C4" i="220"/>
  <c r="V4" i="220" s="1"/>
  <c r="Q3" i="220"/>
  <c r="P3" i="220"/>
  <c r="L3" i="220"/>
  <c r="S3" i="220" s="1"/>
  <c r="K3" i="220"/>
  <c r="L6" i="220" s="1"/>
  <c r="G3" i="220"/>
  <c r="D3" i="220"/>
  <c r="C3" i="220"/>
  <c r="V3" i="220" s="1"/>
  <c r="P2" i="220"/>
  <c r="V3" i="219"/>
  <c r="V4" i="219"/>
  <c r="V5" i="219"/>
  <c r="V6" i="219"/>
  <c r="V7" i="219"/>
  <c r="V8" i="219"/>
  <c r="V9" i="219"/>
  <c r="V10" i="219"/>
  <c r="V11" i="219"/>
  <c r="V12" i="219"/>
  <c r="V13" i="219"/>
  <c r="V14" i="219"/>
  <c r="V15" i="219"/>
  <c r="V16" i="219"/>
  <c r="V17" i="219"/>
  <c r="V18" i="219"/>
  <c r="V19" i="219"/>
  <c r="V20" i="219"/>
  <c r="V21" i="219"/>
  <c r="V22" i="219"/>
  <c r="V23" i="219"/>
  <c r="V24" i="219"/>
  <c r="V25" i="219"/>
  <c r="V26" i="219"/>
  <c r="V27" i="219"/>
  <c r="V28" i="219"/>
  <c r="V29" i="219"/>
  <c r="V30" i="219"/>
  <c r="V31" i="219"/>
  <c r="V32" i="219"/>
  <c r="V33" i="219"/>
  <c r="V34" i="219"/>
  <c r="V35" i="219"/>
  <c r="V36" i="219"/>
  <c r="V37" i="219"/>
  <c r="V38" i="219"/>
  <c r="V39" i="219"/>
  <c r="V40" i="219"/>
  <c r="V41" i="219"/>
  <c r="V42" i="219"/>
  <c r="V43" i="219"/>
  <c r="V44" i="219"/>
  <c r="V45" i="219"/>
  <c r="V46" i="219"/>
  <c r="V47" i="219"/>
  <c r="V48" i="219"/>
  <c r="V49" i="219"/>
  <c r="V50" i="219"/>
  <c r="V51" i="219"/>
  <c r="V52" i="219"/>
  <c r="V53" i="219"/>
  <c r="V54" i="219"/>
  <c r="V55" i="219"/>
  <c r="V56" i="219"/>
  <c r="V57" i="219"/>
  <c r="V58" i="219"/>
  <c r="V59" i="219"/>
  <c r="V60" i="219"/>
  <c r="V61" i="219"/>
  <c r="V62" i="219"/>
  <c r="V63" i="219"/>
  <c r="V64" i="219"/>
  <c r="V65" i="219"/>
  <c r="V66" i="219"/>
  <c r="V67" i="219"/>
  <c r="V68" i="219"/>
  <c r="V69" i="219"/>
  <c r="V70" i="219"/>
  <c r="V71" i="219"/>
  <c r="V72" i="219"/>
  <c r="V73" i="219"/>
  <c r="V74" i="219"/>
  <c r="V75" i="219"/>
  <c r="V76" i="219"/>
  <c r="V77" i="219"/>
  <c r="V78" i="219"/>
  <c r="V79" i="219"/>
  <c r="V80" i="219"/>
  <c r="V81" i="219"/>
  <c r="V82" i="219"/>
  <c r="V83" i="219"/>
  <c r="V84" i="219"/>
  <c r="V85" i="219"/>
  <c r="V86" i="219"/>
  <c r="V87" i="219"/>
  <c r="V88" i="219"/>
  <c r="V89" i="219"/>
  <c r="V90" i="219"/>
  <c r="V91" i="219"/>
  <c r="V92" i="219"/>
  <c r="V93" i="219"/>
  <c r="V94" i="219"/>
  <c r="V95" i="219"/>
  <c r="V96" i="219"/>
  <c r="V97" i="219"/>
  <c r="V98" i="219"/>
  <c r="V99" i="219"/>
  <c r="V100" i="219"/>
  <c r="V101" i="219"/>
  <c r="V102" i="219"/>
  <c r="V103" i="219"/>
  <c r="V104" i="219"/>
  <c r="V105" i="219"/>
  <c r="V106" i="219"/>
  <c r="V107" i="219"/>
  <c r="V108" i="219"/>
  <c r="V109" i="219"/>
  <c r="V110" i="219"/>
  <c r="V111" i="219"/>
  <c r="V112" i="219"/>
  <c r="V113" i="219"/>
  <c r="V114" i="219"/>
  <c r="V115" i="219"/>
  <c r="V116" i="219"/>
  <c r="V117" i="219"/>
  <c r="V118" i="219"/>
  <c r="V119" i="219"/>
  <c r="V120" i="219"/>
  <c r="V121" i="219"/>
  <c r="V122" i="219"/>
  <c r="V123" i="219"/>
  <c r="Q107" i="219"/>
  <c r="Q111" i="219"/>
  <c r="Q115" i="219"/>
  <c r="Q119" i="219"/>
  <c r="Q103" i="219"/>
  <c r="T106" i="219" s="1"/>
  <c r="Q99" i="219"/>
  <c r="Q95" i="219"/>
  <c r="Q83" i="219"/>
  <c r="Q87" i="219"/>
  <c r="Q91" i="219"/>
  <c r="T93" i="219" s="1"/>
  <c r="L119" i="219"/>
  <c r="S119" i="219" s="1"/>
  <c r="M113" i="219"/>
  <c r="T113" i="219" s="1"/>
  <c r="L112" i="219"/>
  <c r="S112" i="219" s="1"/>
  <c r="L111" i="219"/>
  <c r="L103" i="219"/>
  <c r="S103" i="219" s="1"/>
  <c r="L94" i="219"/>
  <c r="S94" i="219" s="1"/>
  <c r="M86" i="219"/>
  <c r="L85" i="219"/>
  <c r="K99" i="219"/>
  <c r="M102" i="219" s="1"/>
  <c r="T102" i="219" s="1"/>
  <c r="K103" i="219"/>
  <c r="M106" i="219" s="1"/>
  <c r="K107" i="219"/>
  <c r="M110" i="219" s="1"/>
  <c r="T110" i="219" s="1"/>
  <c r="K111" i="219"/>
  <c r="M114" i="219" s="1"/>
  <c r="T114" i="219" s="1"/>
  <c r="K115" i="219"/>
  <c r="M118" i="219" s="1"/>
  <c r="T118" i="219" s="1"/>
  <c r="M122" i="219"/>
  <c r="T122" i="219" s="1"/>
  <c r="K79" i="219"/>
  <c r="L81" i="219" s="1"/>
  <c r="K83" i="219"/>
  <c r="L84" i="219" s="1"/>
  <c r="K87" i="219"/>
  <c r="M89" i="219" s="1"/>
  <c r="T89" i="219" s="1"/>
  <c r="K91" i="219"/>
  <c r="M93" i="219" s="1"/>
  <c r="K95" i="219"/>
  <c r="M97" i="219" s="1"/>
  <c r="T97" i="219" s="1"/>
  <c r="G101" i="219"/>
  <c r="G102" i="219"/>
  <c r="G103" i="219"/>
  <c r="G104" i="219"/>
  <c r="G105" i="219"/>
  <c r="G106" i="219"/>
  <c r="G107" i="219"/>
  <c r="G108" i="219"/>
  <c r="G109" i="219"/>
  <c r="G110" i="219"/>
  <c r="G111" i="219"/>
  <c r="G112" i="219"/>
  <c r="G113" i="219"/>
  <c r="G114" i="219"/>
  <c r="G115" i="219"/>
  <c r="G116" i="219"/>
  <c r="G117" i="219"/>
  <c r="G118" i="219"/>
  <c r="G119" i="219"/>
  <c r="G120" i="219"/>
  <c r="G121" i="219"/>
  <c r="G122" i="219"/>
  <c r="G97" i="219"/>
  <c r="G98" i="219"/>
  <c r="G99" i="219"/>
  <c r="G100" i="219"/>
  <c r="G83" i="219"/>
  <c r="G84" i="219"/>
  <c r="G85" i="219"/>
  <c r="G86" i="219"/>
  <c r="G87" i="219"/>
  <c r="G88" i="219"/>
  <c r="G89" i="219"/>
  <c r="G90" i="219"/>
  <c r="G91" i="219"/>
  <c r="G92" i="219"/>
  <c r="G93" i="219"/>
  <c r="G94" i="219"/>
  <c r="G95" i="219"/>
  <c r="G96" i="219"/>
  <c r="G82" i="219"/>
  <c r="G81" i="219"/>
  <c r="G80" i="219"/>
  <c r="P79" i="219"/>
  <c r="P128" i="219" s="1"/>
  <c r="P129" i="219" s="1"/>
  <c r="G79" i="219"/>
  <c r="G78" i="219"/>
  <c r="G77" i="219"/>
  <c r="G76" i="219"/>
  <c r="P75" i="219"/>
  <c r="Q79" i="219" s="1"/>
  <c r="Q128" i="219" s="1"/>
  <c r="Q129" i="219" s="1"/>
  <c r="K75" i="219"/>
  <c r="G75" i="219"/>
  <c r="G74" i="219"/>
  <c r="G73" i="219"/>
  <c r="G72" i="219"/>
  <c r="P71" i="219"/>
  <c r="K71" i="219"/>
  <c r="M73" i="219" s="1"/>
  <c r="G71" i="219"/>
  <c r="G70" i="219"/>
  <c r="G69" i="219"/>
  <c r="G68" i="219"/>
  <c r="P67" i="219"/>
  <c r="K67" i="219"/>
  <c r="G67" i="219"/>
  <c r="G66" i="219"/>
  <c r="G65" i="219"/>
  <c r="G64" i="219"/>
  <c r="P63" i="219"/>
  <c r="K63" i="219"/>
  <c r="G63" i="219"/>
  <c r="G62" i="219"/>
  <c r="G61" i="219"/>
  <c r="G60" i="219"/>
  <c r="P59" i="219"/>
  <c r="K59" i="219"/>
  <c r="L62" i="219" s="1"/>
  <c r="G59" i="219"/>
  <c r="G58" i="219"/>
  <c r="G57" i="219"/>
  <c r="G56" i="219"/>
  <c r="P55" i="219"/>
  <c r="K55" i="219"/>
  <c r="M57" i="219" s="1"/>
  <c r="G55" i="219"/>
  <c r="G54" i="219"/>
  <c r="G53" i="219"/>
  <c r="G52" i="219"/>
  <c r="P51" i="219"/>
  <c r="K51" i="219"/>
  <c r="G51" i="219"/>
  <c r="G50" i="219"/>
  <c r="G49" i="219"/>
  <c r="G48" i="219"/>
  <c r="P47" i="219"/>
  <c r="K47" i="219"/>
  <c r="M49" i="219" s="1"/>
  <c r="G47" i="219"/>
  <c r="G46" i="219"/>
  <c r="G45" i="219"/>
  <c r="G44" i="219"/>
  <c r="P43" i="219"/>
  <c r="K43" i="219"/>
  <c r="M45" i="219" s="1"/>
  <c r="G43" i="219"/>
  <c r="G42" i="219"/>
  <c r="G41" i="219"/>
  <c r="G40" i="219"/>
  <c r="P39" i="219"/>
  <c r="K39" i="219"/>
  <c r="M40" i="219" s="1"/>
  <c r="G39" i="219"/>
  <c r="G38" i="219"/>
  <c r="G37" i="219"/>
  <c r="G36" i="219"/>
  <c r="P35" i="219"/>
  <c r="M35" i="219"/>
  <c r="K35" i="219"/>
  <c r="L37" i="219" s="1"/>
  <c r="G35" i="219"/>
  <c r="G34" i="219"/>
  <c r="G33" i="219"/>
  <c r="G32" i="219"/>
  <c r="P31" i="219"/>
  <c r="K31" i="219"/>
  <c r="M32" i="219" s="1"/>
  <c r="G31" i="219"/>
  <c r="G30" i="219"/>
  <c r="G29" i="219"/>
  <c r="G28" i="219"/>
  <c r="P27" i="219"/>
  <c r="K27" i="219"/>
  <c r="L29" i="219" s="1"/>
  <c r="G27" i="219"/>
  <c r="G26" i="219"/>
  <c r="G25" i="219"/>
  <c r="G24" i="219"/>
  <c r="P23" i="219"/>
  <c r="K23" i="219"/>
  <c r="M24" i="219" s="1"/>
  <c r="G23" i="219"/>
  <c r="G22" i="219"/>
  <c r="G21" i="219"/>
  <c r="G20" i="219"/>
  <c r="P19" i="219"/>
  <c r="K19" i="219"/>
  <c r="L21" i="219" s="1"/>
  <c r="G19" i="219"/>
  <c r="G18" i="219"/>
  <c r="G17" i="219"/>
  <c r="G16" i="219"/>
  <c r="P15" i="219"/>
  <c r="K15" i="219"/>
  <c r="M16" i="219" s="1"/>
  <c r="G15" i="219"/>
  <c r="G14" i="219"/>
  <c r="B14" i="219"/>
  <c r="B18" i="219" s="1"/>
  <c r="B22" i="219" s="1"/>
  <c r="B26" i="219" s="1"/>
  <c r="B30" i="219" s="1"/>
  <c r="B34" i="219" s="1"/>
  <c r="B38" i="219" s="1"/>
  <c r="B42" i="219" s="1"/>
  <c r="B46" i="219" s="1"/>
  <c r="B50" i="219" s="1"/>
  <c r="B54" i="219" s="1"/>
  <c r="B58" i="219" s="1"/>
  <c r="B62" i="219" s="1"/>
  <c r="B66" i="219" s="1"/>
  <c r="B70" i="219" s="1"/>
  <c r="B74" i="219" s="1"/>
  <c r="B78" i="219" s="1"/>
  <c r="B82" i="219" s="1"/>
  <c r="B86" i="219" s="1"/>
  <c r="B90" i="219" s="1"/>
  <c r="B94" i="219" s="1"/>
  <c r="B98" i="219" s="1"/>
  <c r="B102" i="219" s="1"/>
  <c r="B106" i="219" s="1"/>
  <c r="B110" i="219" s="1"/>
  <c r="B114" i="219" s="1"/>
  <c r="B118" i="219" s="1"/>
  <c r="B122" i="219" s="1"/>
  <c r="A14" i="219"/>
  <c r="G13" i="219"/>
  <c r="B13" i="219"/>
  <c r="A13" i="219"/>
  <c r="A17" i="219" s="1"/>
  <c r="A21" i="219" s="1"/>
  <c r="G12" i="219"/>
  <c r="B12" i="219"/>
  <c r="B16" i="219" s="1"/>
  <c r="B20" i="219" s="1"/>
  <c r="B24" i="219" s="1"/>
  <c r="B28" i="219" s="1"/>
  <c r="B32" i="219" s="1"/>
  <c r="B36" i="219" s="1"/>
  <c r="B40" i="219" s="1"/>
  <c r="B44" i="219" s="1"/>
  <c r="B48" i="219" s="1"/>
  <c r="B52" i="219" s="1"/>
  <c r="B56" i="219" s="1"/>
  <c r="B60" i="219" s="1"/>
  <c r="B64" i="219" s="1"/>
  <c r="B68" i="219" s="1"/>
  <c r="B72" i="219" s="1"/>
  <c r="B76" i="219" s="1"/>
  <c r="B80" i="219" s="1"/>
  <c r="B84" i="219" s="1"/>
  <c r="B88" i="219" s="1"/>
  <c r="B92" i="219" s="1"/>
  <c r="B96" i="219" s="1"/>
  <c r="B100" i="219" s="1"/>
  <c r="B104" i="219" s="1"/>
  <c r="B108" i="219" s="1"/>
  <c r="B112" i="219" s="1"/>
  <c r="B116" i="219" s="1"/>
  <c r="B120" i="219" s="1"/>
  <c r="A12" i="219"/>
  <c r="A16" i="219" s="1"/>
  <c r="P11" i="219"/>
  <c r="Q15" i="219" s="1"/>
  <c r="K11" i="219"/>
  <c r="G11" i="219"/>
  <c r="B11" i="219"/>
  <c r="B15" i="219" s="1"/>
  <c r="B19" i="219" s="1"/>
  <c r="B23" i="219" s="1"/>
  <c r="B27" i="219" s="1"/>
  <c r="B31" i="219" s="1"/>
  <c r="B35" i="219" s="1"/>
  <c r="B39" i="219" s="1"/>
  <c r="B43" i="219" s="1"/>
  <c r="B47" i="219" s="1"/>
  <c r="B51" i="219" s="1"/>
  <c r="B55" i="219" s="1"/>
  <c r="B59" i="219" s="1"/>
  <c r="B63" i="219" s="1"/>
  <c r="B67" i="219" s="1"/>
  <c r="B71" i="219" s="1"/>
  <c r="B75" i="219" s="1"/>
  <c r="B79" i="219" s="1"/>
  <c r="B83" i="219" s="1"/>
  <c r="B87" i="219" s="1"/>
  <c r="B91" i="219" s="1"/>
  <c r="B95" i="219" s="1"/>
  <c r="B99" i="219" s="1"/>
  <c r="B103" i="219" s="1"/>
  <c r="A11" i="219"/>
  <c r="A15" i="219" s="1"/>
  <c r="G10" i="219"/>
  <c r="D10" i="219"/>
  <c r="C10" i="219"/>
  <c r="G9" i="219"/>
  <c r="D9" i="219"/>
  <c r="C9" i="219"/>
  <c r="G8" i="219"/>
  <c r="D8" i="219"/>
  <c r="C8" i="219"/>
  <c r="P7" i="219"/>
  <c r="K7" i="219"/>
  <c r="L8" i="219" s="1"/>
  <c r="G7" i="219"/>
  <c r="D7" i="219"/>
  <c r="D11" i="219" s="1"/>
  <c r="C7" i="219"/>
  <c r="G6" i="219"/>
  <c r="C6" i="219"/>
  <c r="G5" i="219"/>
  <c r="C5" i="219"/>
  <c r="G4" i="219"/>
  <c r="C4" i="219"/>
  <c r="P3" i="219"/>
  <c r="K3" i="219"/>
  <c r="M6" i="219" s="1"/>
  <c r="G3" i="219"/>
  <c r="D3" i="219"/>
  <c r="C3" i="219"/>
  <c r="P2" i="219"/>
  <c r="Q67" i="218"/>
  <c r="Q47" i="218"/>
  <c r="Q43" i="218"/>
  <c r="P79" i="218"/>
  <c r="P75" i="218"/>
  <c r="Q79" i="218" s="1"/>
  <c r="P71" i="218"/>
  <c r="Q75" i="218" s="1"/>
  <c r="P67" i="218"/>
  <c r="Q71" i="218" s="1"/>
  <c r="P63" i="218"/>
  <c r="P59" i="218"/>
  <c r="Q63" i="218" s="1"/>
  <c r="P55" i="218"/>
  <c r="Q59" i="218" s="1"/>
  <c r="P51" i="218"/>
  <c r="P47" i="218"/>
  <c r="Q51" i="218" s="1"/>
  <c r="P43" i="218"/>
  <c r="L80" i="218"/>
  <c r="L78" i="218"/>
  <c r="M76" i="218"/>
  <c r="M74" i="218"/>
  <c r="M73" i="218"/>
  <c r="L73" i="218"/>
  <c r="M71" i="218"/>
  <c r="L71" i="218"/>
  <c r="N71" i="218" s="1"/>
  <c r="M66" i="218"/>
  <c r="L66" i="218"/>
  <c r="N66" i="218" s="1"/>
  <c r="L65" i="218"/>
  <c r="M64" i="218"/>
  <c r="L64" i="218"/>
  <c r="N64" i="218" s="1"/>
  <c r="L63" i="218"/>
  <c r="M58" i="218"/>
  <c r="L57" i="218"/>
  <c r="L55" i="218"/>
  <c r="M53" i="218"/>
  <c r="M51" i="218"/>
  <c r="L48" i="218"/>
  <c r="M46" i="218"/>
  <c r="L46" i="218"/>
  <c r="N46" i="218" s="1"/>
  <c r="M45" i="218"/>
  <c r="L45" i="218"/>
  <c r="N45" i="218" s="1"/>
  <c r="M44" i="218"/>
  <c r="M43" i="218"/>
  <c r="L43" i="218"/>
  <c r="N43" i="218" s="1"/>
  <c r="K71" i="218"/>
  <c r="L72" i="218" s="1"/>
  <c r="K75" i="218"/>
  <c r="L76" i="218" s="1"/>
  <c r="K79" i="218"/>
  <c r="M81" i="218" s="1"/>
  <c r="K67" i="218"/>
  <c r="M69" i="218" s="1"/>
  <c r="K63" i="218"/>
  <c r="M65" i="218" s="1"/>
  <c r="K51" i="218"/>
  <c r="M54" i="218" s="1"/>
  <c r="K55" i="218"/>
  <c r="L58" i="218" s="1"/>
  <c r="K59" i="218"/>
  <c r="L62" i="218" s="1"/>
  <c r="K43" i="218"/>
  <c r="L44" i="218" s="1"/>
  <c r="N44" i="218" s="1"/>
  <c r="K47" i="218"/>
  <c r="M49" i="218" s="1"/>
  <c r="G82" i="218"/>
  <c r="G81" i="218"/>
  <c r="G80" i="218"/>
  <c r="G79" i="218"/>
  <c r="G78" i="218"/>
  <c r="G77" i="218"/>
  <c r="G76" i="218"/>
  <c r="G75" i="218"/>
  <c r="G74" i="218"/>
  <c r="G73" i="218"/>
  <c r="G72" i="218"/>
  <c r="G71" i="218"/>
  <c r="G70" i="218"/>
  <c r="G69" i="218"/>
  <c r="G68" i="218"/>
  <c r="G67" i="218"/>
  <c r="G66" i="218"/>
  <c r="G65" i="218"/>
  <c r="G64" i="218"/>
  <c r="G63" i="218"/>
  <c r="G62" i="218"/>
  <c r="G61" i="218"/>
  <c r="G60" i="218"/>
  <c r="G59" i="218"/>
  <c r="G58" i="218"/>
  <c r="G57" i="218"/>
  <c r="G56" i="218"/>
  <c r="G55" i="218"/>
  <c r="G54" i="218"/>
  <c r="G53" i="218"/>
  <c r="G52" i="218"/>
  <c r="G51" i="218"/>
  <c r="G50" i="218"/>
  <c r="G49" i="218"/>
  <c r="G48" i="218"/>
  <c r="G47" i="218"/>
  <c r="G46" i="218"/>
  <c r="G45" i="218"/>
  <c r="G44" i="218"/>
  <c r="G43" i="218"/>
  <c r="G42" i="218"/>
  <c r="G41" i="218"/>
  <c r="G40" i="218"/>
  <c r="P39" i="218"/>
  <c r="K39" i="218"/>
  <c r="M42" i="218" s="1"/>
  <c r="T42" i="218" s="1"/>
  <c r="G39" i="218"/>
  <c r="G38" i="218"/>
  <c r="G37" i="218"/>
  <c r="G36" i="218"/>
  <c r="P35" i="218"/>
  <c r="Q39" i="218" s="1"/>
  <c r="K35" i="218"/>
  <c r="M38" i="218" s="1"/>
  <c r="G35" i="218"/>
  <c r="G34" i="218"/>
  <c r="G33" i="218"/>
  <c r="G32" i="218"/>
  <c r="P31" i="218"/>
  <c r="Q35" i="218" s="1"/>
  <c r="K31" i="218"/>
  <c r="M34" i="218" s="1"/>
  <c r="G31" i="218"/>
  <c r="G30" i="218"/>
  <c r="G29" i="218"/>
  <c r="G28" i="218"/>
  <c r="P27" i="218"/>
  <c r="Q31" i="218" s="1"/>
  <c r="K27" i="218"/>
  <c r="M30" i="218" s="1"/>
  <c r="G27" i="218"/>
  <c r="G26" i="218"/>
  <c r="G25" i="218"/>
  <c r="G24" i="218"/>
  <c r="P23" i="218"/>
  <c r="Q27" i="218" s="1"/>
  <c r="K23" i="218"/>
  <c r="M26" i="218" s="1"/>
  <c r="G23" i="218"/>
  <c r="G22" i="218"/>
  <c r="G21" i="218"/>
  <c r="G20" i="218"/>
  <c r="P19" i="218"/>
  <c r="Q23" i="218" s="1"/>
  <c r="K19" i="218"/>
  <c r="M22" i="218" s="1"/>
  <c r="G19" i="218"/>
  <c r="G18" i="218"/>
  <c r="L17" i="218"/>
  <c r="G17" i="218"/>
  <c r="A17" i="218"/>
  <c r="G16" i="218"/>
  <c r="P15" i="218"/>
  <c r="Q19" i="218" s="1"/>
  <c r="K15" i="218"/>
  <c r="M18" i="218" s="1"/>
  <c r="G15" i="218"/>
  <c r="G14" i="218"/>
  <c r="B14" i="218"/>
  <c r="B18" i="218" s="1"/>
  <c r="B22" i="218" s="1"/>
  <c r="B26" i="218" s="1"/>
  <c r="B30" i="218" s="1"/>
  <c r="B34" i="218" s="1"/>
  <c r="B38" i="218" s="1"/>
  <c r="B42" i="218" s="1"/>
  <c r="C42" i="218" s="1"/>
  <c r="A14" i="218"/>
  <c r="A18" i="218" s="1"/>
  <c r="A22" i="218" s="1"/>
  <c r="A26" i="218" s="1"/>
  <c r="A30" i="218" s="1"/>
  <c r="A34" i="218" s="1"/>
  <c r="A38" i="218" s="1"/>
  <c r="A42" i="218" s="1"/>
  <c r="A46" i="218" s="1"/>
  <c r="G13" i="218"/>
  <c r="B13" i="218"/>
  <c r="B17" i="218" s="1"/>
  <c r="B21" i="218" s="1"/>
  <c r="B25" i="218" s="1"/>
  <c r="B29" i="218" s="1"/>
  <c r="B33" i="218" s="1"/>
  <c r="B37" i="218" s="1"/>
  <c r="B41" i="218" s="1"/>
  <c r="B45" i="218" s="1"/>
  <c r="A13" i="218"/>
  <c r="G12" i="218"/>
  <c r="B12" i="218"/>
  <c r="B16" i="218" s="1"/>
  <c r="B20" i="218" s="1"/>
  <c r="B24" i="218" s="1"/>
  <c r="B28" i="218" s="1"/>
  <c r="B32" i="218" s="1"/>
  <c r="B36" i="218" s="1"/>
  <c r="B40" i="218" s="1"/>
  <c r="B44" i="218" s="1"/>
  <c r="B48" i="218" s="1"/>
  <c r="B52" i="218" s="1"/>
  <c r="B56" i="218" s="1"/>
  <c r="B60" i="218" s="1"/>
  <c r="B64" i="218" s="1"/>
  <c r="A12" i="218"/>
  <c r="A16" i="218" s="1"/>
  <c r="A20" i="218" s="1"/>
  <c r="A24" i="218" s="1"/>
  <c r="A28" i="218" s="1"/>
  <c r="A32" i="218" s="1"/>
  <c r="A36" i="218" s="1"/>
  <c r="A40" i="218" s="1"/>
  <c r="A44" i="218" s="1"/>
  <c r="P11" i="218"/>
  <c r="Q15" i="218" s="1"/>
  <c r="K11" i="218"/>
  <c r="M13" i="218" s="1"/>
  <c r="T13" i="218" s="1"/>
  <c r="G11" i="218"/>
  <c r="B11" i="218"/>
  <c r="B15" i="218" s="1"/>
  <c r="B19" i="218" s="1"/>
  <c r="B23" i="218" s="1"/>
  <c r="B27" i="218" s="1"/>
  <c r="B31" i="218" s="1"/>
  <c r="B35" i="218" s="1"/>
  <c r="B39" i="218" s="1"/>
  <c r="B43" i="218" s="1"/>
  <c r="B47" i="218" s="1"/>
  <c r="B51" i="218" s="1"/>
  <c r="B55" i="218" s="1"/>
  <c r="B59" i="218" s="1"/>
  <c r="B63" i="218" s="1"/>
  <c r="B67" i="218" s="1"/>
  <c r="B71" i="218" s="1"/>
  <c r="B75" i="218" s="1"/>
  <c r="B79" i="218" s="1"/>
  <c r="A11" i="218"/>
  <c r="A15" i="218" s="1"/>
  <c r="G10" i="218"/>
  <c r="D10" i="218"/>
  <c r="C10" i="218"/>
  <c r="G9" i="218"/>
  <c r="D9" i="218"/>
  <c r="C9" i="218"/>
  <c r="G8" i="218"/>
  <c r="D8" i="218"/>
  <c r="C8" i="218"/>
  <c r="Q7" i="218"/>
  <c r="P7" i="218"/>
  <c r="Q11" i="218" s="1"/>
  <c r="M7" i="218"/>
  <c r="L7" i="218"/>
  <c r="N7" i="218" s="1"/>
  <c r="K7" i="218"/>
  <c r="L9" i="218" s="1"/>
  <c r="G7" i="218"/>
  <c r="D7" i="218"/>
  <c r="D11" i="218" s="1"/>
  <c r="C7" i="218"/>
  <c r="G6" i="218"/>
  <c r="C6" i="218"/>
  <c r="L5" i="218"/>
  <c r="S5" i="218" s="1"/>
  <c r="G5" i="218"/>
  <c r="C5" i="218"/>
  <c r="L4" i="218"/>
  <c r="S4" i="218" s="1"/>
  <c r="G4" i="218"/>
  <c r="C4" i="218"/>
  <c r="Q3" i="218"/>
  <c r="P3" i="218"/>
  <c r="M3" i="218"/>
  <c r="K3" i="218"/>
  <c r="M6" i="218" s="1"/>
  <c r="G3" i="218"/>
  <c r="D3" i="218"/>
  <c r="C3" i="218"/>
  <c r="P2" i="218"/>
  <c r="S65" i="218" l="1"/>
  <c r="S63" i="218"/>
  <c r="T81" i="218"/>
  <c r="S73" i="218"/>
  <c r="T84" i="220"/>
  <c r="T71" i="218"/>
  <c r="T49" i="218"/>
  <c r="T54" i="218"/>
  <c r="T66" i="218"/>
  <c r="T73" i="218"/>
  <c r="S80" i="218"/>
  <c r="S85" i="219"/>
  <c r="Q79" i="220"/>
  <c r="S82" i="220" s="1"/>
  <c r="T83" i="220"/>
  <c r="T76" i="218"/>
  <c r="Q55" i="218"/>
  <c r="T58" i="218" s="1"/>
  <c r="S48" i="218"/>
  <c r="T64" i="218"/>
  <c r="M141" i="219"/>
  <c r="M143" i="219" s="1"/>
  <c r="M134" i="219"/>
  <c r="T86" i="219"/>
  <c r="T45" i="220"/>
  <c r="A142" i="285"/>
  <c r="C138" i="285"/>
  <c r="V138" i="285" s="1"/>
  <c r="A139" i="285"/>
  <c r="C135" i="285"/>
  <c r="V135" i="285" s="1"/>
  <c r="C137" i="285"/>
  <c r="V137" i="285" s="1"/>
  <c r="A141" i="285"/>
  <c r="N76" i="218"/>
  <c r="S76" i="218"/>
  <c r="U76" i="218" s="1"/>
  <c r="C46" i="218"/>
  <c r="A50" i="218"/>
  <c r="N65" i="218"/>
  <c r="T65" i="218"/>
  <c r="U65" i="218" s="1"/>
  <c r="S62" i="218"/>
  <c r="B68" i="218"/>
  <c r="S72" i="218"/>
  <c r="N57" i="218"/>
  <c r="C44" i="218"/>
  <c r="A48" i="218"/>
  <c r="B49" i="218"/>
  <c r="U73" i="218"/>
  <c r="M11" i="218"/>
  <c r="T11" i="218" s="1"/>
  <c r="C12" i="218"/>
  <c r="C14" i="218"/>
  <c r="L37" i="218"/>
  <c r="S37" i="218" s="1"/>
  <c r="U37" i="218" s="1"/>
  <c r="B46" i="218"/>
  <c r="B50" i="218" s="1"/>
  <c r="B54" i="218" s="1"/>
  <c r="B58" i="218" s="1"/>
  <c r="B62" i="218" s="1"/>
  <c r="B66" i="218" s="1"/>
  <c r="B70" i="218" s="1"/>
  <c r="B74" i="218" s="1"/>
  <c r="B78" i="218" s="1"/>
  <c r="B82" i="218" s="1"/>
  <c r="M48" i="218"/>
  <c r="L50" i="218"/>
  <c r="L52" i="218"/>
  <c r="S52" i="218" s="1"/>
  <c r="M55" i="218"/>
  <c r="T55" i="218" s="1"/>
  <c r="M57" i="218"/>
  <c r="T57" i="218" s="1"/>
  <c r="L59" i="218"/>
  <c r="L61" i="218"/>
  <c r="M62" i="218"/>
  <c r="T62" i="218" s="1"/>
  <c r="L68" i="218"/>
  <c r="L75" i="218"/>
  <c r="L77" i="218"/>
  <c r="M78" i="218"/>
  <c r="T78" i="218" s="1"/>
  <c r="M80" i="218"/>
  <c r="L82" i="218"/>
  <c r="S57" i="218"/>
  <c r="U57" i="218" s="1"/>
  <c r="T43" i="218"/>
  <c r="M9" i="218"/>
  <c r="T9" i="218" s="1"/>
  <c r="L10" i="218"/>
  <c r="S10" i="218" s="1"/>
  <c r="U10" i="218" s="1"/>
  <c r="C11" i="218"/>
  <c r="L13" i="218"/>
  <c r="L21" i="218"/>
  <c r="L25" i="218"/>
  <c r="L29" i="218"/>
  <c r="S29" i="218" s="1"/>
  <c r="U29" i="218" s="1"/>
  <c r="L33" i="218"/>
  <c r="L47" i="218"/>
  <c r="L49" i="218"/>
  <c r="M50" i="218"/>
  <c r="T50" i="218" s="1"/>
  <c r="M52" i="218"/>
  <c r="L54" i="218"/>
  <c r="N54" i="218" s="1"/>
  <c r="L56" i="218"/>
  <c r="M59" i="218"/>
  <c r="T59" i="218" s="1"/>
  <c r="M61" i="218"/>
  <c r="T61" i="218" s="1"/>
  <c r="M68" i="218"/>
  <c r="T68" i="218" s="1"/>
  <c r="L70" i="218"/>
  <c r="S70" i="218" s="1"/>
  <c r="N73" i="218"/>
  <c r="M75" i="218"/>
  <c r="T75" i="218" s="1"/>
  <c r="M77" i="218"/>
  <c r="T77" i="218" s="1"/>
  <c r="L79" i="218"/>
  <c r="L81" i="218"/>
  <c r="M82" i="218"/>
  <c r="T82" i="218" s="1"/>
  <c r="S66" i="218"/>
  <c r="U66" i="218" s="1"/>
  <c r="S64" i="218"/>
  <c r="U64" i="218" s="1"/>
  <c r="T3" i="218"/>
  <c r="L3" i="218"/>
  <c r="N3" i="218" s="1"/>
  <c r="L6" i="218"/>
  <c r="S6" i="218" s="1"/>
  <c r="T7" i="218"/>
  <c r="M10" i="218"/>
  <c r="T10" i="218" s="1"/>
  <c r="C40" i="218"/>
  <c r="C18" i="218"/>
  <c r="C22" i="218"/>
  <c r="C26" i="218"/>
  <c r="C30" i="218"/>
  <c r="M47" i="218"/>
  <c r="T47" i="218" s="1"/>
  <c r="L51" i="218"/>
  <c r="L53" i="218"/>
  <c r="M56" i="218"/>
  <c r="T56" i="218" s="1"/>
  <c r="L60" i="218"/>
  <c r="M63" i="218"/>
  <c r="T63" i="218" s="1"/>
  <c r="U63" i="218" s="1"/>
  <c r="L67" i="218"/>
  <c r="L69" i="218"/>
  <c r="N69" i="218" s="1"/>
  <c r="M70" i="218"/>
  <c r="T70" i="218" s="1"/>
  <c r="M72" i="218"/>
  <c r="T72" i="218" s="1"/>
  <c r="L74" i="218"/>
  <c r="S74" i="218" s="1"/>
  <c r="M79" i="218"/>
  <c r="T79" i="218" s="1"/>
  <c r="T51" i="218"/>
  <c r="C17" i="218"/>
  <c r="L41" i="218"/>
  <c r="S41" i="218" s="1"/>
  <c r="L42" i="218"/>
  <c r="S42" i="218" s="1"/>
  <c r="U42" i="218" s="1"/>
  <c r="N55" i="218"/>
  <c r="N58" i="218"/>
  <c r="M60" i="218"/>
  <c r="T60" i="218" s="1"/>
  <c r="M67" i="218"/>
  <c r="N74" i="218"/>
  <c r="N78" i="218"/>
  <c r="S71" i="218"/>
  <c r="U71" i="218" s="1"/>
  <c r="T74" i="218"/>
  <c r="S78" i="218"/>
  <c r="U78" i="218" s="1"/>
  <c r="U119" i="220"/>
  <c r="N120" i="220"/>
  <c r="B145" i="220"/>
  <c r="S6" i="220"/>
  <c r="U6" i="220" s="1"/>
  <c r="N6" i="220"/>
  <c r="S54" i="220"/>
  <c r="N54" i="220"/>
  <c r="T52" i="220"/>
  <c r="S53" i="220"/>
  <c r="N53" i="220"/>
  <c r="N10" i="220"/>
  <c r="C46" i="220"/>
  <c r="V46" i="220" s="1"/>
  <c r="T18" i="220"/>
  <c r="A16" i="220"/>
  <c r="C18" i="220"/>
  <c r="V18" i="220" s="1"/>
  <c r="S20" i="220"/>
  <c r="N20" i="220"/>
  <c r="T21" i="220"/>
  <c r="T26" i="220"/>
  <c r="C26" i="220"/>
  <c r="V26" i="220" s="1"/>
  <c r="S28" i="220"/>
  <c r="U28" i="220" s="1"/>
  <c r="T29" i="220"/>
  <c r="T34" i="220"/>
  <c r="C34" i="220"/>
  <c r="V34" i="220" s="1"/>
  <c r="S36" i="220"/>
  <c r="T37" i="220"/>
  <c r="T42" i="220"/>
  <c r="C42" i="220"/>
  <c r="V42" i="220" s="1"/>
  <c r="Q47" i="220"/>
  <c r="S50" i="220" s="1"/>
  <c r="T44" i="220"/>
  <c r="S45" i="220"/>
  <c r="U45" i="220" s="1"/>
  <c r="T46" i="220"/>
  <c r="M48" i="220"/>
  <c r="T48" i="220" s="1"/>
  <c r="M49" i="220"/>
  <c r="L48" i="220"/>
  <c r="M47" i="220"/>
  <c r="M50" i="220"/>
  <c r="T50" i="220" s="1"/>
  <c r="L49" i="220"/>
  <c r="L47" i="220"/>
  <c r="N51" i="220"/>
  <c r="S51" i="220"/>
  <c r="U51" i="220" s="1"/>
  <c r="S52" i="220"/>
  <c r="U52" i="220" s="1"/>
  <c r="T54" i="220"/>
  <c r="S59" i="220"/>
  <c r="T60" i="220"/>
  <c r="A21" i="220"/>
  <c r="C17" i="220"/>
  <c r="V17" i="220" s="1"/>
  <c r="S9" i="220"/>
  <c r="U9" i="220" s="1"/>
  <c r="S12" i="220"/>
  <c r="T15" i="220"/>
  <c r="N45" i="220"/>
  <c r="A50" i="220"/>
  <c r="T53" i="220"/>
  <c r="U7" i="220"/>
  <c r="A19" i="220"/>
  <c r="T14" i="220"/>
  <c r="T13" i="220"/>
  <c r="D15" i="220"/>
  <c r="S16" i="220"/>
  <c r="N16" i="220"/>
  <c r="T17" i="220"/>
  <c r="T22" i="220"/>
  <c r="C22" i="220"/>
  <c r="V22" i="220" s="1"/>
  <c r="S24" i="220"/>
  <c r="T25" i="220"/>
  <c r="T30" i="220"/>
  <c r="C30" i="220"/>
  <c r="V30" i="220" s="1"/>
  <c r="S32" i="220"/>
  <c r="U32" i="220" s="1"/>
  <c r="T33" i="220"/>
  <c r="T38" i="220"/>
  <c r="C38" i="220"/>
  <c r="V38" i="220" s="1"/>
  <c r="S40" i="220"/>
  <c r="T41" i="220"/>
  <c r="S43" i="220"/>
  <c r="T62" i="220"/>
  <c r="U62" i="220" s="1"/>
  <c r="S79" i="220"/>
  <c r="L4" i="220"/>
  <c r="M9" i="220"/>
  <c r="T9" i="220" s="1"/>
  <c r="M12" i="220"/>
  <c r="T12" i="220" s="1"/>
  <c r="C13" i="220"/>
  <c r="V13" i="220" s="1"/>
  <c r="M16" i="220"/>
  <c r="T16" i="220" s="1"/>
  <c r="M20" i="220"/>
  <c r="T20" i="220" s="1"/>
  <c r="M24" i="220"/>
  <c r="T24" i="220" s="1"/>
  <c r="M28" i="220"/>
  <c r="T28" i="220" s="1"/>
  <c r="M32" i="220"/>
  <c r="T32" i="220" s="1"/>
  <c r="M36" i="220"/>
  <c r="T36" i="220" s="1"/>
  <c r="M40" i="220"/>
  <c r="T40" i="220" s="1"/>
  <c r="L46" i="220"/>
  <c r="L56" i="220"/>
  <c r="S74" i="220"/>
  <c r="U74" i="220" s="1"/>
  <c r="N74" i="220"/>
  <c r="T76" i="220"/>
  <c r="S94" i="220"/>
  <c r="L14" i="220"/>
  <c r="B15" i="220"/>
  <c r="B19" i="220" s="1"/>
  <c r="B23" i="220" s="1"/>
  <c r="B27" i="220" s="1"/>
  <c r="B31" i="220" s="1"/>
  <c r="B35" i="220" s="1"/>
  <c r="B39" i="220" s="1"/>
  <c r="B43" i="220" s="1"/>
  <c r="B47" i="220" s="1"/>
  <c r="B51" i="220" s="1"/>
  <c r="B55" i="220" s="1"/>
  <c r="B59" i="220" s="1"/>
  <c r="B63" i="220" s="1"/>
  <c r="B67" i="220" s="1"/>
  <c r="B71" i="220" s="1"/>
  <c r="B75" i="220" s="1"/>
  <c r="B79" i="220" s="1"/>
  <c r="B83" i="220" s="1"/>
  <c r="B87" i="220" s="1"/>
  <c r="B91" i="220" s="1"/>
  <c r="B95" i="220" s="1"/>
  <c r="B99" i="220" s="1"/>
  <c r="B103" i="220" s="1"/>
  <c r="B107" i="220" s="1"/>
  <c r="B111" i="220" s="1"/>
  <c r="B115" i="220" s="1"/>
  <c r="B119" i="220" s="1"/>
  <c r="L18" i="220"/>
  <c r="L22" i="220"/>
  <c r="L26" i="220"/>
  <c r="L30" i="220"/>
  <c r="L34" i="220"/>
  <c r="L38" i="220"/>
  <c r="L42" i="220"/>
  <c r="M56" i="220"/>
  <c r="M58" i="220"/>
  <c r="N58" i="220" s="1"/>
  <c r="L57" i="220"/>
  <c r="Q63" i="220"/>
  <c r="T65" i="220" s="1"/>
  <c r="S61" i="220"/>
  <c r="M66" i="220"/>
  <c r="L65" i="220"/>
  <c r="L63" i="220"/>
  <c r="L66" i="220"/>
  <c r="M64" i="220"/>
  <c r="L64" i="220"/>
  <c r="T68" i="220"/>
  <c r="S69" i="220"/>
  <c r="T70" i="220"/>
  <c r="M72" i="220"/>
  <c r="T72" i="220" s="1"/>
  <c r="M73" i="220"/>
  <c r="T73" i="220" s="1"/>
  <c r="L72" i="220"/>
  <c r="M71" i="220"/>
  <c r="T71" i="220" s="1"/>
  <c r="M74" i="220"/>
  <c r="T74" i="220" s="1"/>
  <c r="L73" i="220"/>
  <c r="L71" i="220"/>
  <c r="N75" i="220"/>
  <c r="S75" i="220"/>
  <c r="U75" i="220" s="1"/>
  <c r="S76" i="220"/>
  <c r="U76" i="220" s="1"/>
  <c r="S81" i="220"/>
  <c r="N83" i="220"/>
  <c r="S83" i="220"/>
  <c r="U83" i="220" s="1"/>
  <c r="U98" i="220"/>
  <c r="N101" i="220"/>
  <c r="S101" i="220"/>
  <c r="U101" i="220" s="1"/>
  <c r="S67" i="220"/>
  <c r="M3" i="220"/>
  <c r="M5" i="220"/>
  <c r="M8" i="220"/>
  <c r="L11" i="220"/>
  <c r="L13" i="220"/>
  <c r="L15" i="220"/>
  <c r="L17" i="220"/>
  <c r="L19" i="220"/>
  <c r="L21" i="220"/>
  <c r="L23" i="220"/>
  <c r="L25" i="220"/>
  <c r="L27" i="220"/>
  <c r="L29" i="220"/>
  <c r="L31" i="220"/>
  <c r="L33" i="220"/>
  <c r="L35" i="220"/>
  <c r="L37" i="220"/>
  <c r="L39" i="220"/>
  <c r="L41" i="220"/>
  <c r="M43" i="220"/>
  <c r="L44" i="220"/>
  <c r="Q55" i="220"/>
  <c r="T55" i="220" s="1"/>
  <c r="L55" i="220"/>
  <c r="M57" i="220"/>
  <c r="N62" i="220"/>
  <c r="N61" i="220"/>
  <c r="M63" i="220"/>
  <c r="T69" i="220"/>
  <c r="N69" i="220"/>
  <c r="M59" i="220"/>
  <c r="T59" i="220" s="1"/>
  <c r="L60" i="220"/>
  <c r="M61" i="220"/>
  <c r="T61" i="220" s="1"/>
  <c r="L70" i="220"/>
  <c r="S87" i="220"/>
  <c r="U87" i="220" s="1"/>
  <c r="S88" i="220"/>
  <c r="U88" i="220" s="1"/>
  <c r="N88" i="220"/>
  <c r="S100" i="220"/>
  <c r="N100" i="220"/>
  <c r="U103" i="220"/>
  <c r="S111" i="220"/>
  <c r="U111" i="220" s="1"/>
  <c r="T112" i="220"/>
  <c r="U112" i="220" s="1"/>
  <c r="N112" i="220"/>
  <c r="T80" i="220"/>
  <c r="N82" i="220"/>
  <c r="T85" i="220"/>
  <c r="S90" i="220"/>
  <c r="U90" i="220" s="1"/>
  <c r="N90" i="220"/>
  <c r="U96" i="220"/>
  <c r="M116" i="220"/>
  <c r="T116" i="220" s="1"/>
  <c r="M115" i="220"/>
  <c r="T115" i="220" s="1"/>
  <c r="L118" i="220"/>
  <c r="M117" i="220"/>
  <c r="T117" i="220" s="1"/>
  <c r="L117" i="220"/>
  <c r="L116" i="220"/>
  <c r="L115" i="220"/>
  <c r="M67" i="220"/>
  <c r="L68" i="220"/>
  <c r="M78" i="220"/>
  <c r="T78" i="220" s="1"/>
  <c r="L77" i="220"/>
  <c r="M77" i="220"/>
  <c r="T77" i="220" s="1"/>
  <c r="L78" i="220"/>
  <c r="M81" i="220"/>
  <c r="T81" i="220" s="1"/>
  <c r="L80" i="220"/>
  <c r="M79" i="220"/>
  <c r="T79" i="220" s="1"/>
  <c r="M82" i="220"/>
  <c r="T82" i="220" s="1"/>
  <c r="U82" i="220" s="1"/>
  <c r="T86" i="220"/>
  <c r="S84" i="220"/>
  <c r="U84" i="220" s="1"/>
  <c r="N84" i="220"/>
  <c r="S107" i="220"/>
  <c r="U108" i="220"/>
  <c r="S114" i="220"/>
  <c r="U114" i="220" s="1"/>
  <c r="N114" i="220"/>
  <c r="M92" i="220"/>
  <c r="T92" i="220" s="1"/>
  <c r="M91" i="220"/>
  <c r="T91" i="220" s="1"/>
  <c r="M94" i="220"/>
  <c r="T94" i="220" s="1"/>
  <c r="T98" i="220"/>
  <c r="S102" i="220"/>
  <c r="U102" i="220" s="1"/>
  <c r="U106" i="220"/>
  <c r="N109" i="220"/>
  <c r="L86" i="220"/>
  <c r="L91" i="220"/>
  <c r="M100" i="220"/>
  <c r="T100" i="220" s="1"/>
  <c r="M99" i="220"/>
  <c r="M102" i="220"/>
  <c r="T102" i="220" s="1"/>
  <c r="N108" i="220"/>
  <c r="M109" i="220"/>
  <c r="T109" i="220" s="1"/>
  <c r="L85" i="220"/>
  <c r="L92" i="220"/>
  <c r="L93" i="220"/>
  <c r="N96" i="220"/>
  <c r="N102" i="220"/>
  <c r="M108" i="220"/>
  <c r="T108" i="220" s="1"/>
  <c r="M107" i="220"/>
  <c r="T107" i="220" s="1"/>
  <c r="S109" i="220"/>
  <c r="U109" i="220" s="1"/>
  <c r="M110" i="220"/>
  <c r="T110" i="220" s="1"/>
  <c r="U110" i="220" s="1"/>
  <c r="L122" i="220"/>
  <c r="L89" i="220"/>
  <c r="L97" i="220"/>
  <c r="L105" i="220"/>
  <c r="L113" i="220"/>
  <c r="L121" i="220"/>
  <c r="L86" i="219"/>
  <c r="L90" i="219"/>
  <c r="L83" i="219"/>
  <c r="S83" i="219" s="1"/>
  <c r="M101" i="219"/>
  <c r="T101" i="219" s="1"/>
  <c r="M111" i="219"/>
  <c r="T111" i="219" s="1"/>
  <c r="L114" i="219"/>
  <c r="S114" i="219" s="1"/>
  <c r="U114" i="219" s="1"/>
  <c r="M117" i="219"/>
  <c r="T117" i="219" s="1"/>
  <c r="M90" i="219"/>
  <c r="T90" i="219" s="1"/>
  <c r="L99" i="219"/>
  <c r="L115" i="219"/>
  <c r="N84" i="219"/>
  <c r="N114" i="219"/>
  <c r="M84" i="219"/>
  <c r="T84" i="219" s="1"/>
  <c r="L88" i="219"/>
  <c r="L92" i="219"/>
  <c r="S92" i="219" s="1"/>
  <c r="M99" i="219"/>
  <c r="T99" i="219" s="1"/>
  <c r="L105" i="219"/>
  <c r="S105" i="219" s="1"/>
  <c r="L113" i="219"/>
  <c r="M115" i="219"/>
  <c r="T115" i="219" s="1"/>
  <c r="L121" i="219"/>
  <c r="S121" i="219" s="1"/>
  <c r="U121" i="219" s="1"/>
  <c r="S84" i="219"/>
  <c r="U84" i="219" s="1"/>
  <c r="M88" i="219"/>
  <c r="T88" i="219" s="1"/>
  <c r="L101" i="219"/>
  <c r="N111" i="219"/>
  <c r="L117" i="219"/>
  <c r="S111" i="219"/>
  <c r="U111" i="219" s="1"/>
  <c r="L78" i="219"/>
  <c r="M75" i="219"/>
  <c r="L13" i="219"/>
  <c r="L12" i="219"/>
  <c r="N92" i="219"/>
  <c r="L96" i="219"/>
  <c r="S96" i="219" s="1"/>
  <c r="L98" i="219"/>
  <c r="S98" i="219" s="1"/>
  <c r="L107" i="219"/>
  <c r="S107" i="219" s="1"/>
  <c r="L109" i="219"/>
  <c r="S109" i="219" s="1"/>
  <c r="U109" i="219" s="1"/>
  <c r="M92" i="219"/>
  <c r="T92" i="219" s="1"/>
  <c r="M94" i="219"/>
  <c r="M96" i="219"/>
  <c r="T96" i="219" s="1"/>
  <c r="M98" i="219"/>
  <c r="T98" i="219" s="1"/>
  <c r="M103" i="219"/>
  <c r="T103" i="219" s="1"/>
  <c r="U103" i="219" s="1"/>
  <c r="M105" i="219"/>
  <c r="M107" i="219"/>
  <c r="T107" i="219" s="1"/>
  <c r="M109" i="219"/>
  <c r="T109" i="219" s="1"/>
  <c r="M119" i="219"/>
  <c r="M121" i="219"/>
  <c r="T121" i="219" s="1"/>
  <c r="Q35" i="219"/>
  <c r="T35" i="219" s="1"/>
  <c r="L87" i="219"/>
  <c r="L89" i="219"/>
  <c r="L91" i="219"/>
  <c r="S91" i="219" s="1"/>
  <c r="L93" i="219"/>
  <c r="L95" i="219"/>
  <c r="S95" i="219" s="1"/>
  <c r="L97" i="219"/>
  <c r="L100" i="219"/>
  <c r="S100" i="219" s="1"/>
  <c r="U100" i="219" s="1"/>
  <c r="L102" i="219"/>
  <c r="L104" i="219"/>
  <c r="L106" i="219"/>
  <c r="L108" i="219"/>
  <c r="S108" i="219" s="1"/>
  <c r="L110" i="219"/>
  <c r="L116" i="219"/>
  <c r="L118" i="219"/>
  <c r="L120" i="219"/>
  <c r="S120" i="219" s="1"/>
  <c r="L122" i="219"/>
  <c r="Q3" i="219"/>
  <c r="Q7" i="219"/>
  <c r="Q59" i="219"/>
  <c r="Q75" i="219"/>
  <c r="M83" i="219"/>
  <c r="M85" i="219"/>
  <c r="M87" i="219"/>
  <c r="T87" i="219" s="1"/>
  <c r="M91" i="219"/>
  <c r="T91" i="219" s="1"/>
  <c r="M95" i="219"/>
  <c r="T95" i="219" s="1"/>
  <c r="M100" i="219"/>
  <c r="T100" i="219" s="1"/>
  <c r="M104" i="219"/>
  <c r="T104" i="219" s="1"/>
  <c r="M108" i="219"/>
  <c r="T108" i="219" s="1"/>
  <c r="U108" i="219" s="1"/>
  <c r="M112" i="219"/>
  <c r="M116" i="219"/>
  <c r="T116" i="219" s="1"/>
  <c r="M120" i="219"/>
  <c r="T120" i="219" s="1"/>
  <c r="U120" i="219" s="1"/>
  <c r="B107" i="219"/>
  <c r="Q23" i="219"/>
  <c r="T24" i="219" s="1"/>
  <c r="M22" i="219"/>
  <c r="M36" i="219"/>
  <c r="T75" i="219"/>
  <c r="M81" i="219"/>
  <c r="N81" i="219" s="1"/>
  <c r="M3" i="219"/>
  <c r="L4" i="219"/>
  <c r="C13" i="219"/>
  <c r="L28" i="219"/>
  <c r="L30" i="219"/>
  <c r="Q43" i="219"/>
  <c r="L45" i="219"/>
  <c r="N45" i="219" s="1"/>
  <c r="Q63" i="219"/>
  <c r="L74" i="219"/>
  <c r="L5" i="219"/>
  <c r="L61" i="219"/>
  <c r="S8" i="219"/>
  <c r="M11" i="219"/>
  <c r="M19" i="219"/>
  <c r="M21" i="219"/>
  <c r="M27" i="219"/>
  <c r="M28" i="219"/>
  <c r="L35" i="219"/>
  <c r="N35" i="219" s="1"/>
  <c r="L36" i="219"/>
  <c r="N36" i="219" s="1"/>
  <c r="L38" i="219"/>
  <c r="L44" i="219"/>
  <c r="Q51" i="219"/>
  <c r="M58" i="219"/>
  <c r="Q71" i="219"/>
  <c r="T72" i="219" s="1"/>
  <c r="M72" i="219"/>
  <c r="M78" i="219"/>
  <c r="N78" i="219" s="1"/>
  <c r="Q11" i="219"/>
  <c r="S12" i="219" s="1"/>
  <c r="M43" i="219"/>
  <c r="M44" i="219"/>
  <c r="M46" i="219"/>
  <c r="M76" i="219"/>
  <c r="T76" i="219" s="1"/>
  <c r="M8" i="219"/>
  <c r="T8" i="219" s="1"/>
  <c r="U8" i="219" s="1"/>
  <c r="B17" i="219"/>
  <c r="B21" i="219" s="1"/>
  <c r="B25" i="219" s="1"/>
  <c r="B29" i="219" s="1"/>
  <c r="B33" i="219" s="1"/>
  <c r="B37" i="219" s="1"/>
  <c r="B41" i="219" s="1"/>
  <c r="B45" i="219" s="1"/>
  <c r="B49" i="219" s="1"/>
  <c r="B53" i="219" s="1"/>
  <c r="B57" i="219" s="1"/>
  <c r="B61" i="219" s="1"/>
  <c r="B65" i="219" s="1"/>
  <c r="B69" i="219" s="1"/>
  <c r="B73" i="219" s="1"/>
  <c r="B77" i="219" s="1"/>
  <c r="B81" i="219" s="1"/>
  <c r="B85" i="219" s="1"/>
  <c r="B89" i="219" s="1"/>
  <c r="B93" i="219" s="1"/>
  <c r="B97" i="219" s="1"/>
  <c r="B101" i="219" s="1"/>
  <c r="B105" i="219" s="1"/>
  <c r="B109" i="219" s="1"/>
  <c r="B113" i="219" s="1"/>
  <c r="B117" i="219" s="1"/>
  <c r="B121" i="219" s="1"/>
  <c r="M74" i="219"/>
  <c r="T59" i="219"/>
  <c r="L7" i="219"/>
  <c r="S7" i="219" s="1"/>
  <c r="L9" i="219"/>
  <c r="T6" i="219"/>
  <c r="M7" i="219"/>
  <c r="T7" i="219" s="1"/>
  <c r="M9" i="219"/>
  <c r="T9" i="219" s="1"/>
  <c r="L10" i="219"/>
  <c r="S10" i="219" s="1"/>
  <c r="C12" i="219"/>
  <c r="M12" i="219"/>
  <c r="N12" i="219" s="1"/>
  <c r="M13" i="219"/>
  <c r="L14" i="219"/>
  <c r="M30" i="219"/>
  <c r="M38" i="219"/>
  <c r="L55" i="219"/>
  <c r="L56" i="219"/>
  <c r="M60" i="219"/>
  <c r="T60" i="219" s="1"/>
  <c r="M62" i="219"/>
  <c r="T62" i="219" s="1"/>
  <c r="Q67" i="219"/>
  <c r="L71" i="219"/>
  <c r="L73" i="219"/>
  <c r="N73" i="219" s="1"/>
  <c r="L77" i="219"/>
  <c r="C11" i="219"/>
  <c r="L3" i="219"/>
  <c r="L6" i="219"/>
  <c r="S6" i="219" s="1"/>
  <c r="U6" i="219" s="1"/>
  <c r="M10" i="219"/>
  <c r="T10" i="219" s="1"/>
  <c r="M14" i="219"/>
  <c r="Q19" i="219"/>
  <c r="L19" i="219"/>
  <c r="L20" i="219"/>
  <c r="L22" i="219"/>
  <c r="Q27" i="219"/>
  <c r="L27" i="219"/>
  <c r="M29" i="219"/>
  <c r="M37" i="219"/>
  <c r="L43" i="219"/>
  <c r="L46" i="219"/>
  <c r="Q55" i="219"/>
  <c r="M55" i="219"/>
  <c r="M56" i="219"/>
  <c r="L58" i="219"/>
  <c r="N58" i="219" s="1"/>
  <c r="M59" i="219"/>
  <c r="M71" i="219"/>
  <c r="L72" i="219"/>
  <c r="N72" i="219" s="1"/>
  <c r="U7" i="219"/>
  <c r="T16" i="219"/>
  <c r="C16" i="219"/>
  <c r="A20" i="219"/>
  <c r="S9" i="219"/>
  <c r="C14" i="219"/>
  <c r="A18" i="219"/>
  <c r="L17" i="219"/>
  <c r="M18" i="219"/>
  <c r="T18" i="219" s="1"/>
  <c r="M17" i="219"/>
  <c r="T17" i="219" s="1"/>
  <c r="L16" i="219"/>
  <c r="M15" i="219"/>
  <c r="T15" i="219" s="1"/>
  <c r="L18" i="219"/>
  <c r="L15" i="219"/>
  <c r="L25" i="219"/>
  <c r="M26" i="219"/>
  <c r="M25" i="219"/>
  <c r="L24" i="219"/>
  <c r="M23" i="219"/>
  <c r="L26" i="219"/>
  <c r="L23" i="219"/>
  <c r="N29" i="219"/>
  <c r="S36" i="219"/>
  <c r="Q39" i="219"/>
  <c r="T40" i="219" s="1"/>
  <c r="L69" i="219"/>
  <c r="M70" i="219"/>
  <c r="M68" i="219"/>
  <c r="M67" i="219"/>
  <c r="T67" i="219" s="1"/>
  <c r="L68" i="219"/>
  <c r="L70" i="219"/>
  <c r="M69" i="219"/>
  <c r="L67" i="219"/>
  <c r="L41" i="219"/>
  <c r="M42" i="219"/>
  <c r="M41" i="219"/>
  <c r="L40" i="219"/>
  <c r="M39" i="219"/>
  <c r="L42" i="219"/>
  <c r="L39" i="219"/>
  <c r="A25" i="219"/>
  <c r="C21" i="219"/>
  <c r="S20" i="219"/>
  <c r="N22" i="219"/>
  <c r="Q31" i="219"/>
  <c r="T32" i="219" s="1"/>
  <c r="A19" i="219"/>
  <c r="D15" i="219"/>
  <c r="C15" i="219"/>
  <c r="L33" i="219"/>
  <c r="M34" i="219"/>
  <c r="M33" i="219"/>
  <c r="L32" i="219"/>
  <c r="M31" i="219"/>
  <c r="L34" i="219"/>
  <c r="L31" i="219"/>
  <c r="M20" i="219"/>
  <c r="T20" i="219" s="1"/>
  <c r="N21" i="219"/>
  <c r="L53" i="219"/>
  <c r="M54" i="219"/>
  <c r="M52" i="219"/>
  <c r="M51" i="219"/>
  <c r="M53" i="219"/>
  <c r="T53" i="219" s="1"/>
  <c r="L51" i="219"/>
  <c r="S62" i="219"/>
  <c r="M66" i="219"/>
  <c r="M64" i="219"/>
  <c r="M63" i="219"/>
  <c r="L66" i="219"/>
  <c r="L64" i="219"/>
  <c r="L63" i="219"/>
  <c r="M65" i="219"/>
  <c r="L65" i="219"/>
  <c r="L11" i="219"/>
  <c r="T46" i="219"/>
  <c r="L52" i="219"/>
  <c r="L54" i="219"/>
  <c r="M82" i="219"/>
  <c r="T82" i="219" s="1"/>
  <c r="M80" i="219"/>
  <c r="M79" i="219"/>
  <c r="L82" i="219"/>
  <c r="L80" i="219"/>
  <c r="L79" i="219"/>
  <c r="M4" i="219"/>
  <c r="M5" i="219"/>
  <c r="T5" i="219" s="1"/>
  <c r="Q47" i="219"/>
  <c r="T49" i="219" s="1"/>
  <c r="M50" i="219"/>
  <c r="M48" i="219"/>
  <c r="M47" i="219"/>
  <c r="L50" i="219"/>
  <c r="L48" i="219"/>
  <c r="L47" i="219"/>
  <c r="L49" i="219"/>
  <c r="S56" i="219"/>
  <c r="N56" i="219"/>
  <c r="L57" i="219"/>
  <c r="M61" i="219"/>
  <c r="T61" i="219" s="1"/>
  <c r="M77" i="219"/>
  <c r="L59" i="219"/>
  <c r="L60" i="219"/>
  <c r="L75" i="219"/>
  <c r="L76" i="219"/>
  <c r="T69" i="218"/>
  <c r="S68" i="218"/>
  <c r="U62" i="218"/>
  <c r="S69" i="218"/>
  <c r="T67" i="218"/>
  <c r="S54" i="218"/>
  <c r="U54" i="218" s="1"/>
  <c r="T52" i="218"/>
  <c r="T53" i="218"/>
  <c r="S45" i="218"/>
  <c r="S46" i="218"/>
  <c r="T44" i="218"/>
  <c r="T46" i="218"/>
  <c r="S43" i="218"/>
  <c r="U43" i="218" s="1"/>
  <c r="S44" i="218"/>
  <c r="T45" i="218"/>
  <c r="S9" i="218"/>
  <c r="U9" i="218" s="1"/>
  <c r="N9" i="218"/>
  <c r="T6" i="218"/>
  <c r="U6" i="218" s="1"/>
  <c r="N6" i="218"/>
  <c r="S3" i="218"/>
  <c r="U3" i="218" s="1"/>
  <c r="S7" i="218"/>
  <c r="D15" i="218"/>
  <c r="C15" i="218"/>
  <c r="A19" i="218"/>
  <c r="N13" i="218"/>
  <c r="A21" i="218"/>
  <c r="C34" i="218"/>
  <c r="C38" i="218"/>
  <c r="M4" i="218"/>
  <c r="M5" i="218"/>
  <c r="L8" i="218"/>
  <c r="M12" i="218"/>
  <c r="T12" i="218" s="1"/>
  <c r="C13" i="218"/>
  <c r="T18" i="218"/>
  <c r="C16" i="218"/>
  <c r="T22" i="218"/>
  <c r="C20" i="218"/>
  <c r="T26" i="218"/>
  <c r="C24" i="218"/>
  <c r="T30" i="218"/>
  <c r="C28" i="218"/>
  <c r="T34" i="218"/>
  <c r="C32" i="218"/>
  <c r="T38" i="218"/>
  <c r="C36" i="218"/>
  <c r="M8" i="218"/>
  <c r="T8" i="218" s="1"/>
  <c r="M14" i="218"/>
  <c r="T14" i="218" s="1"/>
  <c r="L14" i="218"/>
  <c r="L12" i="218"/>
  <c r="L11" i="218"/>
  <c r="S13" i="218"/>
  <c r="U13" i="218" s="1"/>
  <c r="S17" i="218"/>
  <c r="S21" i="218"/>
  <c r="U21" i="218" s="1"/>
  <c r="S25" i="218"/>
  <c r="S33" i="218"/>
  <c r="M17" i="218"/>
  <c r="T17" i="218" s="1"/>
  <c r="M21" i="218"/>
  <c r="T21" i="218" s="1"/>
  <c r="M25" i="218"/>
  <c r="T25" i="218" s="1"/>
  <c r="M29" i="218"/>
  <c r="T29" i="218" s="1"/>
  <c r="M33" i="218"/>
  <c r="T33" i="218" s="1"/>
  <c r="M37" i="218"/>
  <c r="T37" i="218" s="1"/>
  <c r="M41" i="218"/>
  <c r="T41" i="218" s="1"/>
  <c r="L15" i="218"/>
  <c r="L16" i="218"/>
  <c r="L18" i="218"/>
  <c r="L19" i="218"/>
  <c r="L20" i="218"/>
  <c r="L22" i="218"/>
  <c r="L23" i="218"/>
  <c r="L24" i="218"/>
  <c r="L26" i="218"/>
  <c r="L27" i="218"/>
  <c r="L28" i="218"/>
  <c r="L30" i="218"/>
  <c r="L31" i="218"/>
  <c r="L32" i="218"/>
  <c r="L34" i="218"/>
  <c r="L35" i="218"/>
  <c r="L36" i="218"/>
  <c r="L38" i="218"/>
  <c r="L39" i="218"/>
  <c r="S39" i="218" s="1"/>
  <c r="L40" i="218"/>
  <c r="S40" i="218" s="1"/>
  <c r="M15" i="218"/>
  <c r="T15" i="218" s="1"/>
  <c r="M16" i="218"/>
  <c r="T16" i="218" s="1"/>
  <c r="M19" i="218"/>
  <c r="T19" i="218" s="1"/>
  <c r="M20" i="218"/>
  <c r="T20" i="218" s="1"/>
  <c r="M23" i="218"/>
  <c r="T23" i="218" s="1"/>
  <c r="M24" i="218"/>
  <c r="T24" i="218" s="1"/>
  <c r="M27" i="218"/>
  <c r="T27" i="218" s="1"/>
  <c r="M28" i="218"/>
  <c r="T28" i="218" s="1"/>
  <c r="M31" i="218"/>
  <c r="T31" i="218" s="1"/>
  <c r="M32" i="218"/>
  <c r="T32" i="218" s="1"/>
  <c r="M35" i="218"/>
  <c r="T35" i="218" s="1"/>
  <c r="M36" i="218"/>
  <c r="T36" i="218" s="1"/>
  <c r="M39" i="218"/>
  <c r="T39" i="218" s="1"/>
  <c r="U39" i="218" s="1"/>
  <c r="M40" i="218"/>
  <c r="T40" i="218" s="1"/>
  <c r="H10" i="217"/>
  <c r="E10" i="217"/>
  <c r="F10" i="217"/>
  <c r="G10" i="217"/>
  <c r="G11" i="217" s="1"/>
  <c r="C19" i="217"/>
  <c r="D19" i="217"/>
  <c r="C10" i="217"/>
  <c r="D10" i="217"/>
  <c r="G21" i="217"/>
  <c r="B19" i="217"/>
  <c r="B21" i="217" s="1"/>
  <c r="B10" i="217"/>
  <c r="B12" i="217" s="1"/>
  <c r="C193" i="8"/>
  <c r="B193" i="8"/>
  <c r="U81" i="220" l="1"/>
  <c r="U69" i="220"/>
  <c r="U61" i="220"/>
  <c r="T47" i="220"/>
  <c r="S58" i="218"/>
  <c r="U58" i="218" s="1"/>
  <c r="T49" i="220"/>
  <c r="S55" i="218"/>
  <c r="U55" i="218" s="1"/>
  <c r="S61" i="219"/>
  <c r="U50" i="220"/>
  <c r="U52" i="218"/>
  <c r="A143" i="285"/>
  <c r="C139" i="285"/>
  <c r="V139" i="285" s="1"/>
  <c r="A145" i="285"/>
  <c r="C141" i="285"/>
  <c r="V141" i="285" s="1"/>
  <c r="A146" i="285"/>
  <c r="C142" i="285"/>
  <c r="V142" i="285" s="1"/>
  <c r="N77" i="218"/>
  <c r="S77" i="218"/>
  <c r="U77" i="218" s="1"/>
  <c r="B72" i="218"/>
  <c r="N60" i="218"/>
  <c r="S60" i="218"/>
  <c r="U60" i="218" s="1"/>
  <c r="N56" i="218"/>
  <c r="S56" i="218"/>
  <c r="U56" i="218" s="1"/>
  <c r="N49" i="218"/>
  <c r="S49" i="218"/>
  <c r="U49" i="218" s="1"/>
  <c r="N82" i="218"/>
  <c r="S82" i="218"/>
  <c r="U82" i="218" s="1"/>
  <c r="U40" i="218"/>
  <c r="U7" i="218"/>
  <c r="N63" i="218"/>
  <c r="N47" i="218"/>
  <c r="S47" i="218"/>
  <c r="U47" i="218" s="1"/>
  <c r="N80" i="218"/>
  <c r="T80" i="218"/>
  <c r="U80" i="218" s="1"/>
  <c r="N68" i="218"/>
  <c r="N48" i="218"/>
  <c r="T48" i="218"/>
  <c r="U48" i="218" s="1"/>
  <c r="N72" i="218"/>
  <c r="N51" i="218"/>
  <c r="S51" i="218"/>
  <c r="U51" i="218" s="1"/>
  <c r="N79" i="218"/>
  <c r="S79" i="218"/>
  <c r="U79" i="218" s="1"/>
  <c r="S61" i="218"/>
  <c r="U61" i="218" s="1"/>
  <c r="N61" i="218"/>
  <c r="U44" i="218"/>
  <c r="U69" i="218"/>
  <c r="N70" i="218"/>
  <c r="N75" i="218"/>
  <c r="S75" i="218"/>
  <c r="U75" i="218" s="1"/>
  <c r="N59" i="218"/>
  <c r="S59" i="218"/>
  <c r="U59" i="218" s="1"/>
  <c r="N50" i="218"/>
  <c r="S50" i="218"/>
  <c r="U50" i="218" s="1"/>
  <c r="B53" i="218"/>
  <c r="N10" i="218"/>
  <c r="U68" i="218"/>
  <c r="U41" i="218"/>
  <c r="U74" i="218"/>
  <c r="N67" i="218"/>
  <c r="S67" i="218"/>
  <c r="U67" i="218" s="1"/>
  <c r="S53" i="218"/>
  <c r="U53" i="218" s="1"/>
  <c r="N53" i="218"/>
  <c r="N81" i="218"/>
  <c r="S81" i="218"/>
  <c r="U81" i="218" s="1"/>
  <c r="N52" i="218"/>
  <c r="C48" i="218"/>
  <c r="A52" i="218"/>
  <c r="U72" i="218"/>
  <c r="N62" i="218"/>
  <c r="A54" i="218"/>
  <c r="C50" i="218"/>
  <c r="C145" i="220"/>
  <c r="B149" i="220"/>
  <c r="U79" i="220"/>
  <c r="S85" i="220"/>
  <c r="U85" i="220" s="1"/>
  <c r="N85" i="220"/>
  <c r="T67" i="220"/>
  <c r="N67" i="220"/>
  <c r="N110" i="220"/>
  <c r="N31" i="220"/>
  <c r="S31" i="220"/>
  <c r="U31" i="220" s="1"/>
  <c r="N15" i="220"/>
  <c r="S15" i="220"/>
  <c r="U15" i="220" s="1"/>
  <c r="N71" i="220"/>
  <c r="S71" i="220"/>
  <c r="U71" i="220" s="1"/>
  <c r="S72" i="220"/>
  <c r="U72" i="220" s="1"/>
  <c r="N72" i="220"/>
  <c r="S66" i="220"/>
  <c r="N66" i="220"/>
  <c r="N24" i="220"/>
  <c r="N59" i="220"/>
  <c r="N47" i="220"/>
  <c r="S47" i="220"/>
  <c r="U47" i="220" s="1"/>
  <c r="S48" i="220"/>
  <c r="U48" i="220" s="1"/>
  <c r="N48" i="220"/>
  <c r="S118" i="220"/>
  <c r="U118" i="220" s="1"/>
  <c r="N118" i="220"/>
  <c r="N70" i="220"/>
  <c r="S70" i="220"/>
  <c r="U70" i="220" s="1"/>
  <c r="S44" i="220"/>
  <c r="U44" i="220" s="1"/>
  <c r="N44" i="220"/>
  <c r="S21" i="220"/>
  <c r="U21" i="220" s="1"/>
  <c r="N21" i="220"/>
  <c r="N73" i="220"/>
  <c r="S73" i="220"/>
  <c r="U73" i="220" s="1"/>
  <c r="U94" i="220"/>
  <c r="N12" i="220"/>
  <c r="U59" i="220"/>
  <c r="U20" i="220"/>
  <c r="U54" i="220"/>
  <c r="S121" i="220"/>
  <c r="U121" i="220" s="1"/>
  <c r="N121" i="220"/>
  <c r="S89" i="220"/>
  <c r="U89" i="220" s="1"/>
  <c r="N89" i="220"/>
  <c r="N93" i="220"/>
  <c r="S93" i="220"/>
  <c r="U93" i="220" s="1"/>
  <c r="N91" i="220"/>
  <c r="S91" i="220"/>
  <c r="U91" i="220" s="1"/>
  <c r="N107" i="220"/>
  <c r="N116" i="220"/>
  <c r="S116" i="220"/>
  <c r="U116" i="220" s="1"/>
  <c r="T57" i="220"/>
  <c r="T43" i="220"/>
  <c r="N43" i="220"/>
  <c r="N35" i="220"/>
  <c r="S35" i="220"/>
  <c r="U35" i="220" s="1"/>
  <c r="N27" i="220"/>
  <c r="S27" i="220"/>
  <c r="U27" i="220" s="1"/>
  <c r="N19" i="220"/>
  <c r="S19" i="220"/>
  <c r="U19" i="220" s="1"/>
  <c r="N11" i="220"/>
  <c r="S11" i="220"/>
  <c r="U11" i="220" s="1"/>
  <c r="U67" i="220"/>
  <c r="S64" i="220"/>
  <c r="N64" i="220"/>
  <c r="S65" i="220"/>
  <c r="U65" i="220" s="1"/>
  <c r="N65" i="220"/>
  <c r="N57" i="220"/>
  <c r="S57" i="220"/>
  <c r="U57" i="220" s="1"/>
  <c r="S38" i="220"/>
  <c r="U38" i="220" s="1"/>
  <c r="N38" i="220"/>
  <c r="S22" i="220"/>
  <c r="U22" i="220" s="1"/>
  <c r="N22" i="220"/>
  <c r="N81" i="220"/>
  <c r="S56" i="220"/>
  <c r="U56" i="220" s="1"/>
  <c r="N56" i="220"/>
  <c r="N4" i="220"/>
  <c r="S4" i="220"/>
  <c r="U4" i="220" s="1"/>
  <c r="N40" i="220"/>
  <c r="U16" i="220"/>
  <c r="C19" i="220"/>
  <c r="V19" i="220" s="1"/>
  <c r="A23" i="220"/>
  <c r="D19" i="220"/>
  <c r="A54" i="220"/>
  <c r="C50" i="220"/>
  <c r="V50" i="220" s="1"/>
  <c r="U12" i="220"/>
  <c r="A25" i="220"/>
  <c r="C21" i="220"/>
  <c r="V21" i="220" s="1"/>
  <c r="N36" i="220"/>
  <c r="U53" i="220"/>
  <c r="N50" i="220"/>
  <c r="S105" i="220"/>
  <c r="U105" i="220" s="1"/>
  <c r="N105" i="220"/>
  <c r="T99" i="220"/>
  <c r="U99" i="220" s="1"/>
  <c r="N99" i="220"/>
  <c r="N39" i="220"/>
  <c r="S39" i="220"/>
  <c r="U39" i="220" s="1"/>
  <c r="N23" i="220"/>
  <c r="S23" i="220"/>
  <c r="U23" i="220" s="1"/>
  <c r="T5" i="220"/>
  <c r="U5" i="220" s="1"/>
  <c r="N5" i="220"/>
  <c r="T56" i="220"/>
  <c r="S30" i="220"/>
  <c r="U30" i="220" s="1"/>
  <c r="N30" i="220"/>
  <c r="N94" i="220"/>
  <c r="U43" i="220"/>
  <c r="N97" i="220"/>
  <c r="S97" i="220"/>
  <c r="U97" i="220" s="1"/>
  <c r="N80" i="220"/>
  <c r="S80" i="220"/>
  <c r="U80" i="220" s="1"/>
  <c r="S77" i="220"/>
  <c r="U77" i="220" s="1"/>
  <c r="N77" i="220"/>
  <c r="N115" i="220"/>
  <c r="S115" i="220"/>
  <c r="U115" i="220" s="1"/>
  <c r="U100" i="220"/>
  <c r="S37" i="220"/>
  <c r="U37" i="220" s="1"/>
  <c r="N37" i="220"/>
  <c r="S29" i="220"/>
  <c r="U29" i="220" s="1"/>
  <c r="N29" i="220"/>
  <c r="S13" i="220"/>
  <c r="U13" i="220" s="1"/>
  <c r="N13" i="220"/>
  <c r="N3" i="220"/>
  <c r="T3" i="220"/>
  <c r="U3" i="220" s="1"/>
  <c r="N63" i="220"/>
  <c r="S63" i="220"/>
  <c r="S42" i="220"/>
  <c r="U42" i="220" s="1"/>
  <c r="N42" i="220"/>
  <c r="S26" i="220"/>
  <c r="U26" i="220" s="1"/>
  <c r="N26" i="220"/>
  <c r="S14" i="220"/>
  <c r="U14" i="220" s="1"/>
  <c r="N14" i="220"/>
  <c r="U24" i="220"/>
  <c r="N49" i="220"/>
  <c r="S49" i="220"/>
  <c r="U49" i="220" s="1"/>
  <c r="S113" i="220"/>
  <c r="U113" i="220" s="1"/>
  <c r="N113" i="220"/>
  <c r="S122" i="220"/>
  <c r="U122" i="220" s="1"/>
  <c r="S92" i="220"/>
  <c r="U92" i="220" s="1"/>
  <c r="N92" i="220"/>
  <c r="S86" i="220"/>
  <c r="U86" i="220" s="1"/>
  <c r="N86" i="220"/>
  <c r="U107" i="220"/>
  <c r="S78" i="220"/>
  <c r="U78" i="220" s="1"/>
  <c r="N78" i="220"/>
  <c r="S68" i="220"/>
  <c r="U68" i="220" s="1"/>
  <c r="N68" i="220"/>
  <c r="N117" i="220"/>
  <c r="S117" i="220"/>
  <c r="U117" i="220" s="1"/>
  <c r="N60" i="220"/>
  <c r="S60" i="220"/>
  <c r="U60" i="220" s="1"/>
  <c r="T63" i="220"/>
  <c r="S55" i="220"/>
  <c r="U55" i="220" s="1"/>
  <c r="N55" i="220"/>
  <c r="S41" i="220"/>
  <c r="U41" i="220" s="1"/>
  <c r="N41" i="220"/>
  <c r="S33" i="220"/>
  <c r="U33" i="220" s="1"/>
  <c r="N33" i="220"/>
  <c r="S25" i="220"/>
  <c r="U25" i="220" s="1"/>
  <c r="N25" i="220"/>
  <c r="S17" i="220"/>
  <c r="U17" i="220" s="1"/>
  <c r="N17" i="220"/>
  <c r="T8" i="220"/>
  <c r="U8" i="220" s="1"/>
  <c r="N8" i="220"/>
  <c r="T64" i="220"/>
  <c r="T66" i="220"/>
  <c r="T58" i="220"/>
  <c r="S34" i="220"/>
  <c r="U34" i="220" s="1"/>
  <c r="N34" i="220"/>
  <c r="S18" i="220"/>
  <c r="U18" i="220" s="1"/>
  <c r="N18" i="220"/>
  <c r="N46" i="220"/>
  <c r="S46" i="220"/>
  <c r="U46" i="220" s="1"/>
  <c r="N79" i="220"/>
  <c r="U40" i="220"/>
  <c r="N32" i="220"/>
  <c r="C15" i="220"/>
  <c r="V15" i="220" s="1"/>
  <c r="N9" i="220"/>
  <c r="S58" i="220"/>
  <c r="U58" i="220" s="1"/>
  <c r="U36" i="220"/>
  <c r="N28" i="220"/>
  <c r="C16" i="220"/>
  <c r="V16" i="220" s="1"/>
  <c r="A20" i="220"/>
  <c r="N122" i="219"/>
  <c r="N128" i="219" s="1"/>
  <c r="N129" i="219" s="1"/>
  <c r="M140" i="219" s="1"/>
  <c r="S122" i="219"/>
  <c r="U122" i="219" s="1"/>
  <c r="N110" i="219"/>
  <c r="S110" i="219"/>
  <c r="U110" i="219" s="1"/>
  <c r="N93" i="219"/>
  <c r="S93" i="219"/>
  <c r="U93" i="219" s="1"/>
  <c r="U96" i="219"/>
  <c r="T21" i="219"/>
  <c r="S14" i="219"/>
  <c r="T36" i="219"/>
  <c r="U91" i="219"/>
  <c r="N105" i="219"/>
  <c r="T105" i="219"/>
  <c r="N94" i="219"/>
  <c r="T94" i="219"/>
  <c r="U94" i="219" s="1"/>
  <c r="U107" i="219"/>
  <c r="S78" i="219"/>
  <c r="N101" i="219"/>
  <c r="S101" i="219"/>
  <c r="U101" i="219" s="1"/>
  <c r="U92" i="219"/>
  <c r="N102" i="219"/>
  <c r="S102" i="219"/>
  <c r="U102" i="219" s="1"/>
  <c r="S37" i="219"/>
  <c r="U37" i="219" s="1"/>
  <c r="S13" i="219"/>
  <c r="T37" i="219"/>
  <c r="T14" i="219"/>
  <c r="T44" i="219"/>
  <c r="N85" i="219"/>
  <c r="T85" i="219"/>
  <c r="U85" i="219" s="1"/>
  <c r="N118" i="219"/>
  <c r="S118" i="219"/>
  <c r="U118" i="219" s="1"/>
  <c r="N106" i="219"/>
  <c r="S106" i="219"/>
  <c r="U106" i="219" s="1"/>
  <c r="N97" i="219"/>
  <c r="S97" i="219"/>
  <c r="U97" i="219" s="1"/>
  <c r="N89" i="219"/>
  <c r="S89" i="219"/>
  <c r="U89" i="219" s="1"/>
  <c r="N119" i="219"/>
  <c r="T119" i="219"/>
  <c r="U119" i="219" s="1"/>
  <c r="N103" i="219"/>
  <c r="N113" i="219"/>
  <c r="S113" i="219"/>
  <c r="U113" i="219" s="1"/>
  <c r="N88" i="219"/>
  <c r="S88" i="219"/>
  <c r="U88" i="219" s="1"/>
  <c r="N115" i="219"/>
  <c r="S115" i="219"/>
  <c r="U115" i="219" s="1"/>
  <c r="N90" i="219"/>
  <c r="S90" i="219"/>
  <c r="U90" i="219" s="1"/>
  <c r="T77" i="219"/>
  <c r="T58" i="219"/>
  <c r="S77" i="219"/>
  <c r="S38" i="219"/>
  <c r="N112" i="219"/>
  <c r="T112" i="219"/>
  <c r="U112" i="219" s="1"/>
  <c r="N83" i="219"/>
  <c r="T83" i="219"/>
  <c r="U83" i="219" s="1"/>
  <c r="N116" i="219"/>
  <c r="S116" i="219"/>
  <c r="U116" i="219" s="1"/>
  <c r="N104" i="219"/>
  <c r="S104" i="219"/>
  <c r="U104" i="219" s="1"/>
  <c r="U95" i="219"/>
  <c r="N87" i="219"/>
  <c r="S87" i="219"/>
  <c r="U87" i="219" s="1"/>
  <c r="N121" i="219"/>
  <c r="U98" i="219"/>
  <c r="N117" i="219"/>
  <c r="S117" i="219"/>
  <c r="U117" i="219" s="1"/>
  <c r="U105" i="219"/>
  <c r="N99" i="219"/>
  <c r="S99" i="219"/>
  <c r="U99" i="219" s="1"/>
  <c r="N86" i="219"/>
  <c r="S86" i="219"/>
  <c r="U86" i="219" s="1"/>
  <c r="N95" i="219"/>
  <c r="S72" i="219"/>
  <c r="U72" i="219" s="1"/>
  <c r="T66" i="219"/>
  <c r="T25" i="219"/>
  <c r="T30" i="219"/>
  <c r="S71" i="219"/>
  <c r="N109" i="219"/>
  <c r="N98" i="219"/>
  <c r="T57" i="219"/>
  <c r="T73" i="219"/>
  <c r="T55" i="219"/>
  <c r="T13" i="219"/>
  <c r="U13" i="219" s="1"/>
  <c r="S5" i="219"/>
  <c r="S4" i="219"/>
  <c r="N120" i="219"/>
  <c r="N108" i="219"/>
  <c r="N100" i="219"/>
  <c r="N91" i="219"/>
  <c r="N107" i="219"/>
  <c r="N96" i="219"/>
  <c r="T3" i="219"/>
  <c r="T65" i="219"/>
  <c r="T63" i="219"/>
  <c r="T74" i="219"/>
  <c r="U36" i="219"/>
  <c r="T26" i="219"/>
  <c r="N6" i="219"/>
  <c r="T71" i="219"/>
  <c r="S22" i="219"/>
  <c r="N55" i="219"/>
  <c r="N9" i="219"/>
  <c r="T81" i="219"/>
  <c r="T64" i="219"/>
  <c r="T23" i="219"/>
  <c r="N38" i="219"/>
  <c r="S45" i="219"/>
  <c r="B111" i="219"/>
  <c r="T50" i="219"/>
  <c r="S27" i="219"/>
  <c r="S73" i="219"/>
  <c r="N28" i="219"/>
  <c r="T11" i="219"/>
  <c r="S74" i="219"/>
  <c r="U74" i="219" s="1"/>
  <c r="N30" i="219"/>
  <c r="S46" i="219"/>
  <c r="U46" i="219" s="1"/>
  <c r="N13" i="219"/>
  <c r="N37" i="219"/>
  <c r="T39" i="219"/>
  <c r="T69" i="219"/>
  <c r="T68" i="219"/>
  <c r="N44" i="219"/>
  <c r="S55" i="219"/>
  <c r="U55" i="219" s="1"/>
  <c r="T52" i="219"/>
  <c r="S44" i="219"/>
  <c r="U44" i="219" s="1"/>
  <c r="T12" i="219"/>
  <c r="U12" i="219" s="1"/>
  <c r="U10" i="219"/>
  <c r="T70" i="219"/>
  <c r="N74" i="219"/>
  <c r="N46" i="219"/>
  <c r="N19" i="219"/>
  <c r="T43" i="219"/>
  <c r="T78" i="219"/>
  <c r="U78" i="219" s="1"/>
  <c r="T51" i="219"/>
  <c r="C17" i="219"/>
  <c r="S58" i="219"/>
  <c r="T54" i="219"/>
  <c r="S35" i="219"/>
  <c r="U35" i="219" s="1"/>
  <c r="T31" i="219"/>
  <c r="N14" i="219"/>
  <c r="N10" i="219"/>
  <c r="T56" i="219"/>
  <c r="U56" i="219" s="1"/>
  <c r="S43" i="219"/>
  <c r="T28" i="219"/>
  <c r="T45" i="219"/>
  <c r="N8" i="219"/>
  <c r="U9" i="219"/>
  <c r="S19" i="219"/>
  <c r="S3" i="219"/>
  <c r="U3" i="219" s="1"/>
  <c r="N3" i="219"/>
  <c r="T27" i="219"/>
  <c r="U27" i="219" s="1"/>
  <c r="T79" i="219"/>
  <c r="U62" i="219"/>
  <c r="T80" i="219"/>
  <c r="N27" i="219"/>
  <c r="S28" i="219"/>
  <c r="T29" i="219"/>
  <c r="T22" i="219"/>
  <c r="T38" i="219"/>
  <c r="N5" i="219"/>
  <c r="N71" i="219"/>
  <c r="S29" i="219"/>
  <c r="T19" i="219"/>
  <c r="N62" i="219"/>
  <c r="T34" i="219"/>
  <c r="S81" i="219"/>
  <c r="N20" i="219"/>
  <c r="T42" i="219"/>
  <c r="N43" i="219"/>
  <c r="S30" i="219"/>
  <c r="U30" i="219" s="1"/>
  <c r="S21" i="219"/>
  <c r="N7" i="219"/>
  <c r="U5" i="219"/>
  <c r="S79" i="219"/>
  <c r="N79" i="219"/>
  <c r="S65" i="219"/>
  <c r="N65" i="219"/>
  <c r="U38" i="219"/>
  <c r="S33" i="219"/>
  <c r="N33" i="219"/>
  <c r="N26" i="219"/>
  <c r="S26" i="219"/>
  <c r="S60" i="219"/>
  <c r="U60" i="219" s="1"/>
  <c r="N60" i="219"/>
  <c r="S49" i="219"/>
  <c r="U49" i="219" s="1"/>
  <c r="N49" i="219"/>
  <c r="N32" i="219"/>
  <c r="S32" i="219"/>
  <c r="U32" i="219" s="1"/>
  <c r="S76" i="219"/>
  <c r="U76" i="219" s="1"/>
  <c r="N76" i="219"/>
  <c r="S48" i="219"/>
  <c r="N48" i="219"/>
  <c r="N77" i="219"/>
  <c r="N54" i="219"/>
  <c r="S54" i="219"/>
  <c r="N64" i="219"/>
  <c r="S64" i="219"/>
  <c r="N34" i="219"/>
  <c r="S34" i="219"/>
  <c r="A29" i="219"/>
  <c r="C25" i="219"/>
  <c r="N42" i="219"/>
  <c r="S42" i="219"/>
  <c r="N67" i="219"/>
  <c r="S67" i="219"/>
  <c r="U67" i="219" s="1"/>
  <c r="N23" i="219"/>
  <c r="S23" i="219"/>
  <c r="N16" i="219"/>
  <c r="S16" i="219"/>
  <c r="U16" i="219" s="1"/>
  <c r="S75" i="219"/>
  <c r="U75" i="219" s="1"/>
  <c r="N75" i="219"/>
  <c r="U61" i="219"/>
  <c r="S50" i="219"/>
  <c r="U50" i="219" s="1"/>
  <c r="N50" i="219"/>
  <c r="N61" i="219"/>
  <c r="N52" i="219"/>
  <c r="S52" i="219"/>
  <c r="U52" i="219" s="1"/>
  <c r="N66" i="219"/>
  <c r="S66" i="219"/>
  <c r="U66" i="219" s="1"/>
  <c r="U14" i="219"/>
  <c r="N41" i="219"/>
  <c r="S41" i="219"/>
  <c r="N15" i="219"/>
  <c r="S15" i="219"/>
  <c r="U15" i="219" s="1"/>
  <c r="C18" i="219"/>
  <c r="A22" i="219"/>
  <c r="S57" i="219"/>
  <c r="U57" i="219" s="1"/>
  <c r="N57" i="219"/>
  <c r="T47" i="219"/>
  <c r="N80" i="219"/>
  <c r="S80" i="219"/>
  <c r="N51" i="219"/>
  <c r="S51" i="219"/>
  <c r="A23" i="219"/>
  <c r="C19" i="219"/>
  <c r="D19" i="219"/>
  <c r="N40" i="219"/>
  <c r="S40" i="219"/>
  <c r="U40" i="219" s="1"/>
  <c r="N70" i="219"/>
  <c r="S70" i="219"/>
  <c r="U70" i="219" s="1"/>
  <c r="N25" i="219"/>
  <c r="S25" i="219"/>
  <c r="N18" i="219"/>
  <c r="S18" i="219"/>
  <c r="U18" i="219" s="1"/>
  <c r="C20" i="219"/>
  <c r="A24" i="219"/>
  <c r="N59" i="219"/>
  <c r="S59" i="219"/>
  <c r="U59" i="219" s="1"/>
  <c r="S47" i="219"/>
  <c r="N47" i="219"/>
  <c r="T48" i="219"/>
  <c r="T4" i="219"/>
  <c r="U4" i="219" s="1"/>
  <c r="N4" i="219"/>
  <c r="S82" i="219"/>
  <c r="N82" i="219"/>
  <c r="U77" i="219"/>
  <c r="N11" i="219"/>
  <c r="S11" i="219"/>
  <c r="S63" i="219"/>
  <c r="U63" i="219" s="1"/>
  <c r="N63" i="219"/>
  <c r="S53" i="219"/>
  <c r="U53" i="219" s="1"/>
  <c r="N53" i="219"/>
  <c r="N31" i="219"/>
  <c r="S31" i="219"/>
  <c r="T33" i="219"/>
  <c r="U20" i="219"/>
  <c r="N39" i="219"/>
  <c r="S39" i="219"/>
  <c r="T41" i="219"/>
  <c r="N68" i="219"/>
  <c r="S68" i="219"/>
  <c r="S69" i="219"/>
  <c r="U69" i="219" s="1"/>
  <c r="N69" i="219"/>
  <c r="N24" i="219"/>
  <c r="S24" i="219"/>
  <c r="U24" i="219" s="1"/>
  <c r="N17" i="219"/>
  <c r="S17" i="219"/>
  <c r="U17" i="219" s="1"/>
  <c r="U70" i="218"/>
  <c r="U45" i="218"/>
  <c r="U46" i="218"/>
  <c r="S38" i="218"/>
  <c r="U38" i="218" s="1"/>
  <c r="N38" i="218"/>
  <c r="S27" i="218"/>
  <c r="U27" i="218" s="1"/>
  <c r="N27" i="218"/>
  <c r="S16" i="218"/>
  <c r="U16" i="218" s="1"/>
  <c r="N16" i="218"/>
  <c r="S11" i="218"/>
  <c r="U11" i="218" s="1"/>
  <c r="N11" i="218"/>
  <c r="D19" i="218"/>
  <c r="C19" i="218"/>
  <c r="A23" i="218"/>
  <c r="N42" i="218"/>
  <c r="S36" i="218"/>
  <c r="U36" i="218" s="1"/>
  <c r="N36" i="218"/>
  <c r="S31" i="218"/>
  <c r="U31" i="218" s="1"/>
  <c r="N31" i="218"/>
  <c r="S26" i="218"/>
  <c r="U26" i="218" s="1"/>
  <c r="N26" i="218"/>
  <c r="S20" i="218"/>
  <c r="U20" i="218" s="1"/>
  <c r="N20" i="218"/>
  <c r="S15" i="218"/>
  <c r="U15" i="218" s="1"/>
  <c r="N15" i="218"/>
  <c r="N41" i="218"/>
  <c r="N33" i="218"/>
  <c r="N25" i="218"/>
  <c r="N17" i="218"/>
  <c r="N12" i="218"/>
  <c r="S12" i="218"/>
  <c r="U12" i="218" s="1"/>
  <c r="S8" i="218"/>
  <c r="U8" i="218" s="1"/>
  <c r="N8" i="218"/>
  <c r="S32" i="218"/>
  <c r="U32" i="218" s="1"/>
  <c r="N32" i="218"/>
  <c r="S35" i="218"/>
  <c r="U35" i="218" s="1"/>
  <c r="N35" i="218"/>
  <c r="S24" i="218"/>
  <c r="U24" i="218" s="1"/>
  <c r="N24" i="218"/>
  <c r="U33" i="218"/>
  <c r="U25" i="218"/>
  <c r="U17" i="218"/>
  <c r="S14" i="218"/>
  <c r="U14" i="218" s="1"/>
  <c r="N14" i="218"/>
  <c r="T5" i="218"/>
  <c r="U5" i="218" s="1"/>
  <c r="N5" i="218"/>
  <c r="C21" i="218"/>
  <c r="A25" i="218"/>
  <c r="S22" i="218"/>
  <c r="U22" i="218" s="1"/>
  <c r="N22" i="218"/>
  <c r="N40" i="218"/>
  <c r="S30" i="218"/>
  <c r="U30" i="218" s="1"/>
  <c r="N30" i="218"/>
  <c r="S19" i="218"/>
  <c r="U19" i="218" s="1"/>
  <c r="N19" i="218"/>
  <c r="N39" i="218"/>
  <c r="S34" i="218"/>
  <c r="U34" i="218" s="1"/>
  <c r="N34" i="218"/>
  <c r="S28" i="218"/>
  <c r="U28" i="218" s="1"/>
  <c r="N28" i="218"/>
  <c r="S23" i="218"/>
  <c r="U23" i="218" s="1"/>
  <c r="N23" i="218"/>
  <c r="S18" i="218"/>
  <c r="U18" i="218" s="1"/>
  <c r="N18" i="218"/>
  <c r="N37" i="218"/>
  <c r="N29" i="218"/>
  <c r="N21" i="218"/>
  <c r="T4" i="218"/>
  <c r="U4" i="218" s="1"/>
  <c r="N4" i="218"/>
  <c r="G4" i="215"/>
  <c r="G5" i="215"/>
  <c r="G6" i="215"/>
  <c r="G7" i="215"/>
  <c r="G8" i="215"/>
  <c r="G9" i="215"/>
  <c r="G10" i="215"/>
  <c r="G11" i="215"/>
  <c r="G12" i="215"/>
  <c r="G13" i="215"/>
  <c r="G14" i="215"/>
  <c r="G15" i="215"/>
  <c r="G16" i="215"/>
  <c r="G17" i="215"/>
  <c r="G18" i="215"/>
  <c r="G19" i="215"/>
  <c r="G20" i="215"/>
  <c r="G21" i="215"/>
  <c r="G22" i="215"/>
  <c r="G23" i="215"/>
  <c r="G24" i="215"/>
  <c r="G25" i="215"/>
  <c r="G26" i="215"/>
  <c r="G27" i="215"/>
  <c r="G28" i="215"/>
  <c r="G29" i="215"/>
  <c r="G30" i="215"/>
  <c r="G31" i="215"/>
  <c r="G32" i="215"/>
  <c r="G33" i="215"/>
  <c r="G34" i="215"/>
  <c r="G35" i="215"/>
  <c r="G36" i="215"/>
  <c r="G37" i="215"/>
  <c r="G38" i="215"/>
  <c r="G39" i="215"/>
  <c r="G40" i="215"/>
  <c r="G41" i="215"/>
  <c r="G42" i="215"/>
  <c r="G3" i="215"/>
  <c r="N3" i="215"/>
  <c r="Q3" i="215"/>
  <c r="S3" i="215" s="1"/>
  <c r="N4" i="215"/>
  <c r="N5" i="215"/>
  <c r="N6" i="215"/>
  <c r="N7" i="215"/>
  <c r="N8" i="215"/>
  <c r="N9" i="215"/>
  <c r="N10" i="215"/>
  <c r="N11" i="215"/>
  <c r="N12" i="215"/>
  <c r="N13" i="215"/>
  <c r="N14" i="215"/>
  <c r="N15" i="215"/>
  <c r="N16" i="215"/>
  <c r="N17" i="215"/>
  <c r="N18" i="215"/>
  <c r="N19" i="215"/>
  <c r="N20" i="215"/>
  <c r="N21" i="215"/>
  <c r="N22" i="215"/>
  <c r="N23" i="215"/>
  <c r="N24" i="215"/>
  <c r="N25" i="215"/>
  <c r="N26" i="215"/>
  <c r="N27" i="215"/>
  <c r="N28" i="215"/>
  <c r="N29" i="215"/>
  <c r="N30" i="215"/>
  <c r="N31" i="215"/>
  <c r="N32" i="215"/>
  <c r="N33" i="215"/>
  <c r="N34" i="215"/>
  <c r="N35" i="215"/>
  <c r="N36" i="215"/>
  <c r="N37" i="215"/>
  <c r="N38" i="215"/>
  <c r="N39" i="215"/>
  <c r="N40" i="215"/>
  <c r="N41" i="215"/>
  <c r="N42" i="215"/>
  <c r="S15" i="215"/>
  <c r="P39" i="215"/>
  <c r="P35" i="215"/>
  <c r="Q39" i="215" s="1"/>
  <c r="T42" i="215" s="1"/>
  <c r="P31" i="215"/>
  <c r="P27" i="215"/>
  <c r="Q31" i="215" s="1"/>
  <c r="T34" i="215" s="1"/>
  <c r="P23" i="215"/>
  <c r="Q27" i="215" s="1"/>
  <c r="P19" i="215"/>
  <c r="Q23" i="215" s="1"/>
  <c r="T26" i="215" s="1"/>
  <c r="P15" i="215"/>
  <c r="P11" i="215"/>
  <c r="Q15" i="215" s="1"/>
  <c r="T18" i="215" s="1"/>
  <c r="P7" i="215"/>
  <c r="P2" i="215"/>
  <c r="T6" i="215" s="1"/>
  <c r="P3" i="215"/>
  <c r="M42" i="215"/>
  <c r="L42" i="215"/>
  <c r="M41" i="215"/>
  <c r="L41" i="215"/>
  <c r="M40" i="215"/>
  <c r="L40" i="215"/>
  <c r="M39" i="215"/>
  <c r="L39" i="215"/>
  <c r="M38" i="215"/>
  <c r="L38" i="215"/>
  <c r="M37" i="215"/>
  <c r="L37" i="215"/>
  <c r="M36" i="215"/>
  <c r="L36" i="215"/>
  <c r="M35" i="215"/>
  <c r="L35" i="215"/>
  <c r="M34" i="215"/>
  <c r="L34" i="215"/>
  <c r="M33" i="215"/>
  <c r="L33" i="215"/>
  <c r="M32" i="215"/>
  <c r="L32" i="215"/>
  <c r="M31" i="215"/>
  <c r="L31" i="215"/>
  <c r="M30" i="215"/>
  <c r="L30" i="215"/>
  <c r="M29" i="215"/>
  <c r="L29" i="215"/>
  <c r="M28" i="215"/>
  <c r="L28" i="215"/>
  <c r="M27" i="215"/>
  <c r="L27" i="215"/>
  <c r="M26" i="215"/>
  <c r="L26" i="215"/>
  <c r="M25" i="215"/>
  <c r="L25" i="215"/>
  <c r="M24" i="215"/>
  <c r="L24" i="215"/>
  <c r="M23" i="215"/>
  <c r="L23" i="215"/>
  <c r="M22" i="215"/>
  <c r="L22" i="215"/>
  <c r="M21" i="215"/>
  <c r="L21" i="215"/>
  <c r="M20" i="215"/>
  <c r="L20" i="215"/>
  <c r="M19" i="215"/>
  <c r="L19" i="215"/>
  <c r="M18" i="215"/>
  <c r="L18" i="215"/>
  <c r="M17" i="215"/>
  <c r="L17" i="215"/>
  <c r="M16" i="215"/>
  <c r="L16" i="215"/>
  <c r="M15" i="215"/>
  <c r="L15" i="215"/>
  <c r="M14" i="215"/>
  <c r="L14" i="215"/>
  <c r="M13" i="215"/>
  <c r="L13" i="215"/>
  <c r="M12" i="215"/>
  <c r="L12" i="215"/>
  <c r="M11" i="215"/>
  <c r="L11" i="215"/>
  <c r="M10" i="215"/>
  <c r="M7" i="215"/>
  <c r="L10" i="215"/>
  <c r="M9" i="215"/>
  <c r="L9" i="215"/>
  <c r="M8" i="215"/>
  <c r="L8" i="215"/>
  <c r="L7" i="215"/>
  <c r="M6" i="215"/>
  <c r="M5" i="215"/>
  <c r="M4" i="215"/>
  <c r="L6" i="215"/>
  <c r="L4" i="215"/>
  <c r="L5" i="215"/>
  <c r="M3" i="215"/>
  <c r="L3" i="215"/>
  <c r="K39" i="215"/>
  <c r="K35" i="215"/>
  <c r="K31" i="215"/>
  <c r="K27" i="215"/>
  <c r="K23" i="215"/>
  <c r="K19" i="215"/>
  <c r="K15" i="215"/>
  <c r="K11" i="215"/>
  <c r="K7" i="215"/>
  <c r="K3" i="215"/>
  <c r="D9" i="215"/>
  <c r="D10" i="215"/>
  <c r="D8" i="215"/>
  <c r="D3" i="215"/>
  <c r="D7" i="215"/>
  <c r="D11" i="215" s="1"/>
  <c r="B12" i="215"/>
  <c r="B13" i="215"/>
  <c r="B17" i="215" s="1"/>
  <c r="B21" i="215" s="1"/>
  <c r="B25" i="215" s="1"/>
  <c r="B29" i="215" s="1"/>
  <c r="B33" i="215" s="1"/>
  <c r="B37" i="215" s="1"/>
  <c r="B41" i="215" s="1"/>
  <c r="B14" i="215"/>
  <c r="B16" i="215"/>
  <c r="B20" i="215" s="1"/>
  <c r="B24" i="215" s="1"/>
  <c r="B28" i="215" s="1"/>
  <c r="B32" i="215" s="1"/>
  <c r="B36" i="215" s="1"/>
  <c r="B18" i="215"/>
  <c r="B22" i="215" s="1"/>
  <c r="B26" i="215" s="1"/>
  <c r="B30" i="215" s="1"/>
  <c r="B34" i="215" s="1"/>
  <c r="B38" i="215" s="1"/>
  <c r="B42" i="215" s="1"/>
  <c r="B11" i="215"/>
  <c r="B15" i="215" s="1"/>
  <c r="B19" i="215" s="1"/>
  <c r="B23" i="215" s="1"/>
  <c r="B27" i="215" s="1"/>
  <c r="B31" i="215" s="1"/>
  <c r="B35" i="215" s="1"/>
  <c r="B39" i="215" s="1"/>
  <c r="A12" i="215"/>
  <c r="C12" i="215" s="1"/>
  <c r="A13" i="215"/>
  <c r="C13" i="215" s="1"/>
  <c r="A14" i="215"/>
  <c r="A18" i="215" s="1"/>
  <c r="A22" i="215" s="1"/>
  <c r="A16" i="215"/>
  <c r="A20" i="215" s="1"/>
  <c r="A11" i="215"/>
  <c r="A15" i="215" s="1"/>
  <c r="C4" i="215"/>
  <c r="C5" i="215"/>
  <c r="C6" i="215"/>
  <c r="C7" i="215"/>
  <c r="C8" i="215"/>
  <c r="C9" i="215"/>
  <c r="C10" i="215"/>
  <c r="C3" i="215"/>
  <c r="D5" i="213"/>
  <c r="G5" i="213"/>
  <c r="D6" i="213"/>
  <c r="G6" i="213"/>
  <c r="D7" i="213"/>
  <c r="G8" i="213"/>
  <c r="D9" i="213"/>
  <c r="G9" i="213"/>
  <c r="D10" i="213"/>
  <c r="G10" i="213"/>
  <c r="D11" i="213"/>
  <c r="G11" i="213"/>
  <c r="G12" i="213"/>
  <c r="G13" i="213"/>
  <c r="D14" i="213"/>
  <c r="G14" i="213"/>
  <c r="D15" i="213"/>
  <c r="G15" i="213"/>
  <c r="B16" i="213"/>
  <c r="D16" i="213"/>
  <c r="E16" i="213"/>
  <c r="G16" i="213" s="1"/>
  <c r="D17" i="213"/>
  <c r="G17" i="213"/>
  <c r="F23" i="211"/>
  <c r="F31" i="211" s="1"/>
  <c r="I21" i="210"/>
  <c r="G21" i="210"/>
  <c r="G22" i="210"/>
  <c r="I23" i="210"/>
  <c r="G23" i="210"/>
  <c r="G24" i="210"/>
  <c r="G25" i="210"/>
  <c r="G26" i="210"/>
  <c r="I27" i="210"/>
  <c r="G27" i="210"/>
  <c r="I28" i="210"/>
  <c r="G28" i="210"/>
  <c r="I29" i="210"/>
  <c r="G29" i="210"/>
  <c r="I30" i="210"/>
  <c r="G30" i="210"/>
  <c r="G31" i="210"/>
  <c r="I32" i="210"/>
  <c r="G32" i="210"/>
  <c r="I33" i="210"/>
  <c r="G33" i="210"/>
  <c r="I34" i="210"/>
  <c r="G34" i="210"/>
  <c r="G35" i="210"/>
  <c r="I36" i="210"/>
  <c r="G36" i="210"/>
  <c r="I51" i="210" s="1"/>
  <c r="H37" i="210"/>
  <c r="I37" i="210" s="1"/>
  <c r="F37" i="210"/>
  <c r="G37" i="210" s="1"/>
  <c r="I38" i="210"/>
  <c r="G38" i="210"/>
  <c r="F51" i="210"/>
  <c r="H51" i="210"/>
  <c r="F30" i="209"/>
  <c r="F31" i="209"/>
  <c r="F32" i="209"/>
  <c r="B25" i="207"/>
  <c r="B29" i="207" s="1"/>
  <c r="C25" i="207"/>
  <c r="C29" i="207"/>
  <c r="B25" i="205"/>
  <c r="B28" i="205" s="1"/>
  <c r="C25" i="205"/>
  <c r="C47" i="205" s="1"/>
  <c r="A47" i="205"/>
  <c r="B47" i="205"/>
  <c r="A48" i="205"/>
  <c r="B48" i="205"/>
  <c r="C48" i="205"/>
  <c r="A49" i="205"/>
  <c r="A50" i="205"/>
  <c r="A51" i="205"/>
  <c r="B51" i="205"/>
  <c r="A52" i="205"/>
  <c r="B52" i="205"/>
  <c r="C52" i="205"/>
  <c r="A53" i="205"/>
  <c r="A54" i="205"/>
  <c r="A55" i="205"/>
  <c r="B55" i="205"/>
  <c r="A56" i="205"/>
  <c r="B56" i="205"/>
  <c r="C56" i="205"/>
  <c r="A57" i="205"/>
  <c r="A58" i="205"/>
  <c r="A59" i="205"/>
  <c r="B59" i="205"/>
  <c r="A60" i="205"/>
  <c r="B60" i="205"/>
  <c r="C60" i="205"/>
  <c r="A61" i="205"/>
  <c r="B62" i="205"/>
  <c r="B7" i="204"/>
  <c r="B14" i="204" s="1"/>
  <c r="B15" i="204" s="1"/>
  <c r="B12" i="204"/>
  <c r="E31" i="204"/>
  <c r="E32" i="204"/>
  <c r="E36" i="204"/>
  <c r="B6" i="202"/>
  <c r="B10" i="202" s="1"/>
  <c r="B12" i="202" s="1"/>
  <c r="B6" i="200"/>
  <c r="B9" i="200"/>
  <c r="B11" i="200"/>
  <c r="G21" i="200"/>
  <c r="H21" i="200" s="1"/>
  <c r="G22" i="200"/>
  <c r="H22" i="200"/>
  <c r="G23" i="200"/>
  <c r="H23" i="200" s="1"/>
  <c r="B6" i="197"/>
  <c r="B11" i="197" s="1"/>
  <c r="B9" i="196"/>
  <c r="B10" i="196"/>
  <c r="B11" i="196"/>
  <c r="B17" i="196"/>
  <c r="B19" i="196" s="1"/>
  <c r="F32" i="196"/>
  <c r="F40" i="196" s="1"/>
  <c r="F36" i="196"/>
  <c r="H55" i="196"/>
  <c r="I55" i="196"/>
  <c r="H58" i="196" s="1"/>
  <c r="J55" i="196"/>
  <c r="K55" i="196"/>
  <c r="L55" i="196"/>
  <c r="H57" i="196"/>
  <c r="I34" i="194"/>
  <c r="J34" i="194"/>
  <c r="K34" i="194"/>
  <c r="N48" i="194"/>
  <c r="P48" i="194"/>
  <c r="N49" i="194"/>
  <c r="P49" i="194"/>
  <c r="U63" i="220" l="1"/>
  <c r="G51" i="210"/>
  <c r="C145" i="285"/>
  <c r="V145" i="285" s="1"/>
  <c r="A149" i="285"/>
  <c r="A150" i="285"/>
  <c r="C146" i="285"/>
  <c r="V146" i="285" s="1"/>
  <c r="A147" i="285"/>
  <c r="C143" i="285"/>
  <c r="V143" i="285" s="1"/>
  <c r="B76" i="218"/>
  <c r="C54" i="218"/>
  <c r="A58" i="218"/>
  <c r="C52" i="218"/>
  <c r="A56" i="218"/>
  <c r="B57" i="218"/>
  <c r="B61" i="218" s="1"/>
  <c r="B65" i="218" s="1"/>
  <c r="B69" i="218" s="1"/>
  <c r="B73" i="218" s="1"/>
  <c r="B77" i="218" s="1"/>
  <c r="B81" i="218" s="1"/>
  <c r="C149" i="220"/>
  <c r="B153" i="220"/>
  <c r="C153" i="220" s="1"/>
  <c r="A29" i="220"/>
  <c r="C25" i="220"/>
  <c r="V25" i="220" s="1"/>
  <c r="C23" i="220"/>
  <c r="V23" i="220" s="1"/>
  <c r="A27" i="220"/>
  <c r="D23" i="220"/>
  <c r="U66" i="220"/>
  <c r="C20" i="220"/>
  <c r="V20" i="220" s="1"/>
  <c r="A24" i="220"/>
  <c r="A58" i="220"/>
  <c r="C54" i="220"/>
  <c r="V54" i="220" s="1"/>
  <c r="U64" i="220"/>
  <c r="U68" i="219"/>
  <c r="U65" i="219"/>
  <c r="U58" i="219"/>
  <c r="U11" i="219"/>
  <c r="U23" i="219"/>
  <c r="U34" i="219"/>
  <c r="U54" i="219"/>
  <c r="U21" i="219"/>
  <c r="U73" i="219"/>
  <c r="U71" i="219"/>
  <c r="U26" i="219"/>
  <c r="U31" i="219"/>
  <c r="U42" i="219"/>
  <c r="U81" i="219"/>
  <c r="U45" i="219"/>
  <c r="U82" i="219"/>
  <c r="U128" i="219" s="1"/>
  <c r="U129" i="219" s="1"/>
  <c r="M136" i="219" s="1"/>
  <c r="M137" i="219" s="1"/>
  <c r="U25" i="219"/>
  <c r="U64" i="219"/>
  <c r="U22" i="219"/>
  <c r="U19" i="219"/>
  <c r="U39" i="219"/>
  <c r="U51" i="219"/>
  <c r="B115" i="219"/>
  <c r="U79" i="219"/>
  <c r="U47" i="219"/>
  <c r="U80" i="219"/>
  <c r="U28" i="219"/>
  <c r="U43" i="219"/>
  <c r="U29" i="219"/>
  <c r="C22" i="219"/>
  <c r="A26" i="219"/>
  <c r="U41" i="219"/>
  <c r="A33" i="219"/>
  <c r="C29" i="219"/>
  <c r="U48" i="219"/>
  <c r="U33" i="219"/>
  <c r="C24" i="219"/>
  <c r="A28" i="219"/>
  <c r="A27" i="219"/>
  <c r="D23" i="219"/>
  <c r="C23" i="219"/>
  <c r="C25" i="218"/>
  <c r="A29" i="218"/>
  <c r="D23" i="218"/>
  <c r="C23" i="218"/>
  <c r="A27" i="218"/>
  <c r="Q11" i="215"/>
  <c r="S17" i="215"/>
  <c r="S31" i="215"/>
  <c r="U31" i="215" s="1"/>
  <c r="Q7" i="215"/>
  <c r="S33" i="215"/>
  <c r="T14" i="215"/>
  <c r="T12" i="215"/>
  <c r="S14" i="215"/>
  <c r="U14" i="215" s="1"/>
  <c r="S12" i="215"/>
  <c r="S13" i="215"/>
  <c r="T13" i="215"/>
  <c r="T11" i="215"/>
  <c r="S11" i="215"/>
  <c r="T30" i="215"/>
  <c r="T28" i="215"/>
  <c r="S29" i="215"/>
  <c r="S30" i="215"/>
  <c r="S28" i="215"/>
  <c r="S27" i="215"/>
  <c r="T29" i="215"/>
  <c r="T27" i="215"/>
  <c r="S23" i="215"/>
  <c r="U23" i="215" s="1"/>
  <c r="S4" i="215"/>
  <c r="T5" i="215"/>
  <c r="T9" i="215"/>
  <c r="T15" i="215"/>
  <c r="U15" i="215" s="1"/>
  <c r="T17" i="215"/>
  <c r="U17" i="215" s="1"/>
  <c r="T23" i="215"/>
  <c r="T25" i="215"/>
  <c r="T31" i="215"/>
  <c r="T33" i="215"/>
  <c r="U33" i="215" s="1"/>
  <c r="T39" i="215"/>
  <c r="T41" i="215"/>
  <c r="S5" i="215"/>
  <c r="S41" i="215"/>
  <c r="T3" i="215"/>
  <c r="S6" i="215"/>
  <c r="U6" i="215" s="1"/>
  <c r="S16" i="215"/>
  <c r="U16" i="215" s="1"/>
  <c r="S18" i="215"/>
  <c r="U18" i="215" s="1"/>
  <c r="S24" i="215"/>
  <c r="S26" i="215"/>
  <c r="U26" i="215" s="1"/>
  <c r="S32" i="215"/>
  <c r="S34" i="215"/>
  <c r="U34" i="215" s="1"/>
  <c r="S40" i="215"/>
  <c r="S42" i="215"/>
  <c r="U42" i="215" s="1"/>
  <c r="S25" i="215"/>
  <c r="S39" i="215"/>
  <c r="U39" i="215" s="1"/>
  <c r="Q19" i="215"/>
  <c r="Q35" i="215"/>
  <c r="T4" i="215"/>
  <c r="T8" i="215"/>
  <c r="T16" i="215"/>
  <c r="T24" i="215"/>
  <c r="T32" i="215"/>
  <c r="T40" i="215"/>
  <c r="C16" i="215"/>
  <c r="A17" i="215"/>
  <c r="C17" i="215" s="1"/>
  <c r="C11" i="215"/>
  <c r="D15" i="215"/>
  <c r="A19" i="215"/>
  <c r="C15" i="215"/>
  <c r="B40" i="215"/>
  <c r="C20" i="215"/>
  <c r="A24" i="215"/>
  <c r="A26" i="215"/>
  <c r="C22" i="215"/>
  <c r="A21" i="215"/>
  <c r="C18" i="215"/>
  <c r="C14" i="215"/>
  <c r="C61" i="205"/>
  <c r="C57" i="205"/>
  <c r="C53" i="205"/>
  <c r="C49" i="205"/>
  <c r="B61" i="205"/>
  <c r="C58" i="205"/>
  <c r="B57" i="205"/>
  <c r="C54" i="205"/>
  <c r="B53" i="205"/>
  <c r="C50" i="205"/>
  <c r="B49" i="205"/>
  <c r="C28" i="205"/>
  <c r="C62" i="205"/>
  <c r="C59" i="205"/>
  <c r="B58" i="205"/>
  <c r="C55" i="205"/>
  <c r="B54" i="205"/>
  <c r="C51" i="205"/>
  <c r="B50" i="205"/>
  <c r="E41" i="204"/>
  <c r="E40" i="204"/>
  <c r="E42" i="204" s="1"/>
  <c r="B13" i="197"/>
  <c r="B20" i="196"/>
  <c r="F45" i="196"/>
  <c r="A154" i="285" l="1"/>
  <c r="C150" i="285"/>
  <c r="V150" i="285" s="1"/>
  <c r="A153" i="285"/>
  <c r="C149" i="285"/>
  <c r="V149" i="285" s="1"/>
  <c r="A151" i="285"/>
  <c r="C147" i="285"/>
  <c r="V147" i="285" s="1"/>
  <c r="C58" i="218"/>
  <c r="A62" i="218"/>
  <c r="C56" i="218"/>
  <c r="A60" i="218"/>
  <c r="B80" i="218"/>
  <c r="C24" i="220"/>
  <c r="V24" i="220" s="1"/>
  <c r="A28" i="220"/>
  <c r="C27" i="220"/>
  <c r="V27" i="220" s="1"/>
  <c r="A31" i="220"/>
  <c r="D27" i="220"/>
  <c r="A62" i="220"/>
  <c r="C58" i="220"/>
  <c r="V58" i="220" s="1"/>
  <c r="A33" i="220"/>
  <c r="C29" i="220"/>
  <c r="V29" i="220" s="1"/>
  <c r="B119" i="219"/>
  <c r="A37" i="219"/>
  <c r="C33" i="219"/>
  <c r="C26" i="219"/>
  <c r="A30" i="219"/>
  <c r="A31" i="219"/>
  <c r="C27" i="219"/>
  <c r="D27" i="219"/>
  <c r="C28" i="219"/>
  <c r="A32" i="219"/>
  <c r="C29" i="218"/>
  <c r="A33" i="218"/>
  <c r="D27" i="218"/>
  <c r="C27" i="218"/>
  <c r="A31" i="218"/>
  <c r="T10" i="215"/>
  <c r="S9" i="215"/>
  <c r="U9" i="215" s="1"/>
  <c r="S7" i="215"/>
  <c r="S10" i="215"/>
  <c r="U30" i="215"/>
  <c r="T7" i="215"/>
  <c r="S8" i="215"/>
  <c r="U8" i="215" s="1"/>
  <c r="U29" i="215"/>
  <c r="U25" i="215"/>
  <c r="T38" i="215"/>
  <c r="T36" i="215"/>
  <c r="S35" i="215"/>
  <c r="S38" i="215"/>
  <c r="S36" i="215"/>
  <c r="S37" i="215"/>
  <c r="T37" i="215"/>
  <c r="T35" i="215"/>
  <c r="U41" i="215"/>
  <c r="U27" i="215"/>
  <c r="U13" i="215"/>
  <c r="U32" i="215"/>
  <c r="U3" i="215"/>
  <c r="T22" i="215"/>
  <c r="T20" i="215"/>
  <c r="S21" i="215"/>
  <c r="S22" i="215"/>
  <c r="S20" i="215"/>
  <c r="S19" i="215"/>
  <c r="T21" i="215"/>
  <c r="T19" i="215"/>
  <c r="U40" i="215"/>
  <c r="U24" i="215"/>
  <c r="U5" i="215"/>
  <c r="U4" i="215"/>
  <c r="U28" i="215"/>
  <c r="U11" i="215"/>
  <c r="U12" i="215"/>
  <c r="C21" i="215"/>
  <c r="A25" i="215"/>
  <c r="C26" i="215"/>
  <c r="A30" i="215"/>
  <c r="C19" i="215"/>
  <c r="A23" i="215"/>
  <c r="D19" i="215"/>
  <c r="C24" i="215"/>
  <c r="A28" i="215"/>
  <c r="C151" i="285" l="1"/>
  <c r="V151" i="285" s="1"/>
  <c r="A155" i="285"/>
  <c r="A158" i="285"/>
  <c r="C154" i="285"/>
  <c r="V154" i="285" s="1"/>
  <c r="C153" i="285"/>
  <c r="V153" i="285" s="1"/>
  <c r="A157" i="285"/>
  <c r="C62" i="218"/>
  <c r="A66" i="218"/>
  <c r="C60" i="218"/>
  <c r="A64" i="218"/>
  <c r="C31" i="220"/>
  <c r="V31" i="220" s="1"/>
  <c r="A35" i="220"/>
  <c r="D31" i="220"/>
  <c r="A66" i="220"/>
  <c r="C62" i="220"/>
  <c r="V62" i="220" s="1"/>
  <c r="C28" i="220"/>
  <c r="V28" i="220" s="1"/>
  <c r="A32" i="220"/>
  <c r="A37" i="220"/>
  <c r="C33" i="220"/>
  <c r="V33" i="220" s="1"/>
  <c r="C30" i="219"/>
  <c r="A34" i="219"/>
  <c r="C32" i="219"/>
  <c r="A36" i="219"/>
  <c r="A35" i="219"/>
  <c r="D31" i="219"/>
  <c r="C31" i="219"/>
  <c r="A41" i="219"/>
  <c r="C37" i="219"/>
  <c r="C33" i="218"/>
  <c r="A37" i="218"/>
  <c r="D31" i="218"/>
  <c r="C31" i="218"/>
  <c r="A35" i="218"/>
  <c r="U38" i="215"/>
  <c r="U7" i="215"/>
  <c r="U19" i="215"/>
  <c r="U35" i="215"/>
  <c r="U10" i="215"/>
  <c r="U20" i="215"/>
  <c r="U37" i="215"/>
  <c r="U22" i="215"/>
  <c r="U36" i="215"/>
  <c r="U21" i="215"/>
  <c r="C28" i="215"/>
  <c r="A32" i="215"/>
  <c r="C30" i="215"/>
  <c r="A34" i="215"/>
  <c r="A27" i="215"/>
  <c r="C23" i="215"/>
  <c r="D23" i="215"/>
  <c r="C25" i="215"/>
  <c r="A29" i="215"/>
  <c r="A161" i="285" l="1"/>
  <c r="C161" i="285" s="1"/>
  <c r="V161" i="285" s="1"/>
  <c r="C157" i="285"/>
  <c r="V157" i="285" s="1"/>
  <c r="A159" i="285"/>
  <c r="C159" i="285" s="1"/>
  <c r="V159" i="285" s="1"/>
  <c r="C155" i="285"/>
  <c r="V155" i="285" s="1"/>
  <c r="A162" i="285"/>
  <c r="C162" i="285" s="1"/>
  <c r="V162" i="285" s="1"/>
  <c r="C158" i="285"/>
  <c r="V158" i="285" s="1"/>
  <c r="C66" i="218"/>
  <c r="A70" i="218"/>
  <c r="A68" i="218"/>
  <c r="C64" i="218"/>
  <c r="A41" i="220"/>
  <c r="C37" i="220"/>
  <c r="V37" i="220" s="1"/>
  <c r="A70" i="220"/>
  <c r="C66" i="220"/>
  <c r="V66" i="220" s="1"/>
  <c r="C32" i="220"/>
  <c r="V32" i="220" s="1"/>
  <c r="A36" i="220"/>
  <c r="C35" i="220"/>
  <c r="V35" i="220" s="1"/>
  <c r="A39" i="220"/>
  <c r="D35" i="220"/>
  <c r="A45" i="219"/>
  <c r="C41" i="219"/>
  <c r="C36" i="219"/>
  <c r="A40" i="219"/>
  <c r="C34" i="219"/>
  <c r="A38" i="219"/>
  <c r="A39" i="219"/>
  <c r="D35" i="219"/>
  <c r="C35" i="219"/>
  <c r="C37" i="218"/>
  <c r="A41" i="218"/>
  <c r="D35" i="218"/>
  <c r="C35" i="218"/>
  <c r="A39" i="218"/>
  <c r="A43" i="218" s="1"/>
  <c r="C34" i="215"/>
  <c r="A38" i="215"/>
  <c r="C32" i="215"/>
  <c r="A36" i="215"/>
  <c r="C29" i="215"/>
  <c r="A33" i="215"/>
  <c r="C27" i="215"/>
  <c r="D27" i="215"/>
  <c r="A31" i="215"/>
  <c r="A72" i="218" l="1"/>
  <c r="C68" i="218"/>
  <c r="C41" i="218"/>
  <c r="A45" i="218"/>
  <c r="C43" i="218"/>
  <c r="A47" i="218"/>
  <c r="C70" i="218"/>
  <c r="A74" i="218"/>
  <c r="C39" i="220"/>
  <c r="V39" i="220" s="1"/>
  <c r="A43" i="220"/>
  <c r="D39" i="220"/>
  <c r="C70" i="220"/>
  <c r="V70" i="220" s="1"/>
  <c r="A74" i="220"/>
  <c r="C36" i="220"/>
  <c r="V36" i="220" s="1"/>
  <c r="A40" i="220"/>
  <c r="A45" i="220"/>
  <c r="C41" i="220"/>
  <c r="V41" i="220" s="1"/>
  <c r="C40" i="219"/>
  <c r="A44" i="219"/>
  <c r="A43" i="219"/>
  <c r="D39" i="219"/>
  <c r="C39" i="219"/>
  <c r="C38" i="219"/>
  <c r="A42" i="219"/>
  <c r="A49" i="219"/>
  <c r="C45" i="219"/>
  <c r="D39" i="218"/>
  <c r="C39" i="218"/>
  <c r="A40" i="215"/>
  <c r="C40" i="215" s="1"/>
  <c r="C36" i="215"/>
  <c r="C33" i="215"/>
  <c r="A37" i="215"/>
  <c r="C38" i="215"/>
  <c r="A42" i="215"/>
  <c r="C42" i="215" s="1"/>
  <c r="C31" i="215"/>
  <c r="D31" i="215"/>
  <c r="A35" i="215"/>
  <c r="C47" i="218" l="1"/>
  <c r="A51" i="218"/>
  <c r="C74" i="218"/>
  <c r="A78" i="218"/>
  <c r="A49" i="218"/>
  <c r="C45" i="218"/>
  <c r="A76" i="218"/>
  <c r="C72" i="218"/>
  <c r="A44" i="220"/>
  <c r="C40" i="220"/>
  <c r="V40" i="220" s="1"/>
  <c r="A49" i="220"/>
  <c r="C45" i="220"/>
  <c r="V45" i="220" s="1"/>
  <c r="C43" i="220"/>
  <c r="V43" i="220" s="1"/>
  <c r="A47" i="220"/>
  <c r="C74" i="220"/>
  <c r="V74" i="220" s="1"/>
  <c r="A78" i="220"/>
  <c r="A53" i="219"/>
  <c r="C49" i="219"/>
  <c r="C42" i="219"/>
  <c r="A46" i="219"/>
  <c r="A47" i="219"/>
  <c r="C43" i="219"/>
  <c r="A48" i="219"/>
  <c r="C44" i="219"/>
  <c r="C37" i="215"/>
  <c r="A41" i="215"/>
  <c r="C41" i="215" s="1"/>
  <c r="C35" i="215"/>
  <c r="A39" i="215"/>
  <c r="D35" i="215"/>
  <c r="C78" i="218" l="1"/>
  <c r="A82" i="218"/>
  <c r="C82" i="218" s="1"/>
  <c r="A80" i="218"/>
  <c r="C80" i="218" s="1"/>
  <c r="C76" i="218"/>
  <c r="C51" i="218"/>
  <c r="A55" i="218"/>
  <c r="A53" i="218"/>
  <c r="C49" i="218"/>
  <c r="C49" i="220"/>
  <c r="V49" i="220" s="1"/>
  <c r="A53" i="220"/>
  <c r="A82" i="220"/>
  <c r="C78" i="220"/>
  <c r="V78" i="220" s="1"/>
  <c r="A51" i="220"/>
  <c r="C47" i="220"/>
  <c r="V47" i="220" s="1"/>
  <c r="A48" i="220"/>
  <c r="C44" i="220"/>
  <c r="V44" i="220" s="1"/>
  <c r="A50" i="219"/>
  <c r="C46" i="219"/>
  <c r="A52" i="219"/>
  <c r="C48" i="219"/>
  <c r="C47" i="219"/>
  <c r="A51" i="219"/>
  <c r="A57" i="219"/>
  <c r="C53" i="219"/>
  <c r="D39" i="215"/>
  <c r="C39" i="215"/>
  <c r="A57" i="218" l="1"/>
  <c r="C53" i="218"/>
  <c r="C55" i="218"/>
  <c r="A59" i="218"/>
  <c r="A52" i="220"/>
  <c r="C48" i="220"/>
  <c r="V48" i="220" s="1"/>
  <c r="A86" i="220"/>
  <c r="C82" i="220"/>
  <c r="V82" i="220" s="1"/>
  <c r="A57" i="220"/>
  <c r="C53" i="220"/>
  <c r="V53" i="220" s="1"/>
  <c r="A55" i="220"/>
  <c r="C51" i="220"/>
  <c r="V51" i="220" s="1"/>
  <c r="C52" i="219"/>
  <c r="A56" i="219"/>
  <c r="C57" i="219"/>
  <c r="A61" i="219"/>
  <c r="A55" i="219"/>
  <c r="C51" i="219"/>
  <c r="C50" i="219"/>
  <c r="A54" i="219"/>
  <c r="E5" i="192"/>
  <c r="B6" i="192"/>
  <c r="B9" i="192"/>
  <c r="B12" i="192"/>
  <c r="G27" i="192"/>
  <c r="F30" i="192"/>
  <c r="G20" i="192" s="1"/>
  <c r="G30" i="192"/>
  <c r="C59" i="218" l="1"/>
  <c r="A63" i="218"/>
  <c r="C57" i="218"/>
  <c r="A61" i="218"/>
  <c r="A59" i="220"/>
  <c r="C55" i="220"/>
  <c r="V55" i="220" s="1"/>
  <c r="A90" i="220"/>
  <c r="C86" i="220"/>
  <c r="V86" i="220" s="1"/>
  <c r="C57" i="220"/>
  <c r="V57" i="220" s="1"/>
  <c r="A61" i="220"/>
  <c r="C52" i="220"/>
  <c r="V52" i="220" s="1"/>
  <c r="A56" i="220"/>
  <c r="A60" i="219"/>
  <c r="C56" i="219"/>
  <c r="C54" i="219"/>
  <c r="A58" i="219"/>
  <c r="C61" i="219"/>
  <c r="A65" i="219"/>
  <c r="A59" i="219"/>
  <c r="C55" i="219"/>
  <c r="G26" i="192"/>
  <c r="G22" i="192"/>
  <c r="G29" i="192"/>
  <c r="G25" i="192"/>
  <c r="G21" i="192"/>
  <c r="G23" i="192"/>
  <c r="G28" i="192"/>
  <c r="G24" i="192"/>
  <c r="F6" i="190"/>
  <c r="B7" i="190"/>
  <c r="B10" i="190" s="1"/>
  <c r="B13" i="190" s="1"/>
  <c r="D5" i="188"/>
  <c r="D6" i="188"/>
  <c r="C63" i="218" l="1"/>
  <c r="A67" i="218"/>
  <c r="C61" i="218"/>
  <c r="A65" i="218"/>
  <c r="C90" i="220"/>
  <c r="V90" i="220" s="1"/>
  <c r="A94" i="220"/>
  <c r="A65" i="220"/>
  <c r="C61" i="220"/>
  <c r="V61" i="220" s="1"/>
  <c r="A60" i="220"/>
  <c r="C56" i="220"/>
  <c r="V56" i="220" s="1"/>
  <c r="C59" i="220"/>
  <c r="V59" i="220" s="1"/>
  <c r="A63" i="220"/>
  <c r="A63" i="219"/>
  <c r="C59" i="219"/>
  <c r="A69" i="219"/>
  <c r="C65" i="219"/>
  <c r="A62" i="219"/>
  <c r="C58" i="219"/>
  <c r="A64" i="219"/>
  <c r="C60" i="219"/>
  <c r="B5" i="187"/>
  <c r="C9" i="187"/>
  <c r="B9" i="187"/>
  <c r="C10" i="187"/>
  <c r="C15" i="187" s="1"/>
  <c r="B10" i="187"/>
  <c r="B15" i="187" s="1"/>
  <c r="B13" i="186"/>
  <c r="D5" i="184"/>
  <c r="D6" i="184"/>
  <c r="C8" i="183"/>
  <c r="B11" i="181"/>
  <c r="B16" i="181"/>
  <c r="B17" i="181"/>
  <c r="B8" i="180"/>
  <c r="B21" i="180" s="1"/>
  <c r="B16" i="180"/>
  <c r="B20" i="180"/>
  <c r="E26" i="180"/>
  <c r="F5" i="179"/>
  <c r="F6" i="179"/>
  <c r="F10" i="179"/>
  <c r="F14" i="179"/>
  <c r="F15" i="179"/>
  <c r="F16" i="179"/>
  <c r="D6" i="178"/>
  <c r="E6" i="178"/>
  <c r="D7" i="178"/>
  <c r="E7" i="178"/>
  <c r="D8" i="178"/>
  <c r="E8" i="178"/>
  <c r="D9" i="178"/>
  <c r="D10" i="178"/>
  <c r="E10" i="178"/>
  <c r="H20" i="178"/>
  <c r="D6" i="177"/>
  <c r="D7" i="177"/>
  <c r="D8" i="177"/>
  <c r="C7" i="176"/>
  <c r="C8" i="176"/>
  <c r="C9" i="176"/>
  <c r="C10" i="176"/>
  <c r="B11" i="176"/>
  <c r="C11" i="176" s="1"/>
  <c r="C12" i="176"/>
  <c r="C14" i="176"/>
  <c r="B15" i="176"/>
  <c r="C15" i="176"/>
  <c r="C16" i="176"/>
  <c r="C19" i="176"/>
  <c r="C20" i="176"/>
  <c r="B21" i="176"/>
  <c r="C21" i="176" s="1"/>
  <c r="C22" i="176"/>
  <c r="C24" i="176"/>
  <c r="C26" i="176"/>
  <c r="C27" i="176"/>
  <c r="B28" i="176"/>
  <c r="C29" i="176"/>
  <c r="C30" i="176"/>
  <c r="C31" i="176"/>
  <c r="C32" i="176"/>
  <c r="C33" i="176"/>
  <c r="C34" i="176"/>
  <c r="B13" i="173"/>
  <c r="B34" i="172"/>
  <c r="C34" i="172"/>
  <c r="B35" i="172"/>
  <c r="C35" i="172"/>
  <c r="B55" i="172"/>
  <c r="C55" i="172"/>
  <c r="B56" i="172"/>
  <c r="C56" i="172"/>
  <c r="A69" i="218" l="1"/>
  <c r="C65" i="218"/>
  <c r="C67" i="218"/>
  <c r="A71" i="218"/>
  <c r="A69" i="220"/>
  <c r="C65" i="220"/>
  <c r="V65" i="220" s="1"/>
  <c r="A98" i="220"/>
  <c r="C94" i="220"/>
  <c r="V94" i="220" s="1"/>
  <c r="A67" i="220"/>
  <c r="C63" i="220"/>
  <c r="V63" i="220" s="1"/>
  <c r="C60" i="220"/>
  <c r="V60" i="220" s="1"/>
  <c r="A64" i="220"/>
  <c r="A73" i="219"/>
  <c r="C69" i="219"/>
  <c r="C64" i="219"/>
  <c r="A68" i="219"/>
  <c r="A66" i="219"/>
  <c r="C62" i="219"/>
  <c r="C63" i="219"/>
  <c r="A67" i="219"/>
  <c r="C71" i="218" l="1"/>
  <c r="A75" i="218"/>
  <c r="A73" i="218"/>
  <c r="C69" i="218"/>
  <c r="A68" i="220"/>
  <c r="C64" i="220"/>
  <c r="V64" i="220" s="1"/>
  <c r="A102" i="220"/>
  <c r="C98" i="220"/>
  <c r="V98" i="220" s="1"/>
  <c r="C67" i="220"/>
  <c r="V67" i="220" s="1"/>
  <c r="A71" i="220"/>
  <c r="A73" i="220"/>
  <c r="C69" i="220"/>
  <c r="V69" i="220" s="1"/>
  <c r="A71" i="219"/>
  <c r="C67" i="219"/>
  <c r="C68" i="219"/>
  <c r="A72" i="219"/>
  <c r="A70" i="219"/>
  <c r="C66" i="219"/>
  <c r="A77" i="219"/>
  <c r="C73" i="219"/>
  <c r="A77" i="218" l="1"/>
  <c r="C73" i="218"/>
  <c r="C75" i="218"/>
  <c r="A79" i="218"/>
  <c r="C79" i="218" s="1"/>
  <c r="A77" i="220"/>
  <c r="C73" i="220"/>
  <c r="V73" i="220" s="1"/>
  <c r="C102" i="220"/>
  <c r="V102" i="220" s="1"/>
  <c r="A106" i="220"/>
  <c r="A75" i="220"/>
  <c r="C71" i="220"/>
  <c r="V71" i="220" s="1"/>
  <c r="A72" i="220"/>
  <c r="C68" i="220"/>
  <c r="V68" i="220" s="1"/>
  <c r="C77" i="219"/>
  <c r="A81" i="219"/>
  <c r="A76" i="219"/>
  <c r="C72" i="219"/>
  <c r="C70" i="219"/>
  <c r="A74" i="219"/>
  <c r="A75" i="219"/>
  <c r="C71" i="219"/>
  <c r="F41" i="156"/>
  <c r="F40" i="156"/>
  <c r="F39" i="156"/>
  <c r="F38" i="156"/>
  <c r="F36" i="156"/>
  <c r="C42" i="156"/>
  <c r="C43" i="156" s="1"/>
  <c r="E31" i="156"/>
  <c r="B27" i="156"/>
  <c r="B29" i="156"/>
  <c r="B30" i="156"/>
  <c r="B31" i="156"/>
  <c r="C30" i="156"/>
  <c r="H31" i="156"/>
  <c r="F28" i="156"/>
  <c r="E28" i="156" s="1"/>
  <c r="F29" i="156"/>
  <c r="H29" i="156" s="1"/>
  <c r="F26" i="156"/>
  <c r="E26" i="156" s="1"/>
  <c r="F31" i="156"/>
  <c r="F30" i="156"/>
  <c r="E30" i="156" s="1"/>
  <c r="F27" i="156"/>
  <c r="C28" i="156"/>
  <c r="B28" i="156" s="1"/>
  <c r="C29" i="156"/>
  <c r="C26" i="156"/>
  <c r="B26" i="156" s="1"/>
  <c r="C31" i="156"/>
  <c r="C27" i="156"/>
  <c r="F18" i="123"/>
  <c r="F42" i="156" l="1"/>
  <c r="F43" i="156" s="1"/>
  <c r="C32" i="156"/>
  <c r="H27" i="156"/>
  <c r="F32" i="156"/>
  <c r="F23" i="156" s="1"/>
  <c r="E29" i="156"/>
  <c r="E27" i="156"/>
  <c r="H28" i="156"/>
  <c r="H26" i="156"/>
  <c r="C77" i="218"/>
  <c r="A81" i="218"/>
  <c r="C81" i="218" s="1"/>
  <c r="A76" i="220"/>
  <c r="C72" i="220"/>
  <c r="V72" i="220" s="1"/>
  <c r="A110" i="220"/>
  <c r="C106" i="220"/>
  <c r="V106" i="220" s="1"/>
  <c r="C75" i="220"/>
  <c r="V75" i="220" s="1"/>
  <c r="A79" i="220"/>
  <c r="A81" i="220"/>
  <c r="C77" i="220"/>
  <c r="V77" i="220" s="1"/>
  <c r="C81" i="219"/>
  <c r="A85" i="219"/>
  <c r="A79" i="219"/>
  <c r="C75" i="219"/>
  <c r="A80" i="219"/>
  <c r="C76" i="219"/>
  <c r="A78" i="219"/>
  <c r="C74" i="219"/>
  <c r="H30" i="156"/>
  <c r="C23" i="156"/>
  <c r="H32" i="156" l="1"/>
  <c r="A85" i="220"/>
  <c r="C81" i="220"/>
  <c r="V81" i="220" s="1"/>
  <c r="A114" i="220"/>
  <c r="C110" i="220"/>
  <c r="V110" i="220" s="1"/>
  <c r="C79" i="220"/>
  <c r="V79" i="220" s="1"/>
  <c r="A83" i="220"/>
  <c r="A80" i="220"/>
  <c r="C76" i="220"/>
  <c r="V76" i="220" s="1"/>
  <c r="C79" i="219"/>
  <c r="A83" i="219"/>
  <c r="C85" i="219"/>
  <c r="A89" i="219"/>
  <c r="C80" i="219"/>
  <c r="A84" i="219"/>
  <c r="A82" i="219"/>
  <c r="C78" i="219"/>
  <c r="AE38" i="135"/>
  <c r="AE37" i="135"/>
  <c r="AE36" i="135"/>
  <c r="A87" i="220" l="1"/>
  <c r="C83" i="220"/>
  <c r="V83" i="220" s="1"/>
  <c r="C80" i="220"/>
  <c r="V80" i="220" s="1"/>
  <c r="A84" i="220"/>
  <c r="A118" i="220"/>
  <c r="C114" i="220"/>
  <c r="V114" i="220" s="1"/>
  <c r="A89" i="220"/>
  <c r="C85" i="220"/>
  <c r="V85" i="220" s="1"/>
  <c r="C89" i="219"/>
  <c r="A93" i="219"/>
  <c r="C82" i="219"/>
  <c r="A86" i="219"/>
  <c r="A88" i="219"/>
  <c r="C84" i="219"/>
  <c r="A87" i="219"/>
  <c r="C83" i="219"/>
  <c r="Q28" i="166"/>
  <c r="O28" i="166"/>
  <c r="M28" i="166"/>
  <c r="C89" i="220" l="1"/>
  <c r="V89" i="220" s="1"/>
  <c r="A93" i="220"/>
  <c r="C84" i="220"/>
  <c r="V84" i="220" s="1"/>
  <c r="A88" i="220"/>
  <c r="A122" i="220"/>
  <c r="C122" i="220" s="1"/>
  <c r="V122" i="220" s="1"/>
  <c r="C118" i="220"/>
  <c r="V118" i="220" s="1"/>
  <c r="A91" i="220"/>
  <c r="C87" i="220"/>
  <c r="V87" i="220" s="1"/>
  <c r="C93" i="219"/>
  <c r="A97" i="219"/>
  <c r="A90" i="219"/>
  <c r="C86" i="219"/>
  <c r="A91" i="219"/>
  <c r="C87" i="219"/>
  <c r="A92" i="219"/>
  <c r="C88" i="219"/>
  <c r="C39" i="159"/>
  <c r="D39" i="159"/>
  <c r="E39" i="159"/>
  <c r="F39" i="159"/>
  <c r="G39" i="159"/>
  <c r="H39" i="159"/>
  <c r="B39" i="159"/>
  <c r="C39" i="160"/>
  <c r="D39" i="160"/>
  <c r="E39" i="160"/>
  <c r="F39" i="160"/>
  <c r="G39" i="160"/>
  <c r="H39" i="160"/>
  <c r="I39" i="160"/>
  <c r="J39" i="160"/>
  <c r="K39" i="160"/>
  <c r="L39" i="160"/>
  <c r="M39" i="160"/>
  <c r="B39" i="160"/>
  <c r="D39" i="161"/>
  <c r="E39" i="161"/>
  <c r="F39" i="161"/>
  <c r="G39" i="161"/>
  <c r="H39" i="161"/>
  <c r="I39" i="161"/>
  <c r="J39" i="161"/>
  <c r="K39" i="161"/>
  <c r="L39" i="161"/>
  <c r="M39" i="161"/>
  <c r="N39" i="161"/>
  <c r="C39" i="161"/>
  <c r="B39" i="161"/>
  <c r="G42" i="163"/>
  <c r="H42" i="163"/>
  <c r="I42" i="163"/>
  <c r="J42" i="163"/>
  <c r="K42" i="163"/>
  <c r="L42" i="163"/>
  <c r="M42" i="163"/>
  <c r="N42" i="163"/>
  <c r="O42" i="163"/>
  <c r="P42" i="163"/>
  <c r="Q42" i="163"/>
  <c r="F42" i="163"/>
  <c r="D42" i="163"/>
  <c r="B42" i="163"/>
  <c r="G42" i="164"/>
  <c r="H42" i="164"/>
  <c r="I42" i="164"/>
  <c r="J42" i="164"/>
  <c r="K42" i="164"/>
  <c r="L42" i="164"/>
  <c r="M42" i="164"/>
  <c r="N42" i="164"/>
  <c r="O42" i="164"/>
  <c r="F42" i="164"/>
  <c r="D42" i="164"/>
  <c r="B42" i="164"/>
  <c r="B38" i="157"/>
  <c r="D38" i="157"/>
  <c r="G38" i="157"/>
  <c r="H38" i="157"/>
  <c r="I38" i="157"/>
  <c r="J38" i="157"/>
  <c r="K38" i="157"/>
  <c r="L38" i="157"/>
  <c r="M38" i="157"/>
  <c r="N38" i="157"/>
  <c r="O38" i="157"/>
  <c r="P38" i="157"/>
  <c r="Q38" i="157"/>
  <c r="R38" i="157"/>
  <c r="S38" i="157"/>
  <c r="T38" i="157"/>
  <c r="F38" i="157"/>
  <c r="C88" i="220" l="1"/>
  <c r="V88" i="220" s="1"/>
  <c r="A92" i="220"/>
  <c r="A95" i="220"/>
  <c r="C91" i="220"/>
  <c r="V91" i="220" s="1"/>
  <c r="A97" i="220"/>
  <c r="C93" i="220"/>
  <c r="V93" i="220" s="1"/>
  <c r="C97" i="219"/>
  <c r="A101" i="219"/>
  <c r="A95" i="219"/>
  <c r="C91" i="219"/>
  <c r="C92" i="219"/>
  <c r="A96" i="219"/>
  <c r="A94" i="219"/>
  <c r="C90" i="219"/>
  <c r="Q29" i="166"/>
  <c r="Q27" i="166"/>
  <c r="O30" i="166"/>
  <c r="O31" i="166"/>
  <c r="O27" i="166"/>
  <c r="O29" i="166"/>
  <c r="M30" i="166"/>
  <c r="M31" i="166"/>
  <c r="M27" i="166"/>
  <c r="M29" i="166"/>
  <c r="Q30" i="166"/>
  <c r="Q31" i="166"/>
  <c r="D4" i="167"/>
  <c r="C4" i="167"/>
  <c r="E3" i="167"/>
  <c r="D3" i="167"/>
  <c r="C3" i="167"/>
  <c r="B3" i="167"/>
  <c r="B10" i="163"/>
  <c r="B7" i="163"/>
  <c r="D7" i="163"/>
  <c r="D10" i="163" s="1"/>
  <c r="D9" i="163"/>
  <c r="D39" i="163"/>
  <c r="D36" i="163"/>
  <c r="D33" i="163"/>
  <c r="D26" i="163"/>
  <c r="D23" i="163"/>
  <c r="D21" i="163"/>
  <c r="B39" i="163"/>
  <c r="B36" i="163"/>
  <c r="B33" i="163"/>
  <c r="B26" i="163"/>
  <c r="B23" i="163"/>
  <c r="B21" i="163"/>
  <c r="B9" i="163"/>
  <c r="E11" i="166"/>
  <c r="E12" i="166" s="1"/>
  <c r="D11" i="166"/>
  <c r="C11" i="166"/>
  <c r="B11" i="166"/>
  <c r="F7" i="166"/>
  <c r="F8" i="166" s="1"/>
  <c r="D7" i="166"/>
  <c r="C7" i="166"/>
  <c r="B7" i="166"/>
  <c r="B9" i="157"/>
  <c r="D9" i="157"/>
  <c r="B36" i="157"/>
  <c r="B34" i="157"/>
  <c r="B33" i="157"/>
  <c r="B8" i="157"/>
  <c r="B26" i="157"/>
  <c r="B24" i="157"/>
  <c r="B23" i="157"/>
  <c r="B22" i="157"/>
  <c r="D36" i="157"/>
  <c r="D34" i="157"/>
  <c r="D33" i="157"/>
  <c r="D8" i="157"/>
  <c r="D26" i="157"/>
  <c r="D25" i="157"/>
  <c r="D24" i="157"/>
  <c r="D23" i="157"/>
  <c r="B39" i="164"/>
  <c r="B36" i="164"/>
  <c r="B33" i="164"/>
  <c r="B26" i="164"/>
  <c r="B9" i="164"/>
  <c r="B8" i="164"/>
  <c r="B23" i="164"/>
  <c r="B21" i="164"/>
  <c r="D39" i="164"/>
  <c r="D36" i="164"/>
  <c r="D33" i="164"/>
  <c r="D9" i="164"/>
  <c r="D8" i="164"/>
  <c r="D26" i="164"/>
  <c r="D23" i="164"/>
  <c r="D21" i="164"/>
  <c r="F8" i="164"/>
  <c r="F9" i="164" s="1"/>
  <c r="F28" i="164"/>
  <c r="F23" i="164"/>
  <c r="F26" i="164" s="1"/>
  <c r="F22" i="164"/>
  <c r="G8" i="164"/>
  <c r="G9" i="164" s="1"/>
  <c r="G28" i="164"/>
  <c r="G23" i="164"/>
  <c r="G22" i="164"/>
  <c r="G33" i="164" s="1"/>
  <c r="H9" i="164"/>
  <c r="H8" i="164"/>
  <c r="H23" i="164"/>
  <c r="H26" i="164" s="1"/>
  <c r="H28" i="164" s="1"/>
  <c r="I23" i="164"/>
  <c r="J23" i="164"/>
  <c r="K23" i="164"/>
  <c r="L23" i="164"/>
  <c r="L22" i="164"/>
  <c r="M23" i="164"/>
  <c r="M26" i="164" s="1"/>
  <c r="N23" i="164"/>
  <c r="N26" i="164" s="1"/>
  <c r="O23" i="164"/>
  <c r="O26" i="164" s="1"/>
  <c r="R39" i="164"/>
  <c r="Q39" i="164"/>
  <c r="P39" i="164"/>
  <c r="O39" i="164"/>
  <c r="N39" i="164"/>
  <c r="M39" i="164"/>
  <c r="L39" i="164"/>
  <c r="K39" i="164"/>
  <c r="J39" i="164"/>
  <c r="I39" i="164"/>
  <c r="H39" i="164"/>
  <c r="G39" i="164"/>
  <c r="F39" i="164"/>
  <c r="T36" i="164"/>
  <c r="S36" i="164"/>
  <c r="R36" i="164"/>
  <c r="Q36" i="164"/>
  <c r="P36" i="164"/>
  <c r="O36" i="164"/>
  <c r="N36" i="164"/>
  <c r="M36" i="164"/>
  <c r="L36" i="164"/>
  <c r="K36" i="164"/>
  <c r="J36" i="164"/>
  <c r="I36" i="164"/>
  <c r="H36" i="164"/>
  <c r="G36" i="164"/>
  <c r="F36" i="164"/>
  <c r="T34" i="164"/>
  <c r="S34" i="164"/>
  <c r="R34" i="164"/>
  <c r="Q34" i="164"/>
  <c r="P34" i="164"/>
  <c r="O34" i="164"/>
  <c r="N34" i="164"/>
  <c r="M34" i="164"/>
  <c r="L34" i="164"/>
  <c r="K34" i="164"/>
  <c r="J34" i="164"/>
  <c r="I34" i="164"/>
  <c r="H34" i="164"/>
  <c r="G34" i="164"/>
  <c r="F34" i="164"/>
  <c r="T33" i="164"/>
  <c r="S33" i="164"/>
  <c r="K33" i="164"/>
  <c r="T26" i="164"/>
  <c r="S26" i="164"/>
  <c r="R26" i="164"/>
  <c r="J26" i="164"/>
  <c r="K26" i="164"/>
  <c r="G26" i="164"/>
  <c r="R33" i="164"/>
  <c r="Q26" i="164"/>
  <c r="Q7" i="164" s="1"/>
  <c r="P26" i="164"/>
  <c r="O33" i="164"/>
  <c r="N33" i="164"/>
  <c r="L26" i="164"/>
  <c r="J33" i="164"/>
  <c r="I26" i="164"/>
  <c r="F33" i="164"/>
  <c r="T21" i="164"/>
  <c r="S21" i="164"/>
  <c r="R21" i="164"/>
  <c r="Q21" i="164"/>
  <c r="P21" i="164"/>
  <c r="O21" i="164"/>
  <c r="N21" i="164"/>
  <c r="M21" i="164"/>
  <c r="L21" i="164"/>
  <c r="K21" i="164"/>
  <c r="J21" i="164"/>
  <c r="I21" i="164"/>
  <c r="H21" i="164"/>
  <c r="G21" i="164"/>
  <c r="F21" i="164"/>
  <c r="T9" i="164"/>
  <c r="S9" i="164"/>
  <c r="P9" i="164"/>
  <c r="L9" i="164"/>
  <c r="K9" i="164"/>
  <c r="J9" i="164"/>
  <c r="I9" i="164"/>
  <c r="R9" i="164"/>
  <c r="Q9" i="164"/>
  <c r="O9" i="164"/>
  <c r="N9" i="164"/>
  <c r="M9" i="164"/>
  <c r="S7" i="164"/>
  <c r="S10" i="164" s="1"/>
  <c r="R7" i="164"/>
  <c r="R10" i="164" s="1"/>
  <c r="G39" i="163"/>
  <c r="H39" i="163"/>
  <c r="I39" i="163"/>
  <c r="J39" i="163"/>
  <c r="K39" i="163"/>
  <c r="L39" i="163"/>
  <c r="M39" i="163"/>
  <c r="N39" i="163"/>
  <c r="O39" i="163"/>
  <c r="P39" i="163"/>
  <c r="Q39" i="163"/>
  <c r="R39" i="163"/>
  <c r="F39" i="163"/>
  <c r="F28" i="163"/>
  <c r="F23" i="163"/>
  <c r="F22" i="163"/>
  <c r="F8" i="163"/>
  <c r="G28" i="163"/>
  <c r="G23" i="163"/>
  <c r="G22" i="163"/>
  <c r="G8" i="163"/>
  <c r="H28" i="163"/>
  <c r="H23" i="163"/>
  <c r="H22" i="163"/>
  <c r="I28" i="163"/>
  <c r="J28" i="163"/>
  <c r="I23" i="163"/>
  <c r="J23" i="163"/>
  <c r="I22" i="163"/>
  <c r="J22" i="163"/>
  <c r="K28" i="163"/>
  <c r="K23" i="163"/>
  <c r="K22" i="163"/>
  <c r="L28" i="163"/>
  <c r="L23" i="163"/>
  <c r="L22" i="163"/>
  <c r="M8" i="163"/>
  <c r="M28" i="163"/>
  <c r="M23" i="163"/>
  <c r="M22" i="163"/>
  <c r="N8" i="163"/>
  <c r="N28" i="163"/>
  <c r="N23" i="163"/>
  <c r="N22" i="163"/>
  <c r="O28" i="163"/>
  <c r="O23" i="163"/>
  <c r="O22" i="163"/>
  <c r="O8" i="163"/>
  <c r="Q28" i="163"/>
  <c r="P28" i="163"/>
  <c r="P23" i="163"/>
  <c r="P22" i="163"/>
  <c r="P8" i="163"/>
  <c r="R23" i="163"/>
  <c r="R22" i="163"/>
  <c r="Q23" i="163"/>
  <c r="Q22" i="163"/>
  <c r="R8" i="163"/>
  <c r="Q8" i="163"/>
  <c r="A99" i="220" l="1"/>
  <c r="C95" i="220"/>
  <c r="V95" i="220" s="1"/>
  <c r="A96" i="220"/>
  <c r="C92" i="220"/>
  <c r="V92" i="220" s="1"/>
  <c r="A101" i="220"/>
  <c r="C97" i="220"/>
  <c r="V97" i="220" s="1"/>
  <c r="C101" i="219"/>
  <c r="A105" i="219"/>
  <c r="C96" i="219"/>
  <c r="A100" i="219"/>
  <c r="C94" i="219"/>
  <c r="A98" i="219"/>
  <c r="C95" i="219"/>
  <c r="A99" i="219"/>
  <c r="D8" i="166"/>
  <c r="B8" i="166"/>
  <c r="C8" i="166"/>
  <c r="C12" i="166"/>
  <c r="D12" i="166"/>
  <c r="B12" i="166"/>
  <c r="K28" i="164"/>
  <c r="K7" i="164" s="1"/>
  <c r="K10" i="164" s="1"/>
  <c r="M28" i="164"/>
  <c r="L28" i="164"/>
  <c r="N28" i="164"/>
  <c r="J28" i="164"/>
  <c r="J7" i="164" s="1"/>
  <c r="J10" i="164" s="1"/>
  <c r="I28" i="164"/>
  <c r="I7" i="164" s="1"/>
  <c r="I10" i="164" s="1"/>
  <c r="M7" i="164"/>
  <c r="M10" i="164" s="1"/>
  <c r="N7" i="164"/>
  <c r="N10" i="164" s="1"/>
  <c r="Q10" i="164"/>
  <c r="H7" i="164"/>
  <c r="H10" i="164" s="1"/>
  <c r="L7" i="164"/>
  <c r="L10" i="164" s="1"/>
  <c r="P7" i="164"/>
  <c r="P10" i="164" s="1"/>
  <c r="G7" i="164"/>
  <c r="G10" i="164" s="1"/>
  <c r="O7" i="164"/>
  <c r="O10" i="164" s="1"/>
  <c r="F7" i="164"/>
  <c r="F10" i="164" s="1"/>
  <c r="H33" i="164"/>
  <c r="P33" i="164"/>
  <c r="I33" i="164"/>
  <c r="M33" i="164"/>
  <c r="Q33" i="164"/>
  <c r="L33" i="164"/>
  <c r="T36" i="163"/>
  <c r="S36" i="163"/>
  <c r="R36" i="163"/>
  <c r="Q36" i="163"/>
  <c r="P36" i="163"/>
  <c r="O36" i="163"/>
  <c r="N36" i="163"/>
  <c r="M36" i="163"/>
  <c r="L36" i="163"/>
  <c r="K36" i="163"/>
  <c r="J36" i="163"/>
  <c r="I36" i="163"/>
  <c r="H36" i="163"/>
  <c r="G36" i="163"/>
  <c r="F36" i="163"/>
  <c r="T34" i="163"/>
  <c r="S34" i="163"/>
  <c r="R34" i="163"/>
  <c r="Q34" i="163"/>
  <c r="P34" i="163"/>
  <c r="O34" i="163"/>
  <c r="N34" i="163"/>
  <c r="M34" i="163"/>
  <c r="L34" i="163"/>
  <c r="K34" i="163"/>
  <c r="J34" i="163"/>
  <c r="I34" i="163"/>
  <c r="H34" i="163"/>
  <c r="G34" i="163"/>
  <c r="F34" i="163"/>
  <c r="T33" i="163"/>
  <c r="S33" i="163"/>
  <c r="R33" i="163"/>
  <c r="Q33" i="163"/>
  <c r="P33" i="163"/>
  <c r="O33" i="163"/>
  <c r="L33" i="163"/>
  <c r="K33" i="163"/>
  <c r="G33" i="163"/>
  <c r="T26" i="163"/>
  <c r="S26" i="163"/>
  <c r="R26" i="163"/>
  <c r="N26" i="163"/>
  <c r="J26" i="163"/>
  <c r="J7" i="163" s="1"/>
  <c r="F26" i="163"/>
  <c r="Q26" i="163"/>
  <c r="Q7" i="163" s="1"/>
  <c r="P26" i="163"/>
  <c r="O26" i="163"/>
  <c r="L26" i="163"/>
  <c r="K26" i="163"/>
  <c r="G26" i="163"/>
  <c r="N33" i="163"/>
  <c r="M26" i="163"/>
  <c r="J33" i="163"/>
  <c r="I26" i="163"/>
  <c r="H26" i="163"/>
  <c r="F33" i="163"/>
  <c r="T21" i="163"/>
  <c r="S21" i="163"/>
  <c r="R21" i="163"/>
  <c r="Q21" i="163"/>
  <c r="P21" i="163"/>
  <c r="O21" i="163"/>
  <c r="N21" i="163"/>
  <c r="M21" i="163"/>
  <c r="L21" i="163"/>
  <c r="K21" i="163"/>
  <c r="J21" i="163"/>
  <c r="I21" i="163"/>
  <c r="H21" i="163"/>
  <c r="G21" i="163"/>
  <c r="F21" i="163"/>
  <c r="T9" i="163"/>
  <c r="S9" i="163"/>
  <c r="R9" i="163"/>
  <c r="G9" i="163"/>
  <c r="Q9" i="163"/>
  <c r="P9" i="163"/>
  <c r="O9" i="163"/>
  <c r="N9" i="163"/>
  <c r="M9" i="163"/>
  <c r="L9" i="163"/>
  <c r="K9" i="163"/>
  <c r="J9" i="163"/>
  <c r="I9" i="163"/>
  <c r="H9" i="163"/>
  <c r="F9" i="163"/>
  <c r="S7" i="163"/>
  <c r="R7" i="163"/>
  <c r="M8" i="161"/>
  <c r="L28" i="161"/>
  <c r="M28" i="161"/>
  <c r="N23" i="161"/>
  <c r="M23" i="161"/>
  <c r="M26" i="161" s="1"/>
  <c r="L8" i="161"/>
  <c r="K28" i="161"/>
  <c r="L23" i="161"/>
  <c r="K8" i="161"/>
  <c r="J28" i="161"/>
  <c r="K23" i="161"/>
  <c r="K22" i="161"/>
  <c r="J8" i="161"/>
  <c r="I28" i="161"/>
  <c r="J23" i="161"/>
  <c r="J22" i="161"/>
  <c r="J33" i="161" s="1"/>
  <c r="I8" i="161"/>
  <c r="H28" i="161"/>
  <c r="I23" i="161"/>
  <c r="I22" i="161"/>
  <c r="H8" i="161"/>
  <c r="H9" i="161" s="1"/>
  <c r="G28" i="161"/>
  <c r="H23" i="161"/>
  <c r="G8" i="161"/>
  <c r="F28" i="161"/>
  <c r="G23" i="161"/>
  <c r="G22" i="161"/>
  <c r="G33" i="161" s="1"/>
  <c r="F8" i="161"/>
  <c r="F9" i="161" s="1"/>
  <c r="E28" i="161"/>
  <c r="F23" i="161"/>
  <c r="F22" i="161"/>
  <c r="E8" i="161"/>
  <c r="D28" i="161"/>
  <c r="E23" i="161"/>
  <c r="E22" i="161"/>
  <c r="E26" i="161" s="1"/>
  <c r="D8" i="161"/>
  <c r="D9" i="161" s="1"/>
  <c r="C28" i="161"/>
  <c r="D23" i="161"/>
  <c r="D22" i="161"/>
  <c r="C23" i="161"/>
  <c r="C22" i="161"/>
  <c r="B23" i="161"/>
  <c r="B22" i="161"/>
  <c r="B8" i="161"/>
  <c r="P36" i="161"/>
  <c r="O36" i="161"/>
  <c r="N36" i="161"/>
  <c r="M36" i="161"/>
  <c r="L36" i="161"/>
  <c r="K36" i="161"/>
  <c r="I36" i="161"/>
  <c r="H36" i="161"/>
  <c r="G36" i="161"/>
  <c r="F36" i="161"/>
  <c r="E36" i="161"/>
  <c r="D36" i="161"/>
  <c r="C36" i="161"/>
  <c r="B36" i="161"/>
  <c r="P34" i="161"/>
  <c r="O34" i="161"/>
  <c r="N34" i="161"/>
  <c r="M34" i="161"/>
  <c r="L34" i="161"/>
  <c r="K34" i="161"/>
  <c r="J34" i="161"/>
  <c r="I34" i="161"/>
  <c r="H34" i="161"/>
  <c r="G34" i="161"/>
  <c r="F34" i="161"/>
  <c r="E34" i="161"/>
  <c r="D34" i="161"/>
  <c r="C34" i="161"/>
  <c r="B34" i="161"/>
  <c r="P33" i="161"/>
  <c r="O33" i="161"/>
  <c r="N33" i="161"/>
  <c r="M33" i="161"/>
  <c r="L33" i="161"/>
  <c r="K33" i="161"/>
  <c r="C33" i="161"/>
  <c r="P26" i="161"/>
  <c r="O26" i="161"/>
  <c r="N26" i="161"/>
  <c r="I26" i="161"/>
  <c r="L26" i="161"/>
  <c r="L7" i="161" s="1"/>
  <c r="K26" i="161"/>
  <c r="I33" i="161"/>
  <c r="H26" i="161"/>
  <c r="H7" i="161" s="1"/>
  <c r="F33" i="161"/>
  <c r="E33" i="161"/>
  <c r="C26" i="161"/>
  <c r="B33" i="161"/>
  <c r="P21" i="161"/>
  <c r="O21" i="161"/>
  <c r="N21" i="161"/>
  <c r="M21" i="161"/>
  <c r="L21" i="161"/>
  <c r="K21" i="161"/>
  <c r="J21" i="161"/>
  <c r="I21" i="161"/>
  <c r="H21" i="161"/>
  <c r="G21" i="161"/>
  <c r="F21" i="161"/>
  <c r="E21" i="161"/>
  <c r="D21" i="161"/>
  <c r="C21" i="161"/>
  <c r="B21" i="161"/>
  <c r="J36" i="161"/>
  <c r="P9" i="161"/>
  <c r="O9" i="161"/>
  <c r="N9" i="161"/>
  <c r="M9" i="161"/>
  <c r="I9" i="161"/>
  <c r="E9" i="161"/>
  <c r="L9" i="161"/>
  <c r="K9" i="161"/>
  <c r="J9" i="161"/>
  <c r="G9" i="161"/>
  <c r="C9" i="161"/>
  <c r="B9" i="161"/>
  <c r="O7" i="161"/>
  <c r="O10" i="161" s="1"/>
  <c r="N7" i="161"/>
  <c r="M7" i="161"/>
  <c r="L8" i="160"/>
  <c r="L9" i="160" s="1"/>
  <c r="L28" i="160"/>
  <c r="M24" i="160"/>
  <c r="M23" i="160"/>
  <c r="K28" i="160"/>
  <c r="K7" i="160" s="1"/>
  <c r="L24" i="160"/>
  <c r="L23" i="160"/>
  <c r="K8" i="160"/>
  <c r="K9" i="160" s="1"/>
  <c r="J28" i="160"/>
  <c r="K24" i="160"/>
  <c r="K26" i="160" s="1"/>
  <c r="K23" i="160"/>
  <c r="J15" i="160"/>
  <c r="J36" i="160" s="1"/>
  <c r="J8" i="160"/>
  <c r="I28" i="160"/>
  <c r="J24" i="160"/>
  <c r="J23" i="160"/>
  <c r="J22" i="160"/>
  <c r="J33" i="160" s="1"/>
  <c r="I8" i="160"/>
  <c r="H28" i="160"/>
  <c r="H7" i="160" s="1"/>
  <c r="I24" i="160"/>
  <c r="I26" i="160" s="1"/>
  <c r="I23" i="160"/>
  <c r="I22" i="160"/>
  <c r="H8" i="160"/>
  <c r="H9" i="160" s="1"/>
  <c r="G28" i="160"/>
  <c r="H24" i="160"/>
  <c r="H23" i="160"/>
  <c r="H22" i="160"/>
  <c r="H33" i="160" s="1"/>
  <c r="F28" i="160"/>
  <c r="G24" i="160"/>
  <c r="G23" i="160"/>
  <c r="G22" i="160"/>
  <c r="G8" i="160"/>
  <c r="G9" i="160" s="1"/>
  <c r="F8" i="160"/>
  <c r="E28" i="160"/>
  <c r="F24" i="160"/>
  <c r="F23" i="160"/>
  <c r="F22" i="160"/>
  <c r="E24" i="160"/>
  <c r="E23" i="160"/>
  <c r="E22" i="160"/>
  <c r="E33" i="160" s="1"/>
  <c r="E8" i="160"/>
  <c r="E9" i="160" s="1"/>
  <c r="C24" i="160"/>
  <c r="C23" i="160"/>
  <c r="C22" i="160"/>
  <c r="C33" i="160" s="1"/>
  <c r="C8" i="160"/>
  <c r="C9" i="160" s="1"/>
  <c r="D8" i="160"/>
  <c r="B8" i="160"/>
  <c r="B9" i="160" s="1"/>
  <c r="D25" i="160"/>
  <c r="D24" i="160"/>
  <c r="D26" i="160" s="1"/>
  <c r="D23" i="160"/>
  <c r="D22" i="160"/>
  <c r="D33" i="160" s="1"/>
  <c r="B25" i="160"/>
  <c r="B24" i="160"/>
  <c r="B23" i="160"/>
  <c r="B22" i="160"/>
  <c r="B33" i="160" s="1"/>
  <c r="P36" i="160"/>
  <c r="O36" i="160"/>
  <c r="N36" i="160"/>
  <c r="M36" i="160"/>
  <c r="L36" i="160"/>
  <c r="K36" i="160"/>
  <c r="I36" i="160"/>
  <c r="H36" i="160"/>
  <c r="G36" i="160"/>
  <c r="F36" i="160"/>
  <c r="E36" i="160"/>
  <c r="D36" i="160"/>
  <c r="C36" i="160"/>
  <c r="B36" i="160"/>
  <c r="P34" i="160"/>
  <c r="O34" i="160"/>
  <c r="N34" i="160"/>
  <c r="M34" i="160"/>
  <c r="L34" i="160"/>
  <c r="K34" i="160"/>
  <c r="J34" i="160"/>
  <c r="I34" i="160"/>
  <c r="H34" i="160"/>
  <c r="G34" i="160"/>
  <c r="F34" i="160"/>
  <c r="E34" i="160"/>
  <c r="D34" i="160"/>
  <c r="C34" i="160"/>
  <c r="B34" i="160"/>
  <c r="P33" i="160"/>
  <c r="O33" i="160"/>
  <c r="N33" i="160"/>
  <c r="M33" i="160"/>
  <c r="L33" i="160"/>
  <c r="K33" i="160"/>
  <c r="I33" i="160"/>
  <c r="P26" i="160"/>
  <c r="O26" i="160"/>
  <c r="N26" i="160"/>
  <c r="L26" i="160"/>
  <c r="H26" i="160"/>
  <c r="P21" i="160"/>
  <c r="O21" i="160"/>
  <c r="N21" i="160"/>
  <c r="M21" i="160"/>
  <c r="L21" i="160"/>
  <c r="K21" i="160"/>
  <c r="J21" i="160"/>
  <c r="I21" i="160"/>
  <c r="H21" i="160"/>
  <c r="G21" i="160"/>
  <c r="F21" i="160"/>
  <c r="E21" i="160"/>
  <c r="D21" i="160"/>
  <c r="C21" i="160"/>
  <c r="B21" i="160"/>
  <c r="P9" i="160"/>
  <c r="O9" i="160"/>
  <c r="N9" i="160"/>
  <c r="M9" i="160"/>
  <c r="J9" i="160"/>
  <c r="F9" i="160"/>
  <c r="D9" i="160"/>
  <c r="I9" i="160"/>
  <c r="O7" i="160"/>
  <c r="N7" i="160"/>
  <c r="M7" i="160"/>
  <c r="L7" i="160"/>
  <c r="J7" i="160"/>
  <c r="I7" i="160"/>
  <c r="J8" i="159"/>
  <c r="J9" i="159" s="1"/>
  <c r="I8" i="159"/>
  <c r="H23" i="159"/>
  <c r="H26" i="159" s="1"/>
  <c r="G28" i="159" s="1"/>
  <c r="H24" i="159"/>
  <c r="F28" i="159"/>
  <c r="G24" i="159"/>
  <c r="G23" i="159"/>
  <c r="E28" i="159"/>
  <c r="F24" i="159"/>
  <c r="F23" i="159"/>
  <c r="F26" i="159" s="1"/>
  <c r="D28" i="159"/>
  <c r="E24" i="159"/>
  <c r="E23" i="159"/>
  <c r="C28" i="159"/>
  <c r="D24" i="159"/>
  <c r="C24" i="159"/>
  <c r="B24" i="159"/>
  <c r="B26" i="159" s="1"/>
  <c r="D23" i="159"/>
  <c r="C23" i="159"/>
  <c r="C26" i="159" s="1"/>
  <c r="B23" i="159"/>
  <c r="C21" i="159"/>
  <c r="D21" i="159"/>
  <c r="E21" i="159"/>
  <c r="F21" i="159"/>
  <c r="G21" i="159"/>
  <c r="H21" i="159"/>
  <c r="I21" i="159"/>
  <c r="J21" i="159"/>
  <c r="K21" i="159"/>
  <c r="L21" i="159"/>
  <c r="M21" i="159"/>
  <c r="N21" i="159"/>
  <c r="O21" i="159"/>
  <c r="P21" i="159"/>
  <c r="B21" i="159"/>
  <c r="P36" i="159"/>
  <c r="O36" i="159"/>
  <c r="N36" i="159"/>
  <c r="M36" i="159"/>
  <c r="L36" i="159"/>
  <c r="K36" i="159"/>
  <c r="J36" i="159"/>
  <c r="I36" i="159"/>
  <c r="H36" i="159"/>
  <c r="G36" i="159"/>
  <c r="F36" i="159"/>
  <c r="E36" i="159"/>
  <c r="D36" i="159"/>
  <c r="C36" i="159"/>
  <c r="B36" i="159"/>
  <c r="P34" i="159"/>
  <c r="O34" i="159"/>
  <c r="N34" i="159"/>
  <c r="M34" i="159"/>
  <c r="P33" i="159"/>
  <c r="O33" i="159"/>
  <c r="N33" i="159"/>
  <c r="M33" i="159"/>
  <c r="L33" i="159"/>
  <c r="J33" i="159"/>
  <c r="I33" i="159"/>
  <c r="H33" i="159"/>
  <c r="G33" i="159"/>
  <c r="F33" i="159"/>
  <c r="E33" i="159"/>
  <c r="D33" i="159"/>
  <c r="C33" i="159"/>
  <c r="B33" i="159"/>
  <c r="N26" i="159"/>
  <c r="N7" i="159" s="1"/>
  <c r="J26" i="159"/>
  <c r="O26" i="159"/>
  <c r="P26" i="159"/>
  <c r="M26" i="159"/>
  <c r="M7" i="159" s="1"/>
  <c r="L26" i="159"/>
  <c r="I26" i="159"/>
  <c r="I7" i="159" s="1"/>
  <c r="K33" i="159"/>
  <c r="L34" i="159"/>
  <c r="K34" i="159"/>
  <c r="J34" i="159"/>
  <c r="I34" i="159"/>
  <c r="H34" i="159"/>
  <c r="G34" i="159"/>
  <c r="F34" i="159"/>
  <c r="E34" i="159"/>
  <c r="D34" i="159"/>
  <c r="C34" i="159"/>
  <c r="B34" i="159"/>
  <c r="P9" i="159"/>
  <c r="N9" i="159"/>
  <c r="M9" i="159"/>
  <c r="L9" i="159"/>
  <c r="I9" i="159"/>
  <c r="H9" i="159"/>
  <c r="F9" i="159"/>
  <c r="E9" i="159"/>
  <c r="D9" i="159"/>
  <c r="B9" i="159"/>
  <c r="O9" i="159"/>
  <c r="K9" i="159"/>
  <c r="G9" i="159"/>
  <c r="C9" i="159"/>
  <c r="O8" i="158"/>
  <c r="G15" i="158"/>
  <c r="E20" i="158"/>
  <c r="E24" i="158"/>
  <c r="E28" i="158"/>
  <c r="E32" i="158"/>
  <c r="E36" i="158"/>
  <c r="E40" i="158"/>
  <c r="E44" i="158"/>
  <c r="E48" i="158"/>
  <c r="E52" i="158"/>
  <c r="E56" i="158"/>
  <c r="E60" i="158"/>
  <c r="E64" i="158"/>
  <c r="E68" i="158"/>
  <c r="E72" i="158"/>
  <c r="B83" i="158"/>
  <c r="C19" i="158"/>
  <c r="G19" i="158" s="1"/>
  <c r="C20" i="158"/>
  <c r="G20" i="158" s="1"/>
  <c r="C21" i="158"/>
  <c r="E21" i="158" s="1"/>
  <c r="C22" i="158"/>
  <c r="G22" i="158" s="1"/>
  <c r="C23" i="158"/>
  <c r="G23" i="158" s="1"/>
  <c r="C24" i="158"/>
  <c r="G24" i="158" s="1"/>
  <c r="C25" i="158"/>
  <c r="E25" i="158" s="1"/>
  <c r="C26" i="158"/>
  <c r="G26" i="158" s="1"/>
  <c r="C27" i="158"/>
  <c r="G27" i="158" s="1"/>
  <c r="C28" i="158"/>
  <c r="G28" i="158" s="1"/>
  <c r="C29" i="158"/>
  <c r="E29" i="158" s="1"/>
  <c r="C30" i="158"/>
  <c r="G30" i="158" s="1"/>
  <c r="C31" i="158"/>
  <c r="G31" i="158" s="1"/>
  <c r="C32" i="158"/>
  <c r="G32" i="158" s="1"/>
  <c r="C33" i="158"/>
  <c r="E33" i="158" s="1"/>
  <c r="C34" i="158"/>
  <c r="G34" i="158" s="1"/>
  <c r="C35" i="158"/>
  <c r="G35" i="158" s="1"/>
  <c r="C36" i="158"/>
  <c r="G36" i="158" s="1"/>
  <c r="C37" i="158"/>
  <c r="E37" i="158" s="1"/>
  <c r="C38" i="158"/>
  <c r="G38" i="158" s="1"/>
  <c r="C39" i="158"/>
  <c r="G39" i="158" s="1"/>
  <c r="C40" i="158"/>
  <c r="G40" i="158" s="1"/>
  <c r="C41" i="158"/>
  <c r="E41" i="158" s="1"/>
  <c r="C42" i="158"/>
  <c r="G42" i="158" s="1"/>
  <c r="C43" i="158"/>
  <c r="G43" i="158" s="1"/>
  <c r="C44" i="158"/>
  <c r="G44" i="158" s="1"/>
  <c r="C45" i="158"/>
  <c r="E45" i="158" s="1"/>
  <c r="C46" i="158"/>
  <c r="G46" i="158" s="1"/>
  <c r="C47" i="158"/>
  <c r="G47" i="158" s="1"/>
  <c r="C48" i="158"/>
  <c r="G48" i="158" s="1"/>
  <c r="C49" i="158"/>
  <c r="E49" i="158" s="1"/>
  <c r="C50" i="158"/>
  <c r="G50" i="158" s="1"/>
  <c r="C51" i="158"/>
  <c r="G51" i="158" s="1"/>
  <c r="C52" i="158"/>
  <c r="G52" i="158" s="1"/>
  <c r="C53" i="158"/>
  <c r="E53" i="158" s="1"/>
  <c r="C54" i="158"/>
  <c r="G54" i="158" s="1"/>
  <c r="C55" i="158"/>
  <c r="G55" i="158" s="1"/>
  <c r="C56" i="158"/>
  <c r="G56" i="158" s="1"/>
  <c r="C57" i="158"/>
  <c r="E57" i="158" s="1"/>
  <c r="C58" i="158"/>
  <c r="G58" i="158" s="1"/>
  <c r="C59" i="158"/>
  <c r="G59" i="158" s="1"/>
  <c r="C60" i="158"/>
  <c r="G60" i="158" s="1"/>
  <c r="C61" i="158"/>
  <c r="E61" i="158" s="1"/>
  <c r="C62" i="158"/>
  <c r="G62" i="158" s="1"/>
  <c r="C63" i="158"/>
  <c r="G63" i="158" s="1"/>
  <c r="C64" i="158"/>
  <c r="G64" i="158" s="1"/>
  <c r="C65" i="158"/>
  <c r="E65" i="158" s="1"/>
  <c r="C66" i="158"/>
  <c r="G66" i="158" s="1"/>
  <c r="C67" i="158"/>
  <c r="G67" i="158" s="1"/>
  <c r="C68" i="158"/>
  <c r="G68" i="158" s="1"/>
  <c r="C69" i="158"/>
  <c r="E69" i="158" s="1"/>
  <c r="C70" i="158"/>
  <c r="G70" i="158" s="1"/>
  <c r="C71" i="158"/>
  <c r="G71" i="158" s="1"/>
  <c r="C72" i="158"/>
  <c r="G72" i="158" s="1"/>
  <c r="C8" i="158"/>
  <c r="E8" i="158" s="1"/>
  <c r="C9" i="158"/>
  <c r="E9" i="158" s="1"/>
  <c r="C10" i="158"/>
  <c r="G10" i="158" s="1"/>
  <c r="C11" i="158"/>
  <c r="E11" i="158" s="1"/>
  <c r="C12" i="158"/>
  <c r="G12" i="158" s="1"/>
  <c r="C13" i="158"/>
  <c r="E13" i="158" s="1"/>
  <c r="C14" i="158"/>
  <c r="G14" i="158" s="1"/>
  <c r="C15" i="158"/>
  <c r="E15" i="158" s="1"/>
  <c r="C16" i="158"/>
  <c r="G16" i="158" s="1"/>
  <c r="C17" i="158"/>
  <c r="E17" i="158" s="1"/>
  <c r="C18" i="158"/>
  <c r="G18" i="158" s="1"/>
  <c r="C96" i="220" l="1"/>
  <c r="V96" i="220" s="1"/>
  <c r="A100" i="220"/>
  <c r="A105" i="220"/>
  <c r="C101" i="220"/>
  <c r="V101" i="220" s="1"/>
  <c r="A103" i="220"/>
  <c r="C99" i="220"/>
  <c r="V99" i="220" s="1"/>
  <c r="C99" i="219"/>
  <c r="A103" i="219"/>
  <c r="C100" i="219"/>
  <c r="A104" i="219"/>
  <c r="C98" i="219"/>
  <c r="A102" i="219"/>
  <c r="C105" i="219"/>
  <c r="A109" i="219"/>
  <c r="J10" i="163"/>
  <c r="P7" i="163"/>
  <c r="R10" i="163"/>
  <c r="I7" i="163"/>
  <c r="I10" i="163" s="1"/>
  <c r="N7" i="163"/>
  <c r="N10" i="163" s="1"/>
  <c r="M7" i="163"/>
  <c r="M10" i="163" s="1"/>
  <c r="L7" i="163"/>
  <c r="L10" i="163" s="1"/>
  <c r="S10" i="163"/>
  <c r="P10" i="163"/>
  <c r="Q10" i="163"/>
  <c r="H7" i="163"/>
  <c r="H10" i="163" s="1"/>
  <c r="G7" i="163"/>
  <c r="G10" i="163" s="1"/>
  <c r="K7" i="163"/>
  <c r="K10" i="163" s="1"/>
  <c r="O7" i="163"/>
  <c r="O10" i="163" s="1"/>
  <c r="F7" i="163"/>
  <c r="F10" i="163" s="1"/>
  <c r="H33" i="163"/>
  <c r="I33" i="163"/>
  <c r="M33" i="163"/>
  <c r="M10" i="161"/>
  <c r="N10" i="161"/>
  <c r="G26" i="161"/>
  <c r="D26" i="161"/>
  <c r="D7" i="161" s="1"/>
  <c r="K7" i="161"/>
  <c r="K10" i="161" s="1"/>
  <c r="H10" i="161"/>
  <c r="L10" i="161"/>
  <c r="D10" i="161"/>
  <c r="C7" i="161"/>
  <c r="C10" i="161" s="1"/>
  <c r="G7" i="161"/>
  <c r="G10" i="161" s="1"/>
  <c r="B26" i="161"/>
  <c r="B28" i="161" s="1"/>
  <c r="B7" i="161" s="1"/>
  <c r="B10" i="161" s="1"/>
  <c r="F26" i="161"/>
  <c r="F7" i="161" s="1"/>
  <c r="F10" i="161" s="1"/>
  <c r="J26" i="161"/>
  <c r="J7" i="161" s="1"/>
  <c r="J10" i="161" s="1"/>
  <c r="D33" i="161"/>
  <c r="H33" i="161"/>
  <c r="L10" i="160"/>
  <c r="M26" i="160"/>
  <c r="K10" i="160"/>
  <c r="J26" i="160"/>
  <c r="H10" i="160"/>
  <c r="G26" i="160"/>
  <c r="G7" i="160" s="1"/>
  <c r="G33" i="160"/>
  <c r="F26" i="160"/>
  <c r="F33" i="160"/>
  <c r="O10" i="160"/>
  <c r="B26" i="160"/>
  <c r="I10" i="160"/>
  <c r="M10" i="160"/>
  <c r="C26" i="160"/>
  <c r="E26" i="160"/>
  <c r="D28" i="160" s="1"/>
  <c r="D7" i="160" s="1"/>
  <c r="D10" i="160" s="1"/>
  <c r="B28" i="160"/>
  <c r="B7" i="160" s="1"/>
  <c r="B10" i="160" s="1"/>
  <c r="C28" i="160"/>
  <c r="C7" i="160" s="1"/>
  <c r="C10" i="160" s="1"/>
  <c r="N10" i="160"/>
  <c r="J10" i="160"/>
  <c r="G10" i="160"/>
  <c r="F7" i="160"/>
  <c r="F10" i="160" s="1"/>
  <c r="G26" i="159"/>
  <c r="E26" i="159"/>
  <c r="E7" i="159" s="1"/>
  <c r="D26" i="159"/>
  <c r="B28" i="159"/>
  <c r="B7" i="159" s="1"/>
  <c r="B10" i="159" s="1"/>
  <c r="F7" i="159"/>
  <c r="F10" i="159" s="1"/>
  <c r="E10" i="159"/>
  <c r="I10" i="159"/>
  <c r="M10" i="159"/>
  <c r="N10" i="159"/>
  <c r="D7" i="159"/>
  <c r="D10" i="159" s="1"/>
  <c r="C7" i="159"/>
  <c r="C10" i="159" s="1"/>
  <c r="H7" i="159"/>
  <c r="H10" i="159" s="1"/>
  <c r="L7" i="159"/>
  <c r="L10" i="159" s="1"/>
  <c r="G7" i="159"/>
  <c r="G10" i="159" s="1"/>
  <c r="O7" i="159"/>
  <c r="O10" i="159" s="1"/>
  <c r="K26" i="159"/>
  <c r="K7" i="159" s="1"/>
  <c r="K10" i="159" s="1"/>
  <c r="E70" i="158"/>
  <c r="E62" i="158"/>
  <c r="E54" i="158"/>
  <c r="E46" i="158"/>
  <c r="E38" i="158"/>
  <c r="E30" i="158"/>
  <c r="E22" i="158"/>
  <c r="G13" i="158"/>
  <c r="G11" i="158"/>
  <c r="E66" i="158"/>
  <c r="E58" i="158"/>
  <c r="E50" i="158"/>
  <c r="E42" i="158"/>
  <c r="E34" i="158"/>
  <c r="E26" i="158"/>
  <c r="G17" i="158"/>
  <c r="G9" i="158"/>
  <c r="E16" i="158"/>
  <c r="E12" i="158"/>
  <c r="G8" i="158"/>
  <c r="G69" i="158"/>
  <c r="G65" i="158"/>
  <c r="G61" i="158"/>
  <c r="G57" i="158"/>
  <c r="G53" i="158"/>
  <c r="G49" i="158"/>
  <c r="G45" i="158"/>
  <c r="G41" i="158"/>
  <c r="G37" i="158"/>
  <c r="G33" i="158"/>
  <c r="G29" i="158"/>
  <c r="G25" i="158"/>
  <c r="G21" i="158"/>
  <c r="C4" i="158"/>
  <c r="E71" i="158"/>
  <c r="E67" i="158"/>
  <c r="E63" i="158"/>
  <c r="E59" i="158"/>
  <c r="E55" i="158"/>
  <c r="E51" i="158"/>
  <c r="E47" i="158"/>
  <c r="E43" i="158"/>
  <c r="E39" i="158"/>
  <c r="E35" i="158"/>
  <c r="E31" i="158"/>
  <c r="E27" i="158"/>
  <c r="E23" i="158"/>
  <c r="E19" i="158"/>
  <c r="E18" i="158"/>
  <c r="E14" i="158"/>
  <c r="E10" i="158"/>
  <c r="O33" i="157"/>
  <c r="N7" i="157"/>
  <c r="N10" i="157" s="1"/>
  <c r="O7" i="157"/>
  <c r="N28" i="157"/>
  <c r="O28" i="157"/>
  <c r="O26" i="157"/>
  <c r="O25" i="157"/>
  <c r="O24" i="157"/>
  <c r="O23" i="157"/>
  <c r="O22" i="157"/>
  <c r="T36" i="157"/>
  <c r="T34" i="157"/>
  <c r="T9" i="157"/>
  <c r="T8" i="157"/>
  <c r="S10" i="157"/>
  <c r="S7" i="157"/>
  <c r="T33" i="157"/>
  <c r="T24" i="157"/>
  <c r="T26" i="157"/>
  <c r="S28" i="157" s="1"/>
  <c r="T25" i="157"/>
  <c r="T23" i="157"/>
  <c r="S36" i="157"/>
  <c r="S34" i="157"/>
  <c r="R33" i="157"/>
  <c r="S33" i="157"/>
  <c r="R10" i="157"/>
  <c r="S8" i="157"/>
  <c r="S9" i="157" s="1"/>
  <c r="R7" i="157"/>
  <c r="R28" i="157"/>
  <c r="S26" i="157"/>
  <c r="S25" i="157"/>
  <c r="S24" i="157"/>
  <c r="S23" i="157"/>
  <c r="G36" i="157"/>
  <c r="H36" i="157"/>
  <c r="I36" i="157"/>
  <c r="J36" i="157"/>
  <c r="K36" i="157"/>
  <c r="L36" i="157"/>
  <c r="M36" i="157"/>
  <c r="N36" i="157"/>
  <c r="O36" i="157"/>
  <c r="P36" i="157"/>
  <c r="Q36" i="157"/>
  <c r="R36" i="157"/>
  <c r="F36" i="157"/>
  <c r="R34" i="157"/>
  <c r="R9" i="157"/>
  <c r="R8" i="157"/>
  <c r="Q10" i="157"/>
  <c r="Q7" i="157"/>
  <c r="Q28" i="157"/>
  <c r="R26" i="157"/>
  <c r="R25" i="157"/>
  <c r="R24" i="157"/>
  <c r="R23" i="157"/>
  <c r="P33" i="157"/>
  <c r="Q33" i="157"/>
  <c r="Q34" i="157"/>
  <c r="P10" i="157"/>
  <c r="P7" i="157"/>
  <c r="P28" i="157"/>
  <c r="Q26" i="157"/>
  <c r="Q25" i="157"/>
  <c r="Q24" i="157"/>
  <c r="Q23" i="157"/>
  <c r="Q8" i="157"/>
  <c r="Q9" i="157"/>
  <c r="P34" i="157"/>
  <c r="P26" i="157"/>
  <c r="P25" i="157"/>
  <c r="P24" i="157"/>
  <c r="P23" i="157"/>
  <c r="P13" i="157"/>
  <c r="P8" i="157" s="1"/>
  <c r="P9" i="157" s="1"/>
  <c r="I7" i="157"/>
  <c r="I8" i="157"/>
  <c r="G8" i="157"/>
  <c r="G9" i="157" s="1"/>
  <c r="H8" i="157"/>
  <c r="H9" i="157" s="1"/>
  <c r="I9" i="157"/>
  <c r="J8" i="157"/>
  <c r="K8" i="157"/>
  <c r="K9" i="157" s="1"/>
  <c r="L8" i="157"/>
  <c r="L9" i="157" s="1"/>
  <c r="M8" i="157"/>
  <c r="M9" i="157" s="1"/>
  <c r="M10" i="157" s="1"/>
  <c r="N8" i="157"/>
  <c r="O8" i="157"/>
  <c r="O9" i="157" s="1"/>
  <c r="O10" i="157" s="1"/>
  <c r="F8" i="157"/>
  <c r="F9" i="157" s="1"/>
  <c r="O34" i="157"/>
  <c r="O13" i="157"/>
  <c r="N33" i="157"/>
  <c r="N34" i="157"/>
  <c r="M34" i="157"/>
  <c r="M33" i="157"/>
  <c r="N13" i="157"/>
  <c r="M7" i="157"/>
  <c r="M28" i="157"/>
  <c r="N26" i="157"/>
  <c r="N25" i="157"/>
  <c r="N24" i="157"/>
  <c r="N23" i="157"/>
  <c r="N9" i="157"/>
  <c r="M25" i="157"/>
  <c r="M24" i="157"/>
  <c r="M26" i="157" s="1"/>
  <c r="M23" i="157"/>
  <c r="L13" i="157"/>
  <c r="L34" i="157" s="1"/>
  <c r="M13" i="157"/>
  <c r="J13" i="157"/>
  <c r="J34" i="157" s="1"/>
  <c r="K13" i="157"/>
  <c r="K34" i="157" s="1"/>
  <c r="H13" i="157"/>
  <c r="H34" i="157" s="1"/>
  <c r="I13" i="157"/>
  <c r="I34" i="157" s="1"/>
  <c r="G13" i="157"/>
  <c r="G34" i="157" s="1"/>
  <c r="F13" i="157"/>
  <c r="F34" i="157" s="1"/>
  <c r="G33" i="157"/>
  <c r="H33" i="157"/>
  <c r="I33" i="157"/>
  <c r="J33" i="157"/>
  <c r="K33" i="157"/>
  <c r="L33" i="157"/>
  <c r="F33" i="157"/>
  <c r="L25" i="157"/>
  <c r="L26" i="157"/>
  <c r="L28" i="157" s="1"/>
  <c r="L7" i="157" s="1"/>
  <c r="L24" i="157"/>
  <c r="L23" i="157"/>
  <c r="K26" i="157"/>
  <c r="K28" i="157" s="1"/>
  <c r="K7" i="157" s="1"/>
  <c r="K25" i="157"/>
  <c r="J25" i="157"/>
  <c r="K24" i="157"/>
  <c r="J24" i="157"/>
  <c r="J26" i="157" s="1"/>
  <c r="J28" i="157" s="1"/>
  <c r="J7" i="157" s="1"/>
  <c r="K23" i="157"/>
  <c r="J23" i="157"/>
  <c r="J9" i="157"/>
  <c r="I26" i="157"/>
  <c r="I25" i="157"/>
  <c r="I24" i="157"/>
  <c r="I23" i="157"/>
  <c r="H25" i="157"/>
  <c r="H23" i="157"/>
  <c r="H24" i="157"/>
  <c r="G26" i="157"/>
  <c r="F25" i="157"/>
  <c r="F26" i="157" s="1"/>
  <c r="F28" i="157" s="1"/>
  <c r="F7" i="157" s="1"/>
  <c r="G23" i="157"/>
  <c r="F23" i="157"/>
  <c r="A109" i="220" l="1"/>
  <c r="C105" i="220"/>
  <c r="V105" i="220" s="1"/>
  <c r="A104" i="220"/>
  <c r="C100" i="220"/>
  <c r="V100" i="220" s="1"/>
  <c r="C103" i="220"/>
  <c r="V103" i="220" s="1"/>
  <c r="A107" i="220"/>
  <c r="C109" i="219"/>
  <c r="A113" i="219"/>
  <c r="C104" i="219"/>
  <c r="A108" i="219"/>
  <c r="C102" i="219"/>
  <c r="A106" i="219"/>
  <c r="A107" i="219"/>
  <c r="C103" i="219"/>
  <c r="I7" i="161"/>
  <c r="I10" i="161" s="1"/>
  <c r="E7" i="161"/>
  <c r="E10" i="161" s="1"/>
  <c r="E7" i="160"/>
  <c r="E10" i="160" s="1"/>
  <c r="J7" i="159"/>
  <c r="J10" i="159" s="1"/>
  <c r="L10" i="157"/>
  <c r="J10" i="157"/>
  <c r="K10" i="157"/>
  <c r="F10" i="157"/>
  <c r="I28" i="157"/>
  <c r="I10" i="157" s="1"/>
  <c r="H26" i="157"/>
  <c r="B27" i="140"/>
  <c r="A108" i="220" l="1"/>
  <c r="C104" i="220"/>
  <c r="V104" i="220" s="1"/>
  <c r="A111" i="220"/>
  <c r="C107" i="220"/>
  <c r="V107" i="220" s="1"/>
  <c r="A113" i="220"/>
  <c r="C109" i="220"/>
  <c r="V109" i="220" s="1"/>
  <c r="A112" i="219"/>
  <c r="C108" i="219"/>
  <c r="A111" i="219"/>
  <c r="C107" i="219"/>
  <c r="C106" i="219"/>
  <c r="A110" i="219"/>
  <c r="C113" i="219"/>
  <c r="A117" i="219"/>
  <c r="G28" i="157"/>
  <c r="G7" i="157" s="1"/>
  <c r="G10" i="157" s="1"/>
  <c r="H28" i="157"/>
  <c r="H7" i="157" s="1"/>
  <c r="H10" i="157" s="1"/>
  <c r="L29" i="135"/>
  <c r="B30" i="149"/>
  <c r="A115" i="220" l="1"/>
  <c r="C111" i="220"/>
  <c r="V111" i="220" s="1"/>
  <c r="A117" i="220"/>
  <c r="C113" i="220"/>
  <c r="V113" i="220" s="1"/>
  <c r="A112" i="220"/>
  <c r="C108" i="220"/>
  <c r="V108" i="220" s="1"/>
  <c r="A115" i="219"/>
  <c r="C111" i="219"/>
  <c r="C117" i="219"/>
  <c r="A121" i="219"/>
  <c r="C121" i="219" s="1"/>
  <c r="C110" i="219"/>
  <c r="A114" i="219"/>
  <c r="A116" i="219"/>
  <c r="C112" i="219"/>
  <c r="H13" i="156"/>
  <c r="I13" i="156"/>
  <c r="H14" i="156"/>
  <c r="I14" i="156"/>
  <c r="H12" i="156"/>
  <c r="I12" i="156"/>
  <c r="H10" i="156"/>
  <c r="I10" i="156"/>
  <c r="C16" i="156"/>
  <c r="B16" i="156"/>
  <c r="F16" i="156"/>
  <c r="E16" i="156"/>
  <c r="H8" i="156"/>
  <c r="I8" i="156"/>
  <c r="H7" i="156"/>
  <c r="I7" i="156"/>
  <c r="I17" i="156"/>
  <c r="H17" i="156"/>
  <c r="I11" i="156"/>
  <c r="H11" i="156"/>
  <c r="I15" i="156"/>
  <c r="H15" i="156"/>
  <c r="I9" i="156"/>
  <c r="H9" i="156"/>
  <c r="I6" i="156"/>
  <c r="H6" i="156"/>
  <c r="W8" i="137"/>
  <c r="W6" i="137"/>
  <c r="W7" i="137"/>
  <c r="W9" i="137"/>
  <c r="W10" i="137"/>
  <c r="V13" i="137"/>
  <c r="W13" i="137" s="1"/>
  <c r="V12" i="137"/>
  <c r="W12" i="137"/>
  <c r="V10" i="137"/>
  <c r="V7" i="137"/>
  <c r="V8" i="137"/>
  <c r="V9" i="137"/>
  <c r="V6" i="137"/>
  <c r="T6" i="137"/>
  <c r="T7" i="137"/>
  <c r="T8" i="137"/>
  <c r="T9" i="137"/>
  <c r="T10" i="137"/>
  <c r="T11" i="137"/>
  <c r="T12" i="137"/>
  <c r="T13" i="137"/>
  <c r="S7" i="137"/>
  <c r="S8" i="137"/>
  <c r="S9" i="137"/>
  <c r="S10" i="137"/>
  <c r="S11" i="137"/>
  <c r="S12" i="137"/>
  <c r="S13" i="137"/>
  <c r="S6" i="137"/>
  <c r="B37" i="147"/>
  <c r="B43" i="147"/>
  <c r="B42" i="147"/>
  <c r="H20" i="147"/>
  <c r="B34" i="147" s="1"/>
  <c r="H11" i="147"/>
  <c r="H10" i="147"/>
  <c r="U10" i="147"/>
  <c r="A121" i="220" l="1"/>
  <c r="C121" i="220" s="1"/>
  <c r="V121" i="220" s="1"/>
  <c r="C117" i="220"/>
  <c r="V117" i="220" s="1"/>
  <c r="A116" i="220"/>
  <c r="C112" i="220"/>
  <c r="V112" i="220" s="1"/>
  <c r="A119" i="220"/>
  <c r="C119" i="220" s="1"/>
  <c r="V119" i="220" s="1"/>
  <c r="C115" i="220"/>
  <c r="V115" i="220" s="1"/>
  <c r="A120" i="219"/>
  <c r="C120" i="219" s="1"/>
  <c r="C116" i="219"/>
  <c r="C114" i="219"/>
  <c r="A118" i="219"/>
  <c r="A119" i="219"/>
  <c r="C119" i="219" s="1"/>
  <c r="C115" i="219"/>
  <c r="H16" i="156"/>
  <c r="I16" i="156"/>
  <c r="M12" i="155"/>
  <c r="M6" i="155"/>
  <c r="M8" i="155"/>
  <c r="M16" i="155" s="1"/>
  <c r="D9" i="155"/>
  <c r="D17" i="155" s="1"/>
  <c r="B24" i="155"/>
  <c r="B17" i="155"/>
  <c r="B16" i="155"/>
  <c r="B18" i="155" s="1"/>
  <c r="B20" i="155" s="1"/>
  <c r="B10" i="155"/>
  <c r="C24" i="155"/>
  <c r="C17" i="155"/>
  <c r="C16" i="155"/>
  <c r="C18" i="155" s="1"/>
  <c r="C20" i="155" s="1"/>
  <c r="C10" i="155"/>
  <c r="D24" i="155"/>
  <c r="D16" i="155"/>
  <c r="E24" i="155"/>
  <c r="E17" i="155"/>
  <c r="E16" i="155"/>
  <c r="E10" i="155"/>
  <c r="F24" i="155"/>
  <c r="F17" i="155"/>
  <c r="F16" i="155"/>
  <c r="F10" i="155"/>
  <c r="G18" i="151"/>
  <c r="C18" i="151"/>
  <c r="B29" i="151"/>
  <c r="B32" i="151" s="1"/>
  <c r="B26" i="151"/>
  <c r="C29" i="151"/>
  <c r="C32" i="151" s="1"/>
  <c r="C26" i="151"/>
  <c r="C16" i="151"/>
  <c r="C20" i="151" s="1"/>
  <c r="D29" i="151"/>
  <c r="D32" i="151" s="1"/>
  <c r="D26" i="151"/>
  <c r="D16" i="151"/>
  <c r="D20" i="151" s="1"/>
  <c r="B101" i="150"/>
  <c r="B105" i="150" s="1"/>
  <c r="B95" i="150"/>
  <c r="B94" i="150"/>
  <c r="B93" i="150"/>
  <c r="B90" i="150"/>
  <c r="B86" i="150"/>
  <c r="B85" i="150"/>
  <c r="B73" i="150"/>
  <c r="B74" i="150" s="1"/>
  <c r="B72" i="150"/>
  <c r="B48" i="150"/>
  <c r="B98" i="150" s="1"/>
  <c r="B43" i="150"/>
  <c r="B22" i="150"/>
  <c r="B28" i="150" s="1"/>
  <c r="B12" i="150"/>
  <c r="B17" i="150" s="1"/>
  <c r="B87" i="150" s="1"/>
  <c r="E29" i="151"/>
  <c r="E32" i="151" s="1"/>
  <c r="E26" i="151"/>
  <c r="E16" i="151"/>
  <c r="E20" i="151" s="1"/>
  <c r="F16" i="151"/>
  <c r="F20" i="151" s="1"/>
  <c r="F26" i="151"/>
  <c r="F29" i="151"/>
  <c r="F32" i="151" s="1"/>
  <c r="C72" i="150"/>
  <c r="C43" i="150"/>
  <c r="C101" i="150"/>
  <c r="C105" i="150" s="1"/>
  <c r="C95" i="150"/>
  <c r="C94" i="150"/>
  <c r="C93" i="150"/>
  <c r="C90" i="150"/>
  <c r="C86" i="150"/>
  <c r="C85" i="150"/>
  <c r="C73" i="150"/>
  <c r="C74" i="150" s="1"/>
  <c r="C48" i="150"/>
  <c r="C98" i="150" s="1"/>
  <c r="C22" i="150"/>
  <c r="C28" i="150" s="1"/>
  <c r="C12" i="150"/>
  <c r="C17" i="150" s="1"/>
  <c r="C87" i="150" s="1"/>
  <c r="K24" i="155"/>
  <c r="J24" i="155"/>
  <c r="I24" i="155"/>
  <c r="H24" i="155"/>
  <c r="G24" i="155"/>
  <c r="K17" i="155"/>
  <c r="J17" i="155"/>
  <c r="I17" i="155"/>
  <c r="H17" i="155"/>
  <c r="G17" i="155"/>
  <c r="K16" i="155"/>
  <c r="J16" i="155"/>
  <c r="I16" i="155"/>
  <c r="H16" i="155"/>
  <c r="H18" i="155" s="1"/>
  <c r="H21" i="155" s="1"/>
  <c r="G16" i="155"/>
  <c r="K10" i="155"/>
  <c r="J10" i="155"/>
  <c r="I10" i="155"/>
  <c r="H10" i="155"/>
  <c r="G10" i="155"/>
  <c r="H7" i="154"/>
  <c r="E7" i="154"/>
  <c r="F7" i="154" s="1"/>
  <c r="D7" i="154"/>
  <c r="G29" i="151"/>
  <c r="G32" i="151" s="1"/>
  <c r="G16" i="151"/>
  <c r="G20" i="151" s="1"/>
  <c r="L102" i="150"/>
  <c r="K102" i="150"/>
  <c r="K103" i="150" s="1"/>
  <c r="H102" i="150"/>
  <c r="D102" i="150"/>
  <c r="N101" i="150"/>
  <c r="M101" i="150"/>
  <c r="M105" i="150" s="1"/>
  <c r="L101" i="150"/>
  <c r="L105" i="150" s="1"/>
  <c r="K101" i="150"/>
  <c r="K105" i="150" s="1"/>
  <c r="J101" i="150"/>
  <c r="I101" i="150"/>
  <c r="I105" i="150" s="1"/>
  <c r="H101" i="150"/>
  <c r="H105" i="150" s="1"/>
  <c r="G101" i="150"/>
  <c r="G102" i="150" s="1"/>
  <c r="G103" i="150" s="1"/>
  <c r="F101" i="150"/>
  <c r="E101" i="150"/>
  <c r="E105" i="150" s="1"/>
  <c r="D101" i="150"/>
  <c r="D105" i="150" s="1"/>
  <c r="N99" i="150"/>
  <c r="F99" i="150"/>
  <c r="J98" i="150"/>
  <c r="O96" i="150"/>
  <c r="N96" i="150"/>
  <c r="M96" i="150"/>
  <c r="L96" i="150"/>
  <c r="K96" i="150"/>
  <c r="J96" i="150"/>
  <c r="I96" i="150"/>
  <c r="H96" i="150"/>
  <c r="G96" i="150"/>
  <c r="F96" i="150"/>
  <c r="E96" i="150"/>
  <c r="O95" i="150"/>
  <c r="N95" i="150"/>
  <c r="M95" i="150"/>
  <c r="L95" i="150"/>
  <c r="K95" i="150"/>
  <c r="J95" i="150"/>
  <c r="I95" i="150"/>
  <c r="H95" i="150"/>
  <c r="G95" i="150"/>
  <c r="F95" i="150"/>
  <c r="E95" i="150"/>
  <c r="D95" i="150"/>
  <c r="O94" i="150"/>
  <c r="N94" i="150"/>
  <c r="M94" i="150"/>
  <c r="L94" i="150"/>
  <c r="K94" i="150"/>
  <c r="J94" i="150"/>
  <c r="I94" i="150"/>
  <c r="H94" i="150"/>
  <c r="G94" i="150"/>
  <c r="F94" i="150"/>
  <c r="E94" i="150"/>
  <c r="D94" i="150"/>
  <c r="D96" i="150" s="1"/>
  <c r="O93" i="150"/>
  <c r="N93" i="150"/>
  <c r="M93" i="150"/>
  <c r="L93" i="150"/>
  <c r="K93" i="150"/>
  <c r="J93" i="150"/>
  <c r="I93" i="150"/>
  <c r="H93" i="150"/>
  <c r="G93" i="150"/>
  <c r="F93" i="150"/>
  <c r="E93" i="150"/>
  <c r="D93" i="150"/>
  <c r="N91" i="150"/>
  <c r="F91" i="150"/>
  <c r="O90" i="150"/>
  <c r="O91" i="150" s="1"/>
  <c r="N90" i="150"/>
  <c r="M90" i="150"/>
  <c r="L90" i="150"/>
  <c r="K90" i="150"/>
  <c r="K91" i="150" s="1"/>
  <c r="J90" i="150"/>
  <c r="J91" i="150" s="1"/>
  <c r="I90" i="150"/>
  <c r="H90" i="150"/>
  <c r="G90" i="150"/>
  <c r="G91" i="150" s="1"/>
  <c r="F90" i="150"/>
  <c r="E90" i="150"/>
  <c r="D90" i="150"/>
  <c r="O86" i="150"/>
  <c r="N86" i="150"/>
  <c r="M86" i="150"/>
  <c r="L86" i="150"/>
  <c r="K86" i="150"/>
  <c r="J86" i="150"/>
  <c r="I86" i="150"/>
  <c r="H86" i="150"/>
  <c r="G86" i="150"/>
  <c r="F86" i="150"/>
  <c r="E86" i="150"/>
  <c r="D86" i="150"/>
  <c r="N85" i="150"/>
  <c r="M85" i="150"/>
  <c r="L85" i="150"/>
  <c r="K85" i="150"/>
  <c r="J85" i="150"/>
  <c r="I85" i="150"/>
  <c r="H85" i="150"/>
  <c r="G85" i="150"/>
  <c r="F85" i="150"/>
  <c r="E85" i="150"/>
  <c r="D85" i="150"/>
  <c r="J81" i="150"/>
  <c r="O75" i="150"/>
  <c r="O76" i="150" s="1"/>
  <c r="K75" i="150"/>
  <c r="J75" i="150"/>
  <c r="G75" i="150"/>
  <c r="N74" i="150"/>
  <c r="M74" i="150"/>
  <c r="J74" i="150"/>
  <c r="J76" i="150" s="1"/>
  <c r="F74" i="150"/>
  <c r="E74" i="150"/>
  <c r="N73" i="150"/>
  <c r="M73" i="150"/>
  <c r="L73" i="150"/>
  <c r="K73" i="150"/>
  <c r="J73" i="150"/>
  <c r="I73" i="150"/>
  <c r="I74" i="150" s="1"/>
  <c r="H73" i="150"/>
  <c r="G73" i="150"/>
  <c r="F73" i="150"/>
  <c r="E73" i="150"/>
  <c r="D73" i="150"/>
  <c r="D74" i="150" s="1"/>
  <c r="P72" i="150"/>
  <c r="O72" i="150"/>
  <c r="P60" i="150"/>
  <c r="O60" i="150"/>
  <c r="N60" i="150"/>
  <c r="M60" i="150"/>
  <c r="O50" i="150"/>
  <c r="K50" i="150"/>
  <c r="G50" i="150"/>
  <c r="P48" i="150"/>
  <c r="P75" i="150" s="1"/>
  <c r="P76" i="150" s="1"/>
  <c r="O48" i="150"/>
  <c r="N48" i="150"/>
  <c r="N50" i="150" s="1"/>
  <c r="N80" i="150" s="1"/>
  <c r="M48" i="150"/>
  <c r="L48" i="150"/>
  <c r="K48" i="150"/>
  <c r="J48" i="150"/>
  <c r="J50" i="150" s="1"/>
  <c r="J80" i="150" s="1"/>
  <c r="I48" i="150"/>
  <c r="H48" i="150"/>
  <c r="G48" i="150"/>
  <c r="F48" i="150"/>
  <c r="F50" i="150" s="1"/>
  <c r="F80" i="150" s="1"/>
  <c r="E48" i="150"/>
  <c r="D48" i="150"/>
  <c r="O43" i="150"/>
  <c r="N28" i="150"/>
  <c r="J28" i="150"/>
  <c r="J36" i="150" s="1"/>
  <c r="I28" i="150"/>
  <c r="F28" i="150"/>
  <c r="F36" i="150" s="1"/>
  <c r="E28" i="150"/>
  <c r="E36" i="150" s="1"/>
  <c r="O22" i="150"/>
  <c r="O28" i="150" s="1"/>
  <c r="O36" i="150" s="1"/>
  <c r="N22" i="150"/>
  <c r="M22" i="150"/>
  <c r="M28" i="150" s="1"/>
  <c r="L22" i="150"/>
  <c r="L28" i="150" s="1"/>
  <c r="K22" i="150"/>
  <c r="K28" i="150" s="1"/>
  <c r="K36" i="150" s="1"/>
  <c r="J22" i="150"/>
  <c r="I22" i="150"/>
  <c r="H22" i="150"/>
  <c r="H28" i="150" s="1"/>
  <c r="G22" i="150"/>
  <c r="G28" i="150" s="1"/>
  <c r="G36" i="150" s="1"/>
  <c r="F22" i="150"/>
  <c r="E22" i="150"/>
  <c r="D22" i="150"/>
  <c r="D28" i="150" s="1"/>
  <c r="O17" i="150"/>
  <c r="O87" i="150" s="1"/>
  <c r="K17" i="150"/>
  <c r="K87" i="150" s="1"/>
  <c r="J17" i="150"/>
  <c r="J87" i="150" s="1"/>
  <c r="G17" i="150"/>
  <c r="G87" i="150" s="1"/>
  <c r="F17" i="150"/>
  <c r="F87" i="150" s="1"/>
  <c r="E17" i="150"/>
  <c r="E87" i="150" s="1"/>
  <c r="O12" i="150"/>
  <c r="N12" i="150"/>
  <c r="N17" i="150" s="1"/>
  <c r="N87" i="150" s="1"/>
  <c r="M12" i="150"/>
  <c r="M17" i="150" s="1"/>
  <c r="M87" i="150" s="1"/>
  <c r="L12" i="150"/>
  <c r="L17" i="150" s="1"/>
  <c r="L87" i="150" s="1"/>
  <c r="K12" i="150"/>
  <c r="J12" i="150"/>
  <c r="I12" i="150"/>
  <c r="I17" i="150" s="1"/>
  <c r="I87" i="150" s="1"/>
  <c r="H12" i="150"/>
  <c r="H17" i="150" s="1"/>
  <c r="H87" i="150" s="1"/>
  <c r="G12" i="150"/>
  <c r="F12" i="150"/>
  <c r="E12" i="150"/>
  <c r="D12" i="150"/>
  <c r="D17" i="150" s="1"/>
  <c r="D87" i="150" s="1"/>
  <c r="F15" i="138"/>
  <c r="F13" i="138"/>
  <c r="F8" i="138"/>
  <c r="B13" i="138"/>
  <c r="B8" i="138"/>
  <c r="B15" i="138" s="1"/>
  <c r="D13" i="138"/>
  <c r="D8" i="138"/>
  <c r="D15" i="138" s="1"/>
  <c r="H13" i="138"/>
  <c r="H8" i="138"/>
  <c r="J13" i="138"/>
  <c r="J8" i="138"/>
  <c r="H15" i="138"/>
  <c r="A120" i="220" l="1"/>
  <c r="C120" i="220" s="1"/>
  <c r="V120" i="220" s="1"/>
  <c r="C116" i="220"/>
  <c r="V116" i="220" s="1"/>
  <c r="C118" i="219"/>
  <c r="A122" i="219"/>
  <c r="C122" i="219" s="1"/>
  <c r="I18" i="155"/>
  <c r="I21" i="155" s="1"/>
  <c r="K18" i="155"/>
  <c r="K20" i="155" s="1"/>
  <c r="M24" i="155"/>
  <c r="M9" i="155"/>
  <c r="M17" i="155" s="1"/>
  <c r="M18" i="155" s="1"/>
  <c r="M20" i="155" s="1"/>
  <c r="J18" i="155"/>
  <c r="J20" i="155" s="1"/>
  <c r="G18" i="155"/>
  <c r="G20" i="155" s="1"/>
  <c r="D10" i="155"/>
  <c r="J21" i="155"/>
  <c r="D18" i="155"/>
  <c r="D21" i="155" s="1"/>
  <c r="E18" i="155"/>
  <c r="E20" i="155" s="1"/>
  <c r="B21" i="155"/>
  <c r="B22" i="155" s="1"/>
  <c r="C21" i="155"/>
  <c r="C22" i="155" s="1"/>
  <c r="D20" i="155"/>
  <c r="F18" i="155"/>
  <c r="F20" i="155" s="1"/>
  <c r="F18" i="151"/>
  <c r="E18" i="151"/>
  <c r="D18" i="151"/>
  <c r="B96" i="150"/>
  <c r="B36" i="150"/>
  <c r="B50" i="150"/>
  <c r="B75" i="150"/>
  <c r="B76" i="150" s="1"/>
  <c r="B102" i="150"/>
  <c r="B103" i="150" s="1"/>
  <c r="C96" i="150"/>
  <c r="C36" i="150"/>
  <c r="C75" i="150"/>
  <c r="C76" i="150" s="1"/>
  <c r="C102" i="150"/>
  <c r="C103" i="150" s="1"/>
  <c r="C50" i="150"/>
  <c r="C91" i="150" s="1"/>
  <c r="H20" i="155"/>
  <c r="H22" i="155" s="1"/>
  <c r="B8" i="154"/>
  <c r="I7" i="154"/>
  <c r="N36" i="150"/>
  <c r="M36" i="150"/>
  <c r="I76" i="150"/>
  <c r="I36" i="150"/>
  <c r="D98" i="150"/>
  <c r="D75" i="150"/>
  <c r="D76" i="150" s="1"/>
  <c r="H98" i="150"/>
  <c r="H75" i="150"/>
  <c r="L98" i="150"/>
  <c r="L75" i="150"/>
  <c r="K80" i="150"/>
  <c r="K81" i="150"/>
  <c r="F102" i="150"/>
  <c r="F103" i="150" s="1"/>
  <c r="E102" i="150"/>
  <c r="E103" i="150" s="1"/>
  <c r="J102" i="150"/>
  <c r="J103" i="150" s="1"/>
  <c r="I102" i="150"/>
  <c r="N102" i="150"/>
  <c r="M102" i="150"/>
  <c r="M103" i="150" s="1"/>
  <c r="F105" i="150"/>
  <c r="D36" i="150"/>
  <c r="H36" i="150"/>
  <c r="L36" i="150"/>
  <c r="E98" i="150"/>
  <c r="E75" i="150"/>
  <c r="E76" i="150" s="1"/>
  <c r="E50" i="150"/>
  <c r="I98" i="150"/>
  <c r="I75" i="150"/>
  <c r="I50" i="150"/>
  <c r="M98" i="150"/>
  <c r="M75" i="150"/>
  <c r="M76" i="150" s="1"/>
  <c r="M50" i="150"/>
  <c r="D50" i="150"/>
  <c r="L50" i="150"/>
  <c r="D91" i="150"/>
  <c r="K98" i="150"/>
  <c r="G105" i="150"/>
  <c r="G80" i="150"/>
  <c r="G81" i="150"/>
  <c r="H74" i="150"/>
  <c r="H76" i="150" s="1"/>
  <c r="G74" i="150"/>
  <c r="G76" i="150" s="1"/>
  <c r="L74" i="150"/>
  <c r="K74" i="150"/>
  <c r="K76" i="150" s="1"/>
  <c r="F81" i="150"/>
  <c r="N81" i="150"/>
  <c r="I91" i="150"/>
  <c r="M91" i="150"/>
  <c r="F98" i="150"/>
  <c r="N98" i="150"/>
  <c r="J99" i="150"/>
  <c r="J105" i="150"/>
  <c r="H50" i="150"/>
  <c r="P50" i="150"/>
  <c r="O99" i="150" s="1"/>
  <c r="F75" i="150"/>
  <c r="F76" i="150" s="1"/>
  <c r="N75" i="150"/>
  <c r="N76" i="150" s="1"/>
  <c r="G98" i="150"/>
  <c r="O98" i="150"/>
  <c r="K99" i="150"/>
  <c r="J15" i="138"/>
  <c r="Q13" i="137"/>
  <c r="D25" i="149"/>
  <c r="B25" i="149"/>
  <c r="C25" i="149"/>
  <c r="F25" i="149"/>
  <c r="G25" i="149"/>
  <c r="E25" i="149"/>
  <c r="B13" i="149"/>
  <c r="B15" i="149" s="1"/>
  <c r="C13" i="149"/>
  <c r="C15" i="149" s="1"/>
  <c r="D13" i="149"/>
  <c r="D15" i="149" s="1"/>
  <c r="F13" i="149"/>
  <c r="F15" i="149" s="1"/>
  <c r="G13" i="149"/>
  <c r="G15" i="149" s="1"/>
  <c r="E13" i="149"/>
  <c r="E15" i="149" s="1"/>
  <c r="A121" i="148"/>
  <c r="B121" i="148"/>
  <c r="C121" i="148"/>
  <c r="D121" i="148"/>
  <c r="E121" i="148"/>
  <c r="G114" i="148"/>
  <c r="H93" i="148"/>
  <c r="H87" i="148"/>
  <c r="G95" i="148"/>
  <c r="G88" i="148"/>
  <c r="B77" i="148"/>
  <c r="B76" i="148"/>
  <c r="B74" i="148"/>
  <c r="B66" i="148"/>
  <c r="G89" i="148" s="1"/>
  <c r="B67" i="148"/>
  <c r="G90" i="148" s="1"/>
  <c r="H90" i="148" s="1"/>
  <c r="B68" i="148"/>
  <c r="G91" i="148" s="1"/>
  <c r="B69" i="148"/>
  <c r="G92" i="148" s="1"/>
  <c r="B70" i="148"/>
  <c r="G94" i="148" s="1"/>
  <c r="H94" i="148" s="1"/>
  <c r="B71" i="148"/>
  <c r="B72" i="148"/>
  <c r="B65" i="148"/>
  <c r="B47" i="120"/>
  <c r="B46" i="120"/>
  <c r="B49" i="120"/>
  <c r="F95" i="148" s="1"/>
  <c r="B39" i="124"/>
  <c r="E91" i="148" s="1"/>
  <c r="B38" i="124"/>
  <c r="B50" i="144"/>
  <c r="B77" i="144"/>
  <c r="B75" i="144"/>
  <c r="B47" i="144"/>
  <c r="G48" i="144"/>
  <c r="G47" i="144"/>
  <c r="B48" i="144"/>
  <c r="B62" i="144"/>
  <c r="B60" i="144"/>
  <c r="B76" i="144"/>
  <c r="B63" i="144"/>
  <c r="B70" i="144"/>
  <c r="B78" i="144" s="1"/>
  <c r="B69" i="144"/>
  <c r="B64" i="144" s="1"/>
  <c r="B61" i="144"/>
  <c r="B65" i="144" s="1"/>
  <c r="F114" i="148"/>
  <c r="F104" i="148"/>
  <c r="E104" i="148"/>
  <c r="E95" i="148"/>
  <c r="H95" i="148" s="1"/>
  <c r="B95" i="148"/>
  <c r="F92" i="148"/>
  <c r="D92" i="148"/>
  <c r="B92" i="148"/>
  <c r="F91" i="148"/>
  <c r="H91" i="148" s="1"/>
  <c r="D91" i="148"/>
  <c r="C91" i="148"/>
  <c r="F90" i="148"/>
  <c r="E90" i="148"/>
  <c r="D90" i="148"/>
  <c r="C90" i="148"/>
  <c r="E89" i="148"/>
  <c r="E88" i="148" s="1"/>
  <c r="B89" i="148"/>
  <c r="C88" i="148"/>
  <c r="B88" i="148"/>
  <c r="N40" i="148"/>
  <c r="N39" i="148"/>
  <c r="N38" i="148"/>
  <c r="N37" i="148"/>
  <c r="N36" i="148"/>
  <c r="N35" i="148"/>
  <c r="N34" i="148"/>
  <c r="N33" i="148"/>
  <c r="B33" i="148"/>
  <c r="N32" i="148"/>
  <c r="B32" i="148"/>
  <c r="N31" i="148"/>
  <c r="B31" i="148"/>
  <c r="O30" i="148"/>
  <c r="B30" i="148"/>
  <c r="O29" i="148"/>
  <c r="M29" i="148"/>
  <c r="B28" i="148"/>
  <c r="B34" i="148" s="1"/>
  <c r="B27" i="148"/>
  <c r="B87" i="148" s="1"/>
  <c r="B23" i="148"/>
  <c r="B13" i="148"/>
  <c r="B7" i="148"/>
  <c r="F74" i="125"/>
  <c r="G45" i="144"/>
  <c r="G44" i="144" s="1"/>
  <c r="B14" i="144"/>
  <c r="B13" i="144"/>
  <c r="C20" i="144"/>
  <c r="B20" i="144"/>
  <c r="C14" i="144"/>
  <c r="C13" i="144"/>
  <c r="D20" i="144"/>
  <c r="D14" i="144"/>
  <c r="D13" i="144"/>
  <c r="E20" i="144"/>
  <c r="E14" i="144"/>
  <c r="E13" i="144"/>
  <c r="E3" i="147"/>
  <c r="E15" i="147" s="1"/>
  <c r="B18" i="147"/>
  <c r="C18" i="147"/>
  <c r="D18" i="147"/>
  <c r="E18" i="147"/>
  <c r="F18" i="147"/>
  <c r="F16" i="147"/>
  <c r="B14" i="147"/>
  <c r="C14" i="147"/>
  <c r="D14" i="147"/>
  <c r="E14" i="147"/>
  <c r="F14" i="147"/>
  <c r="B15" i="147"/>
  <c r="C15" i="147"/>
  <c r="D15" i="147"/>
  <c r="F15" i="147"/>
  <c r="B16" i="147"/>
  <c r="C16" i="147"/>
  <c r="D16" i="147"/>
  <c r="E16" i="147"/>
  <c r="U20" i="147"/>
  <c r="S18" i="147"/>
  <c r="R18" i="147"/>
  <c r="Q18" i="147"/>
  <c r="P18" i="147"/>
  <c r="O18" i="147"/>
  <c r="N18" i="147"/>
  <c r="M18" i="147"/>
  <c r="L18" i="147"/>
  <c r="K18" i="147"/>
  <c r="J18" i="147"/>
  <c r="P16" i="147"/>
  <c r="O16" i="147"/>
  <c r="N16" i="147"/>
  <c r="M16" i="147"/>
  <c r="L16" i="147"/>
  <c r="K16" i="147"/>
  <c r="J16" i="147"/>
  <c r="S15" i="147"/>
  <c r="R15" i="147"/>
  <c r="Q15" i="147"/>
  <c r="P15" i="147"/>
  <c r="O15" i="147"/>
  <c r="N15" i="147"/>
  <c r="M15" i="147"/>
  <c r="L15" i="147"/>
  <c r="K15" i="147"/>
  <c r="J15" i="147"/>
  <c r="S14" i="147"/>
  <c r="R14" i="147"/>
  <c r="Q14" i="147"/>
  <c r="P14" i="147"/>
  <c r="O14" i="147"/>
  <c r="N14" i="147"/>
  <c r="M14" i="147"/>
  <c r="L14" i="147"/>
  <c r="K14" i="147"/>
  <c r="J14" i="147"/>
  <c r="U11" i="147"/>
  <c r="H18" i="147" l="1"/>
  <c r="B35" i="147" s="1"/>
  <c r="H16" i="147"/>
  <c r="U15" i="147"/>
  <c r="U18" i="147"/>
  <c r="H14" i="147"/>
  <c r="B36" i="147" s="1"/>
  <c r="U14" i="147"/>
  <c r="H15" i="147"/>
  <c r="U16" i="147"/>
  <c r="I20" i="155"/>
  <c r="J22" i="155"/>
  <c r="M10" i="155"/>
  <c r="I22" i="155"/>
  <c r="K21" i="155"/>
  <c r="K22" i="155" s="1"/>
  <c r="M21" i="155"/>
  <c r="M22" i="155" s="1"/>
  <c r="G21" i="155"/>
  <c r="G22" i="155" s="1"/>
  <c r="E21" i="155"/>
  <c r="E22" i="155" s="1"/>
  <c r="D22" i="155"/>
  <c r="F21" i="155"/>
  <c r="F22" i="155" s="1"/>
  <c r="B99" i="150"/>
  <c r="B80" i="150"/>
  <c r="B81" i="150"/>
  <c r="B91" i="150"/>
  <c r="C99" i="150"/>
  <c r="C80" i="150"/>
  <c r="C81" i="150"/>
  <c r="D8" i="154"/>
  <c r="H8" i="154"/>
  <c r="E8" i="154"/>
  <c r="L81" i="150"/>
  <c r="L99" i="150"/>
  <c r="L80" i="150"/>
  <c r="L89" i="150"/>
  <c r="E99" i="150"/>
  <c r="E81" i="150"/>
  <c r="E80" i="150"/>
  <c r="D103" i="150"/>
  <c r="E91" i="150"/>
  <c r="L76" i="150"/>
  <c r="L91" i="150"/>
  <c r="D81" i="150"/>
  <c r="D99" i="150"/>
  <c r="D80" i="150"/>
  <c r="I99" i="150"/>
  <c r="I81" i="150"/>
  <c r="I80" i="150"/>
  <c r="I103" i="150"/>
  <c r="H103" i="150"/>
  <c r="L103" i="150"/>
  <c r="H81" i="150"/>
  <c r="H99" i="150"/>
  <c r="G99" i="150"/>
  <c r="H80" i="150"/>
  <c r="H91" i="150"/>
  <c r="M99" i="150"/>
  <c r="M81" i="150"/>
  <c r="M80" i="150"/>
  <c r="C30" i="149"/>
  <c r="C33" i="149" s="1"/>
  <c r="C35" i="149" s="1"/>
  <c r="D30" i="149"/>
  <c r="D33" i="149"/>
  <c r="D35" i="149" s="1"/>
  <c r="B33" i="149"/>
  <c r="B35" i="149" s="1"/>
  <c r="E30" i="149"/>
  <c r="E33" i="149" s="1"/>
  <c r="E35" i="149" s="1"/>
  <c r="G30" i="149"/>
  <c r="G33" i="149" s="1"/>
  <c r="G35" i="149" s="1"/>
  <c r="F30" i="149"/>
  <c r="F33" i="149" s="1"/>
  <c r="F35" i="149" s="1"/>
  <c r="H92" i="148"/>
  <c r="N41" i="148"/>
  <c r="O40" i="148"/>
  <c r="D89" i="148" s="1"/>
  <c r="B71" i="144"/>
  <c r="B45" i="144" s="1"/>
  <c r="B44" i="144"/>
  <c r="B96" i="148"/>
  <c r="B38" i="147" l="1"/>
  <c r="B44" i="147"/>
  <c r="H26" i="147"/>
  <c r="U26" i="147"/>
  <c r="F8" i="154"/>
  <c r="B9" i="154"/>
  <c r="I8" i="154"/>
  <c r="D88" i="148"/>
  <c r="B99" i="148"/>
  <c r="C87" i="148"/>
  <c r="C96" i="148" s="1"/>
  <c r="D9" i="154" l="1"/>
  <c r="H9" i="154"/>
  <c r="E9" i="154"/>
  <c r="D96" i="148"/>
  <c r="C107" i="148"/>
  <c r="C108" i="148" s="1"/>
  <c r="C99" i="148"/>
  <c r="D87" i="148"/>
  <c r="B120" i="148"/>
  <c r="B118" i="148"/>
  <c r="B119" i="148"/>
  <c r="B117" i="148"/>
  <c r="B115" i="148"/>
  <c r="B123" i="148" s="1"/>
  <c r="B122" i="148"/>
  <c r="B116" i="148"/>
  <c r="F9" i="154" l="1"/>
  <c r="B10" i="154"/>
  <c r="I9" i="154"/>
  <c r="D99" i="148"/>
  <c r="E87" i="148"/>
  <c r="E96" i="148" s="1"/>
  <c r="D107" i="148"/>
  <c r="D108" i="148" s="1"/>
  <c r="C120" i="148"/>
  <c r="C116" i="148"/>
  <c r="C122" i="148"/>
  <c r="C119" i="148"/>
  <c r="C115" i="148"/>
  <c r="C123" i="148" s="1"/>
  <c r="C118" i="148"/>
  <c r="C117" i="148"/>
  <c r="D10" i="154" l="1"/>
  <c r="E10" i="154"/>
  <c r="H10" i="154"/>
  <c r="F87" i="148"/>
  <c r="E99" i="148"/>
  <c r="E107" i="148"/>
  <c r="E108" i="148" s="1"/>
  <c r="E105" i="148"/>
  <c r="D120" i="148"/>
  <c r="D118" i="148"/>
  <c r="D122" i="148"/>
  <c r="D117" i="148"/>
  <c r="D116" i="148"/>
  <c r="D119" i="148"/>
  <c r="D115" i="148"/>
  <c r="F10" i="154" l="1"/>
  <c r="B11" i="154"/>
  <c r="I10" i="154"/>
  <c r="D123" i="148"/>
  <c r="E119" i="148"/>
  <c r="E120" i="148"/>
  <c r="E122" i="148"/>
  <c r="E115" i="148"/>
  <c r="E116" i="148"/>
  <c r="E117" i="148"/>
  <c r="E118" i="148"/>
  <c r="D11" i="154" l="1"/>
  <c r="E11" i="154"/>
  <c r="H11" i="154"/>
  <c r="E123" i="148"/>
  <c r="I11" i="154" l="1"/>
  <c r="F11" i="154"/>
  <c r="B12" i="154"/>
  <c r="D12" i="154" l="1"/>
  <c r="E12" i="154" s="1"/>
  <c r="H12" i="154"/>
  <c r="F12" i="154" l="1"/>
  <c r="B13" i="154"/>
  <c r="I12" i="154"/>
  <c r="D13" i="154" l="1"/>
  <c r="H13" i="154"/>
  <c r="I13" i="154" s="1"/>
  <c r="E13" i="154"/>
  <c r="B14" i="154" l="1"/>
  <c r="F13" i="154"/>
  <c r="E14" i="154" l="1"/>
  <c r="D14" i="154"/>
  <c r="H14" i="154"/>
  <c r="I14" i="154" s="1"/>
  <c r="F14" i="154" l="1"/>
  <c r="B15" i="154"/>
  <c r="D15" i="154" l="1"/>
  <c r="E15" i="154" s="1"/>
  <c r="H15" i="154"/>
  <c r="I15" i="154" s="1"/>
  <c r="F15" i="154" l="1"/>
  <c r="B16" i="154"/>
  <c r="H16" i="154" l="1"/>
  <c r="I16" i="154" s="1"/>
  <c r="D16" i="154"/>
  <c r="E16" i="154" s="1"/>
  <c r="F16" i="154" l="1"/>
  <c r="B17" i="154"/>
  <c r="D17" i="154" l="1"/>
  <c r="H17" i="154"/>
  <c r="I17" i="154" s="1"/>
  <c r="E17" i="154"/>
  <c r="B18" i="154" l="1"/>
  <c r="F17" i="154"/>
  <c r="D18" i="154" l="1"/>
  <c r="E18" i="154" s="1"/>
  <c r="H18" i="154"/>
  <c r="I18" i="154" s="1"/>
  <c r="F18" i="154" l="1"/>
  <c r="B19" i="154"/>
  <c r="D19" i="154" l="1"/>
  <c r="E19" i="154" s="1"/>
  <c r="H19" i="154"/>
  <c r="I19" i="154" s="1"/>
  <c r="F19" i="154" l="1"/>
  <c r="B20" i="154"/>
  <c r="H20" i="154" l="1"/>
  <c r="I20" i="154" s="1"/>
  <c r="D20" i="154"/>
  <c r="E20" i="154" s="1"/>
  <c r="F20" i="154" l="1"/>
  <c r="B21" i="154"/>
  <c r="D21" i="154" l="1"/>
  <c r="H21" i="154"/>
  <c r="I21" i="154" s="1"/>
  <c r="E21" i="154"/>
  <c r="F21" i="154" s="1"/>
  <c r="C48" i="137" l="1"/>
  <c r="C13" i="137" l="1"/>
  <c r="C47" i="137" s="1"/>
  <c r="C49" i="137" s="1"/>
  <c r="B13" i="137" l="1"/>
  <c r="B47" i="137" s="1"/>
  <c r="B49" i="137" s="1"/>
  <c r="B50" i="137" s="1"/>
  <c r="B44" i="137" l="1"/>
  <c r="B34" i="145"/>
  <c r="H34" i="145"/>
  <c r="H52" i="145" s="1"/>
  <c r="H51" i="145" s="1"/>
  <c r="G34" i="145"/>
  <c r="E34" i="145"/>
  <c r="F34" i="145"/>
  <c r="F52" i="145" s="1"/>
  <c r="F51" i="145" s="1"/>
  <c r="D34" i="145"/>
  <c r="D52" i="145" s="1"/>
  <c r="D51" i="145" s="1"/>
  <c r="P56" i="145"/>
  <c r="O56" i="145"/>
  <c r="N56" i="145"/>
  <c r="P53" i="145"/>
  <c r="P55" i="145" s="1"/>
  <c r="O53" i="145"/>
  <c r="O55" i="145" s="1"/>
  <c r="N53" i="145"/>
  <c r="M53" i="145"/>
  <c r="M55" i="145" s="1"/>
  <c r="L53" i="145"/>
  <c r="K53" i="145"/>
  <c r="K55" i="145" s="1"/>
  <c r="H53" i="145"/>
  <c r="H55" i="145" s="1"/>
  <c r="F53" i="145"/>
  <c r="F55" i="145" s="1"/>
  <c r="E53" i="145"/>
  <c r="E55" i="145" s="1"/>
  <c r="D53" i="145"/>
  <c r="C53" i="145"/>
  <c r="C55" i="145" s="1"/>
  <c r="B53" i="145"/>
  <c r="B55" i="145" s="1"/>
  <c r="P52" i="145"/>
  <c r="P51" i="145" s="1"/>
  <c r="O52" i="145"/>
  <c r="O51" i="145" s="1"/>
  <c r="N52" i="145"/>
  <c r="M52" i="145"/>
  <c r="M51" i="145" s="1"/>
  <c r="L52" i="145"/>
  <c r="L51" i="145" s="1"/>
  <c r="K52" i="145"/>
  <c r="K51" i="145" s="1"/>
  <c r="N51" i="145"/>
  <c r="E51" i="145"/>
  <c r="C51" i="145"/>
  <c r="P24" i="145"/>
  <c r="P20" i="145"/>
  <c r="P23" i="145" s="1"/>
  <c r="P19" i="145"/>
  <c r="B52" i="145" l="1"/>
  <c r="B51" i="145" s="1"/>
  <c r="L55" i="145"/>
  <c r="N55" i="145"/>
  <c r="D55" i="145"/>
  <c r="F20" i="144" l="1"/>
  <c r="F14" i="144"/>
  <c r="F13" i="144"/>
  <c r="B79" i="144" s="1"/>
  <c r="B46" i="144" s="1"/>
  <c r="F37" i="144"/>
  <c r="Q37" i="144"/>
  <c r="O37" i="144"/>
  <c r="N37" i="144"/>
  <c r="M37" i="144"/>
  <c r="L37" i="144"/>
  <c r="K37" i="144"/>
  <c r="J37" i="144"/>
  <c r="I37" i="144"/>
  <c r="H37" i="144"/>
  <c r="G37" i="144"/>
  <c r="Q20" i="144"/>
  <c r="P20" i="144"/>
  <c r="O20" i="144"/>
  <c r="N20" i="144"/>
  <c r="M20" i="144"/>
  <c r="L20" i="144"/>
  <c r="K20" i="144"/>
  <c r="J20" i="144"/>
  <c r="I20" i="144"/>
  <c r="H20" i="144"/>
  <c r="G20" i="144"/>
  <c r="Q14" i="144"/>
  <c r="P14" i="144"/>
  <c r="O14" i="144"/>
  <c r="N14" i="144"/>
  <c r="M14" i="144"/>
  <c r="L14" i="144"/>
  <c r="K14" i="144"/>
  <c r="J14" i="144"/>
  <c r="I14" i="144"/>
  <c r="H14" i="144"/>
  <c r="G14" i="144"/>
  <c r="Q13" i="144"/>
  <c r="P13" i="144"/>
  <c r="O13" i="144"/>
  <c r="N13" i="144"/>
  <c r="M13" i="144"/>
  <c r="L13" i="144"/>
  <c r="K13" i="144"/>
  <c r="J13" i="144"/>
  <c r="I13" i="144"/>
  <c r="H13" i="144"/>
  <c r="G13" i="144"/>
  <c r="M11" i="144"/>
  <c r="H10" i="144"/>
  <c r="P5" i="144"/>
  <c r="P37" i="144" s="1"/>
  <c r="G50" i="144" l="1"/>
  <c r="Q15" i="144"/>
  <c r="Q39" i="144" s="1"/>
  <c r="G46" i="144"/>
  <c r="S20" i="144"/>
  <c r="H29" i="144"/>
  <c r="Q25" i="144"/>
  <c r="P6" i="144"/>
  <c r="G43" i="144" s="1"/>
  <c r="G51" i="144" s="1"/>
  <c r="J23" i="143"/>
  <c r="D116" i="143"/>
  <c r="C116" i="143"/>
  <c r="D114" i="143"/>
  <c r="D109" i="143"/>
  <c r="C114" i="143"/>
  <c r="D104" i="143"/>
  <c r="C109" i="143"/>
  <c r="C104" i="143"/>
  <c r="D101" i="143"/>
  <c r="E101" i="143"/>
  <c r="F101" i="143"/>
  <c r="G101" i="143"/>
  <c r="H101" i="143"/>
  <c r="C101" i="143"/>
  <c r="D99" i="143"/>
  <c r="E99" i="143"/>
  <c r="F99" i="143"/>
  <c r="G99" i="143"/>
  <c r="H99" i="143"/>
  <c r="I99" i="143"/>
  <c r="C99" i="143"/>
  <c r="C15" i="143"/>
  <c r="C64" i="143"/>
  <c r="C63" i="143"/>
  <c r="C70" i="143"/>
  <c r="C57" i="143"/>
  <c r="C67" i="143" s="1"/>
  <c r="D57" i="143"/>
  <c r="E58" i="143"/>
  <c r="C58" i="143" s="1"/>
  <c r="F59" i="143"/>
  <c r="E59" i="143" s="1"/>
  <c r="D60" i="143"/>
  <c r="C60" i="143"/>
  <c r="F60" i="143"/>
  <c r="G60" i="143"/>
  <c r="E60" i="143" s="1"/>
  <c r="E61" i="143"/>
  <c r="H61" i="143"/>
  <c r="F61" i="143" s="1"/>
  <c r="D51" i="143"/>
  <c r="H51" i="143"/>
  <c r="I51" i="143"/>
  <c r="C88" i="143"/>
  <c r="C91" i="143"/>
  <c r="C16" i="143"/>
  <c r="D9" i="143"/>
  <c r="E9" i="143"/>
  <c r="F9" i="143"/>
  <c r="G9" i="143"/>
  <c r="C9" i="143"/>
  <c r="G39" i="143"/>
  <c r="C93" i="143"/>
  <c r="C94" i="143" s="1"/>
  <c r="C78" i="143"/>
  <c r="D83" i="143"/>
  <c r="E83" i="143"/>
  <c r="F83" i="143"/>
  <c r="G83" i="143"/>
  <c r="C83" i="143"/>
  <c r="H53" i="143"/>
  <c r="H10" i="143"/>
  <c r="H40" i="143"/>
  <c r="H39" i="143"/>
  <c r="H37" i="143"/>
  <c r="H35" i="143"/>
  <c r="G40" i="143"/>
  <c r="F40" i="143"/>
  <c r="F39" i="143"/>
  <c r="F37" i="143"/>
  <c r="E39" i="143"/>
  <c r="E40" i="143"/>
  <c r="E48" i="143"/>
  <c r="F48" i="143"/>
  <c r="G48" i="143"/>
  <c r="H48" i="143"/>
  <c r="E46" i="143"/>
  <c r="E49" i="143" s="1"/>
  <c r="E38" i="143" s="1"/>
  <c r="F46" i="143"/>
  <c r="G46" i="143"/>
  <c r="H46" i="143"/>
  <c r="E37" i="143"/>
  <c r="D53" i="143"/>
  <c r="E53" i="143"/>
  <c r="F53" i="143"/>
  <c r="G53" i="143"/>
  <c r="C53" i="143"/>
  <c r="G10" i="143"/>
  <c r="D39" i="143"/>
  <c r="C39" i="143"/>
  <c r="C75" i="143" s="1"/>
  <c r="D40" i="143"/>
  <c r="C40" i="143"/>
  <c r="D37" i="143"/>
  <c r="C37" i="143"/>
  <c r="C90" i="143" s="1"/>
  <c r="D48" i="143"/>
  <c r="C48" i="143"/>
  <c r="D46" i="143"/>
  <c r="C46" i="143"/>
  <c r="G35" i="143"/>
  <c r="G51" i="143" s="1"/>
  <c r="F35" i="143"/>
  <c r="F51" i="143" s="1"/>
  <c r="E35" i="143"/>
  <c r="E51" i="143" s="1"/>
  <c r="D35" i="143"/>
  <c r="C35" i="143"/>
  <c r="C51" i="143" s="1"/>
  <c r="F10" i="143"/>
  <c r="E10" i="143"/>
  <c r="D10" i="143"/>
  <c r="C10" i="143"/>
  <c r="G53" i="144" l="1"/>
  <c r="P15" i="144"/>
  <c r="C22" i="143"/>
  <c r="D61" i="143"/>
  <c r="C59" i="143"/>
  <c r="D58" i="143"/>
  <c r="C68" i="143" s="1"/>
  <c r="C62" i="143"/>
  <c r="G61" i="143"/>
  <c r="C61" i="143"/>
  <c r="D59" i="143"/>
  <c r="C49" i="143"/>
  <c r="C38" i="143" s="1"/>
  <c r="C41" i="143" s="1"/>
  <c r="C79" i="143"/>
  <c r="C80" i="143" s="1"/>
  <c r="F49" i="143"/>
  <c r="F38" i="143" s="1"/>
  <c r="F41" i="143" s="1"/>
  <c r="E41" i="143"/>
  <c r="D49" i="143"/>
  <c r="D38" i="143" s="1"/>
  <c r="D41" i="143" s="1"/>
  <c r="H49" i="143"/>
  <c r="H38" i="143" s="1"/>
  <c r="H41" i="143" s="1"/>
  <c r="H42" i="143" s="1"/>
  <c r="G49" i="143"/>
  <c r="G38" i="143" s="1"/>
  <c r="G41" i="143" s="1"/>
  <c r="K85" i="143"/>
  <c r="AH11" i="135"/>
  <c r="AH12" i="135"/>
  <c r="AH13" i="135"/>
  <c r="AH14" i="135"/>
  <c r="AH15" i="135"/>
  <c r="AH16" i="135"/>
  <c r="AH17" i="135"/>
  <c r="AH18" i="135"/>
  <c r="AH19" i="135"/>
  <c r="AH20" i="135"/>
  <c r="AH21" i="135"/>
  <c r="AH22" i="135"/>
  <c r="AH23" i="135"/>
  <c r="AH24" i="135"/>
  <c r="AH25" i="135"/>
  <c r="AH26" i="135"/>
  <c r="AH27" i="135"/>
  <c r="AH28" i="135"/>
  <c r="AH10" i="135"/>
  <c r="AG12" i="135"/>
  <c r="AG13" i="135"/>
  <c r="AG14" i="135"/>
  <c r="AG15" i="135"/>
  <c r="AG16" i="135"/>
  <c r="AG17" i="135"/>
  <c r="AG18" i="135"/>
  <c r="AG19" i="135"/>
  <c r="AG20" i="135"/>
  <c r="AG21" i="135"/>
  <c r="AG22" i="135"/>
  <c r="AG23" i="135"/>
  <c r="AG24" i="135"/>
  <c r="AG25" i="135"/>
  <c r="AG26" i="135"/>
  <c r="AG27" i="135"/>
  <c r="AG28" i="135"/>
  <c r="AG10" i="135"/>
  <c r="AG11" i="135"/>
  <c r="AF12" i="135"/>
  <c r="AF13" i="135"/>
  <c r="AF14" i="135"/>
  <c r="AF15" i="135"/>
  <c r="AF16" i="135"/>
  <c r="AF17" i="135"/>
  <c r="AF18" i="135"/>
  <c r="AF19" i="135"/>
  <c r="AF20" i="135"/>
  <c r="AF21" i="135"/>
  <c r="AF22" i="135"/>
  <c r="AF23" i="135"/>
  <c r="AF24" i="135"/>
  <c r="AF25" i="135"/>
  <c r="AF26" i="135"/>
  <c r="AF27" i="135"/>
  <c r="AF28" i="135"/>
  <c r="AF11" i="135"/>
  <c r="AE11" i="135"/>
  <c r="AE12" i="135"/>
  <c r="AE13" i="135"/>
  <c r="AE14" i="135"/>
  <c r="AE15" i="135"/>
  <c r="AE16" i="135"/>
  <c r="AE17" i="135"/>
  <c r="AE18" i="135"/>
  <c r="AE19" i="135"/>
  <c r="AE20" i="135"/>
  <c r="AE21" i="135"/>
  <c r="AE22" i="135"/>
  <c r="AE23" i="135"/>
  <c r="AE27" i="135"/>
  <c r="AE28" i="135"/>
  <c r="AE10" i="135"/>
  <c r="AG5" i="135"/>
  <c r="AB10" i="135"/>
  <c r="AB11" i="135"/>
  <c r="AB12" i="135"/>
  <c r="AB13" i="135"/>
  <c r="AB14" i="135"/>
  <c r="AB15" i="135"/>
  <c r="AB27" i="135"/>
  <c r="AB28" i="135"/>
  <c r="AB16" i="135"/>
  <c r="AB18" i="135"/>
  <c r="AB19" i="135"/>
  <c r="AB20" i="135"/>
  <c r="AB21" i="135"/>
  <c r="AB22" i="135"/>
  <c r="AB23" i="135"/>
  <c r="AB17" i="135"/>
  <c r="X24" i="135"/>
  <c r="AB24" i="135" s="1"/>
  <c r="X25" i="135"/>
  <c r="AB25" i="135" s="1"/>
  <c r="X26" i="135"/>
  <c r="AB26" i="135" s="1"/>
  <c r="Z5" i="135"/>
  <c r="AE25" i="135" l="1"/>
  <c r="AE26" i="135"/>
  <c r="AE24" i="135"/>
  <c r="P39" i="144"/>
  <c r="O6" i="144"/>
  <c r="O15" i="144" s="1"/>
  <c r="C71" i="143"/>
  <c r="C69" i="143"/>
  <c r="C72" i="143" s="1"/>
  <c r="C74" i="143"/>
  <c r="C76" i="143" s="1"/>
  <c r="E42" i="143"/>
  <c r="E11" i="143" s="1"/>
  <c r="D42" i="143"/>
  <c r="D11" i="143" s="1"/>
  <c r="G42" i="143"/>
  <c r="G11" i="143" s="1"/>
  <c r="F42" i="143"/>
  <c r="F11" i="143" s="1"/>
  <c r="C42" i="143"/>
  <c r="C11" i="143" s="1"/>
  <c r="H53" i="144" l="1"/>
  <c r="H49" i="144"/>
  <c r="H44" i="144"/>
  <c r="H50" i="144"/>
  <c r="H48" i="144"/>
  <c r="H47" i="144"/>
  <c r="H45" i="144"/>
  <c r="H46" i="144"/>
  <c r="O39" i="144"/>
  <c r="N6" i="144"/>
  <c r="N15" i="144" s="1"/>
  <c r="C17" i="143"/>
  <c r="C18" i="143" s="1"/>
  <c r="C23" i="143" s="1"/>
  <c r="C96" i="143"/>
  <c r="C97" i="143" s="1"/>
  <c r="B7" i="142"/>
  <c r="G39" i="142"/>
  <c r="G37" i="142"/>
  <c r="F39" i="142"/>
  <c r="F37" i="142"/>
  <c r="E39" i="142"/>
  <c r="E37" i="142"/>
  <c r="D39" i="142"/>
  <c r="D37" i="142"/>
  <c r="C39" i="142"/>
  <c r="B39" i="142"/>
  <c r="C37" i="142"/>
  <c r="B37" i="142"/>
  <c r="B18" i="142" s="1"/>
  <c r="B11" i="142"/>
  <c r="E58" i="142"/>
  <c r="D58" i="142"/>
  <c r="C58" i="142"/>
  <c r="B58" i="142"/>
  <c r="E53" i="142"/>
  <c r="D53" i="142"/>
  <c r="D60" i="142" s="1"/>
  <c r="D64" i="142" s="1"/>
  <c r="C53" i="142"/>
  <c r="B53" i="142"/>
  <c r="F35" i="142"/>
  <c r="E35" i="142"/>
  <c r="D35" i="142"/>
  <c r="C35" i="142"/>
  <c r="B35" i="142"/>
  <c r="F11" i="142"/>
  <c r="F12" i="142" s="1"/>
  <c r="E11" i="142"/>
  <c r="E12" i="142" s="1"/>
  <c r="D11" i="142"/>
  <c r="D12" i="142" s="1"/>
  <c r="C11" i="142"/>
  <c r="C12" i="142" s="1"/>
  <c r="B12" i="142"/>
  <c r="N39" i="144" l="1"/>
  <c r="M6" i="144"/>
  <c r="M15" i="144" s="1"/>
  <c r="D40" i="142"/>
  <c r="C60" i="142"/>
  <c r="C64" i="142" s="1"/>
  <c r="E60" i="142"/>
  <c r="E64" i="142" s="1"/>
  <c r="D66" i="142" s="1"/>
  <c r="B60" i="142"/>
  <c r="B64" i="142" s="1"/>
  <c r="B66" i="142" s="1"/>
  <c r="G40" i="142"/>
  <c r="C40" i="142"/>
  <c r="C41" i="142" s="1"/>
  <c r="C7" i="142" s="1"/>
  <c r="E40" i="142"/>
  <c r="D41" i="142" s="1"/>
  <c r="D7" i="142" s="1"/>
  <c r="D13" i="142" s="1"/>
  <c r="B40" i="142"/>
  <c r="F40" i="142"/>
  <c r="F41" i="142" s="1"/>
  <c r="F7" i="142" s="1"/>
  <c r="F13" i="142" s="1"/>
  <c r="C66" i="142"/>
  <c r="B19" i="142"/>
  <c r="D75" i="140"/>
  <c r="E75" i="140"/>
  <c r="D68" i="140"/>
  <c r="D77" i="140" s="1"/>
  <c r="D81" i="140" s="1"/>
  <c r="D83" i="140" s="1"/>
  <c r="D7" i="140" s="1"/>
  <c r="E68" i="140"/>
  <c r="E77" i="140" s="1"/>
  <c r="E81" i="140" s="1"/>
  <c r="C75" i="140"/>
  <c r="C68" i="140"/>
  <c r="C77" i="140" s="1"/>
  <c r="C81" i="140" s="1"/>
  <c r="C83" i="140" s="1"/>
  <c r="C7" i="140" s="1"/>
  <c r="E53" i="140"/>
  <c r="D53" i="140"/>
  <c r="C53" i="140"/>
  <c r="B53" i="140"/>
  <c r="F55" i="140"/>
  <c r="G55" i="140"/>
  <c r="G56" i="140" s="1"/>
  <c r="B75" i="140"/>
  <c r="B68" i="140"/>
  <c r="B77" i="140" s="1"/>
  <c r="B81" i="140" s="1"/>
  <c r="B83" i="140" s="1"/>
  <c r="B7" i="140" s="1"/>
  <c r="L31" i="140"/>
  <c r="L29" i="140"/>
  <c r="L22" i="140"/>
  <c r="L27" i="140" s="1"/>
  <c r="I22" i="140"/>
  <c r="L30" i="140" s="1"/>
  <c r="F20" i="140"/>
  <c r="F21" i="140" s="1"/>
  <c r="E20" i="140"/>
  <c r="E21" i="140" s="1"/>
  <c r="D20" i="140"/>
  <c r="D21" i="140" s="1"/>
  <c r="C20" i="140"/>
  <c r="C21" i="140" s="1"/>
  <c r="B20" i="140"/>
  <c r="B21" i="140" s="1"/>
  <c r="E54" i="140"/>
  <c r="E52" i="140"/>
  <c r="E51" i="140"/>
  <c r="E55" i="140" s="1"/>
  <c r="D54" i="140"/>
  <c r="D52" i="140"/>
  <c r="D55" i="140" s="1"/>
  <c r="C54" i="140"/>
  <c r="C52" i="140"/>
  <c r="B54" i="140"/>
  <c r="B52" i="140"/>
  <c r="R82" i="140"/>
  <c r="R80" i="140"/>
  <c r="K66" i="140"/>
  <c r="L65" i="140"/>
  <c r="L64" i="140"/>
  <c r="L63" i="140"/>
  <c r="F50" i="140"/>
  <c r="E50" i="140"/>
  <c r="D50" i="140"/>
  <c r="C50" i="140"/>
  <c r="B50" i="140"/>
  <c r="L13" i="138"/>
  <c r="N13" i="138"/>
  <c r="N8" i="138"/>
  <c r="N15" i="138" s="1"/>
  <c r="L8" i="138"/>
  <c r="L15" i="138" s="1"/>
  <c r="C34" i="137"/>
  <c r="C35" i="137"/>
  <c r="C36" i="137"/>
  <c r="C37" i="137"/>
  <c r="C38" i="137"/>
  <c r="C40" i="137"/>
  <c r="C41" i="137"/>
  <c r="B37" i="137"/>
  <c r="B38" i="137"/>
  <c r="B40" i="137"/>
  <c r="B41" i="137"/>
  <c r="B35" i="137"/>
  <c r="B36" i="137"/>
  <c r="B34" i="137"/>
  <c r="C17" i="137"/>
  <c r="D13" i="137"/>
  <c r="D34" i="137" s="1"/>
  <c r="E13" i="137"/>
  <c r="F13" i="137"/>
  <c r="F34" i="137" s="1"/>
  <c r="B17" i="137"/>
  <c r="Q17" i="137"/>
  <c r="P13" i="137"/>
  <c r="P17" i="137" s="1"/>
  <c r="O13" i="137"/>
  <c r="O17" i="137" s="1"/>
  <c r="N13" i="137"/>
  <c r="N17" i="137" s="1"/>
  <c r="M13" i="137"/>
  <c r="M17" i="137" s="1"/>
  <c r="L13" i="137"/>
  <c r="L17" i="137" s="1"/>
  <c r="K13" i="137"/>
  <c r="K17" i="137" s="1"/>
  <c r="J13" i="137"/>
  <c r="J17" i="137" s="1"/>
  <c r="I13" i="137"/>
  <c r="I17" i="137" s="1"/>
  <c r="H13" i="137"/>
  <c r="H17" i="137" s="1"/>
  <c r="G13" i="137"/>
  <c r="G34" i="137" s="1"/>
  <c r="H13" i="136"/>
  <c r="F13" i="136"/>
  <c r="D13" i="136"/>
  <c r="B13" i="136"/>
  <c r="J13" i="136"/>
  <c r="L27" i="135"/>
  <c r="M27" i="135"/>
  <c r="N27" i="135"/>
  <c r="O27" i="135"/>
  <c r="L28" i="135"/>
  <c r="M28" i="135"/>
  <c r="N28" i="135"/>
  <c r="O28" i="135"/>
  <c r="P30" i="135"/>
  <c r="P31" i="135"/>
  <c r="H30" i="135"/>
  <c r="D57" i="145" s="1"/>
  <c r="D58" i="145" s="1"/>
  <c r="H31" i="135"/>
  <c r="F28" i="135"/>
  <c r="H29" i="135" s="1"/>
  <c r="F27" i="135"/>
  <c r="I29" i="135" l="1"/>
  <c r="F57" i="145"/>
  <c r="F58" i="145" s="1"/>
  <c r="I31" i="135"/>
  <c r="B57" i="145"/>
  <c r="B58" i="145" s="1"/>
  <c r="C55" i="140"/>
  <c r="B55" i="140"/>
  <c r="D35" i="137"/>
  <c r="D17" i="137"/>
  <c r="D38" i="137"/>
  <c r="D41" i="137"/>
  <c r="D37" i="137"/>
  <c r="D40" i="137"/>
  <c r="D36" i="137"/>
  <c r="D39" i="137"/>
  <c r="E17" i="137"/>
  <c r="E44" i="137"/>
  <c r="C44" i="137"/>
  <c r="D44" i="137"/>
  <c r="G41" i="137"/>
  <c r="G40" i="137"/>
  <c r="G39" i="137"/>
  <c r="G38" i="137"/>
  <c r="G37" i="137"/>
  <c r="G36" i="137"/>
  <c r="G35" i="137"/>
  <c r="F41" i="137"/>
  <c r="F40" i="137"/>
  <c r="F39" i="137"/>
  <c r="F38" i="137"/>
  <c r="F37" i="137"/>
  <c r="F36" i="137"/>
  <c r="F35" i="137"/>
  <c r="G17" i="137"/>
  <c r="G44" i="137"/>
  <c r="F17" i="137"/>
  <c r="F44" i="137"/>
  <c r="E41" i="137"/>
  <c r="E40" i="137"/>
  <c r="E39" i="137"/>
  <c r="E38" i="137"/>
  <c r="E37" i="137"/>
  <c r="E36" i="137"/>
  <c r="E35" i="137"/>
  <c r="E34" i="137"/>
  <c r="L6" i="144"/>
  <c r="L15" i="144" s="1"/>
  <c r="M39" i="144"/>
  <c r="R30" i="135"/>
  <c r="B41" i="142"/>
  <c r="C13" i="142"/>
  <c r="E41" i="142"/>
  <c r="E7" i="142" s="1"/>
  <c r="E13" i="142" s="1"/>
  <c r="B13" i="142"/>
  <c r="B23" i="142"/>
  <c r="B22" i="140"/>
  <c r="I27" i="140"/>
  <c r="B26" i="140" s="1"/>
  <c r="B28" i="140" s="1"/>
  <c r="B30" i="140" s="1"/>
  <c r="B32" i="140" s="1"/>
  <c r="L32" i="140"/>
  <c r="Q31" i="140"/>
  <c r="Q32" i="140" s="1"/>
  <c r="S82" i="140"/>
  <c r="F56" i="140"/>
  <c r="N64" i="140"/>
  <c r="N63" i="140"/>
  <c r="N65" i="140"/>
  <c r="R31" i="135"/>
  <c r="H28" i="135"/>
  <c r="L57" i="145" s="1"/>
  <c r="I30" i="135"/>
  <c r="P28" i="135"/>
  <c r="H57" i="145" l="1"/>
  <c r="H58" i="145" s="1"/>
  <c r="L58" i="145"/>
  <c r="L39" i="144"/>
  <c r="K6" i="144"/>
  <c r="K15" i="144" s="1"/>
  <c r="R29" i="135"/>
  <c r="B24" i="142"/>
  <c r="R32" i="140"/>
  <c r="D56" i="140"/>
  <c r="D22" i="140" s="1"/>
  <c r="C56" i="140"/>
  <c r="C22" i="140" s="1"/>
  <c r="B56" i="140"/>
  <c r="B36" i="140" s="1"/>
  <c r="B37" i="140" s="1"/>
  <c r="I28" i="135"/>
  <c r="K39" i="144" l="1"/>
  <c r="J6" i="144"/>
  <c r="J15" i="144" s="1"/>
  <c r="J39" i="144" l="1"/>
  <c r="I6" i="144"/>
  <c r="I15" i="144" s="1"/>
  <c r="O26" i="135"/>
  <c r="N26" i="135"/>
  <c r="M26" i="135"/>
  <c r="L26" i="135"/>
  <c r="F26" i="135"/>
  <c r="O25" i="135"/>
  <c r="N25" i="135"/>
  <c r="M25" i="135"/>
  <c r="L25" i="135"/>
  <c r="F25" i="135"/>
  <c r="H25" i="135" s="1"/>
  <c r="O24" i="135"/>
  <c r="N24" i="135"/>
  <c r="M24" i="135"/>
  <c r="L24" i="135"/>
  <c r="F24" i="135"/>
  <c r="O23" i="135"/>
  <c r="N23" i="135"/>
  <c r="M23" i="135"/>
  <c r="L23" i="135"/>
  <c r="F23" i="135"/>
  <c r="O22" i="135"/>
  <c r="N22" i="135"/>
  <c r="M22" i="135"/>
  <c r="L22" i="135"/>
  <c r="F22" i="135"/>
  <c r="O21" i="135"/>
  <c r="N21" i="135"/>
  <c r="M21" i="135"/>
  <c r="L21" i="135"/>
  <c r="F21" i="135"/>
  <c r="H21" i="135" s="1"/>
  <c r="O20" i="135"/>
  <c r="N20" i="135"/>
  <c r="M20" i="135"/>
  <c r="L20" i="135"/>
  <c r="F20" i="135"/>
  <c r="O19" i="135"/>
  <c r="N19" i="135"/>
  <c r="M19" i="135"/>
  <c r="L19" i="135"/>
  <c r="F19" i="135"/>
  <c r="O18" i="135"/>
  <c r="N18" i="135"/>
  <c r="M18" i="135"/>
  <c r="L18" i="135"/>
  <c r="F18" i="135"/>
  <c r="O17" i="135"/>
  <c r="N17" i="135"/>
  <c r="M17" i="135"/>
  <c r="L17" i="135"/>
  <c r="F17" i="135"/>
  <c r="O16" i="135"/>
  <c r="N16" i="135"/>
  <c r="M16" i="135"/>
  <c r="L16" i="135"/>
  <c r="F16" i="135"/>
  <c r="O15" i="135"/>
  <c r="N15" i="135"/>
  <c r="M15" i="135"/>
  <c r="L15" i="135"/>
  <c r="F15" i="135"/>
  <c r="O14" i="135"/>
  <c r="N14" i="135"/>
  <c r="M14" i="135"/>
  <c r="L14" i="135"/>
  <c r="F14" i="135"/>
  <c r="O13" i="135"/>
  <c r="N13" i="135"/>
  <c r="M13" i="135"/>
  <c r="L13" i="135"/>
  <c r="F13" i="135"/>
  <c r="O12" i="135"/>
  <c r="N12" i="135"/>
  <c r="M12" i="135"/>
  <c r="L12" i="135"/>
  <c r="F12" i="135"/>
  <c r="O11" i="135"/>
  <c r="N11" i="135"/>
  <c r="M11" i="135"/>
  <c r="L11" i="135"/>
  <c r="F11" i="135"/>
  <c r="O10" i="135"/>
  <c r="N10" i="135"/>
  <c r="L10" i="135"/>
  <c r="F10" i="135"/>
  <c r="R9" i="135"/>
  <c r="F9" i="135"/>
  <c r="R8" i="135"/>
  <c r="R7" i="135"/>
  <c r="I7" i="135"/>
  <c r="R6" i="135"/>
  <c r="I6" i="135"/>
  <c r="N5" i="135"/>
  <c r="I39" i="144" l="1"/>
  <c r="H6" i="144"/>
  <c r="H15" i="144" s="1"/>
  <c r="P11" i="135"/>
  <c r="P16" i="135"/>
  <c r="P20" i="135"/>
  <c r="H13" i="135"/>
  <c r="H17" i="135"/>
  <c r="H27" i="135"/>
  <c r="N57" i="145" s="1"/>
  <c r="N58" i="145" s="1"/>
  <c r="P12" i="135"/>
  <c r="P14" i="135"/>
  <c r="P15" i="135"/>
  <c r="P18" i="135"/>
  <c r="P19" i="135"/>
  <c r="P22" i="135"/>
  <c r="P23" i="135"/>
  <c r="H14" i="135"/>
  <c r="H18" i="135"/>
  <c r="H22" i="135"/>
  <c r="I25" i="135"/>
  <c r="P10" i="135"/>
  <c r="H10" i="135"/>
  <c r="P26" i="135"/>
  <c r="H26" i="135"/>
  <c r="H11" i="135"/>
  <c r="H15" i="135"/>
  <c r="I17" i="135"/>
  <c r="H19" i="135"/>
  <c r="I21" i="135"/>
  <c r="H23" i="135"/>
  <c r="P24" i="135"/>
  <c r="P13" i="135"/>
  <c r="P17" i="135"/>
  <c r="P21" i="135"/>
  <c r="P25" i="135"/>
  <c r="H12" i="135"/>
  <c r="H16" i="135"/>
  <c r="H20" i="135"/>
  <c r="H24" i="135"/>
  <c r="I8" i="117"/>
  <c r="I9" i="117"/>
  <c r="I10" i="117"/>
  <c r="I11" i="117"/>
  <c r="I12" i="117"/>
  <c r="I13" i="117"/>
  <c r="I14" i="117"/>
  <c r="I15" i="117"/>
  <c r="I16" i="117"/>
  <c r="I17" i="117"/>
  <c r="I18" i="117"/>
  <c r="I19" i="117"/>
  <c r="I20" i="117"/>
  <c r="I21" i="117"/>
  <c r="I7" i="117"/>
  <c r="H7" i="117"/>
  <c r="D7" i="117"/>
  <c r="H39" i="144" l="1"/>
  <c r="G6" i="144"/>
  <c r="G15" i="144" s="1"/>
  <c r="I27" i="135"/>
  <c r="R27" i="135"/>
  <c r="R28" i="135"/>
  <c r="R12" i="135"/>
  <c r="R15" i="135"/>
  <c r="I26" i="135"/>
  <c r="R26" i="135"/>
  <c r="R13" i="135"/>
  <c r="I18" i="135"/>
  <c r="R18" i="135"/>
  <c r="R24" i="135"/>
  <c r="I24" i="135"/>
  <c r="R11" i="135"/>
  <c r="R14" i="135"/>
  <c r="R20" i="135"/>
  <c r="I20" i="135"/>
  <c r="I23" i="135"/>
  <c r="R23" i="135"/>
  <c r="R21" i="135"/>
  <c r="R10" i="135"/>
  <c r="R25" i="135"/>
  <c r="R16" i="135"/>
  <c r="I19" i="135"/>
  <c r="R19" i="135"/>
  <c r="R17" i="135"/>
  <c r="I22" i="135"/>
  <c r="R22" i="135"/>
  <c r="E24" i="132"/>
  <c r="F24" i="132"/>
  <c r="G24" i="132"/>
  <c r="H24" i="132"/>
  <c r="I24" i="132"/>
  <c r="J24" i="132"/>
  <c r="K24" i="132"/>
  <c r="L24" i="132"/>
  <c r="B24" i="132"/>
  <c r="C24" i="132"/>
  <c r="D24" i="132"/>
  <c r="C14" i="132"/>
  <c r="C28" i="132" s="1"/>
  <c r="D14" i="132"/>
  <c r="E14" i="132"/>
  <c r="E28" i="132" s="1"/>
  <c r="F14" i="132"/>
  <c r="F28" i="132" s="1"/>
  <c r="G14" i="132"/>
  <c r="H14" i="132"/>
  <c r="H28" i="132" s="1"/>
  <c r="I14" i="132"/>
  <c r="I28" i="132" s="1"/>
  <c r="J14" i="132"/>
  <c r="J28" i="132" s="1"/>
  <c r="K14" i="132"/>
  <c r="L14" i="132"/>
  <c r="L28" i="132" s="1"/>
  <c r="L31" i="132" s="1"/>
  <c r="L33" i="132" s="1"/>
  <c r="B14" i="132"/>
  <c r="B28" i="132" s="1"/>
  <c r="B31" i="132" s="1"/>
  <c r="B33" i="132" s="1"/>
  <c r="D28" i="132" l="1"/>
  <c r="D31" i="132" s="1"/>
  <c r="D33" i="132" s="1"/>
  <c r="K28" i="132"/>
  <c r="K31" i="132" s="1"/>
  <c r="K33" i="132" s="1"/>
  <c r="G28" i="132"/>
  <c r="F6" i="144"/>
  <c r="G55" i="144"/>
  <c r="G56" i="144" s="1"/>
  <c r="G39" i="144"/>
  <c r="J31" i="132"/>
  <c r="J33" i="132" s="1"/>
  <c r="I31" i="132"/>
  <c r="I33" i="132" s="1"/>
  <c r="H31" i="132"/>
  <c r="H33" i="132" s="1"/>
  <c r="C31" i="132"/>
  <c r="C33" i="132" s="1"/>
  <c r="D61" i="64"/>
  <c r="B45" i="120"/>
  <c r="B44" i="120"/>
  <c r="F89" i="148" s="1"/>
  <c r="H89" i="148" l="1"/>
  <c r="F15" i="144"/>
  <c r="B43" i="144"/>
  <c r="B51" i="144" s="1"/>
  <c r="N62" i="131"/>
  <c r="N63" i="131"/>
  <c r="N61" i="131"/>
  <c r="L63" i="131"/>
  <c r="L62" i="131"/>
  <c r="L61" i="131"/>
  <c r="I65" i="131"/>
  <c r="I64" i="131"/>
  <c r="I63" i="131"/>
  <c r="I62" i="131"/>
  <c r="I61" i="131"/>
  <c r="B53" i="144" l="1"/>
  <c r="E6" i="144"/>
  <c r="E15" i="144" s="1"/>
  <c r="F39" i="144"/>
  <c r="I6" i="131"/>
  <c r="I7" i="131"/>
  <c r="I8" i="131"/>
  <c r="I9" i="131"/>
  <c r="I10" i="131"/>
  <c r="I11" i="131"/>
  <c r="I12" i="131"/>
  <c r="I13" i="131"/>
  <c r="I14" i="131"/>
  <c r="I15" i="131"/>
  <c r="I16" i="131"/>
  <c r="I17" i="131"/>
  <c r="I18" i="131"/>
  <c r="I19" i="131"/>
  <c r="I20" i="131"/>
  <c r="I21" i="131"/>
  <c r="I22" i="131"/>
  <c r="I23" i="131"/>
  <c r="I24" i="131"/>
  <c r="I25" i="131"/>
  <c r="I26" i="131"/>
  <c r="I27" i="131"/>
  <c r="I28" i="131"/>
  <c r="I29" i="131"/>
  <c r="I30" i="131"/>
  <c r="I31" i="131"/>
  <c r="F52" i="131"/>
  <c r="F51" i="131"/>
  <c r="F50" i="131"/>
  <c r="F49" i="131"/>
  <c r="F48" i="131"/>
  <c r="F47" i="131"/>
  <c r="F46" i="131"/>
  <c r="F45" i="131"/>
  <c r="F44" i="131"/>
  <c r="F43" i="131"/>
  <c r="F42" i="131"/>
  <c r="F41" i="131"/>
  <c r="F40" i="131"/>
  <c r="F39" i="131"/>
  <c r="F38" i="131"/>
  <c r="F37" i="131"/>
  <c r="F36" i="131"/>
  <c r="H36" i="131" s="1"/>
  <c r="F35" i="131"/>
  <c r="I33" i="131"/>
  <c r="I32" i="131"/>
  <c r="E39" i="144" l="1"/>
  <c r="D6" i="144"/>
  <c r="D15" i="144" s="1"/>
  <c r="H39" i="131"/>
  <c r="H47" i="131"/>
  <c r="H51" i="131"/>
  <c r="H43" i="131"/>
  <c r="I43" i="131" s="1"/>
  <c r="H40" i="131"/>
  <c r="H44" i="131"/>
  <c r="H48" i="131"/>
  <c r="I51" i="131"/>
  <c r="H52" i="131"/>
  <c r="L65" i="131" s="1"/>
  <c r="N65" i="131" s="1"/>
  <c r="H37" i="131"/>
  <c r="H41" i="131"/>
  <c r="H45" i="131"/>
  <c r="I47" i="131"/>
  <c r="H49" i="131"/>
  <c r="H38" i="131"/>
  <c r="H42" i="131"/>
  <c r="L64" i="131" s="1"/>
  <c r="N64" i="131" s="1"/>
  <c r="H46" i="131"/>
  <c r="H50" i="131"/>
  <c r="H2" i="129"/>
  <c r="H3" i="129"/>
  <c r="H4" i="129"/>
  <c r="H5" i="129"/>
  <c r="H6" i="129"/>
  <c r="H7" i="129"/>
  <c r="H8" i="129"/>
  <c r="H9" i="129"/>
  <c r="H10" i="129"/>
  <c r="H11" i="129"/>
  <c r="H12" i="129"/>
  <c r="H13" i="129"/>
  <c r="F3" i="129"/>
  <c r="F4" i="129"/>
  <c r="F5" i="129"/>
  <c r="F6" i="129"/>
  <c r="F7" i="129"/>
  <c r="F8" i="129"/>
  <c r="F9" i="129"/>
  <c r="F10" i="129"/>
  <c r="F11" i="129"/>
  <c r="F12" i="129"/>
  <c r="F13" i="129"/>
  <c r="F15" i="129"/>
  <c r="F16" i="129"/>
  <c r="F17" i="129"/>
  <c r="F19" i="129"/>
  <c r="F20" i="129"/>
  <c r="F21" i="129"/>
  <c r="F22" i="129"/>
  <c r="F23" i="129"/>
  <c r="F24" i="129"/>
  <c r="F25" i="129"/>
  <c r="F26" i="129"/>
  <c r="F2" i="129"/>
  <c r="D49" i="70"/>
  <c r="F49" i="70"/>
  <c r="H49" i="70"/>
  <c r="J49" i="70"/>
  <c r="L49" i="70"/>
  <c r="N49" i="70"/>
  <c r="P49" i="70"/>
  <c r="R49" i="70"/>
  <c r="T49" i="70"/>
  <c r="B49" i="70"/>
  <c r="B15" i="120"/>
  <c r="D39" i="144" l="1"/>
  <c r="C6" i="144"/>
  <c r="C15" i="144" s="1"/>
  <c r="I52" i="131"/>
  <c r="I44" i="131"/>
  <c r="I50" i="131"/>
  <c r="I46" i="131"/>
  <c r="I49" i="131"/>
  <c r="I45" i="131"/>
  <c r="I48" i="131"/>
  <c r="C39" i="144" l="1"/>
  <c r="B6" i="144"/>
  <c r="B15" i="144" s="1"/>
  <c r="G50" i="126"/>
  <c r="P12" i="126"/>
  <c r="P13" i="126"/>
  <c r="P14" i="126"/>
  <c r="P15" i="126"/>
  <c r="P16" i="126"/>
  <c r="P17" i="126"/>
  <c r="P18" i="126"/>
  <c r="P19" i="126"/>
  <c r="P20" i="126"/>
  <c r="P21" i="126"/>
  <c r="P22" i="126"/>
  <c r="P23" i="126"/>
  <c r="P24" i="126"/>
  <c r="P25" i="126"/>
  <c r="P26" i="126"/>
  <c r="P27" i="126"/>
  <c r="P28" i="126"/>
  <c r="P29" i="126"/>
  <c r="P30" i="126"/>
  <c r="P31" i="126"/>
  <c r="P32" i="126"/>
  <c r="P33" i="126"/>
  <c r="P34" i="126"/>
  <c r="P35" i="126"/>
  <c r="P36" i="126"/>
  <c r="P37" i="126"/>
  <c r="P38" i="126"/>
  <c r="P39" i="126"/>
  <c r="P40" i="126"/>
  <c r="P41" i="126"/>
  <c r="P42" i="126"/>
  <c r="P43" i="126"/>
  <c r="P44" i="126"/>
  <c r="P45" i="126"/>
  <c r="P46" i="126"/>
  <c r="P47" i="126"/>
  <c r="P48" i="126"/>
  <c r="P49" i="126"/>
  <c r="P50" i="126"/>
  <c r="P51" i="126"/>
  <c r="P11" i="126"/>
  <c r="O16" i="126"/>
  <c r="O17" i="126"/>
  <c r="O18" i="126"/>
  <c r="O19" i="126"/>
  <c r="O20" i="126"/>
  <c r="O21" i="126"/>
  <c r="O22" i="126"/>
  <c r="O23" i="126"/>
  <c r="O24" i="126"/>
  <c r="O25" i="126"/>
  <c r="O26" i="126"/>
  <c r="O27" i="126"/>
  <c r="O28" i="126"/>
  <c r="O29" i="126"/>
  <c r="O30" i="126"/>
  <c r="O31" i="126"/>
  <c r="O32" i="126"/>
  <c r="O33" i="126"/>
  <c r="O34" i="126"/>
  <c r="O35" i="126"/>
  <c r="O36" i="126"/>
  <c r="O37" i="126"/>
  <c r="O38" i="126"/>
  <c r="O39" i="126"/>
  <c r="O40" i="126"/>
  <c r="O41" i="126"/>
  <c r="O42" i="126"/>
  <c r="O43" i="126"/>
  <c r="O44" i="126"/>
  <c r="O45" i="126"/>
  <c r="O46" i="126"/>
  <c r="O47" i="126"/>
  <c r="O48" i="126"/>
  <c r="O49" i="126"/>
  <c r="O50" i="126"/>
  <c r="O51" i="126"/>
  <c r="O12" i="126"/>
  <c r="O13" i="126"/>
  <c r="O14" i="126"/>
  <c r="O15" i="126"/>
  <c r="O11" i="126"/>
  <c r="S12" i="126"/>
  <c r="S13" i="126"/>
  <c r="S14" i="126"/>
  <c r="S15" i="126"/>
  <c r="S16" i="126"/>
  <c r="S17" i="126"/>
  <c r="S18" i="126"/>
  <c r="S19" i="126"/>
  <c r="S20" i="126"/>
  <c r="S21" i="126"/>
  <c r="S22" i="126"/>
  <c r="S23" i="126"/>
  <c r="S24" i="126"/>
  <c r="S25" i="126"/>
  <c r="S26" i="126"/>
  <c r="S27" i="126"/>
  <c r="S28" i="126"/>
  <c r="S29" i="126"/>
  <c r="S30" i="126"/>
  <c r="S31" i="126"/>
  <c r="S32" i="126"/>
  <c r="S33" i="126"/>
  <c r="S34" i="126"/>
  <c r="S35" i="126"/>
  <c r="S36" i="126"/>
  <c r="S37" i="126"/>
  <c r="S38" i="126"/>
  <c r="S39" i="126"/>
  <c r="S40" i="126"/>
  <c r="S41" i="126"/>
  <c r="S42" i="126"/>
  <c r="S43" i="126"/>
  <c r="S44" i="126"/>
  <c r="S45" i="126"/>
  <c r="S46" i="126"/>
  <c r="S47" i="126"/>
  <c r="S48" i="126"/>
  <c r="S49" i="126"/>
  <c r="S50" i="126"/>
  <c r="S51" i="126"/>
  <c r="S11" i="126"/>
  <c r="B39" i="144" l="1"/>
  <c r="B55" i="144"/>
  <c r="B56" i="144" s="1"/>
  <c r="R11" i="126"/>
  <c r="R12" i="126"/>
  <c r="R13" i="126"/>
  <c r="R14" i="126"/>
  <c r="R15" i="126"/>
  <c r="R16" i="126"/>
  <c r="R17" i="126"/>
  <c r="R18" i="126"/>
  <c r="R19" i="126"/>
  <c r="R20" i="126"/>
  <c r="R21" i="126"/>
  <c r="R22" i="126"/>
  <c r="R23" i="126"/>
  <c r="R24" i="126"/>
  <c r="R25" i="126"/>
  <c r="R26" i="126"/>
  <c r="R27" i="126"/>
  <c r="R28" i="126"/>
  <c r="R29" i="126"/>
  <c r="R30" i="126"/>
  <c r="R31" i="126"/>
  <c r="R32" i="126"/>
  <c r="R33" i="126"/>
  <c r="R34" i="126"/>
  <c r="R35" i="126"/>
  <c r="R36" i="126"/>
  <c r="R37" i="126"/>
  <c r="R38" i="126"/>
  <c r="R39" i="126"/>
  <c r="R40" i="126"/>
  <c r="R41" i="126"/>
  <c r="R42" i="126"/>
  <c r="R43" i="126"/>
  <c r="R44" i="126"/>
  <c r="R45" i="126"/>
  <c r="R46" i="126"/>
  <c r="R47" i="126"/>
  <c r="R48" i="126"/>
  <c r="R49" i="126"/>
  <c r="R50" i="126"/>
  <c r="R51" i="126"/>
  <c r="G51" i="126"/>
  <c r="L50" i="126"/>
  <c r="G10" i="126"/>
  <c r="G11" i="126" s="1"/>
  <c r="K16" i="78" l="1"/>
  <c r="J16" i="78"/>
  <c r="I16" i="78"/>
  <c r="H16" i="78"/>
  <c r="K26" i="78" l="1"/>
  <c r="K27" i="78" s="1"/>
  <c r="K30" i="78" s="1"/>
  <c r="J26" i="78"/>
  <c r="J27" i="78" s="1"/>
  <c r="J30" i="78" s="1"/>
  <c r="I26" i="78"/>
  <c r="I27" i="78" s="1"/>
  <c r="I30" i="78" s="1"/>
  <c r="H26" i="78"/>
  <c r="H27" i="78" s="1"/>
  <c r="H30" i="78" s="1"/>
  <c r="G29" i="78"/>
  <c r="G28" i="78"/>
  <c r="G26" i="78"/>
  <c r="G27" i="78" s="1"/>
  <c r="F29" i="78"/>
  <c r="F26" i="78"/>
  <c r="F27" i="78" s="1"/>
  <c r="G16" i="78"/>
  <c r="F16" i="78"/>
  <c r="E27" i="78"/>
  <c r="E30" i="78" s="1"/>
  <c r="C27" i="78"/>
  <c r="C30" i="78" s="1"/>
  <c r="D27" i="78"/>
  <c r="D30" i="78" s="1"/>
  <c r="B27" i="78"/>
  <c r="B30" i="78" s="1"/>
  <c r="C14" i="78"/>
  <c r="C18" i="78" s="1"/>
  <c r="D14" i="78"/>
  <c r="D18" i="78" s="1"/>
  <c r="E14" i="78"/>
  <c r="E18" i="78" s="1"/>
  <c r="F14" i="78"/>
  <c r="G14" i="78"/>
  <c r="H14" i="78"/>
  <c r="H18" i="78" s="1"/>
  <c r="I14" i="78"/>
  <c r="I18" i="78" s="1"/>
  <c r="J14" i="78"/>
  <c r="J18" i="78" s="1"/>
  <c r="K14" i="78"/>
  <c r="K18" i="78" s="1"/>
  <c r="B14" i="78"/>
  <c r="B18" i="78" s="1"/>
  <c r="J21" i="74"/>
  <c r="G21" i="74"/>
  <c r="F21" i="74"/>
  <c r="E17" i="74"/>
  <c r="M10" i="114"/>
  <c r="M18" i="114" s="1"/>
  <c r="M13" i="114"/>
  <c r="M25" i="114" s="1"/>
  <c r="M9" i="114"/>
  <c r="M17" i="114" s="1"/>
  <c r="M7" i="114"/>
  <c r="C25" i="114"/>
  <c r="D25" i="114"/>
  <c r="E25" i="114"/>
  <c r="F25" i="114"/>
  <c r="G25" i="114"/>
  <c r="H25" i="114"/>
  <c r="I25" i="114"/>
  <c r="J25" i="114"/>
  <c r="K25" i="114"/>
  <c r="B25" i="114"/>
  <c r="C11" i="114"/>
  <c r="D11" i="114"/>
  <c r="E11" i="114"/>
  <c r="F11" i="114"/>
  <c r="G11" i="114"/>
  <c r="H11" i="114"/>
  <c r="I11" i="114"/>
  <c r="J11" i="114"/>
  <c r="K11" i="114"/>
  <c r="C17" i="114"/>
  <c r="D17" i="114"/>
  <c r="E17" i="114"/>
  <c r="F17" i="114"/>
  <c r="G17" i="114"/>
  <c r="H17" i="114"/>
  <c r="I17" i="114"/>
  <c r="J17" i="114"/>
  <c r="K17" i="114"/>
  <c r="C18" i="114"/>
  <c r="D18" i="114"/>
  <c r="E18" i="114"/>
  <c r="F18" i="114"/>
  <c r="G18" i="114"/>
  <c r="H18" i="114"/>
  <c r="I18" i="114"/>
  <c r="J18" i="114"/>
  <c r="K18" i="114"/>
  <c r="B18" i="114"/>
  <c r="B17" i="114"/>
  <c r="B11" i="114"/>
  <c r="M11" i="114" s="1"/>
  <c r="C82" i="71"/>
  <c r="D82" i="71"/>
  <c r="E82" i="71"/>
  <c r="F82" i="71"/>
  <c r="G82" i="71"/>
  <c r="H82" i="71"/>
  <c r="I82" i="71"/>
  <c r="J82" i="71"/>
  <c r="K82" i="71"/>
  <c r="L82" i="71"/>
  <c r="B82" i="71"/>
  <c r="B71" i="71"/>
  <c r="C70" i="71"/>
  <c r="C71" i="71" s="1"/>
  <c r="D70" i="71"/>
  <c r="D71" i="71" s="1"/>
  <c r="E70" i="71"/>
  <c r="F70" i="71"/>
  <c r="F71" i="71" s="1"/>
  <c r="G70" i="71"/>
  <c r="G71" i="71" s="1"/>
  <c r="H70" i="71"/>
  <c r="H71" i="71" s="1"/>
  <c r="I70" i="71"/>
  <c r="J71" i="71"/>
  <c r="J73" i="71" s="1"/>
  <c r="L70" i="71"/>
  <c r="L71" i="71" s="1"/>
  <c r="B7" i="112"/>
  <c r="L35" i="127"/>
  <c r="K19" i="127"/>
  <c r="K21" i="127" s="1"/>
  <c r="K35" i="127" s="1"/>
  <c r="K37" i="127" s="1"/>
  <c r="L19" i="127"/>
  <c r="L21" i="127" s="1"/>
  <c r="J19" i="127"/>
  <c r="J21" i="127" s="1"/>
  <c r="J35" i="127" s="1"/>
  <c r="J37" i="127" s="1"/>
  <c r="I19" i="127"/>
  <c r="I21" i="127" s="1"/>
  <c r="I35" i="127" s="1"/>
  <c r="I37" i="127" s="1"/>
  <c r="H19" i="127"/>
  <c r="H21" i="127" s="1"/>
  <c r="H35" i="127" s="1"/>
  <c r="H37" i="127" s="1"/>
  <c r="G19" i="127"/>
  <c r="G21" i="127" s="1"/>
  <c r="G35" i="127" s="1"/>
  <c r="G37" i="127" s="1"/>
  <c r="F19" i="127"/>
  <c r="F21" i="127" s="1"/>
  <c r="F35" i="127" s="1"/>
  <c r="F37" i="127" s="1"/>
  <c r="E19" i="127"/>
  <c r="E21" i="127" s="1"/>
  <c r="E35" i="127" s="1"/>
  <c r="E37" i="127" s="1"/>
  <c r="D19" i="127"/>
  <c r="D21" i="127" s="1"/>
  <c r="D35" i="127" s="1"/>
  <c r="D37" i="127" s="1"/>
  <c r="C19" i="127"/>
  <c r="C21" i="127" s="1"/>
  <c r="C35" i="127" s="1"/>
  <c r="C37" i="127" s="1"/>
  <c r="AP88" i="111"/>
  <c r="AD88" i="111"/>
  <c r="Z88" i="111"/>
  <c r="AA90" i="112"/>
  <c r="AA88" i="112"/>
  <c r="AA80" i="112"/>
  <c r="L37" i="127" l="1"/>
  <c r="E71" i="71"/>
  <c r="I71" i="71"/>
  <c r="F18" i="78"/>
  <c r="G18" i="78"/>
  <c r="G30" i="78"/>
  <c r="F30" i="78"/>
  <c r="M19" i="114"/>
  <c r="M21" i="114" s="1"/>
  <c r="D19" i="114"/>
  <c r="D22" i="114" s="1"/>
  <c r="H19" i="114"/>
  <c r="H21" i="114" s="1"/>
  <c r="I19" i="114"/>
  <c r="I21" i="114" s="1"/>
  <c r="E19" i="114"/>
  <c r="E22" i="114" s="1"/>
  <c r="D21" i="114"/>
  <c r="D23" i="114" s="1"/>
  <c r="K19" i="114"/>
  <c r="K21" i="114" s="1"/>
  <c r="C19" i="114"/>
  <c r="C21" i="114" s="1"/>
  <c r="J19" i="114"/>
  <c r="J22" i="114" s="1"/>
  <c r="F19" i="114"/>
  <c r="F22" i="114" s="1"/>
  <c r="G19" i="114"/>
  <c r="G21" i="114" s="1"/>
  <c r="B19" i="114"/>
  <c r="B21" i="114" s="1"/>
  <c r="M22" i="114" l="1"/>
  <c r="M23" i="114" s="1"/>
  <c r="H22" i="114"/>
  <c r="H23" i="114" s="1"/>
  <c r="E21" i="114"/>
  <c r="E23" i="114" s="1"/>
  <c r="K22" i="114"/>
  <c r="I22" i="114"/>
  <c r="I23" i="114" s="1"/>
  <c r="F21" i="114"/>
  <c r="F23" i="114" s="1"/>
  <c r="J21" i="114"/>
  <c r="J23" i="114" s="1"/>
  <c r="C22" i="114"/>
  <c r="C23" i="114" s="1"/>
  <c r="K23" i="114"/>
  <c r="G22" i="114"/>
  <c r="G23" i="114" s="1"/>
  <c r="B22" i="114"/>
  <c r="B23" i="114" s="1"/>
  <c r="M51" i="126"/>
  <c r="L51" i="126"/>
  <c r="M50" i="126"/>
  <c r="M41" i="126"/>
  <c r="L41" i="126"/>
  <c r="M40" i="126"/>
  <c r="L40" i="126"/>
  <c r="M31" i="126"/>
  <c r="L31" i="126"/>
  <c r="M30" i="126"/>
  <c r="L30" i="126"/>
  <c r="M21" i="126"/>
  <c r="L21" i="126"/>
  <c r="M20" i="126"/>
  <c r="L20" i="126"/>
  <c r="L11" i="126"/>
  <c r="M11" i="126"/>
  <c r="M10" i="126"/>
  <c r="L10" i="126"/>
  <c r="I10" i="126"/>
  <c r="I11" i="126" s="1"/>
  <c r="H10" i="126"/>
  <c r="H11" i="126" s="1"/>
  <c r="I20" i="126"/>
  <c r="I21" i="126" s="1"/>
  <c r="H20" i="126"/>
  <c r="H21" i="126" s="1"/>
  <c r="G20" i="126"/>
  <c r="G21" i="126" s="1"/>
  <c r="I30" i="126"/>
  <c r="I31" i="126" s="1"/>
  <c r="H30" i="126"/>
  <c r="H31" i="126" s="1"/>
  <c r="G40" i="126"/>
  <c r="I40" i="126"/>
  <c r="I41" i="126" s="1"/>
  <c r="H40" i="126"/>
  <c r="H41" i="126" s="1"/>
  <c r="D53" i="126"/>
  <c r="D54" i="126" s="1"/>
  <c r="C54" i="126"/>
  <c r="C53" i="126"/>
  <c r="B54" i="126"/>
  <c r="B53" i="126"/>
  <c r="H50" i="126"/>
  <c r="H51" i="126" s="1"/>
  <c r="I50" i="126"/>
  <c r="I51" i="126" s="1"/>
  <c r="W32" i="70"/>
  <c r="V46" i="70"/>
  <c r="T46" i="70"/>
  <c r="C46" i="70"/>
  <c r="D46" i="70"/>
  <c r="E46" i="70"/>
  <c r="F46" i="70"/>
  <c r="G46" i="70"/>
  <c r="H46" i="70"/>
  <c r="I46" i="70"/>
  <c r="J46" i="70"/>
  <c r="K46" i="70"/>
  <c r="L46" i="70"/>
  <c r="M46" i="70"/>
  <c r="N46" i="70"/>
  <c r="O46" i="70"/>
  <c r="P46" i="70"/>
  <c r="Q46" i="70"/>
  <c r="R46" i="70"/>
  <c r="S46" i="70"/>
  <c r="B46" i="70"/>
  <c r="F95" i="125"/>
  <c r="D97" i="125"/>
  <c r="D77" i="125"/>
  <c r="G74" i="125"/>
  <c r="G75" i="125"/>
  <c r="F85" i="125"/>
  <c r="F76" i="125"/>
  <c r="G76" i="125" s="1"/>
  <c r="F73" i="125"/>
  <c r="F72" i="125"/>
  <c r="G72" i="125" s="1"/>
  <c r="E85" i="125"/>
  <c r="E76" i="125"/>
  <c r="B76" i="125"/>
  <c r="D74" i="125"/>
  <c r="B74" i="125"/>
  <c r="E73" i="125"/>
  <c r="G73" i="125" s="1"/>
  <c r="D73" i="125"/>
  <c r="C73" i="125"/>
  <c r="E72" i="125"/>
  <c r="D72" i="125"/>
  <c r="C72" i="125"/>
  <c r="E71" i="125"/>
  <c r="E70" i="125" s="1"/>
  <c r="B71" i="125"/>
  <c r="C70" i="125"/>
  <c r="B70" i="125"/>
  <c r="M40" i="125"/>
  <c r="M39" i="125"/>
  <c r="M38" i="125"/>
  <c r="M37" i="125"/>
  <c r="M36" i="125"/>
  <c r="M35" i="125"/>
  <c r="M34" i="125"/>
  <c r="M33" i="125"/>
  <c r="B33" i="125"/>
  <c r="M32" i="125"/>
  <c r="B32" i="125"/>
  <c r="M31" i="125"/>
  <c r="B31" i="125"/>
  <c r="N30" i="125"/>
  <c r="B30" i="125"/>
  <c r="N29" i="125"/>
  <c r="L29" i="125"/>
  <c r="B28" i="125"/>
  <c r="B27" i="125"/>
  <c r="B34" i="125" s="1"/>
  <c r="B23" i="125"/>
  <c r="B13" i="125"/>
  <c r="B7" i="125"/>
  <c r="F71" i="125"/>
  <c r="G71" i="125" s="1"/>
  <c r="B54" i="120"/>
  <c r="B42" i="120"/>
  <c r="B35" i="124"/>
  <c r="E60" i="64"/>
  <c r="E55" i="64"/>
  <c r="E54" i="64"/>
  <c r="E57" i="64"/>
  <c r="E56" i="64"/>
  <c r="E53" i="64"/>
  <c r="B37" i="124"/>
  <c r="B36" i="124"/>
  <c r="H13" i="124"/>
  <c r="H14" i="124"/>
  <c r="G14" i="124"/>
  <c r="G13" i="124"/>
  <c r="F14" i="124"/>
  <c r="F13" i="124"/>
  <c r="E14" i="124"/>
  <c r="E13" i="124"/>
  <c r="D14" i="124"/>
  <c r="D13" i="124"/>
  <c r="C14" i="124"/>
  <c r="C13" i="124"/>
  <c r="B14" i="124"/>
  <c r="B13" i="124"/>
  <c r="B41" i="124"/>
  <c r="L24" i="124"/>
  <c r="L20" i="124"/>
  <c r="K20" i="124"/>
  <c r="J20" i="124"/>
  <c r="I20" i="124"/>
  <c r="H20" i="124"/>
  <c r="G20" i="124"/>
  <c r="F20" i="124"/>
  <c r="E20" i="124"/>
  <c r="D20" i="124"/>
  <c r="C20" i="124"/>
  <c r="L18" i="124"/>
  <c r="L15" i="124"/>
  <c r="K6" i="124" s="1"/>
  <c r="L13" i="124"/>
  <c r="K13" i="124"/>
  <c r="J13" i="124"/>
  <c r="I13" i="124"/>
  <c r="I12" i="124"/>
  <c r="F10" i="124"/>
  <c r="D10" i="124"/>
  <c r="J8" i="124"/>
  <c r="B40" i="124" s="1"/>
  <c r="L6" i="124"/>
  <c r="K5" i="124"/>
  <c r="J5" i="124" s="1"/>
  <c r="I5" i="124" s="1"/>
  <c r="H5" i="124" s="1"/>
  <c r="G5" i="124" s="1"/>
  <c r="F5" i="124" s="1"/>
  <c r="E5" i="124" s="1"/>
  <c r="D5" i="124" s="1"/>
  <c r="C5" i="124" s="1"/>
  <c r="B5" i="124" s="1"/>
  <c r="H9" i="123"/>
  <c r="I9" i="123"/>
  <c r="C18" i="123"/>
  <c r="B12" i="123"/>
  <c r="H11" i="123"/>
  <c r="I11" i="123"/>
  <c r="F12" i="123"/>
  <c r="E12" i="123"/>
  <c r="I13" i="123"/>
  <c r="H13" i="123"/>
  <c r="C12" i="123"/>
  <c r="I10" i="123"/>
  <c r="H10" i="123"/>
  <c r="I8" i="123"/>
  <c r="H8" i="123"/>
  <c r="I7" i="123"/>
  <c r="H7" i="123"/>
  <c r="I6" i="123"/>
  <c r="H6" i="123"/>
  <c r="M10" i="121"/>
  <c r="M11" i="121"/>
  <c r="M20" i="121"/>
  <c r="M18" i="121"/>
  <c r="M16" i="121"/>
  <c r="M15" i="121"/>
  <c r="M14" i="121"/>
  <c r="V48" i="70" l="1"/>
  <c r="B43" i="120"/>
  <c r="M41" i="125"/>
  <c r="N40" i="125"/>
  <c r="D71" i="125" s="1"/>
  <c r="D70" i="125"/>
  <c r="B69" i="125"/>
  <c r="E61" i="64"/>
  <c r="K15" i="124"/>
  <c r="N8" i="124"/>
  <c r="L25" i="124"/>
  <c r="H12" i="123"/>
  <c r="I12" i="123"/>
  <c r="B14" i="120"/>
  <c r="B13" i="120"/>
  <c r="C14" i="120"/>
  <c r="C10" i="120"/>
  <c r="C13" i="120"/>
  <c r="D14" i="120"/>
  <c r="D13" i="120"/>
  <c r="E14" i="120"/>
  <c r="E13" i="120"/>
  <c r="F14" i="120"/>
  <c r="F13" i="120"/>
  <c r="B16" i="121"/>
  <c r="C16" i="121"/>
  <c r="D16" i="121"/>
  <c r="E16" i="121"/>
  <c r="F16" i="121"/>
  <c r="B20" i="120"/>
  <c r="C20" i="120"/>
  <c r="D20" i="120"/>
  <c r="E20" i="120"/>
  <c r="F20" i="120"/>
  <c r="G20" i="120"/>
  <c r="G14" i="120"/>
  <c r="G13" i="120"/>
  <c r="H16" i="121"/>
  <c r="G16" i="121"/>
  <c r="H11" i="120"/>
  <c r="H14" i="120"/>
  <c r="H13" i="120"/>
  <c r="B36" i="120"/>
  <c r="C36" i="120"/>
  <c r="D36" i="120"/>
  <c r="E36" i="120"/>
  <c r="F36" i="120"/>
  <c r="G36" i="120"/>
  <c r="H36" i="120"/>
  <c r="H20" i="120"/>
  <c r="I20" i="120"/>
  <c r="I14" i="120"/>
  <c r="I13" i="120"/>
  <c r="I36" i="120"/>
  <c r="B18" i="121"/>
  <c r="C18" i="121"/>
  <c r="D18" i="121"/>
  <c r="E18" i="121"/>
  <c r="F18" i="121"/>
  <c r="G18" i="121"/>
  <c r="H18" i="121"/>
  <c r="I18" i="121"/>
  <c r="J18" i="121"/>
  <c r="B14" i="121"/>
  <c r="C14" i="121"/>
  <c r="E14" i="121"/>
  <c r="F14" i="121"/>
  <c r="G14" i="121"/>
  <c r="H14" i="121"/>
  <c r="I14" i="121"/>
  <c r="J14" i="121"/>
  <c r="B15" i="121"/>
  <c r="C15" i="121"/>
  <c r="D15" i="121"/>
  <c r="E15" i="121"/>
  <c r="F15" i="121"/>
  <c r="G15" i="121"/>
  <c r="H15" i="121"/>
  <c r="I15" i="121"/>
  <c r="J15" i="121"/>
  <c r="J20" i="120"/>
  <c r="K20" i="120"/>
  <c r="L20" i="120"/>
  <c r="J14" i="120"/>
  <c r="J36" i="120"/>
  <c r="J13" i="120"/>
  <c r="K15" i="121"/>
  <c r="K14" i="121"/>
  <c r="K18" i="121"/>
  <c r="K14" i="120"/>
  <c r="K13" i="120"/>
  <c r="F70" i="125" l="1"/>
  <c r="G70" i="125" s="1"/>
  <c r="G77" i="125" s="1"/>
  <c r="F88" i="148"/>
  <c r="B50" i="120"/>
  <c r="B55" i="120" s="1"/>
  <c r="B77" i="125"/>
  <c r="G69" i="125"/>
  <c r="B42" i="124"/>
  <c r="J6" i="124"/>
  <c r="K25" i="124"/>
  <c r="L13" i="120"/>
  <c r="L14" i="120"/>
  <c r="L36" i="120"/>
  <c r="K5" i="120"/>
  <c r="K36" i="120" s="1"/>
  <c r="G80" i="125" l="1"/>
  <c r="H88" i="148"/>
  <c r="F96" i="148"/>
  <c r="B52" i="120"/>
  <c r="C44" i="120" s="1"/>
  <c r="G101" i="125"/>
  <c r="G99" i="125"/>
  <c r="G97" i="125"/>
  <c r="G102" i="125"/>
  <c r="B80" i="125"/>
  <c r="C69" i="125"/>
  <c r="C77" i="125" s="1"/>
  <c r="G100" i="125"/>
  <c r="G96" i="125"/>
  <c r="G98" i="125"/>
  <c r="J25" i="124"/>
  <c r="I6" i="124"/>
  <c r="I15" i="124" s="1"/>
  <c r="L15" i="120"/>
  <c r="L38" i="120" s="1"/>
  <c r="G87" i="148" l="1"/>
  <c r="G96" i="148" s="1"/>
  <c r="F99" i="148"/>
  <c r="F107" i="148"/>
  <c r="F108" i="148" s="1"/>
  <c r="F105" i="148"/>
  <c r="H96" i="148"/>
  <c r="H99" i="148" s="1"/>
  <c r="H115" i="148" s="1"/>
  <c r="C43" i="120"/>
  <c r="C52" i="120"/>
  <c r="C49" i="120"/>
  <c r="C45" i="120"/>
  <c r="C46" i="120"/>
  <c r="C48" i="120"/>
  <c r="C47" i="120"/>
  <c r="G103" i="125"/>
  <c r="D69" i="125"/>
  <c r="C88" i="125"/>
  <c r="C89" i="125" s="1"/>
  <c r="C80" i="125"/>
  <c r="B99" i="125"/>
  <c r="B97" i="125"/>
  <c r="B100" i="125"/>
  <c r="B96" i="125"/>
  <c r="B102" i="125"/>
  <c r="B98" i="125"/>
  <c r="B101" i="125"/>
  <c r="H6" i="124"/>
  <c r="H15" i="124" s="1"/>
  <c r="I25" i="124"/>
  <c r="B88" i="111"/>
  <c r="D30" i="75"/>
  <c r="N5" i="75"/>
  <c r="F121" i="148" l="1"/>
  <c r="F117" i="148"/>
  <c r="F119" i="148"/>
  <c r="F120" i="148"/>
  <c r="F118" i="148"/>
  <c r="F122" i="148"/>
  <c r="F116" i="148"/>
  <c r="F115" i="148"/>
  <c r="F123" i="148" s="1"/>
  <c r="H122" i="148"/>
  <c r="H120" i="148"/>
  <c r="H117" i="148"/>
  <c r="H121" i="148"/>
  <c r="H118" i="148"/>
  <c r="H119" i="148"/>
  <c r="H116" i="148"/>
  <c r="H123" i="148" s="1"/>
  <c r="G99" i="148"/>
  <c r="G105" i="148"/>
  <c r="B103" i="125"/>
  <c r="C102" i="125"/>
  <c r="C100" i="125"/>
  <c r="C101" i="125"/>
  <c r="C97" i="125"/>
  <c r="C96" i="125"/>
  <c r="C99" i="125"/>
  <c r="C98" i="125"/>
  <c r="D88" i="125"/>
  <c r="D89" i="125" s="1"/>
  <c r="D80" i="125"/>
  <c r="E69" i="125"/>
  <c r="E77" i="125" s="1"/>
  <c r="F69" i="125" s="1"/>
  <c r="F77" i="125" s="1"/>
  <c r="F88" i="125" s="1"/>
  <c r="F89" i="125" s="1"/>
  <c r="G6" i="124"/>
  <c r="G15" i="124" s="1"/>
  <c r="H25" i="124"/>
  <c r="G13" i="118"/>
  <c r="G16" i="118" s="1"/>
  <c r="H13" i="118"/>
  <c r="H16" i="118" s="1"/>
  <c r="I13" i="118"/>
  <c r="I16" i="118" s="1"/>
  <c r="J13" i="118"/>
  <c r="J16" i="118" s="1"/>
  <c r="K13" i="118"/>
  <c r="K16" i="118" s="1"/>
  <c r="L13" i="118"/>
  <c r="L16" i="118" s="1"/>
  <c r="F13" i="118"/>
  <c r="F16" i="118" s="1"/>
  <c r="E13" i="118"/>
  <c r="E16" i="118" s="1"/>
  <c r="D13" i="118"/>
  <c r="D16" i="118" s="1"/>
  <c r="C13" i="118"/>
  <c r="C16" i="118" s="1"/>
  <c r="B13" i="118"/>
  <c r="B16" i="118" s="1"/>
  <c r="G135" i="148" l="1"/>
  <c r="G121" i="148"/>
  <c r="G117" i="148"/>
  <c r="G120" i="148"/>
  <c r="G116" i="148"/>
  <c r="G118" i="148"/>
  <c r="G122" i="148"/>
  <c r="G119" i="148"/>
  <c r="G115" i="148"/>
  <c r="F80" i="125"/>
  <c r="F86" i="125"/>
  <c r="D101" i="125"/>
  <c r="D102" i="125"/>
  <c r="D98" i="125"/>
  <c r="D99" i="125"/>
  <c r="D100" i="125"/>
  <c r="D96" i="125"/>
  <c r="C103" i="125"/>
  <c r="E80" i="125"/>
  <c r="E86" i="125"/>
  <c r="E88" i="125"/>
  <c r="E89" i="125" s="1"/>
  <c r="F6" i="124"/>
  <c r="F15" i="124" s="1"/>
  <c r="G25" i="124"/>
  <c r="F8" i="115"/>
  <c r="E8" i="115"/>
  <c r="D8" i="115"/>
  <c r="C8" i="115"/>
  <c r="B8" i="115"/>
  <c r="G123" i="148" l="1"/>
  <c r="F101" i="125"/>
  <c r="F97" i="125"/>
  <c r="F102" i="125"/>
  <c r="F100" i="125"/>
  <c r="F99" i="125"/>
  <c r="F98" i="125"/>
  <c r="F96" i="125"/>
  <c r="D103" i="125"/>
  <c r="E100" i="125"/>
  <c r="E101" i="125"/>
  <c r="E97" i="125"/>
  <c r="E98" i="125"/>
  <c r="E96" i="125"/>
  <c r="E102" i="125"/>
  <c r="E99" i="125"/>
  <c r="F25" i="124"/>
  <c r="E6" i="124"/>
  <c r="E15" i="124" s="1"/>
  <c r="B7" i="116"/>
  <c r="B8" i="116"/>
  <c r="B6" i="116"/>
  <c r="C91" i="71"/>
  <c r="D91" i="71"/>
  <c r="E91" i="71"/>
  <c r="F91" i="71"/>
  <c r="G91" i="71"/>
  <c r="H91" i="71"/>
  <c r="I91" i="71"/>
  <c r="J91" i="71"/>
  <c r="K91" i="71"/>
  <c r="L91" i="71"/>
  <c r="M91" i="71"/>
  <c r="C92" i="71"/>
  <c r="D92" i="71"/>
  <c r="E92" i="71"/>
  <c r="F92" i="71"/>
  <c r="G92" i="71"/>
  <c r="H92" i="71"/>
  <c r="I92" i="71"/>
  <c r="J92" i="71"/>
  <c r="K92" i="71"/>
  <c r="L92" i="71"/>
  <c r="M92" i="71"/>
  <c r="B92" i="71"/>
  <c r="C98" i="71"/>
  <c r="C102" i="71" s="1"/>
  <c r="D98" i="71"/>
  <c r="E98" i="71"/>
  <c r="E102" i="71" s="1"/>
  <c r="F98" i="71"/>
  <c r="F102" i="71" s="1"/>
  <c r="G98" i="71"/>
  <c r="G102" i="71" s="1"/>
  <c r="H98" i="71"/>
  <c r="I98" i="71"/>
  <c r="I102" i="71" s="1"/>
  <c r="J98" i="71"/>
  <c r="J102" i="71" s="1"/>
  <c r="K98" i="71"/>
  <c r="K102" i="71" s="1"/>
  <c r="L98" i="71"/>
  <c r="B98" i="71"/>
  <c r="C93" i="71"/>
  <c r="D93" i="71"/>
  <c r="E93" i="71"/>
  <c r="F93" i="71"/>
  <c r="G93" i="71"/>
  <c r="H93" i="71"/>
  <c r="I93" i="71"/>
  <c r="J93" i="71"/>
  <c r="K93" i="71"/>
  <c r="L93" i="71"/>
  <c r="M93" i="71"/>
  <c r="C90" i="71"/>
  <c r="D90" i="71"/>
  <c r="E90" i="71"/>
  <c r="F90" i="71"/>
  <c r="G90" i="71"/>
  <c r="H90" i="71"/>
  <c r="I90" i="71"/>
  <c r="J90" i="71"/>
  <c r="K90" i="71"/>
  <c r="L90" i="71"/>
  <c r="M90" i="71"/>
  <c r="B90" i="71"/>
  <c r="C87" i="71"/>
  <c r="D87" i="71"/>
  <c r="E87" i="71"/>
  <c r="F87" i="71"/>
  <c r="G87" i="71"/>
  <c r="H87" i="71"/>
  <c r="I87" i="71"/>
  <c r="J87" i="71"/>
  <c r="K87" i="71"/>
  <c r="L87" i="71"/>
  <c r="M87" i="71"/>
  <c r="B87" i="71"/>
  <c r="F88" i="111"/>
  <c r="E7" i="117"/>
  <c r="B8" i="117" s="1"/>
  <c r="H8" i="117" s="1"/>
  <c r="S72" i="115"/>
  <c r="R70" i="115"/>
  <c r="R72" i="115"/>
  <c r="B99" i="71" l="1"/>
  <c r="B102" i="71"/>
  <c r="K99" i="71"/>
  <c r="G99" i="71"/>
  <c r="H102" i="71"/>
  <c r="C99" i="71"/>
  <c r="D102" i="71"/>
  <c r="D8" i="117"/>
  <c r="E8" i="117" s="1"/>
  <c r="F7" i="117"/>
  <c r="B93" i="71"/>
  <c r="J99" i="71"/>
  <c r="J100" i="71" s="1"/>
  <c r="F99" i="71"/>
  <c r="F100" i="71" s="1"/>
  <c r="H99" i="71"/>
  <c r="D99" i="71"/>
  <c r="C100" i="71" s="1"/>
  <c r="L99" i="71"/>
  <c r="K100" i="71" s="1"/>
  <c r="I99" i="71"/>
  <c r="E99" i="71"/>
  <c r="F103" i="125"/>
  <c r="E103" i="125"/>
  <c r="D6" i="124"/>
  <c r="D15" i="124" s="1"/>
  <c r="E25" i="124"/>
  <c r="B100" i="71"/>
  <c r="G100" i="71" l="1"/>
  <c r="B9" i="117"/>
  <c r="H9" i="117" s="1"/>
  <c r="F8" i="117"/>
  <c r="D9" i="117"/>
  <c r="D100" i="71"/>
  <c r="H100" i="71"/>
  <c r="E100" i="71"/>
  <c r="I100" i="71"/>
  <c r="C6" i="124"/>
  <c r="C15" i="124" s="1"/>
  <c r="D25" i="124"/>
  <c r="N59" i="115"/>
  <c r="N46" i="115"/>
  <c r="N47" i="115"/>
  <c r="N48" i="115"/>
  <c r="N54" i="115"/>
  <c r="K54" i="115"/>
  <c r="L46" i="115"/>
  <c r="K49" i="115"/>
  <c r="G33" i="116"/>
  <c r="G35" i="116" s="1"/>
  <c r="G36" i="116" s="1"/>
  <c r="F33" i="116"/>
  <c r="F35" i="116" s="1"/>
  <c r="E33" i="116"/>
  <c r="D33" i="116"/>
  <c r="D35" i="116" s="1"/>
  <c r="C33" i="116"/>
  <c r="C35" i="116" s="1"/>
  <c r="B33" i="116"/>
  <c r="B35" i="116" s="1"/>
  <c r="E35" i="116"/>
  <c r="F31" i="116"/>
  <c r="E31" i="116"/>
  <c r="D31" i="116"/>
  <c r="C31" i="116"/>
  <c r="B31" i="116"/>
  <c r="F9" i="116"/>
  <c r="E9" i="116"/>
  <c r="D9" i="116"/>
  <c r="C9" i="116"/>
  <c r="B14" i="115"/>
  <c r="B17" i="115" s="1"/>
  <c r="E9" i="117" l="1"/>
  <c r="B6" i="124"/>
  <c r="B15" i="124" s="1"/>
  <c r="C25" i="124"/>
  <c r="B15" i="116"/>
  <c r="B16" i="116" s="1"/>
  <c r="B20" i="116" s="1"/>
  <c r="B9" i="116"/>
  <c r="F36" i="116"/>
  <c r="F7" i="116" s="1"/>
  <c r="F10" i="116" s="1"/>
  <c r="D36" i="116"/>
  <c r="D7" i="116" s="1"/>
  <c r="D10" i="116" s="1"/>
  <c r="B36" i="116"/>
  <c r="C36" i="116"/>
  <c r="C7" i="116" s="1"/>
  <c r="C10" i="116" s="1"/>
  <c r="E36" i="116"/>
  <c r="E7" i="116" s="1"/>
  <c r="E10" i="116" s="1"/>
  <c r="G37" i="115"/>
  <c r="G36" i="115"/>
  <c r="G35" i="115"/>
  <c r="F37" i="115"/>
  <c r="F36" i="115"/>
  <c r="E37" i="115"/>
  <c r="E36" i="115"/>
  <c r="D37" i="115"/>
  <c r="D36" i="115"/>
  <c r="C37" i="115"/>
  <c r="C36" i="115"/>
  <c r="C38" i="115" s="1"/>
  <c r="B37" i="115"/>
  <c r="B36" i="115"/>
  <c r="F34" i="115"/>
  <c r="E34" i="115"/>
  <c r="D34" i="115"/>
  <c r="C34" i="115"/>
  <c r="B34" i="115"/>
  <c r="E9" i="115"/>
  <c r="D9" i="115"/>
  <c r="C9" i="115"/>
  <c r="F9" i="115"/>
  <c r="B9" i="115"/>
  <c r="F9" i="117" l="1"/>
  <c r="B10" i="117"/>
  <c r="B25" i="124"/>
  <c r="B44" i="124"/>
  <c r="B45" i="124" s="1"/>
  <c r="B10" i="116"/>
  <c r="B21" i="116" s="1"/>
  <c r="G38" i="115"/>
  <c r="G39" i="115" s="1"/>
  <c r="F38" i="115"/>
  <c r="E38" i="115"/>
  <c r="D38" i="115"/>
  <c r="C39" i="115"/>
  <c r="C7" i="115" s="1"/>
  <c r="C10" i="115" s="1"/>
  <c r="B38" i="115"/>
  <c r="B39" i="115" s="1"/>
  <c r="B7" i="115" s="1"/>
  <c r="B10" i="115" s="1"/>
  <c r="D10" i="117" l="1"/>
  <c r="E10" i="117" s="1"/>
  <c r="H10" i="117"/>
  <c r="B11" i="117"/>
  <c r="F10" i="117"/>
  <c r="K6" i="120"/>
  <c r="K15" i="120" s="1"/>
  <c r="D39" i="115"/>
  <c r="D7" i="115" s="1"/>
  <c r="D10" i="115" s="1"/>
  <c r="F39" i="115"/>
  <c r="F7" i="115" s="1"/>
  <c r="F10" i="115" s="1"/>
  <c r="E39" i="115"/>
  <c r="E7" i="115" s="1"/>
  <c r="E10" i="115" s="1"/>
  <c r="B21" i="115"/>
  <c r="D11" i="117" l="1"/>
  <c r="H11" i="117"/>
  <c r="E11" i="117"/>
  <c r="K38" i="120"/>
  <c r="J6" i="120"/>
  <c r="J15" i="120" s="1"/>
  <c r="L25" i="120"/>
  <c r="B23" i="115"/>
  <c r="B22" i="115"/>
  <c r="C83" i="71"/>
  <c r="E83" i="71"/>
  <c r="F83" i="71"/>
  <c r="G83" i="71"/>
  <c r="H83" i="71"/>
  <c r="I83" i="71"/>
  <c r="J83" i="71"/>
  <c r="L83" i="71"/>
  <c r="M83" i="71"/>
  <c r="B83" i="71"/>
  <c r="B12" i="117" l="1"/>
  <c r="F11" i="117"/>
  <c r="J38" i="120"/>
  <c r="I6" i="120"/>
  <c r="I15" i="120" s="1"/>
  <c r="J88" i="111"/>
  <c r="V88" i="111"/>
  <c r="R88" i="111"/>
  <c r="P88" i="111"/>
  <c r="O88" i="111"/>
  <c r="N88" i="111"/>
  <c r="D12" i="117" l="1"/>
  <c r="H12" i="117"/>
  <c r="E12" i="117"/>
  <c r="I38" i="120"/>
  <c r="H6" i="120"/>
  <c r="H15" i="120" s="1"/>
  <c r="B13" i="117" l="1"/>
  <c r="F12" i="117"/>
  <c r="G6" i="120"/>
  <c r="G15" i="120" s="1"/>
  <c r="H38" i="120"/>
  <c r="C15" i="113"/>
  <c r="I9" i="113"/>
  <c r="I8" i="113"/>
  <c r="H9" i="113"/>
  <c r="H8" i="113"/>
  <c r="H33" i="113"/>
  <c r="H34" i="113" s="1"/>
  <c r="H35" i="113" s="1"/>
  <c r="H32" i="113"/>
  <c r="G33" i="113"/>
  <c r="G34" i="113" s="1"/>
  <c r="G32" i="113"/>
  <c r="F33" i="113"/>
  <c r="F32" i="113"/>
  <c r="F8" i="113"/>
  <c r="F9" i="113" s="1"/>
  <c r="G8" i="113"/>
  <c r="E33" i="113"/>
  <c r="E34" i="113" s="1"/>
  <c r="E32" i="113"/>
  <c r="D33" i="113"/>
  <c r="D34" i="113"/>
  <c r="F34" i="113"/>
  <c r="C34" i="113"/>
  <c r="C33" i="113"/>
  <c r="D32" i="113"/>
  <c r="C32" i="113"/>
  <c r="E8" i="113"/>
  <c r="E9" i="113" s="1"/>
  <c r="D8" i="113"/>
  <c r="D9" i="113" s="1"/>
  <c r="C8" i="113"/>
  <c r="C9" i="113" s="1"/>
  <c r="G30" i="113"/>
  <c r="F30" i="113"/>
  <c r="E30" i="113"/>
  <c r="D30" i="113"/>
  <c r="C30" i="113"/>
  <c r="G9" i="113"/>
  <c r="D13" i="117" l="1"/>
  <c r="H13" i="117"/>
  <c r="F6" i="120"/>
  <c r="F15" i="120" s="1"/>
  <c r="G38" i="120"/>
  <c r="F35" i="113"/>
  <c r="F7" i="113" s="1"/>
  <c r="F10" i="113" s="1"/>
  <c r="D35" i="113"/>
  <c r="D7" i="113" s="1"/>
  <c r="D10" i="113" s="1"/>
  <c r="C16" i="113"/>
  <c r="C35" i="113"/>
  <c r="C7" i="113" s="1"/>
  <c r="C10" i="113" s="1"/>
  <c r="G35" i="113"/>
  <c r="G7" i="113" s="1"/>
  <c r="G10" i="113" s="1"/>
  <c r="E35" i="113"/>
  <c r="E7" i="113" s="1"/>
  <c r="E10" i="113" s="1"/>
  <c r="U70" i="112"/>
  <c r="P15" i="112"/>
  <c r="I44" i="112"/>
  <c r="I41" i="112"/>
  <c r="I40" i="112"/>
  <c r="I39" i="112"/>
  <c r="I43" i="112"/>
  <c r="C49" i="112"/>
  <c r="D49" i="112"/>
  <c r="E49" i="112"/>
  <c r="F49" i="112"/>
  <c r="B49" i="112"/>
  <c r="F42" i="112"/>
  <c r="F54" i="112" s="1"/>
  <c r="E54" i="112"/>
  <c r="E42" i="112"/>
  <c r="D54" i="112"/>
  <c r="C54" i="112"/>
  <c r="B54" i="112"/>
  <c r="C52" i="112"/>
  <c r="D52" i="112"/>
  <c r="E52" i="112"/>
  <c r="F52" i="112"/>
  <c r="B52" i="112"/>
  <c r="B51" i="112"/>
  <c r="F47" i="112"/>
  <c r="E47" i="112"/>
  <c r="F46" i="112"/>
  <c r="E46" i="112"/>
  <c r="D46" i="112"/>
  <c r="D47" i="112"/>
  <c r="D42" i="112"/>
  <c r="C46" i="112"/>
  <c r="C47" i="112"/>
  <c r="B47" i="112"/>
  <c r="B46" i="112"/>
  <c r="C42" i="112"/>
  <c r="B42" i="112"/>
  <c r="C30" i="112"/>
  <c r="D30" i="112"/>
  <c r="E30" i="112"/>
  <c r="F30" i="112"/>
  <c r="G30" i="112"/>
  <c r="B30" i="112"/>
  <c r="E13" i="117" l="1"/>
  <c r="E6" i="120"/>
  <c r="E15" i="120" s="1"/>
  <c r="F38" i="120"/>
  <c r="C20" i="113"/>
  <c r="C21" i="113" s="1"/>
  <c r="C22" i="113"/>
  <c r="B14" i="112"/>
  <c r="B15" i="112"/>
  <c r="C9" i="112"/>
  <c r="B32" i="112"/>
  <c r="B33" i="112" s="1"/>
  <c r="G33" i="112"/>
  <c r="G34" i="112" s="1"/>
  <c r="F33" i="112"/>
  <c r="E33" i="112"/>
  <c r="D33" i="112"/>
  <c r="C33" i="112"/>
  <c r="F9" i="112"/>
  <c r="E9" i="112"/>
  <c r="D9" i="112"/>
  <c r="B9" i="112"/>
  <c r="B10" i="112" s="1"/>
  <c r="B14" i="117" l="1"/>
  <c r="F13" i="117"/>
  <c r="D6" i="120"/>
  <c r="D15" i="120" s="1"/>
  <c r="D38" i="120" s="1"/>
  <c r="E38" i="120"/>
  <c r="B34" i="112"/>
  <c r="B16" i="112"/>
  <c r="F34" i="112"/>
  <c r="F7" i="112" s="1"/>
  <c r="F10" i="112" s="1"/>
  <c r="C34" i="112"/>
  <c r="C7" i="112" s="1"/>
  <c r="E34" i="112"/>
  <c r="E7" i="112" s="1"/>
  <c r="E10" i="112" s="1"/>
  <c r="D34" i="112"/>
  <c r="D7" i="112" s="1"/>
  <c r="D10" i="112" s="1"/>
  <c r="C10" i="112"/>
  <c r="B22" i="112" s="1"/>
  <c r="P14" i="112"/>
  <c r="D14" i="117" l="1"/>
  <c r="H14" i="117"/>
  <c r="C6" i="120"/>
  <c r="C15" i="120" s="1"/>
  <c r="B20" i="112"/>
  <c r="B21" i="112" s="1"/>
  <c r="J107" i="99"/>
  <c r="L107" i="99"/>
  <c r="N107" i="99"/>
  <c r="P107" i="99"/>
  <c r="U108" i="99"/>
  <c r="B108" i="99"/>
  <c r="C108" i="99"/>
  <c r="D108" i="99"/>
  <c r="E108" i="99"/>
  <c r="F108" i="99"/>
  <c r="G108" i="99"/>
  <c r="I108" i="99"/>
  <c r="J108" i="99"/>
  <c r="K108" i="99"/>
  <c r="L108" i="99"/>
  <c r="M108" i="99"/>
  <c r="N108" i="99"/>
  <c r="O108" i="99"/>
  <c r="Q108" i="99"/>
  <c r="R108" i="99"/>
  <c r="T108" i="99"/>
  <c r="E14" i="117" l="1"/>
  <c r="B6" i="120"/>
  <c r="B38" i="120" s="1"/>
  <c r="C38" i="120"/>
  <c r="P16" i="112"/>
  <c r="P21" i="112" s="1"/>
  <c r="AU82" i="111"/>
  <c r="B15" i="117" l="1"/>
  <c r="F14" i="117"/>
  <c r="AL87" i="111"/>
  <c r="AL88" i="111" s="1"/>
  <c r="AH87" i="111"/>
  <c r="AH88" i="111" s="1"/>
  <c r="AR74" i="111"/>
  <c r="AN74" i="111"/>
  <c r="AJ74" i="111"/>
  <c r="AF74" i="111"/>
  <c r="AB74" i="111"/>
  <c r="X74" i="111"/>
  <c r="AP73" i="111"/>
  <c r="AR73" i="111" s="1"/>
  <c r="AL73" i="111"/>
  <c r="AN73" i="111" s="1"/>
  <c r="AH73" i="111"/>
  <c r="AJ73" i="111" s="1"/>
  <c r="AD73" i="111"/>
  <c r="AF73" i="111" s="1"/>
  <c r="Z73" i="111"/>
  <c r="AB73" i="111" s="1"/>
  <c r="V73" i="111"/>
  <c r="X73" i="111" s="1"/>
  <c r="AR72" i="111"/>
  <c r="AN72" i="111"/>
  <c r="AJ72" i="111"/>
  <c r="AF72" i="111"/>
  <c r="AB72" i="111"/>
  <c r="X72" i="111"/>
  <c r="AP67" i="111"/>
  <c r="AL67" i="111"/>
  <c r="AH67" i="111"/>
  <c r="AD67" i="111"/>
  <c r="Z67" i="111"/>
  <c r="R67" i="111"/>
  <c r="N67" i="111"/>
  <c r="J67" i="111"/>
  <c r="F67" i="111"/>
  <c r="B67" i="111"/>
  <c r="T66" i="111"/>
  <c r="P66" i="111"/>
  <c r="L66" i="111"/>
  <c r="H66" i="111"/>
  <c r="D66" i="111"/>
  <c r="AR65" i="111"/>
  <c r="AN65" i="111"/>
  <c r="AJ65" i="111"/>
  <c r="AF65" i="111"/>
  <c r="AB65" i="111"/>
  <c r="X65" i="111"/>
  <c r="T65" i="111"/>
  <c r="P65" i="111"/>
  <c r="L65" i="111"/>
  <c r="H65" i="111"/>
  <c r="AR64" i="111"/>
  <c r="AJ64" i="111"/>
  <c r="AF64" i="111"/>
  <c r="AB64" i="111"/>
  <c r="X64" i="111"/>
  <c r="T64" i="111"/>
  <c r="P64" i="111"/>
  <c r="L64" i="111"/>
  <c r="H64" i="111"/>
  <c r="D64" i="111"/>
  <c r="D63" i="111"/>
  <c r="AR62" i="111"/>
  <c r="AN62" i="111"/>
  <c r="AJ62" i="111"/>
  <c r="AF62" i="111"/>
  <c r="AB62" i="111"/>
  <c r="X62" i="111"/>
  <c r="T62" i="111"/>
  <c r="P62" i="111"/>
  <c r="L62" i="111"/>
  <c r="H62" i="111"/>
  <c r="AP59" i="111"/>
  <c r="AL59" i="111"/>
  <c r="AH59" i="111"/>
  <c r="AD59" i="111"/>
  <c r="Z59" i="111"/>
  <c r="V59" i="111"/>
  <c r="R59" i="111"/>
  <c r="N59" i="111"/>
  <c r="J59" i="111"/>
  <c r="F59" i="111"/>
  <c r="B59" i="111"/>
  <c r="AP38" i="111"/>
  <c r="AP46" i="111" s="1"/>
  <c r="AL38" i="111"/>
  <c r="AL46" i="111" s="1"/>
  <c r="AH38" i="111"/>
  <c r="AH46" i="111" s="1"/>
  <c r="AD38" i="111"/>
  <c r="AD46" i="111" s="1"/>
  <c r="Z38" i="111"/>
  <c r="Z46" i="111" s="1"/>
  <c r="V38" i="111"/>
  <c r="V46" i="111" s="1"/>
  <c r="R38" i="111"/>
  <c r="R46" i="111" s="1"/>
  <c r="N38" i="111"/>
  <c r="N46" i="111" s="1"/>
  <c r="J38" i="111"/>
  <c r="J46" i="111" s="1"/>
  <c r="F38" i="111"/>
  <c r="F46" i="111" s="1"/>
  <c r="B38" i="111"/>
  <c r="B46" i="111" s="1"/>
  <c r="AR37" i="111"/>
  <c r="AN37" i="111"/>
  <c r="AJ37" i="111"/>
  <c r="AF37" i="111"/>
  <c r="AB37" i="111"/>
  <c r="X37" i="111"/>
  <c r="T37" i="111"/>
  <c r="P37" i="111"/>
  <c r="L37" i="111"/>
  <c r="H37" i="111"/>
  <c r="D37" i="111"/>
  <c r="AF36" i="111"/>
  <c r="AB36" i="111"/>
  <c r="X36" i="111"/>
  <c r="T36" i="111"/>
  <c r="P36" i="111"/>
  <c r="L36" i="111"/>
  <c r="H36" i="111"/>
  <c r="D36" i="111"/>
  <c r="AR35" i="111"/>
  <c r="AN35" i="111"/>
  <c r="AJ35" i="111"/>
  <c r="AR34" i="111"/>
  <c r="AN34" i="111"/>
  <c r="AJ34" i="111"/>
  <c r="AP31" i="111"/>
  <c r="AL31" i="111"/>
  <c r="AL81" i="111" s="1"/>
  <c r="AH31" i="111"/>
  <c r="AD31" i="111"/>
  <c r="Z31" i="111"/>
  <c r="V31" i="111"/>
  <c r="V81" i="111" s="1"/>
  <c r="R31" i="111"/>
  <c r="T38" i="111" s="1"/>
  <c r="N31" i="111"/>
  <c r="N42" i="111" s="1"/>
  <c r="J31" i="111"/>
  <c r="J42" i="111" s="1"/>
  <c r="L44" i="111" s="1"/>
  <c r="F31" i="111"/>
  <c r="F42" i="111" s="1"/>
  <c r="B31" i="111"/>
  <c r="B72" i="111" s="1"/>
  <c r="B81" i="111" s="1"/>
  <c r="AP24" i="111"/>
  <c r="AP41" i="111" s="1"/>
  <c r="AL24" i="111"/>
  <c r="AL41" i="111" s="1"/>
  <c r="AH24" i="111"/>
  <c r="AH41" i="111" s="1"/>
  <c r="AD24" i="111"/>
  <c r="AD41" i="111" s="1"/>
  <c r="Z24" i="111"/>
  <c r="Z41" i="111" s="1"/>
  <c r="V24" i="111"/>
  <c r="V41" i="111" s="1"/>
  <c r="R24" i="111"/>
  <c r="R41" i="111" s="1"/>
  <c r="N24" i="111"/>
  <c r="N41" i="111" s="1"/>
  <c r="J24" i="111"/>
  <c r="J41" i="111" s="1"/>
  <c r="F24" i="111"/>
  <c r="F41" i="111" s="1"/>
  <c r="B24" i="111"/>
  <c r="B41" i="111" s="1"/>
  <c r="AP13" i="111"/>
  <c r="AP14" i="111" s="1"/>
  <c r="AL13" i="111"/>
  <c r="AL14" i="111" s="1"/>
  <c r="AH13" i="111"/>
  <c r="AJ13" i="111" s="1"/>
  <c r="AD13" i="111"/>
  <c r="AF13" i="111" s="1"/>
  <c r="Z13" i="111"/>
  <c r="Z14" i="111" s="1"/>
  <c r="V13" i="111"/>
  <c r="V14" i="111" s="1"/>
  <c r="R13" i="111"/>
  <c r="R14" i="111" s="1"/>
  <c r="N13" i="111"/>
  <c r="P13" i="111" s="1"/>
  <c r="J13" i="111"/>
  <c r="J14" i="111" s="1"/>
  <c r="F13" i="111"/>
  <c r="F14" i="111" s="1"/>
  <c r="B13" i="111"/>
  <c r="B14" i="111" s="1"/>
  <c r="AR12" i="111"/>
  <c r="AN12" i="111"/>
  <c r="AJ12" i="111"/>
  <c r="AF12" i="111"/>
  <c r="AB12" i="111"/>
  <c r="X12" i="111"/>
  <c r="T12" i="111"/>
  <c r="P12" i="111"/>
  <c r="L12" i="111"/>
  <c r="H12" i="111"/>
  <c r="D12" i="111"/>
  <c r="AR11" i="111"/>
  <c r="AN11" i="111"/>
  <c r="AJ11" i="111"/>
  <c r="AF11" i="111"/>
  <c r="AB11" i="111"/>
  <c r="X11" i="111"/>
  <c r="T11" i="111"/>
  <c r="P11" i="111"/>
  <c r="L11" i="111"/>
  <c r="H11" i="111"/>
  <c r="D11" i="111"/>
  <c r="AR10" i="111"/>
  <c r="AN10" i="111"/>
  <c r="AJ10" i="111"/>
  <c r="AF10" i="111"/>
  <c r="AB10" i="111"/>
  <c r="X10" i="111"/>
  <c r="T10" i="111"/>
  <c r="P10" i="111"/>
  <c r="L10" i="111"/>
  <c r="H10" i="111"/>
  <c r="D10" i="111"/>
  <c r="P66" i="110"/>
  <c r="L66" i="110"/>
  <c r="H66" i="110"/>
  <c r="AL87" i="110"/>
  <c r="AH87" i="110"/>
  <c r="AR74" i="110"/>
  <c r="AN74" i="110"/>
  <c r="AJ74" i="110"/>
  <c r="AF74" i="110"/>
  <c r="AB74" i="110"/>
  <c r="X74" i="110"/>
  <c r="AP73" i="110"/>
  <c r="AR73" i="110" s="1"/>
  <c r="AL73" i="110"/>
  <c r="AN73" i="110" s="1"/>
  <c r="AH73" i="110"/>
  <c r="AJ73" i="110" s="1"/>
  <c r="AD73" i="110"/>
  <c r="AF73" i="110" s="1"/>
  <c r="Z73" i="110"/>
  <c r="AB73" i="110" s="1"/>
  <c r="V73" i="110"/>
  <c r="X73" i="110" s="1"/>
  <c r="AR72" i="110"/>
  <c r="AN72" i="110"/>
  <c r="AJ72" i="110"/>
  <c r="AF72" i="110"/>
  <c r="AB72" i="110"/>
  <c r="X72" i="110"/>
  <c r="AP67" i="110"/>
  <c r="AL67" i="110"/>
  <c r="AH67" i="110"/>
  <c r="AD67" i="110"/>
  <c r="Z67" i="110"/>
  <c r="V67" i="110"/>
  <c r="R67" i="110"/>
  <c r="N67" i="110"/>
  <c r="J67" i="110"/>
  <c r="F67" i="110"/>
  <c r="B67" i="110"/>
  <c r="D66" i="110"/>
  <c r="AR65" i="110"/>
  <c r="AN65" i="110"/>
  <c r="AJ65" i="110"/>
  <c r="AF65" i="110"/>
  <c r="AB65" i="110"/>
  <c r="X65" i="110"/>
  <c r="T65" i="110"/>
  <c r="P65" i="110"/>
  <c r="L65" i="110"/>
  <c r="H65" i="110"/>
  <c r="AR64" i="110"/>
  <c r="AJ64" i="110"/>
  <c r="AF64" i="110"/>
  <c r="AB64" i="110"/>
  <c r="X64" i="110"/>
  <c r="T64" i="110"/>
  <c r="P64" i="110"/>
  <c r="L64" i="110"/>
  <c r="H64" i="110"/>
  <c r="D64" i="110"/>
  <c r="D63" i="110"/>
  <c r="AR62" i="110"/>
  <c r="AN62" i="110"/>
  <c r="AJ62" i="110"/>
  <c r="AF62" i="110"/>
  <c r="AB62" i="110"/>
  <c r="X62" i="110"/>
  <c r="T62" i="110"/>
  <c r="P62" i="110"/>
  <c r="L62" i="110"/>
  <c r="H62" i="110"/>
  <c r="AP59" i="110"/>
  <c r="AL59" i="110"/>
  <c r="AH59" i="110"/>
  <c r="AD59" i="110"/>
  <c r="Z59" i="110"/>
  <c r="V59" i="110"/>
  <c r="R59" i="110"/>
  <c r="N59" i="110"/>
  <c r="J59" i="110"/>
  <c r="F59" i="110"/>
  <c r="B59" i="110"/>
  <c r="AL51" i="110"/>
  <c r="AH51" i="110"/>
  <c r="AD51" i="110"/>
  <c r="Z51" i="110"/>
  <c r="V51" i="110"/>
  <c r="R51" i="110"/>
  <c r="N51" i="110"/>
  <c r="J51" i="110"/>
  <c r="F51" i="110"/>
  <c r="B51" i="110"/>
  <c r="AP38" i="110"/>
  <c r="AP46" i="110" s="1"/>
  <c r="AL38" i="110"/>
  <c r="AL46" i="110" s="1"/>
  <c r="AH38" i="110"/>
  <c r="AH46" i="110" s="1"/>
  <c r="AD38" i="110"/>
  <c r="AD46" i="110" s="1"/>
  <c r="Z38" i="110"/>
  <c r="Z46" i="110" s="1"/>
  <c r="V38" i="110"/>
  <c r="V46" i="110" s="1"/>
  <c r="R38" i="110"/>
  <c r="R46" i="110" s="1"/>
  <c r="N38" i="110"/>
  <c r="N46" i="110" s="1"/>
  <c r="J38" i="110"/>
  <c r="J46" i="110" s="1"/>
  <c r="F38" i="110"/>
  <c r="F46" i="110" s="1"/>
  <c r="B38" i="110"/>
  <c r="B46" i="110" s="1"/>
  <c r="AR37" i="110"/>
  <c r="AN37" i="110"/>
  <c r="AJ37" i="110"/>
  <c r="AF37" i="110"/>
  <c r="AB37" i="110"/>
  <c r="X37" i="110"/>
  <c r="T37" i="110"/>
  <c r="P37" i="110"/>
  <c r="L37" i="110"/>
  <c r="H37" i="110"/>
  <c r="D37" i="110"/>
  <c r="AF36" i="110"/>
  <c r="AB36" i="110"/>
  <c r="X36" i="110"/>
  <c r="T36" i="110"/>
  <c r="P36" i="110"/>
  <c r="L36" i="110"/>
  <c r="H36" i="110"/>
  <c r="D36" i="110"/>
  <c r="AR35" i="110"/>
  <c r="AN35" i="110"/>
  <c r="AJ35" i="110"/>
  <c r="AR34" i="110"/>
  <c r="AN34" i="110"/>
  <c r="AJ34" i="110"/>
  <c r="AP31" i="110"/>
  <c r="AL31" i="110"/>
  <c r="AH31" i="110"/>
  <c r="AD31" i="110"/>
  <c r="AD42" i="110" s="1"/>
  <c r="Z31" i="110"/>
  <c r="V31" i="110"/>
  <c r="R31" i="110"/>
  <c r="T38" i="110" s="1"/>
  <c r="N31" i="110"/>
  <c r="J31" i="110"/>
  <c r="J42" i="110" s="1"/>
  <c r="F31" i="110"/>
  <c r="B31" i="110"/>
  <c r="AP24" i="110"/>
  <c r="AP41" i="110" s="1"/>
  <c r="AL24" i="110"/>
  <c r="AL41" i="110" s="1"/>
  <c r="AH24" i="110"/>
  <c r="AH41" i="110" s="1"/>
  <c r="AD24" i="110"/>
  <c r="AD41" i="110" s="1"/>
  <c r="Z24" i="110"/>
  <c r="Z41" i="110" s="1"/>
  <c r="V24" i="110"/>
  <c r="V41" i="110" s="1"/>
  <c r="R24" i="110"/>
  <c r="R41" i="110" s="1"/>
  <c r="N24" i="110"/>
  <c r="N41" i="110" s="1"/>
  <c r="J24" i="110"/>
  <c r="J41" i="110" s="1"/>
  <c r="F24" i="110"/>
  <c r="F41" i="110" s="1"/>
  <c r="B24" i="110"/>
  <c r="B41" i="110" s="1"/>
  <c r="AP13" i="110"/>
  <c r="AP14" i="110" s="1"/>
  <c r="AR14" i="110" s="1"/>
  <c r="AL13" i="110"/>
  <c r="AN13" i="110" s="1"/>
  <c r="AH13" i="110"/>
  <c r="AJ13" i="110" s="1"/>
  <c r="AD13" i="110"/>
  <c r="AD14" i="110" s="1"/>
  <c r="AF14" i="110" s="1"/>
  <c r="Z13" i="110"/>
  <c r="Z14" i="110" s="1"/>
  <c r="AB14" i="110" s="1"/>
  <c r="V13" i="110"/>
  <c r="V14" i="110" s="1"/>
  <c r="X14" i="110" s="1"/>
  <c r="R13" i="110"/>
  <c r="R14" i="110" s="1"/>
  <c r="T14" i="110" s="1"/>
  <c r="N13" i="110"/>
  <c r="N14" i="110" s="1"/>
  <c r="P14" i="110" s="1"/>
  <c r="J13" i="110"/>
  <c r="J14" i="110" s="1"/>
  <c r="L14" i="110" s="1"/>
  <c r="F13" i="110"/>
  <c r="H13" i="110" s="1"/>
  <c r="B13" i="110"/>
  <c r="D13" i="110" s="1"/>
  <c r="AR12" i="110"/>
  <c r="AN12" i="110"/>
  <c r="AJ12" i="110"/>
  <c r="AF12" i="110"/>
  <c r="AB12" i="110"/>
  <c r="X12" i="110"/>
  <c r="T12" i="110"/>
  <c r="P12" i="110"/>
  <c r="L12" i="110"/>
  <c r="H12" i="110"/>
  <c r="D12" i="110"/>
  <c r="AR11" i="110"/>
  <c r="AN11" i="110"/>
  <c r="AJ11" i="110"/>
  <c r="AF11" i="110"/>
  <c r="AB11" i="110"/>
  <c r="X11" i="110"/>
  <c r="T11" i="110"/>
  <c r="P11" i="110"/>
  <c r="L11" i="110"/>
  <c r="H11" i="110"/>
  <c r="D11" i="110"/>
  <c r="AR10" i="110"/>
  <c r="AN10" i="110"/>
  <c r="AJ10" i="110"/>
  <c r="AF10" i="110"/>
  <c r="AB10" i="110"/>
  <c r="X10" i="110"/>
  <c r="T10" i="110"/>
  <c r="P10" i="110"/>
  <c r="L10" i="110"/>
  <c r="H10" i="110"/>
  <c r="D10" i="110"/>
  <c r="B80" i="111" l="1"/>
  <c r="AH81" i="111"/>
  <c r="R80" i="111"/>
  <c r="AH14" i="111"/>
  <c r="AJ38" i="110"/>
  <c r="X38" i="110"/>
  <c r="P38" i="110"/>
  <c r="H38" i="110"/>
  <c r="D38" i="110"/>
  <c r="D15" i="117"/>
  <c r="E15" i="117" s="1"/>
  <c r="H15" i="117"/>
  <c r="Z81" i="111"/>
  <c r="AD81" i="111"/>
  <c r="AP81" i="111"/>
  <c r="D13" i="111"/>
  <c r="AH80" i="111"/>
  <c r="D67" i="111"/>
  <c r="T67" i="111"/>
  <c r="AJ67" i="111"/>
  <c r="L67" i="111"/>
  <c r="AB67" i="111"/>
  <c r="AR67" i="111"/>
  <c r="AD79" i="111"/>
  <c r="R72" i="111"/>
  <c r="R81" i="111" s="1"/>
  <c r="AH79" i="111"/>
  <c r="J72" i="111"/>
  <c r="J79" i="111" s="1"/>
  <c r="N72" i="111"/>
  <c r="N73" i="111" s="1"/>
  <c r="P73" i="111" s="1"/>
  <c r="R42" i="111"/>
  <c r="T44" i="111" s="1"/>
  <c r="D38" i="111"/>
  <c r="AJ38" i="111"/>
  <c r="AB38" i="111"/>
  <c r="Z42" i="111"/>
  <c r="AB44" i="111" s="1"/>
  <c r="B42" i="111"/>
  <c r="D42" i="111" s="1"/>
  <c r="AH42" i="111"/>
  <c r="AJ44" i="111" s="1"/>
  <c r="F72" i="111"/>
  <c r="F79" i="111" s="1"/>
  <c r="V79" i="111"/>
  <c r="AL79" i="111"/>
  <c r="L38" i="111"/>
  <c r="AR38" i="111"/>
  <c r="AP42" i="111"/>
  <c r="AR44" i="111" s="1"/>
  <c r="Z79" i="111"/>
  <c r="AP79" i="111"/>
  <c r="AB13" i="111"/>
  <c r="N14" i="111"/>
  <c r="N80" i="111" s="1"/>
  <c r="T13" i="111"/>
  <c r="L13" i="111"/>
  <c r="AR13" i="111"/>
  <c r="AD14" i="111"/>
  <c r="AD80" i="111" s="1"/>
  <c r="H43" i="111"/>
  <c r="H42" i="111"/>
  <c r="F45" i="111"/>
  <c r="H45" i="111" s="1"/>
  <c r="H44" i="111"/>
  <c r="F80" i="111"/>
  <c r="V80" i="111"/>
  <c r="AL80" i="111"/>
  <c r="P42" i="111"/>
  <c r="P44" i="111"/>
  <c r="N45" i="111"/>
  <c r="P45" i="111" s="1"/>
  <c r="P43" i="111"/>
  <c r="J45" i="111"/>
  <c r="L45" i="111" s="1"/>
  <c r="H67" i="111"/>
  <c r="X67" i="111"/>
  <c r="AN67" i="111"/>
  <c r="B79" i="111"/>
  <c r="H13" i="111"/>
  <c r="X13" i="111"/>
  <c r="AN13" i="111"/>
  <c r="H38" i="111"/>
  <c r="P38" i="111"/>
  <c r="X38" i="111"/>
  <c r="AF38" i="111"/>
  <c r="AN38" i="111"/>
  <c r="V42" i="111"/>
  <c r="AD42" i="111"/>
  <c r="AL42" i="111"/>
  <c r="D43" i="111"/>
  <c r="D74" i="111"/>
  <c r="J80" i="111"/>
  <c r="Z80" i="111"/>
  <c r="AP80" i="111"/>
  <c r="L43" i="111"/>
  <c r="B73" i="111"/>
  <c r="D73" i="111" s="1"/>
  <c r="L42" i="111"/>
  <c r="P67" i="111"/>
  <c r="AF67" i="111"/>
  <c r="D72" i="111"/>
  <c r="AP79" i="110"/>
  <c r="AP80" i="110"/>
  <c r="Z81" i="110"/>
  <c r="AP81" i="110"/>
  <c r="N80" i="110"/>
  <c r="R80" i="110"/>
  <c r="AH79" i="110"/>
  <c r="V79" i="110"/>
  <c r="AL79" i="110"/>
  <c r="J80" i="110"/>
  <c r="Z80" i="110"/>
  <c r="Z79" i="110"/>
  <c r="AD79" i="110"/>
  <c r="V80" i="110"/>
  <c r="AD80" i="110"/>
  <c r="T67" i="110"/>
  <c r="AR67" i="110"/>
  <c r="AL81" i="110"/>
  <c r="Z42" i="110"/>
  <c r="Z45" i="110" s="1"/>
  <c r="AB45" i="110" s="1"/>
  <c r="AF42" i="110"/>
  <c r="AF43" i="110"/>
  <c r="D67" i="110"/>
  <c r="AJ67" i="110"/>
  <c r="F42" i="110"/>
  <c r="H44" i="110" s="1"/>
  <c r="AB67" i="110"/>
  <c r="L67" i="110"/>
  <c r="L43" i="110"/>
  <c r="L42" i="110"/>
  <c r="L44" i="110"/>
  <c r="B72" i="110"/>
  <c r="B81" i="110" s="1"/>
  <c r="R72" i="110"/>
  <c r="X67" i="110"/>
  <c r="AH81" i="110"/>
  <c r="B42" i="110"/>
  <c r="R42" i="110"/>
  <c r="V42" i="110"/>
  <c r="X42" i="110" s="1"/>
  <c r="AP42" i="110"/>
  <c r="AF67" i="110"/>
  <c r="AH14" i="110"/>
  <c r="F72" i="110"/>
  <c r="F81" i="110" s="1"/>
  <c r="P67" i="110"/>
  <c r="N42" i="110"/>
  <c r="P43" i="110" s="1"/>
  <c r="AL42" i="110"/>
  <c r="AL45" i="110" s="1"/>
  <c r="AN45" i="110" s="1"/>
  <c r="AD45" i="110"/>
  <c r="AF45" i="110" s="1"/>
  <c r="AD81" i="110"/>
  <c r="J72" i="110"/>
  <c r="H67" i="110"/>
  <c r="AN67" i="110"/>
  <c r="AH42" i="110"/>
  <c r="AF44" i="110"/>
  <c r="J45" i="110"/>
  <c r="L45" i="110" s="1"/>
  <c r="T13" i="110"/>
  <c r="B14" i="110"/>
  <c r="L13" i="110"/>
  <c r="AR13" i="110"/>
  <c r="AB13" i="110"/>
  <c r="P13" i="110"/>
  <c r="AF13" i="110"/>
  <c r="F14" i="110"/>
  <c r="AL14" i="110"/>
  <c r="L38" i="110"/>
  <c r="AB38" i="110"/>
  <c r="AR38" i="110"/>
  <c r="N72" i="110"/>
  <c r="N79" i="110" s="1"/>
  <c r="V81" i="110"/>
  <c r="X13" i="110"/>
  <c r="AF38" i="110"/>
  <c r="AN38" i="110"/>
  <c r="B80" i="110" l="1"/>
  <c r="D14" i="110"/>
  <c r="AL80" i="110"/>
  <c r="AN14" i="110"/>
  <c r="F80" i="110"/>
  <c r="H14" i="110"/>
  <c r="AH80" i="110"/>
  <c r="AJ14" i="110"/>
  <c r="R45" i="111"/>
  <c r="T45" i="111" s="1"/>
  <c r="AU79" i="111"/>
  <c r="B16" i="117"/>
  <c r="F15" i="117"/>
  <c r="R73" i="111"/>
  <c r="T73" i="111" s="1"/>
  <c r="T42" i="111"/>
  <c r="Z45" i="111"/>
  <c r="AB45" i="111" s="1"/>
  <c r="L74" i="111"/>
  <c r="R79" i="111"/>
  <c r="T72" i="111"/>
  <c r="T74" i="111"/>
  <c r="F81" i="111"/>
  <c r="N81" i="111"/>
  <c r="F73" i="111"/>
  <c r="H73" i="111" s="1"/>
  <c r="H74" i="111"/>
  <c r="P74" i="111"/>
  <c r="P72" i="111"/>
  <c r="H72" i="111"/>
  <c r="N79" i="111"/>
  <c r="J73" i="111"/>
  <c r="L73" i="111" s="1"/>
  <c r="L72" i="111"/>
  <c r="J81" i="111"/>
  <c r="AB42" i="111"/>
  <c r="T43" i="111"/>
  <c r="D44" i="111"/>
  <c r="AR43" i="111"/>
  <c r="AJ42" i="111"/>
  <c r="AH45" i="111"/>
  <c r="AJ45" i="111" s="1"/>
  <c r="AJ43" i="111"/>
  <c r="AR42" i="111"/>
  <c r="B45" i="111"/>
  <c r="D45" i="111" s="1"/>
  <c r="AP45" i="111"/>
  <c r="AR45" i="111" s="1"/>
  <c r="AB43" i="111"/>
  <c r="AF42" i="111"/>
  <c r="AF43" i="111"/>
  <c r="AD45" i="111"/>
  <c r="AF45" i="111" s="1"/>
  <c r="AF44" i="111"/>
  <c r="X43" i="111"/>
  <c r="X42" i="111"/>
  <c r="V45" i="111"/>
  <c r="X45" i="111" s="1"/>
  <c r="X44" i="111"/>
  <c r="AN43" i="111"/>
  <c r="AN42" i="111"/>
  <c r="AL45" i="111"/>
  <c r="AN45" i="111" s="1"/>
  <c r="AN44" i="111"/>
  <c r="X43" i="110"/>
  <c r="F45" i="110"/>
  <c r="H45" i="110" s="1"/>
  <c r="B79" i="110"/>
  <c r="T74" i="110"/>
  <c r="R79" i="110"/>
  <c r="L72" i="110"/>
  <c r="J79" i="110"/>
  <c r="H74" i="110"/>
  <c r="F79" i="110"/>
  <c r="B73" i="110"/>
  <c r="D73" i="110" s="1"/>
  <c r="J81" i="110"/>
  <c r="J73" i="110"/>
  <c r="L73" i="110" s="1"/>
  <c r="F73" i="110"/>
  <c r="H73" i="110" s="1"/>
  <c r="R81" i="110"/>
  <c r="L74" i="110"/>
  <c r="R73" i="110"/>
  <c r="T73" i="110" s="1"/>
  <c r="T72" i="110"/>
  <c r="AB44" i="110"/>
  <c r="AB43" i="110"/>
  <c r="AB42" i="110"/>
  <c r="H72" i="110"/>
  <c r="H43" i="110"/>
  <c r="H42" i="110"/>
  <c r="AH45" i="110"/>
  <c r="AJ45" i="110" s="1"/>
  <c r="AJ42" i="110"/>
  <c r="AJ44" i="110"/>
  <c r="AJ43" i="110"/>
  <c r="D44" i="110"/>
  <c r="D42" i="110"/>
  <c r="B45" i="110"/>
  <c r="D45" i="110" s="1"/>
  <c r="D43" i="110"/>
  <c r="D74" i="110"/>
  <c r="AR44" i="110"/>
  <c r="AR42" i="110"/>
  <c r="AP45" i="110"/>
  <c r="AR45" i="110" s="1"/>
  <c r="AR43" i="110"/>
  <c r="D72" i="110"/>
  <c r="AN43" i="110"/>
  <c r="AN42" i="110"/>
  <c r="AN44" i="110"/>
  <c r="V45" i="110"/>
  <c r="X45" i="110" s="1"/>
  <c r="X44" i="110"/>
  <c r="N45" i="110"/>
  <c r="P45" i="110" s="1"/>
  <c r="P42" i="110"/>
  <c r="P44" i="110"/>
  <c r="T42" i="110"/>
  <c r="R45" i="110"/>
  <c r="T45" i="110" s="1"/>
  <c r="T44" i="110"/>
  <c r="T43" i="110"/>
  <c r="N81" i="110"/>
  <c r="P72" i="110"/>
  <c r="N73" i="110"/>
  <c r="P73" i="110" s="1"/>
  <c r="P74" i="110"/>
  <c r="D16" i="117" l="1"/>
  <c r="H16" i="117"/>
  <c r="G12" i="58"/>
  <c r="G11" i="58"/>
  <c r="G23" i="58"/>
  <c r="E16" i="117" l="1"/>
  <c r="B17" i="117" s="1"/>
  <c r="E29" i="45"/>
  <c r="E30" i="45"/>
  <c r="E31" i="45"/>
  <c r="E32" i="45"/>
  <c r="E33" i="45"/>
  <c r="E28" i="45"/>
  <c r="E26" i="45"/>
  <c r="D17" i="117" l="1"/>
  <c r="E17" i="117" s="1"/>
  <c r="H17" i="117"/>
  <c r="F16" i="117"/>
  <c r="AO33" i="97"/>
  <c r="AO46" i="97"/>
  <c r="B18" i="117" l="1"/>
  <c r="F17" i="117"/>
  <c r="B16" i="98"/>
  <c r="B87" i="51"/>
  <c r="B85" i="51"/>
  <c r="C85" i="51"/>
  <c r="D85" i="51"/>
  <c r="E85" i="51"/>
  <c r="F85" i="51"/>
  <c r="G85" i="51"/>
  <c r="H85" i="51"/>
  <c r="B86" i="51"/>
  <c r="C86" i="51"/>
  <c r="D86" i="51"/>
  <c r="E86" i="51"/>
  <c r="F86" i="51"/>
  <c r="G86" i="51"/>
  <c r="H86" i="51"/>
  <c r="K19" i="107"/>
  <c r="K21" i="107" s="1"/>
  <c r="K35" i="107" s="1"/>
  <c r="K37" i="107" s="1"/>
  <c r="J19" i="107"/>
  <c r="J21" i="107" s="1"/>
  <c r="J35" i="107" s="1"/>
  <c r="J37" i="107" s="1"/>
  <c r="I19" i="107"/>
  <c r="H19" i="107"/>
  <c r="G19" i="107"/>
  <c r="F19" i="107"/>
  <c r="E19" i="107"/>
  <c r="E21" i="107" s="1"/>
  <c r="E35" i="107" s="1"/>
  <c r="E37" i="107" s="1"/>
  <c r="D19" i="107"/>
  <c r="D21" i="107" s="1"/>
  <c r="D35" i="107" s="1"/>
  <c r="D37" i="107" s="1"/>
  <c r="C19" i="107"/>
  <c r="C21" i="107" s="1"/>
  <c r="C35" i="107" s="1"/>
  <c r="C37" i="107" s="1"/>
  <c r="L19" i="107"/>
  <c r="L21" i="107" s="1"/>
  <c r="L35" i="107" s="1"/>
  <c r="L37" i="107" s="1"/>
  <c r="D18" i="117" l="1"/>
  <c r="H18" i="117"/>
  <c r="B7" i="109"/>
  <c r="B12" i="109" s="1"/>
  <c r="B15" i="108"/>
  <c r="B16" i="108" s="1"/>
  <c r="C35" i="108"/>
  <c r="D35" i="108"/>
  <c r="E35" i="108"/>
  <c r="F35" i="108"/>
  <c r="G35" i="108"/>
  <c r="H35" i="108"/>
  <c r="I35" i="108"/>
  <c r="J35" i="108"/>
  <c r="K35" i="108"/>
  <c r="L35" i="108"/>
  <c r="B35" i="108"/>
  <c r="C27" i="108"/>
  <c r="C28" i="108" s="1"/>
  <c r="C7" i="108" s="1"/>
  <c r="D27" i="108"/>
  <c r="E27" i="108"/>
  <c r="F27" i="108"/>
  <c r="G27" i="108"/>
  <c r="G28" i="108" s="1"/>
  <c r="G7" i="108" s="1"/>
  <c r="H27" i="108"/>
  <c r="I27" i="108"/>
  <c r="J27" i="108"/>
  <c r="K27" i="108"/>
  <c r="K28" i="108" s="1"/>
  <c r="K7" i="108" s="1"/>
  <c r="L27" i="108"/>
  <c r="B27" i="108"/>
  <c r="L9" i="108"/>
  <c r="C9" i="108"/>
  <c r="D9" i="108"/>
  <c r="E9" i="108"/>
  <c r="F9" i="108"/>
  <c r="G9" i="108"/>
  <c r="H9" i="108"/>
  <c r="I9" i="108"/>
  <c r="J9" i="108"/>
  <c r="K9" i="108"/>
  <c r="B9" i="108"/>
  <c r="E39" i="108"/>
  <c r="F39" i="108"/>
  <c r="G39" i="108"/>
  <c r="H39" i="108"/>
  <c r="I39" i="108"/>
  <c r="J39" i="108"/>
  <c r="K39" i="108"/>
  <c r="L39" i="108"/>
  <c r="C39" i="108"/>
  <c r="D39" i="108"/>
  <c r="B39" i="108"/>
  <c r="J28" i="108" l="1"/>
  <c r="J7" i="108" s="1"/>
  <c r="K10" i="108"/>
  <c r="F28" i="108"/>
  <c r="F7" i="108" s="1"/>
  <c r="F10" i="108" s="1"/>
  <c r="E18" i="117"/>
  <c r="E28" i="108"/>
  <c r="E7" i="108" s="1"/>
  <c r="I28" i="108"/>
  <c r="I7" i="108" s="1"/>
  <c r="I10" i="108" s="1"/>
  <c r="J10" i="108"/>
  <c r="C10" i="108"/>
  <c r="E10" i="108"/>
  <c r="H28" i="108"/>
  <c r="H7" i="108" s="1"/>
  <c r="H10" i="108" s="1"/>
  <c r="D28" i="108"/>
  <c r="D7" i="108" s="1"/>
  <c r="D10" i="108" s="1"/>
  <c r="G10" i="108"/>
  <c r="B28" i="108"/>
  <c r="B7" i="108" s="1"/>
  <c r="B10" i="108" s="1"/>
  <c r="B20" i="108" l="1"/>
  <c r="B21" i="108" s="1"/>
  <c r="B19" i="117"/>
  <c r="F18" i="117"/>
  <c r="J7" i="106"/>
  <c r="I8" i="106"/>
  <c r="I32" i="106"/>
  <c r="I6" i="106" s="1"/>
  <c r="J30" i="106"/>
  <c r="I30" i="106"/>
  <c r="J29" i="106"/>
  <c r="J28" i="106"/>
  <c r="I28" i="106"/>
  <c r="K7" i="106"/>
  <c r="I7" i="106"/>
  <c r="I21" i="107"/>
  <c r="I35" i="107" s="1"/>
  <c r="I37" i="107" s="1"/>
  <c r="H21" i="107"/>
  <c r="H35" i="107" s="1"/>
  <c r="H37" i="107" s="1"/>
  <c r="G21" i="107"/>
  <c r="G35" i="107" s="1"/>
  <c r="G37" i="107" s="1"/>
  <c r="F21" i="107"/>
  <c r="F35" i="107" s="1"/>
  <c r="F37" i="107" s="1"/>
  <c r="F7" i="106"/>
  <c r="B6" i="106"/>
  <c r="D36" i="106"/>
  <c r="C36" i="106"/>
  <c r="B36" i="106"/>
  <c r="D35" i="106"/>
  <c r="C35" i="106"/>
  <c r="B35" i="106"/>
  <c r="E28" i="106"/>
  <c r="D28" i="106"/>
  <c r="C28" i="106"/>
  <c r="B28" i="106"/>
  <c r="B7" i="106"/>
  <c r="C7" i="106"/>
  <c r="D7" i="106"/>
  <c r="E30" i="106"/>
  <c r="D30" i="106"/>
  <c r="C30" i="106"/>
  <c r="B30" i="106"/>
  <c r="B14" i="106"/>
  <c r="D7" i="105"/>
  <c r="E7" i="105"/>
  <c r="C7" i="105"/>
  <c r="C6" i="105"/>
  <c r="C13" i="105"/>
  <c r="C14" i="105" s="1"/>
  <c r="C30" i="105"/>
  <c r="F32" i="105"/>
  <c r="E32" i="105"/>
  <c r="E34" i="105" s="1"/>
  <c r="E6" i="105" s="1"/>
  <c r="D32" i="105"/>
  <c r="C32" i="105"/>
  <c r="D19" i="117" l="1"/>
  <c r="H19" i="117"/>
  <c r="E19" i="117"/>
  <c r="C32" i="106"/>
  <c r="C6" i="106" s="1"/>
  <c r="B32" i="106"/>
  <c r="D32" i="106"/>
  <c r="D6" i="106" s="1"/>
  <c r="D8" i="106" s="1"/>
  <c r="C8" i="106"/>
  <c r="B8" i="106"/>
  <c r="B18" i="106"/>
  <c r="D34" i="105"/>
  <c r="D6" i="105" s="1"/>
  <c r="D8" i="105" s="1"/>
  <c r="E8" i="105"/>
  <c r="C34" i="105"/>
  <c r="C8" i="105" s="1"/>
  <c r="B20" i="117" l="1"/>
  <c r="F19" i="117"/>
  <c r="B19" i="106"/>
  <c r="C18" i="105"/>
  <c r="C19" i="105" s="1"/>
  <c r="D20" i="117" l="1"/>
  <c r="H20" i="117"/>
  <c r="E20" i="117"/>
  <c r="D9" i="58"/>
  <c r="F20" i="117" l="1"/>
  <c r="B21" i="117"/>
  <c r="F32" i="104"/>
  <c r="F34" i="104" s="1"/>
  <c r="F6" i="104" s="1"/>
  <c r="F10" i="104" s="1"/>
  <c r="H32" i="104"/>
  <c r="H34" i="104" s="1"/>
  <c r="H6" i="104" s="1"/>
  <c r="H10" i="104" s="1"/>
  <c r="I32" i="104"/>
  <c r="I34" i="104" s="1"/>
  <c r="I6" i="104" s="1"/>
  <c r="I10" i="104" s="1"/>
  <c r="I9" i="104"/>
  <c r="H9" i="104"/>
  <c r="F9" i="104"/>
  <c r="E9" i="104"/>
  <c r="E31" i="104"/>
  <c r="D31" i="104"/>
  <c r="E30" i="104"/>
  <c r="D30" i="104"/>
  <c r="D32" i="104" s="1"/>
  <c r="C31" i="104"/>
  <c r="B31" i="104"/>
  <c r="C30" i="104"/>
  <c r="C32" i="104" s="1"/>
  <c r="B30" i="104"/>
  <c r="C9" i="104"/>
  <c r="D9" i="104"/>
  <c r="B9" i="104"/>
  <c r="E32" i="104"/>
  <c r="E34" i="104" s="1"/>
  <c r="E6" i="104" s="1"/>
  <c r="E10" i="104" s="1"/>
  <c r="B32" i="104"/>
  <c r="B15" i="104"/>
  <c r="B16" i="104" s="1"/>
  <c r="B65" i="79"/>
  <c r="B63" i="79"/>
  <c r="B62" i="79"/>
  <c r="F15" i="79"/>
  <c r="E15" i="79"/>
  <c r="E17" i="79" s="1"/>
  <c r="D15" i="79"/>
  <c r="C15" i="79"/>
  <c r="B15" i="79"/>
  <c r="B17" i="79" s="1"/>
  <c r="C17" i="79"/>
  <c r="D17" i="79"/>
  <c r="F17" i="79"/>
  <c r="B31" i="79"/>
  <c r="B6" i="103"/>
  <c r="D7" i="103"/>
  <c r="C7" i="103"/>
  <c r="B7" i="103"/>
  <c r="E29" i="103"/>
  <c r="D29" i="103"/>
  <c r="C29" i="103"/>
  <c r="B29" i="103"/>
  <c r="B30" i="103"/>
  <c r="B43" i="79"/>
  <c r="B39" i="79"/>
  <c r="B38" i="79"/>
  <c r="B37" i="79"/>
  <c r="B13" i="101"/>
  <c r="B14" i="101" s="1"/>
  <c r="B13" i="103"/>
  <c r="B14" i="103" s="1"/>
  <c r="B15" i="100"/>
  <c r="B13" i="100"/>
  <c r="D34" i="104" l="1"/>
  <c r="D6" i="104" s="1"/>
  <c r="D10" i="104" s="1"/>
  <c r="D21" i="117"/>
  <c r="E21" i="117" s="1"/>
  <c r="F21" i="117" s="1"/>
  <c r="H21" i="117"/>
  <c r="C34" i="104"/>
  <c r="C6" i="104" s="1"/>
  <c r="C10" i="104" s="1"/>
  <c r="B34" i="104"/>
  <c r="B6" i="104" s="1"/>
  <c r="B10" i="104" s="1"/>
  <c r="B20" i="104"/>
  <c r="E30" i="103"/>
  <c r="C30" i="103"/>
  <c r="B21" i="104" l="1"/>
  <c r="D30" i="103"/>
  <c r="D32" i="103" s="1"/>
  <c r="B32" i="103"/>
  <c r="B18" i="103" s="1"/>
  <c r="B27" i="81"/>
  <c r="C50" i="81"/>
  <c r="B50" i="81"/>
  <c r="C71" i="81"/>
  <c r="C32" i="103" l="1"/>
  <c r="C6" i="103" s="1"/>
  <c r="C8" i="103" s="1"/>
  <c r="D6" i="103"/>
  <c r="D8" i="103" s="1"/>
  <c r="B8" i="103"/>
  <c r="B19" i="103" l="1"/>
  <c r="B17" i="102"/>
  <c r="B16" i="102"/>
  <c r="B6" i="102"/>
  <c r="B11" i="102" s="1"/>
  <c r="D7" i="101" l="1"/>
  <c r="C7" i="101"/>
  <c r="B7" i="101"/>
  <c r="B32" i="101"/>
  <c r="E32" i="101"/>
  <c r="D32" i="101"/>
  <c r="C32" i="101"/>
  <c r="J129" i="58"/>
  <c r="I129" i="58"/>
  <c r="H129" i="58"/>
  <c r="G129" i="58"/>
  <c r="F129" i="58"/>
  <c r="E129" i="58"/>
  <c r="D129" i="58"/>
  <c r="C129" i="58"/>
  <c r="B129" i="58"/>
  <c r="H124" i="58"/>
  <c r="L123" i="58"/>
  <c r="J123" i="58"/>
  <c r="I123" i="58"/>
  <c r="H123" i="58"/>
  <c r="G123" i="58"/>
  <c r="F123" i="58"/>
  <c r="E123" i="58"/>
  <c r="D123" i="58"/>
  <c r="C123" i="58"/>
  <c r="B123" i="58"/>
  <c r="L111" i="58"/>
  <c r="G108" i="58"/>
  <c r="G109" i="58" s="1"/>
  <c r="F108" i="58"/>
  <c r="F109" i="58" s="1"/>
  <c r="E108" i="58"/>
  <c r="E109" i="58" s="1"/>
  <c r="D108" i="58"/>
  <c r="L107" i="58"/>
  <c r="L124" i="58" s="1"/>
  <c r="J107" i="58"/>
  <c r="J110" i="58" s="1"/>
  <c r="I107" i="58"/>
  <c r="H107" i="58"/>
  <c r="H122" i="58" s="1"/>
  <c r="G107" i="58"/>
  <c r="G122" i="58" s="1"/>
  <c r="E107" i="58"/>
  <c r="F106" i="58"/>
  <c r="F107" i="58" s="1"/>
  <c r="E106" i="58"/>
  <c r="D106" i="58"/>
  <c r="C106" i="58"/>
  <c r="B106" i="58"/>
  <c r="B107" i="58" s="1"/>
  <c r="F105" i="58"/>
  <c r="E105" i="58"/>
  <c r="D105" i="58"/>
  <c r="D109" i="58" s="1"/>
  <c r="C105" i="58"/>
  <c r="C107" i="58" s="1"/>
  <c r="B105" i="58"/>
  <c r="C34" i="101" l="1"/>
  <c r="C6" i="101" s="1"/>
  <c r="D34" i="101"/>
  <c r="D6" i="101" s="1"/>
  <c r="D8" i="101" s="1"/>
  <c r="C8" i="101"/>
  <c r="B34" i="101"/>
  <c r="G128" i="58"/>
  <c r="H128" i="58"/>
  <c r="G110" i="58"/>
  <c r="J128" i="58"/>
  <c r="I128" i="58"/>
  <c r="J111" i="58"/>
  <c r="D124" i="58"/>
  <c r="D122" i="58"/>
  <c r="D128" i="58"/>
  <c r="D111" i="58"/>
  <c r="D110" i="58"/>
  <c r="F110" i="58"/>
  <c r="F128" i="58"/>
  <c r="F111" i="58"/>
  <c r="F124" i="58"/>
  <c r="F122" i="58"/>
  <c r="G124" i="58"/>
  <c r="G111" i="58"/>
  <c r="C124" i="58"/>
  <c r="C122" i="58"/>
  <c r="C128" i="58"/>
  <c r="C110" i="58"/>
  <c r="C111" i="58"/>
  <c r="B110" i="58"/>
  <c r="B128" i="58"/>
  <c r="B111" i="58"/>
  <c r="B124" i="58"/>
  <c r="B122" i="58"/>
  <c r="E128" i="58"/>
  <c r="E111" i="58"/>
  <c r="E110" i="58"/>
  <c r="E124" i="58"/>
  <c r="E122" i="58"/>
  <c r="I122" i="58"/>
  <c r="I110" i="58"/>
  <c r="H111" i="58"/>
  <c r="J122" i="58"/>
  <c r="J124" i="58"/>
  <c r="H110" i="58"/>
  <c r="I124" i="58"/>
  <c r="D107" i="58"/>
  <c r="I111" i="58"/>
  <c r="L122" i="58"/>
  <c r="B6" i="101" l="1"/>
  <c r="B8" i="101" s="1"/>
  <c r="E28" i="100"/>
  <c r="D28" i="100"/>
  <c r="E27" i="100"/>
  <c r="D27" i="100"/>
  <c r="D29" i="100" s="1"/>
  <c r="D7" i="100"/>
  <c r="C7" i="100"/>
  <c r="B7" i="100"/>
  <c r="C27" i="100"/>
  <c r="C29" i="100" s="1"/>
  <c r="C31" i="100" s="1"/>
  <c r="C6" i="100" s="1"/>
  <c r="C8" i="100" s="1"/>
  <c r="B28" i="100"/>
  <c r="B27" i="100"/>
  <c r="D31" i="100" l="1"/>
  <c r="D6" i="100" s="1"/>
  <c r="D8" i="100" s="1"/>
  <c r="B29" i="100"/>
  <c r="B31" i="100" s="1"/>
  <c r="E29" i="100"/>
  <c r="B19" i="101"/>
  <c r="B6" i="100"/>
  <c r="B8" i="100" s="1"/>
  <c r="W88" i="99"/>
  <c r="U88" i="99"/>
  <c r="S88" i="99"/>
  <c r="P88" i="99"/>
  <c r="L88" i="99"/>
  <c r="J88" i="99"/>
  <c r="H88" i="99"/>
  <c r="F88" i="99"/>
  <c r="D88" i="99"/>
  <c r="B88" i="99"/>
  <c r="V62" i="98"/>
  <c r="V66" i="98" s="1"/>
  <c r="V59" i="98"/>
  <c r="R38" i="98"/>
  <c r="R46" i="98" s="1"/>
  <c r="R45" i="98" s="1"/>
  <c r="J44" i="99"/>
  <c r="S80" i="99"/>
  <c r="S78" i="99"/>
  <c r="S79" i="99"/>
  <c r="S77" i="99"/>
  <c r="S108" i="99" s="1"/>
  <c r="P1" i="99"/>
  <c r="P12" i="99"/>
  <c r="P13" i="99" s="1"/>
  <c r="P15" i="99"/>
  <c r="P70" i="99"/>
  <c r="P71" i="99" s="1"/>
  <c r="P77" i="99"/>
  <c r="P108" i="99" s="1"/>
  <c r="P78" i="99"/>
  <c r="Q93" i="99" s="1"/>
  <c r="P79" i="99"/>
  <c r="P80" i="99"/>
  <c r="X93" i="99"/>
  <c r="W81" i="99"/>
  <c r="W82" i="99" s="1"/>
  <c r="U81" i="99"/>
  <c r="U82" i="99" s="1"/>
  <c r="N81" i="99"/>
  <c r="L81" i="99"/>
  <c r="J81" i="99"/>
  <c r="H81" i="99"/>
  <c r="F81" i="99"/>
  <c r="D81" i="99"/>
  <c r="B81" i="99"/>
  <c r="X80" i="99"/>
  <c r="X79" i="99"/>
  <c r="X78" i="99"/>
  <c r="W70" i="99"/>
  <c r="X70" i="99" s="1"/>
  <c r="X73" i="99" s="1"/>
  <c r="U70" i="99"/>
  <c r="U71" i="99" s="1"/>
  <c r="S70" i="99"/>
  <c r="N70" i="99"/>
  <c r="N71" i="99" s="1"/>
  <c r="L70" i="99"/>
  <c r="L71" i="99" s="1"/>
  <c r="H70" i="99"/>
  <c r="F70" i="99"/>
  <c r="D70" i="99"/>
  <c r="B70" i="99"/>
  <c r="X69" i="99"/>
  <c r="Q69" i="99"/>
  <c r="X68" i="99"/>
  <c r="Q68" i="99"/>
  <c r="J68" i="99"/>
  <c r="J70" i="99" s="1"/>
  <c r="X67" i="99"/>
  <c r="Q67" i="99"/>
  <c r="J62" i="99"/>
  <c r="H62" i="99"/>
  <c r="F62" i="99"/>
  <c r="D62" i="99"/>
  <c r="B62" i="99"/>
  <c r="J55" i="99"/>
  <c r="H55" i="99"/>
  <c r="F55" i="99"/>
  <c r="D55" i="99"/>
  <c r="B55" i="99"/>
  <c r="N44" i="99"/>
  <c r="N45" i="99" s="1"/>
  <c r="L44" i="99"/>
  <c r="L45" i="99" s="1"/>
  <c r="H44" i="99"/>
  <c r="F44" i="99"/>
  <c r="D44" i="99"/>
  <c r="B44" i="99"/>
  <c r="N36" i="99"/>
  <c r="L36" i="99"/>
  <c r="J36" i="99"/>
  <c r="H36" i="99"/>
  <c r="F36" i="99"/>
  <c r="D36" i="99"/>
  <c r="B36" i="99"/>
  <c r="N30" i="99"/>
  <c r="L30" i="99"/>
  <c r="J30" i="99"/>
  <c r="H30" i="99"/>
  <c r="F30" i="99"/>
  <c r="D30" i="99"/>
  <c r="B30" i="99"/>
  <c r="N24" i="99"/>
  <c r="L24" i="99"/>
  <c r="J24" i="99"/>
  <c r="H24" i="99"/>
  <c r="H40" i="99" s="1"/>
  <c r="H108" i="99" s="1"/>
  <c r="F24" i="99"/>
  <c r="D24" i="99"/>
  <c r="B24" i="99"/>
  <c r="U15" i="99"/>
  <c r="S15" i="99"/>
  <c r="N15" i="99"/>
  <c r="L15" i="99"/>
  <c r="J15" i="99"/>
  <c r="H15" i="99"/>
  <c r="F15" i="99"/>
  <c r="D15" i="99"/>
  <c r="B15" i="99"/>
  <c r="U12" i="99"/>
  <c r="S12" i="99"/>
  <c r="S13" i="99" s="1"/>
  <c r="N12" i="99"/>
  <c r="N13" i="99" s="1"/>
  <c r="L12" i="99"/>
  <c r="J12" i="99"/>
  <c r="J13" i="99" s="1"/>
  <c r="H12" i="99"/>
  <c r="H13" i="99" s="1"/>
  <c r="F12" i="99"/>
  <c r="F13" i="99" s="1"/>
  <c r="F87" i="99" s="1"/>
  <c r="D12" i="99"/>
  <c r="B12" i="99"/>
  <c r="B13" i="99" s="1"/>
  <c r="B87" i="99" s="1"/>
  <c r="Q11" i="99"/>
  <c r="Q10" i="99"/>
  <c r="Q9" i="99"/>
  <c r="W1" i="99"/>
  <c r="U1" i="99"/>
  <c r="S1" i="99"/>
  <c r="N1" i="99"/>
  <c r="D65" i="98"/>
  <c r="D35" i="98"/>
  <c r="AL16" i="98"/>
  <c r="AH16" i="98"/>
  <c r="AD16" i="98"/>
  <c r="Z16" i="98"/>
  <c r="V16" i="98"/>
  <c r="R16" i="98"/>
  <c r="N16" i="98"/>
  <c r="J16" i="98"/>
  <c r="F16" i="98"/>
  <c r="AR93" i="98"/>
  <c r="AN93" i="98"/>
  <c r="AN90" i="98"/>
  <c r="AP87" i="98"/>
  <c r="AP88" i="98" s="1"/>
  <c r="AL87" i="98"/>
  <c r="AL88" i="98" s="1"/>
  <c r="Z87" i="98"/>
  <c r="AB87" i="98" s="1"/>
  <c r="V87" i="98"/>
  <c r="X87" i="98" s="1"/>
  <c r="R87" i="98"/>
  <c r="T87" i="98" s="1"/>
  <c r="N87" i="98"/>
  <c r="P87" i="98" s="1"/>
  <c r="J87" i="98"/>
  <c r="L87" i="98" s="1"/>
  <c r="F87" i="98"/>
  <c r="H87" i="98" s="1"/>
  <c r="B87" i="98"/>
  <c r="D87" i="98" s="1"/>
  <c r="AR86" i="98"/>
  <c r="AN86" i="98"/>
  <c r="AD86" i="98"/>
  <c r="AR85" i="98"/>
  <c r="AD85" i="98"/>
  <c r="AR84" i="98"/>
  <c r="AN84" i="98"/>
  <c r="AJ93" i="98"/>
  <c r="AD84" i="98"/>
  <c r="AF93" i="98" s="1"/>
  <c r="AB84" i="98"/>
  <c r="X84" i="98"/>
  <c r="T84" i="98"/>
  <c r="P84" i="98"/>
  <c r="L84" i="98"/>
  <c r="H84" i="98"/>
  <c r="D84" i="98"/>
  <c r="AD83" i="98"/>
  <c r="AN77" i="98"/>
  <c r="AP74" i="98"/>
  <c r="AR74" i="98" s="1"/>
  <c r="AR77" i="98" s="1"/>
  <c r="AL74" i="98"/>
  <c r="AL75" i="98" s="1"/>
  <c r="AH74" i="98"/>
  <c r="AJ74" i="98" s="1"/>
  <c r="AD74" i="98"/>
  <c r="AD75" i="98" s="1"/>
  <c r="Z74" i="98"/>
  <c r="Z75" i="98" s="1"/>
  <c r="V74" i="98"/>
  <c r="V75" i="98" s="1"/>
  <c r="N74" i="98"/>
  <c r="N75" i="98" s="1"/>
  <c r="J74" i="98"/>
  <c r="L74" i="98" s="1"/>
  <c r="F74" i="98"/>
  <c r="H74" i="98" s="1"/>
  <c r="B74" i="98"/>
  <c r="D74" i="98" s="1"/>
  <c r="AR73" i="98"/>
  <c r="AN73" i="98"/>
  <c r="AJ73" i="98"/>
  <c r="AF73" i="98"/>
  <c r="AB73" i="98"/>
  <c r="X73" i="98"/>
  <c r="T73" i="98"/>
  <c r="P73" i="98"/>
  <c r="L73" i="98"/>
  <c r="H73" i="98"/>
  <c r="D73" i="98"/>
  <c r="AR72" i="98"/>
  <c r="AN72" i="98"/>
  <c r="AJ72" i="98"/>
  <c r="AF72" i="98"/>
  <c r="AB72" i="98"/>
  <c r="X72" i="98"/>
  <c r="R72" i="98"/>
  <c r="R74" i="98" s="1"/>
  <c r="P72" i="98"/>
  <c r="L72" i="98"/>
  <c r="H72" i="98"/>
  <c r="D72" i="98"/>
  <c r="AR71" i="98"/>
  <c r="AN71" i="98"/>
  <c r="AJ71" i="98"/>
  <c r="AF71" i="98"/>
  <c r="AB71" i="98"/>
  <c r="X71" i="98"/>
  <c r="T71" i="98"/>
  <c r="P71" i="98"/>
  <c r="L71" i="98"/>
  <c r="H71" i="98"/>
  <c r="D71" i="98"/>
  <c r="R66" i="98"/>
  <c r="N66" i="98"/>
  <c r="J66" i="98"/>
  <c r="F66" i="98"/>
  <c r="B66" i="98"/>
  <c r="T65" i="98"/>
  <c r="P65" i="98"/>
  <c r="L65" i="98"/>
  <c r="H65" i="98"/>
  <c r="T64" i="98"/>
  <c r="P64" i="98"/>
  <c r="L64" i="98"/>
  <c r="T63" i="98"/>
  <c r="P63" i="98"/>
  <c r="L63" i="98"/>
  <c r="H63" i="98"/>
  <c r="D63" i="98"/>
  <c r="T62" i="98"/>
  <c r="P62" i="98"/>
  <c r="L62" i="98"/>
  <c r="H62" i="98"/>
  <c r="D62" i="98"/>
  <c r="R59" i="98"/>
  <c r="N59" i="98"/>
  <c r="J59" i="98"/>
  <c r="F59" i="98"/>
  <c r="B59" i="98"/>
  <c r="Z45" i="98"/>
  <c r="Z46" i="98" s="1"/>
  <c r="V45" i="98"/>
  <c r="N45" i="98"/>
  <c r="J45" i="98"/>
  <c r="F45" i="98"/>
  <c r="B45" i="98"/>
  <c r="V38" i="98"/>
  <c r="N38" i="98"/>
  <c r="J38" i="98"/>
  <c r="F38" i="98"/>
  <c r="B38" i="98"/>
  <c r="AB37" i="98"/>
  <c r="X37" i="98"/>
  <c r="T37" i="98"/>
  <c r="P37" i="98"/>
  <c r="L37" i="98"/>
  <c r="H37" i="98"/>
  <c r="D37" i="98"/>
  <c r="AB36" i="98"/>
  <c r="X36" i="98"/>
  <c r="T36" i="98"/>
  <c r="P36" i="98"/>
  <c r="L36" i="98"/>
  <c r="H36" i="98"/>
  <c r="D36" i="98"/>
  <c r="AB35" i="98"/>
  <c r="X35" i="98"/>
  <c r="T35" i="98"/>
  <c r="P35" i="98"/>
  <c r="L35" i="98"/>
  <c r="H35" i="98"/>
  <c r="Z32" i="98"/>
  <c r="AB93" i="98" s="1"/>
  <c r="V32" i="98"/>
  <c r="X93" i="98" s="1"/>
  <c r="R32" i="98"/>
  <c r="T93" i="98" s="1"/>
  <c r="N32" i="98"/>
  <c r="J32" i="98"/>
  <c r="L93" i="98" s="1"/>
  <c r="F32" i="98"/>
  <c r="B32" i="98"/>
  <c r="D93" i="98" s="1"/>
  <c r="Z26" i="98"/>
  <c r="V26" i="98"/>
  <c r="R26" i="98"/>
  <c r="R41" i="98" s="1"/>
  <c r="N26" i="98"/>
  <c r="N41" i="98" s="1"/>
  <c r="J26" i="98"/>
  <c r="F26" i="98"/>
  <c r="B26" i="98"/>
  <c r="AL13" i="98"/>
  <c r="AN13" i="98" s="1"/>
  <c r="AH13" i="98"/>
  <c r="AH14" i="98" s="1"/>
  <c r="AD13" i="98"/>
  <c r="AD14" i="98" s="1"/>
  <c r="Z13" i="98"/>
  <c r="AB13" i="98" s="1"/>
  <c r="V13" i="98"/>
  <c r="X13" i="98" s="1"/>
  <c r="R13" i="98"/>
  <c r="T13" i="98" s="1"/>
  <c r="N13" i="98"/>
  <c r="N14" i="98" s="1"/>
  <c r="J13" i="98"/>
  <c r="L13" i="98" s="1"/>
  <c r="F13" i="98"/>
  <c r="H13" i="98" s="1"/>
  <c r="B13" i="98"/>
  <c r="B14" i="98" s="1"/>
  <c r="AN12" i="98"/>
  <c r="AJ12" i="98"/>
  <c r="AF12" i="98"/>
  <c r="AB12" i="98"/>
  <c r="X12" i="98"/>
  <c r="T12" i="98"/>
  <c r="P12" i="98"/>
  <c r="L12" i="98"/>
  <c r="H12" i="98"/>
  <c r="D12" i="98"/>
  <c r="AN11" i="98"/>
  <c r="AJ11" i="98"/>
  <c r="AF11" i="98"/>
  <c r="AB11" i="98"/>
  <c r="X11" i="98"/>
  <c r="T11" i="98"/>
  <c r="P11" i="98"/>
  <c r="L11" i="98"/>
  <c r="H11" i="98"/>
  <c r="D11" i="98"/>
  <c r="AN10" i="98"/>
  <c r="AJ10" i="98"/>
  <c r="AF10" i="98"/>
  <c r="AB10" i="98"/>
  <c r="X10" i="98"/>
  <c r="T10" i="98"/>
  <c r="P10" i="98"/>
  <c r="L10" i="98"/>
  <c r="H10" i="98"/>
  <c r="D10" i="98"/>
  <c r="AP1" i="98"/>
  <c r="AL1" i="98"/>
  <c r="AH1" i="98"/>
  <c r="AD1" i="98"/>
  <c r="Z1" i="98"/>
  <c r="B89" i="99" l="1"/>
  <c r="N87" i="99"/>
  <c r="B20" i="100"/>
  <c r="U87" i="99"/>
  <c r="U89" i="99" s="1"/>
  <c r="F89" i="99"/>
  <c r="P81" i="99"/>
  <c r="P82" i="99" s="1"/>
  <c r="Q70" i="99"/>
  <c r="S81" i="99"/>
  <c r="S82" i="99" s="1"/>
  <c r="S71" i="99"/>
  <c r="F111" i="99"/>
  <c r="B111" i="99"/>
  <c r="Q79" i="99"/>
  <c r="W71" i="99"/>
  <c r="W87" i="99" s="1"/>
  <c r="J71" i="99"/>
  <c r="N111" i="99"/>
  <c r="U111" i="99"/>
  <c r="D13" i="99"/>
  <c r="L13" i="99"/>
  <c r="L111" i="99" s="1"/>
  <c r="U13" i="99"/>
  <c r="H71" i="99"/>
  <c r="Q78" i="99"/>
  <c r="Q80" i="99"/>
  <c r="Q12" i="99"/>
  <c r="X81" i="99"/>
  <c r="X84" i="99" s="1"/>
  <c r="W84" i="99" s="1"/>
  <c r="D66" i="98"/>
  <c r="AB74" i="98"/>
  <c r="AF85" i="98"/>
  <c r="P38" i="98"/>
  <c r="L66" i="98"/>
  <c r="AH75" i="98"/>
  <c r="X38" i="98"/>
  <c r="L38" i="98"/>
  <c r="H38" i="98"/>
  <c r="V14" i="98"/>
  <c r="AL14" i="98"/>
  <c r="AB38" i="98"/>
  <c r="P66" i="98"/>
  <c r="AP75" i="98"/>
  <c r="AJ86" i="98"/>
  <c r="AF86" i="98"/>
  <c r="H66" i="98"/>
  <c r="V111" i="98"/>
  <c r="H93" i="98"/>
  <c r="F14" i="98"/>
  <c r="F111" i="98" s="1"/>
  <c r="B111" i="98"/>
  <c r="N111" i="98"/>
  <c r="AJ87" i="98"/>
  <c r="R75" i="98"/>
  <c r="T74" i="98"/>
  <c r="AL111" i="98"/>
  <c r="R14" i="98"/>
  <c r="AD87" i="98"/>
  <c r="AF87" i="98" s="1"/>
  <c r="D13" i="98"/>
  <c r="AJ13" i="98"/>
  <c r="T72" i="98"/>
  <c r="AF84" i="98"/>
  <c r="AJ85" i="98"/>
  <c r="AN87" i="98"/>
  <c r="J14" i="98"/>
  <c r="J111" i="98" s="1"/>
  <c r="Z14" i="98"/>
  <c r="Z111" i="98" s="1"/>
  <c r="D38" i="98"/>
  <c r="T38" i="98"/>
  <c r="V46" i="98"/>
  <c r="P74" i="98"/>
  <c r="X74" i="98"/>
  <c r="AF74" i="98"/>
  <c r="AN74" i="98"/>
  <c r="P93" i="98"/>
  <c r="P13" i="98"/>
  <c r="AF13" i="98"/>
  <c r="AJ84" i="98"/>
  <c r="AR87" i="98"/>
  <c r="AR90" i="98" s="1"/>
  <c r="AP90" i="98" s="1"/>
  <c r="D24" i="91"/>
  <c r="D22" i="91"/>
  <c r="D23" i="91"/>
  <c r="D25" i="91"/>
  <c r="D26" i="91"/>
  <c r="D21" i="91"/>
  <c r="D6" i="91"/>
  <c r="D11" i="91"/>
  <c r="S87" i="99" l="1"/>
  <c r="S89" i="99" s="1"/>
  <c r="P111" i="99"/>
  <c r="P87" i="99"/>
  <c r="P89" i="99" s="1"/>
  <c r="D111" i="99"/>
  <c r="D87" i="99"/>
  <c r="D89" i="99" s="1"/>
  <c r="L87" i="99"/>
  <c r="L89" i="99" s="1"/>
  <c r="H111" i="99"/>
  <c r="H87" i="99"/>
  <c r="H89" i="99" s="1"/>
  <c r="J111" i="99"/>
  <c r="J87" i="99"/>
  <c r="J89" i="99" s="1"/>
  <c r="Q81" i="99"/>
  <c r="S111" i="99"/>
  <c r="AH111" i="98"/>
  <c r="AD88" i="98"/>
  <c r="AD111" i="98" s="1"/>
  <c r="R111" i="98"/>
  <c r="G134" i="17"/>
  <c r="K22" i="87" l="1"/>
  <c r="K23" i="87"/>
  <c r="K20" i="87"/>
  <c r="B113" i="30" l="1"/>
  <c r="B114" i="30"/>
  <c r="N11" i="40"/>
  <c r="N16" i="40"/>
  <c r="R16" i="40"/>
  <c r="P16" i="40"/>
  <c r="AS60" i="97" l="1"/>
  <c r="AO60" i="97"/>
  <c r="AK60" i="97"/>
  <c r="AG60" i="97"/>
  <c r="AS46" i="97"/>
  <c r="AS31" i="97"/>
  <c r="AO31" i="97"/>
  <c r="AK31" i="97"/>
  <c r="AG31" i="97"/>
  <c r="Y31" i="97"/>
  <c r="T31" i="97"/>
  <c r="P31" i="97"/>
  <c r="L31" i="97"/>
  <c r="H31" i="97"/>
  <c r="AS33" i="97"/>
  <c r="AK33" i="97"/>
  <c r="AG33" i="97"/>
  <c r="AC33" i="97"/>
  <c r="Y33" i="97"/>
  <c r="T33" i="97"/>
  <c r="P33" i="97"/>
  <c r="L33" i="97"/>
  <c r="H33" i="97"/>
  <c r="D33" i="97"/>
  <c r="AQ28" i="97"/>
  <c r="AM28" i="97"/>
  <c r="AI28" i="97"/>
  <c r="AE28" i="97"/>
  <c r="AA28" i="97"/>
  <c r="W28" i="97"/>
  <c r="R28" i="97"/>
  <c r="T28" i="97" s="1"/>
  <c r="N28" i="97"/>
  <c r="P28" i="97" s="1"/>
  <c r="J28" i="97"/>
  <c r="J29" i="97" s="1"/>
  <c r="F28" i="97"/>
  <c r="F29" i="97" s="1"/>
  <c r="B28" i="97"/>
  <c r="B29" i="97" s="1"/>
  <c r="AS27" i="97"/>
  <c r="AO27" i="97"/>
  <c r="AK27" i="97"/>
  <c r="AG27" i="97"/>
  <c r="AC27" i="97"/>
  <c r="Y27" i="97"/>
  <c r="T27" i="97"/>
  <c r="P27" i="97"/>
  <c r="L27" i="97"/>
  <c r="H27" i="97"/>
  <c r="D27" i="97"/>
  <c r="AS26" i="97"/>
  <c r="AO26" i="97"/>
  <c r="AK26" i="97"/>
  <c r="AG26" i="97"/>
  <c r="AC26" i="97"/>
  <c r="Y26" i="97"/>
  <c r="T26" i="97"/>
  <c r="P26" i="97"/>
  <c r="L26" i="97"/>
  <c r="H26" i="97"/>
  <c r="D26" i="97"/>
  <c r="AS25" i="97"/>
  <c r="AO25" i="97"/>
  <c r="AK25" i="97"/>
  <c r="AG25" i="97"/>
  <c r="AC25" i="97"/>
  <c r="Y25" i="97"/>
  <c r="T25" i="97"/>
  <c r="P25" i="97"/>
  <c r="L25" i="97"/>
  <c r="H25" i="97"/>
  <c r="D25" i="97"/>
  <c r="AS17" i="97"/>
  <c r="AO17" i="97"/>
  <c r="AK17" i="97"/>
  <c r="AG17" i="97"/>
  <c r="AC17" i="97"/>
  <c r="Y17" i="97"/>
  <c r="T17" i="97"/>
  <c r="P17" i="97"/>
  <c r="L17" i="97"/>
  <c r="AS19" i="97"/>
  <c r="AO19" i="97"/>
  <c r="AK19" i="97"/>
  <c r="AG19" i="97"/>
  <c r="Y19" i="97"/>
  <c r="T19" i="97"/>
  <c r="P19" i="97"/>
  <c r="L19" i="97"/>
  <c r="H19" i="97"/>
  <c r="D19" i="97"/>
  <c r="AQ14" i="97"/>
  <c r="AQ15" i="97" s="1"/>
  <c r="AM14" i="97"/>
  <c r="AM15" i="97" s="1"/>
  <c r="AI14" i="97"/>
  <c r="AI15" i="97" s="1"/>
  <c r="AE14" i="97"/>
  <c r="AG14" i="97" s="1"/>
  <c r="W14" i="97"/>
  <c r="Y14" i="97" s="1"/>
  <c r="R14" i="97"/>
  <c r="R15" i="97" s="1"/>
  <c r="N14" i="97"/>
  <c r="P14" i="97" s="1"/>
  <c r="J14" i="97"/>
  <c r="L14" i="97" s="1"/>
  <c r="F14" i="97"/>
  <c r="F15" i="97" s="1"/>
  <c r="B14" i="97"/>
  <c r="B15" i="97" s="1"/>
  <c r="AS13" i="97"/>
  <c r="AO13" i="97"/>
  <c r="AK13" i="97"/>
  <c r="AG13" i="97"/>
  <c r="AA13" i="97"/>
  <c r="AA14" i="97" s="1"/>
  <c r="AC14" i="97" s="1"/>
  <c r="Y13" i="97"/>
  <c r="T13" i="97"/>
  <c r="P13" i="97"/>
  <c r="L13" i="97"/>
  <c r="H13" i="97"/>
  <c r="D13" i="97"/>
  <c r="AS12" i="97"/>
  <c r="AO12" i="97"/>
  <c r="AK12" i="97"/>
  <c r="AG12" i="97"/>
  <c r="AC12" i="97"/>
  <c r="Y12" i="97"/>
  <c r="T12" i="97"/>
  <c r="P12" i="97"/>
  <c r="L12" i="97"/>
  <c r="H12" i="97"/>
  <c r="D12" i="97"/>
  <c r="AS11" i="97"/>
  <c r="AO11" i="97"/>
  <c r="AK11" i="97"/>
  <c r="AG11" i="97"/>
  <c r="AC11" i="97"/>
  <c r="Y11" i="97"/>
  <c r="T11" i="97"/>
  <c r="P11" i="97"/>
  <c r="L11" i="97"/>
  <c r="H11" i="97"/>
  <c r="D11" i="97"/>
  <c r="AQ1" i="97"/>
  <c r="AM1" i="97"/>
  <c r="AI1" i="97"/>
  <c r="AE1" i="97"/>
  <c r="AA1" i="97"/>
  <c r="W1" i="97"/>
  <c r="R1" i="97"/>
  <c r="N1" i="97"/>
  <c r="J1" i="97"/>
  <c r="F1" i="97"/>
  <c r="B1" i="97"/>
  <c r="AG28" i="97" l="1"/>
  <c r="AG68" i="97"/>
  <c r="AI29" i="97"/>
  <c r="AI44" i="97" s="1"/>
  <c r="AI57" i="97" s="1"/>
  <c r="AK68" i="97"/>
  <c r="W29" i="97"/>
  <c r="Y68" i="97"/>
  <c r="AM29" i="97"/>
  <c r="AM44" i="97" s="1"/>
  <c r="AM57" i="97" s="1"/>
  <c r="AO68" i="97"/>
  <c r="AA29" i="97"/>
  <c r="AC68" i="97"/>
  <c r="AQ29" i="97"/>
  <c r="AQ39" i="97" s="1"/>
  <c r="AS68" i="97"/>
  <c r="R29" i="97"/>
  <c r="AE29" i="97"/>
  <c r="AS28" i="97"/>
  <c r="N15" i="97"/>
  <c r="W15" i="97"/>
  <c r="W44" i="97" s="1"/>
  <c r="W57" i="97" s="1"/>
  <c r="F44" i="97"/>
  <c r="F57" i="97" s="1"/>
  <c r="R44" i="97"/>
  <c r="R57" i="97" s="1"/>
  <c r="AO14" i="97"/>
  <c r="H14" i="97"/>
  <c r="H17" i="97" s="1"/>
  <c r="F17" i="97" s="1"/>
  <c r="L28" i="97"/>
  <c r="AE15" i="97"/>
  <c r="AE44" i="97" s="1"/>
  <c r="AE57" i="97" s="1"/>
  <c r="AC19" i="97"/>
  <c r="D28" i="97"/>
  <c r="D31" i="97" s="1"/>
  <c r="AA31" i="97" s="1"/>
  <c r="AC31" i="97" s="1"/>
  <c r="AK28" i="97"/>
  <c r="B44" i="97"/>
  <c r="B57" i="97" s="1"/>
  <c r="AC28" i="97"/>
  <c r="N29" i="97"/>
  <c r="AC13" i="97"/>
  <c r="J15" i="97"/>
  <c r="J44" i="97" s="1"/>
  <c r="J57" i="97" s="1"/>
  <c r="AA15" i="97"/>
  <c r="AA44" i="97" s="1"/>
  <c r="AA57" i="97" s="1"/>
  <c r="D14" i="97"/>
  <c r="D17" i="97" s="1"/>
  <c r="B17" i="97" s="1"/>
  <c r="T14" i="97"/>
  <c r="AK14" i="97"/>
  <c r="AS14" i="97"/>
  <c r="H28" i="97"/>
  <c r="Y28" i="97"/>
  <c r="AO28" i="97"/>
  <c r="C10" i="96"/>
  <c r="D10" i="96"/>
  <c r="E10" i="96"/>
  <c r="F10" i="96"/>
  <c r="G10" i="96"/>
  <c r="H10" i="96"/>
  <c r="I10" i="96"/>
  <c r="J10" i="96"/>
  <c r="K10" i="96"/>
  <c r="B10" i="96"/>
  <c r="D7" i="96"/>
  <c r="E7" i="96"/>
  <c r="F7" i="96"/>
  <c r="G7" i="96"/>
  <c r="H7" i="96"/>
  <c r="I7" i="96"/>
  <c r="J7" i="96"/>
  <c r="K7" i="96"/>
  <c r="D6" i="96"/>
  <c r="D8" i="96" s="1"/>
  <c r="E6" i="96"/>
  <c r="E8" i="96" s="1"/>
  <c r="F6" i="96"/>
  <c r="F8" i="96" s="1"/>
  <c r="G6" i="96"/>
  <c r="G8" i="96" s="1"/>
  <c r="H6" i="96"/>
  <c r="H8" i="96" s="1"/>
  <c r="I6" i="96"/>
  <c r="I8" i="96" s="1"/>
  <c r="J6" i="96"/>
  <c r="J8" i="96" s="1"/>
  <c r="K6" i="96"/>
  <c r="K8" i="96" s="1"/>
  <c r="C6" i="96"/>
  <c r="C7" i="96"/>
  <c r="B7" i="96"/>
  <c r="AQ44" i="97" l="1"/>
  <c r="AQ57" i="97" s="1"/>
  <c r="N44" i="97"/>
  <c r="N57" i="97" s="1"/>
  <c r="B8" i="96"/>
  <c r="C8" i="96"/>
  <c r="B36" i="95"/>
  <c r="B30" i="95"/>
  <c r="B16" i="95" s="1"/>
  <c r="B12" i="95"/>
  <c r="B7" i="95"/>
  <c r="B21" i="95" l="1"/>
  <c r="B17" i="95"/>
  <c r="B22" i="95" l="1"/>
  <c r="N7" i="94" l="1"/>
  <c r="M7" i="94"/>
  <c r="M38" i="94"/>
  <c r="N38" i="94"/>
  <c r="N39" i="94" s="1"/>
  <c r="N36" i="94"/>
  <c r="N30" i="94"/>
  <c r="N31" i="94" s="1"/>
  <c r="D45" i="94"/>
  <c r="B63" i="94"/>
  <c r="L38" i="94"/>
  <c r="L36" i="94"/>
  <c r="L45" i="94" s="1"/>
  <c r="M36" i="94"/>
  <c r="M45" i="94" s="1"/>
  <c r="L7" i="94"/>
  <c r="K7" i="94"/>
  <c r="J7" i="94"/>
  <c r="I7" i="94"/>
  <c r="K38" i="94"/>
  <c r="K36" i="94"/>
  <c r="K39" i="94" s="1"/>
  <c r="J38" i="94"/>
  <c r="J36" i="94"/>
  <c r="J45" i="94" s="1"/>
  <c r="J30" i="94"/>
  <c r="J31" i="94" s="1"/>
  <c r="E36" i="94"/>
  <c r="E45" i="94" s="1"/>
  <c r="F36" i="94"/>
  <c r="F45" i="94" s="1"/>
  <c r="G36" i="94"/>
  <c r="G45" i="94" s="1"/>
  <c r="H36" i="94"/>
  <c r="H45" i="94" s="1"/>
  <c r="I36" i="94"/>
  <c r="I45" i="94" s="1"/>
  <c r="D36" i="94"/>
  <c r="E38" i="94"/>
  <c r="F38" i="94"/>
  <c r="G38" i="94"/>
  <c r="H38" i="94"/>
  <c r="I38" i="94"/>
  <c r="D38" i="94"/>
  <c r="M39" i="94" l="1"/>
  <c r="N41" i="94"/>
  <c r="K45" i="94"/>
  <c r="D39" i="94"/>
  <c r="F39" i="94"/>
  <c r="J39" i="94"/>
  <c r="J41" i="94" s="1"/>
  <c r="H39" i="94"/>
  <c r="L39" i="94"/>
  <c r="I39" i="94"/>
  <c r="E39" i="94"/>
  <c r="G39" i="94"/>
  <c r="I30" i="94"/>
  <c r="I31" i="94" s="1"/>
  <c r="I25" i="94" s="1"/>
  <c r="I26" i="94" s="1"/>
  <c r="H30" i="94"/>
  <c r="H31" i="94" s="1"/>
  <c r="G30" i="94"/>
  <c r="G31" i="94" s="1"/>
  <c r="F30" i="94"/>
  <c r="F31" i="94" s="1"/>
  <c r="F41" i="94" s="1"/>
  <c r="E30" i="94"/>
  <c r="E31" i="94" s="1"/>
  <c r="E41" i="94" s="1"/>
  <c r="E42" i="94" s="1"/>
  <c r="D30" i="94"/>
  <c r="D31" i="94" s="1"/>
  <c r="H7" i="94"/>
  <c r="G7" i="94"/>
  <c r="F7" i="94"/>
  <c r="E7" i="94"/>
  <c r="D7" i="94"/>
  <c r="M30" i="94"/>
  <c r="M31" i="94" s="1"/>
  <c r="L30" i="94"/>
  <c r="L31" i="94" s="1"/>
  <c r="K30" i="94"/>
  <c r="K31" i="94" s="1"/>
  <c r="B62" i="94"/>
  <c r="B64" i="94" s="1"/>
  <c r="B55" i="94"/>
  <c r="B56" i="94" s="1"/>
  <c r="B52" i="94"/>
  <c r="B31" i="94"/>
  <c r="B6" i="94" s="1"/>
  <c r="B7" i="94"/>
  <c r="J113" i="30"/>
  <c r="O134" i="17"/>
  <c r="B134" i="17"/>
  <c r="H25" i="94" l="1"/>
  <c r="H26" i="94" s="1"/>
  <c r="M25" i="94"/>
  <c r="M26" i="94" s="1"/>
  <c r="M41" i="94"/>
  <c r="M42" i="94" s="1"/>
  <c r="K41" i="94"/>
  <c r="J42" i="94" s="1"/>
  <c r="K25" i="94"/>
  <c r="K26" i="94" s="1"/>
  <c r="L25" i="94"/>
  <c r="L26" i="94" s="1"/>
  <c r="D41" i="94"/>
  <c r="D42" i="94" s="1"/>
  <c r="J25" i="94"/>
  <c r="J26" i="94" s="1"/>
  <c r="H41" i="94"/>
  <c r="I41" i="94"/>
  <c r="I42" i="94" s="1"/>
  <c r="I6" i="94" s="1"/>
  <c r="I8" i="94" s="1"/>
  <c r="G41" i="94"/>
  <c r="G42" i="94" s="1"/>
  <c r="G25" i="94"/>
  <c r="G26" i="94" s="1"/>
  <c r="L41" i="94"/>
  <c r="E6" i="94"/>
  <c r="E8" i="94" s="1"/>
  <c r="F42" i="94"/>
  <c r="F25" i="94"/>
  <c r="F26" i="94" s="1"/>
  <c r="D25" i="94"/>
  <c r="D26" i="94" s="1"/>
  <c r="E25" i="94"/>
  <c r="E26" i="94" s="1"/>
  <c r="E43" i="94"/>
  <c r="B8" i="94"/>
  <c r="B13" i="94" s="1"/>
  <c r="L42" i="94" l="1"/>
  <c r="L43" i="94" s="1"/>
  <c r="M43" i="94"/>
  <c r="M6" i="94"/>
  <c r="M8" i="94" s="1"/>
  <c r="I43" i="94"/>
  <c r="H42" i="94"/>
  <c r="H43" i="94" s="1"/>
  <c r="J43" i="94"/>
  <c r="J6" i="94"/>
  <c r="J8" i="94" s="1"/>
  <c r="K42" i="94"/>
  <c r="D43" i="94"/>
  <c r="D6" i="94"/>
  <c r="D8" i="94" s="1"/>
  <c r="F43" i="94"/>
  <c r="F6" i="94"/>
  <c r="F8" i="94" s="1"/>
  <c r="G43" i="94"/>
  <c r="G6" i="94"/>
  <c r="G8" i="94" s="1"/>
  <c r="H6" i="94" l="1"/>
  <c r="H8" i="94" s="1"/>
  <c r="L6" i="94"/>
  <c r="L8" i="94" s="1"/>
  <c r="K6" i="94"/>
  <c r="K8" i="94" s="1"/>
  <c r="K43" i="94"/>
  <c r="F189" i="8" l="1"/>
  <c r="I11" i="8"/>
  <c r="I35" i="8"/>
  <c r="I108" i="8"/>
  <c r="I154" i="8" s="1"/>
  <c r="C109" i="8" l="1"/>
  <c r="D109" i="8"/>
  <c r="E109" i="8"/>
  <c r="E110" i="8" s="1"/>
  <c r="F109" i="8"/>
  <c r="F110" i="8" s="1"/>
  <c r="C110" i="8"/>
  <c r="D110" i="8"/>
  <c r="B109" i="8"/>
  <c r="B110" i="8" s="1"/>
  <c r="B133" i="17" l="1"/>
  <c r="B135" i="17" s="1"/>
  <c r="I139" i="22" l="1"/>
  <c r="H134" i="22"/>
  <c r="I134" i="22"/>
  <c r="K58" i="22"/>
  <c r="K64" i="22" s="1"/>
  <c r="K66" i="22" s="1"/>
  <c r="L58" i="22"/>
  <c r="N85" i="22"/>
  <c r="O85" i="22"/>
  <c r="P85" i="22"/>
  <c r="M85" i="22"/>
  <c r="D79" i="22"/>
  <c r="C79" i="22"/>
  <c r="P63" i="22"/>
  <c r="O63" i="22"/>
  <c r="N63" i="22"/>
  <c r="M63" i="22"/>
  <c r="L63" i="22"/>
  <c r="L64" i="22" s="1"/>
  <c r="L66" i="22" s="1"/>
  <c r="K63" i="22"/>
  <c r="G63" i="22"/>
  <c r="F63" i="22"/>
  <c r="E63" i="22"/>
  <c r="D63" i="22"/>
  <c r="C63" i="22"/>
  <c r="H64" i="22"/>
  <c r="H66" i="22" s="1"/>
  <c r="I64" i="22"/>
  <c r="I66" i="22" s="1"/>
  <c r="B64" i="22"/>
  <c r="B66" i="22" s="1"/>
  <c r="B80" i="22" s="1"/>
  <c r="B86" i="22" s="1"/>
  <c r="B90" i="22" s="1"/>
  <c r="E75" i="22"/>
  <c r="E79" i="22" s="1"/>
  <c r="P58" i="22"/>
  <c r="N89" i="22"/>
  <c r="H75" i="22"/>
  <c r="H79" i="22" s="1"/>
  <c r="H129" i="22" s="1"/>
  <c r="I75" i="22"/>
  <c r="J75" i="22"/>
  <c r="K75" i="22"/>
  <c r="K79" i="22" s="1"/>
  <c r="L75" i="22"/>
  <c r="L79" i="22" s="1"/>
  <c r="M75" i="22"/>
  <c r="M79" i="22" s="1"/>
  <c r="N75" i="22"/>
  <c r="N79" i="22" s="1"/>
  <c r="O75" i="22"/>
  <c r="O79" i="22" s="1"/>
  <c r="P75" i="22"/>
  <c r="P79" i="22" s="1"/>
  <c r="I79" i="22"/>
  <c r="I129" i="22" s="1"/>
  <c r="J79" i="22"/>
  <c r="G75" i="22"/>
  <c r="G79" i="22" s="1"/>
  <c r="C47" i="46"/>
  <c r="D12" i="91"/>
  <c r="D14" i="91" s="1"/>
  <c r="E45" i="45"/>
  <c r="D7" i="91"/>
  <c r="D8" i="91"/>
  <c r="D9" i="91"/>
  <c r="D10" i="91"/>
  <c r="I80" i="22" l="1"/>
  <c r="I86" i="22" s="1"/>
  <c r="H80" i="22"/>
  <c r="H86" i="22" s="1"/>
  <c r="P64" i="22"/>
  <c r="P66" i="22" s="1"/>
  <c r="B129" i="22"/>
  <c r="G133" i="17"/>
  <c r="A55" i="20" l="1"/>
  <c r="A56" i="20"/>
  <c r="A57" i="20"/>
  <c r="A58" i="20"/>
  <c r="A59" i="20"/>
  <c r="A60" i="20"/>
  <c r="A61" i="20"/>
  <c r="A62" i="20"/>
  <c r="A63" i="20"/>
  <c r="A49" i="20"/>
  <c r="A50" i="20"/>
  <c r="A51" i="20"/>
  <c r="A52" i="20"/>
  <c r="A53" i="20"/>
  <c r="A54" i="20"/>
  <c r="A48" i="20"/>
  <c r="F34" i="86"/>
  <c r="E25" i="86"/>
  <c r="T130" i="6" l="1"/>
  <c r="C19" i="88" l="1"/>
  <c r="C23" i="88" s="1"/>
  <c r="C28" i="88" s="1"/>
  <c r="N19" i="87"/>
  <c r="B36" i="87"/>
  <c r="C8" i="87"/>
  <c r="H10" i="87"/>
  <c r="G7" i="87" s="1"/>
  <c r="H25" i="87"/>
  <c r="G19" i="87" s="1"/>
  <c r="G25" i="87" s="1"/>
  <c r="F19" i="87" s="1"/>
  <c r="F25" i="87" s="1"/>
  <c r="E19" i="87" s="1"/>
  <c r="E25" i="87" s="1"/>
  <c r="D19" i="87" s="1"/>
  <c r="D21" i="87" s="1"/>
  <c r="K21" i="87" s="1"/>
  <c r="G8" i="87"/>
  <c r="N20" i="87" l="1"/>
  <c r="G10" i="87"/>
  <c r="F7" i="87" s="1"/>
  <c r="D25" i="87"/>
  <c r="C19" i="87" s="1"/>
  <c r="C25" i="87" s="1"/>
  <c r="B19" i="87" s="1"/>
  <c r="B25" i="87" s="1"/>
  <c r="C14" i="86"/>
  <c r="C8" i="86"/>
  <c r="F8" i="87" l="1"/>
  <c r="F10" i="87" s="1"/>
  <c r="E7" i="87" s="1"/>
  <c r="E8" i="87" s="1"/>
  <c r="J134" i="17"/>
  <c r="E10" i="87" l="1"/>
  <c r="D7" i="87" s="1"/>
  <c r="D8" i="87" l="1"/>
  <c r="D10" i="87" s="1"/>
  <c r="T125" i="6"/>
  <c r="T126" i="6"/>
  <c r="T127" i="6"/>
  <c r="T128" i="6"/>
  <c r="T129" i="6"/>
  <c r="T124" i="6"/>
  <c r="B44" i="45"/>
  <c r="C7" i="87" l="1"/>
  <c r="C9" i="87" s="1"/>
  <c r="C111" i="2"/>
  <c r="C108" i="2"/>
  <c r="C107" i="2"/>
  <c r="C10" i="87" l="1"/>
  <c r="B7" i="87" s="1"/>
  <c r="B10" i="87" s="1"/>
  <c r="E26" i="84"/>
  <c r="F26" i="84" s="1"/>
  <c r="D26" i="84"/>
  <c r="F21" i="84" l="1"/>
  <c r="F17" i="84"/>
  <c r="F13" i="84"/>
  <c r="F9" i="84"/>
  <c r="F24" i="84"/>
  <c r="F20" i="84"/>
  <c r="F16" i="84"/>
  <c r="F12" i="84"/>
  <c r="F8" i="84"/>
  <c r="F23" i="84"/>
  <c r="F19" i="84"/>
  <c r="F15" i="84"/>
  <c r="F11" i="84"/>
  <c r="F7" i="84"/>
  <c r="F25" i="84"/>
  <c r="F5" i="84"/>
  <c r="F22" i="84"/>
  <c r="F18" i="84"/>
  <c r="F14" i="84"/>
  <c r="F10" i="84"/>
  <c r="F6" i="84"/>
  <c r="K26" i="84"/>
  <c r="J26" i="84"/>
  <c r="Q26" i="84"/>
  <c r="P26" i="84"/>
  <c r="R26" i="84" l="1"/>
  <c r="R7" i="84"/>
  <c r="R13" i="84"/>
  <c r="R20" i="84"/>
  <c r="R8" i="84"/>
  <c r="R24" i="84"/>
  <c r="L26" i="84"/>
  <c r="L10" i="84"/>
  <c r="L14" i="84"/>
  <c r="L18" i="84"/>
  <c r="L22" i="84"/>
  <c r="L7" i="84"/>
  <c r="L5" i="84"/>
  <c r="L17" i="84"/>
  <c r="L25" i="84"/>
  <c r="L11" i="84"/>
  <c r="L15" i="84"/>
  <c r="L19" i="84"/>
  <c r="L23" i="84"/>
  <c r="L8" i="84"/>
  <c r="L13" i="84"/>
  <c r="L21" i="84"/>
  <c r="L6" i="84"/>
  <c r="L12" i="84"/>
  <c r="L16" i="84"/>
  <c r="L20" i="84"/>
  <c r="L24" i="84"/>
  <c r="L9" i="84"/>
  <c r="R14" i="84"/>
  <c r="R5" i="84"/>
  <c r="R12" i="84"/>
  <c r="R22" i="84"/>
  <c r="R23" i="84"/>
  <c r="R9" i="84"/>
  <c r="R10" i="84"/>
  <c r="R15" i="84"/>
  <c r="R19" i="84"/>
  <c r="R25" i="84"/>
  <c r="R18" i="84"/>
  <c r="R11" i="84"/>
  <c r="R16" i="84"/>
  <c r="R21" i="84"/>
  <c r="M5" i="83" l="1"/>
  <c r="K6" i="83"/>
  <c r="L6" i="83"/>
  <c r="M6" i="83"/>
  <c r="K7" i="83"/>
  <c r="L7" i="83"/>
  <c r="M7" i="83"/>
  <c r="K8" i="83"/>
  <c r="L8" i="83"/>
  <c r="M8" i="83"/>
  <c r="K9" i="83"/>
  <c r="L9" i="83"/>
  <c r="M9" i="83"/>
  <c r="K10" i="83"/>
  <c r="L10" i="83"/>
  <c r="M10" i="83"/>
  <c r="K11" i="83"/>
  <c r="L11" i="83"/>
  <c r="M11" i="83"/>
  <c r="K12" i="83"/>
  <c r="L12" i="83"/>
  <c r="M12" i="83"/>
  <c r="K13" i="83"/>
  <c r="L13" i="83"/>
  <c r="M13" i="83"/>
  <c r="K14" i="83"/>
  <c r="L14" i="83"/>
  <c r="M14" i="83"/>
  <c r="K15" i="83"/>
  <c r="L15" i="83"/>
  <c r="M15" i="83"/>
  <c r="K16" i="83"/>
  <c r="L16" i="83"/>
  <c r="M16" i="83"/>
  <c r="K17" i="83"/>
  <c r="L17" i="83"/>
  <c r="M17" i="83"/>
  <c r="K18" i="83"/>
  <c r="L18" i="83"/>
  <c r="M18" i="83"/>
  <c r="K19" i="83"/>
  <c r="L19" i="83"/>
  <c r="M19" i="83"/>
  <c r="K20" i="83"/>
  <c r="L20" i="83"/>
  <c r="M20" i="83"/>
  <c r="K21" i="83"/>
  <c r="L21" i="83"/>
  <c r="M21" i="83"/>
  <c r="K22" i="83"/>
  <c r="L22" i="83"/>
  <c r="M22" i="83"/>
  <c r="K23" i="83"/>
  <c r="L23" i="83"/>
  <c r="M23" i="83"/>
  <c r="K24" i="83"/>
  <c r="L24" i="83"/>
  <c r="M24" i="83"/>
  <c r="L5" i="83"/>
  <c r="K5" i="83"/>
  <c r="L43" i="83"/>
  <c r="L39" i="83"/>
  <c r="K39" i="83"/>
  <c r="H25" i="83"/>
  <c r="G25" i="83"/>
  <c r="C25" i="83"/>
  <c r="B25" i="83"/>
  <c r="H43" i="83"/>
  <c r="C43" i="83"/>
  <c r="H39" i="83"/>
  <c r="G39" i="83"/>
  <c r="C39" i="83"/>
  <c r="B39" i="83"/>
  <c r="L25" i="83" l="1"/>
  <c r="K25" i="83"/>
  <c r="B11" i="82"/>
  <c r="C13" i="82"/>
  <c r="B13" i="82"/>
  <c r="B18" i="82" l="1"/>
  <c r="B14" i="82"/>
  <c r="B67" i="81"/>
  <c r="B83" i="81"/>
  <c r="B85" i="81" s="1"/>
  <c r="D72" i="81"/>
  <c r="C72" i="81"/>
  <c r="D71" i="81"/>
  <c r="B19" i="82" l="1"/>
  <c r="B64" i="81" l="1"/>
  <c r="B59" i="81"/>
  <c r="E16" i="81"/>
  <c r="E15" i="81" s="1"/>
  <c r="C64" i="81"/>
  <c r="E59" i="81"/>
  <c r="D59" i="81"/>
  <c r="D73" i="81" s="1"/>
  <c r="C59" i="81"/>
  <c r="C73" i="81" s="1"/>
  <c r="C56" i="81"/>
  <c r="D56" i="81"/>
  <c r="B56" i="81"/>
  <c r="D22" i="81"/>
  <c r="D23" i="81" s="1"/>
  <c r="C44" i="81"/>
  <c r="D44" i="81"/>
  <c r="B44" i="81"/>
  <c r="C45" i="81"/>
  <c r="D45" i="81"/>
  <c r="B45" i="81"/>
  <c r="C22" i="81"/>
  <c r="C23" i="81" s="1"/>
  <c r="C49" i="81" s="1"/>
  <c r="B22" i="81"/>
  <c r="D16" i="81"/>
  <c r="D15" i="81" s="1"/>
  <c r="C16" i="81"/>
  <c r="C15" i="81" s="1"/>
  <c r="B16" i="81"/>
  <c r="B15" i="81" s="1"/>
  <c r="C27" i="80"/>
  <c r="D27" i="80"/>
  <c r="E27" i="80"/>
  <c r="F27" i="80"/>
  <c r="B27" i="80"/>
  <c r="D85" i="81"/>
  <c r="C85" i="81"/>
  <c r="B87" i="81" s="1"/>
  <c r="B89" i="81" s="1"/>
  <c r="B23" i="81" l="1"/>
  <c r="B49" i="81" s="1"/>
  <c r="B28" i="81"/>
  <c r="B33" i="81" s="1"/>
  <c r="B47" i="81"/>
  <c r="C47" i="81"/>
  <c r="C87" i="81"/>
  <c r="C89" i="81" s="1"/>
  <c r="C46" i="81"/>
  <c r="C5" i="80"/>
  <c r="D5" i="80"/>
  <c r="E5" i="80"/>
  <c r="F5" i="80"/>
  <c r="B5" i="80"/>
  <c r="B36" i="80"/>
  <c r="B37" i="80" s="1"/>
  <c r="C28" i="80"/>
  <c r="D28" i="80"/>
  <c r="E28" i="80"/>
  <c r="F28" i="80"/>
  <c r="B28" i="80"/>
  <c r="C22" i="80"/>
  <c r="D22" i="80"/>
  <c r="E22" i="80"/>
  <c r="F22" i="80"/>
  <c r="G22" i="80"/>
  <c r="B22" i="80"/>
  <c r="C10" i="80"/>
  <c r="C11" i="80" s="1"/>
  <c r="C30" i="80" s="1"/>
  <c r="D10" i="80"/>
  <c r="E10" i="80"/>
  <c r="E11" i="80" s="1"/>
  <c r="E30" i="80" s="1"/>
  <c r="F10" i="80"/>
  <c r="F11" i="80" s="1"/>
  <c r="F30" i="80" s="1"/>
  <c r="B10" i="80"/>
  <c r="D11" i="80"/>
  <c r="D30" i="80" s="1"/>
  <c r="G22" i="79"/>
  <c r="G24" i="79" s="1"/>
  <c r="C29" i="79"/>
  <c r="D29" i="79"/>
  <c r="E29" i="79"/>
  <c r="F29" i="79"/>
  <c r="B29" i="79"/>
  <c r="C30" i="79"/>
  <c r="D30" i="79"/>
  <c r="E30" i="79"/>
  <c r="F30" i="79"/>
  <c r="B30" i="79"/>
  <c r="B64" i="79"/>
  <c r="B56" i="79"/>
  <c r="B57" i="79"/>
  <c r="F24" i="79"/>
  <c r="F31" i="79" s="1"/>
  <c r="F11" i="79"/>
  <c r="F12" i="79" s="1"/>
  <c r="F6" i="79"/>
  <c r="F7" i="79" s="1"/>
  <c r="E14" i="79"/>
  <c r="E24" i="79"/>
  <c r="E31" i="79" s="1"/>
  <c r="E11" i="79"/>
  <c r="E6" i="79"/>
  <c r="E7" i="79" s="1"/>
  <c r="D14" i="79"/>
  <c r="D24" i="79"/>
  <c r="D31" i="79" s="1"/>
  <c r="D11" i="79"/>
  <c r="D6" i="79"/>
  <c r="D7" i="79" s="1"/>
  <c r="C11" i="79"/>
  <c r="C12" i="79" s="1"/>
  <c r="B11" i="79"/>
  <c r="C14" i="79"/>
  <c r="C24" i="79"/>
  <c r="C31" i="79" s="1"/>
  <c r="C6" i="79"/>
  <c r="C7" i="79" s="1"/>
  <c r="B24" i="79"/>
  <c r="B6" i="79"/>
  <c r="B7" i="79" s="1"/>
  <c r="B11" i="80" l="1"/>
  <c r="H10" i="80"/>
  <c r="B58" i="79"/>
  <c r="B60" i="79" s="1"/>
  <c r="E29" i="80"/>
  <c r="E31" i="80" s="1"/>
  <c r="F29" i="80"/>
  <c r="F31" i="80" s="1"/>
  <c r="D29" i="80"/>
  <c r="D31" i="80" s="1"/>
  <c r="B41" i="80"/>
  <c r="B29" i="80"/>
  <c r="C29" i="80"/>
  <c r="C31" i="80" s="1"/>
  <c r="B46" i="81"/>
  <c r="B32" i="81"/>
  <c r="B34" i="81"/>
  <c r="B48" i="81"/>
  <c r="C48" i="81"/>
  <c r="B12" i="79"/>
  <c r="E12" i="79"/>
  <c r="B18" i="79"/>
  <c r="B32" i="79" s="1"/>
  <c r="B33" i="79" s="1"/>
  <c r="B44" i="79" s="1"/>
  <c r="C18" i="79"/>
  <c r="C32" i="79" s="1"/>
  <c r="C33" i="79" s="1"/>
  <c r="D12" i="79"/>
  <c r="B6" i="77"/>
  <c r="B3" i="77"/>
  <c r="B7" i="77" s="1"/>
  <c r="B30" i="80" l="1"/>
  <c r="B31" i="80" s="1"/>
  <c r="B42" i="80" s="1"/>
  <c r="H11" i="80"/>
  <c r="F18" i="79"/>
  <c r="F32" i="79" s="1"/>
  <c r="F33" i="79" s="1"/>
  <c r="E18" i="79"/>
  <c r="E32" i="79" s="1"/>
  <c r="E33" i="79" s="1"/>
  <c r="D18" i="79"/>
  <c r="D32" i="79" s="1"/>
  <c r="D33" i="79" s="1"/>
  <c r="B17" i="74"/>
  <c r="B21" i="74" s="1"/>
  <c r="D17" i="74"/>
  <c r="D21" i="74" s="1"/>
  <c r="E21" i="74"/>
  <c r="C17" i="74"/>
  <c r="C21" i="74" s="1"/>
  <c r="B38" i="74"/>
  <c r="C38" i="74"/>
  <c r="D38" i="74"/>
  <c r="E38" i="74"/>
  <c r="F38" i="74"/>
  <c r="G38" i="74"/>
  <c r="H21" i="74"/>
  <c r="H38" i="74"/>
  <c r="I38" i="74"/>
  <c r="I21" i="74"/>
  <c r="K38" i="74"/>
  <c r="J38" i="74"/>
  <c r="K21" i="74"/>
  <c r="F26" i="75" l="1"/>
  <c r="B51" i="75" s="1"/>
  <c r="F25" i="75"/>
  <c r="C50" i="75" s="1"/>
  <c r="H24" i="75"/>
  <c r="F24" i="75"/>
  <c r="C49" i="75" s="1"/>
  <c r="B49" i="75"/>
  <c r="F49" i="75"/>
  <c r="F23" i="75"/>
  <c r="C48" i="75" s="1"/>
  <c r="D48" i="75"/>
  <c r="F48" i="75"/>
  <c r="H22" i="75"/>
  <c r="I22" i="75" s="1"/>
  <c r="F22" i="75"/>
  <c r="C47" i="75" s="1"/>
  <c r="B47" i="75"/>
  <c r="F21" i="75"/>
  <c r="B46" i="75" s="1"/>
  <c r="L19" i="75"/>
  <c r="M19" i="75"/>
  <c r="N19" i="75"/>
  <c r="O19" i="75"/>
  <c r="L20" i="75"/>
  <c r="M20" i="75"/>
  <c r="N20" i="75"/>
  <c r="O20" i="75"/>
  <c r="P20" i="75"/>
  <c r="L21" i="75"/>
  <c r="M21" i="75"/>
  <c r="N21" i="75"/>
  <c r="O21" i="75"/>
  <c r="L22" i="75"/>
  <c r="M22" i="75"/>
  <c r="N22" i="75"/>
  <c r="O22" i="75"/>
  <c r="L23" i="75"/>
  <c r="M23" i="75"/>
  <c r="N23" i="75"/>
  <c r="O23" i="75"/>
  <c r="L24" i="75"/>
  <c r="M24" i="75"/>
  <c r="N24" i="75"/>
  <c r="O24" i="75"/>
  <c r="L25" i="75"/>
  <c r="M25" i="75"/>
  <c r="N25" i="75"/>
  <c r="O25" i="75"/>
  <c r="L26" i="75"/>
  <c r="M26" i="75"/>
  <c r="N26" i="75"/>
  <c r="O26" i="75"/>
  <c r="I20" i="75"/>
  <c r="F20" i="75"/>
  <c r="B45" i="75" s="1"/>
  <c r="C45" i="75"/>
  <c r="E45" i="75"/>
  <c r="F19" i="75"/>
  <c r="C44" i="75" s="1"/>
  <c r="L18" i="75"/>
  <c r="M18" i="75"/>
  <c r="N18" i="75"/>
  <c r="O18" i="75"/>
  <c r="F18" i="75"/>
  <c r="B43" i="75" s="1"/>
  <c r="B42" i="75"/>
  <c r="L17" i="75"/>
  <c r="M17" i="75"/>
  <c r="N17" i="75"/>
  <c r="O17" i="75"/>
  <c r="F17" i="75"/>
  <c r="P17" i="75" s="1"/>
  <c r="C42" i="75"/>
  <c r="D41" i="75"/>
  <c r="O16" i="75"/>
  <c r="N16" i="75"/>
  <c r="M16" i="75"/>
  <c r="L16" i="75"/>
  <c r="F16" i="75"/>
  <c r="F41" i="75" s="1"/>
  <c r="O15" i="75"/>
  <c r="N15" i="75"/>
  <c r="M15" i="75"/>
  <c r="L15" i="75"/>
  <c r="F15" i="75"/>
  <c r="D40" i="75" s="1"/>
  <c r="O14" i="75"/>
  <c r="N14" i="75"/>
  <c r="M14" i="75"/>
  <c r="L14" i="75"/>
  <c r="F14" i="75"/>
  <c r="F39" i="75" s="1"/>
  <c r="O13" i="75"/>
  <c r="N13" i="75"/>
  <c r="M13" i="75"/>
  <c r="L13" i="75"/>
  <c r="F13" i="75"/>
  <c r="D38" i="75" s="1"/>
  <c r="O12" i="75"/>
  <c r="N12" i="75"/>
  <c r="M12" i="75"/>
  <c r="L12" i="75"/>
  <c r="F12" i="75"/>
  <c r="F37" i="75" s="1"/>
  <c r="O11" i="75"/>
  <c r="N11" i="75"/>
  <c r="M11" i="75"/>
  <c r="L11" i="75"/>
  <c r="F11" i="75"/>
  <c r="D36" i="75" s="1"/>
  <c r="O10" i="75"/>
  <c r="N10" i="75"/>
  <c r="L10" i="75"/>
  <c r="F10" i="75"/>
  <c r="F35" i="75" s="1"/>
  <c r="R9" i="75"/>
  <c r="F9" i="75"/>
  <c r="C34" i="75" s="1"/>
  <c r="R8" i="75"/>
  <c r="R7" i="75"/>
  <c r="I7" i="75"/>
  <c r="R6" i="75"/>
  <c r="I6" i="75"/>
  <c r="L38" i="74"/>
  <c r="L21" i="74"/>
  <c r="B34" i="75" l="1"/>
  <c r="D37" i="75"/>
  <c r="E34" i="75"/>
  <c r="D39" i="75"/>
  <c r="E43" i="75"/>
  <c r="P18" i="75"/>
  <c r="H26" i="75"/>
  <c r="I26" i="75" s="1"/>
  <c r="D34" i="75"/>
  <c r="H10" i="75"/>
  <c r="R10" i="75" s="1"/>
  <c r="P10" i="75"/>
  <c r="D43" i="75"/>
  <c r="H18" i="75"/>
  <c r="D45" i="75"/>
  <c r="E46" i="75"/>
  <c r="F47" i="75"/>
  <c r="B48" i="75"/>
  <c r="I24" i="75"/>
  <c r="H25" i="75"/>
  <c r="H16" i="75"/>
  <c r="C43" i="75"/>
  <c r="H19" i="75"/>
  <c r="F50" i="75"/>
  <c r="E35" i="75"/>
  <c r="P19" i="75"/>
  <c r="C35" i="75"/>
  <c r="F34" i="75"/>
  <c r="D35" i="75"/>
  <c r="C37" i="75"/>
  <c r="C39" i="75"/>
  <c r="C41" i="75"/>
  <c r="H17" i="75"/>
  <c r="F43" i="75"/>
  <c r="H21" i="75"/>
  <c r="E48" i="75"/>
  <c r="H23" i="75"/>
  <c r="B50" i="75"/>
  <c r="D51" i="75"/>
  <c r="F51" i="75"/>
  <c r="E51" i="75"/>
  <c r="C51" i="75"/>
  <c r="P26" i="75"/>
  <c r="D50" i="75"/>
  <c r="E50" i="75"/>
  <c r="D49" i="75"/>
  <c r="P24" i="75"/>
  <c r="E49" i="75"/>
  <c r="P25" i="75"/>
  <c r="R22" i="75"/>
  <c r="P23" i="75"/>
  <c r="E47" i="75"/>
  <c r="P22" i="75"/>
  <c r="D47" i="75"/>
  <c r="D46" i="75"/>
  <c r="P21" i="75"/>
  <c r="C46" i="75"/>
  <c r="F46" i="75"/>
  <c r="F45" i="75"/>
  <c r="D44" i="75"/>
  <c r="F44" i="75"/>
  <c r="B44" i="75"/>
  <c r="E44" i="75"/>
  <c r="D42" i="75"/>
  <c r="F42" i="75"/>
  <c r="E42" i="75"/>
  <c r="E40" i="75"/>
  <c r="H11" i="75"/>
  <c r="B36" i="75"/>
  <c r="F36" i="75"/>
  <c r="P12" i="75"/>
  <c r="H13" i="75"/>
  <c r="B38" i="75"/>
  <c r="F38" i="75"/>
  <c r="P14" i="75"/>
  <c r="H15" i="75"/>
  <c r="B40" i="75"/>
  <c r="F40" i="75"/>
  <c r="P16" i="75"/>
  <c r="E36" i="75"/>
  <c r="E38" i="75"/>
  <c r="C36" i="75"/>
  <c r="E37" i="75"/>
  <c r="C38" i="75"/>
  <c r="E39" i="75"/>
  <c r="C40" i="75"/>
  <c r="E41" i="75"/>
  <c r="B35" i="75"/>
  <c r="P11" i="75"/>
  <c r="H12" i="75"/>
  <c r="B37" i="75"/>
  <c r="P13" i="75"/>
  <c r="H14" i="75"/>
  <c r="B39" i="75"/>
  <c r="P15" i="75"/>
  <c r="B41" i="75"/>
  <c r="R26" i="75" l="1"/>
  <c r="I25" i="75"/>
  <c r="R25" i="75"/>
  <c r="R21" i="75"/>
  <c r="I21" i="75"/>
  <c r="R19" i="75"/>
  <c r="I19" i="75"/>
  <c r="R20" i="75"/>
  <c r="R23" i="75"/>
  <c r="I23" i="75"/>
  <c r="I17" i="75"/>
  <c r="R17" i="75"/>
  <c r="R18" i="75"/>
  <c r="I18" i="75"/>
  <c r="R24" i="75"/>
  <c r="R16" i="75"/>
  <c r="R15" i="75"/>
  <c r="R13" i="75"/>
  <c r="R14" i="75"/>
  <c r="R11" i="75"/>
  <c r="R12" i="75"/>
  <c r="B46" i="71" l="1"/>
  <c r="B22" i="71"/>
  <c r="B28" i="71" s="1"/>
  <c r="B12" i="71"/>
  <c r="B17" i="71" s="1"/>
  <c r="B84" i="71" s="1"/>
  <c r="C46" i="71"/>
  <c r="C73" i="71" s="1"/>
  <c r="C22" i="71"/>
  <c r="C28" i="71" s="1"/>
  <c r="C12" i="71"/>
  <c r="C17" i="71" s="1"/>
  <c r="C84" i="71" s="1"/>
  <c r="D46" i="71"/>
  <c r="D73" i="71" s="1"/>
  <c r="D22" i="71"/>
  <c r="D28" i="71" s="1"/>
  <c r="D12" i="71"/>
  <c r="D17" i="71" s="1"/>
  <c r="D84" i="71" s="1"/>
  <c r="E46" i="71"/>
  <c r="E22" i="71"/>
  <c r="E28" i="71" s="1"/>
  <c r="E12" i="71"/>
  <c r="E17" i="71" s="1"/>
  <c r="E84" i="71" s="1"/>
  <c r="F46" i="71"/>
  <c r="F22" i="71"/>
  <c r="F28" i="71" s="1"/>
  <c r="F12" i="71"/>
  <c r="F17" i="71" s="1"/>
  <c r="F84" i="71" s="1"/>
  <c r="G46" i="71"/>
  <c r="G22" i="71"/>
  <c r="G28" i="71" s="1"/>
  <c r="G12" i="71"/>
  <c r="G17" i="71" s="1"/>
  <c r="G84" i="71" s="1"/>
  <c r="H46" i="71"/>
  <c r="H73" i="71" s="1"/>
  <c r="H22" i="71"/>
  <c r="H28" i="71" s="1"/>
  <c r="H12" i="71"/>
  <c r="H17" i="71" s="1"/>
  <c r="H84" i="71" s="1"/>
  <c r="I46" i="71"/>
  <c r="I22" i="71"/>
  <c r="I28" i="71" s="1"/>
  <c r="I12" i="71"/>
  <c r="I17" i="71" s="1"/>
  <c r="I84" i="71" s="1"/>
  <c r="J46" i="71"/>
  <c r="J22" i="71"/>
  <c r="J28" i="71" s="1"/>
  <c r="J12" i="71"/>
  <c r="J17" i="71" s="1"/>
  <c r="J84" i="71" s="1"/>
  <c r="K58" i="71"/>
  <c r="K46" i="71"/>
  <c r="K22" i="71"/>
  <c r="K28" i="71" s="1"/>
  <c r="K12" i="71"/>
  <c r="K17" i="71" s="1"/>
  <c r="K84" i="71" s="1"/>
  <c r="N69" i="71"/>
  <c r="N58" i="71"/>
  <c r="M58" i="71"/>
  <c r="L58" i="71"/>
  <c r="N46" i="71"/>
  <c r="M46" i="71"/>
  <c r="M72" i="71" s="1"/>
  <c r="M73" i="71" s="1"/>
  <c r="L46" i="71"/>
  <c r="M41" i="71"/>
  <c r="M69" i="71" s="1"/>
  <c r="M22" i="71"/>
  <c r="M28" i="71" s="1"/>
  <c r="L22" i="71"/>
  <c r="L28" i="71" s="1"/>
  <c r="M12" i="71"/>
  <c r="M17" i="71" s="1"/>
  <c r="M84" i="71" s="1"/>
  <c r="L12" i="71"/>
  <c r="L17" i="71" s="1"/>
  <c r="L84" i="71" s="1"/>
  <c r="F73" i="71" l="1"/>
  <c r="B73" i="71"/>
  <c r="L73" i="71"/>
  <c r="I73" i="71"/>
  <c r="E73" i="71"/>
  <c r="N48" i="71"/>
  <c r="N72" i="71"/>
  <c r="N73" i="71" s="1"/>
  <c r="G73" i="71"/>
  <c r="L34" i="71"/>
  <c r="J48" i="71"/>
  <c r="J95" i="71"/>
  <c r="G48" i="71"/>
  <c r="G95" i="71"/>
  <c r="E48" i="71"/>
  <c r="E95" i="71"/>
  <c r="D48" i="71"/>
  <c r="D95" i="71"/>
  <c r="B48" i="71"/>
  <c r="B95" i="71"/>
  <c r="L48" i="71"/>
  <c r="L95" i="71"/>
  <c r="K48" i="71"/>
  <c r="K95" i="71"/>
  <c r="I48" i="71"/>
  <c r="I95" i="71"/>
  <c r="H48" i="71"/>
  <c r="H95" i="71"/>
  <c r="F48" i="71"/>
  <c r="F95" i="71"/>
  <c r="C48" i="71"/>
  <c r="C95" i="71"/>
  <c r="M34" i="71"/>
  <c r="M48" i="71"/>
  <c r="M95" i="71"/>
  <c r="B34" i="71"/>
  <c r="C34" i="71"/>
  <c r="D34" i="71"/>
  <c r="E34" i="71"/>
  <c r="F34" i="71"/>
  <c r="G34" i="71"/>
  <c r="H34" i="71"/>
  <c r="I34" i="71"/>
  <c r="J34" i="71"/>
  <c r="K34" i="71"/>
  <c r="B14" i="70"/>
  <c r="D14" i="70"/>
  <c r="F14" i="70"/>
  <c r="H14" i="70"/>
  <c r="J14" i="70"/>
  <c r="T14" i="70"/>
  <c r="R14" i="70"/>
  <c r="P14" i="70"/>
  <c r="N14" i="70"/>
  <c r="L14" i="70"/>
  <c r="L77" i="71" l="1"/>
  <c r="L78" i="71"/>
  <c r="F77" i="71"/>
  <c r="F78" i="71"/>
  <c r="G77" i="71"/>
  <c r="G78" i="71"/>
  <c r="C78" i="71"/>
  <c r="K77" i="71"/>
  <c r="K78" i="71"/>
  <c r="E77" i="71"/>
  <c r="E78" i="71"/>
  <c r="J77" i="71"/>
  <c r="J78" i="71"/>
  <c r="I78" i="71"/>
  <c r="I77" i="71"/>
  <c r="D77" i="71"/>
  <c r="D78" i="71"/>
  <c r="H78" i="71"/>
  <c r="H77" i="71"/>
  <c r="I96" i="71"/>
  <c r="I88" i="71"/>
  <c r="D96" i="71"/>
  <c r="D88" i="71"/>
  <c r="M96" i="71"/>
  <c r="M88" i="71"/>
  <c r="F96" i="71"/>
  <c r="F88" i="71"/>
  <c r="L96" i="71"/>
  <c r="L88" i="71"/>
  <c r="G96" i="71"/>
  <c r="G88" i="71"/>
  <c r="C96" i="71"/>
  <c r="C88" i="71"/>
  <c r="H96" i="71"/>
  <c r="H88" i="71"/>
  <c r="K96" i="71"/>
  <c r="K88" i="71"/>
  <c r="B96" i="71"/>
  <c r="B88" i="71"/>
  <c r="E96" i="71"/>
  <c r="E88" i="71"/>
  <c r="J96" i="71"/>
  <c r="J88" i="71"/>
  <c r="E34" i="69"/>
  <c r="E36" i="69" s="1"/>
  <c r="E27" i="69"/>
  <c r="E24" i="69"/>
  <c r="E21" i="69"/>
  <c r="E20" i="69"/>
  <c r="E22" i="69" s="1"/>
  <c r="E25" i="69" s="1"/>
  <c r="E29" i="69" s="1"/>
  <c r="D1" i="69"/>
  <c r="E1" i="69"/>
  <c r="C1" i="69"/>
  <c r="D16" i="69"/>
  <c r="D17" i="69" s="1"/>
  <c r="D15" i="69"/>
  <c r="B12" i="69"/>
  <c r="J96" i="58" l="1"/>
  <c r="I96" i="58"/>
  <c r="H96" i="58"/>
  <c r="G96" i="58"/>
  <c r="F96" i="58"/>
  <c r="E96" i="58"/>
  <c r="D96" i="58"/>
  <c r="C96" i="58"/>
  <c r="B96" i="58"/>
  <c r="L90" i="58"/>
  <c r="J90" i="58"/>
  <c r="I90" i="58"/>
  <c r="H90" i="58"/>
  <c r="G90" i="58"/>
  <c r="F90" i="58"/>
  <c r="E90" i="58"/>
  <c r="D90" i="58"/>
  <c r="C90" i="58"/>
  <c r="B90" i="58"/>
  <c r="G75" i="58"/>
  <c r="G76" i="58" s="1"/>
  <c r="F75" i="58"/>
  <c r="E75" i="58"/>
  <c r="D75" i="58"/>
  <c r="L74" i="58"/>
  <c r="L78" i="58" s="1"/>
  <c r="J74" i="58"/>
  <c r="J95" i="58" s="1"/>
  <c r="I74" i="58"/>
  <c r="I91" i="58" s="1"/>
  <c r="H74" i="58"/>
  <c r="G74" i="58"/>
  <c r="F73" i="58"/>
  <c r="E73" i="58"/>
  <c r="D73" i="58"/>
  <c r="C73" i="58"/>
  <c r="B73" i="58"/>
  <c r="E72" i="58"/>
  <c r="E76" i="58" s="1"/>
  <c r="F72" i="58"/>
  <c r="D72" i="58"/>
  <c r="C72" i="58"/>
  <c r="C74" i="58" s="1"/>
  <c r="B72" i="58"/>
  <c r="H77" i="58" l="1"/>
  <c r="I77" i="58"/>
  <c r="B74" i="58"/>
  <c r="B95" i="58" s="1"/>
  <c r="H78" i="58"/>
  <c r="J91" i="58"/>
  <c r="J89" i="58"/>
  <c r="H95" i="58"/>
  <c r="G95" i="58"/>
  <c r="F76" i="58"/>
  <c r="E95" i="58" s="1"/>
  <c r="F74" i="58"/>
  <c r="E91" i="58"/>
  <c r="E89" i="58"/>
  <c r="E77" i="58"/>
  <c r="E78" i="58"/>
  <c r="B89" i="58"/>
  <c r="D76" i="58"/>
  <c r="C77" i="58" s="1"/>
  <c r="D74" i="58"/>
  <c r="C95" i="58"/>
  <c r="C78" i="58"/>
  <c r="C91" i="58"/>
  <c r="C89" i="58"/>
  <c r="G78" i="58"/>
  <c r="G91" i="58"/>
  <c r="J77" i="58"/>
  <c r="I78" i="58"/>
  <c r="G89" i="58"/>
  <c r="L89" i="58"/>
  <c r="L91" i="58"/>
  <c r="I95" i="58"/>
  <c r="E74" i="58"/>
  <c r="G77" i="58"/>
  <c r="J78" i="58"/>
  <c r="H89" i="58"/>
  <c r="H91" i="58"/>
  <c r="I89" i="58"/>
  <c r="O77" i="17"/>
  <c r="O133" i="17" s="1"/>
  <c r="R88" i="17"/>
  <c r="R85" i="17"/>
  <c r="R82" i="17"/>
  <c r="F178" i="8"/>
  <c r="F177" i="8"/>
  <c r="F190" i="8"/>
  <c r="B78" i="58" l="1"/>
  <c r="B77" i="58"/>
  <c r="B91" i="58"/>
  <c r="D77" i="58"/>
  <c r="D95" i="58"/>
  <c r="D78" i="58"/>
  <c r="D91" i="58"/>
  <c r="D89" i="58"/>
  <c r="F91" i="58"/>
  <c r="F95" i="58"/>
  <c r="F78" i="58"/>
  <c r="F77" i="58"/>
  <c r="F89" i="58"/>
  <c r="G9" i="58"/>
  <c r="F9" i="58"/>
  <c r="F7" i="58"/>
  <c r="E9" i="58"/>
  <c r="E7" i="58"/>
  <c r="D68" i="63"/>
  <c r="R6" i="60"/>
  <c r="R7" i="60"/>
  <c r="R8" i="60"/>
  <c r="R9" i="60"/>
  <c r="I7" i="60"/>
  <c r="D13" i="68"/>
  <c r="D15" i="68" s="1"/>
  <c r="C18" i="68"/>
  <c r="D18" i="68"/>
  <c r="B18" i="68"/>
  <c r="C13" i="68"/>
  <c r="C15" i="68" s="1"/>
  <c r="B13" i="68"/>
  <c r="B15" i="68" s="1"/>
  <c r="F15" i="66"/>
  <c r="C15" i="66"/>
  <c r="C11" i="66"/>
  <c r="B11" i="66"/>
  <c r="I10" i="66"/>
  <c r="H10" i="66"/>
  <c r="F11" i="66"/>
  <c r="E11" i="66"/>
  <c r="I12" i="66"/>
  <c r="H12" i="66"/>
  <c r="H8" i="66"/>
  <c r="H7" i="66"/>
  <c r="I7" i="66"/>
  <c r="I8" i="66"/>
  <c r="H9" i="66"/>
  <c r="I9" i="66"/>
  <c r="I6" i="66"/>
  <c r="H6" i="66"/>
  <c r="L30" i="49"/>
  <c r="L53" i="49" s="1"/>
  <c r="B45" i="48"/>
  <c r="B46" i="48" s="1"/>
  <c r="B44" i="48"/>
  <c r="B27" i="58"/>
  <c r="B30" i="58" s="1"/>
  <c r="B24" i="58"/>
  <c r="B7" i="58"/>
  <c r="B4" i="58"/>
  <c r="B6" i="58" s="1"/>
  <c r="B8" i="58" s="1"/>
  <c r="C7" i="58"/>
  <c r="B31" i="58"/>
  <c r="B20" i="58"/>
  <c r="C27" i="58"/>
  <c r="C30" i="58" s="1"/>
  <c r="C24" i="58"/>
  <c r="C20" i="58"/>
  <c r="C4" i="58"/>
  <c r="C6" i="58" s="1"/>
  <c r="C31" i="58"/>
  <c r="D27" i="58"/>
  <c r="D30" i="58" s="1"/>
  <c r="D7" i="58"/>
  <c r="D20" i="58"/>
  <c r="D4" i="58"/>
  <c r="D6" i="58" s="1"/>
  <c r="D31" i="58"/>
  <c r="D24" i="58"/>
  <c r="E31" i="58"/>
  <c r="E27" i="58"/>
  <c r="E30" i="58" s="1"/>
  <c r="F24" i="58"/>
  <c r="E4" i="58"/>
  <c r="E6" i="58" s="1"/>
  <c r="E24" i="58"/>
  <c r="E20" i="58"/>
  <c r="F59" i="64"/>
  <c r="B28" i="64"/>
  <c r="B30" i="64"/>
  <c r="B60" i="64"/>
  <c r="D58" i="64"/>
  <c r="F58" i="64" s="1"/>
  <c r="B58" i="64"/>
  <c r="D57" i="64"/>
  <c r="C57" i="64"/>
  <c r="D56" i="64"/>
  <c r="C56" i="64"/>
  <c r="B55" i="64"/>
  <c r="C54" i="64"/>
  <c r="B54" i="64"/>
  <c r="L40" i="64"/>
  <c r="L39" i="64"/>
  <c r="L38" i="64"/>
  <c r="L37" i="64"/>
  <c r="L36" i="64"/>
  <c r="L35" i="64"/>
  <c r="L34" i="64"/>
  <c r="L33" i="64"/>
  <c r="B33" i="64"/>
  <c r="L32" i="64"/>
  <c r="B32" i="64"/>
  <c r="L31" i="64"/>
  <c r="B31" i="64"/>
  <c r="M30" i="64"/>
  <c r="M29" i="64"/>
  <c r="K29" i="64"/>
  <c r="B27" i="64"/>
  <c r="B53" i="64" s="1"/>
  <c r="F53" i="64" s="1"/>
  <c r="B23" i="64"/>
  <c r="B13" i="64"/>
  <c r="B7" i="64"/>
  <c r="I11" i="66" l="1"/>
  <c r="H11" i="66"/>
  <c r="B19" i="58"/>
  <c r="B21" i="58"/>
  <c r="C8" i="58"/>
  <c r="C19" i="58" s="1"/>
  <c r="D8" i="58"/>
  <c r="E10" i="58"/>
  <c r="E21" i="58" s="1"/>
  <c r="D10" i="58"/>
  <c r="D21" i="58" s="1"/>
  <c r="E8" i="58"/>
  <c r="L41" i="64"/>
  <c r="B61" i="64"/>
  <c r="B34" i="64"/>
  <c r="M40" i="64"/>
  <c r="D55" i="64" s="1"/>
  <c r="C74" i="63"/>
  <c r="B74" i="63"/>
  <c r="B55" i="63"/>
  <c r="B41" i="63"/>
  <c r="B43" i="63" s="1"/>
  <c r="B69" i="63" s="1"/>
  <c r="B36" i="63"/>
  <c r="B68" i="63" s="1"/>
  <c r="B21" i="63"/>
  <c r="B26" i="63" s="1"/>
  <c r="B11" i="63"/>
  <c r="B16" i="63" s="1"/>
  <c r="B75" i="63" s="1"/>
  <c r="O16" i="60"/>
  <c r="N16" i="60"/>
  <c r="M16" i="60"/>
  <c r="L16" i="60"/>
  <c r="F16" i="60"/>
  <c r="U16" i="60" s="1"/>
  <c r="B70" i="63" l="1"/>
  <c r="E12" i="58"/>
  <c r="E19" i="58"/>
  <c r="B11" i="58"/>
  <c r="B23" i="58"/>
  <c r="B12" i="58"/>
  <c r="C21" i="58"/>
  <c r="C23" i="58"/>
  <c r="C12" i="58"/>
  <c r="C11" i="58"/>
  <c r="D12" i="58"/>
  <c r="D11" i="58"/>
  <c r="D23" i="58"/>
  <c r="D19" i="58"/>
  <c r="D54" i="64"/>
  <c r="F55" i="64"/>
  <c r="B64" i="64"/>
  <c r="B85" i="64" s="1"/>
  <c r="C53" i="64"/>
  <c r="C61" i="64" s="1"/>
  <c r="C72" i="64" s="1"/>
  <c r="C73" i="64" s="1"/>
  <c r="B28" i="63"/>
  <c r="W16" i="60"/>
  <c r="Y16" i="60"/>
  <c r="X16" i="60"/>
  <c r="V16" i="60"/>
  <c r="D55" i="63"/>
  <c r="C55" i="63"/>
  <c r="D41" i="63"/>
  <c r="D43" i="63" s="1"/>
  <c r="C41" i="63"/>
  <c r="C43" i="63" s="1"/>
  <c r="C21" i="63"/>
  <c r="C26" i="63" s="1"/>
  <c r="C11" i="63"/>
  <c r="C16" i="63" s="1"/>
  <c r="C75" i="63" s="1"/>
  <c r="C36" i="63"/>
  <c r="C68" i="63" s="1"/>
  <c r="C28" i="63" l="1"/>
  <c r="F54" i="64"/>
  <c r="C64" i="64"/>
  <c r="C85" i="64" s="1"/>
  <c r="D53" i="64"/>
  <c r="B86" i="64"/>
  <c r="B84" i="64"/>
  <c r="B83" i="64"/>
  <c r="B82" i="64"/>
  <c r="B81" i="64"/>
  <c r="B80" i="64"/>
  <c r="B103" i="49"/>
  <c r="B105" i="49" s="1"/>
  <c r="B107" i="49" s="1"/>
  <c r="E103" i="49"/>
  <c r="E105" i="49" s="1"/>
  <c r="E107" i="49" s="1"/>
  <c r="F107" i="49"/>
  <c r="G107" i="49"/>
  <c r="H107" i="49"/>
  <c r="I107" i="49"/>
  <c r="J107" i="49"/>
  <c r="K107" i="49"/>
  <c r="L107" i="49"/>
  <c r="D103" i="49"/>
  <c r="D105" i="49" s="1"/>
  <c r="D107" i="49" s="1"/>
  <c r="C103" i="49"/>
  <c r="C105" i="49" s="1"/>
  <c r="C107" i="49" s="1"/>
  <c r="C86" i="49"/>
  <c r="K84" i="49"/>
  <c r="L84" i="49"/>
  <c r="D85" i="49"/>
  <c r="E85" i="49"/>
  <c r="F85" i="49"/>
  <c r="G85" i="49"/>
  <c r="H85" i="49"/>
  <c r="I85" i="49"/>
  <c r="J85" i="49"/>
  <c r="K85" i="49"/>
  <c r="L85" i="49"/>
  <c r="D87" i="49"/>
  <c r="E87" i="49"/>
  <c r="F87" i="49"/>
  <c r="G87" i="49"/>
  <c r="H87" i="49"/>
  <c r="I87" i="49"/>
  <c r="J87" i="49"/>
  <c r="K87" i="49"/>
  <c r="L87" i="49"/>
  <c r="C85" i="49"/>
  <c r="C87" i="49"/>
  <c r="B87" i="49"/>
  <c r="B86" i="49"/>
  <c r="B85" i="49"/>
  <c r="D72" i="64" l="1"/>
  <c r="D73" i="64" s="1"/>
  <c r="B87" i="64"/>
  <c r="D64" i="64"/>
  <c r="C86" i="64"/>
  <c r="C81" i="64"/>
  <c r="C84" i="64"/>
  <c r="C83" i="64"/>
  <c r="C80" i="64"/>
  <c r="C82" i="64"/>
  <c r="L15" i="60"/>
  <c r="M15" i="60"/>
  <c r="N15" i="60"/>
  <c r="O15" i="60"/>
  <c r="F15" i="60"/>
  <c r="H16" i="60" l="1"/>
  <c r="P16" i="60"/>
  <c r="V15" i="60"/>
  <c r="Y15" i="60"/>
  <c r="U15" i="60"/>
  <c r="X15" i="60"/>
  <c r="W15" i="60"/>
  <c r="D80" i="64"/>
  <c r="D85" i="64"/>
  <c r="C87" i="64"/>
  <c r="D86" i="64"/>
  <c r="D82" i="64"/>
  <c r="D83" i="64"/>
  <c r="D84" i="64"/>
  <c r="D81" i="64"/>
  <c r="D87" i="64" l="1"/>
  <c r="L11" i="60" l="1"/>
  <c r="M11" i="60"/>
  <c r="N11" i="60"/>
  <c r="O11" i="60"/>
  <c r="L12" i="60"/>
  <c r="M12" i="60"/>
  <c r="N12" i="60"/>
  <c r="O12" i="60"/>
  <c r="L13" i="60"/>
  <c r="M13" i="60"/>
  <c r="N13" i="60"/>
  <c r="O13" i="60"/>
  <c r="L14" i="60"/>
  <c r="M14" i="60"/>
  <c r="N14" i="60"/>
  <c r="O14" i="60"/>
  <c r="N10" i="60"/>
  <c r="O10" i="60"/>
  <c r="L10" i="60"/>
  <c r="F14" i="60"/>
  <c r="P15" i="60" l="1"/>
  <c r="H15" i="60"/>
  <c r="X14" i="60"/>
  <c r="W14" i="60"/>
  <c r="Y14" i="60"/>
  <c r="U14" i="60"/>
  <c r="V14" i="60"/>
  <c r="F10" i="60"/>
  <c r="F11" i="60"/>
  <c r="F12" i="60"/>
  <c r="H12" i="60" s="1"/>
  <c r="F13" i="60"/>
  <c r="F9" i="60"/>
  <c r="R16" i="60" l="1"/>
  <c r="H10" i="60"/>
  <c r="N88" i="99" s="1"/>
  <c r="N89" i="99" s="1"/>
  <c r="H11" i="60"/>
  <c r="U9" i="60"/>
  <c r="W9" i="60"/>
  <c r="X9" i="60"/>
  <c r="Y9" i="60"/>
  <c r="V10" i="60"/>
  <c r="U10" i="60"/>
  <c r="Y10" i="60"/>
  <c r="W10" i="60"/>
  <c r="P10" i="60"/>
  <c r="X10" i="60"/>
  <c r="U11" i="60"/>
  <c r="Y11" i="60"/>
  <c r="X11" i="60"/>
  <c r="V11" i="60"/>
  <c r="P11" i="60"/>
  <c r="W11" i="60"/>
  <c r="W13" i="60"/>
  <c r="V13" i="60"/>
  <c r="P13" i="60"/>
  <c r="X13" i="60"/>
  <c r="U13" i="60"/>
  <c r="Y13" i="60"/>
  <c r="P14" i="60"/>
  <c r="X12" i="60"/>
  <c r="W12" i="60"/>
  <c r="U12" i="60"/>
  <c r="Y12" i="60"/>
  <c r="V12" i="60"/>
  <c r="P12" i="60"/>
  <c r="H13" i="60"/>
  <c r="H14" i="60"/>
  <c r="R15" i="60" s="1"/>
  <c r="G10" i="58"/>
  <c r="G8" i="58"/>
  <c r="H8" i="58"/>
  <c r="F27" i="58"/>
  <c r="F30" i="58" s="1"/>
  <c r="F4" i="58"/>
  <c r="F6" i="58" s="1"/>
  <c r="F31" i="58"/>
  <c r="F20" i="58"/>
  <c r="G31" i="58"/>
  <c r="G30" i="58"/>
  <c r="G24" i="58"/>
  <c r="G20" i="58"/>
  <c r="R11" i="60" l="1"/>
  <c r="H12" i="58"/>
  <c r="H21" i="58"/>
  <c r="G19" i="58"/>
  <c r="G21" i="58"/>
  <c r="R10" i="60"/>
  <c r="R12" i="60"/>
  <c r="R13" i="60"/>
  <c r="R14" i="60"/>
  <c r="F8" i="58"/>
  <c r="F10" i="58"/>
  <c r="F23" i="58" s="1"/>
  <c r="H31" i="58"/>
  <c r="H30" i="58"/>
  <c r="H24" i="58"/>
  <c r="H20" i="58"/>
  <c r="F11" i="58" l="1"/>
  <c r="F21" i="58"/>
  <c r="F19" i="58"/>
  <c r="E23" i="58"/>
  <c r="E11" i="58"/>
  <c r="F12" i="58"/>
  <c r="H19" i="58"/>
  <c r="I31" i="58"/>
  <c r="I30" i="58"/>
  <c r="I24" i="58"/>
  <c r="I20" i="58"/>
  <c r="I8" i="58"/>
  <c r="I19" i="58" l="1"/>
  <c r="I21" i="58"/>
  <c r="I12" i="58"/>
  <c r="H11" i="58"/>
  <c r="H23" i="58"/>
  <c r="J31" i="58" l="1"/>
  <c r="L31" i="58"/>
  <c r="J30" i="58"/>
  <c r="L30" i="58"/>
  <c r="J20" i="58"/>
  <c r="L20" i="58"/>
  <c r="J24" i="58"/>
  <c r="J8" i="58"/>
  <c r="L8" i="58"/>
  <c r="J12" i="58" l="1"/>
  <c r="J11" i="58"/>
  <c r="J21" i="58"/>
  <c r="I11" i="58"/>
  <c r="L19" i="58"/>
  <c r="L21" i="58"/>
  <c r="L12" i="58"/>
  <c r="J23" i="58"/>
  <c r="I23" i="58"/>
  <c r="J19" i="58"/>
  <c r="G7" i="57"/>
  <c r="I7" i="57"/>
  <c r="L7" i="57"/>
  <c r="K8" i="57"/>
  <c r="K9" i="57" s="1"/>
  <c r="K10" i="57" s="1"/>
  <c r="K11" i="57" s="1"/>
  <c r="K12" i="57" s="1"/>
  <c r="K13" i="57" s="1"/>
  <c r="K14" i="57" s="1"/>
  <c r="K15" i="57" s="1"/>
  <c r="K16" i="57" s="1"/>
  <c r="K17" i="57" s="1"/>
  <c r="E8" i="57"/>
  <c r="F8" i="57"/>
  <c r="F9" i="57" s="1"/>
  <c r="F10" i="57" s="1"/>
  <c r="F11" i="57" s="1"/>
  <c r="F12" i="57" s="1"/>
  <c r="F13" i="57" s="1"/>
  <c r="F14" i="57" s="1"/>
  <c r="F15" i="57" s="1"/>
  <c r="F16" i="57" s="1"/>
  <c r="F17" i="57" s="1"/>
  <c r="C8" i="57"/>
  <c r="C9" i="57" s="1"/>
  <c r="B8" i="57"/>
  <c r="B9" i="57" s="1"/>
  <c r="G8" i="57" l="1"/>
  <c r="C10" i="57"/>
  <c r="G9" i="57"/>
  <c r="E9" i="57"/>
  <c r="H8" i="57"/>
  <c r="I8" i="57" s="1"/>
  <c r="L8" i="57"/>
  <c r="B10" i="57"/>
  <c r="B11" i="57" s="1"/>
  <c r="E10" i="57" l="1"/>
  <c r="H9" i="57"/>
  <c r="I9" i="57" s="1"/>
  <c r="L9" i="57"/>
  <c r="C11" i="57"/>
  <c r="G10" i="57"/>
  <c r="E11" i="57" l="1"/>
  <c r="H10" i="57"/>
  <c r="I10" i="57" s="1"/>
  <c r="L10" i="57"/>
  <c r="C12" i="57"/>
  <c r="G11" i="57"/>
  <c r="B12" i="57"/>
  <c r="B13" i="57" l="1"/>
  <c r="E12" i="57"/>
  <c r="H11" i="57"/>
  <c r="I11" i="57" s="1"/>
  <c r="L11" i="57"/>
  <c r="C13" i="57"/>
  <c r="G12" i="57"/>
  <c r="F57" i="64" l="1"/>
  <c r="C14" i="57"/>
  <c r="G13" i="57"/>
  <c r="E13" i="57"/>
  <c r="H12" i="57"/>
  <c r="I12" i="57" s="1"/>
  <c r="L12" i="57"/>
  <c r="B14" i="57"/>
  <c r="F60" i="64"/>
  <c r="C11" i="55"/>
  <c r="C26" i="55"/>
  <c r="D26" i="55" s="1"/>
  <c r="B26" i="55"/>
  <c r="D27" i="55"/>
  <c r="B28" i="55"/>
  <c r="D25" i="55"/>
  <c r="D23" i="55"/>
  <c r="D24" i="55"/>
  <c r="D20" i="55"/>
  <c r="D19" i="55"/>
  <c r="D7" i="55"/>
  <c r="D8" i="55"/>
  <c r="D9" i="55"/>
  <c r="D10" i="55"/>
  <c r="D12" i="55"/>
  <c r="D6" i="55"/>
  <c r="C13" i="55"/>
  <c r="C1" i="55" s="1"/>
  <c r="B11" i="55"/>
  <c r="B13" i="55" s="1"/>
  <c r="B1" i="55" s="1"/>
  <c r="D1" i="55" l="1"/>
  <c r="B15" i="57"/>
  <c r="D13" i="55"/>
  <c r="D11" i="55"/>
  <c r="E14" i="57"/>
  <c r="H13" i="57"/>
  <c r="I13" i="57" s="1"/>
  <c r="L13" i="57"/>
  <c r="B16" i="57"/>
  <c r="C15" i="57"/>
  <c r="G14" i="57"/>
  <c r="C28" i="55"/>
  <c r="D28" i="55" s="1"/>
  <c r="F56" i="64" l="1"/>
  <c r="C16" i="57"/>
  <c r="G15" i="57"/>
  <c r="E15" i="57"/>
  <c r="H14" i="57"/>
  <c r="I14" i="57" s="1"/>
  <c r="L14" i="57"/>
  <c r="B54" i="53"/>
  <c r="B45" i="53"/>
  <c r="B41" i="53"/>
  <c r="B36" i="53"/>
  <c r="B28" i="53"/>
  <c r="B23" i="53"/>
  <c r="B17" i="53"/>
  <c r="C54" i="53"/>
  <c r="C45" i="53"/>
  <c r="C41" i="53"/>
  <c r="C36" i="53"/>
  <c r="C28" i="53"/>
  <c r="C23" i="53"/>
  <c r="C17" i="53"/>
  <c r="D54" i="53"/>
  <c r="D45" i="53"/>
  <c r="D41" i="53"/>
  <c r="D36" i="53"/>
  <c r="D28" i="53"/>
  <c r="D23" i="53"/>
  <c r="D17" i="53"/>
  <c r="E54" i="53"/>
  <c r="E45" i="53"/>
  <c r="E41" i="53"/>
  <c r="E36" i="53"/>
  <c r="E28" i="53"/>
  <c r="E23" i="53"/>
  <c r="E17" i="53"/>
  <c r="F54" i="53"/>
  <c r="F45" i="53"/>
  <c r="F41" i="53"/>
  <c r="F36" i="53"/>
  <c r="F28" i="53"/>
  <c r="F23" i="53"/>
  <c r="F17" i="53"/>
  <c r="G36" i="53"/>
  <c r="G54" i="53"/>
  <c r="G45" i="53"/>
  <c r="G41" i="53"/>
  <c r="G28" i="53"/>
  <c r="G23" i="53"/>
  <c r="G17" i="53"/>
  <c r="H54" i="53"/>
  <c r="H45" i="53"/>
  <c r="H41" i="53"/>
  <c r="H28" i="53"/>
  <c r="H23" i="53"/>
  <c r="H17" i="53"/>
  <c r="B68" i="52"/>
  <c r="B57" i="52"/>
  <c r="B51" i="52"/>
  <c r="B44" i="52"/>
  <c r="B27" i="52"/>
  <c r="B31" i="52" s="1"/>
  <c r="B18" i="52"/>
  <c r="C68" i="52"/>
  <c r="C57" i="52"/>
  <c r="C51" i="52"/>
  <c r="C44" i="52"/>
  <c r="C27" i="52"/>
  <c r="C31" i="52" s="1"/>
  <c r="C18" i="52"/>
  <c r="E51" i="52"/>
  <c r="F51" i="52"/>
  <c r="G51" i="52"/>
  <c r="H51" i="52"/>
  <c r="D51" i="52"/>
  <c r="E27" i="52"/>
  <c r="E31" i="52" s="1"/>
  <c r="F27" i="52"/>
  <c r="F31" i="52" s="1"/>
  <c r="G27" i="52"/>
  <c r="G31" i="52" s="1"/>
  <c r="H27" i="52"/>
  <c r="D27" i="52"/>
  <c r="D31" i="52" s="1"/>
  <c r="D68" i="52"/>
  <c r="D57" i="52"/>
  <c r="D44" i="52"/>
  <c r="D18" i="52"/>
  <c r="E68" i="52"/>
  <c r="E57" i="52"/>
  <c r="E44" i="52"/>
  <c r="E18" i="52"/>
  <c r="E69" i="52" s="1"/>
  <c r="E70" i="52" s="1"/>
  <c r="F68" i="52"/>
  <c r="F57" i="52"/>
  <c r="F44" i="52"/>
  <c r="F18" i="52"/>
  <c r="F69" i="52" s="1"/>
  <c r="F70" i="52" s="1"/>
  <c r="G68" i="52"/>
  <c r="G57" i="52"/>
  <c r="G44" i="52"/>
  <c r="G18" i="52"/>
  <c r="H68" i="52"/>
  <c r="H57" i="52"/>
  <c r="H44" i="52"/>
  <c r="H18" i="52"/>
  <c r="H69" i="52" s="1"/>
  <c r="H70" i="52" s="1"/>
  <c r="E72" i="64" l="1"/>
  <c r="E64" i="64"/>
  <c r="E73" i="64"/>
  <c r="F61" i="64"/>
  <c r="F64" i="64" s="1"/>
  <c r="E16" i="57"/>
  <c r="H15" i="57"/>
  <c r="I15" i="57" s="1"/>
  <c r="L15" i="57"/>
  <c r="C17" i="57"/>
  <c r="G17" i="57" s="1"/>
  <c r="G16" i="57"/>
  <c r="B17" i="57"/>
  <c r="B20" i="57" s="1"/>
  <c r="B55" i="53"/>
  <c r="B57" i="53" s="1"/>
  <c r="B59" i="53" s="1"/>
  <c r="B29" i="53"/>
  <c r="B31" i="53" s="1"/>
  <c r="C55" i="53"/>
  <c r="C57" i="53" s="1"/>
  <c r="C59" i="53" s="1"/>
  <c r="C29" i="53"/>
  <c r="C31" i="53" s="1"/>
  <c r="H55" i="53"/>
  <c r="H57" i="53" s="1"/>
  <c r="H59" i="53" s="1"/>
  <c r="H29" i="53"/>
  <c r="H31" i="53" s="1"/>
  <c r="D55" i="53"/>
  <c r="D57" i="53" s="1"/>
  <c r="D59" i="53" s="1"/>
  <c r="D29" i="53"/>
  <c r="D31" i="53" s="1"/>
  <c r="E55" i="53"/>
  <c r="E57" i="53" s="1"/>
  <c r="E59" i="53" s="1"/>
  <c r="E29" i="53"/>
  <c r="E31" i="53" s="1"/>
  <c r="F55" i="53"/>
  <c r="F57" i="53" s="1"/>
  <c r="F59" i="53" s="1"/>
  <c r="F29" i="53"/>
  <c r="F31" i="53" s="1"/>
  <c r="G55" i="53"/>
  <c r="G57" i="53" s="1"/>
  <c r="G59" i="53" s="1"/>
  <c r="G29" i="53"/>
  <c r="G31" i="53" s="1"/>
  <c r="H31" i="52"/>
  <c r="H32" i="52" s="1"/>
  <c r="B32" i="52"/>
  <c r="B69" i="52"/>
  <c r="B70" i="52" s="1"/>
  <c r="B58" i="52"/>
  <c r="B60" i="52" s="1"/>
  <c r="C32" i="52"/>
  <c r="C69" i="52"/>
  <c r="C70" i="52" s="1"/>
  <c r="C58" i="52"/>
  <c r="C60" i="52" s="1"/>
  <c r="D32" i="52"/>
  <c r="E32" i="52"/>
  <c r="D69" i="52"/>
  <c r="D70" i="52" s="1"/>
  <c r="D58" i="52"/>
  <c r="D60" i="52" s="1"/>
  <c r="E58" i="52"/>
  <c r="E60" i="52" s="1"/>
  <c r="G32" i="52"/>
  <c r="F32" i="52"/>
  <c r="F58" i="52"/>
  <c r="F60" i="52" s="1"/>
  <c r="G69" i="52"/>
  <c r="G70" i="52" s="1"/>
  <c r="G58" i="52"/>
  <c r="G60" i="52" s="1"/>
  <c r="H58" i="52"/>
  <c r="H60" i="52" s="1"/>
  <c r="B97" i="51"/>
  <c r="B96" i="51"/>
  <c r="B77" i="51"/>
  <c r="B60" i="51"/>
  <c r="B54" i="51"/>
  <c r="B38" i="51"/>
  <c r="B33" i="51"/>
  <c r="B20" i="51"/>
  <c r="B24" i="51" s="1"/>
  <c r="C97" i="51"/>
  <c r="C96" i="51"/>
  <c r="C87" i="51"/>
  <c r="C77" i="51"/>
  <c r="C60" i="51"/>
  <c r="C54" i="51"/>
  <c r="C38" i="51"/>
  <c r="C33" i="51"/>
  <c r="C20" i="51"/>
  <c r="C24" i="51" s="1"/>
  <c r="D97" i="51"/>
  <c r="D96" i="51"/>
  <c r="D87" i="51"/>
  <c r="D77" i="51"/>
  <c r="D60" i="51"/>
  <c r="D54" i="51"/>
  <c r="D38" i="51"/>
  <c r="D33" i="51"/>
  <c r="D20" i="51"/>
  <c r="D24" i="51" s="1"/>
  <c r="E97" i="51"/>
  <c r="E96" i="51"/>
  <c r="E87" i="51"/>
  <c r="E77" i="51"/>
  <c r="E60" i="51"/>
  <c r="E54" i="51"/>
  <c r="E38" i="51"/>
  <c r="E33" i="51"/>
  <c r="E20" i="51"/>
  <c r="E24" i="51" s="1"/>
  <c r="H8" i="51"/>
  <c r="H20" i="51" s="1"/>
  <c r="H24" i="51" s="1"/>
  <c r="F97" i="51"/>
  <c r="F96" i="51"/>
  <c r="F87" i="51"/>
  <c r="F77" i="51"/>
  <c r="F60" i="51"/>
  <c r="F54" i="51"/>
  <c r="F38" i="51"/>
  <c r="F33" i="51"/>
  <c r="F20" i="51"/>
  <c r="F24" i="51" s="1"/>
  <c r="G20" i="51"/>
  <c r="G24" i="51" s="1"/>
  <c r="G97" i="51"/>
  <c r="G96" i="51"/>
  <c r="G87" i="51"/>
  <c r="G77" i="51"/>
  <c r="G60" i="51"/>
  <c r="G54" i="51"/>
  <c r="G38" i="51"/>
  <c r="G33" i="51"/>
  <c r="H87" i="51"/>
  <c r="H77" i="51"/>
  <c r="H60" i="51"/>
  <c r="H54" i="51"/>
  <c r="H38" i="51"/>
  <c r="H101" i="51" s="1"/>
  <c r="H33" i="51"/>
  <c r="B80" i="50"/>
  <c r="B74" i="50"/>
  <c r="B55" i="50"/>
  <c r="B49" i="50"/>
  <c r="B43" i="50"/>
  <c r="B26" i="50"/>
  <c r="B21" i="50"/>
  <c r="B15" i="50"/>
  <c r="C80" i="50"/>
  <c r="C74" i="50"/>
  <c r="C55" i="50"/>
  <c r="C49" i="50"/>
  <c r="C43" i="50"/>
  <c r="C26" i="50"/>
  <c r="C96" i="50" s="1"/>
  <c r="C21" i="50"/>
  <c r="C15" i="50"/>
  <c r="D80" i="50"/>
  <c r="D74" i="50"/>
  <c r="D55" i="50"/>
  <c r="D49" i="50"/>
  <c r="D43" i="50"/>
  <c r="D26" i="50"/>
  <c r="D96" i="50" s="1"/>
  <c r="D21" i="50"/>
  <c r="D15" i="50"/>
  <c r="E80" i="50"/>
  <c r="E74" i="50"/>
  <c r="E55" i="50"/>
  <c r="E49" i="50"/>
  <c r="E43" i="50"/>
  <c r="E26" i="50"/>
  <c r="E96" i="50" s="1"/>
  <c r="E21" i="50"/>
  <c r="E15" i="50"/>
  <c r="F80" i="50"/>
  <c r="F74" i="50"/>
  <c r="F55" i="50"/>
  <c r="F49" i="50"/>
  <c r="F43" i="50"/>
  <c r="F26" i="50"/>
  <c r="F96" i="50" s="1"/>
  <c r="F21" i="50"/>
  <c r="F15" i="50"/>
  <c r="G80" i="50"/>
  <c r="G74" i="50"/>
  <c r="G55" i="50"/>
  <c r="G49" i="50"/>
  <c r="G43" i="50"/>
  <c r="G26" i="50"/>
  <c r="G21" i="50"/>
  <c r="G15" i="50"/>
  <c r="H74" i="50"/>
  <c r="H55" i="50"/>
  <c r="H49" i="50"/>
  <c r="H43" i="50"/>
  <c r="H26" i="50"/>
  <c r="H21" i="50"/>
  <c r="H15" i="50"/>
  <c r="G96" i="50" l="1"/>
  <c r="G85" i="50"/>
  <c r="B96" i="50"/>
  <c r="B85" i="50"/>
  <c r="E82" i="64"/>
  <c r="E84" i="64"/>
  <c r="E83" i="64"/>
  <c r="E81" i="64"/>
  <c r="B61" i="51"/>
  <c r="B65" i="51" s="1"/>
  <c r="B67" i="51" s="1"/>
  <c r="B70" i="51" s="1"/>
  <c r="B92" i="51"/>
  <c r="G61" i="51"/>
  <c r="G65" i="51" s="1"/>
  <c r="G67" i="51" s="1"/>
  <c r="G70" i="51" s="1"/>
  <c r="G92" i="51"/>
  <c r="E61" i="51"/>
  <c r="E65" i="51" s="1"/>
  <c r="E67" i="51" s="1"/>
  <c r="E70" i="51" s="1"/>
  <c r="E92" i="51"/>
  <c r="D61" i="51"/>
  <c r="D65" i="51" s="1"/>
  <c r="D67" i="51" s="1"/>
  <c r="D70" i="51" s="1"/>
  <c r="D92" i="51"/>
  <c r="H61" i="51"/>
  <c r="H65" i="51" s="1"/>
  <c r="H67" i="51" s="1"/>
  <c r="H70" i="51" s="1"/>
  <c r="H92" i="51"/>
  <c r="F61" i="51"/>
  <c r="F65" i="51" s="1"/>
  <c r="F67" i="51" s="1"/>
  <c r="F70" i="51" s="1"/>
  <c r="F92" i="51"/>
  <c r="C61" i="51"/>
  <c r="C65" i="51" s="1"/>
  <c r="C67" i="51" s="1"/>
  <c r="C70" i="51" s="1"/>
  <c r="C92" i="51"/>
  <c r="C88" i="51"/>
  <c r="F85" i="64"/>
  <c r="F82" i="64"/>
  <c r="E39" i="51"/>
  <c r="D101" i="51"/>
  <c r="B101" i="51"/>
  <c r="E80" i="64"/>
  <c r="E85" i="64"/>
  <c r="F80" i="64"/>
  <c r="F86" i="64"/>
  <c r="F84" i="64"/>
  <c r="F81" i="64"/>
  <c r="F83" i="64"/>
  <c r="E17" i="57"/>
  <c r="H16" i="57"/>
  <c r="I16" i="57" s="1"/>
  <c r="L16" i="57"/>
  <c r="B39" i="51"/>
  <c r="B40" i="51" s="1"/>
  <c r="C75" i="50"/>
  <c r="H27" i="50"/>
  <c r="H34" i="50" s="1"/>
  <c r="E74" i="52"/>
  <c r="E75" i="52"/>
  <c r="B75" i="52"/>
  <c r="B74" i="52"/>
  <c r="F74" i="52"/>
  <c r="F75" i="52"/>
  <c r="D75" i="52"/>
  <c r="D74" i="52"/>
  <c r="C74" i="52"/>
  <c r="C75" i="52"/>
  <c r="G74" i="52"/>
  <c r="G75" i="52"/>
  <c r="B88" i="51"/>
  <c r="C101" i="51"/>
  <c r="C39" i="51"/>
  <c r="C40" i="51" s="1"/>
  <c r="D39" i="51"/>
  <c r="D40" i="51" s="1"/>
  <c r="D88" i="51"/>
  <c r="E101" i="51"/>
  <c r="E88" i="51"/>
  <c r="E40" i="51"/>
  <c r="F88" i="51"/>
  <c r="F101" i="51"/>
  <c r="F39" i="51"/>
  <c r="F40" i="51" s="1"/>
  <c r="G101" i="51"/>
  <c r="H88" i="51"/>
  <c r="H39" i="51"/>
  <c r="H40" i="51" s="1"/>
  <c r="G88" i="51"/>
  <c r="G39" i="51"/>
  <c r="G40" i="51" s="1"/>
  <c r="G75" i="50"/>
  <c r="F75" i="50"/>
  <c r="E75" i="50"/>
  <c r="D75" i="50"/>
  <c r="G27" i="50"/>
  <c r="G34" i="50" s="1"/>
  <c r="C27" i="50"/>
  <c r="C34" i="50" s="1"/>
  <c r="B75" i="50"/>
  <c r="B27" i="50"/>
  <c r="B34" i="50" s="1"/>
  <c r="B56" i="50"/>
  <c r="C56" i="50"/>
  <c r="C85" i="50"/>
  <c r="D27" i="50"/>
  <c r="D34" i="50" s="1"/>
  <c r="D56" i="50"/>
  <c r="D86" i="50" s="1"/>
  <c r="D85" i="50"/>
  <c r="E27" i="50"/>
  <c r="E34" i="50" s="1"/>
  <c r="E56" i="50"/>
  <c r="E85" i="50"/>
  <c r="F27" i="50"/>
  <c r="F34" i="50" s="1"/>
  <c r="F56" i="50"/>
  <c r="F86" i="50" s="1"/>
  <c r="F85" i="50"/>
  <c r="G56" i="50"/>
  <c r="G86" i="50" s="1"/>
  <c r="H56" i="50"/>
  <c r="G14" i="49"/>
  <c r="G18" i="49" s="1"/>
  <c r="F14" i="49"/>
  <c r="F18" i="49" s="1"/>
  <c r="E14" i="49"/>
  <c r="E18" i="49" s="1"/>
  <c r="B14" i="49"/>
  <c r="B18" i="49" s="1"/>
  <c r="D45" i="49"/>
  <c r="D86" i="49" s="1"/>
  <c r="E45" i="49"/>
  <c r="E86" i="49" s="1"/>
  <c r="F45" i="49"/>
  <c r="F86" i="49" s="1"/>
  <c r="G45" i="49"/>
  <c r="H45" i="49"/>
  <c r="I45" i="49"/>
  <c r="C14" i="49"/>
  <c r="C18" i="49" s="1"/>
  <c r="D14" i="49"/>
  <c r="D18" i="49" s="1"/>
  <c r="G30" i="49"/>
  <c r="G86" i="49" s="1"/>
  <c r="H30" i="49"/>
  <c r="H86" i="49" s="1"/>
  <c r="I30" i="49"/>
  <c r="J30" i="49"/>
  <c r="K30" i="49"/>
  <c r="L38" i="49"/>
  <c r="L45" i="49" s="1"/>
  <c r="L86" i="49" s="1"/>
  <c r="H14" i="49"/>
  <c r="H18" i="49" s="1"/>
  <c r="I14" i="49"/>
  <c r="I18" i="49" s="1"/>
  <c r="J14" i="49"/>
  <c r="J18" i="49" s="1"/>
  <c r="L52" i="49"/>
  <c r="K52" i="49"/>
  <c r="K38" i="49"/>
  <c r="K45" i="49" s="1"/>
  <c r="J38" i="49"/>
  <c r="J45" i="49" s="1"/>
  <c r="C86" i="50" l="1"/>
  <c r="B86" i="50"/>
  <c r="E86" i="50"/>
  <c r="B91" i="50"/>
  <c r="C91" i="50"/>
  <c r="I12" i="75"/>
  <c r="I12" i="135"/>
  <c r="I38" i="131"/>
  <c r="I8" i="75"/>
  <c r="I8" i="135"/>
  <c r="I34" i="131"/>
  <c r="I11" i="75"/>
  <c r="I11" i="135"/>
  <c r="I37" i="131"/>
  <c r="I9" i="75"/>
  <c r="I9" i="135"/>
  <c r="I35" i="131"/>
  <c r="I14" i="75"/>
  <c r="I14" i="135"/>
  <c r="I40" i="131"/>
  <c r="I16" i="135"/>
  <c r="I42" i="131"/>
  <c r="I10" i="135"/>
  <c r="I36" i="131"/>
  <c r="I15" i="75"/>
  <c r="I15" i="135"/>
  <c r="I41" i="131"/>
  <c r="I13" i="75"/>
  <c r="I13" i="135"/>
  <c r="I39" i="131"/>
  <c r="E87" i="64"/>
  <c r="I16" i="60"/>
  <c r="I16" i="75"/>
  <c r="I10" i="60"/>
  <c r="I10" i="75"/>
  <c r="J84" i="49"/>
  <c r="I8" i="60"/>
  <c r="I84" i="49"/>
  <c r="I9" i="60"/>
  <c r="F87" i="64"/>
  <c r="H84" i="49"/>
  <c r="K86" i="49"/>
  <c r="F84" i="49"/>
  <c r="I12" i="60"/>
  <c r="G84" i="49"/>
  <c r="I11" i="60"/>
  <c r="J86" i="49"/>
  <c r="D84" i="49"/>
  <c r="I14" i="60"/>
  <c r="B53" i="49"/>
  <c r="B56" i="49" s="1"/>
  <c r="B57" i="49" s="1"/>
  <c r="B84" i="49"/>
  <c r="I86" i="49"/>
  <c r="C53" i="49"/>
  <c r="C56" i="49" s="1"/>
  <c r="C57" i="49" s="1"/>
  <c r="C84" i="49"/>
  <c r="I15" i="60"/>
  <c r="E84" i="49"/>
  <c r="I13" i="60"/>
  <c r="L17" i="57"/>
  <c r="L18" i="57" s="1"/>
  <c r="H17" i="57"/>
  <c r="I17" i="57" s="1"/>
  <c r="C76" i="50"/>
  <c r="C58" i="50"/>
  <c r="C81" i="50"/>
  <c r="B76" i="50"/>
  <c r="B58" i="50"/>
  <c r="B87" i="50" s="1"/>
  <c r="B81" i="50"/>
  <c r="D76" i="50"/>
  <c r="D58" i="50"/>
  <c r="D87" i="50" s="1"/>
  <c r="D91" i="50"/>
  <c r="D81" i="50"/>
  <c r="E76" i="50"/>
  <c r="E58" i="50"/>
  <c r="E87" i="50" s="1"/>
  <c r="E91" i="50"/>
  <c r="E81" i="50"/>
  <c r="F76" i="50"/>
  <c r="F58" i="50"/>
  <c r="F87" i="50" s="1"/>
  <c r="F81" i="50"/>
  <c r="F91" i="50"/>
  <c r="G76" i="50"/>
  <c r="G58" i="50"/>
  <c r="G87" i="50" s="1"/>
  <c r="G81" i="50"/>
  <c r="H58" i="50"/>
  <c r="E53" i="49"/>
  <c r="E56" i="49" s="1"/>
  <c r="E57" i="49" s="1"/>
  <c r="F53" i="49"/>
  <c r="G53" i="49"/>
  <c r="G56" i="49" s="1"/>
  <c r="G57" i="49" s="1"/>
  <c r="K53" i="49"/>
  <c r="I53" i="49"/>
  <c r="I56" i="49" s="1"/>
  <c r="I57" i="49" s="1"/>
  <c r="H53" i="49"/>
  <c r="L88" i="49"/>
  <c r="L89" i="49" s="1"/>
  <c r="L91" i="49" s="1"/>
  <c r="J53" i="49"/>
  <c r="D53" i="49"/>
  <c r="C92" i="50" l="1"/>
  <c r="C87" i="50"/>
  <c r="K88" i="49"/>
  <c r="J56" i="131"/>
  <c r="I56" i="131"/>
  <c r="C88" i="49"/>
  <c r="C89" i="49" s="1"/>
  <c r="C91" i="49" s="1"/>
  <c r="H56" i="49"/>
  <c r="H57" i="49" s="1"/>
  <c r="H88" i="49"/>
  <c r="D56" i="49"/>
  <c r="D57" i="49" s="1"/>
  <c r="D88" i="49"/>
  <c r="D89" i="49" s="1"/>
  <c r="D91" i="49" s="1"/>
  <c r="F56" i="49"/>
  <c r="F57" i="49" s="1"/>
  <c r="F88" i="49"/>
  <c r="F89" i="49" s="1"/>
  <c r="F91" i="49" s="1"/>
  <c r="J56" i="49"/>
  <c r="J57" i="49" s="1"/>
  <c r="J88" i="49"/>
  <c r="J89" i="49" s="1"/>
  <c r="J91" i="49" s="1"/>
  <c r="B88" i="49"/>
  <c r="B89" i="49" s="1"/>
  <c r="B91" i="49" s="1"/>
  <c r="H89" i="49"/>
  <c r="H91" i="49" s="1"/>
  <c r="G88" i="49"/>
  <c r="G89" i="49" s="1"/>
  <c r="G91" i="49" s="1"/>
  <c r="E88" i="49"/>
  <c r="E89" i="49" s="1"/>
  <c r="E91" i="49" s="1"/>
  <c r="I88" i="49"/>
  <c r="I89" i="49" s="1"/>
  <c r="I91" i="49" s="1"/>
  <c r="K89" i="49"/>
  <c r="K91" i="49" s="1"/>
  <c r="I20" i="57"/>
  <c r="K20" i="57" s="1"/>
  <c r="L20" i="57" s="1"/>
  <c r="C60" i="50"/>
  <c r="B60" i="50"/>
  <c r="B92" i="50"/>
  <c r="D60" i="50"/>
  <c r="D92" i="50"/>
  <c r="E60" i="50"/>
  <c r="E92" i="50"/>
  <c r="F92" i="50"/>
  <c r="F60" i="50"/>
  <c r="G92" i="50"/>
  <c r="G60" i="50"/>
  <c r="H60" i="50"/>
  <c r="D13" i="48"/>
  <c r="T13" i="48"/>
  <c r="R13" i="48"/>
  <c r="P13" i="48"/>
  <c r="N13" i="48"/>
  <c r="L13" i="48"/>
  <c r="J13" i="48"/>
  <c r="H13" i="48"/>
  <c r="F13" i="48"/>
  <c r="B13" i="48"/>
  <c r="F6" i="48"/>
  <c r="H6" i="48" s="1"/>
  <c r="J6" i="48" s="1"/>
  <c r="L6" i="48" s="1"/>
  <c r="N6" i="48" s="1"/>
  <c r="P6" i="48" s="1"/>
  <c r="R6" i="48" s="1"/>
  <c r="T6" i="48" s="1"/>
  <c r="K56" i="49" l="1"/>
  <c r="L56" i="49"/>
  <c r="L57" i="49" s="1"/>
  <c r="C56" i="32"/>
  <c r="C24" i="32"/>
  <c r="B24" i="32"/>
  <c r="L29" i="46"/>
  <c r="L30" i="46"/>
  <c r="D51" i="46"/>
  <c r="B32" i="46"/>
  <c r="E51" i="46" s="1"/>
  <c r="D49" i="46"/>
  <c r="D50" i="46"/>
  <c r="B33" i="46"/>
  <c r="E52" i="46" s="1"/>
  <c r="B33" i="45"/>
  <c r="E49" i="45" s="1"/>
  <c r="B32" i="45"/>
  <c r="B30" i="46"/>
  <c r="E49" i="46" s="1"/>
  <c r="B31" i="46"/>
  <c r="E50" i="46" s="1"/>
  <c r="B28" i="46"/>
  <c r="E47" i="46" s="1"/>
  <c r="K36" i="46"/>
  <c r="K37" i="46"/>
  <c r="K38" i="46"/>
  <c r="K39" i="46"/>
  <c r="K40" i="46"/>
  <c r="B52" i="46"/>
  <c r="F52" i="46" s="1"/>
  <c r="B51" i="46"/>
  <c r="F51" i="46" s="1"/>
  <c r="C50" i="46"/>
  <c r="C49" i="46"/>
  <c r="F49" i="46" s="1"/>
  <c r="E48" i="46"/>
  <c r="B48" i="46"/>
  <c r="B47" i="46"/>
  <c r="K35" i="46"/>
  <c r="K34" i="46"/>
  <c r="K33" i="46"/>
  <c r="K32" i="46"/>
  <c r="K31" i="46"/>
  <c r="J29" i="46"/>
  <c r="B27" i="46"/>
  <c r="B46" i="46" s="1"/>
  <c r="B23" i="46"/>
  <c r="B13" i="46"/>
  <c r="B7" i="46"/>
  <c r="K57" i="49" l="1"/>
  <c r="L40" i="46"/>
  <c r="D48" i="46" s="1"/>
  <c r="F50" i="46"/>
  <c r="K41" i="46"/>
  <c r="B53" i="46"/>
  <c r="B55" i="46" s="1"/>
  <c r="B72" i="46" s="1"/>
  <c r="E46" i="46"/>
  <c r="B34" i="46"/>
  <c r="D47" i="46" l="1"/>
  <c r="F47" i="46" s="1"/>
  <c r="F48" i="46"/>
  <c r="C46" i="46"/>
  <c r="C53" i="46" s="1"/>
  <c r="D46" i="46" s="1"/>
  <c r="B68" i="46"/>
  <c r="B71" i="46"/>
  <c r="B70" i="46"/>
  <c r="B69" i="46"/>
  <c r="B67" i="46"/>
  <c r="D53" i="46" l="1"/>
  <c r="D55" i="46"/>
  <c r="D67" i="46" s="1"/>
  <c r="C55" i="46"/>
  <c r="C68" i="46" s="1"/>
  <c r="B73" i="46"/>
  <c r="E53" i="46"/>
  <c r="E55" i="46" s="1"/>
  <c r="E67" i="46" s="1"/>
  <c r="C69" i="46" l="1"/>
  <c r="C72" i="46"/>
  <c r="C70" i="46"/>
  <c r="C73" i="46" s="1"/>
  <c r="C71" i="46"/>
  <c r="C67" i="46"/>
  <c r="E71" i="46"/>
  <c r="D72" i="46"/>
  <c r="D71" i="46"/>
  <c r="D70" i="46"/>
  <c r="D68" i="46"/>
  <c r="D69" i="46"/>
  <c r="K25" i="44"/>
  <c r="K27" i="44"/>
  <c r="J26" i="44"/>
  <c r="J25" i="44"/>
  <c r="D48" i="45"/>
  <c r="D46" i="45"/>
  <c r="K31" i="45"/>
  <c r="K32" i="45"/>
  <c r="K33" i="45"/>
  <c r="K34" i="45"/>
  <c r="K30" i="45"/>
  <c r="C47" i="45"/>
  <c r="C46" i="45"/>
  <c r="C44" i="45"/>
  <c r="B49" i="45"/>
  <c r="B48" i="45"/>
  <c r="B45" i="45"/>
  <c r="B28" i="45"/>
  <c r="E44" i="45" s="1"/>
  <c r="J28" i="45"/>
  <c r="E48" i="45"/>
  <c r="B31" i="45"/>
  <c r="E47" i="45" s="1"/>
  <c r="B30" i="45"/>
  <c r="E46" i="45" s="1"/>
  <c r="B27" i="45"/>
  <c r="B43" i="45" s="1"/>
  <c r="B20" i="45"/>
  <c r="B13" i="45"/>
  <c r="B7" i="45"/>
  <c r="L33" i="40"/>
  <c r="H32" i="40"/>
  <c r="B15" i="44"/>
  <c r="B20" i="44"/>
  <c r="C15" i="44"/>
  <c r="C20" i="44"/>
  <c r="D15" i="44"/>
  <c r="D20" i="44"/>
  <c r="E15" i="44"/>
  <c r="E20" i="44"/>
  <c r="F10" i="44"/>
  <c r="F20" i="44"/>
  <c r="F15" i="44"/>
  <c r="G20" i="44"/>
  <c r="G15" i="44"/>
  <c r="G10" i="44"/>
  <c r="C12" i="43"/>
  <c r="C16" i="43" s="1"/>
  <c r="C5" i="43"/>
  <c r="E72" i="46" l="1"/>
  <c r="E70" i="46"/>
  <c r="E68" i="46"/>
  <c r="E69" i="46"/>
  <c r="D45" i="45"/>
  <c r="D44" i="45" s="1"/>
  <c r="D73" i="46"/>
  <c r="E43" i="45"/>
  <c r="B50" i="45"/>
  <c r="B34" i="45"/>
  <c r="I117" i="30"/>
  <c r="E73" i="46" l="1"/>
  <c r="B53" i="45"/>
  <c r="C43" i="45"/>
  <c r="C50" i="45" s="1"/>
  <c r="D19" i="42"/>
  <c r="D18" i="42"/>
  <c r="D16" i="42"/>
  <c r="C14" i="42"/>
  <c r="B14" i="42"/>
  <c r="D14" i="42" s="1"/>
  <c r="C8" i="42"/>
  <c r="C22" i="42" s="1"/>
  <c r="B8" i="42"/>
  <c r="B22" i="42" s="1"/>
  <c r="D8" i="42" l="1"/>
  <c r="D22" i="42" s="1"/>
  <c r="C53" i="45"/>
  <c r="D43" i="45"/>
  <c r="D50" i="45" s="1"/>
  <c r="B63" i="45"/>
  <c r="B64" i="45"/>
  <c r="B66" i="45"/>
  <c r="B61" i="45"/>
  <c r="B62" i="45"/>
  <c r="B65" i="45"/>
  <c r="B67" i="45" l="1"/>
  <c r="D53" i="45"/>
  <c r="E50" i="45"/>
  <c r="E53" i="45" s="1"/>
  <c r="C65" i="45"/>
  <c r="C66" i="45"/>
  <c r="C62" i="45"/>
  <c r="C61" i="45"/>
  <c r="C63" i="45"/>
  <c r="C64" i="45"/>
  <c r="C67" i="45" l="1"/>
  <c r="E63" i="45"/>
  <c r="E64" i="45"/>
  <c r="E65" i="45"/>
  <c r="E66" i="45"/>
  <c r="E62" i="45"/>
  <c r="E61" i="45"/>
  <c r="D66" i="45"/>
  <c r="D64" i="45"/>
  <c r="D62" i="45"/>
  <c r="D63" i="45"/>
  <c r="D65" i="45"/>
  <c r="D61" i="45"/>
  <c r="B49" i="40"/>
  <c r="B52" i="40" s="1"/>
  <c r="B56" i="40" s="1"/>
  <c r="B33" i="40"/>
  <c r="B38" i="40"/>
  <c r="D10" i="40"/>
  <c r="D9" i="40"/>
  <c r="B35" i="40" s="1"/>
  <c r="F10" i="40"/>
  <c r="F9" i="40"/>
  <c r="D16" i="40"/>
  <c r="B16" i="40"/>
  <c r="D11" i="40"/>
  <c r="F16" i="40"/>
  <c r="H16" i="40"/>
  <c r="J16" i="40"/>
  <c r="L16" i="40"/>
  <c r="T6" i="40"/>
  <c r="T17" i="40" s="1"/>
  <c r="I68" i="31"/>
  <c r="J68" i="31"/>
  <c r="T25" i="37"/>
  <c r="T18" i="37"/>
  <c r="R25" i="37"/>
  <c r="R18" i="37"/>
  <c r="P25" i="37"/>
  <c r="P18" i="37"/>
  <c r="N25" i="37"/>
  <c r="N18" i="37"/>
  <c r="J18" i="37"/>
  <c r="L25" i="37"/>
  <c r="L18" i="37"/>
  <c r="J25" i="37"/>
  <c r="H25" i="37"/>
  <c r="F25" i="37"/>
  <c r="D25" i="37"/>
  <c r="B25" i="37"/>
  <c r="D18" i="37"/>
  <c r="F18" i="37"/>
  <c r="H18" i="37"/>
  <c r="B18" i="37"/>
  <c r="T21" i="40" l="1"/>
  <c r="R6" i="40"/>
  <c r="R17" i="40" s="1"/>
  <c r="E69" i="64"/>
  <c r="E70" i="64" s="1"/>
  <c r="B37" i="40"/>
  <c r="B36" i="40"/>
  <c r="L34" i="40"/>
  <c r="L35" i="40"/>
  <c r="E67" i="45"/>
  <c r="D67" i="45"/>
  <c r="B34" i="40"/>
  <c r="B32" i="40"/>
  <c r="R21" i="40" l="1"/>
  <c r="P6" i="40"/>
  <c r="P17" i="40" s="1"/>
  <c r="B39" i="40"/>
  <c r="L32" i="40"/>
  <c r="L36" i="40" s="1"/>
  <c r="P21" i="40" l="1"/>
  <c r="N6" i="40"/>
  <c r="N17" i="40" s="1"/>
  <c r="N21" i="40" s="1"/>
  <c r="L6" i="40" l="1"/>
  <c r="L17" i="40" s="1"/>
  <c r="L37" i="40" s="1"/>
  <c r="L38" i="40" s="1"/>
  <c r="D113" i="30"/>
  <c r="L21" i="40" l="1"/>
  <c r="J6" i="40"/>
  <c r="J17" i="40" s="1"/>
  <c r="J21" i="40" l="1"/>
  <c r="H6" i="40"/>
  <c r="H17" i="40" s="1"/>
  <c r="K30" i="29"/>
  <c r="L30" i="29"/>
  <c r="H21" i="40" l="1"/>
  <c r="F6" i="40"/>
  <c r="F17" i="40" s="1"/>
  <c r="I112" i="30"/>
  <c r="J112" i="30"/>
  <c r="I113" i="30"/>
  <c r="I116" i="30"/>
  <c r="J55" i="33"/>
  <c r="J59" i="33" s="1"/>
  <c r="J49" i="33"/>
  <c r="J50" i="33" s="1"/>
  <c r="I18" i="33"/>
  <c r="I16" i="33"/>
  <c r="I30" i="33"/>
  <c r="I72" i="33" s="1"/>
  <c r="I25" i="33"/>
  <c r="J47" i="32"/>
  <c r="J48" i="32" s="1"/>
  <c r="J53" i="32"/>
  <c r="J56" i="32" s="1"/>
  <c r="I10" i="32"/>
  <c r="I14" i="32"/>
  <c r="I9" i="32"/>
  <c r="I29" i="32"/>
  <c r="I82" i="32" s="1"/>
  <c r="I24" i="32"/>
  <c r="J48" i="31"/>
  <c r="J42" i="31"/>
  <c r="I24" i="31"/>
  <c r="I19" i="31"/>
  <c r="I13" i="31"/>
  <c r="I88" i="31" s="1"/>
  <c r="J98" i="30"/>
  <c r="J102" i="30" s="1"/>
  <c r="J85" i="30"/>
  <c r="J86" i="30" s="1"/>
  <c r="J90" i="30" s="1"/>
  <c r="I63" i="30"/>
  <c r="I124" i="30" s="1"/>
  <c r="I58" i="30"/>
  <c r="I50" i="30"/>
  <c r="I123" i="30" s="1"/>
  <c r="I55" i="33"/>
  <c r="I59" i="33" s="1"/>
  <c r="I50" i="33"/>
  <c r="H18" i="33"/>
  <c r="H16" i="33"/>
  <c r="H30" i="33"/>
  <c r="H25" i="33"/>
  <c r="I53" i="32"/>
  <c r="I56" i="32" s="1"/>
  <c r="I48" i="32"/>
  <c r="H10" i="32"/>
  <c r="H14" i="32"/>
  <c r="H9" i="32"/>
  <c r="H29" i="32"/>
  <c r="H24" i="32"/>
  <c r="I48" i="31"/>
  <c r="I42" i="31"/>
  <c r="I63" i="31" s="1"/>
  <c r="H24" i="31"/>
  <c r="H19" i="31"/>
  <c r="H13" i="31"/>
  <c r="I98" i="30"/>
  <c r="I102" i="30" s="1"/>
  <c r="H43" i="30"/>
  <c r="H50" i="30" s="1"/>
  <c r="H123" i="30" s="1"/>
  <c r="I85" i="30"/>
  <c r="I86" i="30" s="1"/>
  <c r="I90" i="30" s="1"/>
  <c r="I92" i="30" s="1"/>
  <c r="I95" i="30" s="1"/>
  <c r="H63" i="30"/>
  <c r="H124" i="30" s="1"/>
  <c r="H58" i="30"/>
  <c r="H55" i="33"/>
  <c r="G18" i="33"/>
  <c r="G16" i="33"/>
  <c r="G13" i="33"/>
  <c r="H59" i="33"/>
  <c r="H50" i="33"/>
  <c r="G30" i="33"/>
  <c r="G25" i="33"/>
  <c r="G9" i="32"/>
  <c r="G14" i="32"/>
  <c r="G10" i="32"/>
  <c r="H53" i="32"/>
  <c r="H56" i="32" s="1"/>
  <c r="H48" i="32"/>
  <c r="H88" i="32" s="1"/>
  <c r="G29" i="32"/>
  <c r="G24" i="32"/>
  <c r="H68" i="31"/>
  <c r="H48" i="31"/>
  <c r="H42" i="31"/>
  <c r="G68" i="31"/>
  <c r="G48" i="31"/>
  <c r="G42" i="31"/>
  <c r="G63" i="31" s="1"/>
  <c r="G24" i="31"/>
  <c r="G85" i="31" s="1"/>
  <c r="G19" i="31"/>
  <c r="G13" i="31"/>
  <c r="H112" i="30"/>
  <c r="H113" i="30"/>
  <c r="H116" i="30"/>
  <c r="H117" i="30"/>
  <c r="H98" i="30"/>
  <c r="H102" i="30" s="1"/>
  <c r="H85" i="30"/>
  <c r="H86" i="30" s="1"/>
  <c r="H90" i="30" s="1"/>
  <c r="H92" i="30" s="1"/>
  <c r="H95" i="30" s="1"/>
  <c r="G39" i="30"/>
  <c r="G50" i="30" s="1"/>
  <c r="G63" i="30"/>
  <c r="G58" i="30"/>
  <c r="H63" i="31" l="1"/>
  <c r="H19" i="33"/>
  <c r="H114" i="30"/>
  <c r="H85" i="32"/>
  <c r="G19" i="33"/>
  <c r="I85" i="31"/>
  <c r="I89" i="31"/>
  <c r="I128" i="30" s="1"/>
  <c r="I19" i="33"/>
  <c r="I71" i="33" s="1"/>
  <c r="G119" i="30"/>
  <c r="J114" i="30"/>
  <c r="H15" i="32"/>
  <c r="I114" i="30"/>
  <c r="I15" i="32"/>
  <c r="G15" i="32"/>
  <c r="H85" i="31"/>
  <c r="H71" i="31"/>
  <c r="G71" i="31"/>
  <c r="F21" i="40"/>
  <c r="D6" i="40"/>
  <c r="D17" i="40" s="1"/>
  <c r="G74" i="32"/>
  <c r="G75" i="32" s="1"/>
  <c r="J60" i="33"/>
  <c r="J62" i="33" s="1"/>
  <c r="J64" i="33" s="1"/>
  <c r="I31" i="33"/>
  <c r="J57" i="32"/>
  <c r="J59" i="32" s="1"/>
  <c r="J61" i="32" s="1"/>
  <c r="J63" i="32" s="1"/>
  <c r="I30" i="32"/>
  <c r="J49" i="31"/>
  <c r="I25" i="31"/>
  <c r="I26" i="31" s="1"/>
  <c r="J92" i="30"/>
  <c r="J95" i="30" s="1"/>
  <c r="I64" i="30"/>
  <c r="I65" i="30" s="1"/>
  <c r="I60" i="33"/>
  <c r="I62" i="33" s="1"/>
  <c r="I64" i="33" s="1"/>
  <c r="H31" i="33"/>
  <c r="I57" i="32"/>
  <c r="I59" i="32" s="1"/>
  <c r="I61" i="32" s="1"/>
  <c r="I63" i="32" s="1"/>
  <c r="H30" i="32"/>
  <c r="I49" i="31"/>
  <c r="I64" i="31" s="1"/>
  <c r="H25" i="31"/>
  <c r="H26" i="31" s="1"/>
  <c r="H64" i="30"/>
  <c r="H65" i="30" s="1"/>
  <c r="H60" i="33"/>
  <c r="H62" i="33" s="1"/>
  <c r="H64" i="33" s="1"/>
  <c r="G31" i="33"/>
  <c r="G30" i="32"/>
  <c r="G31" i="32" s="1"/>
  <c r="H57" i="32"/>
  <c r="H59" i="32" s="1"/>
  <c r="H49" i="31"/>
  <c r="H64" i="31" s="1"/>
  <c r="G49" i="31"/>
  <c r="G25" i="31"/>
  <c r="G26" i="31" s="1"/>
  <c r="G64" i="30"/>
  <c r="G65" i="30" s="1"/>
  <c r="K19" i="29"/>
  <c r="G64" i="31" l="1"/>
  <c r="H35" i="33"/>
  <c r="G35" i="33"/>
  <c r="I35" i="33"/>
  <c r="I74" i="32"/>
  <c r="I75" i="32" s="1"/>
  <c r="I81" i="32"/>
  <c r="I127" i="30" s="1"/>
  <c r="I31" i="32"/>
  <c r="H74" i="32"/>
  <c r="H75" i="32" s="1"/>
  <c r="H84" i="32"/>
  <c r="H86" i="32" s="1"/>
  <c r="H31" i="32"/>
  <c r="H61" i="32"/>
  <c r="H63" i="32" s="1"/>
  <c r="H78" i="32"/>
  <c r="H77" i="32"/>
  <c r="H69" i="31"/>
  <c r="G69" i="31"/>
  <c r="G75" i="31"/>
  <c r="I51" i="31"/>
  <c r="I53" i="31" s="1"/>
  <c r="I69" i="31"/>
  <c r="J51" i="31"/>
  <c r="J53" i="31" s="1"/>
  <c r="J69" i="31"/>
  <c r="B6" i="40"/>
  <c r="B17" i="40" s="1"/>
  <c r="D21" i="40"/>
  <c r="H51" i="31"/>
  <c r="G51" i="31"/>
  <c r="M67" i="35"/>
  <c r="M68" i="35"/>
  <c r="M69" i="35"/>
  <c r="M70" i="35"/>
  <c r="M71" i="35"/>
  <c r="M72" i="35"/>
  <c r="M73" i="35"/>
  <c r="M74" i="35"/>
  <c r="M75" i="35"/>
  <c r="M76" i="35"/>
  <c r="M77" i="35"/>
  <c r="M78" i="35"/>
  <c r="M79" i="35"/>
  <c r="M80" i="35"/>
  <c r="M81" i="35"/>
  <c r="M99" i="35"/>
  <c r="M98" i="35"/>
  <c r="M94" i="35"/>
  <c r="M95" i="35"/>
  <c r="M96" i="35"/>
  <c r="M97" i="35"/>
  <c r="M83" i="35"/>
  <c r="M84" i="35"/>
  <c r="M85" i="35"/>
  <c r="M86" i="35"/>
  <c r="M87" i="35"/>
  <c r="M88" i="35"/>
  <c r="M89" i="35"/>
  <c r="M90" i="35"/>
  <c r="M91" i="35"/>
  <c r="M92" i="35"/>
  <c r="M93" i="35"/>
  <c r="M82" i="35"/>
  <c r="G53" i="31" l="1"/>
  <c r="G76" i="31"/>
  <c r="G81" i="31"/>
  <c r="H53" i="31"/>
  <c r="H76" i="31"/>
  <c r="H81" i="31"/>
  <c r="B21" i="40"/>
  <c r="B41" i="40"/>
  <c r="B42" i="40" s="1"/>
  <c r="D35" i="34"/>
  <c r="E35" i="34"/>
  <c r="F35" i="34"/>
  <c r="G35" i="34"/>
  <c r="G41" i="34" s="1"/>
  <c r="H35" i="34"/>
  <c r="I35" i="34"/>
  <c r="J35" i="34"/>
  <c r="K35" i="34"/>
  <c r="K41" i="34" s="1"/>
  <c r="L35" i="34"/>
  <c r="D36" i="34"/>
  <c r="D42" i="34" s="1"/>
  <c r="E36" i="34"/>
  <c r="E42" i="34" s="1"/>
  <c r="F36" i="34"/>
  <c r="G36" i="34"/>
  <c r="H36" i="34"/>
  <c r="I36" i="34"/>
  <c r="J36" i="34"/>
  <c r="K36" i="34"/>
  <c r="L36" i="34"/>
  <c r="D37" i="34"/>
  <c r="E37" i="34"/>
  <c r="F37" i="34"/>
  <c r="G37" i="34"/>
  <c r="H37" i="34"/>
  <c r="I37" i="34"/>
  <c r="J37" i="34"/>
  <c r="K37" i="34"/>
  <c r="L37" i="34"/>
  <c r="C37" i="34"/>
  <c r="C36" i="34"/>
  <c r="C35" i="34"/>
  <c r="G5" i="34"/>
  <c r="H5" i="34"/>
  <c r="I5" i="34"/>
  <c r="J5" i="34"/>
  <c r="K5" i="34"/>
  <c r="L5" i="34"/>
  <c r="M5" i="34"/>
  <c r="O5" i="34"/>
  <c r="P5" i="34"/>
  <c r="Q5" i="34"/>
  <c r="R5" i="34"/>
  <c r="S5" i="34"/>
  <c r="T5" i="34"/>
  <c r="U5" i="34"/>
  <c r="V5" i="34"/>
  <c r="W5" i="34"/>
  <c r="X5" i="34"/>
  <c r="Y5" i="34"/>
  <c r="G6" i="34"/>
  <c r="H6" i="34"/>
  <c r="I6" i="34"/>
  <c r="J6" i="34"/>
  <c r="K6" i="34"/>
  <c r="L6" i="34"/>
  <c r="M6" i="34"/>
  <c r="O6" i="34"/>
  <c r="P6" i="34"/>
  <c r="Q6" i="34"/>
  <c r="R6" i="34"/>
  <c r="S6" i="34"/>
  <c r="T6" i="34"/>
  <c r="U6" i="34"/>
  <c r="V6" i="34"/>
  <c r="W6" i="34"/>
  <c r="X6" i="34"/>
  <c r="Y6" i="34"/>
  <c r="L7" i="34"/>
  <c r="M7" i="34"/>
  <c r="O7" i="34"/>
  <c r="P7" i="34"/>
  <c r="Q7" i="34"/>
  <c r="R7" i="34"/>
  <c r="S7" i="34"/>
  <c r="T7" i="34"/>
  <c r="D17" i="34"/>
  <c r="E17" i="34"/>
  <c r="E23" i="34" s="1"/>
  <c r="F17" i="34"/>
  <c r="G17" i="34"/>
  <c r="H17" i="34"/>
  <c r="I17" i="34"/>
  <c r="J17" i="34"/>
  <c r="K17" i="34"/>
  <c r="L17" i="34"/>
  <c r="M17" i="34"/>
  <c r="O17" i="34"/>
  <c r="P17" i="34"/>
  <c r="Q17" i="34"/>
  <c r="R17" i="34"/>
  <c r="S17" i="34"/>
  <c r="T17" i="34"/>
  <c r="U17" i="34"/>
  <c r="V17" i="34"/>
  <c r="W17" i="34"/>
  <c r="Y17" i="34"/>
  <c r="D18" i="34"/>
  <c r="E18" i="34"/>
  <c r="F18" i="34"/>
  <c r="G18" i="34"/>
  <c r="H18" i="34"/>
  <c r="I18" i="34"/>
  <c r="J18" i="34"/>
  <c r="K18" i="34"/>
  <c r="L18" i="34"/>
  <c r="M18" i="34"/>
  <c r="O18" i="34"/>
  <c r="P18" i="34"/>
  <c r="Q18" i="34"/>
  <c r="R18" i="34"/>
  <c r="S18" i="34"/>
  <c r="T18" i="34"/>
  <c r="U18" i="34"/>
  <c r="V18" i="34"/>
  <c r="W18" i="34"/>
  <c r="X18" i="34"/>
  <c r="Y18" i="34"/>
  <c r="L93" i="34"/>
  <c r="M93" i="34"/>
  <c r="O93" i="34"/>
  <c r="P93" i="34"/>
  <c r="Q93" i="34"/>
  <c r="R93" i="34"/>
  <c r="S93" i="34"/>
  <c r="H79" i="34"/>
  <c r="I79" i="34"/>
  <c r="J79" i="34"/>
  <c r="K79" i="34"/>
  <c r="L79" i="34"/>
  <c r="M79" i="34"/>
  <c r="O79" i="34"/>
  <c r="P79" i="34"/>
  <c r="Q79" i="34"/>
  <c r="R79" i="34"/>
  <c r="S79" i="34"/>
  <c r="T79" i="34"/>
  <c r="U79" i="34"/>
  <c r="V79" i="34"/>
  <c r="W79" i="34"/>
  <c r="X79" i="34"/>
  <c r="Y79" i="34"/>
  <c r="G79" i="34"/>
  <c r="S62" i="34"/>
  <c r="T62" i="34"/>
  <c r="U62" i="34"/>
  <c r="V62" i="34"/>
  <c r="W62" i="34"/>
  <c r="X62" i="34"/>
  <c r="Y62" i="34"/>
  <c r="C15" i="36"/>
  <c r="C6" i="36"/>
  <c r="B6" i="36"/>
  <c r="L75" i="35"/>
  <c r="L76" i="35"/>
  <c r="L77" i="35"/>
  <c r="L78" i="35"/>
  <c r="L79" i="35"/>
  <c r="L80" i="35"/>
  <c r="L81" i="35"/>
  <c r="L82" i="35"/>
  <c r="L83" i="35"/>
  <c r="L84" i="35"/>
  <c r="L85" i="35"/>
  <c r="L86" i="35"/>
  <c r="L87" i="35"/>
  <c r="L88" i="35"/>
  <c r="L89" i="35"/>
  <c r="L90" i="35"/>
  <c r="L91" i="35"/>
  <c r="L92" i="35"/>
  <c r="L93"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29" i="35"/>
  <c r="J4" i="35"/>
  <c r="J5" i="35"/>
  <c r="J6"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54"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36"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F60" i="35"/>
  <c r="F61" i="35"/>
  <c r="F62" i="35"/>
  <c r="F63" i="35"/>
  <c r="F64" i="35"/>
  <c r="F65" i="35"/>
  <c r="F66" i="35"/>
  <c r="F67" i="35"/>
  <c r="F68" i="35"/>
  <c r="F69" i="35"/>
  <c r="F70" i="35"/>
  <c r="F71" i="35"/>
  <c r="F72" i="35"/>
  <c r="F73" i="35"/>
  <c r="F74" i="35"/>
  <c r="F75" i="35"/>
  <c r="F76" i="35"/>
  <c r="F77" i="35"/>
  <c r="F78" i="35"/>
  <c r="F79" i="35"/>
  <c r="F80" i="35"/>
  <c r="F81" i="35"/>
  <c r="F82" i="35"/>
  <c r="F83" i="35"/>
  <c r="F84" i="35"/>
  <c r="F85" i="35"/>
  <c r="F86" i="35"/>
  <c r="F87" i="35"/>
  <c r="F88" i="35"/>
  <c r="F89" i="35"/>
  <c r="F90" i="35"/>
  <c r="F91" i="35"/>
  <c r="F92" i="35"/>
  <c r="F93" i="35"/>
  <c r="F94"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45"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K94" i="35"/>
  <c r="L94" i="35"/>
  <c r="J94" i="35"/>
  <c r="H95" i="35"/>
  <c r="F95" i="35"/>
  <c r="E94" i="35"/>
  <c r="D94"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I120" i="35"/>
  <c r="C120" i="35"/>
  <c r="B121" i="35"/>
  <c r="B122" i="35"/>
  <c r="B123" i="35"/>
  <c r="B124" i="35"/>
  <c r="B125" i="35"/>
  <c r="B126" i="35"/>
  <c r="B127" i="35"/>
  <c r="B128" i="35"/>
  <c r="B129" i="35"/>
  <c r="B130" i="35"/>
  <c r="B120" i="35"/>
  <c r="X60" i="34"/>
  <c r="Y60" i="34"/>
  <c r="AC119" i="34"/>
  <c r="AD119" i="34"/>
  <c r="AB119" i="34"/>
  <c r="AD112" i="34"/>
  <c r="AC112" i="34"/>
  <c r="AB112" i="34"/>
  <c r="Z119" i="34"/>
  <c r="Z112" i="34"/>
  <c r="X119" i="34"/>
  <c r="X19" i="34" s="1"/>
  <c r="Y119" i="34"/>
  <c r="Y19" i="34" s="1"/>
  <c r="Y112" i="34"/>
  <c r="X112" i="34"/>
  <c r="V119" i="34"/>
  <c r="W119" i="34"/>
  <c r="W19" i="34" s="1"/>
  <c r="W112" i="34"/>
  <c r="V112" i="34"/>
  <c r="T119" i="34"/>
  <c r="T67" i="34" s="1"/>
  <c r="U119" i="34"/>
  <c r="U19" i="34" s="1"/>
  <c r="U112" i="34"/>
  <c r="S119" i="34"/>
  <c r="S67" i="34" s="1"/>
  <c r="D56" i="34"/>
  <c r="E56" i="34"/>
  <c r="F56" i="34"/>
  <c r="G56" i="34"/>
  <c r="H56" i="34"/>
  <c r="I56" i="34"/>
  <c r="J56" i="34"/>
  <c r="K56" i="34"/>
  <c r="D57" i="34"/>
  <c r="E57" i="34"/>
  <c r="F57" i="34"/>
  <c r="G57" i="34"/>
  <c r="H57" i="34"/>
  <c r="I57" i="34"/>
  <c r="J57" i="34"/>
  <c r="K57" i="34"/>
  <c r="C57" i="34"/>
  <c r="C56" i="34"/>
  <c r="I65" i="34"/>
  <c r="I66" i="34" s="1"/>
  <c r="J65" i="34"/>
  <c r="J66" i="34" s="1"/>
  <c r="H65" i="34"/>
  <c r="H66" i="34" s="1"/>
  <c r="G65" i="34"/>
  <c r="G66" i="34" s="1"/>
  <c r="M62" i="34"/>
  <c r="O62" i="34"/>
  <c r="P62" i="34"/>
  <c r="Q62" i="34"/>
  <c r="R62" i="34"/>
  <c r="T60" i="34"/>
  <c r="U60" i="34"/>
  <c r="V60" i="34"/>
  <c r="W60" i="34"/>
  <c r="L62" i="34"/>
  <c r="L63" i="34" s="1"/>
  <c r="L64" i="34" s="1"/>
  <c r="Q119" i="34"/>
  <c r="Q67" i="34" s="1"/>
  <c r="R119" i="34"/>
  <c r="R67" i="34" s="1"/>
  <c r="O119" i="34"/>
  <c r="O67" i="34" s="1"/>
  <c r="P119" i="34"/>
  <c r="P67" i="34" s="1"/>
  <c r="L119" i="34"/>
  <c r="L67" i="34" s="1"/>
  <c r="L68" i="34" s="1"/>
  <c r="L69" i="34" s="1"/>
  <c r="M119" i="34"/>
  <c r="M67" i="34" s="1"/>
  <c r="J119" i="34"/>
  <c r="J19" i="34" s="1"/>
  <c r="K119" i="34"/>
  <c r="K19" i="34" s="1"/>
  <c r="I119" i="34"/>
  <c r="I19" i="34" s="1"/>
  <c r="D119" i="34"/>
  <c r="D19" i="34" s="1"/>
  <c r="E119" i="34"/>
  <c r="E19" i="34" s="1"/>
  <c r="M60" i="34"/>
  <c r="O60" i="34"/>
  <c r="P60" i="34"/>
  <c r="Q60" i="34"/>
  <c r="R60" i="34"/>
  <c r="S60" i="34"/>
  <c r="F119" i="34"/>
  <c r="F19" i="34" s="1"/>
  <c r="G119" i="34"/>
  <c r="G19" i="34" s="1"/>
  <c r="G60" i="34"/>
  <c r="G61" i="34" s="1"/>
  <c r="G89" i="34"/>
  <c r="G92" i="34" s="1"/>
  <c r="G7" i="34" s="1"/>
  <c r="H89" i="34"/>
  <c r="H92" i="34" s="1"/>
  <c r="H119" i="34"/>
  <c r="H19" i="34" s="1"/>
  <c r="H60" i="34"/>
  <c r="H61" i="34" s="1"/>
  <c r="H62" i="34"/>
  <c r="H63" i="34" s="1"/>
  <c r="H64" i="34" s="1"/>
  <c r="J60" i="34"/>
  <c r="J61" i="34" s="1"/>
  <c r="K60" i="34"/>
  <c r="K61" i="34" s="1"/>
  <c r="L60" i="34"/>
  <c r="L61" i="34" s="1"/>
  <c r="J62" i="34"/>
  <c r="J63" i="34" s="1"/>
  <c r="J64" i="34" s="1"/>
  <c r="K62" i="34"/>
  <c r="K63" i="34" s="1"/>
  <c r="K64" i="34" s="1"/>
  <c r="I62" i="34"/>
  <c r="I63" i="34" s="1"/>
  <c r="I64" i="34" s="1"/>
  <c r="I60" i="34"/>
  <c r="I61" i="34" s="1"/>
  <c r="AE92" i="34"/>
  <c r="AD92" i="34"/>
  <c r="AC92" i="34"/>
  <c r="AB92" i="34"/>
  <c r="AA92" i="34"/>
  <c r="Z92" i="34"/>
  <c r="Y92" i="34"/>
  <c r="X92" i="34"/>
  <c r="W92" i="34"/>
  <c r="W7" i="34" s="1"/>
  <c r="K92" i="34"/>
  <c r="K93" i="34" s="1"/>
  <c r="J92" i="34"/>
  <c r="I92" i="34"/>
  <c r="U86" i="34"/>
  <c r="U92" i="34" s="1"/>
  <c r="T93" i="34" s="1"/>
  <c r="V86" i="34"/>
  <c r="V92" i="34" s="1"/>
  <c r="V7" i="34" s="1"/>
  <c r="G55" i="33"/>
  <c r="G59" i="33" s="1"/>
  <c r="G50" i="33"/>
  <c r="F18" i="33"/>
  <c r="F16" i="33"/>
  <c r="F13" i="33"/>
  <c r="F30" i="33"/>
  <c r="F25" i="33"/>
  <c r="G53" i="32"/>
  <c r="G48" i="32"/>
  <c r="D9" i="32"/>
  <c r="F14" i="32"/>
  <c r="E9" i="32"/>
  <c r="F10" i="32"/>
  <c r="F9" i="32"/>
  <c r="F29" i="32"/>
  <c r="F24" i="32"/>
  <c r="F24" i="31"/>
  <c r="F85" i="31" s="1"/>
  <c r="F19" i="31"/>
  <c r="F13" i="31"/>
  <c r="G116" i="30"/>
  <c r="G117" i="30"/>
  <c r="G112" i="30"/>
  <c r="G113" i="30"/>
  <c r="G98" i="30"/>
  <c r="G102" i="30" s="1"/>
  <c r="G85" i="30"/>
  <c r="G86" i="30" s="1"/>
  <c r="G90" i="30" s="1"/>
  <c r="G92" i="30" s="1"/>
  <c r="G95" i="30" s="1"/>
  <c r="F63" i="30"/>
  <c r="F119" i="30" s="1"/>
  <c r="F58" i="30"/>
  <c r="F50" i="30"/>
  <c r="I23" i="34" l="1"/>
  <c r="L11" i="34"/>
  <c r="H23" i="34"/>
  <c r="D23" i="34"/>
  <c r="P11" i="34"/>
  <c r="J41" i="34"/>
  <c r="F41" i="34"/>
  <c r="G23" i="34"/>
  <c r="S11" i="34"/>
  <c r="O11" i="34"/>
  <c r="J11" i="34"/>
  <c r="C41" i="34"/>
  <c r="I41" i="34"/>
  <c r="E41" i="34"/>
  <c r="V23" i="34"/>
  <c r="Q11" i="34"/>
  <c r="W23" i="34"/>
  <c r="J23" i="34"/>
  <c r="F23" i="34"/>
  <c r="V11" i="34"/>
  <c r="R11" i="34"/>
  <c r="M11" i="34"/>
  <c r="I11" i="34"/>
  <c r="L41" i="34"/>
  <c r="H41" i="34"/>
  <c r="D41" i="34"/>
  <c r="F19" i="33"/>
  <c r="O35" i="34"/>
  <c r="F15" i="32"/>
  <c r="F74" i="32" s="1"/>
  <c r="F75" i="32" s="1"/>
  <c r="J42" i="34"/>
  <c r="G56" i="32"/>
  <c r="G85" i="32"/>
  <c r="G88" i="32"/>
  <c r="G84" i="32"/>
  <c r="G114" i="30"/>
  <c r="F71" i="31"/>
  <c r="I67" i="34"/>
  <c r="I68" i="34" s="1"/>
  <c r="I69" i="34" s="1"/>
  <c r="X67" i="34"/>
  <c r="R36" i="34"/>
  <c r="J40" i="34"/>
  <c r="F40" i="34"/>
  <c r="K42" i="34"/>
  <c r="G42" i="34"/>
  <c r="L24" i="34"/>
  <c r="Q22" i="34"/>
  <c r="T24" i="34"/>
  <c r="P24" i="34"/>
  <c r="K24" i="34"/>
  <c r="G25" i="34"/>
  <c r="G24" i="34"/>
  <c r="T22" i="34"/>
  <c r="P22" i="34"/>
  <c r="K22" i="34"/>
  <c r="G22" i="34"/>
  <c r="I40" i="34"/>
  <c r="E40" i="34"/>
  <c r="U24" i="34"/>
  <c r="H25" i="34"/>
  <c r="H24" i="34"/>
  <c r="U22" i="34"/>
  <c r="L22" i="34"/>
  <c r="D22" i="34"/>
  <c r="W25" i="34"/>
  <c r="W24" i="34"/>
  <c r="S24" i="34"/>
  <c r="O24" i="34"/>
  <c r="J25" i="34"/>
  <c r="J24" i="34"/>
  <c r="F25" i="34"/>
  <c r="F24" i="34"/>
  <c r="S22" i="34"/>
  <c r="O22" i="34"/>
  <c r="J22" i="34"/>
  <c r="F22" i="34"/>
  <c r="C43" i="34"/>
  <c r="E43" i="34"/>
  <c r="Q24" i="34"/>
  <c r="D24" i="34"/>
  <c r="D25" i="34"/>
  <c r="H22" i="34"/>
  <c r="V24" i="34"/>
  <c r="R24" i="34"/>
  <c r="M24" i="34"/>
  <c r="I25" i="34"/>
  <c r="I24" i="34"/>
  <c r="E25" i="34"/>
  <c r="E24" i="34"/>
  <c r="V22" i="34"/>
  <c r="R22" i="34"/>
  <c r="M22" i="34"/>
  <c r="I22" i="34"/>
  <c r="E22" i="34"/>
  <c r="T12" i="34"/>
  <c r="K12" i="34"/>
  <c r="V35" i="34"/>
  <c r="V41" i="34" s="1"/>
  <c r="V10" i="34"/>
  <c r="M35" i="34"/>
  <c r="M10" i="34"/>
  <c r="Y93" i="34"/>
  <c r="W93" i="34"/>
  <c r="W12" i="34"/>
  <c r="S12" i="34"/>
  <c r="S13" i="34"/>
  <c r="O12" i="34"/>
  <c r="O13" i="34"/>
  <c r="J12" i="34"/>
  <c r="U10" i="34"/>
  <c r="Q10" i="34"/>
  <c r="L10" i="34"/>
  <c r="H10" i="34"/>
  <c r="F43" i="34"/>
  <c r="I7" i="34"/>
  <c r="V12" i="34"/>
  <c r="V13" i="34"/>
  <c r="R13" i="34"/>
  <c r="R12" i="34"/>
  <c r="M12" i="34"/>
  <c r="M13" i="34"/>
  <c r="I12" i="34"/>
  <c r="X10" i="34"/>
  <c r="T35" i="34"/>
  <c r="T10" i="34"/>
  <c r="P35" i="34"/>
  <c r="P41" i="34" s="1"/>
  <c r="P10" i="34"/>
  <c r="K10" i="34"/>
  <c r="G10" i="34"/>
  <c r="I43" i="34"/>
  <c r="F42" i="34"/>
  <c r="X12" i="34"/>
  <c r="P12" i="34"/>
  <c r="P13" i="34"/>
  <c r="G12" i="34"/>
  <c r="R35" i="34"/>
  <c r="R10" i="34"/>
  <c r="I10" i="34"/>
  <c r="U12" i="34"/>
  <c r="Q12" i="34"/>
  <c r="Q13" i="34"/>
  <c r="L12" i="34"/>
  <c r="L13" i="34"/>
  <c r="H12" i="34"/>
  <c r="W10" i="34"/>
  <c r="S10" i="34"/>
  <c r="O10" i="34"/>
  <c r="J10" i="34"/>
  <c r="C40" i="34"/>
  <c r="L42" i="34"/>
  <c r="H42" i="34"/>
  <c r="D43" i="34"/>
  <c r="H43" i="34"/>
  <c r="H93" i="34"/>
  <c r="H7" i="34"/>
  <c r="G11" i="34" s="1"/>
  <c r="X36" i="34"/>
  <c r="P36" i="34"/>
  <c r="G93" i="34"/>
  <c r="V93" i="34"/>
  <c r="I93" i="34"/>
  <c r="Y7" i="34"/>
  <c r="Y37" i="34" s="1"/>
  <c r="U7" i="34"/>
  <c r="T13" i="34" s="1"/>
  <c r="Y35" i="34"/>
  <c r="U35" i="34"/>
  <c r="Q35" i="34"/>
  <c r="J43" i="34"/>
  <c r="W36" i="34"/>
  <c r="O36" i="34"/>
  <c r="G43" i="34"/>
  <c r="I42" i="34"/>
  <c r="C42" i="34"/>
  <c r="W37" i="34"/>
  <c r="U93" i="34"/>
  <c r="X7" i="34"/>
  <c r="X37" i="34" s="1"/>
  <c r="K7" i="34"/>
  <c r="K11" i="34" s="1"/>
  <c r="M36" i="34"/>
  <c r="V36" i="34"/>
  <c r="K43" i="34"/>
  <c r="H40" i="34"/>
  <c r="D40" i="34"/>
  <c r="J93" i="34"/>
  <c r="T36" i="34"/>
  <c r="J67" i="34"/>
  <c r="J68" i="34" s="1"/>
  <c r="J69" i="34" s="1"/>
  <c r="V67" i="34"/>
  <c r="X93" i="34"/>
  <c r="J7" i="34"/>
  <c r="Y36" i="34"/>
  <c r="U36" i="34"/>
  <c r="Q36" i="34"/>
  <c r="W35" i="34"/>
  <c r="S35" i="34"/>
  <c r="S36" i="34"/>
  <c r="K40" i="34"/>
  <c r="G40" i="34"/>
  <c r="Q19" i="34"/>
  <c r="Q37" i="34" s="1"/>
  <c r="L19" i="34"/>
  <c r="L23" i="34" s="1"/>
  <c r="T19" i="34"/>
  <c r="T37" i="34" s="1"/>
  <c r="P19" i="34"/>
  <c r="P37" i="34" s="1"/>
  <c r="S19" i="34"/>
  <c r="S37" i="34" s="1"/>
  <c r="O19" i="34"/>
  <c r="O37" i="34" s="1"/>
  <c r="U67" i="34"/>
  <c r="W67" i="34"/>
  <c r="V19" i="34"/>
  <c r="V37" i="34" s="1"/>
  <c r="R19" i="34"/>
  <c r="R37" i="34" s="1"/>
  <c r="M19" i="34"/>
  <c r="M37" i="34" s="1"/>
  <c r="L43" i="34" s="1"/>
  <c r="Y67" i="34"/>
  <c r="K67" i="34"/>
  <c r="K68" i="34" s="1"/>
  <c r="K69" i="34" s="1"/>
  <c r="G67" i="34"/>
  <c r="G68" i="34" s="1"/>
  <c r="H67" i="34"/>
  <c r="H68" i="34" s="1"/>
  <c r="H69" i="34" s="1"/>
  <c r="G60" i="33"/>
  <c r="G62" i="33" s="1"/>
  <c r="G64" i="33" s="1"/>
  <c r="F31" i="33"/>
  <c r="F35" i="33" s="1"/>
  <c r="G57" i="32"/>
  <c r="G59" i="32" s="1"/>
  <c r="F30" i="32"/>
  <c r="F31" i="32" s="1"/>
  <c r="F25" i="31"/>
  <c r="F26" i="31" s="1"/>
  <c r="F64" i="30"/>
  <c r="F65" i="30" s="1"/>
  <c r="F55" i="33"/>
  <c r="F59" i="33" s="1"/>
  <c r="F50" i="33"/>
  <c r="E55" i="33"/>
  <c r="E59" i="33" s="1"/>
  <c r="C50" i="33"/>
  <c r="D50" i="33"/>
  <c r="E50" i="33"/>
  <c r="B50" i="33"/>
  <c r="E18" i="33"/>
  <c r="E16" i="33"/>
  <c r="E13" i="33"/>
  <c r="E30" i="33"/>
  <c r="E25" i="33"/>
  <c r="D13" i="33"/>
  <c r="D18" i="33"/>
  <c r="D16" i="33"/>
  <c r="D30" i="33"/>
  <c r="D25" i="33"/>
  <c r="B56" i="32"/>
  <c r="D56" i="32"/>
  <c r="F53" i="32"/>
  <c r="F56" i="32" s="1"/>
  <c r="E53" i="32"/>
  <c r="E56" i="32" s="1"/>
  <c r="F48" i="32"/>
  <c r="F88" i="32" s="1"/>
  <c r="C48" i="32"/>
  <c r="C88" i="32" s="1"/>
  <c r="D48" i="32"/>
  <c r="D88" i="32" s="1"/>
  <c r="E48" i="32"/>
  <c r="E88" i="32" s="1"/>
  <c r="B48" i="32"/>
  <c r="B88" i="32" s="1"/>
  <c r="E14" i="32"/>
  <c r="E15" i="32" s="1"/>
  <c r="E29" i="32"/>
  <c r="E24" i="32"/>
  <c r="C29" i="32"/>
  <c r="D29" i="32"/>
  <c r="B29" i="32"/>
  <c r="D24" i="32"/>
  <c r="D14" i="32"/>
  <c r="D15" i="32" s="1"/>
  <c r="F68" i="31"/>
  <c r="F48" i="31"/>
  <c r="F42" i="31"/>
  <c r="F63" i="31" s="1"/>
  <c r="C42" i="31"/>
  <c r="D42" i="31"/>
  <c r="E42" i="31"/>
  <c r="B42" i="31"/>
  <c r="E68" i="31"/>
  <c r="E48" i="31"/>
  <c r="E24" i="31"/>
  <c r="E71" i="31" s="1"/>
  <c r="E19" i="31"/>
  <c r="E13" i="31"/>
  <c r="D24" i="31"/>
  <c r="D19" i="31"/>
  <c r="D13" i="31"/>
  <c r="F116" i="30"/>
  <c r="F117" i="30"/>
  <c r="F112" i="30"/>
  <c r="F113" i="30"/>
  <c r="F98" i="30"/>
  <c r="Q41" i="34" l="1"/>
  <c r="H11" i="34"/>
  <c r="K23" i="34"/>
  <c r="T11" i="34"/>
  <c r="B24" i="171" s="1"/>
  <c r="U11" i="34"/>
  <c r="R41" i="34"/>
  <c r="T41" i="34"/>
  <c r="L40" i="34"/>
  <c r="M41" i="34"/>
  <c r="O23" i="34"/>
  <c r="P23" i="34"/>
  <c r="X11" i="34"/>
  <c r="Q23" i="34"/>
  <c r="S40" i="34"/>
  <c r="S41" i="34"/>
  <c r="U37" i="34"/>
  <c r="T43" i="34" s="1"/>
  <c r="T40" i="34"/>
  <c r="O41" i="34"/>
  <c r="S23" i="34"/>
  <c r="M23" i="34"/>
  <c r="W11" i="34"/>
  <c r="T23" i="34"/>
  <c r="U23" i="34"/>
  <c r="R23" i="34"/>
  <c r="B63" i="31"/>
  <c r="E63" i="31"/>
  <c r="D63" i="31"/>
  <c r="C63" i="31"/>
  <c r="D85" i="32"/>
  <c r="E19" i="33"/>
  <c r="R40" i="34"/>
  <c r="R42" i="34"/>
  <c r="H75" i="50"/>
  <c r="E85" i="32"/>
  <c r="F114" i="30"/>
  <c r="E84" i="32"/>
  <c r="D19" i="33"/>
  <c r="G86" i="32"/>
  <c r="F85" i="32"/>
  <c r="F84" i="32"/>
  <c r="D74" i="32"/>
  <c r="D75" i="32" s="1"/>
  <c r="D84" i="32"/>
  <c r="D86" i="32" s="1"/>
  <c r="C30" i="32"/>
  <c r="B85" i="32"/>
  <c r="C85" i="32"/>
  <c r="D71" i="31"/>
  <c r="G61" i="32"/>
  <c r="G63" i="32" s="1"/>
  <c r="G78" i="32"/>
  <c r="G77" i="32"/>
  <c r="D30" i="32"/>
  <c r="D31" i="32" s="1"/>
  <c r="E85" i="31"/>
  <c r="E74" i="32"/>
  <c r="E75" i="32" s="1"/>
  <c r="V40" i="34"/>
  <c r="T42" i="34"/>
  <c r="W43" i="34"/>
  <c r="Q42" i="34"/>
  <c r="O42" i="34"/>
  <c r="L25" i="34"/>
  <c r="V42" i="34"/>
  <c r="M42" i="34"/>
  <c r="P40" i="34"/>
  <c r="M25" i="34"/>
  <c r="V25" i="34"/>
  <c r="S25" i="34"/>
  <c r="U25" i="34"/>
  <c r="P25" i="34"/>
  <c r="X43" i="34"/>
  <c r="U13" i="34"/>
  <c r="R25" i="34"/>
  <c r="Q25" i="34"/>
  <c r="O25" i="34"/>
  <c r="K25" i="34"/>
  <c r="T25" i="34"/>
  <c r="K13" i="34"/>
  <c r="V43" i="34"/>
  <c r="H13" i="34"/>
  <c r="G13" i="34"/>
  <c r="W13" i="34"/>
  <c r="J13" i="34"/>
  <c r="S42" i="34"/>
  <c r="U42" i="34"/>
  <c r="P42" i="34"/>
  <c r="X13" i="34"/>
  <c r="I13" i="34"/>
  <c r="O40" i="34"/>
  <c r="Q43" i="34"/>
  <c r="M40" i="34"/>
  <c r="Q40" i="34"/>
  <c r="U40" i="34"/>
  <c r="P43" i="34"/>
  <c r="O43" i="34"/>
  <c r="S43" i="34"/>
  <c r="R43" i="34"/>
  <c r="U43" i="34"/>
  <c r="M43" i="34"/>
  <c r="F60" i="33"/>
  <c r="F62" i="33" s="1"/>
  <c r="F64" i="33" s="1"/>
  <c r="E60" i="33"/>
  <c r="E62" i="33" s="1"/>
  <c r="E64" i="33" s="1"/>
  <c r="E31" i="33"/>
  <c r="D31" i="33"/>
  <c r="D35" i="33" s="1"/>
  <c r="F57" i="32"/>
  <c r="F59" i="32" s="1"/>
  <c r="E57" i="32"/>
  <c r="E59" i="32" s="1"/>
  <c r="E77" i="32" s="1"/>
  <c r="E30" i="32"/>
  <c r="E31" i="32" s="1"/>
  <c r="F49" i="31"/>
  <c r="F64" i="31" s="1"/>
  <c r="E49" i="31"/>
  <c r="E64" i="31" s="1"/>
  <c r="E25" i="31"/>
  <c r="E26" i="31" s="1"/>
  <c r="D25" i="31"/>
  <c r="D26" i="31" s="1"/>
  <c r="F102" i="30"/>
  <c r="F85" i="30"/>
  <c r="F86" i="30" s="1"/>
  <c r="F90" i="30" s="1"/>
  <c r="F92" i="30" s="1"/>
  <c r="F95" i="30" s="1"/>
  <c r="E116" i="30"/>
  <c r="E117" i="30"/>
  <c r="E112" i="30"/>
  <c r="E113" i="30"/>
  <c r="E98" i="30"/>
  <c r="E102" i="30" s="1"/>
  <c r="E85" i="30"/>
  <c r="E86" i="30" s="1"/>
  <c r="E90" i="30" s="1"/>
  <c r="E92" i="30" s="1"/>
  <c r="E95" i="30" s="1"/>
  <c r="E63" i="30"/>
  <c r="E119" i="30" s="1"/>
  <c r="E58" i="30"/>
  <c r="E50" i="30"/>
  <c r="C50" i="30"/>
  <c r="D50" i="30"/>
  <c r="D63" i="30"/>
  <c r="D58" i="30"/>
  <c r="C116" i="30"/>
  <c r="D116" i="30"/>
  <c r="C117" i="30"/>
  <c r="D117" i="30"/>
  <c r="D112" i="30"/>
  <c r="D114" i="30" s="1"/>
  <c r="D102" i="30"/>
  <c r="D85" i="30"/>
  <c r="D86" i="30" s="1"/>
  <c r="D90" i="30" s="1"/>
  <c r="D92" i="30" s="1"/>
  <c r="D95" i="30" s="1"/>
  <c r="D85" i="31"/>
  <c r="D68" i="31"/>
  <c r="D48" i="31"/>
  <c r="C30" i="33"/>
  <c r="B30" i="33"/>
  <c r="D59" i="33"/>
  <c r="C59" i="33"/>
  <c r="B59" i="33"/>
  <c r="C25" i="33"/>
  <c r="B25" i="33"/>
  <c r="C19" i="33"/>
  <c r="B19" i="33"/>
  <c r="C24" i="171" l="1"/>
  <c r="U41" i="34"/>
  <c r="E35" i="33"/>
  <c r="E86" i="32"/>
  <c r="F75" i="31"/>
  <c r="F86" i="32"/>
  <c r="D119" i="30"/>
  <c r="F61" i="32"/>
  <c r="F63" i="32" s="1"/>
  <c r="F78" i="32"/>
  <c r="F77" i="32"/>
  <c r="E61" i="32"/>
  <c r="E63" i="32" s="1"/>
  <c r="E78" i="32"/>
  <c r="E69" i="31"/>
  <c r="E80" i="31"/>
  <c r="E75" i="31"/>
  <c r="F69" i="31"/>
  <c r="F80" i="31"/>
  <c r="E114" i="30"/>
  <c r="F51" i="31"/>
  <c r="E51" i="31"/>
  <c r="E64" i="30"/>
  <c r="E65" i="30" s="1"/>
  <c r="D64" i="30"/>
  <c r="D65" i="30" s="1"/>
  <c r="D49" i="31"/>
  <c r="D64" i="31" s="1"/>
  <c r="C31" i="33"/>
  <c r="B31" i="33"/>
  <c r="B35" i="33" s="1"/>
  <c r="D60" i="33"/>
  <c r="D62" i="33" s="1"/>
  <c r="D64" i="33" s="1"/>
  <c r="B60" i="33"/>
  <c r="B62" i="33" s="1"/>
  <c r="C35" i="33"/>
  <c r="C60" i="33"/>
  <c r="C62" i="33" s="1"/>
  <c r="C64" i="33" s="1"/>
  <c r="B30" i="32"/>
  <c r="C15" i="32"/>
  <c r="B15" i="32"/>
  <c r="C68" i="31"/>
  <c r="B68" i="31"/>
  <c r="H80" i="50" s="1"/>
  <c r="C48" i="31"/>
  <c r="C49" i="31" s="1"/>
  <c r="C64" i="31" s="1"/>
  <c r="B48" i="31"/>
  <c r="C19" i="31"/>
  <c r="C13" i="31"/>
  <c r="B19" i="31"/>
  <c r="B13" i="31"/>
  <c r="C24" i="31"/>
  <c r="C71" i="31" s="1"/>
  <c r="B24" i="31"/>
  <c r="B71" i="31" l="1"/>
  <c r="H85" i="50" s="1"/>
  <c r="C74" i="32"/>
  <c r="C75" i="32" s="1"/>
  <c r="C84" i="32"/>
  <c r="C86" i="32" s="1"/>
  <c r="B74" i="32"/>
  <c r="B75" i="32" s="1"/>
  <c r="B84" i="32"/>
  <c r="B86" i="32" s="1"/>
  <c r="B85" i="31"/>
  <c r="H96" i="50" s="1"/>
  <c r="C85" i="31"/>
  <c r="C75" i="31"/>
  <c r="C80" i="31"/>
  <c r="C69" i="31"/>
  <c r="E53" i="31"/>
  <c r="E81" i="31"/>
  <c r="E76" i="31"/>
  <c r="C51" i="31"/>
  <c r="D51" i="31"/>
  <c r="D75" i="31"/>
  <c r="D80" i="31"/>
  <c r="F53" i="31"/>
  <c r="F81" i="31"/>
  <c r="F76" i="31"/>
  <c r="D69" i="31"/>
  <c r="B64" i="33"/>
  <c r="D57" i="32"/>
  <c r="D59" i="32" s="1"/>
  <c r="C57" i="32"/>
  <c r="C59" i="32" s="1"/>
  <c r="B31" i="32"/>
  <c r="C31" i="32"/>
  <c r="B57" i="32"/>
  <c r="B49" i="31"/>
  <c r="B64" i="31" s="1"/>
  <c r="C25" i="31"/>
  <c r="C26" i="31" s="1"/>
  <c r="B25" i="31"/>
  <c r="B26" i="31" s="1"/>
  <c r="B117" i="30"/>
  <c r="H97" i="51" s="1"/>
  <c r="B116" i="30"/>
  <c r="H96" i="51" s="1"/>
  <c r="C112" i="30"/>
  <c r="C113" i="30"/>
  <c r="C102" i="30"/>
  <c r="C85" i="30"/>
  <c r="C86" i="30" s="1"/>
  <c r="C90" i="30" s="1"/>
  <c r="C92" i="30" s="1"/>
  <c r="C95" i="30" s="1"/>
  <c r="C63" i="30"/>
  <c r="C119" i="30" s="1"/>
  <c r="C58" i="30"/>
  <c r="B112" i="30"/>
  <c r="B102" i="30"/>
  <c r="B85" i="30"/>
  <c r="B86" i="30" s="1"/>
  <c r="B90" i="30" s="1"/>
  <c r="B92" i="30" s="1"/>
  <c r="B95" i="30" s="1"/>
  <c r="B63" i="30"/>
  <c r="B58" i="30"/>
  <c r="H86" i="50" l="1"/>
  <c r="H87" i="50"/>
  <c r="B75" i="31"/>
  <c r="H76" i="50"/>
  <c r="C53" i="31"/>
  <c r="C81" i="31"/>
  <c r="C76" i="31"/>
  <c r="D53" i="31"/>
  <c r="D81" i="31"/>
  <c r="D76" i="31"/>
  <c r="C78" i="32"/>
  <c r="C77" i="32"/>
  <c r="C61" i="32"/>
  <c r="C63" i="32" s="1"/>
  <c r="D77" i="32"/>
  <c r="D78" i="32"/>
  <c r="D61" i="32"/>
  <c r="D63" i="32" s="1"/>
  <c r="B51" i="31"/>
  <c r="B69" i="31"/>
  <c r="H81" i="50" s="1"/>
  <c r="B80" i="31"/>
  <c r="B65" i="30"/>
  <c r="B119" i="30"/>
  <c r="C64" i="30"/>
  <c r="C65" i="30" s="1"/>
  <c r="C114" i="30"/>
  <c r="B59" i="32"/>
  <c r="B61" i="32" s="1"/>
  <c r="B31" i="29"/>
  <c r="C31" i="29"/>
  <c r="E23" i="29"/>
  <c r="E31" i="29" s="1"/>
  <c r="E52" i="29" s="1"/>
  <c r="F23" i="29"/>
  <c r="F31" i="29" s="1"/>
  <c r="F52" i="29" s="1"/>
  <c r="G23" i="29"/>
  <c r="G31" i="29" s="1"/>
  <c r="G52" i="29" s="1"/>
  <c r="H23" i="29"/>
  <c r="H31" i="29" s="1"/>
  <c r="H52" i="29" s="1"/>
  <c r="I23" i="29"/>
  <c r="I31" i="29" s="1"/>
  <c r="I52" i="29" s="1"/>
  <c r="J23" i="29"/>
  <c r="J31" i="29" s="1"/>
  <c r="J52" i="29" s="1"/>
  <c r="K23" i="29"/>
  <c r="K31" i="29" s="1"/>
  <c r="K36" i="29" s="1"/>
  <c r="L23" i="29"/>
  <c r="D23" i="29"/>
  <c r="D31" i="29" s="1"/>
  <c r="L19" i="29"/>
  <c r="D36" i="29" l="1"/>
  <c r="D52" i="29"/>
  <c r="C36" i="29"/>
  <c r="C37" i="29" s="1"/>
  <c r="C52" i="29"/>
  <c r="B36" i="29"/>
  <c r="B52" i="29"/>
  <c r="B63" i="32"/>
  <c r="B77" i="32"/>
  <c r="H74" i="52" s="1"/>
  <c r="B78" i="32"/>
  <c r="H75" i="52" s="1"/>
  <c r="B53" i="31"/>
  <c r="B81" i="31"/>
  <c r="H92" i="50" s="1"/>
  <c r="B76" i="31"/>
  <c r="B37" i="29"/>
  <c r="I36" i="29"/>
  <c r="I37" i="29" s="1"/>
  <c r="E36" i="29"/>
  <c r="E37" i="29" s="1"/>
  <c r="L31" i="29"/>
  <c r="G36" i="29"/>
  <c r="G37" i="29" s="1"/>
  <c r="F36" i="29"/>
  <c r="F37" i="29" s="1"/>
  <c r="K37" i="29"/>
  <c r="D37" i="29"/>
  <c r="J36" i="29"/>
  <c r="J37" i="29" s="1"/>
  <c r="H36" i="29"/>
  <c r="H37" i="29" s="1"/>
  <c r="G186" i="16"/>
  <c r="L36" i="29" l="1"/>
  <c r="L37" i="29" s="1"/>
  <c r="B139" i="17"/>
  <c r="B161" i="16"/>
  <c r="C161" i="16"/>
  <c r="D161" i="16"/>
  <c r="F161" i="16"/>
  <c r="G161" i="16"/>
  <c r="H161" i="16"/>
  <c r="I161" i="16"/>
  <c r="J161" i="16"/>
  <c r="M161" i="16"/>
  <c r="N161" i="16"/>
  <c r="O161" i="16"/>
  <c r="C164" i="16"/>
  <c r="C165" i="16"/>
  <c r="C166" i="16"/>
  <c r="G166" i="16"/>
  <c r="H166" i="16"/>
  <c r="B179" i="16" s="1"/>
  <c r="J166" i="16"/>
  <c r="M166" i="16"/>
  <c r="N166" i="16"/>
  <c r="B170" i="16"/>
  <c r="C170" i="16"/>
  <c r="D170" i="16"/>
  <c r="F170" i="16"/>
  <c r="G170" i="16"/>
  <c r="H170" i="16"/>
  <c r="I170" i="16"/>
  <c r="B171" i="16"/>
  <c r="C171" i="16"/>
  <c r="D171" i="16"/>
  <c r="F171" i="16"/>
  <c r="G171" i="16"/>
  <c r="H171" i="16"/>
  <c r="I171" i="16"/>
  <c r="J171" i="16"/>
  <c r="K171" i="16"/>
  <c r="M171" i="16"/>
  <c r="N171" i="16"/>
  <c r="O171" i="16"/>
  <c r="P171" i="16"/>
  <c r="K98" i="16"/>
  <c r="D98" i="16"/>
  <c r="B14" i="16"/>
  <c r="B183" i="16"/>
  <c r="B182" i="16"/>
  <c r="B206" i="16"/>
  <c r="B205" i="16"/>
  <c r="B204" i="16"/>
  <c r="B178" i="16" l="1"/>
  <c r="B184" i="16"/>
  <c r="N144" i="17" l="1"/>
  <c r="O144" i="17"/>
  <c r="P144" i="17"/>
  <c r="M144" i="17"/>
  <c r="K144" i="17"/>
  <c r="J144" i="17"/>
  <c r="C30" i="27" l="1"/>
  <c r="B30" i="27"/>
  <c r="D29" i="27"/>
  <c r="E29" i="27" s="1"/>
  <c r="D28" i="27"/>
  <c r="E28" i="27" s="1"/>
  <c r="J20" i="27"/>
  <c r="J21" i="27" s="1"/>
  <c r="H7" i="27"/>
  <c r="H8" i="27"/>
  <c r="H9" i="27"/>
  <c r="H10" i="27"/>
  <c r="H11" i="27"/>
  <c r="H12" i="27"/>
  <c r="H13" i="27"/>
  <c r="H14" i="27"/>
  <c r="H15" i="27"/>
  <c r="H16" i="27"/>
  <c r="H17" i="27"/>
  <c r="H18" i="27"/>
  <c r="H6" i="27"/>
  <c r="G7" i="27"/>
  <c r="G8" i="27"/>
  <c r="G9" i="27"/>
  <c r="G10" i="27"/>
  <c r="G11" i="27"/>
  <c r="G12" i="27"/>
  <c r="G13" i="27"/>
  <c r="G14" i="27"/>
  <c r="G15" i="27"/>
  <c r="G16" i="27"/>
  <c r="G17" i="27"/>
  <c r="G18" i="27"/>
  <c r="G6" i="27"/>
  <c r="H21" i="27" l="1"/>
  <c r="G20" i="27"/>
  <c r="H20" i="27"/>
  <c r="G21" i="27"/>
  <c r="D30" i="27"/>
  <c r="E30" i="27" s="1"/>
  <c r="B26" i="26"/>
  <c r="B29" i="26" s="1"/>
  <c r="C26" i="26"/>
  <c r="C29" i="26" s="1"/>
  <c r="E26" i="26"/>
  <c r="E29" i="26" s="1"/>
  <c r="F26" i="26"/>
  <c r="F29" i="26" s="1"/>
  <c r="G26" i="26"/>
  <c r="G29" i="26" s="1"/>
  <c r="H26" i="26"/>
  <c r="H29" i="26" s="1"/>
  <c r="I26" i="26"/>
  <c r="I29" i="26" s="1"/>
  <c r="J26" i="26"/>
  <c r="J29" i="26" s="1"/>
  <c r="K26" i="26"/>
  <c r="K29" i="26" s="1"/>
  <c r="D26" i="26"/>
  <c r="D29" i="26" s="1"/>
  <c r="B15" i="26"/>
  <c r="B18" i="26" s="1"/>
  <c r="C15" i="26"/>
  <c r="C18" i="26" s="1"/>
  <c r="E15" i="26"/>
  <c r="E18" i="26" s="1"/>
  <c r="F15" i="26"/>
  <c r="F18" i="26" s="1"/>
  <c r="G15" i="26"/>
  <c r="G18" i="26" s="1"/>
  <c r="H15" i="26"/>
  <c r="H18" i="26" s="1"/>
  <c r="I15" i="26"/>
  <c r="I18" i="26" s="1"/>
  <c r="J15" i="26"/>
  <c r="J18" i="26" s="1"/>
  <c r="K15" i="26"/>
  <c r="K18" i="26" s="1"/>
  <c r="D15" i="26"/>
  <c r="D18" i="26" s="1"/>
  <c r="P140" i="17"/>
  <c r="P139" i="17"/>
  <c r="C139" i="17"/>
  <c r="D139" i="17"/>
  <c r="E139" i="17"/>
  <c r="F139" i="17"/>
  <c r="B140" i="17"/>
  <c r="C140" i="17"/>
  <c r="D140" i="17"/>
  <c r="E140" i="17"/>
  <c r="F140" i="17"/>
  <c r="G140" i="17"/>
  <c r="H140" i="17"/>
  <c r="J140" i="17"/>
  <c r="J139" i="17"/>
  <c r="K140" i="17"/>
  <c r="K139" i="17"/>
  <c r="M140" i="17"/>
  <c r="M139" i="17"/>
  <c r="N140" i="17"/>
  <c r="N139" i="17"/>
  <c r="O140" i="17"/>
  <c r="O139" i="17"/>
  <c r="J131" i="17"/>
  <c r="K131" i="17"/>
  <c r="M131" i="17"/>
  <c r="N131" i="17"/>
  <c r="O131" i="17"/>
  <c r="P131" i="17"/>
  <c r="B8" i="24" l="1"/>
  <c r="B9" i="24"/>
  <c r="C9" i="24"/>
  <c r="E8" i="24"/>
  <c r="D9" i="24"/>
  <c r="E9" i="24"/>
  <c r="F9" i="24"/>
  <c r="F8" i="24"/>
  <c r="K29" i="23" l="1"/>
  <c r="K23" i="23"/>
  <c r="K22" i="23"/>
  <c r="F24" i="23"/>
  <c r="K15" i="23"/>
  <c r="K13" i="23"/>
  <c r="K17" i="23" s="1"/>
  <c r="F19" i="23"/>
  <c r="B47" i="23"/>
  <c r="B37" i="23"/>
  <c r="B42" i="23"/>
  <c r="B33" i="23"/>
  <c r="F15" i="23"/>
  <c r="F8" i="23"/>
  <c r="F7" i="23"/>
  <c r="C5" i="23"/>
  <c r="C9" i="23" s="1"/>
  <c r="D5" i="23"/>
  <c r="D9" i="23" s="1"/>
  <c r="E5" i="23"/>
  <c r="E9" i="23" s="1"/>
  <c r="B5" i="23"/>
  <c r="B9" i="23" s="1"/>
  <c r="F4" i="23"/>
  <c r="F2" i="23"/>
  <c r="K24" i="23" l="1"/>
  <c r="F27" i="23"/>
  <c r="K26" i="23"/>
  <c r="K27" i="23" s="1"/>
  <c r="K31" i="23" s="1"/>
  <c r="F5" i="23"/>
  <c r="F9" i="23" s="1"/>
  <c r="I24" i="22"/>
  <c r="I32" i="22" s="1"/>
  <c r="B24" i="22"/>
  <c r="B32" i="22" s="1"/>
  <c r="F31" i="22"/>
  <c r="F21" i="22"/>
  <c r="F24" i="22" s="1"/>
  <c r="I11" i="22"/>
  <c r="K11" i="22"/>
  <c r="L11" i="22"/>
  <c r="M11" i="22"/>
  <c r="N11" i="22"/>
  <c r="O11" i="22"/>
  <c r="P11" i="22"/>
  <c r="C14" i="22"/>
  <c r="D14" i="22"/>
  <c r="E14" i="22"/>
  <c r="F14" i="22"/>
  <c r="G14" i="22"/>
  <c r="G104" i="22" s="1"/>
  <c r="G139" i="22" s="1"/>
  <c r="I14" i="22"/>
  <c r="J14" i="22"/>
  <c r="K14" i="22"/>
  <c r="L14" i="22"/>
  <c r="M14" i="22"/>
  <c r="N14" i="22"/>
  <c r="O14" i="22"/>
  <c r="P14" i="22"/>
  <c r="B14" i="22"/>
  <c r="P89" i="22"/>
  <c r="O89" i="22"/>
  <c r="M89" i="22"/>
  <c r="L87" i="22"/>
  <c r="L89" i="22" s="1"/>
  <c r="K87" i="22"/>
  <c r="K89" i="22" s="1"/>
  <c r="J87" i="22"/>
  <c r="J89" i="22" s="1"/>
  <c r="F75" i="22"/>
  <c r="F79" i="22" s="1"/>
  <c r="F129" i="22" s="1"/>
  <c r="P71" i="22"/>
  <c r="P80" i="22" s="1"/>
  <c r="P86" i="22" s="1"/>
  <c r="O71" i="22"/>
  <c r="N71" i="22"/>
  <c r="M71" i="22"/>
  <c r="L71" i="22"/>
  <c r="K71" i="22"/>
  <c r="J71" i="22"/>
  <c r="G71" i="22"/>
  <c r="F71" i="22"/>
  <c r="E71" i="22"/>
  <c r="D71" i="22"/>
  <c r="C71" i="22"/>
  <c r="J63" i="22"/>
  <c r="O58" i="22"/>
  <c r="O64" i="22" s="1"/>
  <c r="N58" i="22"/>
  <c r="N64" i="22" s="1"/>
  <c r="M58" i="22"/>
  <c r="M64" i="22" s="1"/>
  <c r="J53" i="22"/>
  <c r="G53" i="22"/>
  <c r="F53" i="22"/>
  <c r="F58" i="22" s="1"/>
  <c r="F64" i="22" s="1"/>
  <c r="F66" i="22" s="1"/>
  <c r="E53" i="22"/>
  <c r="E58" i="22" s="1"/>
  <c r="E64" i="22" s="1"/>
  <c r="D53" i="22"/>
  <c r="C53" i="22"/>
  <c r="P31" i="22"/>
  <c r="O31" i="22"/>
  <c r="N31" i="22"/>
  <c r="M31" i="22"/>
  <c r="L31" i="22"/>
  <c r="K31" i="22"/>
  <c r="J31" i="22"/>
  <c r="G31" i="22"/>
  <c r="G107" i="22" s="1"/>
  <c r="E31" i="22"/>
  <c r="D31" i="22"/>
  <c r="C31" i="22"/>
  <c r="B107" i="22" s="1"/>
  <c r="P21" i="22"/>
  <c r="P24" i="22" s="1"/>
  <c r="O21" i="22"/>
  <c r="N21" i="22"/>
  <c r="N24" i="22" s="1"/>
  <c r="M21" i="22"/>
  <c r="M24" i="22" s="1"/>
  <c r="L21" i="22"/>
  <c r="L24" i="22" s="1"/>
  <c r="K21" i="22"/>
  <c r="J21" i="22"/>
  <c r="J24" i="22" s="1"/>
  <c r="G21" i="22"/>
  <c r="G24" i="22" s="1"/>
  <c r="E21" i="22"/>
  <c r="E24" i="22" s="1"/>
  <c r="D21" i="22"/>
  <c r="C21" i="22"/>
  <c r="C24" i="22" s="1"/>
  <c r="K16" i="22"/>
  <c r="J16" i="22"/>
  <c r="G16" i="22"/>
  <c r="F16" i="22"/>
  <c r="E16" i="22"/>
  <c r="J6" i="22"/>
  <c r="J11" i="22" s="1"/>
  <c r="G6" i="22"/>
  <c r="G11" i="22" s="1"/>
  <c r="F6" i="22"/>
  <c r="F11" i="22" s="1"/>
  <c r="E6" i="22"/>
  <c r="E11" i="22" s="1"/>
  <c r="D6" i="22"/>
  <c r="D11" i="22" s="1"/>
  <c r="C6" i="22"/>
  <c r="F80" i="22" l="1"/>
  <c r="F86" i="22" s="1"/>
  <c r="E66" i="22"/>
  <c r="E80" i="22" s="1"/>
  <c r="E86" i="22" s="1"/>
  <c r="E129" i="22"/>
  <c r="M66" i="22"/>
  <c r="M80" i="22" s="1"/>
  <c r="M86" i="22" s="1"/>
  <c r="M129" i="22"/>
  <c r="N66" i="22"/>
  <c r="N80" i="22" s="1"/>
  <c r="N86" i="22" s="1"/>
  <c r="N129" i="22"/>
  <c r="O66" i="22"/>
  <c r="O80" i="22" s="1"/>
  <c r="O86" i="22" s="1"/>
  <c r="O129" i="22"/>
  <c r="K129" i="22"/>
  <c r="K80" i="22"/>
  <c r="K86" i="22" s="1"/>
  <c r="L129" i="22"/>
  <c r="L80" i="22"/>
  <c r="L86" i="22" s="1"/>
  <c r="D107" i="22"/>
  <c r="K107" i="22"/>
  <c r="O107" i="22"/>
  <c r="D106" i="22"/>
  <c r="D134" i="22" s="1"/>
  <c r="M107" i="22"/>
  <c r="O104" i="22"/>
  <c r="O139" i="22" s="1"/>
  <c r="K104" i="22"/>
  <c r="K139" i="22" s="1"/>
  <c r="N104" i="22"/>
  <c r="N139" i="22" s="1"/>
  <c r="M104" i="22"/>
  <c r="M139" i="22" s="1"/>
  <c r="D104" i="22"/>
  <c r="D139" i="22" s="1"/>
  <c r="G106" i="22"/>
  <c r="G134" i="22" s="1"/>
  <c r="F107" i="22"/>
  <c r="E107" i="22"/>
  <c r="L107" i="22"/>
  <c r="E104" i="22"/>
  <c r="E139" i="22" s="1"/>
  <c r="L106" i="22"/>
  <c r="L134" i="22" s="1"/>
  <c r="J104" i="22"/>
  <c r="J139" i="22" s="1"/>
  <c r="F104" i="22"/>
  <c r="F139" i="22" s="1"/>
  <c r="B17" i="22"/>
  <c r="B104" i="22"/>
  <c r="B139" i="22" s="1"/>
  <c r="J107" i="22"/>
  <c r="N107" i="22"/>
  <c r="L104" i="22"/>
  <c r="L139" i="22" s="1"/>
  <c r="C104" i="22"/>
  <c r="C139" i="22" s="1"/>
  <c r="H104" i="22"/>
  <c r="H139" i="22" s="1"/>
  <c r="D24" i="22"/>
  <c r="D32" i="22" s="1"/>
  <c r="C106" i="22"/>
  <c r="C134" i="22" s="1"/>
  <c r="K24" i="22"/>
  <c r="K32" i="22" s="1"/>
  <c r="K106" i="22"/>
  <c r="K134" i="22" s="1"/>
  <c r="O24" i="22"/>
  <c r="O32" i="22" s="1"/>
  <c r="O106" i="22"/>
  <c r="O134" i="22" s="1"/>
  <c r="N106" i="22"/>
  <c r="N134" i="22" s="1"/>
  <c r="J106" i="22"/>
  <c r="J134" i="22" s="1"/>
  <c r="F106" i="22"/>
  <c r="F134" i="22" s="1"/>
  <c r="B106" i="22"/>
  <c r="B134" i="22" s="1"/>
  <c r="C107" i="22"/>
  <c r="M106" i="22"/>
  <c r="M134" i="22" s="1"/>
  <c r="E106" i="22"/>
  <c r="E134" i="22" s="1"/>
  <c r="F17" i="22"/>
  <c r="F32" i="22"/>
  <c r="P90" i="22"/>
  <c r="G17" i="22"/>
  <c r="G105" i="22" s="1"/>
  <c r="D17" i="22"/>
  <c r="L17" i="22"/>
  <c r="N32" i="22"/>
  <c r="M32" i="22"/>
  <c r="P32" i="22"/>
  <c r="J32" i="22"/>
  <c r="J17" i="22"/>
  <c r="E17" i="22"/>
  <c r="O17" i="22"/>
  <c r="K17" i="22"/>
  <c r="N17" i="22"/>
  <c r="I17" i="22"/>
  <c r="M17" i="22"/>
  <c r="P17" i="22"/>
  <c r="C11" i="22"/>
  <c r="C17" i="22" s="1"/>
  <c r="E32" i="22"/>
  <c r="L32" i="22"/>
  <c r="C58" i="22"/>
  <c r="C64" i="22" s="1"/>
  <c r="G58" i="22"/>
  <c r="G64" i="22" s="1"/>
  <c r="C32" i="22"/>
  <c r="D58" i="22"/>
  <c r="D64" i="22" s="1"/>
  <c r="J58" i="22"/>
  <c r="J64" i="22" s="1"/>
  <c r="J66" i="22" l="1"/>
  <c r="J80" i="22" s="1"/>
  <c r="J86" i="22" s="1"/>
  <c r="J129" i="22"/>
  <c r="D66" i="22"/>
  <c r="D80" i="22" s="1"/>
  <c r="D86" i="22" s="1"/>
  <c r="D129" i="22"/>
  <c r="G66" i="22"/>
  <c r="G80" i="22" s="1"/>
  <c r="G86" i="22" s="1"/>
  <c r="G129" i="22"/>
  <c r="C66" i="22"/>
  <c r="C80" i="22" s="1"/>
  <c r="C86" i="22" s="1"/>
  <c r="C129" i="22"/>
  <c r="B124" i="22"/>
  <c r="D112" i="22"/>
  <c r="G112" i="22"/>
  <c r="F112" i="22"/>
  <c r="E124" i="22"/>
  <c r="E112" i="22"/>
  <c r="F105" i="22"/>
  <c r="F111" i="22" s="1"/>
  <c r="B105" i="22"/>
  <c r="K105" i="22"/>
  <c r="K115" i="22" s="1"/>
  <c r="J112" i="22"/>
  <c r="N112" i="22"/>
  <c r="M112" i="22"/>
  <c r="G115" i="22"/>
  <c r="B120" i="22"/>
  <c r="K112" i="22"/>
  <c r="K120" i="22"/>
  <c r="K124" i="22"/>
  <c r="F90" i="22"/>
  <c r="N124" i="22"/>
  <c r="N120" i="22"/>
  <c r="N105" i="22"/>
  <c r="L90" i="22"/>
  <c r="O112" i="22"/>
  <c r="M120" i="22"/>
  <c r="M124" i="22"/>
  <c r="O120" i="22"/>
  <c r="O124" i="22"/>
  <c r="L112" i="22"/>
  <c r="G133" i="22"/>
  <c r="G135" i="22" s="1"/>
  <c r="B33" i="22"/>
  <c r="J105" i="22"/>
  <c r="J115" i="22" s="1"/>
  <c r="G114" i="22"/>
  <c r="G111" i="22"/>
  <c r="C112" i="22"/>
  <c r="B112" i="22"/>
  <c r="E105" i="22"/>
  <c r="M105" i="22"/>
  <c r="D105" i="22"/>
  <c r="C105" i="22"/>
  <c r="H105" i="22"/>
  <c r="O33" i="22"/>
  <c r="O105" i="22"/>
  <c r="O119" i="22" s="1"/>
  <c r="L105" i="22"/>
  <c r="P33" i="22"/>
  <c r="G32" i="22"/>
  <c r="J33" i="22"/>
  <c r="E33" i="22"/>
  <c r="F33" i="22"/>
  <c r="K33" i="22"/>
  <c r="D33" i="22"/>
  <c r="C33" i="22"/>
  <c r="L33" i="22"/>
  <c r="N33" i="22"/>
  <c r="M33" i="22"/>
  <c r="B143" i="22" l="1"/>
  <c r="F115" i="22"/>
  <c r="E120" i="22"/>
  <c r="F133" i="22"/>
  <c r="F135" i="22" s="1"/>
  <c r="E143" i="22"/>
  <c r="B133" i="22"/>
  <c r="B135" i="22" s="1"/>
  <c r="B115" i="22"/>
  <c r="B111" i="22"/>
  <c r="B119" i="22"/>
  <c r="F114" i="22"/>
  <c r="B114" i="22"/>
  <c r="M143" i="22"/>
  <c r="K133" i="22"/>
  <c r="K135" i="22" s="1"/>
  <c r="O143" i="22"/>
  <c r="K111" i="22"/>
  <c r="K143" i="22"/>
  <c r="K119" i="22"/>
  <c r="K114" i="22"/>
  <c r="N143" i="22"/>
  <c r="C114" i="22"/>
  <c r="D133" i="22"/>
  <c r="D135" i="22" s="1"/>
  <c r="C115" i="22"/>
  <c r="M119" i="22"/>
  <c r="N115" i="22"/>
  <c r="L114" i="22"/>
  <c r="L133" i="22"/>
  <c r="L135" i="22" s="1"/>
  <c r="L115" i="22"/>
  <c r="E133" i="22"/>
  <c r="E135" i="22" s="1"/>
  <c r="E114" i="22"/>
  <c r="E115" i="22"/>
  <c r="E111" i="22"/>
  <c r="O114" i="22"/>
  <c r="O133" i="22"/>
  <c r="O135" i="22" s="1"/>
  <c r="O111" i="22"/>
  <c r="O115" i="22"/>
  <c r="C111" i="22"/>
  <c r="J114" i="22"/>
  <c r="J111" i="22"/>
  <c r="L111" i="22"/>
  <c r="N133" i="22"/>
  <c r="N135" i="22" s="1"/>
  <c r="N114" i="22"/>
  <c r="N111" i="22"/>
  <c r="N90" i="22"/>
  <c r="N125" i="22"/>
  <c r="D114" i="22"/>
  <c r="D111" i="22"/>
  <c r="D115" i="22"/>
  <c r="G124" i="22"/>
  <c r="O90" i="22"/>
  <c r="O125" i="22"/>
  <c r="M90" i="22"/>
  <c r="M125" i="22"/>
  <c r="L124" i="22"/>
  <c r="L119" i="22"/>
  <c r="L120" i="22"/>
  <c r="L143" i="22"/>
  <c r="K90" i="22"/>
  <c r="K125" i="22"/>
  <c r="E119" i="22"/>
  <c r="J133" i="22"/>
  <c r="J135" i="22" s="1"/>
  <c r="J143" i="22"/>
  <c r="J124" i="22"/>
  <c r="J119" i="22"/>
  <c r="J120" i="22"/>
  <c r="M114" i="22"/>
  <c r="M115" i="22"/>
  <c r="M111" i="22"/>
  <c r="M133" i="22"/>
  <c r="M135" i="22" s="1"/>
  <c r="C133" i="22"/>
  <c r="C135" i="22" s="1"/>
  <c r="N119" i="22"/>
  <c r="F143" i="22"/>
  <c r="F124" i="22"/>
  <c r="F119" i="22"/>
  <c r="F120" i="22"/>
  <c r="G33" i="22"/>
  <c r="D24" i="20"/>
  <c r="B96" i="22" l="1"/>
  <c r="B125" i="22"/>
  <c r="E125" i="22"/>
  <c r="E90" i="22"/>
  <c r="F125" i="22"/>
  <c r="J90" i="22"/>
  <c r="J125" i="22"/>
  <c r="C143" i="22"/>
  <c r="C120" i="22"/>
  <c r="C124" i="22"/>
  <c r="C119" i="22"/>
  <c r="L125" i="22"/>
  <c r="D143" i="22"/>
  <c r="D124" i="22"/>
  <c r="D119" i="22"/>
  <c r="D120" i="22"/>
  <c r="G119" i="22"/>
  <c r="G120" i="22"/>
  <c r="D50" i="20"/>
  <c r="D54" i="20"/>
  <c r="D58" i="20"/>
  <c r="D62" i="20"/>
  <c r="D49" i="20"/>
  <c r="D53" i="20"/>
  <c r="D57" i="20"/>
  <c r="D61" i="20"/>
  <c r="D51" i="20"/>
  <c r="D59" i="20"/>
  <c r="D48" i="20"/>
  <c r="D52" i="20"/>
  <c r="D56" i="20"/>
  <c r="D60" i="20"/>
  <c r="D64" i="20"/>
  <c r="D55" i="20"/>
  <c r="D63" i="20"/>
  <c r="D28" i="20"/>
  <c r="D29" i="20" s="1"/>
  <c r="C24" i="20"/>
  <c r="E24" i="20"/>
  <c r="F24" i="20"/>
  <c r="G24" i="20"/>
  <c r="H24" i="20"/>
  <c r="I24" i="20"/>
  <c r="B24" i="20"/>
  <c r="B48" i="20" l="1"/>
  <c r="B64" i="20"/>
  <c r="G143" i="22"/>
  <c r="G90" i="22"/>
  <c r="G125" i="22"/>
  <c r="D90" i="22"/>
  <c r="D125" i="22"/>
  <c r="C90" i="22"/>
  <c r="C125" i="22"/>
  <c r="H28" i="20"/>
  <c r="H29" i="20" s="1"/>
  <c r="H50" i="20"/>
  <c r="H54" i="20"/>
  <c r="H58" i="20"/>
  <c r="H62" i="20"/>
  <c r="H64" i="20"/>
  <c r="H59" i="20"/>
  <c r="H49" i="20"/>
  <c r="H53" i="20"/>
  <c r="H57" i="20"/>
  <c r="H61" i="20"/>
  <c r="H55" i="20"/>
  <c r="H63" i="20"/>
  <c r="H48" i="20"/>
  <c r="H52" i="20"/>
  <c r="H56" i="20"/>
  <c r="H60" i="20"/>
  <c r="H51" i="20"/>
  <c r="F28" i="20"/>
  <c r="F29" i="20" s="1"/>
  <c r="F48" i="20"/>
  <c r="F52" i="20"/>
  <c r="F56" i="20"/>
  <c r="F60" i="20"/>
  <c r="F64" i="20"/>
  <c r="F57" i="20"/>
  <c r="F51" i="20"/>
  <c r="F55" i="20"/>
  <c r="F59" i="20"/>
  <c r="F63" i="20"/>
  <c r="F61" i="20"/>
  <c r="F50" i="20"/>
  <c r="F54" i="20"/>
  <c r="F58" i="20"/>
  <c r="F62" i="20"/>
  <c r="F49" i="20"/>
  <c r="F53" i="20"/>
  <c r="I28" i="20"/>
  <c r="I29" i="20" s="1"/>
  <c r="I50" i="20"/>
  <c r="I54" i="20"/>
  <c r="I58" i="20"/>
  <c r="I62" i="20"/>
  <c r="I60" i="20"/>
  <c r="I57" i="20"/>
  <c r="I51" i="20"/>
  <c r="I55" i="20"/>
  <c r="I59" i="20"/>
  <c r="I63" i="20"/>
  <c r="I52" i="20"/>
  <c r="I64" i="20"/>
  <c r="I53" i="20"/>
  <c r="I48" i="20"/>
  <c r="I56" i="20"/>
  <c r="I49" i="20"/>
  <c r="I61" i="20"/>
  <c r="E28" i="20"/>
  <c r="E29" i="20" s="1"/>
  <c r="E51" i="20"/>
  <c r="E55" i="20"/>
  <c r="E59" i="20"/>
  <c r="E63" i="20"/>
  <c r="E56" i="20"/>
  <c r="E64" i="20"/>
  <c r="E50" i="20"/>
  <c r="E54" i="20"/>
  <c r="E58" i="20"/>
  <c r="E62" i="20"/>
  <c r="E48" i="20"/>
  <c r="E52" i="20"/>
  <c r="E49" i="20"/>
  <c r="E53" i="20"/>
  <c r="E57" i="20"/>
  <c r="E61" i="20"/>
  <c r="E60" i="20"/>
  <c r="C28" i="20"/>
  <c r="C29" i="20" s="1"/>
  <c r="C49" i="20"/>
  <c r="C53" i="20"/>
  <c r="C57" i="20"/>
  <c r="C61" i="20"/>
  <c r="C54" i="20"/>
  <c r="C48" i="20"/>
  <c r="C52" i="20"/>
  <c r="C56" i="20"/>
  <c r="C60" i="20"/>
  <c r="C64" i="20"/>
  <c r="C63" i="20"/>
  <c r="C58" i="20"/>
  <c r="C62" i="20"/>
  <c r="C51" i="20"/>
  <c r="C55" i="20"/>
  <c r="C59" i="20"/>
  <c r="C50" i="20"/>
  <c r="G28" i="20"/>
  <c r="G29" i="20" s="1"/>
  <c r="G49" i="20"/>
  <c r="G53" i="20"/>
  <c r="G57" i="20"/>
  <c r="G61" i="20"/>
  <c r="G63" i="20"/>
  <c r="G50" i="20"/>
  <c r="G62" i="20"/>
  <c r="G48" i="20"/>
  <c r="G52" i="20"/>
  <c r="G56" i="20"/>
  <c r="G60" i="20"/>
  <c r="G64" i="20"/>
  <c r="G54" i="20"/>
  <c r="G51" i="20"/>
  <c r="G55" i="20"/>
  <c r="G59" i="20"/>
  <c r="G58" i="20"/>
  <c r="B28" i="20"/>
  <c r="B29" i="20" s="1"/>
  <c r="B52" i="20"/>
  <c r="B56" i="20"/>
  <c r="B60" i="20"/>
  <c r="B49" i="20"/>
  <c r="B53" i="20"/>
  <c r="B61" i="20"/>
  <c r="B51" i="20"/>
  <c r="B55" i="20"/>
  <c r="B59" i="20"/>
  <c r="B63" i="20"/>
  <c r="B50" i="20"/>
  <c r="B54" i="20"/>
  <c r="B58" i="20"/>
  <c r="B62" i="20"/>
  <c r="B57" i="20"/>
  <c r="F10" i="13"/>
  <c r="E10" i="13"/>
  <c r="D10" i="13"/>
  <c r="C10" i="13"/>
  <c r="B10" i="13"/>
  <c r="B187" i="8"/>
  <c r="M134" i="17"/>
  <c r="P134" i="17"/>
  <c r="B122" i="17" l="1"/>
  <c r="B79" i="17"/>
  <c r="B80" i="17" s="1"/>
  <c r="B83" i="17" s="1"/>
  <c r="C134" i="17"/>
  <c r="C133" i="17"/>
  <c r="C122" i="17"/>
  <c r="C79" i="17"/>
  <c r="C80" i="17" s="1"/>
  <c r="C83" i="17" s="1"/>
  <c r="D134" i="17"/>
  <c r="D133" i="17"/>
  <c r="D122" i="17"/>
  <c r="D79" i="17"/>
  <c r="D80" i="17" s="1"/>
  <c r="D83" i="17" s="1"/>
  <c r="H78" i="17"/>
  <c r="E79" i="17"/>
  <c r="F79" i="17"/>
  <c r="G79" i="17"/>
  <c r="G80" i="17" s="1"/>
  <c r="G83" i="17" s="1"/>
  <c r="C135" i="17" l="1"/>
  <c r="D135" i="17"/>
  <c r="H75" i="17"/>
  <c r="E134" i="17"/>
  <c r="E133" i="17"/>
  <c r="E80" i="17"/>
  <c r="E83" i="17" s="1"/>
  <c r="F104" i="17"/>
  <c r="F7" i="17"/>
  <c r="H139" i="17" l="1"/>
  <c r="G139" i="17"/>
  <c r="E135" i="17"/>
  <c r="F134" i="17"/>
  <c r="F133" i="17"/>
  <c r="F102" i="17"/>
  <c r="F80" i="17"/>
  <c r="F83" i="17" s="1"/>
  <c r="F63" i="17"/>
  <c r="F144" i="17" s="1"/>
  <c r="F53" i="17"/>
  <c r="F13" i="17"/>
  <c r="F18" i="17" s="1"/>
  <c r="G104" i="17"/>
  <c r="G63" i="17"/>
  <c r="G144" i="17" s="1"/>
  <c r="H63" i="17"/>
  <c r="H103" i="17"/>
  <c r="H134" i="17"/>
  <c r="H102" i="17"/>
  <c r="H53" i="17"/>
  <c r="H7" i="17"/>
  <c r="H13" i="17" s="1"/>
  <c r="H18" i="17" s="1"/>
  <c r="G7" i="17"/>
  <c r="H131" i="17" l="1"/>
  <c r="H144" i="17"/>
  <c r="F131" i="17"/>
  <c r="G131" i="17"/>
  <c r="F135" i="17"/>
  <c r="G102" i="17"/>
  <c r="G53" i="17"/>
  <c r="G13" i="17"/>
  <c r="G18" i="17" s="1"/>
  <c r="J77" i="17"/>
  <c r="J7" i="17"/>
  <c r="J13" i="17" s="1"/>
  <c r="J18" i="17" s="1"/>
  <c r="K109" i="17"/>
  <c r="K77" i="17"/>
  <c r="K79" i="17" s="1"/>
  <c r="K80" i="17" s="1"/>
  <c r="K83" i="17" s="1"/>
  <c r="K7" i="17"/>
  <c r="K13" i="17" s="1"/>
  <c r="K18" i="17" s="1"/>
  <c r="K134" i="17"/>
  <c r="K102" i="17"/>
  <c r="K53" i="17"/>
  <c r="J102" i="17"/>
  <c r="J53" i="17"/>
  <c r="M77" i="17"/>
  <c r="M6" i="17"/>
  <c r="H77" i="17" l="1"/>
  <c r="H79" i="17" s="1"/>
  <c r="H80" i="17" s="1"/>
  <c r="H83" i="17" s="1"/>
  <c r="J133" i="17"/>
  <c r="G135" i="17"/>
  <c r="J135" i="17"/>
  <c r="K133" i="17"/>
  <c r="K135" i="17" s="1"/>
  <c r="J79" i="17"/>
  <c r="J80" i="17" s="1"/>
  <c r="J83" i="17" s="1"/>
  <c r="M102" i="17"/>
  <c r="M79" i="17"/>
  <c r="M80" i="17" s="1"/>
  <c r="M53" i="17"/>
  <c r="M13" i="17"/>
  <c r="M18" i="17" s="1"/>
  <c r="H130" i="8"/>
  <c r="G130" i="8"/>
  <c r="S85" i="17" s="1"/>
  <c r="N77" i="17"/>
  <c r="N133" i="17" s="1"/>
  <c r="N135" i="17" s="1"/>
  <c r="N6" i="17"/>
  <c r="H133" i="17" l="1"/>
  <c r="H135" i="17" s="1"/>
  <c r="M83" i="17"/>
  <c r="M133" i="17"/>
  <c r="M135" i="17" s="1"/>
  <c r="N102" i="17"/>
  <c r="N53" i="17"/>
  <c r="N13" i="17"/>
  <c r="N18" i="17" s="1"/>
  <c r="O53" i="17"/>
  <c r="P53" i="17"/>
  <c r="B100" i="8"/>
  <c r="C100" i="8"/>
  <c r="D100" i="8"/>
  <c r="E100" i="8"/>
  <c r="F100" i="8"/>
  <c r="O6" i="17"/>
  <c r="O13" i="17" s="1"/>
  <c r="O18" i="17" s="1"/>
  <c r="O102" i="17"/>
  <c r="P133" i="17"/>
  <c r="P79" i="17"/>
  <c r="P80" i="17" s="1"/>
  <c r="P83" i="17" s="1"/>
  <c r="P6" i="17"/>
  <c r="P13" i="17" s="1"/>
  <c r="P18" i="17" s="1"/>
  <c r="O79" i="17" l="1"/>
  <c r="O80" i="17" s="1"/>
  <c r="O83" i="17" s="1"/>
  <c r="N79" i="17"/>
  <c r="N80" i="17" s="1"/>
  <c r="O135" i="17"/>
  <c r="P135" i="17"/>
  <c r="B188" i="16"/>
  <c r="B118" i="16"/>
  <c r="B108" i="16"/>
  <c r="B99" i="16"/>
  <c r="B78" i="16"/>
  <c r="F3" i="167" s="1"/>
  <c r="B73" i="16"/>
  <c r="B70" i="16"/>
  <c r="B21" i="16"/>
  <c r="D108" i="16"/>
  <c r="C108" i="16"/>
  <c r="D118" i="16"/>
  <c r="D99" i="16"/>
  <c r="D78" i="16"/>
  <c r="D73" i="16"/>
  <c r="D70" i="16"/>
  <c r="D21" i="16"/>
  <c r="D14" i="16"/>
  <c r="E4" i="167" l="1"/>
  <c r="N83" i="17"/>
  <c r="R80" i="17"/>
  <c r="D120" i="16"/>
  <c r="D129" i="16" s="1"/>
  <c r="D131" i="16" s="1"/>
  <c r="D136" i="16" s="1"/>
  <c r="D143" i="16" s="1"/>
  <c r="D146" i="16" s="1"/>
  <c r="D163" i="16" s="1"/>
  <c r="B120" i="16"/>
  <c r="B129" i="16" s="1"/>
  <c r="B131" i="16" s="1"/>
  <c r="B136" i="16" s="1"/>
  <c r="B143" i="16" s="1"/>
  <c r="B146" i="16" s="1"/>
  <c r="B163" i="16" s="1"/>
  <c r="B42" i="16"/>
  <c r="D42" i="16"/>
  <c r="C118" i="16"/>
  <c r="C99" i="16"/>
  <c r="C78" i="16"/>
  <c r="C73" i="16"/>
  <c r="C70" i="16"/>
  <c r="C21" i="16"/>
  <c r="C14" i="16"/>
  <c r="B150" i="16" l="1"/>
  <c r="D150" i="16"/>
  <c r="D174" i="16"/>
  <c r="C120" i="16"/>
  <c r="C129" i="16" s="1"/>
  <c r="C131" i="16" s="1"/>
  <c r="C136" i="16" s="1"/>
  <c r="C143" i="16" s="1"/>
  <c r="C146" i="16" s="1"/>
  <c r="C42" i="16"/>
  <c r="F118" i="16"/>
  <c r="F108" i="16"/>
  <c r="F99" i="16"/>
  <c r="F78" i="16"/>
  <c r="F73" i="16"/>
  <c r="F70" i="16"/>
  <c r="F21" i="16"/>
  <c r="F14" i="16"/>
  <c r="C150" i="16" l="1"/>
  <c r="C163" i="16"/>
  <c r="B174" i="16"/>
  <c r="C174" i="16"/>
  <c r="F120" i="16"/>
  <c r="F129" i="16" s="1"/>
  <c r="F131" i="16" s="1"/>
  <c r="F136" i="16" s="1"/>
  <c r="F143" i="16" s="1"/>
  <c r="F146" i="16" s="1"/>
  <c r="F42" i="16"/>
  <c r="G118" i="16"/>
  <c r="G108" i="16"/>
  <c r="G99" i="16"/>
  <c r="G78" i="16"/>
  <c r="G73" i="16"/>
  <c r="G70" i="16"/>
  <c r="G21" i="16"/>
  <c r="G14" i="16"/>
  <c r="H108" i="16"/>
  <c r="H118" i="16"/>
  <c r="H99" i="16"/>
  <c r="H78" i="16"/>
  <c r="H73" i="16"/>
  <c r="H70" i="16"/>
  <c r="H21" i="16"/>
  <c r="H14" i="16"/>
  <c r="I108" i="16"/>
  <c r="J108" i="16"/>
  <c r="I73" i="16"/>
  <c r="K73" i="16"/>
  <c r="J73" i="16"/>
  <c r="I70" i="16"/>
  <c r="I13" i="16"/>
  <c r="I14" i="16" s="1"/>
  <c r="I118" i="16"/>
  <c r="I99" i="16"/>
  <c r="I78" i="16"/>
  <c r="I21" i="16"/>
  <c r="F150" i="16" l="1"/>
  <c r="F163" i="16"/>
  <c r="B185" i="16"/>
  <c r="G120" i="16"/>
  <c r="G129" i="16" s="1"/>
  <c r="G131" i="16" s="1"/>
  <c r="G136" i="16" s="1"/>
  <c r="G143" i="16" s="1"/>
  <c r="G146" i="16" s="1"/>
  <c r="G42" i="16"/>
  <c r="H120" i="16"/>
  <c r="H129" i="16" s="1"/>
  <c r="H131" i="16" s="1"/>
  <c r="H136" i="16" s="1"/>
  <c r="H42" i="16"/>
  <c r="I120" i="16"/>
  <c r="I42" i="16"/>
  <c r="B212" i="16"/>
  <c r="K141" i="16"/>
  <c r="K118" i="16"/>
  <c r="J118" i="16"/>
  <c r="J120" i="16" s="1"/>
  <c r="J129" i="16" s="1"/>
  <c r="J131" i="16" s="1"/>
  <c r="J136" i="16" s="1"/>
  <c r="J143" i="16" s="1"/>
  <c r="J146" i="16" s="1"/>
  <c r="J163" i="16" s="1"/>
  <c r="K70" i="16"/>
  <c r="J70" i="16"/>
  <c r="K21" i="16"/>
  <c r="J21" i="16"/>
  <c r="K14" i="16"/>
  <c r="J14" i="16"/>
  <c r="J99" i="16"/>
  <c r="J78" i="16"/>
  <c r="G150" i="16" l="1"/>
  <c r="G163" i="16"/>
  <c r="F174" i="16"/>
  <c r="K42" i="16"/>
  <c r="H143" i="16"/>
  <c r="H146" i="16" s="1"/>
  <c r="G174" i="16"/>
  <c r="I129" i="16"/>
  <c r="I131" i="16" s="1"/>
  <c r="I136" i="16" s="1"/>
  <c r="I143" i="16" s="1"/>
  <c r="I146" i="16" s="1"/>
  <c r="I163" i="16" s="1"/>
  <c r="J42" i="16"/>
  <c r="J150" i="16"/>
  <c r="K108" i="16"/>
  <c r="K120" i="16" s="1"/>
  <c r="K129" i="16" s="1"/>
  <c r="K131" i="16" s="1"/>
  <c r="K136" i="16" s="1"/>
  <c r="K99" i="16"/>
  <c r="K78" i="16"/>
  <c r="M73" i="16"/>
  <c r="M70" i="16"/>
  <c r="M26" i="16"/>
  <c r="M9" i="16"/>
  <c r="M14" i="16" s="1"/>
  <c r="M141" i="16"/>
  <c r="M118" i="16"/>
  <c r="M108" i="16"/>
  <c r="M99" i="16"/>
  <c r="M78" i="16"/>
  <c r="H150" i="16" l="1"/>
  <c r="H163" i="16"/>
  <c r="I150" i="16"/>
  <c r="I174" i="16"/>
  <c r="M42" i="16"/>
  <c r="K146" i="16"/>
  <c r="K163" i="16" s="1"/>
  <c r="J174" i="16"/>
  <c r="M121" i="16"/>
  <c r="M132" i="16" s="1"/>
  <c r="N26" i="16"/>
  <c r="N9" i="16"/>
  <c r="N14" i="16" s="1"/>
  <c r="N141" i="16"/>
  <c r="N118" i="16"/>
  <c r="N108" i="16"/>
  <c r="N99" i="16"/>
  <c r="N78" i="16"/>
  <c r="N73" i="16"/>
  <c r="N70" i="16"/>
  <c r="B203" i="16" l="1"/>
  <c r="H174" i="16"/>
  <c r="M136" i="16"/>
  <c r="M146" i="16" s="1"/>
  <c r="M163" i="16" s="1"/>
  <c r="K150" i="16"/>
  <c r="K174" i="16"/>
  <c r="N42" i="16"/>
  <c r="N121" i="16"/>
  <c r="N132" i="16" s="1"/>
  <c r="N136" i="16" s="1"/>
  <c r="N146" i="16" s="1"/>
  <c r="N163" i="16" s="1"/>
  <c r="P141" i="16"/>
  <c r="O141" i="16"/>
  <c r="J30" i="46" s="1"/>
  <c r="J41" i="46" s="1"/>
  <c r="P118" i="16"/>
  <c r="O118" i="16"/>
  <c r="P108" i="16"/>
  <c r="O108" i="16"/>
  <c r="O73" i="16"/>
  <c r="O33" i="16"/>
  <c r="O26" i="16"/>
  <c r="O9" i="16"/>
  <c r="O14" i="16" s="1"/>
  <c r="B181" i="16"/>
  <c r="O99" i="16"/>
  <c r="O78" i="16"/>
  <c r="O70" i="16"/>
  <c r="P99" i="16"/>
  <c r="P78" i="16"/>
  <c r="P74" i="16"/>
  <c r="P73" i="16" s="1"/>
  <c r="P70" i="16"/>
  <c r="P33" i="16"/>
  <c r="P26" i="16"/>
  <c r="P9" i="16"/>
  <c r="P14" i="16" s="1"/>
  <c r="K30" i="64" l="1"/>
  <c r="K41" i="64" s="1"/>
  <c r="L30" i="125"/>
  <c r="L41" i="125" s="1"/>
  <c r="M30" i="148"/>
  <c r="M41" i="148" s="1"/>
  <c r="F186" i="16"/>
  <c r="G3" i="167"/>
  <c r="J29" i="45"/>
  <c r="J36" i="45" s="1"/>
  <c r="B176" i="16"/>
  <c r="B201" i="16" s="1"/>
  <c r="M150" i="16"/>
  <c r="N174" i="16"/>
  <c r="N150" i="16"/>
  <c r="P121" i="16"/>
  <c r="P132" i="16" s="1"/>
  <c r="P136" i="16" s="1"/>
  <c r="P146" i="16" s="1"/>
  <c r="P163" i="16" s="1"/>
  <c r="O121" i="16"/>
  <c r="O132" i="16" s="1"/>
  <c r="O136" i="16" s="1"/>
  <c r="O146" i="16" s="1"/>
  <c r="O163" i="16" s="1"/>
  <c r="P42" i="16"/>
  <c r="O42" i="16"/>
  <c r="B175" i="8"/>
  <c r="C175" i="8"/>
  <c r="D175" i="8"/>
  <c r="E175" i="8"/>
  <c r="E147" i="8"/>
  <c r="F147" i="8"/>
  <c r="G147" i="8"/>
  <c r="D147" i="8"/>
  <c r="D146" i="8"/>
  <c r="E146" i="8"/>
  <c r="F146" i="8"/>
  <c r="G146" i="8"/>
  <c r="C146" i="8"/>
  <c r="H108" i="8"/>
  <c r="G108" i="8"/>
  <c r="F175" i="8" s="1"/>
  <c r="H107" i="8"/>
  <c r="G107" i="8"/>
  <c r="H106" i="8"/>
  <c r="G106" i="8"/>
  <c r="C168" i="6"/>
  <c r="F4" i="167" l="1"/>
  <c r="M174" i="16"/>
  <c r="P150" i="16"/>
  <c r="O150" i="16"/>
  <c r="C90" i="11"/>
  <c r="D90" i="11"/>
  <c r="E90" i="11"/>
  <c r="F90" i="11"/>
  <c r="G90" i="11"/>
  <c r="B90" i="11"/>
  <c r="G164" i="8"/>
  <c r="D178" i="8"/>
  <c r="E178" i="8"/>
  <c r="C178" i="8"/>
  <c r="L155" i="6"/>
  <c r="J139" i="6"/>
  <c r="J138" i="6"/>
  <c r="B202" i="16" l="1"/>
  <c r="B210" i="16" s="1"/>
  <c r="B213" i="16" s="1"/>
  <c r="B177" i="16"/>
  <c r="O174" i="16"/>
  <c r="D155" i="6"/>
  <c r="E155" i="6"/>
  <c r="F155" i="6"/>
  <c r="G155" i="6"/>
  <c r="J155" i="6"/>
  <c r="K155" i="6"/>
  <c r="C155" i="6"/>
  <c r="E158" i="6" l="1"/>
  <c r="E159" i="6" s="1"/>
  <c r="F158" i="6"/>
  <c r="E166" i="6" s="1"/>
  <c r="D171" i="6"/>
  <c r="C118" i="11"/>
  <c r="D118" i="11"/>
  <c r="E118" i="11"/>
  <c r="F118" i="11"/>
  <c r="G118" i="11"/>
  <c r="B118" i="11"/>
  <c r="E177" i="8"/>
  <c r="E179" i="8" s="1"/>
  <c r="E25" i="217" s="1"/>
  <c r="G167" i="6"/>
  <c r="H167" i="6"/>
  <c r="I167" i="6"/>
  <c r="J167" i="6"/>
  <c r="K167" i="6"/>
  <c r="L167" i="6"/>
  <c r="G168" i="6"/>
  <c r="H168" i="6"/>
  <c r="I168" i="6"/>
  <c r="J168" i="6"/>
  <c r="K168" i="6"/>
  <c r="L168" i="6"/>
  <c r="G171" i="6"/>
  <c r="H171" i="6"/>
  <c r="J171" i="6"/>
  <c r="K171" i="6"/>
  <c r="L171" i="6"/>
  <c r="E167" i="6"/>
  <c r="E168" i="6"/>
  <c r="E171" i="6"/>
  <c r="E122" i="17" l="1"/>
  <c r="E169" i="6"/>
  <c r="E172" i="6" s="1"/>
  <c r="E165" i="6" s="1"/>
  <c r="D172" i="6"/>
  <c r="D165" i="6" s="1"/>
  <c r="F176" i="6"/>
  <c r="F168" i="6"/>
  <c r="F171" i="6"/>
  <c r="F167" i="6"/>
  <c r="H151" i="8" l="1"/>
  <c r="H132" i="8"/>
  <c r="H145" i="8" s="1"/>
  <c r="H142" i="8" l="1"/>
  <c r="C57" i="8"/>
  <c r="D57" i="8"/>
  <c r="E57" i="8"/>
  <c r="F57" i="8"/>
  <c r="G57" i="8"/>
  <c r="H57" i="8"/>
  <c r="I57" i="8"/>
  <c r="B57" i="8"/>
  <c r="M154" i="6"/>
  <c r="J136" i="6"/>
  <c r="C70" i="2" l="1"/>
  <c r="D70" i="2"/>
  <c r="E70" i="2"/>
  <c r="F70" i="2"/>
  <c r="G70" i="2"/>
  <c r="H70" i="2"/>
  <c r="I70" i="2"/>
  <c r="J70" i="2"/>
  <c r="K70" i="2"/>
  <c r="L70" i="2"/>
  <c r="C105" i="2" s="1"/>
  <c r="C71" i="2"/>
  <c r="D71" i="2"/>
  <c r="E71" i="2"/>
  <c r="F71" i="2"/>
  <c r="G71" i="2"/>
  <c r="H71" i="2"/>
  <c r="I71" i="2"/>
  <c r="J71" i="2"/>
  <c r="K71" i="2"/>
  <c r="L71" i="2"/>
  <c r="C73" i="2"/>
  <c r="D73" i="2"/>
  <c r="E73" i="2"/>
  <c r="F73" i="2"/>
  <c r="G73" i="2"/>
  <c r="H73" i="2"/>
  <c r="I73" i="2"/>
  <c r="J73" i="2"/>
  <c r="K73" i="2"/>
  <c r="L73" i="2"/>
  <c r="C74" i="2"/>
  <c r="D74" i="2"/>
  <c r="E74" i="2"/>
  <c r="F74" i="2"/>
  <c r="G74" i="2"/>
  <c r="H74" i="2"/>
  <c r="I74" i="2"/>
  <c r="J74" i="2"/>
  <c r="K74" i="2"/>
  <c r="L74" i="2"/>
  <c r="C75" i="2"/>
  <c r="D75" i="2"/>
  <c r="E75" i="2"/>
  <c r="F75" i="2"/>
  <c r="G75" i="2"/>
  <c r="H75" i="2"/>
  <c r="I75" i="2"/>
  <c r="J75" i="2"/>
  <c r="K75" i="2"/>
  <c r="C80" i="2"/>
  <c r="D80" i="2"/>
  <c r="E80" i="2"/>
  <c r="F80" i="2"/>
  <c r="G80" i="2"/>
  <c r="H80" i="2"/>
  <c r="I80" i="2"/>
  <c r="J80" i="2"/>
  <c r="K80" i="2"/>
  <c r="L80" i="2"/>
  <c r="C153" i="2"/>
  <c r="C150" i="2"/>
  <c r="C148" i="2"/>
  <c r="D127" i="2"/>
  <c r="E127" i="2"/>
  <c r="F127" i="2"/>
  <c r="G127" i="2"/>
  <c r="H127" i="2"/>
  <c r="I127" i="2"/>
  <c r="J127" i="2"/>
  <c r="K127" i="2"/>
  <c r="L127" i="2"/>
  <c r="M127" i="2"/>
  <c r="C127" i="2"/>
  <c r="E39" i="2"/>
  <c r="F39" i="2"/>
  <c r="G39" i="2"/>
  <c r="H39" i="2"/>
  <c r="I39" i="2"/>
  <c r="J39" i="2"/>
  <c r="K39" i="2"/>
  <c r="L39" i="2"/>
  <c r="M39" i="2"/>
  <c r="D39" i="2"/>
  <c r="C86" i="2" l="1"/>
  <c r="C110" i="2"/>
  <c r="C109" i="2"/>
  <c r="C106" i="2"/>
  <c r="C152" i="2"/>
  <c r="C151" i="2"/>
  <c r="C149" i="2"/>
  <c r="C150" i="6"/>
  <c r="D150" i="6"/>
  <c r="E150" i="6"/>
  <c r="F150" i="6"/>
  <c r="G150" i="6"/>
  <c r="H150" i="6"/>
  <c r="I150" i="6"/>
  <c r="C112" i="2" l="1"/>
  <c r="C155" i="2"/>
  <c r="C183" i="8"/>
  <c r="D183" i="8"/>
  <c r="E183" i="8"/>
  <c r="C184" i="8"/>
  <c r="D184" i="8"/>
  <c r="E184" i="8"/>
  <c r="B184" i="8"/>
  <c r="B183" i="8"/>
  <c r="D112" i="2" l="1"/>
  <c r="D107" i="2"/>
  <c r="D108" i="2"/>
  <c r="D111" i="2"/>
  <c r="C113" i="2"/>
  <c r="D110" i="2"/>
  <c r="D106" i="2"/>
  <c r="D109" i="2"/>
  <c r="F159" i="6"/>
  <c r="G158" i="6"/>
  <c r="H158" i="6"/>
  <c r="I158" i="6"/>
  <c r="J158" i="6"/>
  <c r="K158" i="6"/>
  <c r="D154" i="6"/>
  <c r="E154" i="6"/>
  <c r="F154" i="6"/>
  <c r="G154" i="6"/>
  <c r="H154" i="6"/>
  <c r="I154" i="6"/>
  <c r="J154" i="6"/>
  <c r="K154" i="6"/>
  <c r="L154" i="6"/>
  <c r="C154" i="6"/>
  <c r="D157" i="6"/>
  <c r="E157" i="6"/>
  <c r="F157" i="6"/>
  <c r="G157" i="6"/>
  <c r="H157" i="6"/>
  <c r="I157" i="6"/>
  <c r="J157" i="6"/>
  <c r="K157" i="6"/>
  <c r="L157" i="6"/>
  <c r="M157" i="6"/>
  <c r="C157" i="6"/>
  <c r="C156" i="6"/>
  <c r="D156" i="6"/>
  <c r="E156" i="6"/>
  <c r="F156" i="6"/>
  <c r="G156" i="6"/>
  <c r="H156" i="6"/>
  <c r="I156" i="6"/>
  <c r="J156" i="6"/>
  <c r="K156" i="6"/>
  <c r="L156" i="6"/>
  <c r="M156" i="6"/>
  <c r="J159" i="6" l="1"/>
  <c r="J166" i="6"/>
  <c r="J169" i="6" s="1"/>
  <c r="J172" i="6" s="1"/>
  <c r="J165" i="6" s="1"/>
  <c r="I159" i="6"/>
  <c r="I166" i="6"/>
  <c r="I169" i="6" s="1"/>
  <c r="H159" i="6"/>
  <c r="H166" i="6"/>
  <c r="H169" i="6" s="1"/>
  <c r="H172" i="6" s="1"/>
  <c r="H165" i="6" s="1"/>
  <c r="K159" i="6"/>
  <c r="G159" i="6"/>
  <c r="G166" i="6"/>
  <c r="G169" i="6" s="1"/>
  <c r="G172" i="6" s="1"/>
  <c r="G165" i="6" s="1"/>
  <c r="F166" i="6"/>
  <c r="F169" i="6" s="1"/>
  <c r="F172" i="6" s="1"/>
  <c r="F165" i="6" s="1"/>
  <c r="C107" i="11"/>
  <c r="D107" i="11"/>
  <c r="E107" i="11"/>
  <c r="F107" i="11"/>
  <c r="G107" i="11"/>
  <c r="C108" i="11"/>
  <c r="D108" i="11"/>
  <c r="E108" i="11"/>
  <c r="F108" i="11"/>
  <c r="G108" i="11"/>
  <c r="B108" i="11"/>
  <c r="D152" i="6" l="1"/>
  <c r="E152" i="6"/>
  <c r="F152" i="6"/>
  <c r="G152" i="6"/>
  <c r="H152" i="6"/>
  <c r="I152" i="6"/>
  <c r="J152" i="6"/>
  <c r="K152" i="6"/>
  <c r="L152" i="6"/>
  <c r="M152" i="6"/>
  <c r="C152" i="6"/>
  <c r="B121" i="11"/>
  <c r="B122" i="11"/>
  <c r="B125" i="11"/>
  <c r="B123" i="11" l="1"/>
  <c r="C91" i="11"/>
  <c r="D91" i="11"/>
  <c r="E91" i="11"/>
  <c r="F91" i="11"/>
  <c r="G91" i="11"/>
  <c r="B91" i="11"/>
  <c r="B77" i="11"/>
  <c r="B79" i="11" s="1"/>
  <c r="B64" i="11"/>
  <c r="B106" i="11" s="1"/>
  <c r="B47" i="11"/>
  <c r="B32" i="11"/>
  <c r="B20" i="11"/>
  <c r="C15" i="11"/>
  <c r="B15" i="11"/>
  <c r="B7" i="11"/>
  <c r="B10" i="11" s="1"/>
  <c r="C77" i="11"/>
  <c r="C79" i="11" s="1"/>
  <c r="C64" i="11"/>
  <c r="C106" i="11" s="1"/>
  <c r="C110" i="11" s="1"/>
  <c r="C53" i="11"/>
  <c r="C32" i="11"/>
  <c r="C20" i="11"/>
  <c r="C10" i="11"/>
  <c r="D74" i="11"/>
  <c r="D77" i="11"/>
  <c r="D79" i="11" s="1"/>
  <c r="D64" i="11"/>
  <c r="D106" i="11" s="1"/>
  <c r="D110" i="11" s="1"/>
  <c r="D53" i="11"/>
  <c r="D32" i="11"/>
  <c r="D20" i="11"/>
  <c r="D10" i="11"/>
  <c r="D16" i="11" s="1"/>
  <c r="E79" i="11"/>
  <c r="E74" i="11"/>
  <c r="E64" i="11"/>
  <c r="E106" i="11" s="1"/>
  <c r="E110" i="11" s="1"/>
  <c r="E53" i="11"/>
  <c r="E32" i="11"/>
  <c r="E20" i="11"/>
  <c r="E10" i="11"/>
  <c r="E16" i="11" s="1"/>
  <c r="F79" i="11"/>
  <c r="F74" i="11"/>
  <c r="F64" i="11"/>
  <c r="F106" i="11" s="1"/>
  <c r="F110" i="11" s="1"/>
  <c r="F53" i="11"/>
  <c r="B94" i="11" l="1"/>
  <c r="D94" i="11"/>
  <c r="C94" i="11"/>
  <c r="D116" i="11"/>
  <c r="C23" i="11"/>
  <c r="C33" i="11" s="1"/>
  <c r="C116" i="11"/>
  <c r="E23" i="11"/>
  <c r="E33" i="11" s="1"/>
  <c r="E34" i="11" s="1"/>
  <c r="B23" i="11"/>
  <c r="B33" i="11" s="1"/>
  <c r="B116" i="11"/>
  <c r="D98" i="11"/>
  <c r="D96" i="11"/>
  <c r="D97" i="11"/>
  <c r="F69" i="11"/>
  <c r="F75" i="11" s="1"/>
  <c r="B53" i="11"/>
  <c r="B69" i="11" s="1"/>
  <c r="B107" i="11"/>
  <c r="B110" i="11" s="1"/>
  <c r="C16" i="11"/>
  <c r="C98" i="11" s="1"/>
  <c r="B16" i="11"/>
  <c r="D69" i="11"/>
  <c r="C69" i="11"/>
  <c r="D93" i="11"/>
  <c r="D113" i="11" s="1"/>
  <c r="B93" i="11"/>
  <c r="B113" i="11" s="1"/>
  <c r="D23" i="11"/>
  <c r="D33" i="11" s="1"/>
  <c r="D34" i="11" s="1"/>
  <c r="C93" i="11"/>
  <c r="C113" i="11" s="1"/>
  <c r="D92" i="11"/>
  <c r="D112" i="11" s="1"/>
  <c r="E69" i="11"/>
  <c r="F32" i="11"/>
  <c r="F20" i="11"/>
  <c r="F10" i="11"/>
  <c r="F16" i="11" s="1"/>
  <c r="E96" i="11" s="1"/>
  <c r="E94" i="11" l="1"/>
  <c r="E116" i="11"/>
  <c r="B98" i="11"/>
  <c r="B34" i="11"/>
  <c r="E97" i="11"/>
  <c r="B96" i="11"/>
  <c r="B97" i="11"/>
  <c r="C96" i="11"/>
  <c r="C97" i="11"/>
  <c r="E98" i="11"/>
  <c r="C34" i="11"/>
  <c r="C92" i="11"/>
  <c r="C112" i="11" s="1"/>
  <c r="C114" i="11" s="1"/>
  <c r="B92" i="11"/>
  <c r="B112" i="11" s="1"/>
  <c r="B114" i="11" s="1"/>
  <c r="B75" i="11"/>
  <c r="B103" i="11"/>
  <c r="E75" i="11"/>
  <c r="E103" i="11"/>
  <c r="C75" i="11"/>
  <c r="C103" i="11"/>
  <c r="D75" i="11"/>
  <c r="D103" i="11"/>
  <c r="D114" i="11"/>
  <c r="E93" i="11"/>
  <c r="E113" i="11" s="1"/>
  <c r="F23" i="11"/>
  <c r="F33" i="11" s="1"/>
  <c r="F34" i="11" s="1"/>
  <c r="F81" i="11"/>
  <c r="E92" i="11"/>
  <c r="E112" i="11" s="1"/>
  <c r="G79" i="11"/>
  <c r="G74" i="11"/>
  <c r="G64" i="11"/>
  <c r="G106" i="11" s="1"/>
  <c r="G110" i="11" s="1"/>
  <c r="G53" i="11"/>
  <c r="H79" i="11"/>
  <c r="H74" i="11"/>
  <c r="H64" i="11"/>
  <c r="H53" i="11"/>
  <c r="H32" i="11"/>
  <c r="G32" i="11"/>
  <c r="H20" i="11"/>
  <c r="H23" i="11" s="1"/>
  <c r="G20" i="11"/>
  <c r="F101" i="11" s="1"/>
  <c r="H10" i="11"/>
  <c r="H16" i="11" s="1"/>
  <c r="G10" i="11"/>
  <c r="G16" i="11" s="1"/>
  <c r="H148" i="8"/>
  <c r="G151" i="8"/>
  <c r="G165" i="8" s="1"/>
  <c r="G148" i="8"/>
  <c r="H122" i="8"/>
  <c r="H175" i="8" s="1"/>
  <c r="H123" i="8"/>
  <c r="H124" i="8"/>
  <c r="H125" i="8"/>
  <c r="H129" i="8"/>
  <c r="H68" i="8"/>
  <c r="H109" i="8" s="1"/>
  <c r="H110" i="8" s="1"/>
  <c r="H58" i="8"/>
  <c r="H59" i="8"/>
  <c r="H60" i="8"/>
  <c r="H61" i="8"/>
  <c r="H42" i="8"/>
  <c r="H43" i="8" s="1"/>
  <c r="H31" i="8"/>
  <c r="H7" i="8"/>
  <c r="H18" i="8"/>
  <c r="H19" i="8" s="1"/>
  <c r="C136" i="9"/>
  <c r="E136" i="9" s="1"/>
  <c r="C137" i="9"/>
  <c r="E137" i="9" s="1"/>
  <c r="C138" i="9"/>
  <c r="E138" i="9" s="1"/>
  <c r="C139" i="9"/>
  <c r="E139" i="9" s="1"/>
  <c r="C140" i="9"/>
  <c r="E140" i="9" s="1"/>
  <c r="C141" i="9"/>
  <c r="E141" i="9" s="1"/>
  <c r="C142" i="9"/>
  <c r="E142" i="9" s="1"/>
  <c r="C143" i="9"/>
  <c r="E143" i="9" s="1"/>
  <c r="C144" i="9"/>
  <c r="E144" i="9" s="1"/>
  <c r="C145" i="9"/>
  <c r="E145" i="9" s="1"/>
  <c r="C146" i="9"/>
  <c r="E146" i="9" s="1"/>
  <c r="C135" i="9"/>
  <c r="E135" i="9" s="1"/>
  <c r="E110" i="9"/>
  <c r="E112" i="9"/>
  <c r="E113" i="9"/>
  <c r="E121" i="9"/>
  <c r="E122" i="9"/>
  <c r="E128" i="9"/>
  <c r="B132" i="9"/>
  <c r="B127" i="9"/>
  <c r="B111" i="9"/>
  <c r="C100" i="9"/>
  <c r="E100" i="9" s="1"/>
  <c r="C101" i="9"/>
  <c r="E101" i="9" s="1"/>
  <c r="C102" i="9"/>
  <c r="E102" i="9" s="1"/>
  <c r="C103" i="9"/>
  <c r="E103" i="9" s="1"/>
  <c r="C104" i="9"/>
  <c r="E104" i="9" s="1"/>
  <c r="C105" i="9"/>
  <c r="E105" i="9" s="1"/>
  <c r="C106" i="9"/>
  <c r="E106" i="9" s="1"/>
  <c r="C107" i="9"/>
  <c r="E107" i="9" s="1"/>
  <c r="C108" i="9"/>
  <c r="E108" i="9" s="1"/>
  <c r="C109" i="9"/>
  <c r="E109" i="9" s="1"/>
  <c r="C114" i="9"/>
  <c r="E114" i="9" s="1"/>
  <c r="C115" i="9"/>
  <c r="E115" i="9" s="1"/>
  <c r="C116" i="9"/>
  <c r="E116" i="9" s="1"/>
  <c r="C117" i="9"/>
  <c r="E117" i="9" s="1"/>
  <c r="C118" i="9"/>
  <c r="E118" i="9" s="1"/>
  <c r="C119" i="9"/>
  <c r="E119" i="9" s="1"/>
  <c r="C120" i="9"/>
  <c r="E120" i="9" s="1"/>
  <c r="C123" i="9"/>
  <c r="E123" i="9" s="1"/>
  <c r="C124" i="9"/>
  <c r="E124" i="9" s="1"/>
  <c r="C125" i="9"/>
  <c r="E125" i="9" s="1"/>
  <c r="C126" i="9"/>
  <c r="E126" i="9" s="1"/>
  <c r="C129" i="9"/>
  <c r="E129" i="9" s="1"/>
  <c r="C130" i="9"/>
  <c r="E130" i="9" s="1"/>
  <c r="C131" i="9"/>
  <c r="E131" i="9" s="1"/>
  <c r="C99" i="9"/>
  <c r="E99" i="9" s="1"/>
  <c r="C78" i="9"/>
  <c r="C83" i="9"/>
  <c r="C64" i="9"/>
  <c r="C33" i="9"/>
  <c r="C28" i="9"/>
  <c r="C127" i="9" s="1"/>
  <c r="C14" i="9"/>
  <c r="F179" i="8"/>
  <c r="F25" i="217" s="1"/>
  <c r="F148" i="8"/>
  <c r="F145" i="8"/>
  <c r="C141" i="8"/>
  <c r="C174" i="8" s="1"/>
  <c r="D141" i="8"/>
  <c r="D174" i="8" s="1"/>
  <c r="E141" i="8"/>
  <c r="E174" i="8" s="1"/>
  <c r="F141" i="8"/>
  <c r="F174" i="8" s="1"/>
  <c r="G141" i="8"/>
  <c r="G174" i="8" s="1"/>
  <c r="H141" i="8"/>
  <c r="H174" i="8" s="1"/>
  <c r="I141" i="8"/>
  <c r="B141" i="8"/>
  <c r="B174" i="8" s="1"/>
  <c r="C121" i="8"/>
  <c r="D121" i="8"/>
  <c r="E121" i="8"/>
  <c r="F121" i="8"/>
  <c r="G121" i="8"/>
  <c r="H121" i="8"/>
  <c r="B121" i="8"/>
  <c r="G132" i="8"/>
  <c r="G129" i="8"/>
  <c r="G123" i="8"/>
  <c r="G124" i="8"/>
  <c r="G177" i="8" s="1"/>
  <c r="G125" i="8"/>
  <c r="G122" i="8"/>
  <c r="G175" i="8" s="1"/>
  <c r="G68" i="8"/>
  <c r="G109" i="8" s="1"/>
  <c r="G110" i="8" s="1"/>
  <c r="G59" i="8"/>
  <c r="G60" i="8"/>
  <c r="G61" i="8"/>
  <c r="G58" i="8"/>
  <c r="G42" i="8"/>
  <c r="G43" i="8" s="1"/>
  <c r="F42" i="8"/>
  <c r="F43" i="8" s="1"/>
  <c r="G31" i="8"/>
  <c r="G18" i="8"/>
  <c r="G19" i="8" s="1"/>
  <c r="F18" i="8"/>
  <c r="F19" i="8" s="1"/>
  <c r="G7" i="8"/>
  <c r="F31" i="8"/>
  <c r="F7" i="8"/>
  <c r="F126" i="8"/>
  <c r="F127" i="8" s="1"/>
  <c r="E148" i="8"/>
  <c r="E145" i="8"/>
  <c r="F62" i="8"/>
  <c r="F67" i="8" s="1"/>
  <c r="E126" i="8"/>
  <c r="E127" i="8" s="1"/>
  <c r="E62" i="8"/>
  <c r="E67" i="8" s="1"/>
  <c r="D177" i="8"/>
  <c r="D145" i="8"/>
  <c r="D126" i="8"/>
  <c r="D127" i="8" s="1"/>
  <c r="D62" i="8"/>
  <c r="D67" i="8" s="1"/>
  <c r="C58" i="8"/>
  <c r="C62" i="8" s="1"/>
  <c r="C67" i="8" s="1"/>
  <c r="B58" i="8"/>
  <c r="B62" i="8" s="1"/>
  <c r="B67" i="8" s="1"/>
  <c r="C145" i="8"/>
  <c r="B145" i="8"/>
  <c r="C126" i="8"/>
  <c r="C127" i="8" s="1"/>
  <c r="C177" i="8"/>
  <c r="B126" i="8"/>
  <c r="B127" i="8" s="1"/>
  <c r="F83" i="8"/>
  <c r="F88" i="8"/>
  <c r="F94" i="8" s="1"/>
  <c r="S82" i="17" l="1"/>
  <c r="G94" i="11"/>
  <c r="F94" i="11"/>
  <c r="F104" i="11"/>
  <c r="G145" i="8"/>
  <c r="G161" i="8" s="1"/>
  <c r="S88" i="17"/>
  <c r="C132" i="9"/>
  <c r="E132" i="9" s="1"/>
  <c r="C111" i="9"/>
  <c r="E111" i="9" s="1"/>
  <c r="E127" i="9"/>
  <c r="H178" i="8"/>
  <c r="G163" i="8"/>
  <c r="G116" i="11"/>
  <c r="F116" i="11"/>
  <c r="G162" i="8"/>
  <c r="G178" i="8"/>
  <c r="H62" i="8"/>
  <c r="G62" i="8"/>
  <c r="G67" i="8" s="1"/>
  <c r="H126" i="8"/>
  <c r="H127" i="8" s="1"/>
  <c r="H177" i="8"/>
  <c r="G126" i="8"/>
  <c r="G127" i="8" s="1"/>
  <c r="D179" i="8"/>
  <c r="D25" i="217" s="1"/>
  <c r="G183" i="8"/>
  <c r="F183" i="8"/>
  <c r="F184" i="8"/>
  <c r="G184" i="8"/>
  <c r="G97" i="11"/>
  <c r="G96" i="11"/>
  <c r="G98" i="11"/>
  <c r="D81" i="11"/>
  <c r="D101" i="11"/>
  <c r="D104" i="11"/>
  <c r="E81" i="11"/>
  <c r="E101" i="11"/>
  <c r="E104" i="11"/>
  <c r="F97" i="11"/>
  <c r="F96" i="11"/>
  <c r="F103" i="11"/>
  <c r="C81" i="11"/>
  <c r="C104" i="11"/>
  <c r="C101" i="11"/>
  <c r="B81" i="11"/>
  <c r="B101" i="11"/>
  <c r="B104" i="11"/>
  <c r="F98" i="11"/>
  <c r="B100" i="11"/>
  <c r="C100" i="11"/>
  <c r="D100" i="11"/>
  <c r="E114" i="11"/>
  <c r="H69" i="11"/>
  <c r="H75" i="11" s="1"/>
  <c r="H81" i="11" s="1"/>
  <c r="H33" i="11"/>
  <c r="H34" i="11" s="1"/>
  <c r="G93" i="11"/>
  <c r="G113" i="11" s="1"/>
  <c r="G69" i="11"/>
  <c r="G103" i="11" s="1"/>
  <c r="G92" i="11"/>
  <c r="G112" i="11" s="1"/>
  <c r="F92" i="11"/>
  <c r="F112" i="11" s="1"/>
  <c r="E100" i="11"/>
  <c r="G23" i="11"/>
  <c r="G33" i="11" s="1"/>
  <c r="F93" i="11"/>
  <c r="F113" i="11" s="1"/>
  <c r="B179" i="8"/>
  <c r="B25" i="217" s="1"/>
  <c r="C179" i="8"/>
  <c r="C25" i="217" s="1"/>
  <c r="M49" i="6"/>
  <c r="M46" i="6"/>
  <c r="M37" i="6"/>
  <c r="M158" i="6" s="1"/>
  <c r="M159" i="6" s="1"/>
  <c r="L37" i="6"/>
  <c r="L158" i="6" s="1"/>
  <c r="L46" i="6"/>
  <c r="L49" i="6"/>
  <c r="M26" i="6"/>
  <c r="L26" i="6"/>
  <c r="K49" i="6"/>
  <c r="K48" i="6" s="1"/>
  <c r="K46" i="6"/>
  <c r="J49" i="6"/>
  <c r="J48" i="6" s="1"/>
  <c r="J46" i="6"/>
  <c r="I49" i="6"/>
  <c r="I48" i="6" s="1"/>
  <c r="I46" i="6"/>
  <c r="H49" i="6"/>
  <c r="H48" i="6" s="1"/>
  <c r="H46" i="6"/>
  <c r="H26" i="6"/>
  <c r="G49" i="6"/>
  <c r="G48" i="6" s="1"/>
  <c r="G46" i="6"/>
  <c r="G26" i="6"/>
  <c r="F49" i="6"/>
  <c r="F48" i="6" s="1"/>
  <c r="E49" i="6"/>
  <c r="E48" i="6" s="1"/>
  <c r="F46" i="6"/>
  <c r="F175" i="6" s="1"/>
  <c r="F177" i="6" s="1"/>
  <c r="F179" i="6" s="1"/>
  <c r="F174" i="6" s="1"/>
  <c r="F26" i="6"/>
  <c r="C46" i="6"/>
  <c r="C49" i="6"/>
  <c r="C48" i="6" s="1"/>
  <c r="D46" i="6"/>
  <c r="E46" i="6"/>
  <c r="C19" i="6"/>
  <c r="C15" i="6"/>
  <c r="C9" i="6"/>
  <c r="C12" i="6" s="1"/>
  <c r="I26" i="6" s="1"/>
  <c r="D49" i="6"/>
  <c r="D48" i="6" s="1"/>
  <c r="D19" i="6"/>
  <c r="D15" i="6"/>
  <c r="D12" i="6"/>
  <c r="J26" i="6" s="1"/>
  <c r="E19" i="6"/>
  <c r="E15" i="6"/>
  <c r="E12" i="6"/>
  <c r="K26" i="6" s="1"/>
  <c r="S80" i="17" l="1"/>
  <c r="H179" i="8"/>
  <c r="H25" i="217" s="1"/>
  <c r="G179" i="8"/>
  <c r="G25" i="217" s="1"/>
  <c r="G75" i="11"/>
  <c r="G101" i="11" s="1"/>
  <c r="L159" i="6"/>
  <c r="L166" i="6"/>
  <c r="L169" i="6" s="1"/>
  <c r="L172" i="6" s="1"/>
  <c r="L165" i="6" s="1"/>
  <c r="K166" i="6"/>
  <c r="K169" i="6" s="1"/>
  <c r="K172" i="6" s="1"/>
  <c r="K165" i="6" s="1"/>
  <c r="E26" i="6"/>
  <c r="M48" i="6"/>
  <c r="G34" i="11"/>
  <c r="F100" i="11"/>
  <c r="F114" i="11"/>
  <c r="G114" i="11"/>
  <c r="D26" i="6"/>
  <c r="C26" i="6"/>
  <c r="L48" i="6"/>
  <c r="C90" i="6"/>
  <c r="E90" i="6"/>
  <c r="F90" i="6"/>
  <c r="D75" i="6"/>
  <c r="D90" i="6" s="1"/>
  <c r="C79" i="6"/>
  <c r="D79" i="6"/>
  <c r="E79" i="6"/>
  <c r="G90" i="6"/>
  <c r="H90" i="6"/>
  <c r="J90" i="6"/>
  <c r="K90" i="6"/>
  <c r="L90" i="6"/>
  <c r="M90" i="6"/>
  <c r="G104" i="11" l="1"/>
  <c r="G81" i="11"/>
  <c r="G100" i="11"/>
  <c r="H154" i="8"/>
  <c r="G160" i="8"/>
  <c r="G167" i="8" s="1"/>
  <c r="C100" i="6"/>
  <c r="C101" i="6"/>
  <c r="P161" i="16" s="1"/>
  <c r="C102" i="6"/>
  <c r="C104" i="6"/>
  <c r="C105" i="6"/>
  <c r="C106" i="6"/>
  <c r="C113" i="6"/>
  <c r="C53" i="6"/>
  <c r="C153" i="6" s="1"/>
  <c r="D100" i="6"/>
  <c r="D101" i="6"/>
  <c r="D102" i="6"/>
  <c r="D104" i="6"/>
  <c r="D105" i="6"/>
  <c r="D106" i="6"/>
  <c r="D113" i="6"/>
  <c r="D53" i="6"/>
  <c r="D153" i="6" s="1"/>
  <c r="E100" i="6"/>
  <c r="E101" i="6"/>
  <c r="E102" i="6"/>
  <c r="E104" i="6"/>
  <c r="E105" i="6"/>
  <c r="E106" i="6"/>
  <c r="E113" i="6"/>
  <c r="E53" i="6"/>
  <c r="E153" i="6" s="1"/>
  <c r="F100" i="6"/>
  <c r="F101" i="6"/>
  <c r="F102" i="6"/>
  <c r="F104" i="6"/>
  <c r="F105" i="6"/>
  <c r="F106" i="6"/>
  <c r="F113" i="6"/>
  <c r="F53" i="6"/>
  <c r="F153" i="6" s="1"/>
  <c r="G100" i="6"/>
  <c r="H100" i="6"/>
  <c r="G101" i="6"/>
  <c r="H101" i="6"/>
  <c r="G102" i="6"/>
  <c r="H102" i="6"/>
  <c r="G104" i="6"/>
  <c r="H104" i="6"/>
  <c r="G105" i="6"/>
  <c r="H105" i="6"/>
  <c r="H106" i="6"/>
  <c r="G113" i="6"/>
  <c r="H113" i="6"/>
  <c r="G53" i="6"/>
  <c r="G153" i="6" s="1"/>
  <c r="I101" i="6"/>
  <c r="I102" i="6"/>
  <c r="I104" i="6"/>
  <c r="I105" i="6"/>
  <c r="I106" i="6"/>
  <c r="I113" i="6"/>
  <c r="I100" i="6"/>
  <c r="C71" i="6"/>
  <c r="D71" i="6"/>
  <c r="E71" i="6"/>
  <c r="F71" i="6"/>
  <c r="G71" i="6"/>
  <c r="H71" i="6"/>
  <c r="K81" i="6"/>
  <c r="I80" i="6"/>
  <c r="I155" i="6" s="1"/>
  <c r="H53" i="6"/>
  <c r="H153" i="6" s="1"/>
  <c r="I71" i="6"/>
  <c r="I53" i="6"/>
  <c r="I153" i="6" s="1"/>
  <c r="B180" i="16" l="1"/>
  <c r="B186" i="16" s="1"/>
  <c r="H159" i="8"/>
  <c r="G142" i="8"/>
  <c r="G154" i="8" s="1"/>
  <c r="I90" i="6"/>
  <c r="H155" i="6"/>
  <c r="I171" i="6"/>
  <c r="I172" i="6" s="1"/>
  <c r="I165" i="6" s="1"/>
  <c r="H151" i="6"/>
  <c r="G151" i="6"/>
  <c r="F151" i="6"/>
  <c r="E151" i="6"/>
  <c r="D151" i="6"/>
  <c r="C151" i="6"/>
  <c r="G117" i="6"/>
  <c r="I117" i="6"/>
  <c r="H117" i="6"/>
  <c r="E117" i="6"/>
  <c r="D117" i="6"/>
  <c r="F117" i="6"/>
  <c r="C117" i="6"/>
  <c r="J150" i="6"/>
  <c r="J100" i="6"/>
  <c r="K100" i="6"/>
  <c r="L100" i="6"/>
  <c r="M100" i="6"/>
  <c r="J106" i="6"/>
  <c r="J101" i="6"/>
  <c r="J102" i="6"/>
  <c r="J104" i="6"/>
  <c r="J105" i="6"/>
  <c r="J113" i="6"/>
  <c r="J83" i="6"/>
  <c r="J53" i="6"/>
  <c r="K150" i="6"/>
  <c r="K106" i="6"/>
  <c r="K104" i="6"/>
  <c r="K101" i="6"/>
  <c r="K102" i="6"/>
  <c r="K105" i="6"/>
  <c r="K113" i="6"/>
  <c r="K83" i="6"/>
  <c r="K71" i="6"/>
  <c r="K53" i="6"/>
  <c r="M150" i="6"/>
  <c r="L150" i="6"/>
  <c r="L101" i="6"/>
  <c r="L102" i="6"/>
  <c r="L104" i="6"/>
  <c r="L105" i="6"/>
  <c r="L106" i="6"/>
  <c r="L113" i="6"/>
  <c r="L84" i="6"/>
  <c r="L83" i="6" s="1"/>
  <c r="L63" i="6"/>
  <c r="L62" i="6"/>
  <c r="L71" i="6"/>
  <c r="L53" i="6"/>
  <c r="M83" i="6"/>
  <c r="M71" i="6"/>
  <c r="M63" i="6"/>
  <c r="M62" i="6"/>
  <c r="M53" i="6"/>
  <c r="H3" i="167" s="1"/>
  <c r="C94" i="2"/>
  <c r="C91" i="2"/>
  <c r="C162" i="2"/>
  <c r="C163" i="2"/>
  <c r="C159" i="2"/>
  <c r="C158" i="2"/>
  <c r="C43" i="2"/>
  <c r="D43" i="2"/>
  <c r="E43" i="2"/>
  <c r="F43" i="2"/>
  <c r="G43" i="2"/>
  <c r="H43" i="2"/>
  <c r="I43" i="2"/>
  <c r="J43" i="2"/>
  <c r="C42" i="2"/>
  <c r="D42" i="2"/>
  <c r="E42" i="2"/>
  <c r="F42" i="2"/>
  <c r="G42" i="2"/>
  <c r="H42" i="2"/>
  <c r="I42" i="2"/>
  <c r="J42" i="2"/>
  <c r="K42" i="2"/>
  <c r="K43" i="2"/>
  <c r="C128" i="2"/>
  <c r="C129" i="2"/>
  <c r="C130" i="2"/>
  <c r="C131" i="2"/>
  <c r="C132" i="2"/>
  <c r="C133" i="2"/>
  <c r="C56" i="2"/>
  <c r="C51" i="2"/>
  <c r="C69" i="2" s="1"/>
  <c r="L29" i="2"/>
  <c r="L141" i="2" s="1"/>
  <c r="L171" i="2" s="1"/>
  <c r="M29" i="2"/>
  <c r="M141" i="2" s="1"/>
  <c r="C29" i="2"/>
  <c r="C141" i="2" s="1"/>
  <c r="C22" i="2"/>
  <c r="C16" i="2"/>
  <c r="C12" i="2"/>
  <c r="D128" i="2"/>
  <c r="D129" i="2"/>
  <c r="D130" i="2"/>
  <c r="D131" i="2"/>
  <c r="D132" i="2"/>
  <c r="D133" i="2"/>
  <c r="D57" i="2"/>
  <c r="D56" i="2" s="1"/>
  <c r="D51" i="2"/>
  <c r="D69" i="2" s="1"/>
  <c r="D29" i="2"/>
  <c r="D141" i="2" s="1"/>
  <c r="E29" i="2"/>
  <c r="E141" i="2" s="1"/>
  <c r="F29" i="2"/>
  <c r="F141" i="2" s="1"/>
  <c r="F171" i="2" s="1"/>
  <c r="G29" i="2"/>
  <c r="G141" i="2" s="1"/>
  <c r="H29" i="2"/>
  <c r="H141" i="2" s="1"/>
  <c r="I29" i="2"/>
  <c r="I141" i="2" s="1"/>
  <c r="I171" i="2" s="1"/>
  <c r="J29" i="2"/>
  <c r="J141" i="2" s="1"/>
  <c r="J171" i="2" s="1"/>
  <c r="K29" i="2"/>
  <c r="K141" i="2" s="1"/>
  <c r="K171" i="2" s="1"/>
  <c r="D22" i="2"/>
  <c r="D16" i="2"/>
  <c r="D12" i="2"/>
  <c r="E128" i="2"/>
  <c r="E129" i="2"/>
  <c r="E130" i="2"/>
  <c r="E131" i="2"/>
  <c r="E132" i="2"/>
  <c r="E133" i="2"/>
  <c r="E56" i="2"/>
  <c r="E51" i="2"/>
  <c r="E69" i="2" s="1"/>
  <c r="E22" i="2"/>
  <c r="E16" i="2"/>
  <c r="E12" i="2"/>
  <c r="F128" i="2"/>
  <c r="F129" i="2"/>
  <c r="F130" i="2"/>
  <c r="F131" i="2"/>
  <c r="F132" i="2"/>
  <c r="F133" i="2"/>
  <c r="F56" i="2"/>
  <c r="F51" i="2"/>
  <c r="F69" i="2" s="1"/>
  <c r="F22" i="2"/>
  <c r="F16" i="2"/>
  <c r="F12" i="2"/>
  <c r="G128" i="2"/>
  <c r="G129" i="2"/>
  <c r="G130" i="2"/>
  <c r="G131" i="2"/>
  <c r="G132" i="2"/>
  <c r="G133" i="2"/>
  <c r="G57" i="2"/>
  <c r="G56" i="2" s="1"/>
  <c r="I132" i="2"/>
  <c r="J132" i="2"/>
  <c r="K132" i="2"/>
  <c r="L132" i="2"/>
  <c r="M132" i="2"/>
  <c r="I133" i="2"/>
  <c r="J133" i="2"/>
  <c r="K133" i="2"/>
  <c r="L133" i="2"/>
  <c r="M133" i="2"/>
  <c r="H133" i="2"/>
  <c r="H132" i="2"/>
  <c r="G51" i="2"/>
  <c r="G69" i="2" s="1"/>
  <c r="G22" i="2"/>
  <c r="G16" i="2"/>
  <c r="G12" i="2"/>
  <c r="H128" i="2"/>
  <c r="H129" i="2"/>
  <c r="H130" i="2"/>
  <c r="H131" i="2"/>
  <c r="H57" i="2"/>
  <c r="H56" i="2" s="1"/>
  <c r="H51" i="2"/>
  <c r="H69" i="2" s="1"/>
  <c r="H22" i="2"/>
  <c r="H16" i="2"/>
  <c r="H12" i="2"/>
  <c r="I128" i="2"/>
  <c r="I129" i="2"/>
  <c r="I130" i="2"/>
  <c r="I131" i="2"/>
  <c r="I57" i="2"/>
  <c r="I51" i="2"/>
  <c r="I69" i="2" s="1"/>
  <c r="I22" i="2"/>
  <c r="I16" i="2"/>
  <c r="I12" i="2"/>
  <c r="J128" i="2"/>
  <c r="J129" i="2"/>
  <c r="J130" i="2"/>
  <c r="J131" i="2"/>
  <c r="J56" i="2"/>
  <c r="J53" i="2"/>
  <c r="J51" i="2"/>
  <c r="J69" i="2" s="1"/>
  <c r="J22" i="2"/>
  <c r="J16" i="2"/>
  <c r="J12" i="2"/>
  <c r="L130" i="2"/>
  <c r="L131" i="2"/>
  <c r="K130" i="2"/>
  <c r="K131" i="2"/>
  <c r="K56" i="2"/>
  <c r="K53" i="2"/>
  <c r="K128" i="2"/>
  <c r="K129" i="2"/>
  <c r="K51" i="2"/>
  <c r="K69" i="2" s="1"/>
  <c r="K22" i="2"/>
  <c r="K16" i="2"/>
  <c r="K12" i="2"/>
  <c r="L140" i="2"/>
  <c r="M56" i="2"/>
  <c r="L56" i="2"/>
  <c r="M53" i="2"/>
  <c r="L53" i="2"/>
  <c r="L51" i="2"/>
  <c r="L69" i="2" s="1"/>
  <c r="L128" i="2"/>
  <c r="L129" i="2"/>
  <c r="C89" i="2"/>
  <c r="L22" i="2"/>
  <c r="L16" i="2"/>
  <c r="M12" i="2"/>
  <c r="L12" i="2"/>
  <c r="M51" i="2"/>
  <c r="M129" i="2"/>
  <c r="M128" i="2"/>
  <c r="M22" i="2"/>
  <c r="M16" i="2"/>
  <c r="E171" i="2" l="1"/>
  <c r="D171" i="2"/>
  <c r="G171" i="2"/>
  <c r="H171" i="2"/>
  <c r="D6" i="167"/>
  <c r="E6" i="167"/>
  <c r="B6" i="167"/>
  <c r="H6" i="167"/>
  <c r="J3" i="167"/>
  <c r="C6" i="167"/>
  <c r="F6" i="167"/>
  <c r="G4" i="167"/>
  <c r="G6" i="167"/>
  <c r="P174" i="16"/>
  <c r="J135" i="6"/>
  <c r="M138" i="2"/>
  <c r="D138" i="2"/>
  <c r="I138" i="2"/>
  <c r="K138" i="2"/>
  <c r="F138" i="2"/>
  <c r="C138" i="2"/>
  <c r="L138" i="2"/>
  <c r="E138" i="2"/>
  <c r="B189" i="16"/>
  <c r="D186" i="16"/>
  <c r="G159" i="8"/>
  <c r="F142" i="8"/>
  <c r="F154" i="8" s="1"/>
  <c r="G181" i="8"/>
  <c r="H138" i="2"/>
  <c r="J138" i="2"/>
  <c r="G138" i="2"/>
  <c r="J137" i="6"/>
  <c r="J134" i="2"/>
  <c r="F140" i="2"/>
  <c r="E140" i="2"/>
  <c r="C160" i="2"/>
  <c r="H134" i="2"/>
  <c r="D140" i="2"/>
  <c r="I56" i="2"/>
  <c r="E134" i="2"/>
  <c r="C164" i="2"/>
  <c r="C90" i="2"/>
  <c r="J140" i="2"/>
  <c r="C140" i="2"/>
  <c r="C93" i="2"/>
  <c r="D134" i="2"/>
  <c r="F134" i="2"/>
  <c r="J134" i="6"/>
  <c r="J151" i="6"/>
  <c r="L153" i="6"/>
  <c r="I151" i="6"/>
  <c r="M153" i="6"/>
  <c r="L151" i="6"/>
  <c r="K153" i="6"/>
  <c r="J153" i="6"/>
  <c r="K117" i="6"/>
  <c r="M117" i="6"/>
  <c r="L117" i="6"/>
  <c r="J117" i="6"/>
  <c r="K151" i="6"/>
  <c r="L64" i="6"/>
  <c r="M64" i="6"/>
  <c r="M151" i="6"/>
  <c r="C92" i="2"/>
  <c r="I140" i="2"/>
  <c r="M134" i="2"/>
  <c r="I134" i="2"/>
  <c r="H140" i="2"/>
  <c r="L86" i="2"/>
  <c r="K140" i="2"/>
  <c r="K134" i="2"/>
  <c r="L134" i="2"/>
  <c r="G134" i="2"/>
  <c r="C96" i="2"/>
  <c r="K86" i="2"/>
  <c r="I86" i="2"/>
  <c r="H86" i="2"/>
  <c r="G140" i="2"/>
  <c r="E86" i="2"/>
  <c r="C134" i="2"/>
  <c r="F86" i="2"/>
  <c r="J86" i="2"/>
  <c r="G86" i="2"/>
  <c r="K44" i="2"/>
  <c r="G44" i="2"/>
  <c r="D44" i="2"/>
  <c r="C44" i="2"/>
  <c r="H44" i="2"/>
  <c r="J44" i="2"/>
  <c r="F44" i="2"/>
  <c r="I44" i="2"/>
  <c r="E44" i="2"/>
  <c r="D86" i="2"/>
  <c r="C135" i="2" l="1"/>
  <c r="C136" i="2" s="1"/>
  <c r="C137" i="2" s="1"/>
  <c r="L135" i="2"/>
  <c r="L136" i="2" s="1"/>
  <c r="L137" i="2" s="1"/>
  <c r="L139" i="2" s="1"/>
  <c r="G135" i="2"/>
  <c r="G136" i="2" s="1"/>
  <c r="G137" i="2" s="1"/>
  <c r="G139" i="2" s="1"/>
  <c r="C166" i="2"/>
  <c r="H135" i="2"/>
  <c r="H136" i="2" s="1"/>
  <c r="H137" i="2" s="1"/>
  <c r="H139" i="2" s="1"/>
  <c r="F181" i="8"/>
  <c r="E142" i="8"/>
  <c r="E154" i="8" s="1"/>
  <c r="F159" i="8"/>
  <c r="J141" i="6"/>
  <c r="J142" i="6" s="1"/>
  <c r="D135" i="2"/>
  <c r="D136" i="2" s="1"/>
  <c r="D137" i="2" s="1"/>
  <c r="D139" i="2" s="1"/>
  <c r="K135" i="2"/>
  <c r="K136" i="2" s="1"/>
  <c r="K137" i="2" s="1"/>
  <c r="K139" i="2" s="1"/>
  <c r="E135" i="2"/>
  <c r="E136" i="2" s="1"/>
  <c r="E137" i="2" s="1"/>
  <c r="E139" i="2" s="1"/>
  <c r="I135" i="2"/>
  <c r="I136" i="2" s="1"/>
  <c r="I137" i="2" s="1"/>
  <c r="I139" i="2" s="1"/>
  <c r="F135" i="2"/>
  <c r="F136" i="2" s="1"/>
  <c r="F137" i="2" s="1"/>
  <c r="F139" i="2" s="1"/>
  <c r="C95" i="2"/>
  <c r="J135" i="2"/>
  <c r="J136" i="2" s="1"/>
  <c r="J137" i="2" s="1"/>
  <c r="J139" i="2" s="1"/>
  <c r="D142" i="8" l="1"/>
  <c r="D154" i="8" s="1"/>
  <c r="E159" i="8"/>
  <c r="E181" i="8"/>
  <c r="D159" i="8" l="1"/>
  <c r="C142" i="8"/>
  <c r="C154" i="8" s="1"/>
  <c r="D181" i="8"/>
  <c r="C159" i="8" l="1"/>
  <c r="B142" i="8"/>
  <c r="B154" i="8" s="1"/>
  <c r="P118" i="17" s="1"/>
  <c r="C181" i="8"/>
  <c r="O98" i="17" l="1"/>
  <c r="O118" i="17" s="1"/>
  <c r="P122" i="17"/>
  <c r="P137" i="17"/>
  <c r="B159" i="8"/>
  <c r="B181" i="8"/>
  <c r="G168" i="8"/>
  <c r="O137" i="17" l="1"/>
  <c r="N98" i="17"/>
  <c r="N118" i="17" s="1"/>
  <c r="O122" i="17"/>
  <c r="N122" i="17" l="1"/>
  <c r="M98" i="17"/>
  <c r="N137" i="17"/>
  <c r="K99" i="17" l="1"/>
  <c r="K118" i="17" s="1"/>
  <c r="M118" i="17"/>
  <c r="M122" i="17" l="1"/>
  <c r="M137" i="17"/>
  <c r="J98" i="17"/>
  <c r="K137" i="17"/>
  <c r="K122" i="17"/>
  <c r="J118" i="17" l="1"/>
  <c r="H99" i="17"/>
  <c r="H118" i="17" s="1"/>
  <c r="G98" i="17" l="1"/>
  <c r="G118" i="17" s="1"/>
  <c r="H137" i="17"/>
  <c r="H122" i="17"/>
  <c r="J137" i="17"/>
  <c r="J122" i="17"/>
  <c r="G137" i="17" l="1"/>
  <c r="F98" i="17"/>
  <c r="F118" i="17" s="1"/>
  <c r="G122" i="17"/>
  <c r="F137" i="17" l="1"/>
  <c r="E98" i="17"/>
  <c r="F122" i="17"/>
  <c r="C119" i="2"/>
  <c r="F31" i="132"/>
  <c r="F33" i="132" s="1"/>
  <c r="E31" i="132"/>
  <c r="E33" i="132" s="1"/>
  <c r="G31" i="132"/>
  <c r="G33" i="1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C15" authorId="0" shapeId="0" xr:uid="{00000000-0006-0000-0100-000001000000}">
      <text>
        <r>
          <rPr>
            <b/>
            <sz val="9"/>
            <color indexed="81"/>
            <rFont val="Tahoma"/>
            <family val="2"/>
          </rPr>
          <t>Adam:</t>
        </r>
        <r>
          <rPr>
            <sz val="9"/>
            <color indexed="81"/>
            <rFont val="Tahoma"/>
            <family val="2"/>
          </rPr>
          <t xml:space="preserve">
After $4,210,621 estimated loss on properties to be sold.</t>
        </r>
      </text>
    </comment>
    <comment ref="D15" authorId="0" shapeId="0" xr:uid="{00000000-0006-0000-0100-000002000000}">
      <text>
        <r>
          <rPr>
            <b/>
            <sz val="9"/>
            <color indexed="81"/>
            <rFont val="Tahoma"/>
            <family val="2"/>
          </rPr>
          <t>Adam:</t>
        </r>
        <r>
          <rPr>
            <sz val="9"/>
            <color indexed="81"/>
            <rFont val="Tahoma"/>
            <family val="2"/>
          </rPr>
          <t xml:space="preserve">
After $2,005,029 estimated loss on properties to be sold.</t>
        </r>
      </text>
    </comment>
    <comment ref="E15" authorId="0" shapeId="0" xr:uid="{00000000-0006-0000-0100-000003000000}">
      <text>
        <r>
          <rPr>
            <b/>
            <sz val="9"/>
            <color indexed="81"/>
            <rFont val="Tahoma"/>
            <family val="2"/>
          </rPr>
          <t>Adam:</t>
        </r>
        <r>
          <rPr>
            <sz val="9"/>
            <color indexed="81"/>
            <rFont val="Tahoma"/>
            <family val="2"/>
          </rPr>
          <t xml:space="preserve">
After $1,400,000 estimated loss on properties to be sold.</t>
        </r>
      </text>
    </comment>
    <comment ref="H15" authorId="0" shapeId="0" xr:uid="{00000000-0006-0000-0100-000004000000}">
      <text>
        <r>
          <rPr>
            <b/>
            <sz val="9"/>
            <color indexed="81"/>
            <rFont val="Tahoma"/>
            <family val="2"/>
          </rPr>
          <t>Adam:</t>
        </r>
        <r>
          <rPr>
            <sz val="9"/>
            <color indexed="81"/>
            <rFont val="Tahoma"/>
            <family val="2"/>
          </rPr>
          <t xml:space="preserve">
After $353,609 estimated loss on properties to be sold.</t>
        </r>
      </text>
    </comment>
    <comment ref="I15" authorId="0" shapeId="0" xr:uid="{00000000-0006-0000-0100-000005000000}">
      <text>
        <r>
          <rPr>
            <b/>
            <sz val="9"/>
            <color indexed="81"/>
            <rFont val="Tahoma"/>
            <family val="2"/>
          </rPr>
          <t>Adam:</t>
        </r>
        <r>
          <rPr>
            <sz val="9"/>
            <color indexed="81"/>
            <rFont val="Tahoma"/>
            <family val="2"/>
          </rPr>
          <t xml:space="preserve">
After $400,000 "estimated loss on properties to be sold"</t>
        </r>
      </text>
    </comment>
    <comment ref="H56" authorId="0" shapeId="0" xr:uid="{00000000-0006-0000-0100-000006000000}">
      <text>
        <r>
          <rPr>
            <b/>
            <sz val="9"/>
            <color indexed="81"/>
            <rFont val="Tahoma"/>
            <family val="2"/>
          </rPr>
          <t>Adam:</t>
        </r>
        <r>
          <rPr>
            <sz val="9"/>
            <color indexed="81"/>
            <rFont val="Tahoma"/>
            <family val="2"/>
          </rPr>
          <t xml:space="preserve">
After: $502,922 gain from inventory valuation method change; -$431,603 loss from sale of properties and equipment; -$259,796 idle plant expense, including $36,919 depreciation; and -$5,364 loss from sale of investments.</t>
        </r>
      </text>
    </comment>
    <comment ref="I56" authorId="0" shapeId="0" xr:uid="{00000000-0006-0000-0100-000007000000}">
      <text>
        <r>
          <rPr>
            <b/>
            <sz val="9"/>
            <color indexed="81"/>
            <rFont val="Tahoma"/>
            <family val="2"/>
          </rPr>
          <t>Adam:</t>
        </r>
        <r>
          <rPr>
            <sz val="9"/>
            <color indexed="81"/>
            <rFont val="Tahoma"/>
            <family val="2"/>
          </rPr>
          <t xml:space="preserve">
Includes:
$521,243 gain from sale of properties and equipment; -$400,000 estimated loss on properties and equipment to be sold; -$420,195 idle plant expense, including depreciation of $137,821; and -$90,812 loss from sale of investments.</t>
        </r>
      </text>
    </comment>
    <comment ref="K74" authorId="0" shapeId="0" xr:uid="{00000000-0006-0000-0100-000008000000}">
      <text>
        <r>
          <rPr>
            <b/>
            <sz val="9"/>
            <color indexed="81"/>
            <rFont val="Tahoma"/>
            <family val="2"/>
          </rPr>
          <t>Adam:</t>
        </r>
        <r>
          <rPr>
            <sz val="9"/>
            <color indexed="81"/>
            <rFont val="Tahoma"/>
            <family val="2"/>
          </rPr>
          <t xml:space="preserve">
Related to the excess asset value over the purchase price for Bourne Mills.
</t>
        </r>
      </text>
    </comment>
    <comment ref="D75" authorId="0" shapeId="0" xr:uid="{00000000-0006-0000-0100-000009000000}">
      <text>
        <r>
          <rPr>
            <b/>
            <sz val="9"/>
            <color indexed="81"/>
            <rFont val="Tahoma"/>
            <family val="2"/>
          </rPr>
          <t>Adam:</t>
        </r>
        <r>
          <rPr>
            <sz val="9"/>
            <color indexed="81"/>
            <rFont val="Tahoma"/>
            <family val="2"/>
          </rPr>
          <t xml:space="preserve">
Of note, this equals the sum of the change in common, change in paid in capital, and the retirement of treasury stock.</t>
        </r>
      </text>
    </comment>
    <comment ref="E78" authorId="0" shapeId="0" xr:uid="{00000000-0006-0000-0100-00000A000000}">
      <text>
        <r>
          <rPr>
            <b/>
            <sz val="9"/>
            <color indexed="81"/>
            <rFont val="Tahoma"/>
            <family val="2"/>
          </rPr>
          <t>Adam:</t>
        </r>
        <r>
          <rPr>
            <sz val="9"/>
            <color indexed="81"/>
            <rFont val="Tahoma"/>
            <family val="2"/>
          </rPr>
          <t xml:space="preserve">
Interesting it wasn't shown in a "special items" category for this year.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B96" authorId="0" shapeId="0" xr:uid="{496B1F04-AF4E-423A-A65B-94FF417ED592}">
      <text>
        <r>
          <rPr>
            <b/>
            <sz val="9"/>
            <color indexed="81"/>
            <rFont val="Tahoma"/>
            <family val="2"/>
          </rPr>
          <t>adam:</t>
        </r>
        <r>
          <rPr>
            <sz val="9"/>
            <color indexed="81"/>
            <rFont val="Tahoma"/>
            <family val="2"/>
          </rPr>
          <t xml:space="preserve">
Value not disclosed. Calculated based on net income and change in equity.</t>
        </r>
      </text>
    </comment>
    <comment ref="F96" authorId="0" shapeId="0" xr:uid="{B2D4E169-91C2-4598-85CE-E494E1924C21}">
      <text>
        <r>
          <rPr>
            <b/>
            <sz val="9"/>
            <color indexed="81"/>
            <rFont val="Tahoma"/>
            <family val="2"/>
          </rPr>
          <t>adam:</t>
        </r>
        <r>
          <rPr>
            <sz val="9"/>
            <color indexed="81"/>
            <rFont val="Tahoma"/>
            <family val="2"/>
          </rPr>
          <t xml:space="preserve">
Value not disclosed. Calculated based on net income and change in equity.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I30" authorId="0" shapeId="0" xr:uid="{EDA7AFB4-9A77-4CA9-9232-A1ABD2D240AF}">
      <text>
        <r>
          <rPr>
            <b/>
            <sz val="9"/>
            <color indexed="81"/>
            <rFont val="Tahoma"/>
            <family val="2"/>
          </rPr>
          <t>adam:</t>
        </r>
        <r>
          <rPr>
            <sz val="9"/>
            <color indexed="81"/>
            <rFont val="Tahoma"/>
            <family val="2"/>
          </rPr>
          <t xml:space="preserve">
Taken from the sources of reported earnings table, after tax column for 1985 thru 1989</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I31" authorId="0" shapeId="0" xr:uid="{AB9DC282-CD68-40A2-BA95-0FF72518454C}">
      <text>
        <r>
          <rPr>
            <b/>
            <sz val="9"/>
            <color indexed="81"/>
            <rFont val="Tahoma"/>
            <family val="2"/>
          </rPr>
          <t>adam:</t>
        </r>
        <r>
          <rPr>
            <sz val="9"/>
            <color indexed="81"/>
            <rFont val="Tahoma"/>
            <family val="2"/>
          </rPr>
          <t xml:space="preserve">
Taken from the sources of reported earnings table, after tax column for 1985 thru 1989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D11" authorId="0" shapeId="0" xr:uid="{3E129DE7-E60A-4519-8F45-7A5192D972F2}">
      <text>
        <r>
          <rPr>
            <b/>
            <sz val="9"/>
            <color indexed="81"/>
            <rFont val="Tahoma"/>
            <family val="2"/>
          </rPr>
          <t>adam:</t>
        </r>
        <r>
          <rPr>
            <sz val="9"/>
            <color indexed="81"/>
            <rFont val="Tahoma"/>
            <family val="2"/>
          </rPr>
          <t xml:space="preserve">
Decrease in Treasury stock, so a source of funds.
</t>
        </r>
      </text>
    </comment>
    <comment ref="V11" authorId="0" shapeId="0" xr:uid="{EDB38CB6-A379-4951-837A-481D278A3665}">
      <text>
        <r>
          <rPr>
            <b/>
            <sz val="9"/>
            <color indexed="81"/>
            <rFont val="Tahoma"/>
            <family val="2"/>
          </rPr>
          <t>adam:</t>
        </r>
        <r>
          <rPr>
            <sz val="9"/>
            <color indexed="81"/>
            <rFont val="Tahoma"/>
            <family val="2"/>
          </rPr>
          <t xml:space="preserve">
Reissued treasury shares</t>
        </r>
      </text>
    </comment>
    <comment ref="W11" authorId="0" shapeId="0" xr:uid="{61930454-451F-4337-9AAE-7586B34B742E}">
      <text>
        <r>
          <rPr>
            <b/>
            <sz val="9"/>
            <color indexed="81"/>
            <rFont val="Tahoma"/>
            <family val="2"/>
          </rPr>
          <t>adam:</t>
        </r>
        <r>
          <rPr>
            <sz val="9"/>
            <color indexed="81"/>
            <rFont val="Tahoma"/>
            <family val="2"/>
          </rPr>
          <t xml:space="preserve">
Reissued treasury shares</t>
        </r>
      </text>
    </comment>
    <comment ref="Y11" authorId="0" shapeId="0" xr:uid="{BE9278B1-2524-4F77-85A8-B28C09218EFB}">
      <text>
        <r>
          <rPr>
            <b/>
            <sz val="9"/>
            <color indexed="81"/>
            <rFont val="Tahoma"/>
            <family val="2"/>
          </rPr>
          <t>adam:</t>
        </r>
        <r>
          <rPr>
            <sz val="9"/>
            <color indexed="81"/>
            <rFont val="Tahoma"/>
            <family val="2"/>
          </rPr>
          <t xml:space="preserve">
Reissued treasury shares</t>
        </r>
      </text>
    </comment>
    <comment ref="Z11" authorId="0" shapeId="0" xr:uid="{F58382C9-8F8A-47BE-AE8B-8923D05857DB}">
      <text>
        <r>
          <rPr>
            <b/>
            <sz val="9"/>
            <color indexed="81"/>
            <rFont val="Tahoma"/>
            <family val="2"/>
          </rPr>
          <t>adam:</t>
        </r>
        <r>
          <rPr>
            <sz val="9"/>
            <color indexed="81"/>
            <rFont val="Tahoma"/>
            <family val="2"/>
          </rPr>
          <t xml:space="preserve">
Reissued treasury shares</t>
        </r>
      </text>
    </comment>
    <comment ref="U16" authorId="0" shapeId="0" xr:uid="{55EC1CA8-46CE-4333-97FB-26E3AF186696}">
      <text>
        <r>
          <rPr>
            <b/>
            <sz val="9"/>
            <color indexed="81"/>
            <rFont val="Tahoma"/>
            <family val="2"/>
          </rPr>
          <t>adam:</t>
        </r>
        <r>
          <rPr>
            <sz val="9"/>
            <color indexed="81"/>
            <rFont val="Tahoma"/>
            <family val="2"/>
          </rPr>
          <t xml:space="preserve">
Actual change taken from 10K. Formula would not work since I did not restate 1983 to conform to the 1984 presentation of the 1983 statements.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tc={1B05EE59-E641-433A-BB16-C8F1EBF2E53C}</author>
  </authors>
  <commentList>
    <comment ref="AO46" authorId="0" shapeId="0" xr:uid="{1B05EE59-E641-433A-BB16-C8F1EBF2E53C}">
      <text>
        <t>[Threaded comment]
Your version of Excel allows you to read this threaded comment; however, any edits to it will get removed if the file is opened in a newer version of Excel. Learn more: https://go.microsoft.com/fwlink/?linkid=870924
Comment:
    P. 49 1985ar</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D73" authorId="0" shapeId="0" xr:uid="{C268560C-D168-4635-BB93-157E77336EC9}">
      <text>
        <r>
          <rPr>
            <b/>
            <sz val="9"/>
            <color indexed="81"/>
            <rFont val="Tahoma"/>
            <family val="2"/>
          </rPr>
          <t>adam:</t>
        </r>
        <r>
          <rPr>
            <sz val="9"/>
            <color indexed="81"/>
            <rFont val="Tahoma"/>
            <family val="2"/>
          </rPr>
          <t xml:space="preserve">
Matches 1992 orig.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tc={8BFD3ED6-2EE4-4E3F-BF12-3DADF6C6C12D}</author>
  </authors>
  <commentList>
    <comment ref="B56" authorId="0" shapeId="0" xr:uid="{8BFD3ED6-2EE4-4E3F-BF12-3DADF6C6C12D}">
      <text>
        <t>[Threaded comment]
Your version of Excel allows you to read this threaded comment; however, any edits to it will get removed if the file is opened in a newer version of Excel. Learn more: https://go.microsoft.com/fwlink/?linkid=870924
Comment:
    "Approximately $2bn" for 87.3%</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adam</author>
    <author>tc={4CA74815-2EE2-4147-A051-87620C564BD8}</author>
  </authors>
  <commentList>
    <comment ref="J31" authorId="0" shapeId="0" xr:uid="{ED267750-BB99-41D8-AEB9-ED9C9E8FAAB7}">
      <text>
        <r>
          <rPr>
            <b/>
            <sz val="9"/>
            <color indexed="81"/>
            <rFont val="Tahoma"/>
            <family val="2"/>
          </rPr>
          <t>adam:</t>
        </r>
        <r>
          <rPr>
            <sz val="9"/>
            <color indexed="81"/>
            <rFont val="Tahoma"/>
            <family val="2"/>
          </rPr>
          <t xml:space="preserve">
Taken from the sources of reported earnings table, after tax column for 1985 thru 1989</t>
        </r>
      </text>
    </comment>
    <comment ref="E60" authorId="1" shapeId="0" xr:uid="{4CA74815-2EE2-4147-A051-87620C564BD8}">
      <text>
        <t>[Threaded comment]
Your version of Excel allows you to read this threaded comment; however, any edits to it will get removed if the file is opened in a newer version of Excel. Learn more: https://go.microsoft.com/fwlink/?linkid=870924
Comment:
    Includes change in equity related to GEICO merger, which restated appreciation related to GEICO stock.</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tc={8025741F-F16B-4185-99C0-2D3F2FD87BDA}</author>
  </authors>
  <commentList>
    <comment ref="S80" authorId="0" shapeId="0" xr:uid="{8025741F-F16B-4185-99C0-2D3F2FD87BDA}">
      <text>
        <t>[Threaded comment]
Your version of Excel allows you to read this threaded comment; however, any edits to it will get removed if the file is opened in a newer version of Excel. Learn more: https://go.microsoft.com/fwlink/?linkid=870924
Comment:
    It appears via 1998 financials that the losses went up. Only way to confirm was via the changed underwriting gain, which was reduced from the original presentation.</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adam</author>
    <author>tc={0ADC42A7-8F0D-454B-9195-964866021FC6}</author>
  </authors>
  <commentList>
    <comment ref="K31" authorId="0" shapeId="0" xr:uid="{9709C081-5AD2-42C1-9136-A016840AAE2F}">
      <text>
        <r>
          <rPr>
            <b/>
            <sz val="9"/>
            <color indexed="81"/>
            <rFont val="Tahoma"/>
            <family val="2"/>
          </rPr>
          <t>adam:</t>
        </r>
        <r>
          <rPr>
            <sz val="9"/>
            <color indexed="81"/>
            <rFont val="Tahoma"/>
            <family val="2"/>
          </rPr>
          <t xml:space="preserve">
Taken from the sources of reported earnings table, after tax column for 1985 thru 1989</t>
        </r>
      </text>
    </comment>
    <comment ref="E76" authorId="1" shapeId="0" xr:uid="{0ADC42A7-8F0D-454B-9195-964866021FC6}">
      <text>
        <t>[Threaded comment]
Your version of Excel allows you to read this threaded comment; however, any edits to it will get removed if the file is opened in a newer version of Excel. Learn more: https://go.microsoft.com/fwlink/?linkid=870924
Comment:
    Includes change in equity related to GEICO merger, which restated appreciation related to GEICO stock.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I12" authorId="0" shapeId="0" xr:uid="{00000000-0006-0000-0400-000001000000}">
      <text>
        <r>
          <rPr>
            <b/>
            <sz val="9"/>
            <color indexed="81"/>
            <rFont val="Tahoma"/>
            <family val="2"/>
          </rPr>
          <t>Adam:</t>
        </r>
        <r>
          <rPr>
            <sz val="9"/>
            <color indexed="81"/>
            <rFont val="Tahoma"/>
            <family val="2"/>
          </rPr>
          <t xml:space="preserve">
Market value was $11,824,000</t>
        </r>
      </text>
    </comment>
    <comment ref="J12" authorId="0" shapeId="0" xr:uid="{00000000-0006-0000-0400-000002000000}">
      <text>
        <r>
          <rPr>
            <b/>
            <sz val="9"/>
            <color indexed="81"/>
            <rFont val="Tahoma"/>
            <family val="2"/>
          </rPr>
          <t>Adam:</t>
        </r>
        <r>
          <rPr>
            <sz val="9"/>
            <color indexed="81"/>
            <rFont val="Tahoma"/>
            <family val="2"/>
          </rPr>
          <t xml:space="preserve">
Market value was $7,422,000</t>
        </r>
      </text>
    </comment>
    <comment ref="K12" authorId="0" shapeId="0" xr:uid="{00000000-0006-0000-0400-000003000000}">
      <text>
        <r>
          <rPr>
            <b/>
            <sz val="9"/>
            <color indexed="81"/>
            <rFont val="Tahoma"/>
            <family val="2"/>
          </rPr>
          <t>Adam:</t>
        </r>
        <r>
          <rPr>
            <sz val="9"/>
            <color indexed="81"/>
            <rFont val="Tahoma"/>
            <family val="2"/>
          </rPr>
          <t xml:space="preserve">
"MV approximated cost"</t>
        </r>
      </text>
    </comment>
    <comment ref="L12" authorId="0" shapeId="0" xr:uid="{00000000-0006-0000-0400-000004000000}">
      <text>
        <r>
          <rPr>
            <b/>
            <sz val="9"/>
            <color indexed="81"/>
            <rFont val="Tahoma"/>
            <family val="2"/>
          </rPr>
          <t>Adam:</t>
        </r>
        <r>
          <rPr>
            <sz val="9"/>
            <color indexed="81"/>
            <rFont val="Tahoma"/>
            <family val="2"/>
          </rPr>
          <t xml:space="preserve">
Primarily ST certificates of deposit</t>
        </r>
      </text>
    </comment>
    <comment ref="D16" authorId="0" shapeId="0" xr:uid="{00000000-0006-0000-0400-000005000000}">
      <text>
        <r>
          <rPr>
            <b/>
            <sz val="9"/>
            <color indexed="81"/>
            <rFont val="Tahoma"/>
            <family val="2"/>
          </rPr>
          <t>Adam:</t>
        </r>
        <r>
          <rPr>
            <sz val="9"/>
            <color indexed="81"/>
            <rFont val="Tahoma"/>
            <family val="2"/>
          </rPr>
          <t xml:space="preserve">
See note 7 - LIFO adjustment
</t>
        </r>
      </text>
    </comment>
    <comment ref="L18" authorId="0" shapeId="0" xr:uid="{00000000-0006-0000-0400-000006000000}">
      <text>
        <r>
          <rPr>
            <b/>
            <sz val="9"/>
            <color indexed="81"/>
            <rFont val="Tahoma"/>
            <family val="2"/>
          </rPr>
          <t>Adam:</t>
        </r>
        <r>
          <rPr>
            <sz val="9"/>
            <color indexed="81"/>
            <rFont val="Tahoma"/>
            <family val="2"/>
          </rPr>
          <t xml:space="preserve">
After $1,809,132 write-down for estimated loss on properties to be sold.</t>
        </r>
      </text>
    </comment>
    <comment ref="M18" authorId="0" shapeId="0" xr:uid="{00000000-0006-0000-0400-000007000000}">
      <text>
        <r>
          <rPr>
            <b/>
            <sz val="9"/>
            <color indexed="81"/>
            <rFont val="Tahoma"/>
            <family val="2"/>
          </rPr>
          <t>Adam:</t>
        </r>
        <r>
          <rPr>
            <sz val="9"/>
            <color indexed="81"/>
            <rFont val="Tahoma"/>
            <family val="2"/>
          </rPr>
          <t xml:space="preserve">
After $4,210,621 estimated loss on properties to be sold.</t>
        </r>
      </text>
    </comment>
    <comment ref="F38" authorId="0" shapeId="0" xr:uid="{00000000-0006-0000-0400-00000C000000}">
      <text>
        <r>
          <rPr>
            <b/>
            <sz val="9"/>
            <color indexed="81"/>
            <rFont val="Tahoma"/>
            <family val="2"/>
          </rPr>
          <t>Adam:</t>
        </r>
        <r>
          <rPr>
            <sz val="9"/>
            <color indexed="81"/>
            <rFont val="Tahoma"/>
            <family val="2"/>
          </rPr>
          <t xml:space="preserve">
Not classified ST or LT</t>
        </r>
      </text>
    </comment>
    <comment ref="G38" authorId="0" shapeId="0" xr:uid="{00000000-0006-0000-0400-00000D000000}">
      <text>
        <r>
          <rPr>
            <b/>
            <sz val="9"/>
            <color indexed="81"/>
            <rFont val="Tahoma"/>
            <family val="2"/>
          </rPr>
          <t>Adam:</t>
        </r>
        <r>
          <rPr>
            <sz val="9"/>
            <color indexed="81"/>
            <rFont val="Tahoma"/>
            <family val="2"/>
          </rPr>
          <t xml:space="preserve">
Not classified ST or LT</t>
        </r>
      </text>
    </comment>
    <comment ref="H38" authorId="0" shapeId="0" xr:uid="{00000000-0006-0000-0400-00000E000000}">
      <text>
        <r>
          <rPr>
            <b/>
            <sz val="9"/>
            <color indexed="81"/>
            <rFont val="Tahoma"/>
            <family val="2"/>
          </rPr>
          <t>Adam:</t>
        </r>
        <r>
          <rPr>
            <sz val="9"/>
            <color indexed="81"/>
            <rFont val="Tahoma"/>
            <family val="2"/>
          </rPr>
          <t xml:space="preserve">
Not classified ST or LT</t>
        </r>
      </text>
    </comment>
    <comment ref="I38" authorId="0" shapeId="0" xr:uid="{00000000-0006-0000-0400-00000F000000}">
      <text>
        <r>
          <rPr>
            <b/>
            <sz val="9"/>
            <color indexed="81"/>
            <rFont val="Tahoma"/>
            <family val="2"/>
          </rPr>
          <t>Adam:</t>
        </r>
        <r>
          <rPr>
            <sz val="9"/>
            <color indexed="81"/>
            <rFont val="Tahoma"/>
            <family val="2"/>
          </rPr>
          <t xml:space="preserve">
Not classified</t>
        </r>
      </text>
    </comment>
    <comment ref="J38" authorId="0" shapeId="0" xr:uid="{00000000-0006-0000-0400-000010000000}">
      <text>
        <r>
          <rPr>
            <b/>
            <sz val="9"/>
            <color indexed="81"/>
            <rFont val="Tahoma"/>
            <family val="2"/>
          </rPr>
          <t>Adam:</t>
        </r>
        <r>
          <rPr>
            <sz val="9"/>
            <color indexed="81"/>
            <rFont val="Tahoma"/>
            <family val="2"/>
          </rPr>
          <t xml:space="preserve">
Not classified
</t>
        </r>
      </text>
    </comment>
    <comment ref="K38" authorId="0" shapeId="0" xr:uid="{00000000-0006-0000-0400-000011000000}">
      <text>
        <r>
          <rPr>
            <b/>
            <sz val="9"/>
            <color indexed="81"/>
            <rFont val="Tahoma"/>
            <family val="2"/>
          </rPr>
          <t>Adam:</t>
        </r>
        <r>
          <rPr>
            <sz val="9"/>
            <color indexed="81"/>
            <rFont val="Tahoma"/>
            <family val="2"/>
          </rPr>
          <t xml:space="preserve">
Not classified
</t>
        </r>
      </text>
    </comment>
    <comment ref="L38" authorId="0" shapeId="0" xr:uid="{00000000-0006-0000-0400-000012000000}">
      <text>
        <r>
          <rPr>
            <b/>
            <sz val="9"/>
            <color indexed="81"/>
            <rFont val="Tahoma"/>
            <family val="2"/>
          </rPr>
          <t>Adam:</t>
        </r>
        <r>
          <rPr>
            <sz val="9"/>
            <color indexed="81"/>
            <rFont val="Tahoma"/>
            <family val="2"/>
          </rPr>
          <t xml:space="preserve">
Not classified</t>
        </r>
      </text>
    </comment>
    <comment ref="M38" authorId="0" shapeId="0" xr:uid="{00000000-0006-0000-0400-000013000000}">
      <text>
        <r>
          <rPr>
            <b/>
            <sz val="9"/>
            <color indexed="81"/>
            <rFont val="Tahoma"/>
            <family val="2"/>
          </rPr>
          <t>Adam:</t>
        </r>
        <r>
          <rPr>
            <sz val="9"/>
            <color indexed="81"/>
            <rFont val="Tahoma"/>
            <family val="2"/>
          </rPr>
          <t xml:space="preserve">
Not classified
</t>
        </r>
      </text>
    </comment>
    <comment ref="C80" authorId="0" shapeId="0" xr:uid="{00000000-0006-0000-0400-000014000000}">
      <text>
        <r>
          <rPr>
            <b/>
            <sz val="9"/>
            <color indexed="81"/>
            <rFont val="Tahoma"/>
            <family val="2"/>
          </rPr>
          <t>Adam:</t>
        </r>
        <r>
          <rPr>
            <sz val="9"/>
            <color indexed="81"/>
            <rFont val="Tahoma"/>
            <family val="2"/>
          </rPr>
          <t xml:space="preserve">
1974, '73, '72 operating profit taken from the 1974 AR p.32.</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tc={63B2B083-016D-461B-A3EA-0BF5BC8EF70C}</author>
  </authors>
  <commentList>
    <comment ref="D14" authorId="0" shapeId="0" xr:uid="{63B2B083-016D-461B-A3EA-0BF5BC8EF70C}">
      <text>
        <t>[Threaded comment]
Your version of Excel allows you to read this threaded comment; however, any edits to it will get removed if the file is opened in a newer version of Excel. Learn more: https://go.microsoft.com/fwlink/?linkid=870924
Comment:
    2012: $15 related to noncontrolling interests other comprehensive income. Also, 2011 as stated in 2012 shows OCI, net of -$3,112, which is $7 less than as presented in 2011 original.</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tc={B9A92B80-64C3-48AA-AD58-8DF88E0D1D0B}</author>
    <author>tc={E06A5D55-93DF-4CB7-A14D-6E05E8CF5830}</author>
    <author>tc={2E3C8D31-7977-4D89-BC92-D01334FEF67F}</author>
  </authors>
  <commentList>
    <comment ref="B72" authorId="0" shapeId="0" xr:uid="{B9A92B80-64C3-48AA-AD58-8DF88E0D1D0B}">
      <text>
        <t>[Threaded comment]
Your version of Excel allows you to read this threaded comment; however, any edits to it will get removed if the file is opened in a newer version of Excel. Learn more: https://go.microsoft.com/fwlink/?linkid=870924
Comment:
    Footnotes disclose a "$4.4 billion" figure.</t>
      </text>
    </comment>
    <comment ref="F72" authorId="1" shapeId="0" xr:uid="{E06A5D55-93DF-4CB7-A14D-6E05E8CF5830}">
      <text>
        <t>[Threaded comment]
Your version of Excel allows you to read this threaded comment; however, any edits to it will get removed if the file is opened in a newer version of Excel. Learn more: https://go.microsoft.com/fwlink/?linkid=870924
Comment:
    Footnotes confirm actual was $3,342 million.</t>
      </text>
    </comment>
    <comment ref="J72" authorId="2" shapeId="0" xr:uid="{2E3C8D31-7977-4D89-BC92-D01334FEF67F}">
      <text>
        <t>[Threaded comment]
Your version of Excel allows you to read this threaded comment; however, any edits to it will get removed if the file is opened in a newer version of Excel. Learn more: https://go.microsoft.com/fwlink/?linkid=870924
Comment:
    Footnotes confirm actual was $2,263 million.</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tc={C14E7F0E-90C0-4ED6-BBED-F84D687BA5CB}</author>
    <author>tc={7EBBBA94-400A-4B6B-A2B0-657D4F168B50}</author>
    <author>tc={1AD95582-ACB6-4D17-BB7D-5CF1A1245789}</author>
    <author>tc={BAAA9E48-D15A-471A-A9AE-623795688A5F}</author>
    <author>tc={CA791AAE-79D4-4A98-95B0-2C0065328A30}</author>
    <author>tc={65E67393-D109-4C51-ABA6-730C98D2033A}</author>
  </authors>
  <commentList>
    <comment ref="AL14" authorId="0" shapeId="0" xr:uid="{C14E7F0E-90C0-4ED6-BBED-F84D687BA5CB}">
      <text>
        <t>[Threaded comment]
Your version of Excel allows you to read this threaded comment; however, any edits to it will get removed if the file is opened in a newer version of Excel. Learn more: https://go.microsoft.com/fwlink/?linkid=870924
Comment:
    "Net of losses of $200 million from Hurricanes Katrina, Rita and Wilma."</t>
      </text>
    </comment>
    <comment ref="AL38" authorId="1" shapeId="0" xr:uid="{7EBBBA94-400A-4B6B-A2B0-657D4F168B50}">
      <text>
        <t>[Threaded comment]
Your version of Excel allows you to read this threaded comment; however, any edits to it will get removed if the file is opened in a newer version of Excel. Learn more: https://go.microsoft.com/fwlink/?linkid=870924
Comment:
    "Includes losses of $685 million related to Hurricanes Katrina, Rita and Wilma."</t>
      </text>
    </comment>
    <comment ref="AL67" authorId="2" shapeId="0" xr:uid="{1AD95582-ACB6-4D17-BB7D-5CF1A1245789}">
      <text>
        <t>[Threaded comment]
Your version of Excel allows you to read this threaded comment; however, any edits to it will get removed if the file is opened in a newer version of Excel. Learn more: https://go.microsoft.com/fwlink/?linkid=870924
Comment:
    "Includes losses of $2.5 billion from Hurricanes Katrina, Rita and Wilma."</t>
      </text>
    </comment>
    <comment ref="B72" authorId="3" shapeId="0" xr:uid="{BAAA9E48-D15A-471A-A9AE-623795688A5F}">
      <text>
        <t>[Threaded comment]
Your version of Excel allows you to read this threaded comment; however, any edits to it will get removed if the file is opened in a newer version of Excel. Learn more: https://go.microsoft.com/fwlink/?linkid=870924
Comment:
    Footnotes disclose a "$4.4 billion" figure.</t>
      </text>
    </comment>
    <comment ref="F72" authorId="4" shapeId="0" xr:uid="{CA791AAE-79D4-4A98-95B0-2C0065328A30}">
      <text>
        <t>[Threaded comment]
Your version of Excel allows you to read this threaded comment; however, any edits to it will get removed if the file is opened in a newer version of Excel. Learn more: https://go.microsoft.com/fwlink/?linkid=870924
Comment:
    Footnotes confirm actual was $3,342 million.</t>
      </text>
    </comment>
    <comment ref="J72" authorId="5" shapeId="0" xr:uid="{65E67393-D109-4C51-ABA6-730C98D2033A}">
      <text>
        <t>[Threaded comment]
Your version of Excel allows you to read this threaded comment; however, any edits to it will get removed if the file is opened in a newer version of Excel. Learn more: https://go.microsoft.com/fwlink/?linkid=870924
Comment:
    Footnotes confirm actual was $2,263 million.</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tc={1FD5034F-A789-4F21-8B11-B01AF9B7617B}</author>
  </authors>
  <commentList>
    <comment ref="Q30" authorId="0" shapeId="0" xr:uid="{1FD5034F-A789-4F21-8B11-B01AF9B7617B}">
      <text>
        <t>[Threaded comment]
Your version of Excel allows you to read this threaded comment; however, any edits to it will get removed if the file is opened in a newer version of Excel. Learn more: https://go.microsoft.com/fwlink/?linkid=870924
Comment:
    Per 2015 S-4 statement</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tc={5CF94F4D-DEE7-487D-8C6F-B7B7765A47FF}</author>
  </authors>
  <commentList>
    <comment ref="I14" authorId="0" shapeId="0" xr:uid="{5CF94F4D-DEE7-487D-8C6F-B7B7765A47FF}">
      <text>
        <t>[Threaded comment]
Your version of Excel allows you to read this threaded comment; however, any edits to it will get removed if the file is opened in a newer version of Excel. Learn more: https://go.microsoft.com/fwlink/?linkid=870924
Comment:
    2012: $15 related to noncontrolling interests other comprehensive income. Also, 2011 as stated in 2012 shows OCI, net of -$3,112, which is $7 less than as presented in 2011 original.</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tc={47226B23-7293-4E3A-B12D-B1FD45D57A9D}</author>
  </authors>
  <commentList>
    <comment ref="P45" authorId="0" shapeId="0" xr:uid="{47226B23-7293-4E3A-B12D-B1FD45D57A9D}">
      <text>
        <t>[Threaded comment]
Your version of Excel allows you to read this threaded comment; however, any edits to it will get removed if the file is opened in a newer version of Excel. Learn more: https://go.microsoft.com/fwlink/?linkid=870924
Comment:
    Footnotes disclose a "$4.4 billion" figure.</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adam</author>
    <author>tc={DA89024A-201A-4E88-BDF4-4E70B9E71D38}</author>
  </authors>
  <commentList>
    <comment ref="L31" authorId="0" shapeId="0" xr:uid="{66B317C2-25BC-46B9-9F8A-833E5F6D5B25}">
      <text>
        <r>
          <rPr>
            <b/>
            <sz val="9"/>
            <color indexed="81"/>
            <rFont val="Tahoma"/>
            <family val="2"/>
          </rPr>
          <t>adam:</t>
        </r>
        <r>
          <rPr>
            <sz val="9"/>
            <color indexed="81"/>
            <rFont val="Tahoma"/>
            <family val="2"/>
          </rPr>
          <t xml:space="preserve">
Taken from the sources of reported earnings table, after tax column for 1985 thru 1989</t>
        </r>
      </text>
    </comment>
    <comment ref="E95" authorId="1" shapeId="0" xr:uid="{DA89024A-201A-4E88-BDF4-4E70B9E71D38}">
      <text>
        <t>[Threaded comment]
Your version of Excel allows you to read this threaded comment; however, any edits to it will get removed if the file is opened in a newer version of Excel. Learn more: https://go.microsoft.com/fwlink/?linkid=870924
Comment:
    Includes change in equity related to GEICO merger, which restated appreciation related to GEICO stock.</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tc={E6F10EB2-77F3-4724-A028-3830A68E7A4A}</author>
  </authors>
  <commentList>
    <comment ref="J31" authorId="0" shapeId="0" xr:uid="{E6F10EB2-77F3-4724-A028-3830A68E7A4A}">
      <text>
        <t>[Threaded comment]
Your version of Excel allows you to read this threaded comment; however, any edits to it will get removed if the file is opened in a newer version of Excel. Learn more: https://go.microsoft.com/fwlink/?linkid=870924
Comment:
    Averge shares out per 1967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B58" authorId="0" shapeId="0" xr:uid="{00000000-0006-0000-0500-000001000000}">
      <text>
        <r>
          <rPr>
            <b/>
            <sz val="9"/>
            <color indexed="81"/>
            <rFont val="Tahoma"/>
            <family val="2"/>
          </rPr>
          <t>Adam:</t>
        </r>
        <r>
          <rPr>
            <sz val="9"/>
            <color indexed="81"/>
            <rFont val="Tahoma"/>
            <family val="2"/>
          </rPr>
          <t xml:space="preserve">
Includes Treasury Bills</t>
        </r>
      </text>
    </comment>
    <comment ref="C58" authorId="0" shapeId="0" xr:uid="{00000000-0006-0000-0500-000002000000}">
      <text>
        <r>
          <rPr>
            <b/>
            <sz val="9"/>
            <color indexed="81"/>
            <rFont val="Tahoma"/>
            <family val="2"/>
          </rPr>
          <t>Adam:</t>
        </r>
        <r>
          <rPr>
            <sz val="9"/>
            <color indexed="81"/>
            <rFont val="Tahoma"/>
            <family val="2"/>
          </rPr>
          <t xml:space="preserve">
Includes Treasury Bills
</t>
        </r>
      </text>
    </comment>
    <comment ref="G106" authorId="0" shapeId="0" xr:uid="{F7719EDE-3984-425A-AC1F-336B44EE079A}">
      <text>
        <r>
          <rPr>
            <b/>
            <sz val="9"/>
            <color indexed="81"/>
            <rFont val="Tahoma"/>
            <family val="2"/>
          </rPr>
          <t>Adam:</t>
        </r>
        <r>
          <rPr>
            <sz val="9"/>
            <color indexed="81"/>
            <rFont val="Tahoma"/>
            <family val="2"/>
          </rPr>
          <t xml:space="preserve">
Manual addition</t>
        </r>
      </text>
    </comment>
    <comment ref="H106" authorId="0" shapeId="0" xr:uid="{87ABBC36-C237-4DDF-BF12-68881474CA10}">
      <text>
        <r>
          <rPr>
            <b/>
            <sz val="9"/>
            <color indexed="81"/>
            <rFont val="Tahoma"/>
            <family val="2"/>
          </rPr>
          <t>Adam:</t>
        </r>
        <r>
          <rPr>
            <sz val="9"/>
            <color indexed="81"/>
            <rFont val="Tahoma"/>
            <family val="2"/>
          </rPr>
          <t xml:space="preserve">
Manual addition
</t>
        </r>
      </text>
    </comment>
    <comment ref="G107" authorId="0" shapeId="0" xr:uid="{0C2805E9-D9C3-407D-BF6F-59D6A8A909AF}">
      <text>
        <r>
          <rPr>
            <b/>
            <sz val="9"/>
            <color indexed="81"/>
            <rFont val="Tahoma"/>
            <family val="2"/>
          </rPr>
          <t>Adam:</t>
        </r>
        <r>
          <rPr>
            <sz val="9"/>
            <color indexed="81"/>
            <rFont val="Tahoma"/>
            <family val="2"/>
          </rPr>
          <t xml:space="preserve">
Manual addition
</t>
        </r>
      </text>
    </comment>
    <comment ref="H107" authorId="0" shapeId="0" xr:uid="{1E25637C-FEAE-43D3-B241-963F662C1F21}">
      <text>
        <r>
          <rPr>
            <b/>
            <sz val="9"/>
            <color indexed="81"/>
            <rFont val="Tahoma"/>
            <family val="2"/>
          </rPr>
          <t>Adam:</t>
        </r>
        <r>
          <rPr>
            <sz val="9"/>
            <color indexed="81"/>
            <rFont val="Tahoma"/>
            <family val="2"/>
          </rPr>
          <t xml:space="preserve">
Manual addition
</t>
        </r>
      </text>
    </comment>
    <comment ref="A112" authorId="0" shapeId="0" xr:uid="{00000000-0006-0000-0500-000007000000}">
      <text>
        <r>
          <rPr>
            <b/>
            <sz val="9"/>
            <color indexed="81"/>
            <rFont val="Tahoma"/>
            <family val="2"/>
          </rPr>
          <t>Adam:</t>
        </r>
        <r>
          <rPr>
            <sz val="9"/>
            <color indexed="81"/>
            <rFont val="Tahoma"/>
            <family val="2"/>
          </rPr>
          <t xml:space="preserve">
Source: Max Olsen book</t>
        </r>
      </text>
    </comment>
    <comment ref="F125" authorId="0" shapeId="0" xr:uid="{00000000-0006-0000-0500-000008000000}">
      <text>
        <r>
          <rPr>
            <b/>
            <sz val="9"/>
            <color indexed="81"/>
            <rFont val="Tahoma"/>
            <family val="2"/>
          </rPr>
          <t>Adam:</t>
        </r>
        <r>
          <rPr>
            <sz val="9"/>
            <color indexed="81"/>
            <rFont val="Tahoma"/>
            <family val="2"/>
          </rPr>
          <t xml:space="preserve">
In the 1971 report this figure is after $1,651,156 deferred policy acquisition costs.  The 1970 report lists this figure the same amount higher.  There must have been an accounting change that year that required DPAC to be put on the balance sheet as a cost and then expensed over the life of the policy.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C25" authorId="0" shapeId="0" xr:uid="{7718065D-77DD-4987-8BB8-954481408972}">
      <text>
        <r>
          <rPr>
            <b/>
            <sz val="9"/>
            <color indexed="81"/>
            <rFont val="Tahoma"/>
            <family val="2"/>
          </rPr>
          <t>adam:</t>
        </r>
        <r>
          <rPr>
            <sz val="9"/>
            <color indexed="81"/>
            <rFont val="Tahoma"/>
            <family val="2"/>
          </rPr>
          <t xml:space="preserve">
In the 1983 report this figure is listed in the operating earnings section and as $21,000. </t>
        </r>
      </text>
    </comment>
    <comment ref="J30" authorId="0" shapeId="0" xr:uid="{8BF08166-5E32-4833-83D0-BA59826E8BB9}">
      <text>
        <r>
          <rPr>
            <b/>
            <sz val="9"/>
            <color indexed="81"/>
            <rFont val="Tahoma"/>
            <family val="2"/>
          </rPr>
          <t>adam:</t>
        </r>
        <r>
          <rPr>
            <sz val="9"/>
            <color indexed="81"/>
            <rFont val="Tahoma"/>
            <family val="2"/>
          </rPr>
          <t xml:space="preserve">
Source for net income 1976-74 = 1978 report, p. 27.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B26" authorId="0" shapeId="0" xr:uid="{4BBFF853-31AF-4874-928A-AF1E349DC1AA}">
      <text>
        <r>
          <rPr>
            <b/>
            <sz val="9"/>
            <color indexed="81"/>
            <rFont val="Tahoma"/>
            <family val="2"/>
          </rPr>
          <t>adam:</t>
        </r>
        <r>
          <rPr>
            <sz val="9"/>
            <color indexed="81"/>
            <rFont val="Tahoma"/>
            <family val="2"/>
          </rPr>
          <t xml:space="preserve">
In the 1983 report this figure is listed in the operating earnings section and as $21,000.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C26" authorId="0" shapeId="0" xr:uid="{3DA05B95-0F6B-49E6-848A-5D38AFC19C31}">
      <text>
        <r>
          <rPr>
            <b/>
            <sz val="9"/>
            <color indexed="81"/>
            <rFont val="Tahoma"/>
            <family val="2"/>
          </rPr>
          <t>adam:</t>
        </r>
        <r>
          <rPr>
            <sz val="9"/>
            <color indexed="81"/>
            <rFont val="Tahoma"/>
            <family val="2"/>
          </rPr>
          <t xml:space="preserve">
In the 1983 report this figure is listed in the operating earnings section and as $21,000.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adam</author>
  </authors>
  <commentList>
    <comment ref="J4" authorId="0" shapeId="0" xr:uid="{9089E749-563B-4A69-AE76-E9C841B96A32}">
      <text>
        <r>
          <rPr>
            <b/>
            <sz val="9"/>
            <color indexed="81"/>
            <rFont val="Tahoma"/>
            <family val="2"/>
          </rPr>
          <t>adam:</t>
        </r>
        <r>
          <rPr>
            <sz val="9"/>
            <color indexed="81"/>
            <rFont val="Tahoma"/>
            <family val="2"/>
          </rPr>
          <t xml:space="preserve">
Restated in 1979 to value insurance company marketables at market vs. cost.</t>
        </r>
      </text>
    </comment>
    <comment ref="K4" authorId="0" shapeId="0" xr:uid="{7D1A74A5-DD9F-4656-BA08-C42E0125F756}">
      <text>
        <r>
          <rPr>
            <b/>
            <sz val="9"/>
            <color indexed="81"/>
            <rFont val="Tahoma"/>
            <family val="2"/>
          </rPr>
          <t>adam:</t>
        </r>
        <r>
          <rPr>
            <sz val="9"/>
            <color indexed="81"/>
            <rFont val="Tahoma"/>
            <family val="2"/>
          </rPr>
          <t xml:space="preserve">
Restated to consolidate Diversified, including Blue Chip. Present 1977 original and restated to show the effect of the accounting changes.</t>
        </r>
      </text>
    </comment>
    <comment ref="B5" authorId="0" shapeId="0" xr:uid="{14843A45-32A4-4F4D-AEA8-64BC2734B497}">
      <text>
        <r>
          <rPr>
            <b/>
            <sz val="9"/>
            <color indexed="81"/>
            <rFont val="Tahoma"/>
            <family val="2"/>
          </rPr>
          <t>adam:</t>
        </r>
        <r>
          <rPr>
            <sz val="9"/>
            <color indexed="81"/>
            <rFont val="Tahoma"/>
            <family val="2"/>
          </rPr>
          <t xml:space="preserve">
1/1/77
</t>
        </r>
      </text>
    </comment>
    <comment ref="C5" authorId="0" shapeId="0" xr:uid="{9A1F94E2-D6C8-4DB8-A8F7-222CEE652508}">
      <text>
        <r>
          <rPr>
            <b/>
            <sz val="9"/>
            <color indexed="81"/>
            <rFont val="Tahoma"/>
            <family val="2"/>
          </rPr>
          <t>adam:</t>
        </r>
        <r>
          <rPr>
            <sz val="9"/>
            <color indexed="81"/>
            <rFont val="Tahoma"/>
            <family val="2"/>
          </rPr>
          <t xml:space="preserve">
1/1/77
</t>
        </r>
      </text>
    </comment>
    <comment ref="D5" authorId="0" shapeId="0" xr:uid="{13323463-A60D-4A59-B5DA-A1B6BC6B3B37}">
      <text>
        <r>
          <rPr>
            <b/>
            <sz val="9"/>
            <color indexed="81"/>
            <rFont val="Tahoma"/>
            <family val="2"/>
          </rPr>
          <t>adam:</t>
        </r>
        <r>
          <rPr>
            <sz val="9"/>
            <color indexed="81"/>
            <rFont val="Tahoma"/>
            <family val="2"/>
          </rPr>
          <t xml:space="preserve">
1/1/77
</t>
        </r>
      </text>
    </comment>
    <comment ref="F5" authorId="0" shapeId="0" xr:uid="{12F8C570-DB5F-451B-8C8A-2A9F80535600}">
      <text>
        <r>
          <rPr>
            <b/>
            <sz val="9"/>
            <color indexed="81"/>
            <rFont val="Tahoma"/>
            <family val="2"/>
          </rPr>
          <t>adam:</t>
        </r>
        <r>
          <rPr>
            <sz val="9"/>
            <color indexed="81"/>
            <rFont val="Tahoma"/>
            <family val="2"/>
          </rPr>
          <t xml:space="preserve">
1/1/77
</t>
        </r>
      </text>
    </comment>
    <comment ref="G5" authorId="0" shapeId="0" xr:uid="{C306076E-6845-44ED-A222-291BE1FA2C96}">
      <text>
        <r>
          <rPr>
            <b/>
            <sz val="9"/>
            <color indexed="81"/>
            <rFont val="Tahoma"/>
            <family val="2"/>
          </rPr>
          <t>adam:</t>
        </r>
        <r>
          <rPr>
            <sz val="9"/>
            <color indexed="81"/>
            <rFont val="Tahoma"/>
            <family val="2"/>
          </rPr>
          <t xml:space="preserve">
1/1/77
</t>
        </r>
      </text>
    </comment>
    <comment ref="H5" authorId="0" shapeId="0" xr:uid="{A2FAD35D-2EAA-4BDD-96B0-30CDB84A2085}">
      <text>
        <r>
          <rPr>
            <b/>
            <sz val="9"/>
            <color indexed="81"/>
            <rFont val="Tahoma"/>
            <family val="2"/>
          </rPr>
          <t>adam:</t>
        </r>
        <r>
          <rPr>
            <sz val="9"/>
            <color indexed="81"/>
            <rFont val="Tahoma"/>
            <family val="2"/>
          </rPr>
          <t xml:space="preserve">
1/1/77
</t>
        </r>
      </text>
    </comment>
    <comment ref="I5" authorId="0" shapeId="0" xr:uid="{0E6FAB0E-DE80-4CF5-903F-A41F34DFF86D}">
      <text>
        <r>
          <rPr>
            <b/>
            <sz val="9"/>
            <color indexed="81"/>
            <rFont val="Tahoma"/>
            <family val="2"/>
          </rPr>
          <t>adam:</t>
        </r>
        <r>
          <rPr>
            <sz val="9"/>
            <color indexed="81"/>
            <rFont val="Tahoma"/>
            <family val="2"/>
          </rPr>
          <t xml:space="preserve">
1/1/77
</t>
        </r>
      </text>
    </comment>
    <comment ref="J5" authorId="0" shapeId="0" xr:uid="{D16313BB-2B22-4C70-8DB4-5674AECFBFD2}">
      <text>
        <r>
          <rPr>
            <b/>
            <sz val="9"/>
            <color indexed="81"/>
            <rFont val="Tahoma"/>
            <family val="2"/>
          </rPr>
          <t>adam:</t>
        </r>
        <r>
          <rPr>
            <sz val="9"/>
            <color indexed="81"/>
            <rFont val="Tahoma"/>
            <family val="2"/>
          </rPr>
          <t xml:space="preserve">
1/1/77
</t>
        </r>
      </text>
    </comment>
    <comment ref="K5" authorId="0" shapeId="0" xr:uid="{F542DF35-26FC-4940-8A72-FEF92F4FA31F}">
      <text>
        <r>
          <rPr>
            <b/>
            <sz val="9"/>
            <color indexed="81"/>
            <rFont val="Tahoma"/>
            <family val="2"/>
          </rPr>
          <t>adam:</t>
        </r>
        <r>
          <rPr>
            <sz val="9"/>
            <color indexed="81"/>
            <rFont val="Tahoma"/>
            <family val="2"/>
          </rPr>
          <t xml:space="preserve">
1/1/77
</t>
        </r>
      </text>
    </comment>
    <comment ref="M5" authorId="0" shapeId="0" xr:uid="{F8CFF7BB-BC10-4E6E-909A-D25613E31BC2}">
      <text>
        <r>
          <rPr>
            <b/>
            <sz val="9"/>
            <color indexed="81"/>
            <rFont val="Tahoma"/>
            <family val="2"/>
          </rPr>
          <t>adam:</t>
        </r>
        <r>
          <rPr>
            <sz val="9"/>
            <color indexed="81"/>
            <rFont val="Tahoma"/>
            <family val="2"/>
          </rPr>
          <t xml:space="preserve">
1/1/77
</t>
        </r>
      </text>
    </comment>
    <comment ref="N5" authorId="0" shapeId="0" xr:uid="{7F8B8E24-D10C-4F22-952D-9C9A4709FC95}">
      <text>
        <r>
          <rPr>
            <b/>
            <sz val="9"/>
            <color indexed="81"/>
            <rFont val="Tahoma"/>
            <family val="2"/>
          </rPr>
          <t>adam:</t>
        </r>
        <r>
          <rPr>
            <sz val="9"/>
            <color indexed="81"/>
            <rFont val="Tahoma"/>
            <family val="2"/>
          </rPr>
          <t xml:space="preserve">
1/1/77
</t>
        </r>
      </text>
    </comment>
    <comment ref="O5" authorId="0" shapeId="0" xr:uid="{A1F265A6-5606-4C56-84CB-CBB29DC60876}">
      <text>
        <r>
          <rPr>
            <b/>
            <sz val="9"/>
            <color indexed="81"/>
            <rFont val="Tahoma"/>
            <family val="2"/>
          </rPr>
          <t>adam:</t>
        </r>
        <r>
          <rPr>
            <sz val="9"/>
            <color indexed="81"/>
            <rFont val="Tahoma"/>
            <family val="2"/>
          </rPr>
          <t xml:space="preserve">
1/3/76
</t>
        </r>
      </text>
    </comment>
    <comment ref="P5" authorId="0" shapeId="0" xr:uid="{B1D23955-F31D-49BC-99C5-9EB9C32A2AC9}">
      <text>
        <r>
          <rPr>
            <b/>
            <sz val="9"/>
            <color indexed="81"/>
            <rFont val="Tahoma"/>
            <family val="2"/>
          </rPr>
          <t>adam:</t>
        </r>
        <r>
          <rPr>
            <sz val="9"/>
            <color indexed="81"/>
            <rFont val="Tahoma"/>
            <family val="2"/>
          </rPr>
          <t xml:space="preserve">
12/28/74
</t>
        </r>
      </text>
    </comment>
    <comment ref="B20" authorId="0" shapeId="0" xr:uid="{A32FCE0B-084D-453D-BD20-3CAE4141C377}">
      <text>
        <r>
          <rPr>
            <b/>
            <sz val="9"/>
            <color indexed="81"/>
            <rFont val="Tahoma"/>
            <family val="2"/>
          </rPr>
          <t>adam:</t>
        </r>
        <r>
          <rPr>
            <sz val="9"/>
            <color indexed="81"/>
            <rFont val="Tahoma"/>
            <family val="2"/>
          </rPr>
          <t xml:space="preserve">
Moved to "other assets"
</t>
        </r>
      </text>
    </comment>
    <comment ref="C20" authorId="0" shapeId="0" xr:uid="{53DA3E09-A96E-4836-84A2-6193BFB94566}">
      <text>
        <r>
          <rPr>
            <b/>
            <sz val="9"/>
            <color indexed="81"/>
            <rFont val="Tahoma"/>
            <family val="2"/>
          </rPr>
          <t>adam:</t>
        </r>
        <r>
          <rPr>
            <sz val="9"/>
            <color indexed="81"/>
            <rFont val="Tahoma"/>
            <family val="2"/>
          </rPr>
          <t xml:space="preserve">
Moved to "other assets"
</t>
        </r>
      </text>
    </comment>
    <comment ref="D20" authorId="0" shapeId="0" xr:uid="{3CB77CD1-ECB6-4FD5-A754-370894B56F7F}">
      <text>
        <r>
          <rPr>
            <b/>
            <sz val="9"/>
            <color indexed="81"/>
            <rFont val="Tahoma"/>
            <family val="2"/>
          </rPr>
          <t>adam:</t>
        </r>
        <r>
          <rPr>
            <sz val="9"/>
            <color indexed="81"/>
            <rFont val="Tahoma"/>
            <family val="2"/>
          </rPr>
          <t xml:space="preserve">
Moved to "other assets"
</t>
        </r>
      </text>
    </comment>
    <comment ref="F20" authorId="0" shapeId="0" xr:uid="{D8D7356E-B7AA-484F-A3C1-8A284668669C}">
      <text>
        <r>
          <rPr>
            <b/>
            <sz val="9"/>
            <color indexed="81"/>
            <rFont val="Tahoma"/>
            <family val="2"/>
          </rPr>
          <t>adam:</t>
        </r>
        <r>
          <rPr>
            <sz val="9"/>
            <color indexed="81"/>
            <rFont val="Tahoma"/>
            <family val="2"/>
          </rPr>
          <t xml:space="preserve">
Moved to "other assets"
</t>
        </r>
      </text>
    </comment>
    <comment ref="G20" authorId="0" shapeId="0" xr:uid="{1A368B38-19A5-420A-BADB-D52D3A6BC9EE}">
      <text>
        <r>
          <rPr>
            <b/>
            <sz val="9"/>
            <color indexed="81"/>
            <rFont val="Tahoma"/>
            <family val="2"/>
          </rPr>
          <t>adam:</t>
        </r>
        <r>
          <rPr>
            <sz val="9"/>
            <color indexed="81"/>
            <rFont val="Tahoma"/>
            <family val="2"/>
          </rPr>
          <t xml:space="preserve">
Moved to "other assets"
</t>
        </r>
      </text>
    </comment>
    <comment ref="J47" authorId="0" shapeId="0" xr:uid="{7BBD53DA-7006-4820-89AD-6759EA46CE27}">
      <text>
        <r>
          <rPr>
            <b/>
            <sz val="9"/>
            <color indexed="81"/>
            <rFont val="Tahoma"/>
            <family val="2"/>
          </rPr>
          <t>adam:</t>
        </r>
        <r>
          <rPr>
            <sz val="9"/>
            <color indexed="81"/>
            <rFont val="Tahoma"/>
            <family val="2"/>
          </rPr>
          <t xml:space="preserve">
Restated in 1979 to value insurance company marketables at market vs. cost.</t>
        </r>
      </text>
    </comment>
    <comment ref="K47" authorId="0" shapeId="0" xr:uid="{EE1FBD0E-7E69-41EB-98A7-753CD4B53ABB}">
      <text>
        <r>
          <rPr>
            <b/>
            <sz val="9"/>
            <color indexed="81"/>
            <rFont val="Tahoma"/>
            <family val="2"/>
          </rPr>
          <t>adam:</t>
        </r>
        <r>
          <rPr>
            <sz val="9"/>
            <color indexed="81"/>
            <rFont val="Tahoma"/>
            <family val="2"/>
          </rPr>
          <t xml:space="preserve">
Restated to consolidate Diversified, including Blue Chip. Present 1977 original and restated to show the effect of the accounting changes.</t>
        </r>
      </text>
    </comment>
    <comment ref="B48" authorId="0" shapeId="0" xr:uid="{C016A2EC-B5ED-435E-A795-9C7ADBD54F56}">
      <text>
        <r>
          <rPr>
            <b/>
            <sz val="9"/>
            <color indexed="81"/>
            <rFont val="Tahoma"/>
            <family val="2"/>
          </rPr>
          <t>adam:</t>
        </r>
        <r>
          <rPr>
            <sz val="9"/>
            <color indexed="81"/>
            <rFont val="Tahoma"/>
            <family val="2"/>
          </rPr>
          <t xml:space="preserve">
1/1/77
</t>
        </r>
      </text>
    </comment>
    <comment ref="C48" authorId="0" shapeId="0" xr:uid="{B621A254-FB8D-433E-873D-FAB912EFC4C9}">
      <text>
        <r>
          <rPr>
            <b/>
            <sz val="9"/>
            <color indexed="81"/>
            <rFont val="Tahoma"/>
            <family val="2"/>
          </rPr>
          <t>adam:</t>
        </r>
        <r>
          <rPr>
            <sz val="9"/>
            <color indexed="81"/>
            <rFont val="Tahoma"/>
            <family val="2"/>
          </rPr>
          <t xml:space="preserve">
1/1/77
</t>
        </r>
      </text>
    </comment>
    <comment ref="D48" authorId="0" shapeId="0" xr:uid="{C41C40F6-D1C4-47CD-9E15-7CF25748E316}">
      <text>
        <r>
          <rPr>
            <b/>
            <sz val="9"/>
            <color indexed="81"/>
            <rFont val="Tahoma"/>
            <family val="2"/>
          </rPr>
          <t>adam:</t>
        </r>
        <r>
          <rPr>
            <sz val="9"/>
            <color indexed="81"/>
            <rFont val="Tahoma"/>
            <family val="2"/>
          </rPr>
          <t xml:space="preserve">
1/1/77
</t>
        </r>
      </text>
    </comment>
    <comment ref="F48" authorId="0" shapeId="0" xr:uid="{789D0FC1-B574-4255-949E-789F1D6AA654}">
      <text>
        <r>
          <rPr>
            <b/>
            <sz val="9"/>
            <color indexed="81"/>
            <rFont val="Tahoma"/>
            <family val="2"/>
          </rPr>
          <t>adam:</t>
        </r>
        <r>
          <rPr>
            <sz val="9"/>
            <color indexed="81"/>
            <rFont val="Tahoma"/>
            <family val="2"/>
          </rPr>
          <t xml:space="preserve">
1/1/77
</t>
        </r>
      </text>
    </comment>
    <comment ref="G48" authorId="0" shapeId="0" xr:uid="{3EF7DA60-8EC0-4A98-B598-0ED272EF1C53}">
      <text>
        <r>
          <rPr>
            <b/>
            <sz val="9"/>
            <color indexed="81"/>
            <rFont val="Tahoma"/>
            <family val="2"/>
          </rPr>
          <t>adam:</t>
        </r>
        <r>
          <rPr>
            <sz val="9"/>
            <color indexed="81"/>
            <rFont val="Tahoma"/>
            <family val="2"/>
          </rPr>
          <t xml:space="preserve">
1/1/77
</t>
        </r>
      </text>
    </comment>
    <comment ref="H48" authorId="0" shapeId="0" xr:uid="{7664152D-7FDE-42E5-9D2A-62F3B3A6356A}">
      <text>
        <r>
          <rPr>
            <b/>
            <sz val="9"/>
            <color indexed="81"/>
            <rFont val="Tahoma"/>
            <family val="2"/>
          </rPr>
          <t>adam:</t>
        </r>
        <r>
          <rPr>
            <sz val="9"/>
            <color indexed="81"/>
            <rFont val="Tahoma"/>
            <family val="2"/>
          </rPr>
          <t xml:space="preserve">
1/1/77
</t>
        </r>
      </text>
    </comment>
    <comment ref="I48" authorId="0" shapeId="0" xr:uid="{22A91B31-AA6D-427F-91C3-55CE1AF43928}">
      <text>
        <r>
          <rPr>
            <b/>
            <sz val="9"/>
            <color indexed="81"/>
            <rFont val="Tahoma"/>
            <family val="2"/>
          </rPr>
          <t>adam:</t>
        </r>
        <r>
          <rPr>
            <sz val="9"/>
            <color indexed="81"/>
            <rFont val="Tahoma"/>
            <family val="2"/>
          </rPr>
          <t xml:space="preserve">
1/1/77
</t>
        </r>
      </text>
    </comment>
    <comment ref="J48" authorId="0" shapeId="0" xr:uid="{30415C7B-2AFD-4066-8A6F-72D15E7289B4}">
      <text>
        <r>
          <rPr>
            <b/>
            <sz val="9"/>
            <color indexed="81"/>
            <rFont val="Tahoma"/>
            <family val="2"/>
          </rPr>
          <t>adam:</t>
        </r>
        <r>
          <rPr>
            <sz val="9"/>
            <color indexed="81"/>
            <rFont val="Tahoma"/>
            <family val="2"/>
          </rPr>
          <t xml:space="preserve">
1/1/77
</t>
        </r>
      </text>
    </comment>
    <comment ref="K48" authorId="0" shapeId="0" xr:uid="{BF4046E0-1184-485E-8666-0153FEFF2BAB}">
      <text>
        <r>
          <rPr>
            <b/>
            <sz val="9"/>
            <color indexed="81"/>
            <rFont val="Tahoma"/>
            <family val="2"/>
          </rPr>
          <t>adam:</t>
        </r>
        <r>
          <rPr>
            <sz val="9"/>
            <color indexed="81"/>
            <rFont val="Tahoma"/>
            <family val="2"/>
          </rPr>
          <t xml:space="preserve">
1/1/77
</t>
        </r>
      </text>
    </comment>
    <comment ref="M48" authorId="0" shapeId="0" xr:uid="{6843D6C2-5455-4069-A6B0-A937E1C3247D}">
      <text>
        <r>
          <rPr>
            <b/>
            <sz val="9"/>
            <color indexed="81"/>
            <rFont val="Tahoma"/>
            <family val="2"/>
          </rPr>
          <t>adam:</t>
        </r>
        <r>
          <rPr>
            <sz val="9"/>
            <color indexed="81"/>
            <rFont val="Tahoma"/>
            <family val="2"/>
          </rPr>
          <t xml:space="preserve">
1/1/77
</t>
        </r>
      </text>
    </comment>
    <comment ref="N48" authorId="0" shapeId="0" xr:uid="{552AFACA-95B9-418B-BA90-526B2D90DC59}">
      <text>
        <r>
          <rPr>
            <b/>
            <sz val="9"/>
            <color indexed="81"/>
            <rFont val="Tahoma"/>
            <family val="2"/>
          </rPr>
          <t>adam:</t>
        </r>
        <r>
          <rPr>
            <sz val="9"/>
            <color indexed="81"/>
            <rFont val="Tahoma"/>
            <family val="2"/>
          </rPr>
          <t xml:space="preserve">
1/1/77
</t>
        </r>
      </text>
    </comment>
    <comment ref="O48" authorId="0" shapeId="0" xr:uid="{79CD4D4F-9150-45DB-8A85-47D5EDF845D2}">
      <text>
        <r>
          <rPr>
            <b/>
            <sz val="9"/>
            <color indexed="81"/>
            <rFont val="Tahoma"/>
            <family val="2"/>
          </rPr>
          <t>adam:</t>
        </r>
        <r>
          <rPr>
            <sz val="9"/>
            <color indexed="81"/>
            <rFont val="Tahoma"/>
            <family val="2"/>
          </rPr>
          <t xml:space="preserve">
1/3/76
</t>
        </r>
      </text>
    </comment>
    <comment ref="P48" authorId="0" shapeId="0" xr:uid="{DA1C2628-D6BD-4B01-91DB-5A927609B22E}">
      <text>
        <r>
          <rPr>
            <b/>
            <sz val="9"/>
            <color indexed="81"/>
            <rFont val="Tahoma"/>
            <family val="2"/>
          </rPr>
          <t>adam:</t>
        </r>
        <r>
          <rPr>
            <sz val="9"/>
            <color indexed="81"/>
            <rFont val="Tahoma"/>
            <family val="2"/>
          </rPr>
          <t xml:space="preserve">
12/28/74
</t>
        </r>
      </text>
    </comment>
    <comment ref="C58" authorId="0" shapeId="0" xr:uid="{E5ABC0C2-A76F-4CDA-BDBA-07A46F2BCBB9}">
      <text>
        <r>
          <rPr>
            <b/>
            <sz val="9"/>
            <color indexed="81"/>
            <rFont val="Tahoma"/>
            <family val="2"/>
          </rPr>
          <t>adam:</t>
        </r>
        <r>
          <rPr>
            <sz val="9"/>
            <color indexed="81"/>
            <rFont val="Tahoma"/>
            <family val="2"/>
          </rPr>
          <t xml:space="preserve">
The 1984 presentation of the 1983 deferred tax line nets out certain deferred tax assets. The 1983 presentation was left unchanged.</t>
        </r>
      </text>
    </comment>
    <comment ref="A72" authorId="0" shapeId="0" xr:uid="{6DF7EED7-F81F-4D28-B833-93D0DD440277}">
      <text>
        <r>
          <rPr>
            <b/>
            <sz val="9"/>
            <color indexed="81"/>
            <rFont val="Tahoma"/>
            <family val="2"/>
          </rPr>
          <t>adam:</t>
        </r>
        <r>
          <rPr>
            <sz val="9"/>
            <color indexed="81"/>
            <rFont val="Tahoma"/>
            <family val="2"/>
          </rPr>
          <t xml:space="preserve">
Note how minority interest was included in liabilities section originally. AJM adjustment.</t>
        </r>
      </text>
    </comment>
    <comment ref="B76" authorId="0" shapeId="0" xr:uid="{EBC4AFD9-7B05-4781-8F6D-C1EC71C11BFE}">
      <text>
        <r>
          <rPr>
            <b/>
            <sz val="9"/>
            <color indexed="81"/>
            <rFont val="Tahoma"/>
            <family val="2"/>
          </rPr>
          <t>adam:</t>
        </r>
        <r>
          <rPr>
            <sz val="9"/>
            <color indexed="81"/>
            <rFont val="Tahoma"/>
            <family val="2"/>
          </rPr>
          <t xml:space="preserve">
Reduced authorized shares by 250,000. Why?</t>
        </r>
      </text>
    </comment>
    <comment ref="C76" authorId="0" shapeId="0" xr:uid="{0D41B434-E0AA-420F-9E8A-E7B4DB120B0B}">
      <text>
        <r>
          <rPr>
            <b/>
            <sz val="9"/>
            <color indexed="81"/>
            <rFont val="Tahoma"/>
            <family val="2"/>
          </rPr>
          <t>adam:</t>
        </r>
        <r>
          <rPr>
            <sz val="9"/>
            <color indexed="81"/>
            <rFont val="Tahoma"/>
            <family val="2"/>
          </rPr>
          <t xml:space="preserve">
Reduced authorized shares by 250,000. Why?</t>
        </r>
      </text>
    </comment>
    <comment ref="D84" authorId="0" shapeId="0" xr:uid="{16DE1B47-1540-4BC1-A432-4E07F71736B7}">
      <text>
        <r>
          <rPr>
            <b/>
            <sz val="9"/>
            <color indexed="81"/>
            <rFont val="Tahoma"/>
            <family val="2"/>
          </rPr>
          <t>adam:</t>
        </r>
        <r>
          <rPr>
            <sz val="9"/>
            <color indexed="81"/>
            <rFont val="Tahoma"/>
            <family val="2"/>
          </rPr>
          <t xml:space="preserve">
Note no change to equity with the restatement.
</t>
        </r>
      </text>
    </comment>
    <comment ref="B99" authorId="0" shapeId="0" xr:uid="{9B03DC5F-6B7E-4D4E-BEA5-52CD2D363AF5}">
      <text>
        <r>
          <rPr>
            <b/>
            <sz val="9"/>
            <color indexed="81"/>
            <rFont val="Tahoma"/>
            <family val="2"/>
          </rPr>
          <t>adam:</t>
        </r>
        <r>
          <rPr>
            <sz val="9"/>
            <color indexed="81"/>
            <rFont val="Tahoma"/>
            <family val="2"/>
          </rPr>
          <t xml:space="preserve">
1980, 1979, 1978 used 1980 presentation assuming divestment of bank.</t>
        </r>
      </text>
    </comment>
    <comment ref="C99" authorId="0" shapeId="0" xr:uid="{BD17D49D-65AA-4DB9-8165-CB5DDEF288D6}">
      <text>
        <r>
          <rPr>
            <b/>
            <sz val="9"/>
            <color indexed="81"/>
            <rFont val="Tahoma"/>
            <family val="2"/>
          </rPr>
          <t>adam:</t>
        </r>
        <r>
          <rPr>
            <sz val="9"/>
            <color indexed="81"/>
            <rFont val="Tahoma"/>
            <family val="2"/>
          </rPr>
          <t xml:space="preserve">
1980, 1979, 1978 used 1980 presentation assuming divestment of bank.</t>
        </r>
      </text>
    </comment>
    <comment ref="D99" authorId="0" shapeId="0" xr:uid="{1DDC8706-81E3-4F96-A8DA-F8382CA118F1}">
      <text>
        <r>
          <rPr>
            <b/>
            <sz val="9"/>
            <color indexed="81"/>
            <rFont val="Tahoma"/>
            <family val="2"/>
          </rPr>
          <t>adam:</t>
        </r>
        <r>
          <rPr>
            <sz val="9"/>
            <color indexed="81"/>
            <rFont val="Tahoma"/>
            <family val="2"/>
          </rPr>
          <t xml:space="preserve">
1980, 1979, 1978 used 1980 presentation assuming divestment of bank.</t>
        </r>
      </text>
    </comment>
    <comment ref="F99" authorId="0" shapeId="0" xr:uid="{6D67C62E-DA91-446E-9BEF-D24EDB90848C}">
      <text>
        <r>
          <rPr>
            <b/>
            <sz val="9"/>
            <color indexed="81"/>
            <rFont val="Tahoma"/>
            <family val="2"/>
          </rPr>
          <t>adam:</t>
        </r>
        <r>
          <rPr>
            <sz val="9"/>
            <color indexed="81"/>
            <rFont val="Tahoma"/>
            <family val="2"/>
          </rPr>
          <t xml:space="preserve">
1980, 1979, 1978 used 1980 presentation assuming divestment of bank.</t>
        </r>
      </text>
    </comment>
    <comment ref="G99" authorId="0" shapeId="0" xr:uid="{358EE675-4499-4AF4-A8E3-0BA06A651413}">
      <text>
        <r>
          <rPr>
            <b/>
            <sz val="9"/>
            <color indexed="81"/>
            <rFont val="Tahoma"/>
            <family val="2"/>
          </rPr>
          <t>adam:</t>
        </r>
        <r>
          <rPr>
            <sz val="9"/>
            <color indexed="81"/>
            <rFont val="Tahoma"/>
            <family val="2"/>
          </rPr>
          <t xml:space="preserve">
1980, 1979, 1978 used 1980 presentation assuming divestment of bank.</t>
        </r>
      </text>
    </comment>
    <comment ref="H99" authorId="0" shapeId="0" xr:uid="{FB3B46FF-2C86-42FE-8ADF-3B772E9163AC}">
      <text>
        <r>
          <rPr>
            <b/>
            <sz val="9"/>
            <color indexed="81"/>
            <rFont val="Tahoma"/>
            <family val="2"/>
          </rPr>
          <t>adam:</t>
        </r>
        <r>
          <rPr>
            <sz val="9"/>
            <color indexed="81"/>
            <rFont val="Tahoma"/>
            <family val="2"/>
          </rPr>
          <t xml:space="preserve">
1980, 1979, 1978 used 1980 presentation assuming divestment of bank.</t>
        </r>
      </text>
    </comment>
    <comment ref="J125" authorId="0" shapeId="0" xr:uid="{B87AAAE3-0F09-4345-BCAC-AD0168BC9BC4}">
      <text>
        <r>
          <rPr>
            <b/>
            <sz val="9"/>
            <color indexed="81"/>
            <rFont val="Tahoma"/>
            <family val="2"/>
          </rPr>
          <t>adam:</t>
        </r>
        <r>
          <rPr>
            <sz val="9"/>
            <color indexed="81"/>
            <rFont val="Tahoma"/>
            <family val="2"/>
          </rPr>
          <t xml:space="preserve">
Restated in 1979 to value insurance company marketables at market vs. cost.</t>
        </r>
      </text>
    </comment>
    <comment ref="K125" authorId="0" shapeId="0" xr:uid="{43CB85F5-9B49-4D51-88F9-E4AC793964F1}">
      <text>
        <r>
          <rPr>
            <b/>
            <sz val="9"/>
            <color indexed="81"/>
            <rFont val="Tahoma"/>
            <family val="2"/>
          </rPr>
          <t>adam:</t>
        </r>
        <r>
          <rPr>
            <sz val="9"/>
            <color indexed="81"/>
            <rFont val="Tahoma"/>
            <family val="2"/>
          </rPr>
          <t xml:space="preserve">
Restated to consolidate Diversified, including Blue Chip. Present 1977 original and restated to show the effect of the accounting changes.</t>
        </r>
      </text>
    </comment>
    <comment ref="B126" authorId="0" shapeId="0" xr:uid="{DF4A813B-5676-4756-A0B9-FFD47C818493}">
      <text>
        <r>
          <rPr>
            <b/>
            <sz val="9"/>
            <color indexed="81"/>
            <rFont val="Tahoma"/>
            <family val="2"/>
          </rPr>
          <t>adam:</t>
        </r>
        <r>
          <rPr>
            <sz val="9"/>
            <color indexed="81"/>
            <rFont val="Tahoma"/>
            <family val="2"/>
          </rPr>
          <t xml:space="preserve">
1/1/77
</t>
        </r>
      </text>
    </comment>
    <comment ref="C126" authorId="0" shapeId="0" xr:uid="{D1E0C4F8-BDFF-4C0B-92F5-77E5724310A7}">
      <text>
        <r>
          <rPr>
            <b/>
            <sz val="9"/>
            <color indexed="81"/>
            <rFont val="Tahoma"/>
            <family val="2"/>
          </rPr>
          <t>adam:</t>
        </r>
        <r>
          <rPr>
            <sz val="9"/>
            <color indexed="81"/>
            <rFont val="Tahoma"/>
            <family val="2"/>
          </rPr>
          <t xml:space="preserve">
1/1/77
</t>
        </r>
      </text>
    </comment>
    <comment ref="D126" authorId="0" shapeId="0" xr:uid="{F1862840-DB66-4928-9AF7-706A64468CCB}">
      <text>
        <r>
          <rPr>
            <b/>
            <sz val="9"/>
            <color indexed="81"/>
            <rFont val="Tahoma"/>
            <family val="2"/>
          </rPr>
          <t>adam:</t>
        </r>
        <r>
          <rPr>
            <sz val="9"/>
            <color indexed="81"/>
            <rFont val="Tahoma"/>
            <family val="2"/>
          </rPr>
          <t xml:space="preserve">
1/1/77
</t>
        </r>
      </text>
    </comment>
    <comment ref="F126" authorId="0" shapeId="0" xr:uid="{ADDA0A65-457E-424C-A9AD-912A0F4C46E1}">
      <text>
        <r>
          <rPr>
            <b/>
            <sz val="9"/>
            <color indexed="81"/>
            <rFont val="Tahoma"/>
            <family val="2"/>
          </rPr>
          <t>adam:</t>
        </r>
        <r>
          <rPr>
            <sz val="9"/>
            <color indexed="81"/>
            <rFont val="Tahoma"/>
            <family val="2"/>
          </rPr>
          <t xml:space="preserve">
1/1/77
</t>
        </r>
      </text>
    </comment>
    <comment ref="G126" authorId="0" shapeId="0" xr:uid="{14D9C0DF-104E-48EE-963F-393565D61A9D}">
      <text>
        <r>
          <rPr>
            <b/>
            <sz val="9"/>
            <color indexed="81"/>
            <rFont val="Tahoma"/>
            <family val="2"/>
          </rPr>
          <t>adam:</t>
        </r>
        <r>
          <rPr>
            <sz val="9"/>
            <color indexed="81"/>
            <rFont val="Tahoma"/>
            <family val="2"/>
          </rPr>
          <t xml:space="preserve">
1/1/77
</t>
        </r>
      </text>
    </comment>
    <comment ref="H126" authorId="0" shapeId="0" xr:uid="{5248730B-7DEA-4852-BA4E-D17E7650156A}">
      <text>
        <r>
          <rPr>
            <b/>
            <sz val="9"/>
            <color indexed="81"/>
            <rFont val="Tahoma"/>
            <family val="2"/>
          </rPr>
          <t>adam:</t>
        </r>
        <r>
          <rPr>
            <sz val="9"/>
            <color indexed="81"/>
            <rFont val="Tahoma"/>
            <family val="2"/>
          </rPr>
          <t xml:space="preserve">
1/1/77
</t>
        </r>
      </text>
    </comment>
    <comment ref="I126" authorId="0" shapeId="0" xr:uid="{979C2EB6-70E3-4F78-A611-784ECCFA014D}">
      <text>
        <r>
          <rPr>
            <b/>
            <sz val="9"/>
            <color indexed="81"/>
            <rFont val="Tahoma"/>
            <family val="2"/>
          </rPr>
          <t>adam:</t>
        </r>
        <r>
          <rPr>
            <sz val="9"/>
            <color indexed="81"/>
            <rFont val="Tahoma"/>
            <family val="2"/>
          </rPr>
          <t xml:space="preserve">
1/1/77
</t>
        </r>
      </text>
    </comment>
    <comment ref="J126" authorId="0" shapeId="0" xr:uid="{B7E56D98-C996-479A-8BC9-9AE3D9A6C274}">
      <text>
        <r>
          <rPr>
            <b/>
            <sz val="9"/>
            <color indexed="81"/>
            <rFont val="Tahoma"/>
            <family val="2"/>
          </rPr>
          <t>adam:</t>
        </r>
        <r>
          <rPr>
            <sz val="9"/>
            <color indexed="81"/>
            <rFont val="Tahoma"/>
            <family val="2"/>
          </rPr>
          <t xml:space="preserve">
1/1/77
</t>
        </r>
      </text>
    </comment>
    <comment ref="K126" authorId="0" shapeId="0" xr:uid="{C733FF81-180C-498A-B150-6A0D3B9E1303}">
      <text>
        <r>
          <rPr>
            <b/>
            <sz val="9"/>
            <color indexed="81"/>
            <rFont val="Tahoma"/>
            <family val="2"/>
          </rPr>
          <t>adam:</t>
        </r>
        <r>
          <rPr>
            <sz val="9"/>
            <color indexed="81"/>
            <rFont val="Tahoma"/>
            <family val="2"/>
          </rPr>
          <t xml:space="preserve">
1/1/77
</t>
        </r>
      </text>
    </comment>
    <comment ref="M126" authorId="0" shapeId="0" xr:uid="{6DD9EF0F-BBAE-4109-A835-5A6C69FB5463}">
      <text>
        <r>
          <rPr>
            <b/>
            <sz val="9"/>
            <color indexed="81"/>
            <rFont val="Tahoma"/>
            <family val="2"/>
          </rPr>
          <t>adam:</t>
        </r>
        <r>
          <rPr>
            <sz val="9"/>
            <color indexed="81"/>
            <rFont val="Tahoma"/>
            <family val="2"/>
          </rPr>
          <t xml:space="preserve">
1/1/77
</t>
        </r>
      </text>
    </comment>
    <comment ref="N126" authorId="0" shapeId="0" xr:uid="{E0C58E13-473B-4BA5-97F8-32C3E57A6F4C}">
      <text>
        <r>
          <rPr>
            <b/>
            <sz val="9"/>
            <color indexed="81"/>
            <rFont val="Tahoma"/>
            <family val="2"/>
          </rPr>
          <t>adam:</t>
        </r>
        <r>
          <rPr>
            <sz val="9"/>
            <color indexed="81"/>
            <rFont val="Tahoma"/>
            <family val="2"/>
          </rPr>
          <t xml:space="preserve">
1/1/77
</t>
        </r>
      </text>
    </comment>
    <comment ref="O126" authorId="0" shapeId="0" xr:uid="{9E2B0B3C-3CA9-4C90-9170-1A751069591E}">
      <text>
        <r>
          <rPr>
            <b/>
            <sz val="9"/>
            <color indexed="81"/>
            <rFont val="Tahoma"/>
            <family val="2"/>
          </rPr>
          <t>adam:</t>
        </r>
        <r>
          <rPr>
            <sz val="9"/>
            <color indexed="81"/>
            <rFont val="Tahoma"/>
            <family val="2"/>
          </rPr>
          <t xml:space="preserve">
1/3/76
</t>
        </r>
      </text>
    </comment>
    <comment ref="P126" authorId="0" shapeId="0" xr:uid="{400D2333-D92B-4134-BC08-492A86CDC92F}">
      <text>
        <r>
          <rPr>
            <b/>
            <sz val="9"/>
            <color indexed="81"/>
            <rFont val="Tahoma"/>
            <family val="2"/>
          </rPr>
          <t>adam:</t>
        </r>
        <r>
          <rPr>
            <sz val="9"/>
            <color indexed="81"/>
            <rFont val="Tahoma"/>
            <family val="2"/>
          </rPr>
          <t xml:space="preserve">
12/28/74
</t>
        </r>
      </text>
    </comment>
    <comment ref="C144" authorId="0" shapeId="0" xr:uid="{C03C8E12-6091-4EF4-BACC-B6F2D793A508}">
      <text>
        <r>
          <rPr>
            <b/>
            <sz val="9"/>
            <color indexed="81"/>
            <rFont val="Tahoma"/>
            <family val="2"/>
          </rPr>
          <t>adam:</t>
        </r>
        <r>
          <rPr>
            <sz val="9"/>
            <color indexed="81"/>
            <rFont val="Tahoma"/>
            <family val="2"/>
          </rPr>
          <t xml:space="preserve">
The 1984 statement restated 1983 to include the special dividend received from GEICO.(It was previously recorded in 'interest and dividend income'.</t>
        </r>
      </text>
    </comment>
    <comment ref="B160" authorId="0" shapeId="0" xr:uid="{F5DBFBD5-1FFD-4F04-A3D3-205B771C225A}">
      <text>
        <r>
          <rPr>
            <b/>
            <sz val="9"/>
            <color indexed="81"/>
            <rFont val="Tahoma"/>
            <family val="2"/>
          </rPr>
          <t>adam:</t>
        </r>
        <r>
          <rPr>
            <sz val="9"/>
            <color indexed="81"/>
            <rFont val="Tahoma"/>
            <family val="2"/>
          </rPr>
          <t xml:space="preserve">
1980, 1979, 1978 used 1980 presentation assuming divestment of bank.</t>
        </r>
      </text>
    </comment>
    <comment ref="C160" authorId="0" shapeId="0" xr:uid="{C79DCFC2-7617-43A6-8CE1-5F5B37BBFB95}">
      <text>
        <r>
          <rPr>
            <b/>
            <sz val="9"/>
            <color indexed="81"/>
            <rFont val="Tahoma"/>
            <family val="2"/>
          </rPr>
          <t>adam:</t>
        </r>
        <r>
          <rPr>
            <sz val="9"/>
            <color indexed="81"/>
            <rFont val="Tahoma"/>
            <family val="2"/>
          </rPr>
          <t xml:space="preserve">
1980, 1979, 1978 used 1980 presentation assuming divestment of bank.</t>
        </r>
      </text>
    </comment>
    <comment ref="D160" authorId="0" shapeId="0" xr:uid="{AB4F39D5-3404-4B29-A5F9-473E8CFA33AA}">
      <text>
        <r>
          <rPr>
            <b/>
            <sz val="9"/>
            <color indexed="81"/>
            <rFont val="Tahoma"/>
            <family val="2"/>
          </rPr>
          <t>adam:</t>
        </r>
        <r>
          <rPr>
            <sz val="9"/>
            <color indexed="81"/>
            <rFont val="Tahoma"/>
            <family val="2"/>
          </rPr>
          <t xml:space="preserve">
1980, 1979, 1978 used 1980 presentation assuming divestment of bank.</t>
        </r>
      </text>
    </comment>
    <comment ref="F160" authorId="0" shapeId="0" xr:uid="{F4FC4255-8FA8-4389-9010-783C069B186F}">
      <text>
        <r>
          <rPr>
            <b/>
            <sz val="9"/>
            <color indexed="81"/>
            <rFont val="Tahoma"/>
            <family val="2"/>
          </rPr>
          <t>adam:</t>
        </r>
        <r>
          <rPr>
            <sz val="9"/>
            <color indexed="81"/>
            <rFont val="Tahoma"/>
            <family val="2"/>
          </rPr>
          <t xml:space="preserve">
1980, 1979, 1978 used 1980 presentation assuming divestment of bank.</t>
        </r>
      </text>
    </comment>
    <comment ref="G160" authorId="0" shapeId="0" xr:uid="{6272DF75-1D16-4B52-8938-E414B87540B0}">
      <text>
        <r>
          <rPr>
            <b/>
            <sz val="9"/>
            <color indexed="81"/>
            <rFont val="Tahoma"/>
            <family val="2"/>
          </rPr>
          <t>adam:</t>
        </r>
        <r>
          <rPr>
            <sz val="9"/>
            <color indexed="81"/>
            <rFont val="Tahoma"/>
            <family val="2"/>
          </rPr>
          <t xml:space="preserve">
1980, 1979, 1978 used 1980 presentation assuming divestment of bank.</t>
        </r>
      </text>
    </comment>
    <comment ref="H160" authorId="0" shapeId="0" xr:uid="{0180B153-9A9B-456E-883D-0E6F6B43C926}">
      <text>
        <r>
          <rPr>
            <b/>
            <sz val="9"/>
            <color indexed="81"/>
            <rFont val="Tahoma"/>
            <family val="2"/>
          </rPr>
          <t>adam:</t>
        </r>
        <r>
          <rPr>
            <sz val="9"/>
            <color indexed="81"/>
            <rFont val="Tahoma"/>
            <family val="2"/>
          </rPr>
          <t xml:space="preserve">
1980, 1979, 1978 used 1980 presentation assuming divestment of bank.</t>
        </r>
      </text>
    </comment>
    <comment ref="C166" authorId="0" shapeId="0" xr:uid="{5B90F7F8-0804-481B-9C37-D9F3F4FFDF0B}">
      <text>
        <r>
          <rPr>
            <b/>
            <sz val="9"/>
            <color indexed="81"/>
            <rFont val="Tahoma"/>
            <family val="2"/>
          </rPr>
          <t>adam:</t>
        </r>
        <r>
          <rPr>
            <sz val="9"/>
            <color indexed="81"/>
            <rFont val="Tahoma"/>
            <family val="2"/>
          </rPr>
          <t xml:space="preserve">
Reissued treasury shares</t>
        </r>
      </text>
    </comment>
    <comment ref="G166" authorId="0" shapeId="0" xr:uid="{EE35E03F-AFE4-423F-86DE-242F2F046519}">
      <text>
        <r>
          <rPr>
            <b/>
            <sz val="9"/>
            <color indexed="81"/>
            <rFont val="Tahoma"/>
            <family val="2"/>
          </rPr>
          <t>adam:</t>
        </r>
        <r>
          <rPr>
            <sz val="9"/>
            <color indexed="81"/>
            <rFont val="Tahoma"/>
            <family val="2"/>
          </rPr>
          <t xml:space="preserve">
Reissued treasury shares</t>
        </r>
      </text>
    </comment>
    <comment ref="B170" authorId="0" shapeId="0" xr:uid="{8388213E-07E4-4A7D-A6CC-E03F7A7C1F65}">
      <text>
        <r>
          <rPr>
            <b/>
            <sz val="9"/>
            <color indexed="81"/>
            <rFont val="Tahoma"/>
            <family val="2"/>
          </rPr>
          <t>adam:</t>
        </r>
        <r>
          <rPr>
            <sz val="9"/>
            <color indexed="81"/>
            <rFont val="Tahoma"/>
            <family val="2"/>
          </rPr>
          <t xml:space="preserve">
Actual change taken from 10K. Formula would not work since I did not restate 1983 to conform to the 1984 presentation of the 1983 statements. </t>
        </r>
      </text>
    </comment>
    <comment ref="B189" authorId="0" shapeId="0" xr:uid="{56C5C587-04EA-4FFC-BC5B-402E7CCAF5D6}">
      <text>
        <r>
          <rPr>
            <b/>
            <sz val="9"/>
            <color indexed="81"/>
            <rFont val="Tahoma"/>
            <family val="2"/>
          </rPr>
          <t>adam:</t>
        </r>
        <r>
          <rPr>
            <sz val="9"/>
            <color indexed="81"/>
            <rFont val="Tahoma"/>
            <family val="2"/>
          </rPr>
          <t xml:space="preserve">
Remainder due to rounding which began in 1978 (1977 restated).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Adam</author>
    <author>adam</author>
  </authors>
  <commentList>
    <comment ref="B6" authorId="0" shapeId="0" xr:uid="{BDD05159-F19C-4614-A3E4-3ACD1B910F5B}">
      <text>
        <r>
          <rPr>
            <b/>
            <sz val="9"/>
            <color indexed="81"/>
            <rFont val="Tahoma"/>
            <family val="2"/>
          </rPr>
          <t>Adam:</t>
        </r>
        <r>
          <rPr>
            <sz val="9"/>
            <color indexed="81"/>
            <rFont val="Tahoma"/>
            <family val="2"/>
          </rPr>
          <t xml:space="preserve">
Includes Treasury Bills</t>
        </r>
      </text>
    </comment>
    <comment ref="C6" authorId="0" shapeId="0" xr:uid="{887C6331-6DFF-4F35-A134-FDB5C021B58C}">
      <text>
        <r>
          <rPr>
            <b/>
            <sz val="9"/>
            <color indexed="81"/>
            <rFont val="Tahoma"/>
            <family val="2"/>
          </rPr>
          <t>Adam:</t>
        </r>
        <r>
          <rPr>
            <sz val="9"/>
            <color indexed="81"/>
            <rFont val="Tahoma"/>
            <family val="2"/>
          </rPr>
          <t xml:space="preserve">
Includes Treasury Bills</t>
        </r>
      </text>
    </comment>
    <comment ref="D6" authorId="0" shapeId="0" xr:uid="{80B2DB49-BCE2-4CE3-BFCA-1A10B5A039D8}">
      <text>
        <r>
          <rPr>
            <b/>
            <sz val="9"/>
            <color indexed="81"/>
            <rFont val="Tahoma"/>
            <family val="2"/>
          </rPr>
          <t>Adam:</t>
        </r>
        <r>
          <rPr>
            <sz val="9"/>
            <color indexed="81"/>
            <rFont val="Tahoma"/>
            <family val="2"/>
          </rPr>
          <t xml:space="preserve">
Includes Treasury Bills</t>
        </r>
      </text>
    </comment>
    <comment ref="E6" authorId="0" shapeId="0" xr:uid="{2D034D9E-26BA-47A4-B15A-565B894B51F2}">
      <text>
        <r>
          <rPr>
            <b/>
            <sz val="9"/>
            <color indexed="81"/>
            <rFont val="Tahoma"/>
            <family val="2"/>
          </rPr>
          <t>Adam:</t>
        </r>
        <r>
          <rPr>
            <sz val="9"/>
            <color indexed="81"/>
            <rFont val="Tahoma"/>
            <family val="2"/>
          </rPr>
          <t xml:space="preserve">
Includes Treasury Bills</t>
        </r>
      </text>
    </comment>
    <comment ref="F6" authorId="0" shapeId="0" xr:uid="{6F973401-C232-421E-AE74-D57406C4E0A6}">
      <text>
        <r>
          <rPr>
            <b/>
            <sz val="9"/>
            <color indexed="81"/>
            <rFont val="Tahoma"/>
            <family val="2"/>
          </rPr>
          <t>Adam:</t>
        </r>
        <r>
          <rPr>
            <sz val="9"/>
            <color indexed="81"/>
            <rFont val="Tahoma"/>
            <family val="2"/>
          </rPr>
          <t xml:space="preserve">
Includes Treasury Bills</t>
        </r>
      </text>
    </comment>
    <comment ref="G6" authorId="0" shapeId="0" xr:uid="{BBB42ABE-289F-4B6E-9233-C47F3C3DEDB2}">
      <text>
        <r>
          <rPr>
            <b/>
            <sz val="9"/>
            <color indexed="81"/>
            <rFont val="Tahoma"/>
            <family val="2"/>
          </rPr>
          <t>Adam:</t>
        </r>
        <r>
          <rPr>
            <sz val="9"/>
            <color indexed="81"/>
            <rFont val="Tahoma"/>
            <family val="2"/>
          </rPr>
          <t xml:space="preserve">
Includes Treasury Bills</t>
        </r>
      </text>
    </comment>
    <comment ref="H6" authorId="0" shapeId="0" xr:uid="{1BF89FBE-D88D-4712-9201-5EA3A4B95949}">
      <text>
        <r>
          <rPr>
            <b/>
            <sz val="9"/>
            <color indexed="81"/>
            <rFont val="Tahoma"/>
            <family val="2"/>
          </rPr>
          <t>Adam:</t>
        </r>
        <r>
          <rPr>
            <sz val="9"/>
            <color indexed="81"/>
            <rFont val="Tahoma"/>
            <family val="2"/>
          </rPr>
          <t xml:space="preserve">
Includes Treasury Bills</t>
        </r>
      </text>
    </comment>
    <comment ref="J6" authorId="0" shapeId="0" xr:uid="{E68B5D10-531E-4E1F-898E-CE9309415AB7}">
      <text>
        <r>
          <rPr>
            <b/>
            <sz val="9"/>
            <color indexed="81"/>
            <rFont val="Tahoma"/>
            <family val="2"/>
          </rPr>
          <t>Adam:</t>
        </r>
        <r>
          <rPr>
            <sz val="9"/>
            <color indexed="81"/>
            <rFont val="Tahoma"/>
            <family val="2"/>
          </rPr>
          <t xml:space="preserve">
Includes Treasury Bills</t>
        </r>
      </text>
    </comment>
    <comment ref="K6" authorId="0" shapeId="0" xr:uid="{EFE2BA5B-A512-4D44-B275-9BA6054D88E9}">
      <text>
        <r>
          <rPr>
            <b/>
            <sz val="9"/>
            <color indexed="81"/>
            <rFont val="Tahoma"/>
            <family val="2"/>
          </rPr>
          <t>Adam:</t>
        </r>
        <r>
          <rPr>
            <sz val="9"/>
            <color indexed="81"/>
            <rFont val="Tahoma"/>
            <family val="2"/>
          </rPr>
          <t xml:space="preserve">
Includes Treasury Bills</t>
        </r>
      </text>
    </comment>
    <comment ref="M6" authorId="0" shapeId="0" xr:uid="{022353A2-21C7-42B8-8BA4-937FB76BF08E}">
      <text>
        <r>
          <rPr>
            <b/>
            <sz val="9"/>
            <color indexed="81"/>
            <rFont val="Tahoma"/>
            <family val="2"/>
          </rPr>
          <t>Adam:</t>
        </r>
        <r>
          <rPr>
            <sz val="9"/>
            <color indexed="81"/>
            <rFont val="Tahoma"/>
            <family val="2"/>
          </rPr>
          <t xml:space="preserve">
Includes Treasury Bills</t>
        </r>
      </text>
    </comment>
    <comment ref="N6" authorId="0" shapeId="0" xr:uid="{D15409AC-CEA6-4DEC-B0CB-F3DDF19CD70C}">
      <text>
        <r>
          <rPr>
            <b/>
            <sz val="9"/>
            <color indexed="81"/>
            <rFont val="Tahoma"/>
            <family val="2"/>
          </rPr>
          <t>Adam:</t>
        </r>
        <r>
          <rPr>
            <sz val="9"/>
            <color indexed="81"/>
            <rFont val="Tahoma"/>
            <family val="2"/>
          </rPr>
          <t xml:space="preserve">
Includes Treasury Bills</t>
        </r>
      </text>
    </comment>
    <comment ref="O6" authorId="0" shapeId="0" xr:uid="{E6163018-0640-4754-AF31-7A416E7ED0AC}">
      <text>
        <r>
          <rPr>
            <b/>
            <sz val="9"/>
            <color indexed="81"/>
            <rFont val="Tahoma"/>
            <family val="2"/>
          </rPr>
          <t>Adam:</t>
        </r>
        <r>
          <rPr>
            <sz val="9"/>
            <color indexed="81"/>
            <rFont val="Tahoma"/>
            <family val="2"/>
          </rPr>
          <t xml:space="preserve">
Includes Treasury Bills</t>
        </r>
      </text>
    </comment>
    <comment ref="P6" authorId="0" shapeId="0" xr:uid="{5CBE8C94-9E82-4801-B848-C9AC13AC0F05}">
      <text>
        <r>
          <rPr>
            <b/>
            <sz val="9"/>
            <color indexed="81"/>
            <rFont val="Tahoma"/>
            <family val="2"/>
          </rPr>
          <t>Adam:</t>
        </r>
        <r>
          <rPr>
            <sz val="9"/>
            <color indexed="81"/>
            <rFont val="Tahoma"/>
            <family val="2"/>
          </rPr>
          <t xml:space="preserve">
Includes Treasury Bills</t>
        </r>
      </text>
    </comment>
    <comment ref="A21" authorId="1" shapeId="0" xr:uid="{5A65D39A-DB87-4E96-A0BC-0C00888C9D5D}">
      <text>
        <r>
          <rPr>
            <b/>
            <sz val="9"/>
            <color indexed="81"/>
            <rFont val="Tahoma"/>
            <family val="2"/>
          </rPr>
          <t>adam:</t>
        </r>
        <r>
          <rPr>
            <sz val="9"/>
            <color indexed="81"/>
            <rFont val="Tahoma"/>
            <family val="2"/>
          </rPr>
          <t xml:space="preserve">
With equities valued at market. Change from reporting at cost beginning for the 1979 reporting year.</t>
        </r>
      </text>
    </comment>
    <comment ref="A65" authorId="0" shapeId="0" xr:uid="{A4E25D06-857F-4203-8D23-D7B8F9B7FEF4}">
      <text>
        <r>
          <rPr>
            <b/>
            <sz val="9"/>
            <color indexed="81"/>
            <rFont val="Tahoma"/>
            <family val="2"/>
          </rPr>
          <t>Adam:</t>
        </r>
        <r>
          <rPr>
            <sz val="9"/>
            <color indexed="81"/>
            <rFont val="Tahoma"/>
            <family val="2"/>
          </rPr>
          <t xml:space="preserve">
Source: Max Olsen book</t>
        </r>
      </text>
    </comment>
    <comment ref="B77" authorId="1" shapeId="0" xr:uid="{A209FEB7-49BC-44B0-8C13-21CC30699159}">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C77" authorId="1" shapeId="0" xr:uid="{479A7D27-DE4C-42B9-BD1C-908A3E61FBD3}">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D77" authorId="1" shapeId="0" xr:uid="{69A23E34-26C4-4AEA-A8F6-BFB5871EBE3A}">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E77" authorId="1" shapeId="0" xr:uid="{B7BC0598-A4FC-4621-94F6-8F8A80E94258}">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F77" authorId="1" shapeId="0" xr:uid="{715420AB-13CC-4135-BB13-1A1F9046CE44}">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G77" authorId="1" shapeId="0" xr:uid="{677CABE8-20EE-4A47-9995-CC63353C449F}">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H77" authorId="1" shapeId="0" xr:uid="{D08198BA-575C-47BF-8562-AD342D69D7C9}">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J77" authorId="1" shapeId="0" xr:uid="{A07117FF-F70B-4905-94A0-52FB137571E6}">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K77" authorId="1" shapeId="0" xr:uid="{8DE9CFE0-2BA3-43E2-99D4-DE7414324E1F}">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M77" authorId="1" shapeId="0" xr:uid="{B58E3613-86A6-43DC-AB88-D00E88E74236}">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N77" authorId="1" shapeId="0" xr:uid="{04A248F6-C70E-4D92-876C-990C0B869319}">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O77" authorId="1" shapeId="0" xr:uid="{47D999E1-D94F-4EDD-9727-7A7360BC0F20}">
      <text>
        <r>
          <rPr>
            <b/>
            <sz val="9"/>
            <color indexed="81"/>
            <rFont val="Tahoma"/>
            <family val="2"/>
          </rPr>
          <t>adam:</t>
        </r>
        <r>
          <rPr>
            <sz val="9"/>
            <color indexed="81"/>
            <rFont val="Tahoma"/>
            <family val="2"/>
          </rPr>
          <t xml:space="preserve">
In 1975 'losses and claims' and 'loss adjustment expenses' began to be broken out. I've kept the prior presentation adding them together.</t>
        </r>
      </text>
    </comment>
    <comment ref="K110" authorId="1" shapeId="0" xr:uid="{B4D84231-164D-40A0-8D8D-BD13204F7168}">
      <text>
        <r>
          <rPr>
            <b/>
            <sz val="9"/>
            <color indexed="81"/>
            <rFont val="Tahoma"/>
            <family val="2"/>
          </rPr>
          <t>adam:</t>
        </r>
        <r>
          <rPr>
            <sz val="9"/>
            <color indexed="81"/>
            <rFont val="Tahoma"/>
            <family val="2"/>
          </rPr>
          <t xml:space="preserve">
The 1978 statements (of which 1977 is presented as restated) are in thousands, where the 1977 statement was actual.</t>
        </r>
      </text>
    </comment>
    <comment ref="B117" authorId="1" shapeId="0" xr:uid="{CF6D85CE-5797-4D33-B0A4-4EE17513CF93}">
      <text>
        <r>
          <rPr>
            <b/>
            <sz val="9"/>
            <color indexed="81"/>
            <rFont val="Tahoma"/>
            <family val="2"/>
          </rPr>
          <t>adam:</t>
        </r>
        <r>
          <rPr>
            <sz val="9"/>
            <color indexed="81"/>
            <rFont val="Tahoma"/>
            <family val="2"/>
          </rPr>
          <t xml:space="preserve">
Assuming this figure based on the change in surplus and net income.</t>
        </r>
      </text>
    </comment>
    <comment ref="C117" authorId="1" shapeId="0" xr:uid="{AC2B7993-2B2F-4546-841B-E4A319B4951D}">
      <text>
        <r>
          <rPr>
            <b/>
            <sz val="9"/>
            <color indexed="81"/>
            <rFont val="Tahoma"/>
            <family val="2"/>
          </rPr>
          <t>adam:</t>
        </r>
        <r>
          <rPr>
            <sz val="9"/>
            <color indexed="81"/>
            <rFont val="Tahoma"/>
            <family val="2"/>
          </rPr>
          <t xml:space="preserve">
Assuming this figure based on the change in surplus and net income.</t>
        </r>
      </text>
    </comment>
    <comment ref="D117" authorId="1" shapeId="0" xr:uid="{58BFD489-6EA3-4DAD-B73D-B3D94E8341F1}">
      <text>
        <r>
          <rPr>
            <b/>
            <sz val="9"/>
            <color indexed="81"/>
            <rFont val="Tahoma"/>
            <family val="2"/>
          </rPr>
          <t>adam:</t>
        </r>
        <r>
          <rPr>
            <sz val="9"/>
            <color indexed="81"/>
            <rFont val="Tahoma"/>
            <family val="2"/>
          </rPr>
          <t xml:space="preserve">
Assuming this figure based on the change in surplus and net income.</t>
        </r>
      </text>
    </comment>
    <comment ref="E117" authorId="1" shapeId="0" xr:uid="{3BD38E0C-EB97-4FA6-8E08-71CC1F73B455}">
      <text>
        <r>
          <rPr>
            <b/>
            <sz val="9"/>
            <color indexed="81"/>
            <rFont val="Tahoma"/>
            <family val="2"/>
          </rPr>
          <t>adam:</t>
        </r>
        <r>
          <rPr>
            <sz val="9"/>
            <color indexed="81"/>
            <rFont val="Tahoma"/>
            <family val="2"/>
          </rPr>
          <t xml:space="preserve">
Assuming this figure based on the change in surplus and net income.</t>
        </r>
      </text>
    </comment>
    <comment ref="F117" authorId="1" shapeId="0" xr:uid="{332C4705-E159-4875-9547-F0CCB23ED620}">
      <text>
        <r>
          <rPr>
            <b/>
            <sz val="9"/>
            <color indexed="81"/>
            <rFont val="Tahoma"/>
            <family val="2"/>
          </rPr>
          <t>adam:</t>
        </r>
        <r>
          <rPr>
            <sz val="9"/>
            <color indexed="81"/>
            <rFont val="Tahoma"/>
            <family val="2"/>
          </rPr>
          <t xml:space="preserve">
Assuming this figure based on the change in surplus and net income.</t>
        </r>
      </text>
    </comment>
    <comment ref="G117" authorId="1" shapeId="0" xr:uid="{2A2E340E-AC56-462A-9276-9BE9E309D81C}">
      <text>
        <r>
          <rPr>
            <b/>
            <sz val="9"/>
            <color indexed="81"/>
            <rFont val="Tahoma"/>
            <family val="2"/>
          </rPr>
          <t>adam:</t>
        </r>
        <r>
          <rPr>
            <sz val="9"/>
            <color indexed="81"/>
            <rFont val="Tahoma"/>
            <family val="2"/>
          </rPr>
          <t xml:space="preserve">
Assuming this figure based on the change in surplus and net income.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tc={101AE79B-6E86-42D9-B28D-C8B0622DC640}</author>
  </authors>
  <commentList>
    <comment ref="C1" authorId="0" shapeId="0" xr:uid="{101AE79B-6E86-42D9-B28D-C8B0622DC640}">
      <text>
        <t>[Threaded comment]
Your version of Excel allows you to read this threaded comment; however, any edits to it will get removed if the file is opened in a newer version of Excel. Learn more: https://go.microsoft.com/fwlink/?linkid=870924
Comment:
    Investment income changes between the 1983 report and the 1984 report. Why?</t>
      </text>
    </comment>
  </commentList>
</comments>
</file>

<file path=xl/sharedStrings.xml><?xml version="1.0" encoding="utf-8"?>
<sst xmlns="http://schemas.openxmlformats.org/spreadsheetml/2006/main" count="10412" uniqueCount="3806">
  <si>
    <t>Net Income</t>
  </si>
  <si>
    <t>Dividends</t>
  </si>
  <si>
    <t>Share Repurchases</t>
  </si>
  <si>
    <t>Total</t>
  </si>
  <si>
    <t>Equity Capital</t>
  </si>
  <si>
    <t>Cash</t>
  </si>
  <si>
    <t>Total Assets</t>
  </si>
  <si>
    <t>Expenses (excluding depreciation)</t>
  </si>
  <si>
    <t>Depreciation</t>
  </si>
  <si>
    <t>Other Income / (Expense)</t>
  </si>
  <si>
    <t>Inventories</t>
  </si>
  <si>
    <t>Prior Year Equity</t>
  </si>
  <si>
    <t>Pre-Tax Income</t>
  </si>
  <si>
    <t>Current Year Net Income / (Loss)</t>
  </si>
  <si>
    <t>Ending Equity</t>
  </si>
  <si>
    <t>Other</t>
  </si>
  <si>
    <t>Shares Issued</t>
  </si>
  <si>
    <t>Common Stock $5.00 par value</t>
  </si>
  <si>
    <t>Paid In Capital</t>
  </si>
  <si>
    <t>Retained Earnings</t>
  </si>
  <si>
    <t>Check</t>
  </si>
  <si>
    <t>Treasury Stock</t>
  </si>
  <si>
    <t>Return on average equity</t>
  </si>
  <si>
    <t>Debt</t>
  </si>
  <si>
    <t>Total Invested Capital</t>
  </si>
  <si>
    <t>Provision for Taxes / (Refund)</t>
  </si>
  <si>
    <t>Less: Treasury Shares</t>
  </si>
  <si>
    <t>Average Treasury Stock Cost</t>
  </si>
  <si>
    <t>Incremental Cost</t>
  </si>
  <si>
    <t>Implied Market Cap (Based on Incremental)</t>
  </si>
  <si>
    <t>Net PP&amp;E 1954</t>
  </si>
  <si>
    <t>Net PP&amp;E 1964</t>
  </si>
  <si>
    <t>Change</t>
  </si>
  <si>
    <t>Total Depreciation</t>
  </si>
  <si>
    <t>Asset Write-Offs</t>
  </si>
  <si>
    <t>Equity 1954</t>
  </si>
  <si>
    <t>Net Loss During Period</t>
  </si>
  <si>
    <t>Ending Equity 1964</t>
  </si>
  <si>
    <t>Additions to Capital Surplus</t>
  </si>
  <si>
    <t>Includes write-down of plant assets where not included in net income.</t>
  </si>
  <si>
    <t>Primarily recoverable tax due to losses incurred in 1957.</t>
  </si>
  <si>
    <t>Repurchase of 1,157,426 shares at an average price of $11.30 pers share.</t>
  </si>
  <si>
    <t>Primarily related to the acquisition of Bourne Mills in 1956, and due to the combination of Berkshire and Hathaway.</t>
  </si>
  <si>
    <t>Tax Adjustments</t>
  </si>
  <si>
    <t>Balance Sheet ($000's)</t>
  </si>
  <si>
    <t>Business:</t>
  </si>
  <si>
    <t>$66.9 million</t>
  </si>
  <si>
    <t>$53.4 million</t>
  </si>
  <si>
    <t>$22.1 million</t>
  </si>
  <si>
    <t>Noteworthy Events:</t>
  </si>
  <si>
    <t>Chairman: John H. McMahon
Vice Chairman: Seabury Stanton
President: Malcolm G. Chace, Jr.</t>
  </si>
  <si>
    <t>Chairman: Malcolm G. Chace, Jr.
President: Seabury Stanton</t>
  </si>
  <si>
    <t>1954*</t>
  </si>
  <si>
    <t>2. Closed unprofitable divisions and plants in response to ongoing losses.</t>
  </si>
  <si>
    <t>3. Reduced investment in working capital by $19.8 million (-58%).</t>
  </si>
  <si>
    <t>5. Returned $22.3 million to shareholders in the form of dividends and buybacks.</t>
  </si>
  <si>
    <t>1. Purchased the stock of Bourne Mills for $3.4 million (1956).</t>
  </si>
  <si>
    <t>Total Equity</t>
  </si>
  <si>
    <t>Net Earnings - Textiles</t>
  </si>
  <si>
    <t>Investment in Insurance Subsidiary</t>
  </si>
  <si>
    <t>Realized investment gains, net of tax</t>
  </si>
  <si>
    <t>Equity in earnings of Banking Subsidiary</t>
  </si>
  <si>
    <t>Textile Gross Profit</t>
  </si>
  <si>
    <t>Equity in earnings of Blue Chip Stamps</t>
  </si>
  <si>
    <t>Bonds</t>
  </si>
  <si>
    <t>Preferred Stock</t>
  </si>
  <si>
    <t>Common Stock</t>
  </si>
  <si>
    <t>Common Stock of Blue Chip Stamps</t>
  </si>
  <si>
    <t>Losses and loss adjustment expenses</t>
  </si>
  <si>
    <t>Unearned premiums</t>
  </si>
  <si>
    <t>Funds held under reinsurance treaties</t>
  </si>
  <si>
    <t>Agents' and policyholders' deposits</t>
  </si>
  <si>
    <t>Amounts due for purchase of securities</t>
  </si>
  <si>
    <t>Income taxes - current</t>
  </si>
  <si>
    <t>Income taxes - deferred</t>
  </si>
  <si>
    <t>7.50% debentures due 1987</t>
  </si>
  <si>
    <t>Notes payable to banks</t>
  </si>
  <si>
    <t>8.00% senior notes due 1993</t>
  </si>
  <si>
    <t>Total Liabilities</t>
  </si>
  <si>
    <t>8.00% promissory note due 1988</t>
  </si>
  <si>
    <t>Insurance Group</t>
  </si>
  <si>
    <t>Deferred acquisition costs</t>
  </si>
  <si>
    <t>Agents' balances and premiums in course of collection</t>
  </si>
  <si>
    <t>Reinsurance recoverable on loss payments</t>
  </si>
  <si>
    <t>Amounts due from sale of securities</t>
  </si>
  <si>
    <t>Accrued expenses</t>
  </si>
  <si>
    <t>Bonds, at amortized cost</t>
  </si>
  <si>
    <t>Preferred stocks</t>
  </si>
  <si>
    <t>Common Stocks</t>
  </si>
  <si>
    <t>Total Cash &amp; Investments</t>
  </si>
  <si>
    <t>National Indemnity Company</t>
  </si>
  <si>
    <t>National Fire and Marine Company</t>
  </si>
  <si>
    <t>Contingent Commissions</t>
  </si>
  <si>
    <t>Other Expenses</t>
  </si>
  <si>
    <t>FLOAT</t>
  </si>
  <si>
    <t>Equity</t>
  </si>
  <si>
    <t>Investment in Blue Chip Stamps</t>
  </si>
  <si>
    <t>Contribution from parent</t>
  </si>
  <si>
    <t>Excess of proceeds over par value of capital stock issued</t>
  </si>
  <si>
    <t>Net income</t>
  </si>
  <si>
    <t>Losses and loss expenses incurred</t>
  </si>
  <si>
    <t>Premiums earned</t>
  </si>
  <si>
    <t>Underwriting expenses</t>
  </si>
  <si>
    <t>Total losses and expenses</t>
  </si>
  <si>
    <t>Pre-tax underwriting gain / (loss)</t>
  </si>
  <si>
    <t>Loss Ratio</t>
  </si>
  <si>
    <t>Expense Ratio</t>
  </si>
  <si>
    <t>Combined Ratio</t>
  </si>
  <si>
    <t>Pre-tax net investment income</t>
  </si>
  <si>
    <t>Premiums written, net</t>
  </si>
  <si>
    <t>Net premiums written to average equity</t>
  </si>
  <si>
    <t>Common Stock - NICO</t>
  </si>
  <si>
    <t>Common Stock - National Fire &amp; Marine</t>
  </si>
  <si>
    <t>Paid-in surplus</t>
  </si>
  <si>
    <t>Unassigned surplus</t>
  </si>
  <si>
    <t>Change in common stock - NICO</t>
  </si>
  <si>
    <t>Change in common stock - National Fire &amp; Marine</t>
  </si>
  <si>
    <t>Excess of market value over cost on stocks</t>
  </si>
  <si>
    <t>National Fire and Marine</t>
  </si>
  <si>
    <t>Income Statement - National Fire &amp; Marine</t>
  </si>
  <si>
    <t>As shown on the 1970 statements</t>
  </si>
  <si>
    <t>National Indemnity</t>
  </si>
  <si>
    <t>Combined</t>
  </si>
  <si>
    <t>Real estate</t>
  </si>
  <si>
    <t>Cash and bank deposits</t>
  </si>
  <si>
    <t>Reinsurance recoverable</t>
  </si>
  <si>
    <t>Investment income due and accrued</t>
  </si>
  <si>
    <t>Federal income tax recoverable</t>
  </si>
  <si>
    <t>Losses and loss adj. expenses</t>
  </si>
  <si>
    <t>Funds held under reinsurance</t>
  </si>
  <si>
    <t>Contingent commissions</t>
  </si>
  <si>
    <t>Other expenses</t>
  </si>
  <si>
    <t>Taxes, licences and fees</t>
  </si>
  <si>
    <t>Statutory reserve for bodily injury and compensation losses</t>
  </si>
  <si>
    <t>Mortgage and contract payable on rental property</t>
  </si>
  <si>
    <t>Other liabilities</t>
  </si>
  <si>
    <t>Total liabilities</t>
  </si>
  <si>
    <t>Prepaid acquisition costs</t>
  </si>
  <si>
    <t>Federal income taxes - Current</t>
  </si>
  <si>
    <t>Federal income taxes - Deferred</t>
  </si>
  <si>
    <t>1971 - 1970</t>
  </si>
  <si>
    <t>1970 As shown on the 1971 statement</t>
  </si>
  <si>
    <t>Paid in surplus - beginning of year</t>
  </si>
  <si>
    <t>Excess of proceeds, stock issued</t>
  </si>
  <si>
    <t>End of year</t>
  </si>
  <si>
    <t>Beginning unassigned surplus</t>
  </si>
  <si>
    <t xml:space="preserve">Net income </t>
  </si>
  <si>
    <t>Increase in unrealized appreciation investments</t>
  </si>
  <si>
    <t>Increase in deferred tax on investments</t>
  </si>
  <si>
    <t>Decrease in liab for unauth reinsurance</t>
  </si>
  <si>
    <t>Decrease in reserves over case basis</t>
  </si>
  <si>
    <t>Increase in nonadmitted assets</t>
  </si>
  <si>
    <t>Increase in beginning unassigned surplus</t>
  </si>
  <si>
    <t>Decrease in liability for unauthorized reinsurance</t>
  </si>
  <si>
    <t>Change in excess reserves</t>
  </si>
  <si>
    <t>Stock dividend</t>
  </si>
  <si>
    <t>Year</t>
  </si>
  <si>
    <t>Cash and due from banks</t>
  </si>
  <si>
    <t>US Government Bonds</t>
  </si>
  <si>
    <t>Obligations of states and political subdivisions</t>
  </si>
  <si>
    <t>Other securities</t>
  </si>
  <si>
    <t>Loans</t>
  </si>
  <si>
    <t>Bank premises and equipment</t>
  </si>
  <si>
    <t>Accrued interest receivable and other assets</t>
  </si>
  <si>
    <t>Demand deposits</t>
  </si>
  <si>
    <t>Time deposits</t>
  </si>
  <si>
    <t>Total deposits</t>
  </si>
  <si>
    <t>Accrued taxes and other expenses</t>
  </si>
  <si>
    <t>Reserve for loan losses</t>
  </si>
  <si>
    <t>Common stock</t>
  </si>
  <si>
    <t>Surplus</t>
  </si>
  <si>
    <t>Undivided profits</t>
  </si>
  <si>
    <t>Reserve for contingencies</t>
  </si>
  <si>
    <t>Reserve for asset re-evaluation</t>
  </si>
  <si>
    <t>Total capital accounts</t>
  </si>
  <si>
    <t>Total liabilities and capital</t>
  </si>
  <si>
    <t xml:space="preserve"> </t>
  </si>
  <si>
    <t>Interest and fees on loans</t>
  </si>
  <si>
    <t>Income on federal funds sold</t>
  </si>
  <si>
    <t>Interest and dividends on:</t>
  </si>
  <si>
    <t xml:space="preserve">  United States Government Obligation</t>
  </si>
  <si>
    <t xml:space="preserve">  Obligations of states and political subdivisions</t>
  </si>
  <si>
    <t>Service charges on deposit accounts</t>
  </si>
  <si>
    <t>Total operating income</t>
  </si>
  <si>
    <t>Trust department</t>
  </si>
  <si>
    <t>Operating expenses:</t>
  </si>
  <si>
    <t>Salaries</t>
  </si>
  <si>
    <t>Pensions, profit sharing, and other employee benefits</t>
  </si>
  <si>
    <t>Interest on deposits</t>
  </si>
  <si>
    <t>Interest on federal funds purchased</t>
  </si>
  <si>
    <t>Net occupancy expense of bank premises</t>
  </si>
  <si>
    <t>Equipment rentals, depreciation, and maintenance</t>
  </si>
  <si>
    <t>Provision for loan losses</t>
  </si>
  <si>
    <t>Total Operating expenses</t>
  </si>
  <si>
    <t>Income before income taxes and securities gains / losses</t>
  </si>
  <si>
    <t>Applicable income taxes</t>
  </si>
  <si>
    <t>Applicable income taxes:</t>
  </si>
  <si>
    <t>Current</t>
  </si>
  <si>
    <t>Deferred</t>
  </si>
  <si>
    <t>Total applicable income taxes</t>
  </si>
  <si>
    <t>Income before securities gains or (losses)</t>
  </si>
  <si>
    <t>Securities gains or (losses)</t>
  </si>
  <si>
    <t>Securities gains or (losses) net of applicable income taxes</t>
  </si>
  <si>
    <t>Pre-tax operating return on average assets</t>
  </si>
  <si>
    <t xml:space="preserve">  Other Securities</t>
  </si>
  <si>
    <t>Gain on sale of real estate, net of taxes</t>
  </si>
  <si>
    <t>Federal funds sold</t>
  </si>
  <si>
    <t>Net interest margin</t>
  </si>
  <si>
    <t>Efficiency ratio</t>
  </si>
  <si>
    <t>Interest income / average assets</t>
  </si>
  <si>
    <t>Interest expense / average deposits</t>
  </si>
  <si>
    <t>Pre-tax operating income / average equity</t>
  </si>
  <si>
    <t>Sum: provision for loan losses</t>
  </si>
  <si>
    <t>Reserve for loan losses, 1968</t>
  </si>
  <si>
    <t>Reserve for loan losses, 1974</t>
  </si>
  <si>
    <t>Change in reserve</t>
  </si>
  <si>
    <t>Operating Earnings</t>
  </si>
  <si>
    <t>Textiles, Insurance, Banking, Candy, Publishing</t>
  </si>
  <si>
    <t>Chairman &amp; CEO: Warren E. Buffett
President: Kenneth V. Chase</t>
  </si>
  <si>
    <t>$101.5 million</t>
  </si>
  <si>
    <t>Stockholders' equity per share</t>
  </si>
  <si>
    <t>$88.2 million</t>
  </si>
  <si>
    <t>Non-interest expenses</t>
  </si>
  <si>
    <t>Net interest income</t>
  </si>
  <si>
    <t>Non-interest income</t>
  </si>
  <si>
    <t>Growth in premiums earned</t>
  </si>
  <si>
    <t>Growth in premiums written, net</t>
  </si>
  <si>
    <t>Pre-tax operating return on average deposits</t>
  </si>
  <si>
    <t>Average loans to average assets</t>
  </si>
  <si>
    <t>Average assets to average equity</t>
  </si>
  <si>
    <t>After-tax operating income / average equity</t>
  </si>
  <si>
    <t>Average capital ratio</t>
  </si>
  <si>
    <t>Average loans to average deposits</t>
  </si>
  <si>
    <t>Repurchase of 1,157,426 shares at an average price of $11.30 per share.</t>
  </si>
  <si>
    <t>Equity 1964</t>
  </si>
  <si>
    <t>Share Repurch.</t>
  </si>
  <si>
    <t>Ending Equity 1974</t>
  </si>
  <si>
    <t>Est. loss on prop.</t>
  </si>
  <si>
    <t>Asset / Liab Check - Actual $$$</t>
  </si>
  <si>
    <t>Working capital</t>
  </si>
  <si>
    <t>Current ratio</t>
  </si>
  <si>
    <t>Operating margin</t>
  </si>
  <si>
    <t>Net margin</t>
  </si>
  <si>
    <t>Return on invested capital</t>
  </si>
  <si>
    <t>Debt-to-equity ratio</t>
  </si>
  <si>
    <t>Check (Actual $)</t>
  </si>
  <si>
    <t>Income Statement - NICO ($000's)</t>
  </si>
  <si>
    <t>Stats referenced in book</t>
  </si>
  <si>
    <t>Avg textile working capital</t>
  </si>
  <si>
    <t>Avg textile PP&amp;E</t>
  </si>
  <si>
    <t>Total capital employed in textile</t>
  </si>
  <si>
    <t>Operating profit</t>
  </si>
  <si>
    <t>Operating return on capital</t>
  </si>
  <si>
    <t>Textile return on avg capital</t>
  </si>
  <si>
    <t>Cash req. est at 2.5% of sales</t>
  </si>
  <si>
    <t>Total financial debt</t>
  </si>
  <si>
    <t>Total equity</t>
  </si>
  <si>
    <t>Total capital</t>
  </si>
  <si>
    <t>Debt to total capital</t>
  </si>
  <si>
    <t>Parent company debt to total capital</t>
  </si>
  <si>
    <t>Provision for loan losses / avg. loans</t>
  </si>
  <si>
    <t>Change in textile operating income</t>
  </si>
  <si>
    <t>Insurance</t>
  </si>
  <si>
    <t>Textile</t>
  </si>
  <si>
    <t>Unconsolidated bank subsidiary</t>
  </si>
  <si>
    <t>Blue Chip Stamps</t>
  </si>
  <si>
    <t>Interest and corporate administrative expenses</t>
  </si>
  <si>
    <t>Realized investment gain (loss)</t>
  </si>
  <si>
    <t>Extraordinary item</t>
  </si>
  <si>
    <t>Total pre-tax income</t>
  </si>
  <si>
    <t>Less: Total income taxes (credit)</t>
  </si>
  <si>
    <t>Net Earnings</t>
  </si>
  <si>
    <t>NM</t>
  </si>
  <si>
    <t>Increase in non-admitted assets</t>
  </si>
  <si>
    <t>Unknown</t>
  </si>
  <si>
    <t>Equity 1967</t>
  </si>
  <si>
    <t>Equity contributions</t>
  </si>
  <si>
    <t>Net income 1968-1974</t>
  </si>
  <si>
    <t>Excess of MV stock v. cost</t>
  </si>
  <si>
    <t>Other/misc.</t>
  </si>
  <si>
    <t>Common stocks</t>
  </si>
  <si>
    <t>Total cash &amp; investments</t>
  </si>
  <si>
    <t>Total assets</t>
  </si>
  <si>
    <t>Average float (rounded)</t>
  </si>
  <si>
    <t>Sundry installment promissory notes</t>
  </si>
  <si>
    <t>Insurance premiums earned</t>
  </si>
  <si>
    <t>Net sales of textile products</t>
  </si>
  <si>
    <t>Interest and dividend income</t>
  </si>
  <si>
    <t>Real estate income</t>
  </si>
  <si>
    <t>Total revenues</t>
  </si>
  <si>
    <t>Cost of textile products sold</t>
  </si>
  <si>
    <t>Selling, administrative and other expenses</t>
  </si>
  <si>
    <t>Insurance underwriting expenses</t>
  </si>
  <si>
    <t>Interest expense</t>
  </si>
  <si>
    <t>Total expenses</t>
  </si>
  <si>
    <t>Equity in net earnings of bank subsidiary</t>
  </si>
  <si>
    <t>Equity in net earnings of Blue Chip Stamps</t>
  </si>
  <si>
    <t>Earnings before realized investment gains (losses)</t>
  </si>
  <si>
    <t>Realized investment gains (losses)</t>
  </si>
  <si>
    <t>Applicable income tax (expense) credit</t>
  </si>
  <si>
    <t>Net realized investment gains (losses)</t>
  </si>
  <si>
    <t>Net earnings</t>
  </si>
  <si>
    <t>Earnings (loss) from insurance underwriting and manufacturing operations before applicable income taxes………………………………………………</t>
  </si>
  <si>
    <t>Income tax credit (expense) applicable to operating loss (earnings)……………………………………</t>
  </si>
  <si>
    <t>Earnings before equity in net earnings of other companies and realized investment gains (losses)…</t>
  </si>
  <si>
    <t>Net sales of manufactured products</t>
  </si>
  <si>
    <t>Cost of manufactured products sold</t>
  </si>
  <si>
    <t>Promissory notes and debentures</t>
  </si>
  <si>
    <t>Accounts payable, accrued expenses, and other</t>
  </si>
  <si>
    <t>Notes payable to bank</t>
  </si>
  <si>
    <t>Restated</t>
  </si>
  <si>
    <t>Total investments, other than affiliates</t>
  </si>
  <si>
    <t>Investments in affiliates:</t>
  </si>
  <si>
    <t>The Illinois National Bank &amp; Trust Co. of Rockford</t>
  </si>
  <si>
    <t>Wesco Financial Corporation</t>
  </si>
  <si>
    <t>Other unconsolidated subsidiaries</t>
  </si>
  <si>
    <t>Accounts receivable from customers, agents and others</t>
  </si>
  <si>
    <t>Property, plant and equipment, net</t>
  </si>
  <si>
    <t>Liability for unredeemed trading stamps</t>
  </si>
  <si>
    <t>Term loan payable to bank</t>
  </si>
  <si>
    <t>Senior notes payable</t>
  </si>
  <si>
    <t>Other notes and debentures payable</t>
  </si>
  <si>
    <t>Minority shareholders' interest</t>
  </si>
  <si>
    <t>Net sales and operating revenues of manufacturing, merchandising and service operations</t>
  </si>
  <si>
    <t>Interest expense and financing costs</t>
  </si>
  <si>
    <t>Cost of products and services sold</t>
  </si>
  <si>
    <t>Income tax expense applicable to above</t>
  </si>
  <si>
    <t>Minority interest in above</t>
  </si>
  <si>
    <t>Earnings before equity in earnings of unconsolidated subsidiaries and realized investment gain</t>
  </si>
  <si>
    <t>Equity in net earnings of Wesco Financial Corp.</t>
  </si>
  <si>
    <t>Applicable minority interest</t>
  </si>
  <si>
    <t>Prior year equity, as previously reported</t>
  </si>
  <si>
    <t>Change in treasury stock due to restatement with Diversified</t>
  </si>
  <si>
    <t>Long-term debt</t>
  </si>
  <si>
    <t>Unrealized appreciation of marketable equity securities, net of provision for applicable income taxes</t>
  </si>
  <si>
    <t>Change in retained earnings due to restatement with Diversified</t>
  </si>
  <si>
    <t>Invested cash, U.S. Treasury Bills and other short-term investments, at cost which approximates market</t>
  </si>
  <si>
    <t>Total investments in affiliates</t>
  </si>
  <si>
    <t>Change in unrealized appreciation of securities, net of tax</t>
  </si>
  <si>
    <t>Equity in earnings excluding realized investment gain of Wesco Financial Corporation</t>
  </si>
  <si>
    <t>Equity in earnings before securities losses of unconsolidated banking subsidiary, divested as of Dec. 31, 1980</t>
  </si>
  <si>
    <t>Earnings before realized investment gains</t>
  </si>
  <si>
    <t>Realized investment gains, continuing operations</t>
  </si>
  <si>
    <t>Equity in securities losses of unconsolidated banking subsidiary</t>
  </si>
  <si>
    <t>Earnings from consolidated operations including minority interest, before applicable income taxes, equity in earnings of unconsolidated subsidiaries and realized investment gain…………………………………..</t>
  </si>
  <si>
    <t>Investment in Mutual Savings and Loan Association</t>
  </si>
  <si>
    <t>Goodwill</t>
  </si>
  <si>
    <t>Equity in earnings excluding realized investment gain of Mutual Savings and Loan Association</t>
  </si>
  <si>
    <t>Other assets</t>
  </si>
  <si>
    <t>Realized gain (loss) on investments, net of tax</t>
  </si>
  <si>
    <t>Investment gain (loss), net of tax</t>
  </si>
  <si>
    <t>Cash, Treasuries, and other short-term investments</t>
  </si>
  <si>
    <t>Common Stock - Columbia Insurance Company</t>
  </si>
  <si>
    <t>Prior year equity as previously reported</t>
  </si>
  <si>
    <t>Change in capital stock and surplus due to restatement with Diversified</t>
  </si>
  <si>
    <t>Miscellaneous due to rounding</t>
  </si>
  <si>
    <t>Marketable equity securities, at cost</t>
  </si>
  <si>
    <t>Marketable equity securities, at market</t>
  </si>
  <si>
    <t>Change in reporting of equity securities to market</t>
  </si>
  <si>
    <t>Deferred taxes attributable to unrealized gain of equity securities</t>
  </si>
  <si>
    <t>Net unrealized appreciation of marketable equity securities</t>
  </si>
  <si>
    <t>Capital stock and surplus</t>
  </si>
  <si>
    <t>Change in net unrealized appreciation of equity securities</t>
  </si>
  <si>
    <t>Capital contribution from parent</t>
  </si>
  <si>
    <t>Unaccounted for????????????</t>
  </si>
  <si>
    <t>Operating profit before taxes, continuing operations</t>
  </si>
  <si>
    <t>Identifiable assets at year end</t>
  </si>
  <si>
    <t>Federal Reserve Bank stock</t>
  </si>
  <si>
    <t>Total interest income</t>
  </si>
  <si>
    <t>After-tax operating return on average assets</t>
  </si>
  <si>
    <t>Expense ratio less DPAC</t>
  </si>
  <si>
    <t>Pre-tax operating earnings</t>
  </si>
  <si>
    <t xml:space="preserve"> Insurance Group:</t>
  </si>
  <si>
    <t xml:space="preserve">  Underwriting</t>
  </si>
  <si>
    <t xml:space="preserve"> Buffalo News</t>
  </si>
  <si>
    <t xml:space="preserve"> See's Candies</t>
  </si>
  <si>
    <t xml:space="preserve"> Associated Retail Stores</t>
  </si>
  <si>
    <t xml:space="preserve"> Mutual Savings and Loan</t>
  </si>
  <si>
    <t xml:space="preserve"> Precision Steel</t>
  </si>
  <si>
    <t xml:space="preserve"> Textiles</t>
  </si>
  <si>
    <t xml:space="preserve"> Other</t>
  </si>
  <si>
    <t>Sales of securities and unusual sales of assets</t>
  </si>
  <si>
    <t>Operating Earnings (Berkshire Share) ('000's):</t>
  </si>
  <si>
    <t>Table based on that from 1984 report - starting at the end year of the decade and working back.</t>
  </si>
  <si>
    <t xml:space="preserve"> Wesco Financial - Parent</t>
  </si>
  <si>
    <t>See note 5 below.</t>
  </si>
  <si>
    <t>Salaries and employee benefits</t>
  </si>
  <si>
    <t>Cash dividends</t>
  </si>
  <si>
    <t>Net interest income after provision for loan losses</t>
  </si>
  <si>
    <t>Other income</t>
  </si>
  <si>
    <t>Earnings before income taxes and securities gains (losses)</t>
  </si>
  <si>
    <t>Income taxes</t>
  </si>
  <si>
    <t>Earnings before securities gains (losses)</t>
  </si>
  <si>
    <t>Loans, net</t>
  </si>
  <si>
    <t>Investments</t>
  </si>
  <si>
    <t>Original presentation.</t>
  </si>
  <si>
    <t>Common</t>
  </si>
  <si>
    <t>Paid In</t>
  </si>
  <si>
    <t>Retained</t>
  </si>
  <si>
    <t>Treasury</t>
  </si>
  <si>
    <t>Restatement effects</t>
  </si>
  <si>
    <t>1976 restated</t>
  </si>
  <si>
    <t>1977 earnings restated</t>
  </si>
  <si>
    <t>13,758 treasury shares</t>
  </si>
  <si>
    <t>Balance 1977</t>
  </si>
  <si>
    <t>Diversified equity 1976</t>
  </si>
  <si>
    <t>Carrying value Diversified shares, net of tax</t>
  </si>
  <si>
    <t>Cash paid for fractional shares</t>
  </si>
  <si>
    <t>Restatement effect on total shareholders equity</t>
  </si>
  <si>
    <t>1977 (orig) # sh</t>
  </si>
  <si>
    <t>1977 (restated) # sh</t>
  </si>
  <si>
    <t>Change in shares</t>
  </si>
  <si>
    <t>1977 orig - avg.</t>
  </si>
  <si>
    <t>Equiv. additional sh</t>
  </si>
  <si>
    <t>New average</t>
  </si>
  <si>
    <t>1977 avg. Diversified shares</t>
  </si>
  <si>
    <t>Fractional</t>
  </si>
  <si>
    <t>Equiv. add'l outstanding</t>
  </si>
  <si>
    <t xml:space="preserve">Avg. BRK sh. Owned by Div. </t>
  </si>
  <si>
    <t>Berkshire issued these shares in the merger</t>
  </si>
  <si>
    <t>Berkshire receives back its own shares that are owned by Diversified.</t>
  </si>
  <si>
    <t>1977 (orig) treasury shares</t>
  </si>
  <si>
    <t>1977 (restated) treasury</t>
  </si>
  <si>
    <t>Shares issued, net</t>
  </si>
  <si>
    <t>Ending 1977 equity, orig</t>
  </si>
  <si>
    <t>Ending 1977 equity, restated</t>
  </si>
  <si>
    <t>Reconciliation of restatement with change in equity</t>
  </si>
  <si>
    <t>Restatement</t>
  </si>
  <si>
    <t>Increase in equity unaccounted for</t>
  </si>
  <si>
    <t>BRK Equity 1976</t>
  </si>
  <si>
    <t>Combined pro-forma</t>
  </si>
  <si>
    <t>BRK Diversified</t>
  </si>
  <si>
    <t>Cash for fractional</t>
  </si>
  <si>
    <t>Restatement effects on 1976 ending equity (1977 begin)</t>
  </si>
  <si>
    <t>Diversified earnings, 1977</t>
  </si>
  <si>
    <t>Change in purchase of treasury stock (Diversified's repurchase of its own shares)</t>
  </si>
  <si>
    <t>Plus: Diversified Earnings</t>
  </si>
  <si>
    <t xml:space="preserve">Less: Diversified Treasury </t>
  </si>
  <si>
    <t>Expected increase</t>
  </si>
  <si>
    <t>Carrying value, net</t>
  </si>
  <si>
    <t>Remainder</t>
  </si>
  <si>
    <t>Diversified Equity 1976</t>
  </si>
  <si>
    <t>Expected 1977 equity</t>
  </si>
  <si>
    <t>Stamp service revenues</t>
  </si>
  <si>
    <t>Earnings before securities gains and losses, and extraordinary charges</t>
  </si>
  <si>
    <t>Stockholders' equity</t>
  </si>
  <si>
    <t>($ Thousands)</t>
  </si>
  <si>
    <t>Candy sales</t>
  </si>
  <si>
    <t>Investment in Wesco</t>
  </si>
  <si>
    <t>Marketable securities (at cost)</t>
  </si>
  <si>
    <t>Newspapers</t>
  </si>
  <si>
    <t>Property, plant and equipment</t>
  </si>
  <si>
    <t>Premiums earned:</t>
  </si>
  <si>
    <t>Investment income</t>
  </si>
  <si>
    <t>Insurance segment revenues</t>
  </si>
  <si>
    <t>Total underwriting gain (loss)</t>
  </si>
  <si>
    <t>Net investment income</t>
  </si>
  <si>
    <t>Insurance segment operating profit (loss) before taxes</t>
  </si>
  <si>
    <t># Stores</t>
  </si>
  <si>
    <t xml:space="preserve">Inflation: $1 in 1972 worth $2.49 in 1984. </t>
  </si>
  <si>
    <t>CPI</t>
  </si>
  <si>
    <t>Identifiable assets</t>
  </si>
  <si>
    <t>Tangible</t>
  </si>
  <si>
    <t>Avg</t>
  </si>
  <si>
    <t>Return on avg.</t>
  </si>
  <si>
    <t>Ending equity to total assets</t>
  </si>
  <si>
    <t>Insurance, Newspapers, Furniture Retailing, Candy, Banking, Textiles</t>
  </si>
  <si>
    <t>Chairman &amp; CEO: Warren E. Buffett
Vice Chair: Charles T. Munger</t>
  </si>
  <si>
    <t>$729 million</t>
  </si>
  <si>
    <t>$1.27 billion</t>
  </si>
  <si>
    <t>1974 Ending Equity</t>
  </si>
  <si>
    <t>Net income 1975-1984</t>
  </si>
  <si>
    <t>1984 Ending Equity</t>
  </si>
  <si>
    <t>1984 Ending Equity - Actual</t>
  </si>
  <si>
    <t>Change in Paid in Capital</t>
  </si>
  <si>
    <t>Calculated - Actual</t>
  </si>
  <si>
    <t>Change due to Diversified Merger</t>
  </si>
  <si>
    <t>Treasury stock</t>
  </si>
  <si>
    <t>Change in common</t>
  </si>
  <si>
    <t>1978 change to marketable securities to market</t>
  </si>
  <si>
    <t>Unrealized appreciation marketables 1978-1984</t>
  </si>
  <si>
    <t>Net income 1975-1977</t>
  </si>
  <si>
    <t>1977 Ending Equity</t>
  </si>
  <si>
    <t>1977 Ending Equity - Actual</t>
  </si>
  <si>
    <t>Change in treasury stock due to Diversified merger</t>
  </si>
  <si>
    <t>Change in retained earnings due to Diversified merger</t>
  </si>
  <si>
    <t>Unrealized appreciation marketables 1979-1984</t>
  </si>
  <si>
    <t>Treasury stock (Illinois Bank and Trust)</t>
  </si>
  <si>
    <t>Earnings from continuing operations including minority interests, before equity in earnings of unconsolidated subsidiaries and realized investment gain</t>
  </si>
  <si>
    <t>Unrealized appreciation of investments..</t>
  </si>
  <si>
    <t>Mergers / divestitures, net……………..</t>
  </si>
  <si>
    <t>1984 ending equity…………………….</t>
  </si>
  <si>
    <t>1974 ending equity</t>
  </si>
  <si>
    <t>Reported net income 1975-1984</t>
  </si>
  <si>
    <t>(in $ millions)</t>
  </si>
  <si>
    <t>Shares</t>
  </si>
  <si>
    <t>Per share</t>
  </si>
  <si>
    <t>GEICO</t>
  </si>
  <si>
    <t>Washington Post</t>
  </si>
  <si>
    <t>Float (average):</t>
  </si>
  <si>
    <t>$79 million</t>
  </si>
  <si>
    <t>$253 million</t>
  </si>
  <si>
    <t>Major Capital Allocation Decisions:</t>
  </si>
  <si>
    <t xml:space="preserve">1. Inflation averages 7.8% per year and peaks at 12.4% in 1980. </t>
  </si>
  <si>
    <t xml:space="preserve"> Nebraska Furniture Mart</t>
  </si>
  <si>
    <t xml:space="preserve"> Blue Chip Stamps - Parent</t>
  </si>
  <si>
    <t xml:space="preserve"> Amortization of Goodwill</t>
  </si>
  <si>
    <t>Total Earnings - all entities (after tax)</t>
  </si>
  <si>
    <t xml:space="preserve"> Kirby</t>
  </si>
  <si>
    <t xml:space="preserve"> Other purchase-price accounting charges</t>
  </si>
  <si>
    <t xml:space="preserve"> World Book</t>
  </si>
  <si>
    <t xml:space="preserve"> Other - original</t>
  </si>
  <si>
    <t xml:space="preserve"> Scott Fetzer - Manufacturing Group</t>
  </si>
  <si>
    <t>Decline in Value of USAir Preferred Stock</t>
  </si>
  <si>
    <t>Total Earnings - all entities (pre-tax)</t>
  </si>
  <si>
    <t>Assets</t>
  </si>
  <si>
    <t xml:space="preserve"> Investments</t>
  </si>
  <si>
    <t>Cash and cash equivalents</t>
  </si>
  <si>
    <t>Deferred costs</t>
  </si>
  <si>
    <t>Liabilities</t>
  </si>
  <si>
    <t>Funds held under reinsurance assumed</t>
  </si>
  <si>
    <t>Accounts payable, accruals and other</t>
  </si>
  <si>
    <t>Income taxes, principally deferred</t>
  </si>
  <si>
    <t>Minority shareholders'</t>
  </si>
  <si>
    <t>Berkshire shareholders'</t>
  </si>
  <si>
    <t>Total liabilities and equity</t>
  </si>
  <si>
    <t>Premiums written</t>
  </si>
  <si>
    <t>Losses and loss expenses</t>
  </si>
  <si>
    <t xml:space="preserve"> Total losses and expenses</t>
  </si>
  <si>
    <t xml:space="preserve"> Underwriting gain (loss) pre-tax</t>
  </si>
  <si>
    <t>Realized investment gain</t>
  </si>
  <si>
    <t>Other than temporary decline in value of investment in USAir Group, Inc. Preferred Stock</t>
  </si>
  <si>
    <t>Earnings before income taxes</t>
  </si>
  <si>
    <t>Income tax expense</t>
  </si>
  <si>
    <t>Minority interest</t>
  </si>
  <si>
    <t>Net investment income detail:</t>
  </si>
  <si>
    <t>Total net investment income</t>
  </si>
  <si>
    <t xml:space="preserve"> Dividends</t>
  </si>
  <si>
    <t xml:space="preserve"> Interest</t>
  </si>
  <si>
    <t xml:space="preserve"> Equity in net loss of Salomon, Inc.</t>
  </si>
  <si>
    <t xml:space="preserve"> Investment expenses</t>
  </si>
  <si>
    <t xml:space="preserve">1. Fixed maturities at market in 1994 and amortized cost prior. </t>
  </si>
  <si>
    <t xml:space="preserve">   Bonds</t>
  </si>
  <si>
    <t xml:space="preserve">   Preferred stocks</t>
  </si>
  <si>
    <t xml:space="preserve">   Capital Cities/ABC, Inc.</t>
  </si>
  <si>
    <t xml:space="preserve">   Coca-Cola Company</t>
  </si>
  <si>
    <t xml:space="preserve">   GEICO</t>
  </si>
  <si>
    <t xml:space="preserve">   Gillette</t>
  </si>
  <si>
    <t xml:space="preserve">   Wells Fargo &amp; Company</t>
  </si>
  <si>
    <t xml:space="preserve">   Other</t>
  </si>
  <si>
    <t>Total investments</t>
  </si>
  <si>
    <t>Loss ratio</t>
  </si>
  <si>
    <t>Combined ratio</t>
  </si>
  <si>
    <t>Premiums written / average equity</t>
  </si>
  <si>
    <t>Ratios and key figures</t>
  </si>
  <si>
    <t>Change in premiums earned</t>
  </si>
  <si>
    <t>Source year</t>
  </si>
  <si>
    <t>Change in premiums written</t>
  </si>
  <si>
    <t>Accounts receivable</t>
  </si>
  <si>
    <t>Properties and equipment</t>
  </si>
  <si>
    <t>Term debt and other borrowings</t>
  </si>
  <si>
    <t>Revenues:</t>
  </si>
  <si>
    <t>Sales and service revenues</t>
  </si>
  <si>
    <t>Interest income</t>
  </si>
  <si>
    <t>Costs of products and services sold</t>
  </si>
  <si>
    <t>Selling, general and administrative expenses</t>
  </si>
  <si>
    <t>Interest on debt</t>
  </si>
  <si>
    <t>Costs and expenses:</t>
  </si>
  <si>
    <t>Earnings from operations before income taxes</t>
  </si>
  <si>
    <t>Gross margin</t>
  </si>
  <si>
    <t>Pre-tax margin</t>
  </si>
  <si>
    <t>Return on average equity - after tax</t>
  </si>
  <si>
    <t>Return on average equity - pre-tax</t>
  </si>
  <si>
    <t>Return on invested capital (avg.) pre-tax</t>
  </si>
  <si>
    <t>Return on invested capital (avg.) after-tax</t>
  </si>
  <si>
    <t>Average invested capital</t>
  </si>
  <si>
    <t>Total assets / total equity</t>
  </si>
  <si>
    <t>Debt / equity</t>
  </si>
  <si>
    <t>Installment and other receivables</t>
  </si>
  <si>
    <t>Deferred tax assets</t>
  </si>
  <si>
    <t>Borrowings under investment agreements and other debt</t>
  </si>
  <si>
    <t>Accounts payable, accruals, and other</t>
  </si>
  <si>
    <t>Annuity reserves</t>
  </si>
  <si>
    <t>Berkshire shareholders' equity</t>
  </si>
  <si>
    <t xml:space="preserve">  Equity securities at market:</t>
  </si>
  <si>
    <t>Interest and fees on loans and financed receivables</t>
  </si>
  <si>
    <t>Interest and dividends on investment securities</t>
  </si>
  <si>
    <t>Annuity premiums earned</t>
  </si>
  <si>
    <t>Expenses:</t>
  </si>
  <si>
    <t>Annuity benefits and underwriting expenses</t>
  </si>
  <si>
    <t>Unamortized goodwill and property account adjustments</t>
  </si>
  <si>
    <t>Corporate administration</t>
  </si>
  <si>
    <t>Shareholder-designated contributions</t>
  </si>
  <si>
    <t>Amortization of goodwill and property account adjustments</t>
  </si>
  <si>
    <t>Other (income) expense</t>
  </si>
  <si>
    <t>Income tax expense (benefit)</t>
  </si>
  <si>
    <t>Net loss</t>
  </si>
  <si>
    <t>Loss before income taxes</t>
  </si>
  <si>
    <t>Investments:</t>
  </si>
  <si>
    <t xml:space="preserve"> Fixed maturities:</t>
  </si>
  <si>
    <t xml:space="preserve">  Bonds</t>
  </si>
  <si>
    <t xml:space="preserve">  Preferred stocks</t>
  </si>
  <si>
    <t xml:space="preserve"> Equity securities</t>
  </si>
  <si>
    <t>Capital ratio (inverse of above)</t>
  </si>
  <si>
    <t>Return on average equity (after tax)</t>
  </si>
  <si>
    <t>Return on average assets (after tax)</t>
  </si>
  <si>
    <t xml:space="preserve">   Wash. Pub. Power Supply System</t>
  </si>
  <si>
    <t xml:space="preserve">   RJR Nabisco</t>
  </si>
  <si>
    <t xml:space="preserve">  Preferred Stocks:</t>
  </si>
  <si>
    <t xml:space="preserve">   Champion International</t>
  </si>
  <si>
    <t xml:space="preserve">   Salomon Inc.</t>
  </si>
  <si>
    <t xml:space="preserve">   USAir</t>
  </si>
  <si>
    <t xml:space="preserve">   Salomon, Inc.</t>
  </si>
  <si>
    <t xml:space="preserve">   FHLMC</t>
  </si>
  <si>
    <t xml:space="preserve">   General Dynamics</t>
  </si>
  <si>
    <t xml:space="preserve">   Washington Post</t>
  </si>
  <si>
    <t xml:space="preserve">   American Express Company</t>
  </si>
  <si>
    <t xml:space="preserve">   First Empire State Corp.</t>
  </si>
  <si>
    <t>Receivables</t>
  </si>
  <si>
    <t>Sundry income</t>
  </si>
  <si>
    <t>Savings accounts</t>
  </si>
  <si>
    <t>Interest on savings accounts</t>
  </si>
  <si>
    <t>Earnings before investment gain</t>
  </si>
  <si>
    <t>Equity investments</t>
  </si>
  <si>
    <t>Collateralized loans receivable</t>
  </si>
  <si>
    <t>Berkshire Fine Spinning Associates, Inc.</t>
  </si>
  <si>
    <t>Source</t>
  </si>
  <si>
    <t>Sales</t>
  </si>
  <si>
    <t>Select Financial Data (dollars in thousands)</t>
  </si>
  <si>
    <t>Plant and equipment, net</t>
  </si>
  <si>
    <t>Net current assets</t>
  </si>
  <si>
    <t>Preferred stock</t>
  </si>
  <si>
    <t>Reserve</t>
  </si>
  <si>
    <t>Capital surplus</t>
  </si>
  <si>
    <t>Retained earnings</t>
  </si>
  <si>
    <t>NS</t>
  </si>
  <si>
    <t>NS = Not stated</t>
  </si>
  <si>
    <t>Issued shares in 1947 (474k to 1,583k SH)</t>
  </si>
  <si>
    <t>1947 BS has $4MM construction in progress</t>
  </si>
  <si>
    <t>1955ar</t>
  </si>
  <si>
    <t>Net earnings available for dividends</t>
  </si>
  <si>
    <t>Net expenditures for plant assets</t>
  </si>
  <si>
    <t>Total stockholders' equity</t>
  </si>
  <si>
    <t>Hathaway Manufacturing</t>
  </si>
  <si>
    <t>Calculated sales</t>
  </si>
  <si>
    <t>Calculated earnings</t>
  </si>
  <si>
    <t>No. Shares (000s)</t>
  </si>
  <si>
    <t>Calculated equity</t>
  </si>
  <si>
    <t>Shares outstanding (000s)</t>
  </si>
  <si>
    <t>Difference</t>
  </si>
  <si>
    <t>Unk.</t>
  </si>
  <si>
    <t>Calculated working capital</t>
  </si>
  <si>
    <t>Net profit margin</t>
  </si>
  <si>
    <t>Berkshire Fine Spinning Associates</t>
  </si>
  <si>
    <t>Berkshire Cotton Manufacturing</t>
  </si>
  <si>
    <t>Greylock Mills</t>
  </si>
  <si>
    <t>Berkshire Hathaway (1955- )</t>
  </si>
  <si>
    <t>Hathaway Manufacturing (1889-1955)</t>
  </si>
  <si>
    <t>Greylock Mills (1880-1929)</t>
  </si>
  <si>
    <t>Parker Mills (1895-1930)</t>
  </si>
  <si>
    <t>Hargraves Mills (1888-1921)</t>
  </si>
  <si>
    <t>King Philip (1871-1930)</t>
  </si>
  <si>
    <t>Berkshire Cotton Manufacturing (1889-1929)</t>
  </si>
  <si>
    <t>Valley Falls (1839-1929)</t>
  </si>
  <si>
    <t>Coventry (1864-1929)</t>
  </si>
  <si>
    <t>Fort Dummer (Unk. - 1929)</t>
  </si>
  <si>
    <t>Berkshire Fine Spinning Associates (1929-1955)</t>
  </si>
  <si>
    <t>Capital stock</t>
  </si>
  <si>
    <t>Sales "about $5MM"</t>
  </si>
  <si>
    <t>Preferred</t>
  </si>
  <si>
    <t>Sept. 30, 1928 BS BFSA</t>
  </si>
  <si>
    <t>Net margin on sales</t>
  </si>
  <si>
    <t>Return on avg. equity</t>
  </si>
  <si>
    <t>Hathaway Manufacturing Company</t>
  </si>
  <si>
    <t>Key Ratios</t>
  </si>
  <si>
    <t>Moody's</t>
  </si>
  <si>
    <t>Equity (include pref. stock)</t>
  </si>
  <si>
    <t>Hathaway ROE</t>
  </si>
  <si>
    <t>Spindles</t>
  </si>
  <si>
    <t>Looms</t>
  </si>
  <si>
    <t>Employees</t>
  </si>
  <si>
    <t>Warren Manufacturing Company</t>
  </si>
  <si>
    <t>Unknown start</t>
  </si>
  <si>
    <t>1. Includes $3.6 write-off of prepaid FSLIC insurance premiums in 1987.</t>
  </si>
  <si>
    <t>1. Includes prepayment penalty of $5.355 in 1986 relating to called 12.75% debentures.</t>
  </si>
  <si>
    <t xml:space="preserve">   Total losses and expenses</t>
  </si>
  <si>
    <t>Underwriting gain (loss) - pre-tax</t>
  </si>
  <si>
    <t>Unfavorable (favorable) loss development included in losses and loss expenses</t>
  </si>
  <si>
    <t>Amount</t>
  </si>
  <si>
    <t>%</t>
  </si>
  <si>
    <t>Check against summary table</t>
  </si>
  <si>
    <t>SPELLCHECK!</t>
  </si>
  <si>
    <t>Expense ratio (against written premiums)</t>
  </si>
  <si>
    <t>In above</t>
  </si>
  <si>
    <t>Earnings:</t>
  </si>
  <si>
    <t>Year-end data:</t>
  </si>
  <si>
    <t>2. Excludes borrowings of finance businesses.</t>
  </si>
  <si>
    <t xml:space="preserve">Sales and service revenues  </t>
  </si>
  <si>
    <t xml:space="preserve">Insurance premiums earned  </t>
  </si>
  <si>
    <t xml:space="preserve">Interest and dividend income  </t>
  </si>
  <si>
    <t xml:space="preserve">Income from finance businesses  </t>
  </si>
  <si>
    <t xml:space="preserve">Realized investment gain  </t>
  </si>
  <si>
    <t xml:space="preserve">Total revenues  </t>
  </si>
  <si>
    <t xml:space="preserve">Cumulative effect of change in accounting for income taxes  </t>
  </si>
  <si>
    <t xml:space="preserve">Net earnings  </t>
  </si>
  <si>
    <t xml:space="preserve">Total assets  </t>
  </si>
  <si>
    <t xml:space="preserve">Shareholders' equity  </t>
  </si>
  <si>
    <r>
      <t xml:space="preserve">1.
</t>
    </r>
    <r>
      <rPr>
        <b/>
        <sz val="11"/>
        <rFont val="Times New Roman"/>
        <family val="1"/>
      </rPr>
      <t>1994:</t>
    </r>
    <r>
      <rPr>
        <sz val="11"/>
        <rFont val="Times New Roman"/>
        <family val="1"/>
      </rPr>
      <t xml:space="preserve"> Includes $172,579 USAir write-down ($146.52/sh).
</t>
    </r>
    <r>
      <rPr>
        <b/>
        <sz val="11"/>
        <rFont val="Times New Roman"/>
        <family val="1"/>
      </rPr>
      <t>1993:</t>
    </r>
    <r>
      <rPr>
        <sz val="11"/>
        <rFont val="Times New Roman"/>
        <family val="1"/>
      </rPr>
      <t xml:space="preserve"> Includes $75,348 charge due to the change in federal income tax rate.</t>
    </r>
  </si>
  <si>
    <t>Source Year</t>
  </si>
  <si>
    <t xml:space="preserve">Shareholders' equity per outstanding share  </t>
  </si>
  <si>
    <t>Sundry</t>
  </si>
  <si>
    <t>Actual Ending</t>
  </si>
  <si>
    <t>Cumulative effect of adoption on 12/31/93 of SFAS 115</t>
  </si>
  <si>
    <t>Net income (1985-1994)</t>
  </si>
  <si>
    <t>Issuance of common relating to Dexter Shoe</t>
  </si>
  <si>
    <t>Change in accounting SFAS 115</t>
  </si>
  <si>
    <t>1994 Ending Equity</t>
  </si>
  <si>
    <t>Actual 1994</t>
  </si>
  <si>
    <t>Change in unrealized appreciation of securities</t>
  </si>
  <si>
    <t>Termination of pension plan</t>
  </si>
  <si>
    <t>Conversion of Zero Coupon Notes</t>
  </si>
  <si>
    <t>1984 ending equity</t>
  </si>
  <si>
    <t>Dexter Shoe</t>
  </si>
  <si>
    <t>Accounting change</t>
  </si>
  <si>
    <t>1994 ending equity</t>
  </si>
  <si>
    <t>Change in unrealized appreciation of investments</t>
  </si>
  <si>
    <t>1. Equity securities at market; at cost prior to 1993.</t>
  </si>
  <si>
    <t>Income tax and minority interest</t>
  </si>
  <si>
    <t>Insurance assets / consolidated total assets</t>
  </si>
  <si>
    <t>Insurance equity / consolidated total equity</t>
  </si>
  <si>
    <t>MPR assets / consolidated total assets</t>
  </si>
  <si>
    <t>MPR equity / consolidated total equity</t>
  </si>
  <si>
    <t>Finance-type assets / consolidated total assets</t>
  </si>
  <si>
    <t>Finance-type equity / consolidated total equity</t>
  </si>
  <si>
    <t>Non-oper. assets / consolidated total assets</t>
  </si>
  <si>
    <t>Non-oper. equity / consolidated total equity</t>
  </si>
  <si>
    <t>Consolidated asset check</t>
  </si>
  <si>
    <t>Consolidated equity check</t>
  </si>
  <si>
    <t>Interest expense / average liabilities</t>
  </si>
  <si>
    <t>Revenues / average assets</t>
  </si>
  <si>
    <t>Cash and marketable securities</t>
  </si>
  <si>
    <t>Salomon convertible preferred</t>
  </si>
  <si>
    <t>Loans receivable</t>
  </si>
  <si>
    <t>Finance receivables, net</t>
  </si>
  <si>
    <t>Accounts payable and other liabilities</t>
  </si>
  <si>
    <t>Term debt</t>
  </si>
  <si>
    <t>Shareholders' equity</t>
  </si>
  <si>
    <t>Scott Fetzer Financial Group</t>
  </si>
  <si>
    <t>Mutual Savings and Loan Association</t>
  </si>
  <si>
    <t>Assets / equity (x)</t>
  </si>
  <si>
    <t>Principal amount</t>
  </si>
  <si>
    <t>Issue price</t>
  </si>
  <si>
    <t>Proceeds</t>
  </si>
  <si>
    <t>Conversion price</t>
  </si>
  <si>
    <t>Indicated price/BRK</t>
  </si>
  <si>
    <t>BRK Sh</t>
  </si>
  <si>
    <t>Implied MV</t>
  </si>
  <si>
    <t>1989 ending equity</t>
  </si>
  <si>
    <t>Conversion Price/Book</t>
  </si>
  <si>
    <t>Not including $9.5 million issue costs.</t>
  </si>
  <si>
    <t xml:space="preserve">  Sales and service revenues</t>
  </si>
  <si>
    <t xml:space="preserve">  Insurance premiums earned</t>
  </si>
  <si>
    <t xml:space="preserve">  Investment income, insurance group</t>
  </si>
  <si>
    <t xml:space="preserve">  Realized investment gain (loss)</t>
  </si>
  <si>
    <t xml:space="preserve">  Total revenues</t>
  </si>
  <si>
    <t>Earnings (loss):</t>
  </si>
  <si>
    <t xml:space="preserve">  Before realized investment gain</t>
  </si>
  <si>
    <t xml:space="preserve">  Net earnings (loss)</t>
  </si>
  <si>
    <t xml:space="preserve">  Shareholders' equity per outstanding share</t>
  </si>
  <si>
    <t xml:space="preserve">  Shareholders' equity</t>
  </si>
  <si>
    <t xml:space="preserve">  Term debt and other borrowings</t>
  </si>
  <si>
    <t xml:space="preserve">  Total assets</t>
  </si>
  <si>
    <t>Earnings (loss) per share:</t>
  </si>
  <si>
    <t xml:space="preserve">  Before realized investment gain (loss)</t>
  </si>
  <si>
    <t>Net income (1985-1989)</t>
  </si>
  <si>
    <t>Ending 1989 equity</t>
  </si>
  <si>
    <t>Actual 1989</t>
  </si>
  <si>
    <t>Change in unrea. Apprec.</t>
  </si>
  <si>
    <t>Net income 1965-1974</t>
  </si>
  <si>
    <t>Share repurchases</t>
  </si>
  <si>
    <t>Est loss on properties</t>
  </si>
  <si>
    <t>Tax adjustments</t>
  </si>
  <si>
    <t>1974 Ending shareholders' equity</t>
  </si>
  <si>
    <t>1964 Ending shareholders' equity</t>
  </si>
  <si>
    <t>Unrealized appreciation of investments</t>
  </si>
  <si>
    <t>Mergers/divestitures, net</t>
  </si>
  <si>
    <t>1984 ending shareholders' equity</t>
  </si>
  <si>
    <t>Net income 1985-1989</t>
  </si>
  <si>
    <t>1989 ending shareholders' equity</t>
  </si>
  <si>
    <t>1964 ending shareholders' equity</t>
  </si>
  <si>
    <t>Mergers/divestitures</t>
  </si>
  <si>
    <t>Dividends/treasury stock</t>
  </si>
  <si>
    <t>1965-74</t>
  </si>
  <si>
    <t>Realized investment gain, net of tax</t>
  </si>
  <si>
    <t>1975-84</t>
  </si>
  <si>
    <t>Net income - operations 1965-1989</t>
  </si>
  <si>
    <t>Net income - realized gains 1965-1989</t>
  </si>
  <si>
    <t>Amounts shown in millions</t>
  </si>
  <si>
    <t>Beginning of period shareholders' equity</t>
  </si>
  <si>
    <t>Net income - operations</t>
  </si>
  <si>
    <t>Net income - realized gains</t>
  </si>
  <si>
    <t>End of period shareholders' equity</t>
  </si>
  <si>
    <t>Investments held at cost in earlier periods?</t>
  </si>
  <si>
    <t>Change in equity during period</t>
  </si>
  <si>
    <t>Pre-tax operating earnings to average equity</t>
  </si>
  <si>
    <t>Change in pre-tax profit (operating income)</t>
  </si>
  <si>
    <t>$3.8 billion</t>
  </si>
  <si>
    <t>$11.9 billion</t>
  </si>
  <si>
    <t>$3.06 billion</t>
  </si>
  <si>
    <t>Net income 1985-1994</t>
  </si>
  <si>
    <t>Common issuance (Dexter)</t>
  </si>
  <si>
    <t>Reconciliation of Shareholders' Equity 1965-1994</t>
  </si>
  <si>
    <t>Net income - operations 1965-1994</t>
  </si>
  <si>
    <t>1994 ending shareholders' equity</t>
  </si>
  <si>
    <t>Source = Chairman's letter table, after-tax</t>
  </si>
  <si>
    <t>Net income - realized gains 1965-1994</t>
  </si>
  <si>
    <t>Change in accounting for securities gains</t>
  </si>
  <si>
    <t>Includes conversion of zero coupon, since this was a treasury transaction</t>
  </si>
  <si>
    <t>1985-94</t>
  </si>
  <si>
    <t>1965-94</t>
  </si>
  <si>
    <t>check</t>
  </si>
  <si>
    <t>Berkshire Hathaway Insurance Group</t>
  </si>
  <si>
    <t>Approximate cost of Funds</t>
  </si>
  <si>
    <t>Yearend Yield on Long-Term Gov't Bonds</t>
  </si>
  <si>
    <t>profit</t>
  </si>
  <si>
    <t>less than zero</t>
  </si>
  <si>
    <t>n/a</t>
  </si>
  <si>
    <t>Berkshire Hathaway - Insurance Underwriting</t>
  </si>
  <si>
    <t>^^^^Hidden row / note</t>
  </si>
  <si>
    <t xml:space="preserve">Interest, dividend, and other investment income  </t>
  </si>
  <si>
    <t>Interest and other revenues of finance and financial products businesses</t>
  </si>
  <si>
    <t>1. After-tax investment gains were as follows:</t>
  </si>
  <si>
    <t>Notes payable and other borrowings of insurance and other non-finance businesses</t>
  </si>
  <si>
    <t>Notes payable and other borrowings of 
finance businesses</t>
  </si>
  <si>
    <t>Borrowings under investment agreements and other debt (excluding finance businesses)</t>
  </si>
  <si>
    <t>4. 1997 capital gain includes $678 million pre-tax ($427 million after-tax) from the acquisition of Salomon, Inc. by Travelers Group, Inc.</t>
  </si>
  <si>
    <t>5. 1996 capital gain includes $2.2 billion pre-tax ($1.4 billion after-tax) from the acquisition of Capital Cities/ABC, Inc. by The Walt Disney Company.</t>
  </si>
  <si>
    <t>6. Year-end data for 1998 includes General Re, acquired on December 21, 1998.</t>
  </si>
  <si>
    <t>2. Includes pre-tax underwriting loss of $2.4 billion ($1.5 billion after-tax; $982 after-tax per A-share) in connection with the September 11, 2001 terrorist attack.</t>
  </si>
  <si>
    <t xml:space="preserve"> Fechheimer</t>
  </si>
  <si>
    <t xml:space="preserve"> Shoe Group</t>
  </si>
  <si>
    <t xml:space="preserve">  Underwriting - Super-Cat</t>
  </si>
  <si>
    <t xml:space="preserve">  Underwriting - Other Reinsurance</t>
  </si>
  <si>
    <t xml:space="preserve">  Underwriting - GEICO</t>
  </si>
  <si>
    <t xml:space="preserve"> Scott Fetzer Manufacturing Group </t>
  </si>
  <si>
    <t xml:space="preserve"> Finance and Financial Products Businesses</t>
  </si>
  <si>
    <t xml:space="preserve"> International Dairy Queen</t>
  </si>
  <si>
    <t xml:space="preserve">  Underwriting - General Re</t>
  </si>
  <si>
    <t xml:space="preserve">  Underwriting - Berkshire Reinsurance Group</t>
  </si>
  <si>
    <t>No longer sources of earnings table beginning in 2003.</t>
  </si>
  <si>
    <t xml:space="preserve"> McLane Company</t>
  </si>
  <si>
    <t xml:space="preserve">  Underwriting - Other Primary</t>
  </si>
  <si>
    <t>Not detailed</t>
  </si>
  <si>
    <t>Not detailed in presentation</t>
  </si>
  <si>
    <t>Consolidated back into Scott Fetzer</t>
  </si>
  <si>
    <t>Discontinued</t>
  </si>
  <si>
    <t>Consolidated into Berkshire Reinsurance Group</t>
  </si>
  <si>
    <t>1. It appears some interest income was included in Sales and Service revenues prior to 1998 and Berkshire changed the presentation going forward.</t>
  </si>
  <si>
    <t>Investments in MidAmerican Energy</t>
  </si>
  <si>
    <t>Income from MidAmerican Energy</t>
  </si>
  <si>
    <t xml:space="preserve"> Equity in net income/(loss) of Salomon, Inc.</t>
  </si>
  <si>
    <t xml:space="preserve">1. Includes Salomon, Inc. </t>
  </si>
  <si>
    <t xml:space="preserve">   McDonalds Corporation</t>
  </si>
  <si>
    <t xml:space="preserve">   The Coca-Cola Company</t>
  </si>
  <si>
    <t xml:space="preserve">   The Walt Disney Company</t>
  </si>
  <si>
    <t xml:space="preserve">   The Gillette Company</t>
  </si>
  <si>
    <t>2. In 1996 GEICO became a wholly-owned subsidiary of Berkshire Hathaway.</t>
  </si>
  <si>
    <t xml:space="preserve">   Freddie Mac</t>
  </si>
  <si>
    <t>Policyholder liabilities and other accruals</t>
  </si>
  <si>
    <t>General and administrative</t>
  </si>
  <si>
    <t xml:space="preserve">  Held to maturity, at cost</t>
  </si>
  <si>
    <t xml:space="preserve">  Trading, at fair value</t>
  </si>
  <si>
    <t xml:space="preserve">  Available for sale, at fair value</t>
  </si>
  <si>
    <t>Trading account assets</t>
  </si>
  <si>
    <t>Securities purchased under agreements to resell</t>
  </si>
  <si>
    <t>Fixed maturity investments:</t>
  </si>
  <si>
    <t>Annuity reserves and policyholder liabilities</t>
  </si>
  <si>
    <t>Securities sold under agreements to repurchase</t>
  </si>
  <si>
    <t>Securities sold but not yet purchased</t>
  </si>
  <si>
    <t>Trading account liabilities</t>
  </si>
  <si>
    <t>Notes payable and other borrowings</t>
  </si>
  <si>
    <t>Other revenues</t>
  </si>
  <si>
    <t>1994 Ending SH Equity</t>
  </si>
  <si>
    <t>Per 1995 Statement</t>
  </si>
  <si>
    <t>Per 1996 as restated</t>
  </si>
  <si>
    <t>Capital in excess of par</t>
  </si>
  <si>
    <t>Begin unrealized appreciation of investments</t>
  </si>
  <si>
    <t>Retained earnings begin</t>
  </si>
  <si>
    <t>1995 Ending SH Equity</t>
  </si>
  <si>
    <t>Shares issued in connection w/acquis</t>
  </si>
  <si>
    <t>Treasury stock issued w/acquis</t>
  </si>
  <si>
    <t>&lt;--- Figure matches note 1b of 1996 financial statements</t>
  </si>
  <si>
    <t>Total 1994 ending equity</t>
  </si>
  <si>
    <t>Total 1995 ending equity</t>
  </si>
  <si>
    <t>Implied 1993 ending</t>
  </si>
  <si>
    <t>Shares outstanding at end of period</t>
  </si>
  <si>
    <t>Class A</t>
  </si>
  <si>
    <t>Class B</t>
  </si>
  <si>
    <t>Total Class A-equivalent shares</t>
  </si>
  <si>
    <t>Berkshire Hathaway Reinsurance Group</t>
  </si>
  <si>
    <t>Unfavorable (favorable) loss development included in losses and loss expenses NOTE: BRK STOPPED REPORTING FOR EACH SEGMENT IN 1996</t>
  </si>
  <si>
    <t>General Re</t>
  </si>
  <si>
    <t xml:space="preserve"> North American property/casualty</t>
  </si>
  <si>
    <t xml:space="preserve"> International property/casualty</t>
  </si>
  <si>
    <t xml:space="preserve"> Life/health</t>
  </si>
  <si>
    <t>Total Gen Re premiums earned</t>
  </si>
  <si>
    <t>Total Gen Re premiums written</t>
  </si>
  <si>
    <t>Premiums written:</t>
  </si>
  <si>
    <t>Underwriting gain (loss) pre-tax:</t>
  </si>
  <si>
    <t>General Re - Combined</t>
  </si>
  <si>
    <t>Calculated total underwriting gain (loss)</t>
  </si>
  <si>
    <t>(Differences arising due to the timing of acquisitions</t>
  </si>
  <si>
    <t>2. Per the notes to the financial statements. Percentage is the ratio of loss development to earned premiums.</t>
  </si>
  <si>
    <t>7. Class A-equivalent shares.</t>
  </si>
  <si>
    <t>1996 Annual Meeting (Commenting on 1995)</t>
  </si>
  <si>
    <t>Float is more valuable than equity - see Q 11 Afternoon Session</t>
  </si>
  <si>
    <t>Float</t>
  </si>
  <si>
    <t>Float Cost</t>
  </si>
  <si>
    <t>ROE</t>
  </si>
  <si>
    <t>Earnings from Float</t>
  </si>
  <si>
    <t>Earnings</t>
  </si>
  <si>
    <t>Accumulated Earnings</t>
  </si>
  <si>
    <t>Float Growth Rate</t>
  </si>
  <si>
    <t>"Giving back" initial $7bn investment.</t>
  </si>
  <si>
    <t>Present value</t>
  </si>
  <si>
    <t>Same result……(if 0%/0%)</t>
  </si>
  <si>
    <t>Absolute diff.</t>
  </si>
  <si>
    <t>Year-end share price</t>
  </si>
  <si>
    <t>Change in share price</t>
  </si>
  <si>
    <t>Price / book</t>
  </si>
  <si>
    <r>
      <t xml:space="preserve">Year-end book value </t>
    </r>
    <r>
      <rPr>
        <u/>
        <sz val="11"/>
        <color theme="1"/>
        <rFont val="Times New Roman"/>
        <family val="1"/>
      </rPr>
      <t>per share</t>
    </r>
  </si>
  <si>
    <t>Estimated value (per share investments + 10x op)</t>
  </si>
  <si>
    <t>Borrowings (millions)</t>
  </si>
  <si>
    <t>Shareholders equity (millions)</t>
  </si>
  <si>
    <t>Debt/equity</t>
  </si>
  <si>
    <t>Total assets/equity</t>
  </si>
  <si>
    <t>Price / estimated value</t>
  </si>
  <si>
    <t>Change in estimated value</t>
  </si>
  <si>
    <t>Look-through earnings (millions)</t>
  </si>
  <si>
    <t>Cash and cash equiv., + Investments (ex. Finance assets)</t>
  </si>
  <si>
    <r>
      <t>Investments per share</t>
    </r>
    <r>
      <rPr>
        <vertAlign val="superscript"/>
        <sz val="11"/>
        <color theme="1"/>
        <rFont val="Times New Roman"/>
        <family val="1"/>
      </rPr>
      <t>1</t>
    </r>
  </si>
  <si>
    <t>Value assuming breakeven insurance underwriting</t>
  </si>
  <si>
    <t>Change in value</t>
  </si>
  <si>
    <t>Other Primary</t>
  </si>
  <si>
    <t>Insurance - underwriting</t>
  </si>
  <si>
    <t>Insurance - investment income</t>
  </si>
  <si>
    <t>Utilities and energy</t>
  </si>
  <si>
    <t>Finance and Financial Products</t>
  </si>
  <si>
    <t>Investment and derivative gains/losses</t>
  </si>
  <si>
    <t>Regulated, Capital-Intensive Businesses</t>
  </si>
  <si>
    <t xml:space="preserve"> Catastrophe and individual risk</t>
  </si>
  <si>
    <t xml:space="preserve"> Retroactive reinsurance</t>
  </si>
  <si>
    <t xml:space="preserve"> Quota share</t>
  </si>
  <si>
    <t>Total BHRG premiums earned</t>
  </si>
  <si>
    <t>Non-insurance businesses</t>
  </si>
  <si>
    <t>Total pre-tax operating earnings</t>
  </si>
  <si>
    <t>After-tax, after minority interest earnings:</t>
  </si>
  <si>
    <t>Equity in earnings of MidAmerican Energy</t>
  </si>
  <si>
    <t xml:space="preserve">   Earnings before realized investment gains</t>
  </si>
  <si>
    <t>Realized investment gains</t>
  </si>
  <si>
    <t xml:space="preserve">   Net earnings</t>
  </si>
  <si>
    <t>Purchase-accounting adjustments</t>
  </si>
  <si>
    <t>Interest expense, unallocated</t>
  </si>
  <si>
    <t>Cash and equivalents</t>
  </si>
  <si>
    <t>Accounts and notes receivable</t>
  </si>
  <si>
    <t>Inventory</t>
  </si>
  <si>
    <t>Other current assets</t>
  </si>
  <si>
    <t>Total current assets</t>
  </si>
  <si>
    <t>Goodwill and other intangibles</t>
  </si>
  <si>
    <t>Fixed assets</t>
  </si>
  <si>
    <t>Liabilities and Equity</t>
  </si>
  <si>
    <t>Notes payable</t>
  </si>
  <si>
    <t>Other current liabilities</t>
  </si>
  <si>
    <t>Total current liabilities</t>
  </si>
  <si>
    <t>Deferred taxes</t>
  </si>
  <si>
    <t>Revenues</t>
  </si>
  <si>
    <t>Operating expenses</t>
  </si>
  <si>
    <t>(Including depreciation)</t>
  </si>
  <si>
    <t>Interest expense (net)</t>
  </si>
  <si>
    <t>Pre-tax income</t>
  </si>
  <si>
    <t>Term debt and other liabilities</t>
  </si>
  <si>
    <t>Building Products</t>
  </si>
  <si>
    <t>Shaw Industries</t>
  </si>
  <si>
    <t>Retail Operations</t>
  </si>
  <si>
    <t>Flight Services</t>
  </si>
  <si>
    <t>Other businesses</t>
  </si>
  <si>
    <t>Pre-tax earnings breakdown:</t>
  </si>
  <si>
    <t>Apparel &amp; Footwear</t>
  </si>
  <si>
    <t>Return on avg. equity after-tax</t>
  </si>
  <si>
    <t>Return on avg. tang. equity after-tax</t>
  </si>
  <si>
    <t>Net income (1995-2004)</t>
  </si>
  <si>
    <t>2004 ending equity</t>
  </si>
  <si>
    <t>Actual 2004 ending</t>
  </si>
  <si>
    <t>Issuance of Class-B shares</t>
  </si>
  <si>
    <t>Shares issued in connection with acquisitions</t>
  </si>
  <si>
    <t>Other comprehensive income</t>
  </si>
  <si>
    <t>Issuance of Class-B stock</t>
  </si>
  <si>
    <t>Actual ending</t>
  </si>
  <si>
    <t>Notes:</t>
  </si>
  <si>
    <t xml:space="preserve">1995-04: Unrealized change in foreign currency contracts included in realized gains/losses. </t>
  </si>
  <si>
    <t xml:space="preserve">1995-04: Realized investment gains includes changes in other comprehensive income, which are mostly related to such gains. </t>
  </si>
  <si>
    <t>223.5 related to restatement re: GEICO merger</t>
  </si>
  <si>
    <t>1995-04: Other/misc. includes $222.5 million decrease in beginning equity due to restatement of financials in connection with the GEICO merger.</t>
  </si>
  <si>
    <t># Shares</t>
  </si>
  <si>
    <t>Value / book</t>
  </si>
  <si>
    <r>
      <t>10x pre-tax non-insurance earnings (assume b/e insurance)</t>
    </r>
    <r>
      <rPr>
        <vertAlign val="superscript"/>
        <sz val="11"/>
        <color theme="1"/>
        <rFont val="Times New Roman"/>
        <family val="1"/>
      </rPr>
      <t>2</t>
    </r>
  </si>
  <si>
    <t>2. 2002: Operating earnings reduced by $500 million per Buffett's suggestion that abnormal profits were earned in certain areas.</t>
  </si>
  <si>
    <t>1. 2000-2004: Per share investments and operating earnings ex. Investment income are calculated.</t>
  </si>
  <si>
    <r>
      <t>Pre-tax operating earnings (ex. investment income)</t>
    </r>
    <r>
      <rPr>
        <vertAlign val="superscript"/>
        <sz val="11"/>
        <color theme="1"/>
        <rFont val="Times New Roman"/>
        <family val="1"/>
      </rPr>
      <t>1,2</t>
    </r>
  </si>
  <si>
    <t>-</t>
  </si>
  <si>
    <t>Change in net worth - overall %</t>
  </si>
  <si>
    <t>Change in net worth - compounded %</t>
  </si>
  <si>
    <t>The Coca-Cola Company</t>
  </si>
  <si>
    <t>The Gillette Company</t>
  </si>
  <si>
    <t>Wells Fargo &amp; Company</t>
  </si>
  <si>
    <t>All other</t>
  </si>
  <si>
    <t>Total equity securities</t>
  </si>
  <si>
    <t>Cost</t>
  </si>
  <si>
    <t>Market</t>
  </si>
  <si>
    <t>American Express</t>
  </si>
  <si>
    <t>Berkshire Hathaway</t>
  </si>
  <si>
    <t>Equity Portfolio</t>
  </si>
  <si>
    <t>Top four % of total</t>
  </si>
  <si>
    <t>$74.4 billion</t>
  </si>
  <si>
    <t>$85.9 billion</t>
  </si>
  <si>
    <t>$45.2 billion</t>
  </si>
  <si>
    <t>Pre-Tax Earnings</t>
  </si>
  <si>
    <t>Trading - ordinary income</t>
  </si>
  <si>
    <t>Gen Re Securities</t>
  </si>
  <si>
    <t>Life and annuity operation</t>
  </si>
  <si>
    <t>Value Capital</t>
  </si>
  <si>
    <t>Berkadia</t>
  </si>
  <si>
    <t>Leasing operations</t>
  </si>
  <si>
    <t>Income before capital gains</t>
  </si>
  <si>
    <t>Trading - capital gains</t>
  </si>
  <si>
    <r>
      <t>Manufactured housing finance (Clayton)</t>
    </r>
    <r>
      <rPr>
        <vertAlign val="superscript"/>
        <sz val="11"/>
        <color theme="1"/>
        <rFont val="Times New Roman"/>
        <family val="1"/>
      </rPr>
      <t>1</t>
    </r>
  </si>
  <si>
    <t>1. 2003: Clayton from date of acquisition, August 7, 2003</t>
  </si>
  <si>
    <t>Interest-Bearing Liabilities</t>
  </si>
  <si>
    <t>2. Includes all liabilities</t>
  </si>
  <si>
    <t>N/A</t>
  </si>
  <si>
    <r>
      <t>Gen Re Securities</t>
    </r>
    <r>
      <rPr>
        <vertAlign val="superscript"/>
        <sz val="11"/>
        <color theme="1"/>
        <rFont val="Times New Roman"/>
        <family val="1"/>
      </rPr>
      <t>2</t>
    </r>
  </si>
  <si>
    <t>3. The results for 2000 at General Re include five quarters. In 2000 General Re International and Global Life/Health changed its reporting from a one-quarter lag.</t>
  </si>
  <si>
    <t>Avg.
Float</t>
  </si>
  <si>
    <t>Year-end Float (in $ millions)</t>
  </si>
  <si>
    <t>Year-end Float Growth %</t>
  </si>
  <si>
    <t>Year-end Float % Total Float</t>
  </si>
  <si>
    <t>General
Reins.</t>
  </si>
  <si>
    <t>Chairman &amp; CEO: 
Warren E. Buffett
President: Kenneth V. Chase</t>
  </si>
  <si>
    <t>Pre-tax operating earnings (ex. investment income)</t>
  </si>
  <si>
    <t>Equity portfolio:</t>
  </si>
  <si>
    <t>Unrealized Gain</t>
  </si>
  <si>
    <t>Fair Value</t>
  </si>
  <si>
    <t>Gross realized gains</t>
  </si>
  <si>
    <t>Gross realized losses</t>
  </si>
  <si>
    <t>Net realized gain</t>
  </si>
  <si>
    <t>Change in unrealized gain</t>
  </si>
  <si>
    <t>Plus: realized gain</t>
  </si>
  <si>
    <t>Net portfolio gain</t>
  </si>
  <si>
    <t>Net change portfolio</t>
  </si>
  <si>
    <t>Less: change cost</t>
  </si>
  <si>
    <t>Average fair value</t>
  </si>
  <si>
    <t>Return on average fair value</t>
  </si>
  <si>
    <t>Insurance Group dividends</t>
  </si>
  <si>
    <t>Plus: look thru earnings</t>
  </si>
  <si>
    <t>Total earnings</t>
  </si>
  <si>
    <t>Look thru yield</t>
  </si>
  <si>
    <t>Notes payable and other borrowings:</t>
  </si>
  <si>
    <t xml:space="preserve">  Finance and financial products businesses</t>
  </si>
  <si>
    <t>Note: Data taken from 2014 (2010-2014) and 2009 (2005-2009) annual reports to maintain consistency with the reporting for each five-year period. Slight differences exist for any particular year depending on the report year.</t>
  </si>
  <si>
    <t>1. Insurance premiums earned in 2007 included $7.1 billion from a single reinsurance transaction with Equitas.</t>
  </si>
  <si>
    <t>Investment gains</t>
  </si>
  <si>
    <t>Net earnings per share</t>
  </si>
  <si>
    <t>Common shares outstanding, in thousands (A sh.)</t>
  </si>
  <si>
    <t>Finance and financial products sales and service revenues and dividend and interest income</t>
  </si>
  <si>
    <t>2. On February 9, 2006 Berkshire converted its non-voting preferred stock of MidAmerican to common stock, providing it with an 83.4% voting interest. MidAmerican began being consolidated in 2006 (it was previously carried using the equity method).
On February 12, 2010 BNSF became a wholly-owned subsidiary and began to be consolidated. Between December 31, 2008 and February 12, 2010 it was accounted for based on the equity method.</t>
  </si>
  <si>
    <t>McLane</t>
  </si>
  <si>
    <t>Stopped reporting</t>
  </si>
  <si>
    <t xml:space="preserve">McLane since May 23, 2003. </t>
  </si>
  <si>
    <t>Non-controlling interests</t>
  </si>
  <si>
    <t>Income taxes and non-controlling interests</t>
  </si>
  <si>
    <t xml:space="preserve"> Other multi-line</t>
  </si>
  <si>
    <t xml:space="preserve"> Property/casualty</t>
  </si>
  <si>
    <t xml:space="preserve"> Life and annuity</t>
  </si>
  <si>
    <t>Berkshire Hathaway Primary Group</t>
  </si>
  <si>
    <t>BH Reins.</t>
  </si>
  <si>
    <t>Amount included in "Other" Clayton paid Berkshire for use of its credit</t>
  </si>
  <si>
    <t>1. Category changed from "Trading - ordinary income" to "Net investment income" in 2008. Excludes capital gains or losses.</t>
  </si>
  <si>
    <t>6. Includes all liabilities</t>
  </si>
  <si>
    <t>Manufactured housing finance (Clayton)</t>
  </si>
  <si>
    <t>Shares outstanding (avg)</t>
  </si>
  <si>
    <t>Shares outstanding (year end)</t>
  </si>
  <si>
    <t>Pre-tax underwriting gain</t>
  </si>
  <si>
    <t>Per share - avg</t>
  </si>
  <si>
    <t>Per share - year-end</t>
  </si>
  <si>
    <t>Cost of sales</t>
  </si>
  <si>
    <t>Gross profit</t>
  </si>
  <si>
    <t>GPM</t>
  </si>
  <si>
    <t>EBIT</t>
  </si>
  <si>
    <t>EBIT %</t>
  </si>
  <si>
    <t>Total invested capital</t>
  </si>
  <si>
    <t>Tangible invested capital</t>
  </si>
  <si>
    <t>($000s)</t>
  </si>
  <si>
    <t>1. Sum of shareholders' equity and long-term debt (per Shaw annual report).</t>
  </si>
  <si>
    <t>Equity in income of joint venture</t>
  </si>
  <si>
    <t>Non-recurring items</t>
  </si>
  <si>
    <t>Adjusted EBIT</t>
  </si>
  <si>
    <t>Adjusted EBIT %</t>
  </si>
  <si>
    <t>Goodwill, net</t>
  </si>
  <si>
    <t>2. EBIT as adjusted for non-recurring items plus joint venture income divided by tangible invested capital.</t>
  </si>
  <si>
    <t>Total enterprise value</t>
  </si>
  <si>
    <t>Multiple of invested capital</t>
  </si>
  <si>
    <t>Year-end:</t>
  </si>
  <si>
    <t>Assumed normalized capital turnover</t>
  </si>
  <si>
    <t>Assumed normalized pre-tax %</t>
  </si>
  <si>
    <t>Assumed normalized ROIC</t>
  </si>
  <si>
    <t>Going-in pre-tax BRK return</t>
  </si>
  <si>
    <t>Berkshire's purchase price (100% basis)</t>
  </si>
  <si>
    <t>Justin Industries</t>
  </si>
  <si>
    <t>Income from continuing operations</t>
  </si>
  <si>
    <t>Plus: taxes</t>
  </si>
  <si>
    <t>Plus: interest</t>
  </si>
  <si>
    <t>Return on capital - pre-tax</t>
  </si>
  <si>
    <t xml:space="preserve">  Building materials</t>
  </si>
  <si>
    <t xml:space="preserve">  Footwear</t>
  </si>
  <si>
    <t xml:space="preserve">  % Building materials</t>
  </si>
  <si>
    <t>MidAmerican Energy Holdings</t>
  </si>
  <si>
    <t>76% economic interest</t>
  </si>
  <si>
    <t>Plus: 11% trust-preferred</t>
  </si>
  <si>
    <t>Purchase price for equity = $1.24 billion = $1.63 billion on 100% basis.</t>
  </si>
  <si>
    <t>Earnings before taxes</t>
  </si>
  <si>
    <t>Current taxes</t>
  </si>
  <si>
    <t>Consolidated revenues</t>
  </si>
  <si>
    <t>Preferred of subsidiary</t>
  </si>
  <si>
    <t>Mandatorily redeemable convertible preferred</t>
  </si>
  <si>
    <t>Subsidiary debt</t>
  </si>
  <si>
    <t>Parent company debt</t>
  </si>
  <si>
    <t>Common + options subject to redemption</t>
  </si>
  <si>
    <t>Avg. invested capital</t>
  </si>
  <si>
    <t>Pre-tax ROIC</t>
  </si>
  <si>
    <t>Net income available to common stockholders</t>
  </si>
  <si>
    <t>Total taxes</t>
  </si>
  <si>
    <t>Total shareholders' equity</t>
  </si>
  <si>
    <t xml:space="preserve">12/31/1999 shareholders' equity = $995 million. </t>
  </si>
  <si>
    <t>Revenues / average total capital</t>
  </si>
  <si>
    <t>Return on average total capital</t>
  </si>
  <si>
    <t>Equity / total capital (year-end)</t>
  </si>
  <si>
    <t>https://www.sec.gov/Archives/edgar/data/1081316/000108131600000009/0001081316-00-000009.txt</t>
  </si>
  <si>
    <t>https://www.sec.gov/Archives/edgar/data/1081316/0001081316-99-000013.txt</t>
  </si>
  <si>
    <t>Total tax</t>
  </si>
  <si>
    <t>Net deferred tax liability</t>
  </si>
  <si>
    <t>Current tax rate</t>
  </si>
  <si>
    <t>Deferred tax rate</t>
  </si>
  <si>
    <t>Total tax rate</t>
  </si>
  <si>
    <t>Return on capital - pretax</t>
  </si>
  <si>
    <t>Operating income</t>
  </si>
  <si>
    <t>Capital</t>
  </si>
  <si>
    <t>Net assets acquired</t>
  </si>
  <si>
    <t>Minority interests</t>
  </si>
  <si>
    <t>Notes payable &amp; borrowings</t>
  </si>
  <si>
    <t xml:space="preserve"> - Goodwill/intangibles</t>
  </si>
  <si>
    <t>BRK return - pre-tax</t>
  </si>
  <si>
    <t>Company</t>
  </si>
  <si>
    <t>Others</t>
  </si>
  <si>
    <t>Anheuser-Busch Companies, Inc.</t>
  </si>
  <si>
    <t>American Express Company</t>
  </si>
  <si>
    <t>Burlington Northern Santa Fe</t>
  </si>
  <si>
    <t>Conoco Phillips</t>
  </si>
  <si>
    <t>Johnson &amp; Johnson</t>
  </si>
  <si>
    <t>Kraft Foods, Inc.</t>
  </si>
  <si>
    <t>Moody's Corporation</t>
  </si>
  <si>
    <t>POSCO</t>
  </si>
  <si>
    <t>The Proctor &amp; Gamble Company</t>
  </si>
  <si>
    <t>Sanofi-Aventis</t>
  </si>
  <si>
    <t>Tesco plc</t>
  </si>
  <si>
    <t>U.S. Bancorp</t>
  </si>
  <si>
    <t>USG Corp.</t>
  </si>
  <si>
    <t>Wal-Mart Stores, Inc.</t>
  </si>
  <si>
    <t>The Washington Post Company</t>
  </si>
  <si>
    <t>White Mountains Insurance Group Ltd</t>
  </si>
  <si>
    <t>Total Common Stocks</t>
  </si>
  <si>
    <t>% Company</t>
  </si>
  <si>
    <t>Swiss Re</t>
  </si>
  <si>
    <t xml:space="preserve">Source: 2007 and 2008 Berkshire Hathaway Annual Reports. </t>
  </si>
  <si>
    <t>Change '07-'08</t>
  </si>
  <si>
    <t>Operating income %</t>
  </si>
  <si>
    <t>Shareholders’ equity</t>
  </si>
  <si>
    <t>1. Before interest income and interest expense</t>
  </si>
  <si>
    <t>Threshold: $600 million.</t>
  </si>
  <si>
    <t>Threshold: $500 million.</t>
  </si>
  <si>
    <t>% Port.</t>
  </si>
  <si>
    <t>% Co.</t>
  </si>
  <si>
    <t>BYD Company, Ltd.</t>
  </si>
  <si>
    <t>Threshold: $1 billion.</t>
  </si>
  <si>
    <t>Beginning equity 1955</t>
  </si>
  <si>
    <t>Asset write-downs</t>
  </si>
  <si>
    <t>Ending equity 1964</t>
  </si>
  <si>
    <t>Bourne Mill gain</t>
  </si>
  <si>
    <t>Work taken from Ch. 4 equity reconciliation</t>
  </si>
  <si>
    <t>Change in textile revenues</t>
  </si>
  <si>
    <t>Receivables to textile revenues</t>
  </si>
  <si>
    <t>Inventories to textile revenues</t>
  </si>
  <si>
    <t>Revenue growth</t>
  </si>
  <si>
    <t>Revenues / equity capital</t>
  </si>
  <si>
    <t>Net revenues ($ thousands)</t>
  </si>
  <si>
    <t>($ thousands)</t>
  </si>
  <si>
    <t>Fixed assets, net</t>
  </si>
  <si>
    <t>Stamp service income</t>
  </si>
  <si>
    <t>Marketable securities &amp; short-term investments</t>
  </si>
  <si>
    <t>Investment in Wesco Financial</t>
  </si>
  <si>
    <t>Candy revenues</t>
  </si>
  <si>
    <t>Newspaper</t>
  </si>
  <si>
    <t>Merchandise promotions and motivation business</t>
  </si>
  <si>
    <t>Balance sheet items:</t>
  </si>
  <si>
    <t>Income statement items:</t>
  </si>
  <si>
    <t>Sources: Blue Chip Stamps 10K reports, 1971, 1975, 1977.</t>
  </si>
  <si>
    <t>Purchases</t>
  </si>
  <si>
    <t>Beginning balance</t>
  </si>
  <si>
    <t>Ending balance</t>
  </si>
  <si>
    <t>Ownership (# shares)</t>
  </si>
  <si>
    <t>Ownership ($ thousands)</t>
  </si>
  <si>
    <t>Distributions</t>
  </si>
  <si>
    <t>Fiscal year end:</t>
  </si>
  <si>
    <t>Ownership amount</t>
  </si>
  <si>
    <t xml:space="preserve">1. Blue Chip Stamps changed its fiscal year from approximately February 28 to approximately December 31. </t>
  </si>
  <si>
    <t>2. Net of tax on undistributed portion.</t>
  </si>
  <si>
    <t>3. Amortization of excess of equity in net assets over cost.</t>
  </si>
  <si>
    <r>
      <t>Interim period adjustment</t>
    </r>
    <r>
      <rPr>
        <vertAlign val="superscript"/>
        <sz val="12"/>
        <color theme="1"/>
        <rFont val="Times New Roman"/>
        <family val="1"/>
      </rPr>
      <t>1</t>
    </r>
  </si>
  <si>
    <r>
      <t>Equity in earnings</t>
    </r>
    <r>
      <rPr>
        <vertAlign val="superscript"/>
        <sz val="12"/>
        <color theme="1"/>
        <rFont val="Times New Roman"/>
        <family val="1"/>
      </rPr>
      <t>2</t>
    </r>
  </si>
  <si>
    <r>
      <t>Other</t>
    </r>
    <r>
      <rPr>
        <vertAlign val="superscript"/>
        <sz val="12"/>
        <color theme="1"/>
        <rFont val="Times New Roman"/>
        <family val="1"/>
      </rPr>
      <t>3</t>
    </r>
  </si>
  <si>
    <t>3:1 stock split</t>
  </si>
  <si>
    <t>Initial valuation</t>
  </si>
  <si>
    <t>1978 pre-tax earnings</t>
  </si>
  <si>
    <t>From 1977 Blue Chip Stamps Annual Report.</t>
  </si>
  <si>
    <t>1977 BCSar p. 15</t>
  </si>
  <si>
    <t>Pension liabilities assumed</t>
  </si>
  <si>
    <t>Total purchase price</t>
  </si>
  <si>
    <t>1977 BCSar p. 13</t>
  </si>
  <si>
    <t>Cash consideration</t>
  </si>
  <si>
    <t>Underlying net assets</t>
  </si>
  <si>
    <t>Excess of purchase price</t>
  </si>
  <si>
    <t>*Proforma for the combined Berkshire Fine Spinning Associates, Inc. and Hathaway Manufacturing Company, which merged on March 14, 1955 to form Berkshire Hathaway, Inc.</t>
  </si>
  <si>
    <t>Key managers:</t>
  </si>
  <si>
    <t>Annual revenues:</t>
  </si>
  <si>
    <t>Stockholder equity:</t>
  </si>
  <si>
    <t>Book value per share:</t>
  </si>
  <si>
    <t>Textile manufacturing</t>
  </si>
  <si>
    <t>4. Reduced net investment in property, plant, and equipment by $9.7 million (-57%).</t>
  </si>
  <si>
    <t>$50 million</t>
  </si>
  <si>
    <t>Key capital allocation decisions:</t>
  </si>
  <si>
    <t>Noteworthy events:</t>
  </si>
  <si>
    <t>($ millions)</t>
  </si>
  <si>
    <t>Marketable securities</t>
  </si>
  <si>
    <t>Accounts receivable, net</t>
  </si>
  <si>
    <t>Current assets</t>
  </si>
  <si>
    <t>Property, plant, and equipment, net</t>
  </si>
  <si>
    <t>Accounts payable</t>
  </si>
  <si>
    <t>Accruals &amp; other</t>
  </si>
  <si>
    <t>Long-term liabilities</t>
  </si>
  <si>
    <t>Shares outstanding</t>
  </si>
  <si>
    <t>Total liabilities and stockholders' equity</t>
  </si>
  <si>
    <t>Note: Amounts are rounded from actual dollars which may cause totals to differ slightly.</t>
  </si>
  <si>
    <t>Sources: Berkshire Hathaway Annual Reports, 1954-1964.</t>
  </si>
  <si>
    <t>Berkshire Hathaway, Inc. consolidated balance sheets, year end 1954-1964</t>
  </si>
  <si>
    <t>Berkshire Hathaway, Inc. consolidated income statements, 1954-1964</t>
  </si>
  <si>
    <t>Net revenues</t>
  </si>
  <si>
    <t>Operating profit / (loss)</t>
  </si>
  <si>
    <t>Other income / (expense)</t>
  </si>
  <si>
    <t>Provision for taxes / (refund)</t>
  </si>
  <si>
    <t>Net income / (loss)</t>
  </si>
  <si>
    <t>See note</t>
  </si>
  <si>
    <t>Berkshire Hathaway, Inc. consolidated reconciliation of shareholders' equity, 1955-1964</t>
  </si>
  <si>
    <t>Prior year end equity</t>
  </si>
  <si>
    <t>Current year net income / (loss)</t>
  </si>
  <si>
    <t>Current year dividends</t>
  </si>
  <si>
    <t>Change in paid in capital</t>
  </si>
  <si>
    <t>Revenue agent net asset adjustment</t>
  </si>
  <si>
    <t>Reduction in provision for prior years' taxes</t>
  </si>
  <si>
    <t>Estimated loss on properties to be sold</t>
  </si>
  <si>
    <t>Retirement of treasury stock</t>
  </si>
  <si>
    <t>Notes:
Amounts are rounded from actual dollars which may cause totals to differ slightly.
1954: Depreciation included in expenses in line above.</t>
  </si>
  <si>
    <t>Berkshire Hathaway, Inc. selected data and ratios, 1954-1964</t>
  </si>
  <si>
    <t>Misc. scratch - save</t>
  </si>
  <si>
    <t>:::SEE HIDDEN COMMENTS::: --- ALSO NOTE COLUMN B SIZING WHEN COPY/PASTING</t>
  </si>
  <si>
    <r>
      <t xml:space="preserve">Working capital </t>
    </r>
    <r>
      <rPr>
        <i/>
        <sz val="12"/>
        <color theme="1"/>
        <rFont val="Times New Roman"/>
        <family val="1"/>
      </rPr>
      <t>($ thousands)</t>
    </r>
  </si>
  <si>
    <r>
      <t>Average invested capital</t>
    </r>
    <r>
      <rPr>
        <vertAlign val="superscript"/>
        <sz val="12"/>
        <color theme="1"/>
        <rFont val="Times New Roman"/>
        <family val="1"/>
      </rPr>
      <t>1</t>
    </r>
    <r>
      <rPr>
        <sz val="12"/>
        <color theme="1"/>
        <rFont val="Times New Roman"/>
        <family val="1"/>
      </rPr>
      <t xml:space="preserve"> </t>
    </r>
    <r>
      <rPr>
        <i/>
        <sz val="12"/>
        <color theme="1"/>
        <rFont val="Times New Roman"/>
        <family val="1"/>
      </rPr>
      <t>($ thousands)</t>
    </r>
  </si>
  <si>
    <t>Sources: Berkshire Hathaway Annual Reports, 1955-1964, and author calculations.</t>
  </si>
  <si>
    <t>Book value per share</t>
  </si>
  <si>
    <t>Footnote 1: Average invested capital calculated based on the average of the sum of the prior and current year's equity and debt capital.</t>
  </si>
  <si>
    <t>Table 2.1.</t>
  </si>
  <si>
    <t>Decade snapshot: Pre-Buffett years</t>
  </si>
  <si>
    <t>% Change</t>
  </si>
  <si>
    <t>Reconciliation of shareholders' equity 1955-1964</t>
  </si>
  <si>
    <t>Current liabilities</t>
  </si>
  <si>
    <t>Table 2.7.</t>
  </si>
  <si>
    <t>Table 2.8.</t>
  </si>
  <si>
    <t>Table 2.9.</t>
  </si>
  <si>
    <t>Table 4.1.</t>
  </si>
  <si>
    <t>Decade snapshot: 1974-1984</t>
  </si>
  <si>
    <r>
      <rPr>
        <b/>
        <sz val="12"/>
        <color theme="1"/>
        <rFont val="Times New Roman"/>
        <family val="1"/>
      </rPr>
      <t>3.</t>
    </r>
    <r>
      <rPr>
        <sz val="12"/>
        <color theme="1"/>
        <rFont val="Times New Roman"/>
        <family val="1"/>
      </rPr>
      <t xml:space="preserve"> Merged Diversified Retailing into Berkshire (1978).</t>
    </r>
  </si>
  <si>
    <r>
      <rPr>
        <b/>
        <sz val="12"/>
        <color theme="1"/>
        <rFont val="Times New Roman"/>
        <family val="1"/>
      </rPr>
      <t>4.</t>
    </r>
    <r>
      <rPr>
        <sz val="12"/>
        <color theme="1"/>
        <rFont val="Times New Roman"/>
        <family val="1"/>
      </rPr>
      <t xml:space="preserve"> Divested Illinois National Bank and Trust (1980). </t>
    </r>
  </si>
  <si>
    <r>
      <rPr>
        <b/>
        <sz val="12"/>
        <color theme="1"/>
        <rFont val="Times New Roman"/>
        <family val="1"/>
      </rPr>
      <t xml:space="preserve">5. </t>
    </r>
    <r>
      <rPr>
        <sz val="12"/>
        <color theme="1"/>
        <rFont val="Times New Roman"/>
        <family val="1"/>
      </rPr>
      <t>Merged Blue Chip Stamps into Berkshire (1983).</t>
    </r>
  </si>
  <si>
    <r>
      <rPr>
        <b/>
        <sz val="12"/>
        <color theme="1"/>
        <rFont val="Times New Roman"/>
        <family val="1"/>
      </rPr>
      <t>6.</t>
    </r>
    <r>
      <rPr>
        <sz val="12"/>
        <color theme="1"/>
        <rFont val="Times New Roman"/>
        <family val="1"/>
      </rPr>
      <t xml:space="preserve"> Purchased Nebraska Furniture Mart for $60 million (1983).</t>
    </r>
  </si>
  <si>
    <t>Chairman &amp; CEO: 
Warren E. Buffett
Vice Chair: 
Charles T. Munger</t>
  </si>
  <si>
    <t>Table 4.2.</t>
  </si>
  <si>
    <t xml:space="preserve">  Net investment income</t>
  </si>
  <si>
    <t xml:space="preserve"> Wesco Financial - parent</t>
  </si>
  <si>
    <t xml:space="preserve"> Interest on debt</t>
  </si>
  <si>
    <t xml:space="preserve"> Shareholder-designated contributions</t>
  </si>
  <si>
    <t>Special GEICO distribution</t>
  </si>
  <si>
    <t>Special General Foods distribution</t>
  </si>
  <si>
    <t>Total earnings - all entities (pre-tax)</t>
  </si>
  <si>
    <r>
      <t xml:space="preserve"> Nebraska Furniture Mart</t>
    </r>
    <r>
      <rPr>
        <vertAlign val="superscript"/>
        <sz val="12"/>
        <color theme="1"/>
        <rFont val="Times New Roman"/>
        <family val="1"/>
      </rPr>
      <t>2</t>
    </r>
  </si>
  <si>
    <t>2. 1983 figures are those for October through December.</t>
  </si>
  <si>
    <r>
      <t xml:space="preserve"> Blue Chip Stamps - parent</t>
    </r>
    <r>
      <rPr>
        <vertAlign val="superscript"/>
        <sz val="12"/>
        <color theme="1"/>
        <rFont val="Times New Roman"/>
        <family val="1"/>
      </rPr>
      <t>3</t>
    </r>
  </si>
  <si>
    <r>
      <t xml:space="preserve"> Illinois National Bank</t>
    </r>
    <r>
      <rPr>
        <vertAlign val="superscript"/>
        <sz val="12"/>
        <color theme="1"/>
        <rFont val="Times New Roman"/>
        <family val="1"/>
      </rPr>
      <t>4</t>
    </r>
  </si>
  <si>
    <t>4. The Illinois National Bank was divested as of December 31, 1980.</t>
  </si>
  <si>
    <r>
      <t xml:space="preserve"> Amortization of goodwill</t>
    </r>
    <r>
      <rPr>
        <vertAlign val="superscript"/>
        <sz val="12"/>
        <color theme="1"/>
        <rFont val="Times New Roman"/>
        <family val="1"/>
      </rPr>
      <t>5</t>
    </r>
  </si>
  <si>
    <t>See note 6 below.</t>
  </si>
  <si>
    <t xml:space="preserve">7. The figures for 1974-1976 were taken from the 1978 report, which differ slightly from the amounts reported in these years. </t>
  </si>
  <si>
    <r>
      <t>Total earnings - all entities (after tax)</t>
    </r>
    <r>
      <rPr>
        <vertAlign val="superscript"/>
        <sz val="12"/>
        <color theme="1"/>
        <rFont val="Times New Roman"/>
        <family val="1"/>
      </rPr>
      <t>7</t>
    </r>
  </si>
  <si>
    <t>Table 4.x.</t>
  </si>
  <si>
    <t>Berkshire Hathaway history with Blue Chip Stamps</t>
  </si>
  <si>
    <t>Blue Chip Stamps, select financial information</t>
  </si>
  <si>
    <t>Blue Chip Stamps' investment and equity in earnings of Wesco Financial Corporation.</t>
  </si>
  <si>
    <t>Operating earnings, pre-tax</t>
  </si>
  <si>
    <t>Table 2.5.</t>
  </si>
  <si>
    <t>Revenues / avg. invested capital</t>
  </si>
  <si>
    <t>Avg. invested capital / rev. (inverse of above)</t>
  </si>
  <si>
    <t>Table 2.10.</t>
  </si>
  <si>
    <r>
      <t>Berkshire Hathaway earnings</t>
    </r>
    <r>
      <rPr>
        <b/>
        <vertAlign val="superscript"/>
        <sz val="12"/>
        <color theme="1"/>
        <rFont val="Times New Roman"/>
        <family val="1"/>
      </rPr>
      <t>1</t>
    </r>
  </si>
  <si>
    <t>1. This table presents Berkshire Hathaway's share of earnings, as adjusted for Berkshire's ownership interest in each company.</t>
  </si>
  <si>
    <t>% Total</t>
  </si>
  <si>
    <t xml:space="preserve">Table 4.x. </t>
  </si>
  <si>
    <t>Insurance Group, select information</t>
  </si>
  <si>
    <t>Underwriting gain (loss), pre-tax</t>
  </si>
  <si>
    <t xml:space="preserve">Workers' Compensation coverage written by Home State is not broken out per the footnote to the financial statements. </t>
  </si>
  <si>
    <t>Specialized auto and general liability</t>
  </si>
  <si>
    <t>Workers' Compensation*</t>
  </si>
  <si>
    <t>Reinsurance</t>
  </si>
  <si>
    <t>Home State multiple lines</t>
  </si>
  <si>
    <t>Sources: Berkshire Hathaway Annual Reports, 1979, 1982, 1984.</t>
  </si>
  <si>
    <t>3. 1982 and 1983 are not comparable; major assets were transferred in the mid-year 1983 merger of Blue Chip Stamps.</t>
  </si>
  <si>
    <t>See's Candies, select data</t>
  </si>
  <si>
    <t>Pounds sold</t>
  </si>
  <si>
    <t>Total gain:</t>
  </si>
  <si>
    <t>Compounded:</t>
  </si>
  <si>
    <t>Price / lb</t>
  </si>
  <si>
    <t>Profit / lb</t>
  </si>
  <si>
    <r>
      <t>Profit</t>
    </r>
    <r>
      <rPr>
        <u/>
        <vertAlign val="superscript"/>
        <sz val="12"/>
        <color theme="1"/>
        <rFont val="Times New Roman"/>
        <family val="1"/>
      </rPr>
      <t>1</t>
    </r>
  </si>
  <si>
    <t xml:space="preserve">1. Operating profit after tax. </t>
  </si>
  <si>
    <t>Reconciliation of shareholders' equity, 1965-1984</t>
  </si>
  <si>
    <t>1965-84</t>
  </si>
  <si>
    <t>Contribution toward change in equity during period</t>
  </si>
  <si>
    <t>Berkshire Hathaway consolidated balance sheets, 1974-1984</t>
  </si>
  <si>
    <t>Original</t>
  </si>
  <si>
    <t>Marketable equity securities (including preferred)</t>
  </si>
  <si>
    <t>Accounts receivable, net - textiles</t>
  </si>
  <si>
    <t>Accounts receivable, net - other</t>
  </si>
  <si>
    <t>Inventories - textiles</t>
  </si>
  <si>
    <t>Inventories - other</t>
  </si>
  <si>
    <t>Investment in bank subsidiary</t>
  </si>
  <si>
    <t>Investment in other subsidiaries</t>
  </si>
  <si>
    <t>Deferred insurance premium acquisition costs</t>
  </si>
  <si>
    <t>Accounts payable and accrued expenses</t>
  </si>
  <si>
    <t>Sources: Berkshire Hathaway Annual Reports, 1975-1984.</t>
  </si>
  <si>
    <t>Continued…</t>
  </si>
  <si>
    <t>…Continued from prior page.</t>
  </si>
  <si>
    <t xml:space="preserve">Note: The year 1977 was restated due to the merger with Diversified Retailing; 1983 was restated due to the merger with Blue Chip Stamps. Buffett’s distaste for the presentation of Berkshire’s consolidated financial statements is only compounded by trying to show them over multiple years. </t>
  </si>
  <si>
    <t>Berkshire Hathaway consolidated statements of income</t>
  </si>
  <si>
    <t>Insurance losses and loss adjustment expenses</t>
  </si>
  <si>
    <t>Sources: Berkshire Hathaway Annual Reports, 1974-1984.</t>
  </si>
  <si>
    <t>Berkshire Hathaway consolidated reconcilliation of shareholders' equity, 1974-1984</t>
  </si>
  <si>
    <t>Prior year equity</t>
  </si>
  <si>
    <t>Change in treasury stock due to restatement with Diversified Retailing</t>
  </si>
  <si>
    <t>Change in retained earnings due to restatement with Diversified Retailing</t>
  </si>
  <si>
    <t>Change in equity due to accounting change, marketable securities</t>
  </si>
  <si>
    <t>Berkshire Hathaway Insurance Group balance sheets, 1974-1984</t>
  </si>
  <si>
    <t>Cash and Treasuries</t>
  </si>
  <si>
    <t>Total cash and investments</t>
  </si>
  <si>
    <t>Berkshire Hathaway Insurance Group statements of income, 1974-1984</t>
  </si>
  <si>
    <t>Beginning equity</t>
  </si>
  <si>
    <t>Sources: Berkshire Hathaway Annual Reports, 1974-1981.</t>
  </si>
  <si>
    <t>Table 4.x. - DON'T INCLUDE IN APPENDIX, FOR NOW-</t>
  </si>
  <si>
    <t>Berkshire Hathaway Insurance Group select ratios, 1974-1984</t>
  </si>
  <si>
    <t>Sources: Berkshire Hathaway Annual Reports, 1974-1984, and author's calculations.</t>
  </si>
  <si>
    <t>Expense ratio</t>
  </si>
  <si>
    <t>Insurance Group select information, 1974-1984</t>
  </si>
  <si>
    <t>Workers' Compensation</t>
  </si>
  <si>
    <t>Structured settlements and portfolio reinsurance</t>
  </si>
  <si>
    <t>Total Premiums earned</t>
  </si>
  <si>
    <r>
      <t>Borrowed funds</t>
    </r>
    <r>
      <rPr>
        <vertAlign val="superscript"/>
        <sz val="12"/>
        <color theme="1"/>
        <rFont val="Times New Roman"/>
        <family val="1"/>
      </rPr>
      <t>1</t>
    </r>
  </si>
  <si>
    <r>
      <t>Securities gains or (losses) net of applicable income taxes</t>
    </r>
    <r>
      <rPr>
        <vertAlign val="superscript"/>
        <sz val="12"/>
        <color theme="1"/>
        <rFont val="Times New Roman"/>
        <family val="1"/>
      </rPr>
      <t>1</t>
    </r>
  </si>
  <si>
    <t>The Illinois National Bank &amp; Trust Co. of Rockford consolidated balance sheets, 1968-1979</t>
  </si>
  <si>
    <t>Footnote 1: Amount in 1975 consists of Fed Funds.</t>
  </si>
  <si>
    <t>Sources: Berkshire Hathaway Annual Reports, 1968-1979.</t>
  </si>
  <si>
    <t>Note: Prior to 1974 loans were presented on a gross basis as an asset, with the loss reserve presented separately as a liability. I have adjusted these years to conform to the subsequent presentation, therefore, the total assets figure differs from that presented in the financial statements.</t>
  </si>
  <si>
    <t>Interest on borrowed funds</t>
  </si>
  <si>
    <r>
      <t>Net income</t>
    </r>
    <r>
      <rPr>
        <vertAlign val="superscript"/>
        <sz val="12"/>
        <color theme="1"/>
        <rFont val="Times New Roman"/>
        <family val="1"/>
      </rPr>
      <t>2</t>
    </r>
  </si>
  <si>
    <t>Footnotes:</t>
  </si>
  <si>
    <t>1. 1973: Included is $43 gain on sale of real estate, net of tax.</t>
  </si>
  <si>
    <t>2. 1970: Net income is presented before a $633 tax benefit from parent.</t>
  </si>
  <si>
    <t>The Illinois National Bank &amp; Trust Co. of Rockford consolidated statements of income, 1968-1979</t>
  </si>
  <si>
    <t>United States Government obligation and agencies</t>
  </si>
  <si>
    <t>Time deposits with other banks</t>
  </si>
  <si>
    <t>Other Securities</t>
  </si>
  <si>
    <t>Footnote:</t>
  </si>
  <si>
    <r>
      <t xml:space="preserve">Average loans </t>
    </r>
    <r>
      <rPr>
        <i/>
        <sz val="12"/>
        <color theme="1"/>
        <rFont val="Times New Roman"/>
        <family val="1"/>
      </rPr>
      <t>($ thousands)</t>
    </r>
  </si>
  <si>
    <r>
      <t xml:space="preserve">Average equity </t>
    </r>
    <r>
      <rPr>
        <i/>
        <sz val="12"/>
        <color theme="1"/>
        <rFont val="Times New Roman"/>
        <family val="1"/>
      </rPr>
      <t>($ thousands)</t>
    </r>
  </si>
  <si>
    <r>
      <t xml:space="preserve">Average total deposits </t>
    </r>
    <r>
      <rPr>
        <i/>
        <sz val="12"/>
        <color theme="1"/>
        <rFont val="Times New Roman"/>
        <family val="1"/>
      </rPr>
      <t>($ thousands)</t>
    </r>
  </si>
  <si>
    <t>The Illinois National Bank &amp; Trust Co. of Rockford select data and ratios, 1968-1979</t>
  </si>
  <si>
    <t>Total non interest expense</t>
  </si>
  <si>
    <r>
      <t>Efficiency ratio</t>
    </r>
    <r>
      <rPr>
        <vertAlign val="superscript"/>
        <sz val="12"/>
        <color theme="1"/>
        <rFont val="Times New Roman"/>
        <family val="1"/>
      </rPr>
      <t>1</t>
    </r>
  </si>
  <si>
    <r>
      <t>Interest expense / average deposits</t>
    </r>
    <r>
      <rPr>
        <vertAlign val="superscript"/>
        <sz val="12"/>
        <color theme="1"/>
        <rFont val="Times New Roman"/>
        <family val="1"/>
      </rPr>
      <t>2</t>
    </r>
  </si>
  <si>
    <t>2. Average deposits includes borrowed funds in the years applicable.</t>
  </si>
  <si>
    <t>1. Efficiency ratio is the ratio of non interest expense divided by the sum of net interest income and non interest income.</t>
  </si>
  <si>
    <t>Decade snapshot: 1964-1974</t>
  </si>
  <si>
    <t>Table 3.1.</t>
  </si>
  <si>
    <t>Textiles, insurance, banking, candy, publishing</t>
  </si>
  <si>
    <t>Stockholders' equity:</t>
  </si>
  <si>
    <t>7. Allocated Insurance Group float into undervalued securities.</t>
  </si>
  <si>
    <t>3. Contributed approximately $25 million of additional equity capital to the Insurance Group to support its growth.</t>
  </si>
  <si>
    <t>4. Borrowed $20 million in long-term debt to repay existing debt, provide capital for the Insurance Group, and maintain liquidity for future opportunities.</t>
  </si>
  <si>
    <t>6. Reduced working capital and fixed assets in the textile group to maintain an appropriate level of capital investment in relation to sales.</t>
  </si>
  <si>
    <r>
      <rPr>
        <b/>
        <sz val="12"/>
        <color theme="1"/>
        <rFont val="Times New Roman"/>
        <family val="1"/>
      </rPr>
      <t>2.</t>
    </r>
    <r>
      <rPr>
        <sz val="12"/>
        <color theme="1"/>
        <rFont val="Times New Roman"/>
        <family val="1"/>
      </rPr>
      <t xml:space="preserve"> Purchased Buffalo News for $35.5 million (1977).</t>
    </r>
  </si>
  <si>
    <r>
      <rPr>
        <b/>
        <sz val="12"/>
        <color theme="1"/>
        <rFont val="Times New Roman"/>
        <family val="1"/>
      </rPr>
      <t>1.</t>
    </r>
    <r>
      <rPr>
        <sz val="12"/>
        <color theme="1"/>
        <rFont val="Times New Roman"/>
        <family val="1"/>
      </rPr>
      <t xml:space="preserve"> Purchased Waumbec Mills in Manchester, NH for $1.7 million (1975).</t>
    </r>
  </si>
  <si>
    <t>5. Amortization of goodwill is included in Other for years prior to 1982.</t>
  </si>
  <si>
    <t>6. Buffett began including a table entitled Sources of Earnings in his 1978 Chairman's letter, which included a comparison to 1977. Since comparable data was not available for these years, I left them blank.</t>
  </si>
  <si>
    <t>(Original) 1977</t>
  </si>
  <si>
    <t>Reconciliation of shareholders' equity 1965-1974</t>
  </si>
  <si>
    <t>Sources of Net Income table from the 1974 Berkshire Hathaway Annual Report</t>
  </si>
  <si>
    <t xml:space="preserve">2. Operating earnings line added. </t>
  </si>
  <si>
    <t>1. Years rearranged for consistency of presentation.</t>
  </si>
  <si>
    <t>Berkshire Hathaway consolidated balance sheets, 1964-1974</t>
  </si>
  <si>
    <t>Total marketable securities</t>
  </si>
  <si>
    <t>Inventories, textiles</t>
  </si>
  <si>
    <t>Common stock of Blue Chip Stamps</t>
  </si>
  <si>
    <t>Accounts receivable, net, textiles</t>
  </si>
  <si>
    <t>Accounts receivable, net, other</t>
  </si>
  <si>
    <t>Property, plant &amp; equipment, net textiles</t>
  </si>
  <si>
    <t>Property, plant &amp; equipment, net, non-textile</t>
  </si>
  <si>
    <t>Accounts payable &amp; accrued expenses</t>
  </si>
  <si>
    <t>Income taxes, current</t>
  </si>
  <si>
    <t>Income taxes, deferred</t>
  </si>
  <si>
    <t>Current portion of long-term debt</t>
  </si>
  <si>
    <t>Berkshire Hathaway consolidated income statements, 1964-1974</t>
  </si>
  <si>
    <t>Insurance investment income (excl. gain/loss)</t>
  </si>
  <si>
    <t>Net underwriting gain/(loss), insurance</t>
  </si>
  <si>
    <t>Textile revenues</t>
  </si>
  <si>
    <t>Operating profit/(loss), textiles</t>
  </si>
  <si>
    <t>Equity in earnings of insurance subsidiaries</t>
  </si>
  <si>
    <t>Investment in insurance subsidiaries</t>
  </si>
  <si>
    <t>Net interest, taxes, and other expense</t>
  </si>
  <si>
    <t>Berkshire Hathaway consolidated reconciliation of shareholders' equity, 1964-1974</t>
  </si>
  <si>
    <t>Current year net income/(loss)</t>
  </si>
  <si>
    <t>Credit from charge equivalent to federal income tax</t>
  </si>
  <si>
    <t>Excess of cost over par value of treasury stock</t>
  </si>
  <si>
    <t>Ending equity</t>
  </si>
  <si>
    <t>Berkshire Hathaway, select data and ratios, 1964-1974</t>
  </si>
  <si>
    <t>Textile "core" working capital to revenues</t>
  </si>
  <si>
    <t>Sources: Berkshire Hathaway Annual Reports 1964-1974.</t>
  </si>
  <si>
    <t>Footnote 1: Accounts receivables plus inventory less accounts payable.</t>
  </si>
  <si>
    <r>
      <t xml:space="preserve">Operating earnings </t>
    </r>
    <r>
      <rPr>
        <i/>
        <sz val="12"/>
        <color theme="1"/>
        <rFont val="Times New Roman"/>
        <family val="1"/>
      </rPr>
      <t>($ thousands)</t>
    </r>
  </si>
  <si>
    <r>
      <t>Textile working capital</t>
    </r>
    <r>
      <rPr>
        <vertAlign val="superscript"/>
        <sz val="12"/>
        <color theme="1"/>
        <rFont val="Times New Roman"/>
        <family val="1"/>
      </rPr>
      <t>1</t>
    </r>
    <r>
      <rPr>
        <sz val="12"/>
        <color theme="1"/>
        <rFont val="Times New Roman"/>
        <family val="1"/>
      </rPr>
      <t xml:space="preserve"> </t>
    </r>
    <r>
      <rPr>
        <i/>
        <sz val="12"/>
        <color theme="1"/>
        <rFont val="Times New Roman"/>
        <family val="1"/>
      </rPr>
      <t>($ thousands)</t>
    </r>
  </si>
  <si>
    <t>Berkshire Hathaway Insurance Group balance sheets, 1967-1974</t>
  </si>
  <si>
    <t>Berkshire Hathaway Insurance Group income statements, 1968-1974</t>
  </si>
  <si>
    <t>Pre-tax underwriting gain/(loss)</t>
  </si>
  <si>
    <t>Realized gain/(loss) on investments, net of tax</t>
  </si>
  <si>
    <t>Berkshire Hathaway Insurance Group reconciliation of stockholders' equity, 1967-1974</t>
  </si>
  <si>
    <t>Change in common stock - National Indemnity Company</t>
  </si>
  <si>
    <t>Beginning stockholders' equity</t>
  </si>
  <si>
    <t>Ending stockholders' equity</t>
  </si>
  <si>
    <t>Berkshire Hathaway Insurance Group key ratios and figures, 1968-1974</t>
  </si>
  <si>
    <t>Illinois National Bank &amp; Trust Co. of Rockford, balance sheets, 1968-1974</t>
  </si>
  <si>
    <t>Subtotal investments</t>
  </si>
  <si>
    <t>Illinois National Bank &amp; Trust Co. of Rockford, income statements, 1968-1974</t>
  </si>
  <si>
    <t>Illinois National Bank &amp; Trust Co. of Rockford, key ratios and figures, 1969-1974</t>
  </si>
  <si>
    <r>
      <t>Average assets</t>
    </r>
    <r>
      <rPr>
        <i/>
        <sz val="12"/>
        <color theme="1"/>
        <rFont val="Times New Roman"/>
        <family val="1"/>
      </rPr>
      <t xml:space="preserve"> ($ thousands)</t>
    </r>
  </si>
  <si>
    <t>Return on revenues (net margin)</t>
  </si>
  <si>
    <t>2. Purchased The Illinois National Bank &amp; Trust Company of Rockford for $17.7 million (1969).</t>
  </si>
  <si>
    <t xml:space="preserve">8. Returned $2.6 million to shareholders in the form of dividends ($0.1 million) and share
repurchases ($2.5 million).                   </t>
  </si>
  <si>
    <t>Table 3.10.</t>
  </si>
  <si>
    <t>Table 3.12.</t>
  </si>
  <si>
    <t>Table 3.13.</t>
  </si>
  <si>
    <t>Table 3.14.</t>
  </si>
  <si>
    <t>Table 3.15.</t>
  </si>
  <si>
    <t>Net earnings - 3 months ending 12/30/67</t>
  </si>
  <si>
    <t>Table 3.16.</t>
  </si>
  <si>
    <t>Table 3.17.</t>
  </si>
  <si>
    <t>Table 3.18.</t>
  </si>
  <si>
    <t>Table 3.19.</t>
  </si>
  <si>
    <t>Table 3.20.</t>
  </si>
  <si>
    <t>Table 3.21.</t>
  </si>
  <si>
    <t>Table 3.22.</t>
  </si>
  <si>
    <t>Table 3.23.</t>
  </si>
  <si>
    <r>
      <t xml:space="preserve">Revenues </t>
    </r>
    <r>
      <rPr>
        <i/>
        <sz val="12"/>
        <color theme="1"/>
        <rFont val="Times New Roman"/>
        <family val="1"/>
      </rPr>
      <t>($ thousands)</t>
    </r>
  </si>
  <si>
    <t>Table 5.1.</t>
  </si>
  <si>
    <t>Decade snapshot: 1984-1994</t>
  </si>
  <si>
    <t>Insurance, newspapers, furniture retailing, candy, banking, textiles</t>
  </si>
  <si>
    <t>Insurance, newspapers, furniture retailing, candy, jewelry, encyclopedias, home cleaning systems, shoes, misc. manufacturing, significant stakes in several public companies</t>
  </si>
  <si>
    <t>1. Shut down textile operations (1985).</t>
  </si>
  <si>
    <t>2. Contributed additional equity to Insurance Group (various).</t>
  </si>
  <si>
    <t>3. Invested $517.5 million into Capital Cities/ABC (1985).</t>
  </si>
  <si>
    <t>4. Acquired Scott Fetzer for $410 million (1986).</t>
  </si>
  <si>
    <t>5. Purchased Fechheimer (1986).</t>
  </si>
  <si>
    <t>6. Purchased $700 million issue of Salomon Brothers Convertible Preferred Stock (1987).</t>
  </si>
  <si>
    <t>7. Acquired Borsheim's (1989).</t>
  </si>
  <si>
    <t>8. Purchased Coca-Cola shares for $1.3 billion (1988-94).</t>
  </si>
  <si>
    <t>9. Purchased convertible preferred stock issues from Gillette ($600 million); 
    USAir ($358 million); Champion International ($300 million) (1989).</t>
  </si>
  <si>
    <t>10. Issued $900 million Zero Coupon debt (1989).</t>
  </si>
  <si>
    <t>11. Acquired H.H. Brown Shoe (1991).</t>
  </si>
  <si>
    <t>12. Repaid a significant amount of debt (1991-92).</t>
  </si>
  <si>
    <t>13. Acquired Lowell Shoe (1992).</t>
  </si>
  <si>
    <t>14. Acquired Dexter Shoe for $433 million, issuing 25,303 shares.</t>
  </si>
  <si>
    <t>15. Exited savings and loan business (Wesco/Mutual Savings; 1993).</t>
  </si>
  <si>
    <t>Table 5.2.</t>
  </si>
  <si>
    <t>Special Gen. Foods distribution</t>
  </si>
  <si>
    <t>Operating earnings - pre-tax</t>
  </si>
  <si>
    <t>Decline in value of USAir Preferred Stock</t>
  </si>
  <si>
    <t>Total earnings - all entities (after tax)</t>
  </si>
  <si>
    <t xml:space="preserve"> Finance businesses</t>
  </si>
  <si>
    <t xml:space="preserve"> Purchase-price accounting &amp; goodwill charges</t>
  </si>
  <si>
    <t>Statutory combined ratio</t>
  </si>
  <si>
    <t>Table 5.x.</t>
  </si>
  <si>
    <t>Underwriting gain/(loss) - pre-tax</t>
  </si>
  <si>
    <t>Total Insurance Group underwriting gain/(loss) pre-tax</t>
  </si>
  <si>
    <t>Statutory combined ratio (excluding structured settlements and portfolio reinsurance)</t>
  </si>
  <si>
    <t>Note: structured settlement loss calculated for 1984.</t>
  </si>
  <si>
    <t>Revenues/average capital</t>
  </si>
  <si>
    <t>AP</t>
  </si>
  <si>
    <t>Accruals</t>
  </si>
  <si>
    <t>Deferred tax</t>
  </si>
  <si>
    <t>Other deferred credits</t>
  </si>
  <si>
    <t>or</t>
  </si>
  <si>
    <t>Berkshire's purchase multiple</t>
  </si>
  <si>
    <t>Berkshire cash consideration</t>
  </si>
  <si>
    <t>Debt assumed</t>
  </si>
  <si>
    <t>Berkshire's going-in return</t>
  </si>
  <si>
    <t xml:space="preserve">Buffett in 1985ar Chairman's Letter says the purchase was $320 million plus $90 million of assumed debt. </t>
  </si>
  <si>
    <t>Berkshire's going-in return, pre-tax</t>
  </si>
  <si>
    <t>Scott &amp; Fetzer, key metrics and acquisition data</t>
  </si>
  <si>
    <t>Used figure from p. 33 of 1986 ar for LTD</t>
  </si>
  <si>
    <r>
      <t>Revenues/average capital</t>
    </r>
    <r>
      <rPr>
        <vertAlign val="superscript"/>
        <sz val="12"/>
        <color theme="1"/>
        <rFont val="Times New Roman"/>
        <family val="1"/>
      </rPr>
      <t>1</t>
    </r>
  </si>
  <si>
    <t>Interest-bearing deposits</t>
  </si>
  <si>
    <t>Short-term investments</t>
  </si>
  <si>
    <t>5% revenues</t>
  </si>
  <si>
    <t>Excess cash</t>
  </si>
  <si>
    <t>Adjusted revenues/average capital</t>
  </si>
  <si>
    <t>Adjusted capital</t>
  </si>
  <si>
    <t>Adjusted return on capital - pre-tax</t>
  </si>
  <si>
    <t>Unadjusted figures:</t>
  </si>
  <si>
    <t>Less: $125 million dividend 1986</t>
  </si>
  <si>
    <t>Net purchase price</t>
  </si>
  <si>
    <r>
      <t>Berkshire's purchase multiple</t>
    </r>
    <r>
      <rPr>
        <vertAlign val="superscript"/>
        <sz val="12"/>
        <color theme="1"/>
        <rFont val="Times New Roman"/>
        <family val="1"/>
      </rPr>
      <t>2</t>
    </r>
  </si>
  <si>
    <t xml:space="preserve">2. Berkshire's purchase price was $410 million including assumed debt of $90 million. I've reduced the purchase price by the $125 million Scott Fetzer distributed to Berkshire in 1986, which represented excess cash on the balance sheet at the time of purchase. </t>
  </si>
  <si>
    <t>Cash and investments % equity</t>
  </si>
  <si>
    <t>Acquisition price</t>
  </si>
  <si>
    <t>Implied valuation</t>
  </si>
  <si>
    <t>Pre-tax earnings (June 3 - Dec. 31)</t>
  </si>
  <si>
    <t>Annualized</t>
  </si>
  <si>
    <t>Property, plant &amp; equipment</t>
  </si>
  <si>
    <t>Less goodwill</t>
  </si>
  <si>
    <t>Less: liabilities, other than term debt</t>
  </si>
  <si>
    <t>Capital employed</t>
  </si>
  <si>
    <t>Pre-tax return on capital</t>
  </si>
  <si>
    <t>Percentage of company</t>
  </si>
  <si>
    <t>Fechheimer, acquisition analysis</t>
  </si>
  <si>
    <t>Coca Cola Company, key data and analysis</t>
  </si>
  <si>
    <r>
      <t xml:space="preserve">Revenues </t>
    </r>
    <r>
      <rPr>
        <i/>
        <sz val="12"/>
        <color theme="1"/>
        <rFont val="Times New Roman"/>
        <family val="1"/>
      </rPr>
      <t>($ millions)</t>
    </r>
  </si>
  <si>
    <t>Total capital (SH equity + total debt)</t>
  </si>
  <si>
    <t>Return on equity</t>
  </si>
  <si>
    <t>Shares issued in 1988</t>
  </si>
  <si>
    <t>BRK shares 1989</t>
  </si>
  <si>
    <t>BRK 1989 cost</t>
  </si>
  <si>
    <t>Selected financial data at five year intervals (reproduced from the 1989 Annual Report)</t>
  </si>
  <si>
    <t>($ thousands, except per share amounts)</t>
  </si>
  <si>
    <r>
      <t xml:space="preserve">  Common shares outstanding </t>
    </r>
    <r>
      <rPr>
        <i/>
        <sz val="12"/>
        <color theme="1"/>
        <rFont val="Times New Roman"/>
        <family val="1"/>
      </rPr>
      <t>(thousands)</t>
    </r>
  </si>
  <si>
    <t xml:space="preserve">Appears to be 24.1% initially if using 25 years. However, one must add 0.25 years or 3 months to account for the fact that Berkshire's fiscal year in 1964 ended in September. </t>
  </si>
  <si>
    <t>Reconciliation of shareholders' equity, 1965-1989</t>
  </si>
  <si>
    <t>Sources: Berkshire Hathaway Annual Reports, and author's calculations.</t>
  </si>
  <si>
    <t xml:space="preserve">1965-74 </t>
  </si>
  <si>
    <t xml:space="preserve">1975-84 </t>
  </si>
  <si>
    <t xml:space="preserve">1985-89 </t>
  </si>
  <si>
    <t xml:space="preserve">1965-89 </t>
  </si>
  <si>
    <t>Reconciliation of shareholders' equity, 1965-1994</t>
  </si>
  <si>
    <t xml:space="preserve">1985-94 </t>
  </si>
  <si>
    <t xml:space="preserve">1965-94 </t>
  </si>
  <si>
    <t>Berkshire Hathaway, select parent-level financial information</t>
  </si>
  <si>
    <t>($ thousands, except per share data)</t>
  </si>
  <si>
    <t>Income from investment in Salomon, Inc</t>
  </si>
  <si>
    <r>
      <t>Before realized investment gain and cumulative effect of accounting change</t>
    </r>
    <r>
      <rPr>
        <vertAlign val="superscript"/>
        <sz val="12"/>
        <rFont val="Times New Roman"/>
        <family val="1"/>
      </rPr>
      <t>1</t>
    </r>
  </si>
  <si>
    <r>
      <t>Borrowings under investment agreements and other debt</t>
    </r>
    <r>
      <rPr>
        <vertAlign val="superscript"/>
        <sz val="12"/>
        <rFont val="Times New Roman"/>
        <family val="1"/>
      </rPr>
      <t>2</t>
    </r>
  </si>
  <si>
    <t>Note:</t>
  </si>
  <si>
    <t>Data taken from 1994 (1990-1994) and 1989 (1985-1989) Annual Reports to maintain consistency with the reporting for each five-year period. Slight differences exist for any particular year depending on the report year.</t>
  </si>
  <si>
    <t xml:space="preserve">Note: 1986 total assets in this summary differs from that presented in the financial statements that year. </t>
  </si>
  <si>
    <r>
      <t>Change in Common</t>
    </r>
    <r>
      <rPr>
        <vertAlign val="superscript"/>
        <sz val="12"/>
        <color theme="1"/>
        <rFont val="Times New Roman"/>
        <family val="1"/>
      </rPr>
      <t>1</t>
    </r>
  </si>
  <si>
    <r>
      <t>Change in Paid In Capital</t>
    </r>
    <r>
      <rPr>
        <vertAlign val="superscript"/>
        <sz val="12"/>
        <color theme="1"/>
        <rFont val="Times New Roman"/>
        <family val="1"/>
      </rPr>
      <t>2</t>
    </r>
  </si>
  <si>
    <r>
      <t>Treasury Stock</t>
    </r>
    <r>
      <rPr>
        <vertAlign val="superscript"/>
        <sz val="12"/>
        <color theme="1"/>
        <rFont val="Times New Roman"/>
        <family val="1"/>
      </rPr>
      <t>3</t>
    </r>
  </si>
  <si>
    <t>1.
1992: 2,162 shares issued upon conversion of Zero Coupon Convertible Subordinated Notes.
1993: 3,944 shares issued in conversion of Zero Coupon notes.</t>
  </si>
  <si>
    <t>2.
1992: $24,887 from conversion of Zero Coupon notes.
1993: $45,457 from conversion of Zero Coupon notes; $428,353 in connection with 25,203 shares issued for Dexter Shoe acquisition.</t>
  </si>
  <si>
    <t xml:space="preserve">3. 
1988: Value of Berkshire stock received in connection with termination of pension plans.
1993: Issued from Treasury in connection with Dexter Shoe acquisition.
</t>
  </si>
  <si>
    <t>Berkshire Hathaway consolidated reconciliation of shareholders' equity, 1985-1994</t>
  </si>
  <si>
    <t>Change in equity due to accounting change, marketable</t>
  </si>
  <si>
    <t>Berkshire Hathaway Insurance Group reconciliation of shareholders' equity, 1974-1984</t>
  </si>
  <si>
    <r>
      <t xml:space="preserve">  Fixed maturities</t>
    </r>
    <r>
      <rPr>
        <i/>
        <vertAlign val="superscript"/>
        <sz val="12"/>
        <color theme="1"/>
        <rFont val="Times New Roman"/>
        <family val="1"/>
      </rPr>
      <t>1</t>
    </r>
  </si>
  <si>
    <t>Insurance Group, balance sheets, 1987-1994</t>
  </si>
  <si>
    <t xml:space="preserve"> Investments:</t>
  </si>
  <si>
    <t>…continued from prior page.</t>
  </si>
  <si>
    <t>Continued on next page…</t>
  </si>
  <si>
    <t>Insurance Group, income statements, 1986-1994</t>
  </si>
  <si>
    <t xml:space="preserve">   Guinness, PLC</t>
  </si>
  <si>
    <t>Insurance Group, key ratios and figures, 1986-1994</t>
  </si>
  <si>
    <t>Minority shareholders' equity</t>
  </si>
  <si>
    <r>
      <t>Fixed maturity investments</t>
    </r>
    <r>
      <rPr>
        <vertAlign val="superscript"/>
        <sz val="12"/>
        <rFont val="Times New Roman"/>
        <family val="1"/>
      </rPr>
      <t>1</t>
    </r>
  </si>
  <si>
    <r>
      <t>General and administrative</t>
    </r>
    <r>
      <rPr>
        <vertAlign val="superscript"/>
        <sz val="12"/>
        <color theme="1"/>
        <rFont val="Times New Roman"/>
        <family val="1"/>
      </rPr>
      <t>1</t>
    </r>
  </si>
  <si>
    <t>Realized gain on divestment of preferred</t>
  </si>
  <si>
    <t>Expenses</t>
  </si>
  <si>
    <r>
      <t>Income tax expense (benefit)</t>
    </r>
    <r>
      <rPr>
        <vertAlign val="superscript"/>
        <sz val="12"/>
        <color theme="1"/>
        <rFont val="Times New Roman"/>
        <family val="1"/>
      </rPr>
      <t>1</t>
    </r>
  </si>
  <si>
    <r>
      <t xml:space="preserve">1971: </t>
    </r>
    <r>
      <rPr>
        <sz val="12"/>
        <color rgb="FF000000"/>
        <rFont val="Times New Roman"/>
        <family val="1"/>
      </rPr>
      <t>Berkshire owns 6% of Blue Chip at year end</t>
    </r>
  </si>
  <si>
    <r>
      <t xml:space="preserve">1972: </t>
    </r>
    <r>
      <rPr>
        <sz val="12"/>
        <color rgb="FF000000"/>
        <rFont val="Times New Roman"/>
        <family val="1"/>
      </rPr>
      <t>Berkshire increases its interest to approximately 17%</t>
    </r>
  </si>
  <si>
    <r>
      <t>1973:</t>
    </r>
    <r>
      <rPr>
        <sz val="12"/>
        <color rgb="FF000000"/>
        <rFont val="Times New Roman"/>
        <family val="1"/>
      </rPr>
      <t>Blue Chip first mentioned in Chairman's letter; additional disclosure made in Berkshire's footnotes</t>
    </r>
  </si>
  <si>
    <r>
      <t xml:space="preserve">1974: </t>
    </r>
    <r>
      <rPr>
        <sz val="12"/>
        <color rgb="FF000000"/>
        <rFont val="Times New Roman"/>
        <family val="1"/>
      </rPr>
      <t>Berkshire's interest increased to 25.5%; separate section on Blue Chip added to Chairman's letter</t>
    </r>
  </si>
  <si>
    <r>
      <t xml:space="preserve">1975: </t>
    </r>
    <r>
      <rPr>
        <sz val="12"/>
        <color rgb="FF000000"/>
        <rFont val="Times New Roman"/>
        <family val="1"/>
      </rPr>
      <t>Blue Chip mentioned in opening section of Chairman's letter; interest increased to 31.5%</t>
    </r>
  </si>
  <si>
    <r>
      <t xml:space="preserve">1976: </t>
    </r>
    <r>
      <rPr>
        <sz val="12"/>
        <color rgb="FF000000"/>
        <rFont val="Times New Roman"/>
        <family val="1"/>
      </rPr>
      <t>Ownership interest increased to 33%</t>
    </r>
  </si>
  <si>
    <r>
      <t xml:space="preserve">1977: </t>
    </r>
    <r>
      <rPr>
        <sz val="12"/>
        <color rgb="FF000000"/>
        <rFont val="Times New Roman"/>
        <family val="1"/>
      </rPr>
      <t>Ownership interest increased to 36.5%</t>
    </r>
  </si>
  <si>
    <t>($ and lbs in thousands)</t>
  </si>
  <si>
    <t xml:space="preserve">1965-84 </t>
  </si>
  <si>
    <t xml:space="preserve">Note: The 1965-84 category does not add to 100% due to rounding. </t>
  </si>
  <si>
    <t xml:space="preserve">The data in this table was taken from the summary of segment results section of the Annual Report and differs in some cases with figures listed in earlier reporting periods. </t>
  </si>
  <si>
    <t>Table 6.1.</t>
  </si>
  <si>
    <t>Decade snapshot: 1994-2004</t>
  </si>
  <si>
    <t>Insurance, newspapers, furniture retailing, candy, jewelry, encyclopedias, home cleaning systems, shoes, miscellaneous manufacturing, significant stakes in several public companies</t>
  </si>
  <si>
    <t>Insurance, utilities, flight services, building products, furniture retailing, candy, jewelry, encyclopedias, home cleaning systems, shoes, newspapers, various finance businesses, miscellaneous manufacturing, significant stakes in several public companies</t>
  </si>
  <si>
    <t>Major capital allocation decisions:</t>
  </si>
  <si>
    <t>1. Purchased remaining half of GEICO for $2.3 billion (1996).</t>
  </si>
  <si>
    <t>2. Issued $565 million of Class-B shares (1996).</t>
  </si>
  <si>
    <t>3. Acquired FlightSafety for $1.5 billion in stock (1996).</t>
  </si>
  <si>
    <t>4. Issued $500 million convertible preferred stock (1996).</t>
  </si>
  <si>
    <t>6. Acquired International Dairy Queen with $587.8 million cash/stock (1998).</t>
  </si>
  <si>
    <t>7. Acquired Executive Jet for $700 million in cash/stock (1998).</t>
  </si>
  <si>
    <t>9. Acquired majority economic interest in MidAmerican Energy for $1.24 billion (2000).</t>
  </si>
  <si>
    <t>10. Acquired Justin Industries for $570 million cash (2000).</t>
  </si>
  <si>
    <t>11. Acquired Benjamin Moore for $1 billion (2000).</t>
  </si>
  <si>
    <t>12. Acquired 87% of Shaw Industries for $2 billion (2000).</t>
  </si>
  <si>
    <t>13. Acquired Johns Manville for $1.8 billion (2000).</t>
  </si>
  <si>
    <t>14. Acquired Fruit of the Loom for $835 million cash (2001).</t>
  </si>
  <si>
    <t>15. Invested additional $402 million convertible preferred and $1.27 billion trust preferred in MidAmerican to assist with Northern Natural and Kern River acquisitions.</t>
  </si>
  <si>
    <t>16. Purchased Clayton Homes for $1.7 billion (2003).</t>
  </si>
  <si>
    <t>17. Borrowed $2 billion to re-lend to Clayton (2003).</t>
  </si>
  <si>
    <t>18. Acquired McLane from Walmart for $1.5 billion (2003).</t>
  </si>
  <si>
    <t>19. Borrowed additional $1.6 billion to re-lend to Clayton (2004).</t>
  </si>
  <si>
    <t>Table 6.2.</t>
  </si>
  <si>
    <t>Berkshire Hathaway earnings</t>
  </si>
  <si>
    <r>
      <t xml:space="preserve"> Apparel</t>
    </r>
    <r>
      <rPr>
        <vertAlign val="superscript"/>
        <sz val="12"/>
        <color theme="1"/>
        <rFont val="Times New Roman"/>
        <family val="1"/>
      </rPr>
      <t>2</t>
    </r>
  </si>
  <si>
    <r>
      <t xml:space="preserve"> Building Products</t>
    </r>
    <r>
      <rPr>
        <vertAlign val="superscript"/>
        <sz val="12"/>
        <color theme="1"/>
        <rFont val="Times New Roman"/>
        <family val="1"/>
      </rPr>
      <t>3</t>
    </r>
  </si>
  <si>
    <r>
      <t xml:space="preserve"> Flight Services</t>
    </r>
    <r>
      <rPr>
        <vertAlign val="superscript"/>
        <sz val="12"/>
        <color theme="1"/>
        <rFont val="Times New Roman"/>
        <family val="1"/>
      </rPr>
      <t>4</t>
    </r>
  </si>
  <si>
    <r>
      <t xml:space="preserve"> MidAmerican Energy</t>
    </r>
    <r>
      <rPr>
        <vertAlign val="superscript"/>
        <sz val="12"/>
        <color theme="1"/>
        <rFont val="Times New Roman"/>
        <family val="1"/>
      </rPr>
      <t>5</t>
    </r>
  </si>
  <si>
    <r>
      <t xml:space="preserve"> Home Furnishings</t>
    </r>
    <r>
      <rPr>
        <vertAlign val="superscript"/>
        <sz val="12"/>
        <color theme="1"/>
        <rFont val="Times New Roman"/>
        <family val="1"/>
      </rPr>
      <t>6</t>
    </r>
  </si>
  <si>
    <r>
      <t xml:space="preserve"> Jewelry</t>
    </r>
    <r>
      <rPr>
        <vertAlign val="superscript"/>
        <sz val="12"/>
        <color theme="1"/>
        <rFont val="Times New Roman"/>
        <family val="1"/>
      </rPr>
      <t>7</t>
    </r>
  </si>
  <si>
    <r>
      <t xml:space="preserve"> Shaw Industries</t>
    </r>
    <r>
      <rPr>
        <vertAlign val="superscript"/>
        <sz val="12"/>
        <color theme="1"/>
        <rFont val="Times New Roman"/>
        <family val="1"/>
      </rPr>
      <t>9</t>
    </r>
  </si>
  <si>
    <r>
      <t xml:space="preserve"> Interest expense</t>
    </r>
    <r>
      <rPr>
        <vertAlign val="superscript"/>
        <sz val="12"/>
        <color theme="1"/>
        <rFont val="Times New Roman"/>
        <family val="1"/>
      </rPr>
      <t>13</t>
    </r>
  </si>
  <si>
    <r>
      <t xml:space="preserve"> Other</t>
    </r>
    <r>
      <rPr>
        <vertAlign val="superscript"/>
        <sz val="12"/>
        <color theme="1"/>
        <rFont val="Times New Roman"/>
        <family val="1"/>
      </rPr>
      <t>15</t>
    </r>
  </si>
  <si>
    <r>
      <t>Income tax and minority interest</t>
    </r>
    <r>
      <rPr>
        <vertAlign val="superscript"/>
        <sz val="12"/>
        <color theme="1"/>
        <rFont val="Times New Roman"/>
        <family val="1"/>
      </rPr>
      <t>16</t>
    </r>
  </si>
  <si>
    <r>
      <t xml:space="preserve">  Underwriting - Reinsurance</t>
    </r>
    <r>
      <rPr>
        <vertAlign val="superscript"/>
        <sz val="12"/>
        <color theme="1"/>
        <rFont val="Times New Roman"/>
        <family val="1"/>
      </rPr>
      <t>1</t>
    </r>
  </si>
  <si>
    <t xml:space="preserve"> Total Underwriting</t>
  </si>
  <si>
    <t xml:space="preserve"> Net Investment Income</t>
  </si>
  <si>
    <t>In Other</t>
  </si>
  <si>
    <t>Consolidated into Other Businesses</t>
  </si>
  <si>
    <t xml:space="preserve"> Other Businesses - original presentation</t>
  </si>
  <si>
    <r>
      <t xml:space="preserve"> Purchase-price premium charges</t>
    </r>
    <r>
      <rPr>
        <vertAlign val="superscript"/>
        <sz val="12"/>
        <color theme="1"/>
        <rFont val="Times New Roman"/>
        <family val="1"/>
      </rPr>
      <t>12</t>
    </r>
  </si>
  <si>
    <r>
      <t xml:space="preserve"> Shareholder-designated contributions</t>
    </r>
    <r>
      <rPr>
        <vertAlign val="superscript"/>
        <sz val="12"/>
        <color theme="1"/>
        <rFont val="Times New Roman"/>
        <family val="1"/>
      </rPr>
      <t>14</t>
    </r>
  </si>
  <si>
    <r>
      <t xml:space="preserve"> Retail Operations</t>
    </r>
    <r>
      <rPr>
        <vertAlign val="superscript"/>
        <sz val="12"/>
        <color theme="1"/>
        <rFont val="Times New Roman"/>
        <family val="1"/>
      </rPr>
      <t>8</t>
    </r>
  </si>
  <si>
    <r>
      <t xml:space="preserve"> Scott Fetzer (excluding finance operation)</t>
    </r>
    <r>
      <rPr>
        <vertAlign val="superscript"/>
        <sz val="12"/>
        <color theme="1"/>
        <rFont val="Times New Roman"/>
        <family val="1"/>
      </rPr>
      <t>10</t>
    </r>
  </si>
  <si>
    <r>
      <t xml:space="preserve"> Other Businesses</t>
    </r>
    <r>
      <rPr>
        <vertAlign val="superscript"/>
        <sz val="12"/>
        <color theme="1"/>
        <rFont val="Times New Roman"/>
        <family val="1"/>
      </rPr>
      <t>11</t>
    </r>
  </si>
  <si>
    <t>Table 6.x.</t>
  </si>
  <si>
    <r>
      <t>Premiums earned</t>
    </r>
    <r>
      <rPr>
        <vertAlign val="superscript"/>
        <sz val="12"/>
        <color theme="1"/>
        <rFont val="Times New Roman"/>
        <family val="1"/>
      </rPr>
      <t>1</t>
    </r>
  </si>
  <si>
    <r>
      <t>Aggregate adverse (favorable) loss development</t>
    </r>
    <r>
      <rPr>
        <vertAlign val="superscript"/>
        <sz val="12"/>
        <color theme="1"/>
        <rFont val="Times New Roman"/>
        <family val="1"/>
      </rPr>
      <t>2</t>
    </r>
  </si>
  <si>
    <t>GEICO Corporation</t>
  </si>
  <si>
    <t>Note: GAAP combined ratio shown in %.</t>
  </si>
  <si>
    <t>Total Gen Re underwriting gain (loss) - pre-tax</t>
  </si>
  <si>
    <t>Total BHRG underwriting gain (loss) - pre-tax</t>
  </si>
  <si>
    <t>BHRG - Combined</t>
  </si>
  <si>
    <t xml:space="preserve">Notes: </t>
  </si>
  <si>
    <t>2. 1995: There is an inconsistency in the financial statements with respect to consolidated pre-tax underwriting income. The financial statements report the same $19.6 million consolidated pre-tax gain; however, Buffett's table reports a figure of $20.5 million. It is possible this is due to Buffett having removed Structured Settlement losses.</t>
  </si>
  <si>
    <t xml:space="preserve">4. In 1996 Berkshire stopped reporting loss development in each business line. </t>
  </si>
  <si>
    <t>Cost of float</t>
  </si>
  <si>
    <t>Year end average float - total</t>
  </si>
  <si>
    <r>
      <t>Aggregate adverse (favorable) loss development</t>
    </r>
    <r>
      <rPr>
        <vertAlign val="superscript"/>
        <sz val="12"/>
        <color theme="1"/>
        <rFont val="Times New Roman"/>
        <family val="1"/>
      </rPr>
      <t>3</t>
    </r>
  </si>
  <si>
    <t xml:space="preserve">2. 1998: Total does not include General Re (only owned for 10 days). </t>
  </si>
  <si>
    <t>3. Per the notes to the financial statements. Percentage is the ratio of loss development to earned premiums.</t>
  </si>
  <si>
    <r>
      <t>Total underwriting gain/(loss)</t>
    </r>
    <r>
      <rPr>
        <vertAlign val="superscript"/>
        <sz val="12"/>
        <color theme="1"/>
        <rFont val="Times New Roman"/>
        <family val="1"/>
      </rPr>
      <t>2</t>
    </r>
  </si>
  <si>
    <r>
      <t>10x pre-tax non-insurance earnings (assume b/e insurance)</t>
    </r>
    <r>
      <rPr>
        <vertAlign val="superscript"/>
        <sz val="12"/>
        <color theme="1"/>
        <rFont val="Times New Roman"/>
        <family val="1"/>
      </rPr>
      <t>2</t>
    </r>
  </si>
  <si>
    <t>Year-end book value per share</t>
  </si>
  <si>
    <t>Per share:</t>
  </si>
  <si>
    <t>Estimated value (investments + 10x operating earnings)</t>
  </si>
  <si>
    <t>Price/estimated value</t>
  </si>
  <si>
    <t>Price/book</t>
  </si>
  <si>
    <t>Value/book</t>
  </si>
  <si>
    <t>Sources: Berkshire Hathaway Annual Reports, 1995, 1995, and author's calculations.</t>
  </si>
  <si>
    <t>Berkshire Hathaway intrinsic value estimation</t>
  </si>
  <si>
    <t>FlightSafety International acquisition analysis</t>
  </si>
  <si>
    <t>Less: investment</t>
  </si>
  <si>
    <t>Total capital employed</t>
  </si>
  <si>
    <t>Average capital employed</t>
  </si>
  <si>
    <t>Revenues/avg. capital</t>
  </si>
  <si>
    <r>
      <t>Revenues</t>
    </r>
    <r>
      <rPr>
        <i/>
        <sz val="12"/>
        <color theme="1"/>
        <rFont val="Times New Roman"/>
        <family val="1"/>
      </rPr>
      <t xml:space="preserve"> ($ millions)</t>
    </r>
  </si>
  <si>
    <t>Purchase multiple</t>
  </si>
  <si>
    <t>BRK going-in pre-tax return</t>
  </si>
  <si>
    <t>Less: excess investments</t>
  </si>
  <si>
    <t>Effective purchase price</t>
  </si>
  <si>
    <t>International Dairy Queen acquisition analysis</t>
  </si>
  <si>
    <t>Shares issued</t>
  </si>
  <si>
    <t>General Re acquisition analysis, 1998</t>
  </si>
  <si>
    <r>
      <t xml:space="preserve">Acquisition price </t>
    </r>
    <r>
      <rPr>
        <i/>
        <sz val="12"/>
        <color theme="1"/>
        <rFont val="Times New Roman"/>
        <family val="1"/>
      </rPr>
      <t>($ millions)</t>
    </r>
  </si>
  <si>
    <t>Implied BRK.A share price</t>
  </si>
  <si>
    <r>
      <t>BRK.A estimated intrinsic value 12/31/98</t>
    </r>
    <r>
      <rPr>
        <vertAlign val="superscript"/>
        <sz val="12"/>
        <color theme="1"/>
        <rFont val="Times New Roman"/>
        <family val="1"/>
      </rPr>
      <t>1</t>
    </r>
  </si>
  <si>
    <r>
      <t xml:space="preserve">General Re float </t>
    </r>
    <r>
      <rPr>
        <i/>
        <sz val="12"/>
        <color theme="1"/>
        <rFont val="Times New Roman"/>
        <family val="1"/>
      </rPr>
      <t>($ millions)</t>
    </r>
  </si>
  <si>
    <t>Implied price/intrinsic value per share</t>
  </si>
  <si>
    <r>
      <t xml:space="preserve">Adjusted acquisition price </t>
    </r>
    <r>
      <rPr>
        <i/>
        <sz val="12"/>
        <color theme="1"/>
        <rFont val="Times New Roman"/>
        <family val="1"/>
      </rPr>
      <t>($ millions)</t>
    </r>
    <r>
      <rPr>
        <vertAlign val="superscript"/>
        <sz val="12"/>
        <color theme="1"/>
        <rFont val="Times New Roman"/>
        <family val="1"/>
      </rPr>
      <t>2</t>
    </r>
  </si>
  <si>
    <t>2. Adjusted for the implied price/intrinsic value multiple.</t>
  </si>
  <si>
    <t>Pre-tax return on average total capital</t>
  </si>
  <si>
    <t>MidAmerican Energy - acquisition analysis</t>
  </si>
  <si>
    <t>BRK going-in pre-tax return on capital</t>
  </si>
  <si>
    <t>1. Berkshire paid $1.24 billion for 76% of MidAmerican.</t>
  </si>
  <si>
    <r>
      <t>BRK equity acquisition price (100% basis)</t>
    </r>
    <r>
      <rPr>
        <vertAlign val="superscript"/>
        <sz val="12"/>
        <color theme="1"/>
        <rFont val="Times New Roman"/>
        <family val="1"/>
      </rPr>
      <t>1</t>
    </r>
  </si>
  <si>
    <r>
      <t>BRK implied total purchase price</t>
    </r>
    <r>
      <rPr>
        <vertAlign val="superscript"/>
        <sz val="12"/>
        <color theme="1"/>
        <rFont val="Times New Roman"/>
        <family val="1"/>
      </rPr>
      <t>2</t>
    </r>
  </si>
  <si>
    <t xml:space="preserve">2. This figure takes the existing debt and adds to it the price paid for the equity (100% basis). </t>
  </si>
  <si>
    <r>
      <t>BRK going-in purchase multiple</t>
    </r>
    <r>
      <rPr>
        <vertAlign val="superscript"/>
        <sz val="12"/>
        <color theme="1"/>
        <rFont val="Times New Roman"/>
        <family val="1"/>
      </rPr>
      <t>3</t>
    </r>
  </si>
  <si>
    <t>3. BRK implied total purchase price / total capital.</t>
  </si>
  <si>
    <t>CORT Business Services - acquisition analysis</t>
  </si>
  <si>
    <t>Justin Industries - acquisition analysis</t>
  </si>
  <si>
    <t>Purchase price (equity)</t>
  </si>
  <si>
    <t>Assumed debt</t>
  </si>
  <si>
    <r>
      <t>Purchase price</t>
    </r>
    <r>
      <rPr>
        <vertAlign val="superscript"/>
        <sz val="12"/>
        <color theme="1"/>
        <rFont val="Times New Roman"/>
        <family val="1"/>
      </rPr>
      <t>1</t>
    </r>
  </si>
  <si>
    <t>Shaw Industries - acquisition analysis</t>
  </si>
  <si>
    <r>
      <t>Total invested capital</t>
    </r>
    <r>
      <rPr>
        <vertAlign val="superscript"/>
        <sz val="12"/>
        <color theme="1"/>
        <rFont val="Times New Roman"/>
        <family val="1"/>
      </rPr>
      <t>1</t>
    </r>
  </si>
  <si>
    <t>Less: goodwill</t>
  </si>
  <si>
    <r>
      <t>Pre-tax margin</t>
    </r>
    <r>
      <rPr>
        <vertAlign val="superscript"/>
        <sz val="12"/>
        <color theme="1"/>
        <rFont val="Times New Roman"/>
        <family val="1"/>
      </rPr>
      <t>1</t>
    </r>
  </si>
  <si>
    <r>
      <t>Revenues/avg. capital</t>
    </r>
    <r>
      <rPr>
        <vertAlign val="superscript"/>
        <sz val="12"/>
        <color theme="1"/>
        <rFont val="Times New Roman"/>
        <family val="1"/>
      </rPr>
      <t>1</t>
    </r>
  </si>
  <si>
    <t>NOTE: GOODWILL WAS RELATIVELY INSIGNIFICANT</t>
  </si>
  <si>
    <t>Goodwill amortization</t>
  </si>
  <si>
    <t>2. Operating income adjusted to remove the effects of non-recurring items and equity in income from joint venture.</t>
  </si>
  <si>
    <t>1. Adjustments were made to account for acquired Goodwill and its related amortization.</t>
  </si>
  <si>
    <t>Johns Manville - acquisition analysis</t>
  </si>
  <si>
    <t>See note 15, p. 45 on 1999ar</t>
  </si>
  <si>
    <t>Operating income - pre-tax</t>
  </si>
  <si>
    <t>XTRA Corporation - acquisition analysis</t>
  </si>
  <si>
    <t>Sources: Berkshire Hathaway Annual Report, 2001, XTRA Corporation Annual Reports, 1998-2000, and author's calculations.</t>
  </si>
  <si>
    <t>Fruit of the Loom - acquisition analysis</t>
  </si>
  <si>
    <t>SG&amp;A / revenues</t>
  </si>
  <si>
    <t>1. Adjustments were made for amortization of Goodwill of $25 million in each year.</t>
  </si>
  <si>
    <t>Berkshire Hathaway property and casualty loss development</t>
  </si>
  <si>
    <t>Liability re-estimated:</t>
  </si>
  <si>
    <t>1 year later</t>
  </si>
  <si>
    <t>2 years later</t>
  </si>
  <si>
    <t>3 years later</t>
  </si>
  <si>
    <t>4 years later</t>
  </si>
  <si>
    <t>5 years later</t>
  </si>
  <si>
    <t>Cumulative deficiency (redundancy)</t>
  </si>
  <si>
    <t>Cumulative foreign exchange effect</t>
  </si>
  <si>
    <t>Net deficiency (redundancy)</t>
  </si>
  <si>
    <t>Cumulative payments:</t>
  </si>
  <si>
    <t>Deficiency from deferred charge amortization and discount accretion</t>
  </si>
  <si>
    <t>From 1996ar</t>
  </si>
  <si>
    <t>Clayton Homes - acquisition analysis</t>
  </si>
  <si>
    <t>Pre-tax net income</t>
  </si>
  <si>
    <t>Pre-tax net margin</t>
  </si>
  <si>
    <t xml:space="preserve">Shareholders' equity </t>
  </si>
  <si>
    <t>Average capital</t>
  </si>
  <si>
    <t>Total assets / equity</t>
  </si>
  <si>
    <t>McLane - acquisition analysis</t>
  </si>
  <si>
    <t>Berkshire's purchase price</t>
  </si>
  <si>
    <t>6 years later</t>
  </si>
  <si>
    <t>7 years later</t>
  </si>
  <si>
    <t>8 years later</t>
  </si>
  <si>
    <t>9 years later</t>
  </si>
  <si>
    <t>10 years later</t>
  </si>
  <si>
    <t>Source: Berkshire Hathaway 10K filing, 2004.</t>
  </si>
  <si>
    <r>
      <t>Net unpaid losses net of discounts/deferred charges end of year</t>
    </r>
    <r>
      <rPr>
        <vertAlign val="superscript"/>
        <sz val="12"/>
        <color theme="1"/>
        <rFont val="Times New Roman"/>
        <family val="1"/>
      </rPr>
      <t>1</t>
    </r>
  </si>
  <si>
    <t>1. The full loss development table in the 10K report starts with gross unpaid losses and includes such items as reserve discounts, ceded reserves, and deferred charges. I've chosen to begin the table here due to space limitations.</t>
  </si>
  <si>
    <t>Net deficiency (redundancy) above</t>
  </si>
  <si>
    <t>(Redundancy) deficiency before deferred charge amortization and discount accretion</t>
  </si>
  <si>
    <t>Reconciliation of shareholders' equity, 1965-2004</t>
  </si>
  <si>
    <t xml:space="preserve">1995-04 </t>
  </si>
  <si>
    <t xml:space="preserve">1965-04 </t>
  </si>
  <si>
    <t>Berkshire Hathaway - equity portfolio, select detail</t>
  </si>
  <si>
    <r>
      <t xml:space="preserve">Investment gains </t>
    </r>
    <r>
      <rPr>
        <vertAlign val="superscript"/>
        <sz val="12"/>
        <rFont val="Times New Roman"/>
        <family val="1"/>
      </rPr>
      <t>1, 4, 5</t>
    </r>
  </si>
  <si>
    <r>
      <t>Net earnings</t>
    </r>
    <r>
      <rPr>
        <vertAlign val="superscript"/>
        <sz val="12"/>
        <rFont val="Times New Roman"/>
        <family val="1"/>
      </rPr>
      <t xml:space="preserve"> 1, 2, 3</t>
    </r>
  </si>
  <si>
    <r>
      <t xml:space="preserve">Net earnings per share </t>
    </r>
    <r>
      <rPr>
        <vertAlign val="superscript"/>
        <sz val="12"/>
        <rFont val="Times New Roman"/>
        <family val="1"/>
      </rPr>
      <t>2, 3</t>
    </r>
  </si>
  <si>
    <r>
      <t>Year-end data</t>
    </r>
    <r>
      <rPr>
        <b/>
        <vertAlign val="superscript"/>
        <sz val="12"/>
        <rFont val="Times New Roman"/>
        <family val="1"/>
      </rPr>
      <t>6</t>
    </r>
    <r>
      <rPr>
        <b/>
        <sz val="12"/>
        <rFont val="Times New Roman"/>
        <family val="1"/>
      </rPr>
      <t>:</t>
    </r>
  </si>
  <si>
    <r>
      <t>Common shares outstanding, in thousands</t>
    </r>
    <r>
      <rPr>
        <vertAlign val="superscript"/>
        <sz val="12"/>
        <rFont val="Times New Roman"/>
        <family val="1"/>
      </rPr>
      <t>7</t>
    </r>
    <r>
      <rPr>
        <sz val="12"/>
        <rFont val="Times New Roman"/>
        <family val="1"/>
      </rPr>
      <t xml:space="preserve"> </t>
    </r>
  </si>
  <si>
    <t>Note: Data was taken from the 2004 (2000-2004) and 1999 (1995-1999) Annual Reports to maintain consistency with the reporting for each five-year period. Slight differences exist for any particular year depending on the report year.</t>
  </si>
  <si>
    <t>Berkshire Hathaway - select parent-level financial information</t>
  </si>
  <si>
    <r>
      <t>Prior year equity</t>
    </r>
    <r>
      <rPr>
        <vertAlign val="superscript"/>
        <sz val="12"/>
        <color theme="1"/>
        <rFont val="Times New Roman"/>
        <family val="1"/>
      </rPr>
      <t>1</t>
    </r>
  </si>
  <si>
    <t>Change in common - issue 517,500 "B" shares</t>
  </si>
  <si>
    <r>
      <t>Treasury stock</t>
    </r>
    <r>
      <rPr>
        <vertAlign val="superscript"/>
        <sz val="12"/>
        <color theme="1"/>
        <rFont val="Times New Roman"/>
        <family val="1"/>
      </rPr>
      <t>2</t>
    </r>
  </si>
  <si>
    <t>1. The beginning 1994 (ending 1993) shareholders' equity is $288.3 million lower due to the restatement of the financials associated with the 1996 GEICO merger.</t>
  </si>
  <si>
    <t>Sources: Berkshire Hathaway Annual Reports, 1996-2004, and author's calculations.</t>
  </si>
  <si>
    <t>Reconciliation of shareholders' equity</t>
  </si>
  <si>
    <t>Berkshire Hathaway Insurance Group balance sheets, 1994-2000</t>
  </si>
  <si>
    <r>
      <t xml:space="preserve">  Fixed maturities at market</t>
    </r>
    <r>
      <rPr>
        <vertAlign val="superscript"/>
        <sz val="12"/>
        <color theme="1"/>
        <rFont val="Times New Roman"/>
        <family val="1"/>
      </rPr>
      <t>1</t>
    </r>
  </si>
  <si>
    <r>
      <t xml:space="preserve">   GEICO</t>
    </r>
    <r>
      <rPr>
        <vertAlign val="superscript"/>
        <sz val="12"/>
        <color theme="1"/>
        <rFont val="Times New Roman"/>
        <family val="1"/>
      </rPr>
      <t>2</t>
    </r>
  </si>
  <si>
    <t>1. Berkshire discontinued this presentation after 2000.</t>
  </si>
  <si>
    <t>Sources: Berkshire Hathaway Annual Reports, 1994-2000.</t>
  </si>
  <si>
    <t>Berkshire Hathaway Insurance Group income statements, 1994-2000</t>
  </si>
  <si>
    <t>Underwriting gain (loss) pre-tax</t>
  </si>
  <si>
    <t>Berkshire Hathaway Insurance Group key ratios and figures, 1994-2000</t>
  </si>
  <si>
    <t>Combined ratio (statutory)</t>
  </si>
  <si>
    <t>GAAP combined ratio</t>
  </si>
  <si>
    <t>Berkshire Hathaway - insurance underwriting overview</t>
  </si>
  <si>
    <t>Berkshire Hathaway - insurance underwriting detail</t>
  </si>
  <si>
    <t>Berkshire Hathaway Insurance Group float, select data and information</t>
  </si>
  <si>
    <r>
      <rPr>
        <sz val="12"/>
        <color theme="1"/>
        <rFont val="Times New Roman"/>
        <family val="1"/>
      </rPr>
      <t>General</t>
    </r>
    <r>
      <rPr>
        <u/>
        <sz val="12"/>
        <color theme="1"/>
        <rFont val="Times New Roman"/>
        <family val="1"/>
      </rPr>
      <t xml:space="preserve">
Reins.</t>
    </r>
  </si>
  <si>
    <r>
      <rPr>
        <sz val="12"/>
        <color theme="1"/>
        <rFont val="Times New Roman"/>
        <family val="1"/>
      </rPr>
      <t xml:space="preserve">Other </t>
    </r>
    <r>
      <rPr>
        <u/>
        <sz val="12"/>
        <color theme="1"/>
        <rFont val="Times New Roman"/>
        <family val="1"/>
      </rPr>
      <t>Reins.</t>
    </r>
  </si>
  <si>
    <r>
      <rPr>
        <sz val="12"/>
        <color theme="1"/>
        <rFont val="Times New Roman"/>
        <family val="1"/>
      </rPr>
      <t xml:space="preserve">Other </t>
    </r>
    <r>
      <rPr>
        <u/>
        <sz val="12"/>
        <color theme="1"/>
        <rFont val="Times New Roman"/>
        <family val="1"/>
      </rPr>
      <t>Primary</t>
    </r>
  </si>
  <si>
    <r>
      <t xml:space="preserve">Avg.
</t>
    </r>
    <r>
      <rPr>
        <u/>
        <sz val="12"/>
        <color theme="1"/>
        <rFont val="Times New Roman"/>
        <family val="1"/>
      </rPr>
      <t>Float</t>
    </r>
  </si>
  <si>
    <r>
      <t xml:space="preserve">Float </t>
    </r>
    <r>
      <rPr>
        <u/>
        <sz val="12"/>
        <color theme="1"/>
        <rFont val="Times New Roman"/>
        <family val="1"/>
      </rPr>
      <t>Cost</t>
    </r>
  </si>
  <si>
    <r>
      <rPr>
        <sz val="12"/>
        <color theme="1"/>
        <rFont val="Times New Roman"/>
        <family val="1"/>
      </rPr>
      <t>Other</t>
    </r>
    <r>
      <rPr>
        <u/>
        <sz val="12"/>
        <color theme="1"/>
        <rFont val="Times New Roman"/>
        <family val="1"/>
      </rPr>
      <t xml:space="preserve"> Reins.</t>
    </r>
  </si>
  <si>
    <r>
      <rPr>
        <sz val="12"/>
        <color theme="1"/>
        <rFont val="Times New Roman"/>
        <family val="1"/>
      </rPr>
      <t>Other</t>
    </r>
    <r>
      <rPr>
        <u/>
        <sz val="12"/>
        <color theme="1"/>
        <rFont val="Times New Roman"/>
        <family val="1"/>
      </rPr>
      <t xml:space="preserve"> Primary</t>
    </r>
  </si>
  <si>
    <t xml:space="preserve">n/a  </t>
  </si>
  <si>
    <r>
      <t>Interest income</t>
    </r>
    <r>
      <rPr>
        <vertAlign val="superscript"/>
        <sz val="12"/>
        <color theme="1"/>
        <rFont val="Times New Roman"/>
        <family val="1"/>
      </rPr>
      <t>1</t>
    </r>
  </si>
  <si>
    <t>Manufacturing, Publishing, and Retailing businesses - balance sheets, 1994-2000</t>
  </si>
  <si>
    <t>2. Includes: Dexter as of Nov. 7, 1993; Helzberg's Diamond Shops as of Apr. 30, 1995; R.C. Willey Home Furnishings as of Jun. 29, 1995; FlightSafety as of Dec. 23, 1996; Star Furniture as of Jul. 1, 1997; International Dairy Queen as of Jan. 7, 1998; Executive Jet as of Aug. 7, 1998; Jordan's Furniture as of Nov. 13, 1999; CORT Business Services as of Feb. 18, 2000; MidAmerican Energy as of Mar. 14, 2000; Ben Bridge Jeweler as of Jul. 3, 2000; Acme Building Brands and Justin Brands as of Aug. 1, 2000; Benjamin Moore as of Dec. 18, 2000.</t>
  </si>
  <si>
    <t>Manufacturing, Publishing, and Retailing businesses - income statements, 1994-2000</t>
  </si>
  <si>
    <t>Manufacturing, Publishing, and Retailing businesses - ratios and key figures, 1994-2000</t>
  </si>
  <si>
    <r>
      <t>McLane</t>
    </r>
    <r>
      <rPr>
        <vertAlign val="superscript"/>
        <sz val="12"/>
        <color theme="1"/>
        <rFont val="Times New Roman"/>
        <family val="1"/>
      </rPr>
      <t>1</t>
    </r>
  </si>
  <si>
    <t>Manufacturing, Service and Retailing Operations - balance sheets</t>
  </si>
  <si>
    <t xml:space="preserve">Sources: Berkshire Hathaway Annual Reports, 2003, 2004. </t>
  </si>
  <si>
    <t xml:space="preserve">1. Includes McLane starting May 23, 2003. </t>
  </si>
  <si>
    <t>Manufacturing, Service and Retailing Operations - ratios and key figures</t>
  </si>
  <si>
    <t>Notes payable/equity</t>
  </si>
  <si>
    <t>Total assets/total equity</t>
  </si>
  <si>
    <t>Finance Businesses - balance sheets, 1994-2000</t>
  </si>
  <si>
    <t>Finance Businesses - income statements, 1994-2000</t>
  </si>
  <si>
    <t>Non-operating activities - balance sheets, 1994-2000</t>
  </si>
  <si>
    <t>Non-operating activities - income statements, 1994-2000</t>
  </si>
  <si>
    <t>Earnings before interest and taxes</t>
  </si>
  <si>
    <t>Berkshire Hathaway, select financial information</t>
  </si>
  <si>
    <t>Property, plant, and equipment, net:</t>
  </si>
  <si>
    <t>Textiles</t>
  </si>
  <si>
    <t>Manufacturing</t>
  </si>
  <si>
    <t>1. Berkshire enters the super catastrophe (super-cat) business in a big way (1990).</t>
  </si>
  <si>
    <t>3. Malcolm G. Chace, Jr. retires from Berkshire Board, replaced by son, Malcolm "Kim" Chace III.</t>
  </si>
  <si>
    <t>Berkshire Hathaway Earnings</t>
  </si>
  <si>
    <r>
      <t xml:space="preserve"> Fechheimer</t>
    </r>
    <r>
      <rPr>
        <vertAlign val="superscript"/>
        <sz val="12"/>
        <color theme="1"/>
        <rFont val="Times New Roman"/>
        <family val="1"/>
      </rPr>
      <t>1</t>
    </r>
  </si>
  <si>
    <r>
      <t xml:space="preserve"> Shoe Group</t>
    </r>
    <r>
      <rPr>
        <vertAlign val="superscript"/>
        <sz val="12"/>
        <color theme="1"/>
        <rFont val="Times New Roman"/>
        <family val="1"/>
      </rPr>
      <t>2</t>
    </r>
  </si>
  <si>
    <t xml:space="preserve"> Wesco - other than insurance3</t>
  </si>
  <si>
    <r>
      <t xml:space="preserve"> Interest expense</t>
    </r>
    <r>
      <rPr>
        <vertAlign val="superscript"/>
        <sz val="12"/>
        <color theme="1"/>
        <rFont val="Times New Roman"/>
        <family val="1"/>
      </rPr>
      <t>4</t>
    </r>
  </si>
  <si>
    <r>
      <t xml:space="preserve"> Other</t>
    </r>
    <r>
      <rPr>
        <vertAlign val="superscript"/>
        <sz val="12"/>
        <color theme="1"/>
        <rFont val="Times New Roman"/>
        <family val="1"/>
      </rPr>
      <t>5</t>
    </r>
  </si>
  <si>
    <r>
      <t>Income tax and minority interest</t>
    </r>
    <r>
      <rPr>
        <vertAlign val="superscript"/>
        <sz val="12"/>
        <color theme="1"/>
        <rFont val="Times New Roman"/>
        <family val="1"/>
      </rPr>
      <t>6</t>
    </r>
  </si>
  <si>
    <t>1. Fechheimer was acquired on June 3, 1986.</t>
  </si>
  <si>
    <t>2. H.H. Brown acquired July 1, 1991; includes Lowell and Dexter beginning in 1993. Dexter acquired on November 7, 1993.</t>
  </si>
  <si>
    <t>4. Excludes interest expense of Scott Fetzer Financial Group; includes prepayment penalties.</t>
  </si>
  <si>
    <t>5. Other includes Associated Retail, Textiles, and Blue Chip Stamps-Parent.</t>
  </si>
  <si>
    <t>6. Imputed from the difference between the reported pre-tax and after-tax earnings figures.</t>
  </si>
  <si>
    <r>
      <t xml:space="preserve">Special </t>
    </r>
    <r>
      <rPr>
        <i/>
        <sz val="12"/>
        <color theme="1"/>
        <rFont val="Times New Roman"/>
        <family val="1"/>
      </rPr>
      <t>Washington Post</t>
    </r>
    <r>
      <rPr>
        <sz val="12"/>
        <color theme="1"/>
        <rFont val="Times New Roman"/>
        <family val="1"/>
      </rPr>
      <t xml:space="preserve"> distribution</t>
    </r>
  </si>
  <si>
    <t>3. Includes Wesco-Parent, Mutual Savings and Loan, and Precision Steel.</t>
  </si>
  <si>
    <t>1. Average capital used for 1979-1984. Capital adjusted for cash and investments in excess of 5% of revenues.</t>
  </si>
  <si>
    <t>Increase</t>
  </si>
  <si>
    <t>Note: Figures may not add due to rounding.</t>
  </si>
  <si>
    <t>Insurance Group overall statutory combined ratio</t>
  </si>
  <si>
    <t xml:space="preserve">1. Totals may not add due to rounding. </t>
  </si>
  <si>
    <t xml:space="preserve">2. The loss and expense ratios are shown as they were reported in the Annual Reports, which is on a GAAP basis. The GAAP basis ratios are calculated with underwriting expenses divided by earned premiums. This contrasts to the statutory basis calculation, where the ratio uses written premiums. In both the GAAP and statutory calculations, losses and loss adjustment expenses are divided by earned premiums. </t>
  </si>
  <si>
    <t>NOTE GROUPING IN  A36 for 1989- and line needed above total insurance UW</t>
  </si>
  <si>
    <t>Table 7.x.</t>
  </si>
  <si>
    <r>
      <t xml:space="preserve"> Life and annuity</t>
    </r>
    <r>
      <rPr>
        <vertAlign val="superscript"/>
        <sz val="12"/>
        <color theme="1"/>
        <rFont val="Times New Roman"/>
        <family val="1"/>
      </rPr>
      <t>1</t>
    </r>
  </si>
  <si>
    <r>
      <t>Premiums earned</t>
    </r>
    <r>
      <rPr>
        <vertAlign val="superscript"/>
        <sz val="12"/>
        <color theme="1"/>
        <rFont val="Times New Roman"/>
        <family val="1"/>
      </rPr>
      <t>2</t>
    </r>
  </si>
  <si>
    <t xml:space="preserve">1. 2008, 2009: The Swiss Re Life &amp; Health America, Inc. deal in 2010 resulted in 2009 and 2008 being presented on a look back basis. The 2010 statements include losses of $97 million and $102 million for 2009 and 2008, respectively, for the life an annuity business. Data presented for 2009 and 2008 are the figures as originally presented. </t>
  </si>
  <si>
    <t>Note: Primary Group: Data on written premiums, losses and loss expenses, and underwriting expenses were not disclosed.</t>
  </si>
  <si>
    <r>
      <t xml:space="preserve">Underwriting gain (loss) pre-tax </t>
    </r>
    <r>
      <rPr>
        <i/>
        <sz val="12"/>
        <color theme="1"/>
        <rFont val="Times New Roman"/>
        <family val="1"/>
      </rPr>
      <t>(combined ratio %)</t>
    </r>
    <r>
      <rPr>
        <sz val="12"/>
        <color theme="1"/>
        <rFont val="Times New Roman"/>
        <family val="1"/>
      </rPr>
      <t>:</t>
    </r>
  </si>
  <si>
    <t>Total underwriting gain/(loss) pre-tax</t>
  </si>
  <si>
    <t>Average float</t>
  </si>
  <si>
    <t>CHECK Insurance premiums earned, consolidated, from earnings statement</t>
  </si>
  <si>
    <t>Loss development % premiums earned</t>
  </si>
  <si>
    <t>Sources: Berkshire Hathaway Annual Reports, 2004-2014, and author's calculations.</t>
  </si>
  <si>
    <t>Total premiums earned</t>
  </si>
  <si>
    <t>Total underwriting gain/(loss) - pre-tax</t>
  </si>
  <si>
    <t>Marmon Group - select data</t>
  </si>
  <si>
    <r>
      <t>Operating income</t>
    </r>
    <r>
      <rPr>
        <vertAlign val="superscript"/>
        <sz val="12"/>
        <color theme="1"/>
        <rFont val="Times New Roman"/>
        <family val="1"/>
      </rPr>
      <t>1</t>
    </r>
  </si>
  <si>
    <t>Marmon Holdings, Inc. - acquisition analysis</t>
  </si>
  <si>
    <t>Revenues/tangible capital</t>
  </si>
  <si>
    <t>BRK price/tangible capital</t>
  </si>
  <si>
    <t>Sources: Berkshire Hathaway Annual Reports 1977, 1978; and author's calculations.</t>
  </si>
  <si>
    <t>Sources: Blue Chip Stamps Annual Reports 1973-1978.</t>
  </si>
  <si>
    <t>The Buffalo Evening News - acquisition analysis</t>
  </si>
  <si>
    <t>Source: Blue Chip Stamps Annual Report 1977.</t>
  </si>
  <si>
    <t>Average loans</t>
  </si>
  <si>
    <t>Average assets</t>
  </si>
  <si>
    <t>Average total deposits</t>
  </si>
  <si>
    <t>Average equity</t>
  </si>
  <si>
    <t>Sources: Berkshire Hathaway Annual Reports 1968-1979.</t>
  </si>
  <si>
    <t xml:space="preserve">2. Ken Chace retires from Berkshire Board, replaced by Susan Buffett (1990). </t>
  </si>
  <si>
    <t xml:space="preserve">Note: This table presents the company-level pre-tax operating earnings for each company. The presentation in the discussion of the prior decade used Berkshire's share of pre-tax earnings. Readers comparing the year 1984 as presented in this table with the presentation from the prior decade will notice a difference in the earnings for entities in which Berkshire did not have 100% ownership. </t>
  </si>
  <si>
    <t>Source: Berkshire Hathaway Annual Report 1989.</t>
  </si>
  <si>
    <t>Sources: Berkshire Hathaway Annual Reports and author's calculations.</t>
  </si>
  <si>
    <t>3. In 1990, Berkshire began including structured settlements and portfolio reinsurance with reinsurance.</t>
  </si>
  <si>
    <t>Sources: Berkshire Hathaway Annual Reports 1988-1994; and author's calculations.</t>
  </si>
  <si>
    <t>Sources: Berkshire Hathaway Annual Reports 1988-1994.</t>
  </si>
  <si>
    <t>Sources: Berkshire Hathaway Annual Reports 1985-1994 and author's calculations.</t>
  </si>
  <si>
    <t>Sources: Berkshire Hathaway Annual Report 1986 and author's calculations.</t>
  </si>
  <si>
    <t>Sources: Berkshire Hathaway Annual Reports 1989, 1994.</t>
  </si>
  <si>
    <t>Sources: Berkshire Hathaway Annual Reports 1985-1994.</t>
  </si>
  <si>
    <t>Manufacturing, Publishing, and Retailing Businesses: Income statements, 1986-1994</t>
  </si>
  <si>
    <t>Manufacturing, Publishing, and Retailing Businesses: Balance sheets, 1987-1994</t>
  </si>
  <si>
    <t>Manufacturing, Publishing, and Retailing Businesses: Key ratios and figures, 1986-1994</t>
  </si>
  <si>
    <t>Finance Businesses: Balance sheets, 1987-1994</t>
  </si>
  <si>
    <t>Finance Businesses: Income statements, 1986-1994</t>
  </si>
  <si>
    <t>Finance Businesses: Key ratios, 1986-1994</t>
  </si>
  <si>
    <t>Sources: Berkshire Hathaway Annual Reports 1988-1994 and author's calculations.</t>
  </si>
  <si>
    <t>Non-operating activities: Balance sheets, 1987-1994</t>
  </si>
  <si>
    <t>Non-operating activities: Income statements, 1986-1994</t>
  </si>
  <si>
    <t>Long-term debt, preferred, minority interests</t>
  </si>
  <si>
    <t>1. Adjustments were made to account for acquired goodwill and its related amortization.</t>
  </si>
  <si>
    <t>Sources: Berkshire Hathaway Annual Report 2000; Wesco Annual Report 2000; CORT Annual Reports 1996-1998; and author's calculations.</t>
  </si>
  <si>
    <t>Sources: Berkshire Hathaway Annual Report 2000; Justin Industries Annual Reports 1995-1999; and author's calculations.</t>
  </si>
  <si>
    <t>Sources: Berkshire Hathaway Annual Report 2000; Shaw Industries Annual Reports 1997-1999; and author's calculations.</t>
  </si>
  <si>
    <t>Sources: Berkshire Hathaway Annual Report 2000; Johns Manville Annual Reports 1997-1999; and author's calculations.</t>
  </si>
  <si>
    <t>Premiums written (added from above)</t>
  </si>
  <si>
    <t>Total premiums written (from annual report)</t>
  </si>
  <si>
    <t>5. Purchased $4.6 billion US Treasury Strips, 111.2 million ounces of silver (1997).</t>
  </si>
  <si>
    <t>8. Acquired General Reinsurance (General Re or Gen Re) for $22 billion in stock (1998).</t>
  </si>
  <si>
    <t>1. On March 10, 2000, the NASDAQ hit its all-time high of 5,132 while Berkshire shares    traded at their lowest level since 1997.</t>
  </si>
  <si>
    <t xml:space="preserve">2. Berkshire adds new board members: William Gates III, David Gottesman, Charlotte Guyman, Donald Keough, and Thomas Murphy. </t>
  </si>
  <si>
    <t xml:space="preserve">3. The September 11, 2001, terrorist attacks shake the insurance world and close stock markets until September 17. </t>
  </si>
  <si>
    <t>Consolidated into Retail Operations</t>
  </si>
  <si>
    <t>Sources: Berkshire Hathaway Annual Reports 1995-2004.</t>
  </si>
  <si>
    <t>1. Underwriting - Reinsurance: In 1999 the presentation was changed to combine Super Cat and Other Reinsurance into one category. The data above is from the notes to the financial statements from 2000.</t>
  </si>
  <si>
    <t>4. Flight Services: FlightSafety acquired on December 23, 1996. Beginning in 1998 includes Executive Jet (acquired August 7, 1998).</t>
  </si>
  <si>
    <t>7. Jewelry: Includes Helzberg's beginning April 30, 1995. Jewelry was included in Other in prior years.</t>
  </si>
  <si>
    <t>9. Shaw Industries: Shaw Industries acquired on January 8, 2001.</t>
  </si>
  <si>
    <t>13. Interest expense: Excludes interest expense of Finance Businesses.</t>
  </si>
  <si>
    <t>14. Shareholder-designated contributions: Shareholder-designated contributions were discontinued in 2003.</t>
  </si>
  <si>
    <t>16. Income tax and minority interest: Imputed from the difference between the reported pre-tax and after-tax earnings figures.</t>
  </si>
  <si>
    <t>2. Apparel: Includes Fruit of the Loom from April 30, 2002 and Garan from September 4, 2002. Also included, beginning in 2002, is the H.H. Brown Shoe Group, now containing Dexter, and Fechheimer.</t>
  </si>
  <si>
    <t>5.MidAmerican Energy: MidAmerican Energy 76% owned through 2001; 80 owned thereafter. Figures from 2003 and 2004 come from the 2004 presentation, and are not comparable to those of prior years. Prior to 2003, the Sources of Reported Earnings table included Berkshire's share of MidAmerican's net income plus the interest income Berkshire earned from lending to MidAmerican. Berkshire's equity in the earnings of MidAmerican were $429 million in 2003, $359 million in 2002, and $134 million in 2001.</t>
  </si>
  <si>
    <t>8. Retail Operations: Beginning in 2000, Home Furnishings and Jewelry were combined into Retail Operations.</t>
  </si>
  <si>
    <t xml:space="preserve">10. Scott Fetzer (excluding finance operation): Prior to 1997, Kirby and World Book were segregated from other Scott Fetzer businesses. </t>
  </si>
  <si>
    <r>
      <t xml:space="preserve">11. Other Businesses: Beginning in 2000, </t>
    </r>
    <r>
      <rPr>
        <i/>
        <sz val="11"/>
        <color theme="1"/>
        <rFont val="Times New Roman"/>
        <family val="1"/>
      </rPr>
      <t>The Buffalo News</t>
    </r>
    <r>
      <rPr>
        <sz val="11"/>
        <color theme="1"/>
        <rFont val="Times New Roman"/>
        <family val="1"/>
      </rPr>
      <t>, the Shoe Group, International Dairy Queen, and See's were combined into Other Businesses. That presentation also re-allocated $8 million from Other to this category for 1999 (shown above in the original 1999 presentation). CTB and Pamper Chef are included in this category beginning with their acquisitions in 2002. Beginning in 2003 Scott Fetzer began being included in this category.</t>
    </r>
  </si>
  <si>
    <t>12. Purchase-price price premium charges: Beginning in 2002, accounting rules changed such that Goodwill was no longer amortized. In 2004, these charges were included in the Other category.</t>
  </si>
  <si>
    <t>15. Other: Beginning in 1997, Fechheimer included in Other category. Beginning in 2001, it is included in the Other Businesses category. Other category includes General Re for 10 days in 1998. Other category in 2004 includes amortization charges.</t>
  </si>
  <si>
    <t>3. Building Products: Includes Acme Brick from August 1, 2000; Benjamin Moore from December 18, 2000; Johns Manville from February 27, 2001; and MiTek from July 31, 2001.</t>
  </si>
  <si>
    <t xml:space="preserve">1. Cash on the balance sheet at year-end 1996 was $38 million, which would suggest excess cash. The effect on the economics of the transaction would have been very modest. </t>
  </si>
  <si>
    <t>Sources: Berkshire Hathaway Annual Report 1997, 1998; International Dairy Queen Annual Report 1996; and author's calculations.</t>
  </si>
  <si>
    <t>Sources: Berkshire Hathaway Annual Report 2001, XTRA Corporation Annual Reports 1998-2000, and author's calculations.</t>
  </si>
  <si>
    <t>Sources: Berkshire Hathaway Annual Report 2003, Clayton Homes Annual Report 2002, and author's calculations.</t>
  </si>
  <si>
    <t>Sources: Berkshire Hathaway Annual Report 2003 and author's calculations.</t>
  </si>
  <si>
    <t xml:space="preserve">Note: Figures may not add due to rounding. </t>
  </si>
  <si>
    <t>Sources: Berkshire Hathaway Annual Reports 1994, 2004; and author's calculations.</t>
  </si>
  <si>
    <t>($ millions, except per share data)</t>
  </si>
  <si>
    <t>3. Beginning in 2002 goodwill was no longer amortized. Amortization charges after-tax relating to goodwill were $636 million ($416 per share) and $548 million ($360 per share) in 2001 and 2000, respectively.</t>
  </si>
  <si>
    <t>Sources: Berkshire Hathaway Annual Reports 1999, 2004.</t>
  </si>
  <si>
    <r>
      <t>Change in paid-in capital</t>
    </r>
    <r>
      <rPr>
        <vertAlign val="superscript"/>
        <sz val="12"/>
        <color theme="1"/>
        <rFont val="Times New Roman"/>
        <family val="1"/>
      </rPr>
      <t>2</t>
    </r>
  </si>
  <si>
    <t>3. Other category included in the 1997 financial statements but not specified. Certain lines contain data that round to zero.</t>
  </si>
  <si>
    <t>Note: Berkshire discontinued this presentation after 2000.</t>
  </si>
  <si>
    <t>Sources: Berkshire Hathaway Annual Reports 1994-2000.</t>
  </si>
  <si>
    <t>Sources: Berkshire Hathaway Annual Reports 1994-2000; and author's calculations.</t>
  </si>
  <si>
    <t>1. Unless otherwise stated, the ratios presented are on a GAAP basis. Statutory ratios were either unavailable or incalculable.</t>
  </si>
  <si>
    <t>Sources: Berkshire Hathaway Annual Reports 2003, 2004; and author's calculations.</t>
  </si>
  <si>
    <t>Burlington Northern Santa Fe - acquisition analysis</t>
  </si>
  <si>
    <r>
      <t>Purchase price (equity)</t>
    </r>
    <r>
      <rPr>
        <vertAlign val="superscript"/>
        <sz val="12"/>
        <color theme="1"/>
        <rFont val="Times New Roman"/>
        <family val="1"/>
      </rPr>
      <t>1</t>
    </r>
  </si>
  <si>
    <t>Deferred income tax liab.</t>
  </si>
  <si>
    <t>Income before taxes</t>
  </si>
  <si>
    <t>Change in def. tax</t>
  </si>
  <si>
    <t>Headline rate</t>
  </si>
  <si>
    <t>Current rate</t>
  </si>
  <si>
    <t>Headline after tax ROE (avg)</t>
  </si>
  <si>
    <t>After-tax ROE adj. for chg. Tax</t>
  </si>
  <si>
    <t>Tax rate adj. for chg. Def.</t>
  </si>
  <si>
    <t>Total Tax</t>
  </si>
  <si>
    <t>Less change def. tax</t>
  </si>
  <si>
    <t>Tax paid</t>
  </si>
  <si>
    <t>BNSF interest rate (2010 BRKar)</t>
  </si>
  <si>
    <t>Tax rate</t>
  </si>
  <si>
    <t>Return using 5-year average ROC</t>
  </si>
  <si>
    <t>BRK going-in pre-tax return (2009)</t>
  </si>
  <si>
    <t>PURCHASE ALLOCATION BREAKDOWN</t>
  </si>
  <si>
    <t>Burlington Northern Santa Fe - purchase price analysis</t>
  </si>
  <si>
    <t>Shares already owned</t>
  </si>
  <si>
    <t>One-time holding gain</t>
  </si>
  <si>
    <t>Issuance of Berkshire shares</t>
  </si>
  <si>
    <t>Lubrizol Corporation - acquisition analysis</t>
  </si>
  <si>
    <t>Less: Goodwill &amp; Intangibles</t>
  </si>
  <si>
    <t>Sources: Berkshire Hathaway Annual Report 2010; Lubrizol Annual Reports 2006-2009; Lubrizol 10K 2010; and author's calculations.</t>
  </si>
  <si>
    <t>BRK going-in pre-tax return (2010)</t>
  </si>
  <si>
    <t>Adds income before taxes plus interest expense plus restructuring and write-offs. Does not add back amortization of intangibles. Reason these are an ongoing expense (the intangible asset is added back to capital).</t>
  </si>
  <si>
    <t>Discount accretion and amortization charges included above</t>
  </si>
  <si>
    <r>
      <t>EBIT margin</t>
    </r>
    <r>
      <rPr>
        <vertAlign val="superscript"/>
        <sz val="12"/>
        <color theme="1"/>
        <rFont val="Times New Roman"/>
        <family val="1"/>
      </rPr>
      <t>1</t>
    </r>
  </si>
  <si>
    <t>Heinz - acquisition analysis</t>
  </si>
  <si>
    <t>Pre-tax operating income</t>
  </si>
  <si>
    <t>Berkshire preferred stock</t>
  </si>
  <si>
    <t>BRK going-in pre-tax return (2013)</t>
  </si>
  <si>
    <t>Sources: Berkshire Hathaway Annual Report 2013; H.J. Heinz Annual Reports 2009-2013; H.J. Heinz 10Q 10/27/13; and author's calculations.</t>
  </si>
  <si>
    <t>Note: The company's fiscal year was 52 weeks ended in April.</t>
  </si>
  <si>
    <t>NV Energy - acquisition analysis</t>
  </si>
  <si>
    <t>EBIT margin</t>
  </si>
  <si>
    <t>Table 7.x</t>
  </si>
  <si>
    <t>Heinz capital structure and leverage</t>
  </si>
  <si>
    <r>
      <t>Leverage</t>
    </r>
    <r>
      <rPr>
        <u/>
        <vertAlign val="superscript"/>
        <sz val="12"/>
        <color theme="1"/>
        <rFont val="Times New Roman"/>
        <family val="1"/>
      </rPr>
      <t>1</t>
    </r>
  </si>
  <si>
    <t>Sources: Berkshire Hathaway Annual Report 2013; H.J. Heinz 10Q 10/27/13; and author's calculations.</t>
  </si>
  <si>
    <t>Berkshire Hathaway total leverage:</t>
  </si>
  <si>
    <t>Preferred + equity</t>
  </si>
  <si>
    <t>BRK shares</t>
  </si>
  <si>
    <t>3G</t>
  </si>
  <si>
    <t>BRK warrants</t>
  </si>
  <si>
    <t>Options</t>
  </si>
  <si>
    <t>BRK total</t>
  </si>
  <si>
    <t>Ending float</t>
  </si>
  <si>
    <t>Increase (decr.) in equity</t>
  </si>
  <si>
    <t>Incr. (decr.) in equity - net income</t>
  </si>
  <si>
    <t>Cash / revenues</t>
  </si>
  <si>
    <t>Net debt (cash)</t>
  </si>
  <si>
    <t>Change in pre-tax earnings</t>
  </si>
  <si>
    <t>Change in after-tax earnings</t>
  </si>
  <si>
    <t>Average tangible equity</t>
  </si>
  <si>
    <t>Change in average tang. Equity</t>
  </si>
  <si>
    <t>Tangible equity</t>
  </si>
  <si>
    <t>Total debt</t>
  </si>
  <si>
    <t>Q3 '13</t>
  </si>
  <si>
    <t>Q3 '12</t>
  </si>
  <si>
    <t>Berkshire Hathaway after tax earnings</t>
  </si>
  <si>
    <t>Finance and financial products</t>
  </si>
  <si>
    <t>Operating earnings</t>
  </si>
  <si>
    <t>Net earnings attributable BRK shareholders</t>
  </si>
  <si>
    <t>1. 2010: Includes earnings of BNSF from February 12.</t>
  </si>
  <si>
    <r>
      <t>Manufacturing, service and retailing</t>
    </r>
    <r>
      <rPr>
        <vertAlign val="superscript"/>
        <sz val="12"/>
        <color theme="1"/>
        <rFont val="Times New Roman"/>
        <family val="1"/>
      </rPr>
      <t>2</t>
    </r>
  </si>
  <si>
    <t>Sources: Berkshire Hathaway Annual Reports 2006-2014.</t>
  </si>
  <si>
    <r>
      <t>Common shares outstanding at year end</t>
    </r>
    <r>
      <rPr>
        <vertAlign val="superscript"/>
        <sz val="12"/>
        <color theme="1"/>
        <rFont val="Times New Roman"/>
        <family val="1"/>
      </rPr>
      <t>3</t>
    </r>
  </si>
  <si>
    <t xml:space="preserve">3. A-share equivalent, in thousands. </t>
  </si>
  <si>
    <t xml:space="preserve">Notes: Beginning in 2010 Berkshire stopped producing this table in the Chairman's letter. In 2012 data again began to be presented in the letter. Amounts for Leasing and Clayton in 2010 are from the footnotes and are included for continuity. </t>
  </si>
  <si>
    <t xml:space="preserve">Purchases of fixed maturity </t>
  </si>
  <si>
    <t>Sales of fixed maturity</t>
  </si>
  <si>
    <t>Redeption of fixed maturity</t>
  </si>
  <si>
    <t>Sales of equity securities</t>
  </si>
  <si>
    <t>Purchases of property, plant and equipment</t>
  </si>
  <si>
    <t>Acquisitions of businesses, net of cash acquired</t>
  </si>
  <si>
    <t>Net capital expenditures</t>
  </si>
  <si>
    <t>Net investment in fixed maturity securities</t>
  </si>
  <si>
    <t>Net investment in equity securities</t>
  </si>
  <si>
    <t>Purchases of equity securities</t>
  </si>
  <si>
    <t>Adoption of new accounting pronouncements</t>
  </si>
  <si>
    <t>Net investment in other investments</t>
  </si>
  <si>
    <t>Purchases of other investments</t>
  </si>
  <si>
    <t>Table 7.1.</t>
  </si>
  <si>
    <t>Decade snapshot: 2004-2014</t>
  </si>
  <si>
    <t>$74 billion</t>
  </si>
  <si>
    <t>$86 billion</t>
  </si>
  <si>
    <t>$45 billion</t>
  </si>
  <si>
    <t>$195 billion</t>
  </si>
  <si>
    <t>$240 billion</t>
  </si>
  <si>
    <t>$81 billion</t>
  </si>
  <si>
    <t>Book value per A share:</t>
  </si>
  <si>
    <t xml:space="preserve">2. Between 2007 and 2009 the boom of the mid-2000s goes bust, freezing credit markets worldwide and causing the Great Recession. Markets bottom in early 2009. </t>
  </si>
  <si>
    <t>3. Class-B shares split 50:1 in connection with the BNSF acquisition. Afterward they have the economic equivalent of 1/1500th of a Class-A share.</t>
  </si>
  <si>
    <t>4. Berkshire adds new board members: Stephen Burke (2009) and Meryl Witmer (2013).</t>
  </si>
  <si>
    <t>5. Berkshire Hathaway celebrates 50 years under present management (2014).</t>
  </si>
  <si>
    <t>International Business Machines</t>
  </si>
  <si>
    <t>Sources: Berkshire Hathaway Annual Reports 2004, 2014; and author's calculations.</t>
  </si>
  <si>
    <t>Proctor &amp; Gamble</t>
  </si>
  <si>
    <t>2.. Acquired Marmon for $9 billion ($4.5 billion for 60% in 2008 and $4.5 billion for the remainder between 2011-13).</t>
  </si>
  <si>
    <t>3. Invested $14.5 billion over two weeks in three private lending transactions: $5 billion in Goldman Sachs, $6.5 billion in Wrigley, and $3 billion in General Electric (2008).</t>
  </si>
  <si>
    <t xml:space="preserve">4. Acquired BNSF railroad for $33.5 billion (aggregate cost). Cost included the issuance of 94,915 Class-A equivalent shares worth $10.6 billion. (2010). </t>
  </si>
  <si>
    <r>
      <t>Issuance of shares</t>
    </r>
    <r>
      <rPr>
        <vertAlign val="superscript"/>
        <sz val="12"/>
        <color theme="1"/>
        <rFont val="Times New Roman"/>
        <family val="1"/>
      </rPr>
      <t>1</t>
    </r>
  </si>
  <si>
    <r>
      <t>Transactions with noncontrolling interests</t>
    </r>
    <r>
      <rPr>
        <vertAlign val="superscript"/>
        <sz val="12"/>
        <color theme="1"/>
        <rFont val="Times New Roman"/>
        <family val="1"/>
      </rPr>
      <t>3</t>
    </r>
  </si>
  <si>
    <t xml:space="preserve">1. With the exception of BNSF in 2010, the issuance of shares primarily relates to exercises under the SQUARZ notes and issuances related to prior acquisitions. Approximately $10.6 billion in 2010 is related to the BNSF acquisition. </t>
  </si>
  <si>
    <t>2. The 2011 and 2012 treasury stock transactions were direct purchases. The 2014 transaction was connected to the Graham Holdings tax-free exchange, which included 2,107 Class A and 1,278 Class B shares.</t>
  </si>
  <si>
    <r>
      <t>Adoption of equity method</t>
    </r>
    <r>
      <rPr>
        <vertAlign val="superscript"/>
        <sz val="12"/>
        <color theme="1"/>
        <rFont val="Times New Roman"/>
        <family val="1"/>
      </rPr>
      <t>4</t>
    </r>
  </si>
  <si>
    <r>
      <t>Change in comprehensive income - other</t>
    </r>
    <r>
      <rPr>
        <vertAlign val="superscript"/>
        <sz val="12"/>
        <color theme="1"/>
        <rFont val="Times New Roman"/>
        <family val="1"/>
      </rPr>
      <t>5</t>
    </r>
  </si>
  <si>
    <t xml:space="preserve">4. 2008: Berkshire adopted the equity method for its BNSF shares, which represented 20.7% of the company. </t>
  </si>
  <si>
    <t>3. Reductions in equity related to the acquisition of noncontrolling interests; the excess of consideration paid over the previously recorded balance sheet carrying amount.</t>
  </si>
  <si>
    <t>4. In 1998 and 1999, only the gross amounts for unrealized appreciation of investments and reclassification adjustment for appreciation included in net earnings are presented. The figures included for 1998 and 1999 use an estimated tax rate of 36%.</t>
  </si>
  <si>
    <r>
      <t>Change in unrealized appreciation of securities, net of tax</t>
    </r>
    <r>
      <rPr>
        <vertAlign val="superscript"/>
        <sz val="12"/>
        <color theme="1"/>
        <rFont val="Times New Roman"/>
        <family val="1"/>
      </rPr>
      <t>4</t>
    </r>
  </si>
  <si>
    <r>
      <t>Change in comprehensive income</t>
    </r>
    <r>
      <rPr>
        <vertAlign val="superscript"/>
        <sz val="12"/>
        <color theme="1"/>
        <rFont val="Times New Roman"/>
        <family val="1"/>
      </rPr>
      <t>5</t>
    </r>
  </si>
  <si>
    <t>Appreciation of investments (1995-2004)</t>
  </si>
  <si>
    <t>Unrealized Appreciation of investments</t>
  </si>
  <si>
    <t>Ending Equity 2004</t>
  </si>
  <si>
    <t>Issuance of Class B stock</t>
  </si>
  <si>
    <t>Ending Equity 2014</t>
  </si>
  <si>
    <t>Change in equity</t>
  </si>
  <si>
    <t xml:space="preserve">2004-14 </t>
  </si>
  <si>
    <t>Increase in book value per share</t>
  </si>
  <si>
    <t>BRK BV</t>
  </si>
  <si>
    <t>BRK MV</t>
  </si>
  <si>
    <t>S&amp;P 500 w/dividends</t>
  </si>
  <si>
    <t>Per annum</t>
  </si>
  <si>
    <t>Cumulative 1965-2014</t>
  </si>
  <si>
    <t>Overall gain - 1964-2014</t>
  </si>
  <si>
    <t>Cumulative 1995-2004</t>
  </si>
  <si>
    <t>Cumulative 1985-1994</t>
  </si>
  <si>
    <t>Cumulative 1975-1984</t>
  </si>
  <si>
    <t>Cumulative 1965-1974</t>
  </si>
  <si>
    <t>BRK-BV-S&amp;P</t>
  </si>
  <si>
    <t>BRK-MV-S&amp;P</t>
  </si>
  <si>
    <t xml:space="preserve">5. Acquired Lubrizol for $8.7 billion (2011). </t>
  </si>
  <si>
    <t>6. Acquired NV Energy for $5.6 billion (2013) and Alta Link for $2.7 billion (2014).</t>
  </si>
  <si>
    <t>7. Invested $12.25 billion in Heinz (2013).</t>
  </si>
  <si>
    <t>Note: Gillette merged into Proctor &amp; Gamble in 2005.</t>
  </si>
  <si>
    <r>
      <t>Railroad</t>
    </r>
    <r>
      <rPr>
        <vertAlign val="superscript"/>
        <sz val="12"/>
        <color theme="1"/>
        <rFont val="Times New Roman"/>
        <family val="1"/>
      </rPr>
      <t>1</t>
    </r>
  </si>
  <si>
    <t xml:space="preserve">1965-14 </t>
  </si>
  <si>
    <t>Dividends paid from BNSF to Berkshire</t>
  </si>
  <si>
    <t xml:space="preserve">5. Includes foreign currency translation, transactions relating to pension plans, other, and amounts applicable to income taxes. </t>
  </si>
  <si>
    <r>
      <t>Insurance premiums earned</t>
    </r>
    <r>
      <rPr>
        <vertAlign val="superscript"/>
        <sz val="12"/>
        <rFont val="Times New Roman"/>
        <family val="1"/>
      </rPr>
      <t>1</t>
    </r>
  </si>
  <si>
    <r>
      <t>Railroad, utilities and energy revenues</t>
    </r>
    <r>
      <rPr>
        <vertAlign val="superscript"/>
        <sz val="12"/>
        <rFont val="Times New Roman"/>
        <family val="1"/>
      </rPr>
      <t>2</t>
    </r>
  </si>
  <si>
    <r>
      <t xml:space="preserve">  Railroad, utilities and energy businesses</t>
    </r>
    <r>
      <rPr>
        <vertAlign val="superscript"/>
        <sz val="12"/>
        <rFont val="Times New Roman"/>
        <family val="1"/>
      </rPr>
      <t>2</t>
    </r>
  </si>
  <si>
    <t xml:space="preserve">Sources: Berkshire Hathaway Annual Reports 2009, 2014. </t>
  </si>
  <si>
    <t>5. The 2005-09 presentation used "Insurance and other non-finance businesses" and the 2010-14 presentation used "Insurance and other businesses".</t>
  </si>
  <si>
    <r>
      <t xml:space="preserve">  Insurance and other non-finance businesses</t>
    </r>
    <r>
      <rPr>
        <vertAlign val="superscript"/>
        <sz val="12"/>
        <rFont val="Times New Roman"/>
        <family val="1"/>
      </rPr>
      <t>5</t>
    </r>
  </si>
  <si>
    <r>
      <t>Net earnings attributable to Berkshire Hathaway</t>
    </r>
    <r>
      <rPr>
        <vertAlign val="superscript"/>
        <sz val="12"/>
        <rFont val="Times New Roman"/>
        <family val="1"/>
      </rPr>
      <t>4</t>
    </r>
  </si>
  <si>
    <t>4. 2005: Includes pre-tax underwriting loss of $3.4 billion ($2.2 billion after-tax) attributable to Hurricanes Katrina, Rita, and Wilma.</t>
  </si>
  <si>
    <r>
      <t>Interest, dividend, and other investment income</t>
    </r>
    <r>
      <rPr>
        <vertAlign val="superscript"/>
        <sz val="12"/>
        <rFont val="Times New Roman"/>
        <family val="1"/>
      </rPr>
      <t>3</t>
    </r>
  </si>
  <si>
    <t>3. After-tax investment gains were as follows:</t>
  </si>
  <si>
    <t>Table 7x.</t>
  </si>
  <si>
    <t>Source: Berkshire Hathaway 10K filing, 2014.</t>
  </si>
  <si>
    <t>Manufacturing, Service and Retailing businesses - balance sheets, 2004-2014</t>
  </si>
  <si>
    <t xml:space="preserve">Note: In 2014 Marmon's leasing operations began to be included in the Finance and Financial Products sector. The 2014 Annual Report provided a restatement of 2012 and 2013 for comparative purposes. This presentation contains the original presentations. </t>
  </si>
  <si>
    <r>
      <t>Pre-tax income</t>
    </r>
    <r>
      <rPr>
        <vertAlign val="superscript"/>
        <sz val="12"/>
        <color theme="1"/>
        <rFont val="Times New Roman"/>
        <family val="1"/>
      </rPr>
      <t>1</t>
    </r>
  </si>
  <si>
    <t>Sources: Berkshire Hathaway Annual Reports 2004-2014.</t>
  </si>
  <si>
    <t>Manufacturing, Service and Retailing businesses - income statements, 2004-2014</t>
  </si>
  <si>
    <t>Footnote: Excludes purchase-accounting adjustments.</t>
  </si>
  <si>
    <t>Manufacturing, Service and Retailing businesses - ratios and key figures, 2004-2014</t>
  </si>
  <si>
    <t>Return on average equity - after-tax</t>
  </si>
  <si>
    <t>Return on average tangible equity after-tax</t>
  </si>
  <si>
    <t>Tangible capital</t>
  </si>
  <si>
    <t>Revenues/average tangible capital</t>
  </si>
  <si>
    <t>Pre-tax return on tangible capital</t>
  </si>
  <si>
    <r>
      <t>Value Capital</t>
    </r>
    <r>
      <rPr>
        <vertAlign val="superscript"/>
        <sz val="12"/>
        <color theme="1"/>
        <rFont val="Times New Roman"/>
        <family val="1"/>
      </rPr>
      <t>3</t>
    </r>
  </si>
  <si>
    <r>
      <t>Other</t>
    </r>
    <r>
      <rPr>
        <vertAlign val="superscript"/>
        <sz val="12"/>
        <color theme="1"/>
        <rFont val="Times New Roman"/>
        <family val="1"/>
      </rPr>
      <t>5</t>
    </r>
  </si>
  <si>
    <r>
      <t>Gen Re Securities</t>
    </r>
    <r>
      <rPr>
        <vertAlign val="superscript"/>
        <sz val="12"/>
        <color theme="1"/>
        <rFont val="Times New Roman"/>
        <family val="1"/>
      </rPr>
      <t>6</t>
    </r>
  </si>
  <si>
    <t>Berkshire Hathaway deferred tax analysis</t>
  </si>
  <si>
    <t>Pre-tax earnings</t>
  </si>
  <si>
    <t>Total taxes as reported</t>
  </si>
  <si>
    <t>Headline tax rate</t>
  </si>
  <si>
    <t>Deferred rate</t>
  </si>
  <si>
    <t>Current as % total</t>
  </si>
  <si>
    <t>Deferred as % total</t>
  </si>
  <si>
    <t>Cash paid for tax during period</t>
  </si>
  <si>
    <t>Cash tax as % EBIT</t>
  </si>
  <si>
    <t>Sources: Berkshire Hathaway Annual Reports 2005, 2008, 2011, 2014; and author's calculations.</t>
  </si>
  <si>
    <t xml:space="preserve">Total </t>
  </si>
  <si>
    <t>Finance and Financial Products businesses - select earnings data</t>
  </si>
  <si>
    <t>3. Investment in Value Capital ceased in 2006.</t>
  </si>
  <si>
    <r>
      <t>CORT</t>
    </r>
    <r>
      <rPr>
        <i/>
        <vertAlign val="superscript"/>
        <sz val="12"/>
        <color theme="1"/>
        <rFont val="Times New Roman"/>
        <family val="1"/>
      </rPr>
      <t>4</t>
    </r>
  </si>
  <si>
    <r>
      <t>XTRA</t>
    </r>
    <r>
      <rPr>
        <i/>
        <vertAlign val="superscript"/>
        <sz val="12"/>
        <color theme="1"/>
        <rFont val="Times New Roman"/>
        <family val="1"/>
      </rPr>
      <t>4</t>
    </r>
  </si>
  <si>
    <r>
      <t>Marmon - Containers and Cranes</t>
    </r>
    <r>
      <rPr>
        <vertAlign val="superscript"/>
        <sz val="12"/>
        <color theme="1"/>
        <rFont val="Times New Roman"/>
        <family val="1"/>
      </rPr>
      <t>4</t>
    </r>
  </si>
  <si>
    <r>
      <t>Marmon - Railcars</t>
    </r>
    <r>
      <rPr>
        <vertAlign val="superscript"/>
        <sz val="12"/>
        <color theme="1"/>
        <rFont val="Times New Roman"/>
        <family val="1"/>
      </rPr>
      <t>4</t>
    </r>
  </si>
  <si>
    <t>5. Included in Other are fees paid to Berkshire from Clayton and NetJets for use of its credit.</t>
  </si>
  <si>
    <t xml:space="preserve">4. In 2014 results included Marmon's leasing operations. The report that year included a restatement of the prior two years for comparative purposes. Data here are the original presentation. The restated total pre-tax income for 2013 and 2012 was $1,564 million and $1,393 million, respectively. </t>
  </si>
  <si>
    <r>
      <t>Gen Re Securities</t>
    </r>
    <r>
      <rPr>
        <vertAlign val="superscript"/>
        <sz val="12"/>
        <color theme="1"/>
        <rFont val="Times New Roman"/>
        <family val="1"/>
      </rPr>
      <t>1</t>
    </r>
  </si>
  <si>
    <t>1. Gen Re Securities ceased in 2006. Cumulative pre-tax loss since 2002 was $409 million on 23,218 contracts.</t>
  </si>
  <si>
    <t>Sources: Berkshire Hathaway Annual Reports 2004-2014 and author's calculations.</t>
  </si>
  <si>
    <r>
      <t>Life and annuity operation</t>
    </r>
    <r>
      <rPr>
        <vertAlign val="superscript"/>
        <sz val="12"/>
        <color theme="1"/>
        <rFont val="Times New Roman"/>
        <family val="1"/>
      </rPr>
      <t>2</t>
    </r>
  </si>
  <si>
    <t xml:space="preserve">2. Beginning in 2010 the life and annuity operation was moved to Berkshire Hathaway Reinsurance Group. </t>
  </si>
  <si>
    <r>
      <t>Leasing operations - subtotal</t>
    </r>
    <r>
      <rPr>
        <vertAlign val="superscript"/>
        <sz val="12"/>
        <color theme="1"/>
        <rFont val="Times New Roman"/>
        <family val="1"/>
      </rPr>
      <t>4</t>
    </r>
  </si>
  <si>
    <t>UK utilities</t>
  </si>
  <si>
    <t>Iowa utility</t>
  </si>
  <si>
    <t>Gas Pipelines (Northern Natural and Kern River)</t>
  </si>
  <si>
    <t>HomeServices</t>
  </si>
  <si>
    <t>Other (net)</t>
  </si>
  <si>
    <t>Operating earnings before corporate interest and taxes</t>
  </si>
  <si>
    <t>Interest</t>
  </si>
  <si>
    <t>Nevada utility</t>
  </si>
  <si>
    <t>Operating expenses (including depreciation)</t>
  </si>
  <si>
    <t>Operating earnings before interest and taxes</t>
  </si>
  <si>
    <t>Interest (net)</t>
  </si>
  <si>
    <t>1. BNSF owned from February 12, 2010. Historical data provided for reference.</t>
  </si>
  <si>
    <r>
      <t>Constellation Energy</t>
    </r>
    <r>
      <rPr>
        <vertAlign val="superscript"/>
        <sz val="12"/>
        <color theme="1"/>
        <rFont val="Times New Roman"/>
        <family val="1"/>
      </rPr>
      <t>1</t>
    </r>
  </si>
  <si>
    <t xml:space="preserve">1. Constellation Energy consists of a $175 million breakup fee and $917 million profit on investment. </t>
  </si>
  <si>
    <r>
      <t>Net earnings applicable to Berkshire</t>
    </r>
    <r>
      <rPr>
        <vertAlign val="superscript"/>
        <sz val="12"/>
        <color theme="1"/>
        <rFont val="Times New Roman"/>
        <family val="1"/>
      </rPr>
      <t>2</t>
    </r>
  </si>
  <si>
    <t>2. Earnings applicable to Berkshire consist of its share of net earnings plus after tax interest income from debt owed to Berkshire from MidAmerican.</t>
  </si>
  <si>
    <t>2. PacifiCorp owned from March 21, 2006.</t>
  </si>
  <si>
    <t>Berkshire Hathaway Energy
(formerly known as MidAmerican Energy)</t>
  </si>
  <si>
    <t>Burlington Northern Santa Fe (BNSF)</t>
  </si>
  <si>
    <t>Sources: Berkshire Hathaway Annual Reports 2006, 2008, 2010, 2012, 2014; BNSF Annual Report 2006; BNSF 10K 2009.</t>
  </si>
  <si>
    <t>PacifiCorp (primarily Oregon and Utah)</t>
  </si>
  <si>
    <t>Trailing 10 years BRKBV-S&amp;P</t>
  </si>
  <si>
    <t>Trailing 10 year BRKBV</t>
  </si>
  <si>
    <t>Trailing 10 years BRKMV-S&amp;P</t>
  </si>
  <si>
    <t>Cumulative 2005-2014</t>
  </si>
  <si>
    <t>Insurance, utilities, flight services, building products, furniture retailing, candy, jewelry, encyclopedias, home cleaning systems, shoes, newspapers, various finance businesses, miscellaneous manufacturing, significant stakes in several public companies.</t>
  </si>
  <si>
    <t>Use 75% of float as equity, what does it do to the ratio</t>
  </si>
  <si>
    <t>Non-insurance</t>
  </si>
  <si>
    <t>HQ</t>
  </si>
  <si>
    <t>Operating companies total</t>
  </si>
  <si>
    <t>HQ per 100000</t>
  </si>
  <si>
    <t>Gain/(Loss)</t>
  </si>
  <si>
    <t>Average
Float</t>
  </si>
  <si>
    <t>Berkshire Hathaway pre-tax underwriting gain/(loss) by decade</t>
  </si>
  <si>
    <t>Table 8.x.</t>
  </si>
  <si>
    <t>1968-1974</t>
  </si>
  <si>
    <t>1975-1984</t>
  </si>
  <si>
    <t>1985-1994</t>
  </si>
  <si>
    <t>1995-2004</t>
  </si>
  <si>
    <t>2005-2014</t>
  </si>
  <si>
    <t>LT Govt Bond</t>
  </si>
  <si>
    <t>Zero for chart</t>
  </si>
  <si>
    <t>Avg float</t>
  </si>
  <si>
    <t>Avg. assets</t>
  </si>
  <si>
    <t>6. Home Furnishings: Includes RC Willey beginning June 29, 1995; Star Furniture from July 1, 1997.</t>
  </si>
  <si>
    <t>Sources: Berkshire Hathaway Annual Report 1996; FlightSafety International Annual Reports 1993, 1995; and author's calculations.</t>
  </si>
  <si>
    <t>Sources: Berkshire Hathaway Annual Report 1998 and author's calculations.</t>
  </si>
  <si>
    <t>Sources: MidAmerican Energy Holdings 10K reports, 1998, 1999; Berkshire Hathaway Annual Report 2000; and author's calculations.</t>
  </si>
  <si>
    <r>
      <t>EBIT margin</t>
    </r>
    <r>
      <rPr>
        <vertAlign val="superscript"/>
        <sz val="12"/>
        <color theme="1"/>
        <rFont val="Times New Roman"/>
        <family val="1"/>
      </rPr>
      <t>1,2</t>
    </r>
  </si>
  <si>
    <t>Sources: Berkshire Hathaway Annual Reports 1994-2000 and author's calculations.</t>
  </si>
  <si>
    <t>1. Beginning in August 2000, the Berkshire Hathaway Primary Group included the results of the United States Investment Corporation ("USIC") which was acquired by Berkshire.</t>
  </si>
  <si>
    <t>Sources: Berkshire Hathaway Annual Reports 1995-2004 and author's calculations.</t>
  </si>
  <si>
    <t>Table 7.2.</t>
  </si>
  <si>
    <t>Insurance Group:</t>
  </si>
  <si>
    <t xml:space="preserve">  Underwriting:</t>
  </si>
  <si>
    <t xml:space="preserve">    GEICO</t>
  </si>
  <si>
    <t xml:space="preserve">    General Re</t>
  </si>
  <si>
    <t xml:space="preserve">    Berkshire Hathaway Reinsurance Group</t>
  </si>
  <si>
    <t xml:space="preserve">    Berkshire Hathaway Primary Group</t>
  </si>
  <si>
    <t xml:space="preserve">  Investment income</t>
  </si>
  <si>
    <t>McLane Company</t>
  </si>
  <si>
    <t>Service and retailing</t>
  </si>
  <si>
    <t>Subtotal - pre-tax operating earnings</t>
  </si>
  <si>
    <t>Investment and derivatives gains/losses</t>
  </si>
  <si>
    <t>Unallocated interest expense</t>
  </si>
  <si>
    <t>Eliminations and other</t>
  </si>
  <si>
    <t>Total pre-tax earnings</t>
  </si>
  <si>
    <t>Income taxes and minority interests</t>
  </si>
  <si>
    <t>Marmon</t>
  </si>
  <si>
    <r>
      <t>Manufacturing, service and retailing</t>
    </r>
    <r>
      <rPr>
        <vertAlign val="superscript"/>
        <sz val="12"/>
        <color theme="1"/>
        <rFont val="Times New Roman"/>
        <family val="1"/>
      </rPr>
      <t>3</t>
    </r>
  </si>
  <si>
    <r>
      <t>Finance and financial products</t>
    </r>
    <r>
      <rPr>
        <vertAlign val="superscript"/>
        <sz val="12"/>
        <color theme="1"/>
        <rFont val="Times New Roman"/>
        <family val="1"/>
      </rPr>
      <t>3</t>
    </r>
  </si>
  <si>
    <t>Shaw</t>
  </si>
  <si>
    <t>2. In 2014 MidAmerican changed its name to Berkshire Hathaway Energy. Amounts in 2005 and 2006 were classified as equity in earnings of MidAmerican.</t>
  </si>
  <si>
    <t xml:space="preserve">Sources: Berkshire Hathaway Annual Reports 2006, 2008, 2011, 2014. </t>
  </si>
  <si>
    <t>Total Insurance Group</t>
  </si>
  <si>
    <t>Berkshire Hathaway pre-tax earnings</t>
  </si>
  <si>
    <r>
      <t>Utilities and energy</t>
    </r>
    <r>
      <rPr>
        <vertAlign val="superscript"/>
        <sz val="12"/>
        <color theme="1"/>
        <rFont val="Times New Roman"/>
        <family val="1"/>
      </rPr>
      <t>2</t>
    </r>
  </si>
  <si>
    <t>Sources: Berkshire Hathaway Annual Report 2010; BNSF Annual Reports 2008-2009; and author's calculations.</t>
  </si>
  <si>
    <t>Hypothetical example of shrinking float with underwriting gains</t>
  </si>
  <si>
    <t>Beginning Float</t>
  </si>
  <si>
    <t>Assumptions: Float shrinks 3% per year and underwriting gains are 3%</t>
  </si>
  <si>
    <t>Change in float %</t>
  </si>
  <si>
    <t>Change in float $</t>
  </si>
  <si>
    <t>Cumulative change</t>
  </si>
  <si>
    <t>Underwriting gain %</t>
  </si>
  <si>
    <t>Underwriting gain $</t>
  </si>
  <si>
    <t>Cumulative underwriting gain</t>
  </si>
  <si>
    <t>Note: Data for 2013 are the trailing twelve months ending 9/30/13 and the balance sheet values as of that date.</t>
  </si>
  <si>
    <t>Sources: Berkshire Hathaway Annual Report 2013; NV Energy 10K filings 2009-2012; NV Energy 10Q 9/30/12; NV Energy 10Q 9/30/13; and author's calculations.</t>
  </si>
  <si>
    <t>Table 9.x.</t>
  </si>
  <si>
    <t>CHECK Insurance U/W, consolidated, from earnings statement</t>
  </si>
  <si>
    <t>Retroactive reinsurance and discount accretion adjustments</t>
  </si>
  <si>
    <r>
      <t>Current year adverse (favorable) loss development</t>
    </r>
    <r>
      <rPr>
        <vertAlign val="superscript"/>
        <sz val="12"/>
        <color theme="1"/>
        <rFont val="Times New Roman"/>
        <family val="1"/>
      </rPr>
      <t>3</t>
    </r>
  </si>
  <si>
    <t>Consolidated with Berkshire Hathaway Reinsurance Group</t>
  </si>
  <si>
    <t>Data not consistent</t>
  </si>
  <si>
    <t>Detail not available</t>
  </si>
  <si>
    <t>Note: The year 2016 is included twice to show the presentation before and after consolidating General Re into Berkshire Hathaway Reinsurance Group.</t>
  </si>
  <si>
    <t>Sources: Berkshire Hathaway Annual Reports 2016, 2017, 2019; and author's calculations.</t>
  </si>
  <si>
    <t>Leasing revenue</t>
  </si>
  <si>
    <t>Railroad, utilities and energy revenues</t>
  </si>
  <si>
    <t>Interest, dividend, and other investment income</t>
  </si>
  <si>
    <r>
      <t>Investment and derivative gains/(losses)</t>
    </r>
    <r>
      <rPr>
        <b/>
        <vertAlign val="superscript"/>
        <sz val="12"/>
        <rFont val="Times New Roman"/>
        <family val="1"/>
      </rPr>
      <t>1</t>
    </r>
  </si>
  <si>
    <t xml:space="preserve">  Insurance and other non-finance businesses</t>
  </si>
  <si>
    <r>
      <t>Net earnings attributable to Berkshire Hathaway</t>
    </r>
    <r>
      <rPr>
        <vertAlign val="superscript"/>
        <sz val="12"/>
        <rFont val="Times New Roman"/>
        <family val="1"/>
      </rPr>
      <t>2</t>
    </r>
  </si>
  <si>
    <t xml:space="preserve">  Railroad, utilities and energy businesses</t>
  </si>
  <si>
    <t>Sources: Berkshire Hathaway Annual Reports 2017, 2019.</t>
  </si>
  <si>
    <t>Tax Cuts and Jobs Act of 2017</t>
  </si>
  <si>
    <t>% Operating earnings</t>
  </si>
  <si>
    <t>Manufacturing, service and retailing businesses - pre-tax earnings</t>
  </si>
  <si>
    <t>Industrial products</t>
  </si>
  <si>
    <t>Building products</t>
  </si>
  <si>
    <t>Consumer products</t>
  </si>
  <si>
    <t>Subtotal - manufacturing</t>
  </si>
  <si>
    <t>Service</t>
  </si>
  <si>
    <t>Retailing</t>
  </si>
  <si>
    <t>Subtotal - service and retailing</t>
  </si>
  <si>
    <t>Kraft - acquisition analysis</t>
  </si>
  <si>
    <t>Intangible amortization</t>
  </si>
  <si>
    <t>EBIT from:</t>
  </si>
  <si>
    <t>Cheese</t>
  </si>
  <si>
    <t>Refrigerated meals</t>
  </si>
  <si>
    <t>Beverages</t>
  </si>
  <si>
    <t>Meals &amp; Desserts</t>
  </si>
  <si>
    <t>Enhancers &amp; Snack nuts</t>
  </si>
  <si>
    <t>Canada</t>
  </si>
  <si>
    <t>General corporate expenses</t>
  </si>
  <si>
    <t>Total EBIT</t>
  </si>
  <si>
    <t>Grocery</t>
  </si>
  <si>
    <t>International &amp; Foodservice</t>
  </si>
  <si>
    <t>Hedging activities</t>
  </si>
  <si>
    <t>BRK going-in pre-tax return (2014)</t>
  </si>
  <si>
    <t>Heinz valuation 12/31/14</t>
  </si>
  <si>
    <t>Total Heinz capitalization</t>
  </si>
  <si>
    <t>Value given for 51% of Kraft equity</t>
  </si>
  <si>
    <t>Implied purchase price of 100% of Kraft equity</t>
  </si>
  <si>
    <t>Heinz original equity</t>
  </si>
  <si>
    <t>BRK stake</t>
  </si>
  <si>
    <t>New equity for Kraft</t>
  </si>
  <si>
    <t>% owned</t>
  </si>
  <si>
    <t>Total valuation</t>
  </si>
  <si>
    <t>BRK preferred</t>
  </si>
  <si>
    <t>Heinz debt</t>
  </si>
  <si>
    <t>Kraft debt</t>
  </si>
  <si>
    <t>Heinz 2014 operating income</t>
  </si>
  <si>
    <t>Kraft 2014 operating income</t>
  </si>
  <si>
    <t>Combined operating income</t>
  </si>
  <si>
    <t>Sources: Berkshire Hathaway Annual Report 2015; Kraft Annual Reports 2012-2014; H.J. Heinz Holding Corporation S-4 registration statement filing; and author's calculations.</t>
  </si>
  <si>
    <t xml:space="preserve">Note: Balance sheet data for Kraft for 2010 was not available. </t>
  </si>
  <si>
    <t>Tangible capital employed</t>
  </si>
  <si>
    <t>Accured marketing</t>
  </si>
  <si>
    <t>Accrued employment costs</t>
  </si>
  <si>
    <t>Accrued post retirement benefits</t>
  </si>
  <si>
    <t>Net working capital</t>
  </si>
  <si>
    <t>PP&amp;E, net</t>
  </si>
  <si>
    <t>Post retirement health care &amp; pension liabilities</t>
  </si>
  <si>
    <r>
      <t>EBIT margin</t>
    </r>
    <r>
      <rPr>
        <vertAlign val="superscript"/>
        <sz val="12"/>
        <color theme="1"/>
        <rFont val="Times New Roman"/>
        <family val="1"/>
      </rPr>
      <t>2</t>
    </r>
  </si>
  <si>
    <r>
      <t>49% of Heinz capitalization</t>
    </r>
    <r>
      <rPr>
        <vertAlign val="superscript"/>
        <sz val="12"/>
        <color theme="1"/>
        <rFont val="Times New Roman"/>
        <family val="1"/>
      </rPr>
      <t>3</t>
    </r>
  </si>
  <si>
    <r>
      <t>BRK &amp; 3G equity contribution</t>
    </r>
    <r>
      <rPr>
        <vertAlign val="superscript"/>
        <sz val="12"/>
        <color theme="1"/>
        <rFont val="Times New Roman"/>
        <family val="1"/>
      </rPr>
      <t>4</t>
    </r>
  </si>
  <si>
    <t>3. Heinz capitalization at year-end 2014 consisted of equity ($7,336), total debt ($13,597) and preferred stock ($8,320).</t>
  </si>
  <si>
    <t xml:space="preserve">4. Berkshire invested $5,260 and 3G invested $4,740. </t>
  </si>
  <si>
    <t xml:space="preserve">2. Adjustments were made to exclude changes to defined benefit plans. </t>
  </si>
  <si>
    <t xml:space="preserve">1. Average capital calculated using specific working capital and fixed asset accounts for consistency. Data for 2011 did not contain comparable figures for accrued pension costs and accrued postretirement health care costs. </t>
  </si>
  <si>
    <t>Amortization of intangibles</t>
  </si>
  <si>
    <t xml:space="preserve">Notes: Fiscal years ended in March. </t>
  </si>
  <si>
    <t xml:space="preserve">1. Adjustments were made for goodwill and intangibles. </t>
  </si>
  <si>
    <t>Sources: Berkshire Hathaway Annual Report 2016; Precision Castparts Corp. Annual Reports 2011-2015; and author's calculations.</t>
  </si>
  <si>
    <t>Precision Castparts Corp. - acquisition analysis</t>
  </si>
  <si>
    <t>Accrued liabilities</t>
  </si>
  <si>
    <t>Income before income tax expense and equity in earnings of unconsolidated subsidiaries</t>
  </si>
  <si>
    <t>Premiums Earned</t>
  </si>
  <si>
    <t>Average Float / Premiums Earned</t>
  </si>
  <si>
    <t>Tangible capital / tangible equity</t>
  </si>
  <si>
    <t>Apple - investment analysis</t>
  </si>
  <si>
    <t xml:space="preserve">Note: The company's fiscal year ended in September. </t>
  </si>
  <si>
    <t>Short-term marketable securities</t>
  </si>
  <si>
    <t>2.5% of revenues</t>
  </si>
  <si>
    <t>Cash &amp; investments in excess</t>
  </si>
  <si>
    <t>Less: excess cash</t>
  </si>
  <si>
    <t>Total cash &amp; ST investments</t>
  </si>
  <si>
    <t>Less: long-term marketable securities</t>
  </si>
  <si>
    <t>R&amp;D</t>
  </si>
  <si>
    <t>R&amp;D / revenues</t>
  </si>
  <si>
    <t>Excess cash &amp; short-term investments</t>
  </si>
  <si>
    <t>Long-term marketable securities</t>
  </si>
  <si>
    <t>Total excess assets</t>
  </si>
  <si>
    <t>10x three year average operating earnings</t>
  </si>
  <si>
    <t>Less: debt</t>
  </si>
  <si>
    <t>Implied equity value</t>
  </si>
  <si>
    <t>12/31/17 BRK shares owned</t>
  </si>
  <si>
    <t>Cost (millions)</t>
  </si>
  <si>
    <t>% company owned</t>
  </si>
  <si>
    <t>Implied value of equity</t>
  </si>
  <si>
    <t>Plus: debt</t>
  </si>
  <si>
    <t>Enterprise value</t>
  </si>
  <si>
    <t>3-year average operating income</t>
  </si>
  <si>
    <t>Going-in return</t>
  </si>
  <si>
    <t>Sources: Berkshire Hathaway Annual Report 2017; Apple, Inc. Annual Reports 2011-2016; and author's calculations.</t>
  </si>
  <si>
    <r>
      <t>Pre-tax operating income</t>
    </r>
    <r>
      <rPr>
        <vertAlign val="superscript"/>
        <sz val="12"/>
        <color theme="1"/>
        <rFont val="Times New Roman"/>
        <family val="1"/>
      </rPr>
      <t>1</t>
    </r>
  </si>
  <si>
    <r>
      <t>Purchase price (equity)</t>
    </r>
    <r>
      <rPr>
        <vertAlign val="superscript"/>
        <sz val="12"/>
        <color theme="1"/>
        <rFont val="Times New Roman"/>
        <family val="1"/>
      </rPr>
      <t>2</t>
    </r>
  </si>
  <si>
    <t>1. Adjustments were made for goodwill and intangibles.</t>
  </si>
  <si>
    <r>
      <t>Less: excess cash &amp; investments</t>
    </r>
    <r>
      <rPr>
        <vertAlign val="superscript"/>
        <sz val="12"/>
        <color theme="1"/>
        <rFont val="Times New Roman"/>
        <family val="1"/>
      </rPr>
      <t>3</t>
    </r>
  </si>
  <si>
    <t>Enterprise value - excess cash &amp; investments</t>
  </si>
  <si>
    <t>Adjusted going-in return</t>
  </si>
  <si>
    <t>3. Consists of cash &amp; equivalents in excess of 2.5% of revenues plus long-term marketable securities.</t>
  </si>
  <si>
    <t>Average operating income (5 years)</t>
  </si>
  <si>
    <t>Balance</t>
  </si>
  <si>
    <t>R&amp;D Asset</t>
  </si>
  <si>
    <t>R&amp;D Amortization</t>
  </si>
  <si>
    <t>Plus: new</t>
  </si>
  <si>
    <t>Balance, net</t>
  </si>
  <si>
    <t>Operating income before interest Inc./exp.</t>
  </si>
  <si>
    <t>2. Implied valuation based on Berkshire's cost of $20,961 million for 3.3% of the company.</t>
  </si>
  <si>
    <t>Revenues / PP&amp;E</t>
  </si>
  <si>
    <t>2.5% revenues in cash</t>
  </si>
  <si>
    <t>Vendor non-trade receivables</t>
  </si>
  <si>
    <t>Net PPE</t>
  </si>
  <si>
    <t>Deferred revenue</t>
  </si>
  <si>
    <t>Net core working capital</t>
  </si>
  <si>
    <t>Return using 2016</t>
  </si>
  <si>
    <t>Property/casualty</t>
  </si>
  <si>
    <t>Retroactive reinsurance</t>
  </si>
  <si>
    <t>Life/health</t>
  </si>
  <si>
    <t>Periodic payment annuity</t>
  </si>
  <si>
    <t>Change in operating earnings</t>
  </si>
  <si>
    <t>Reported operating earnings</t>
  </si>
  <si>
    <r>
      <t>Common shares outstanding at year end</t>
    </r>
    <r>
      <rPr>
        <vertAlign val="superscript"/>
        <sz val="12"/>
        <color theme="1"/>
        <rFont val="Times New Roman"/>
        <family val="1"/>
      </rPr>
      <t>5</t>
    </r>
  </si>
  <si>
    <t xml:space="preserve">5. A-share equivalent, in thousands. </t>
  </si>
  <si>
    <t>Add: KHC &amp; other intangible impairment</t>
  </si>
  <si>
    <t>See press release operating statement</t>
  </si>
  <si>
    <t>Table 9.1.</t>
  </si>
  <si>
    <t>Half-decade snapshot: 2014-2019</t>
  </si>
  <si>
    <t>$255 billion</t>
  </si>
  <si>
    <t>$425 billion</t>
  </si>
  <si>
    <t>$126 billion</t>
  </si>
  <si>
    <t>2. Invested an additional $5 billion in Heinz to acquire Kraft Foods Group (2015).</t>
  </si>
  <si>
    <t>7. Sold entire investment in IBM for approximately $13 billion (2017).</t>
  </si>
  <si>
    <t>6. Acquired 38.6% initial stake in Pilot Flying J for $2.8 billion (2017).</t>
  </si>
  <si>
    <t>2. Completes the largest retroactive reinsurance deal in history with a $10.2 billion premium with AIG (2017).</t>
  </si>
  <si>
    <t>Purchases of fixed maturity (incl'd treasuries beginning in 2016)</t>
  </si>
  <si>
    <t>Acquisition of treasury stock</t>
  </si>
  <si>
    <r>
      <t>Change in comprehensive income - other</t>
    </r>
    <r>
      <rPr>
        <vertAlign val="superscript"/>
        <sz val="12"/>
        <color theme="1"/>
        <rFont val="Times New Roman"/>
        <family val="1"/>
      </rPr>
      <t>6</t>
    </r>
  </si>
  <si>
    <r>
      <t>Adoption of new accounting pronouncements</t>
    </r>
    <r>
      <rPr>
        <vertAlign val="superscript"/>
        <sz val="12"/>
        <color theme="1"/>
        <rFont val="Times New Roman"/>
        <family val="1"/>
      </rPr>
      <t>5</t>
    </r>
  </si>
  <si>
    <t xml:space="preserve">6. Includes foreign currency translation, transactions relating to pension plans, OCI related to non-controlling interests, other, and amounts applicable to income taxes. </t>
  </si>
  <si>
    <r>
      <t>Current year net income/(loss)</t>
    </r>
    <r>
      <rPr>
        <vertAlign val="superscript"/>
        <sz val="12"/>
        <color theme="1"/>
        <rFont val="Times New Roman"/>
        <family val="1"/>
      </rPr>
      <t>1</t>
    </r>
  </si>
  <si>
    <r>
      <t>Issuance of shares</t>
    </r>
    <r>
      <rPr>
        <vertAlign val="superscript"/>
        <sz val="12"/>
        <color theme="1"/>
        <rFont val="Times New Roman"/>
        <family val="1"/>
      </rPr>
      <t>2</t>
    </r>
  </si>
  <si>
    <r>
      <t>Treasury stock</t>
    </r>
    <r>
      <rPr>
        <vertAlign val="superscript"/>
        <sz val="12"/>
        <color theme="1"/>
        <rFont val="Times New Roman"/>
        <family val="1"/>
      </rPr>
      <t>3</t>
    </r>
  </si>
  <si>
    <t>2. The issuance of shares primarily relates to prior acquisitions.</t>
  </si>
  <si>
    <r>
      <t>Transactions with noncontrolling interests</t>
    </r>
    <r>
      <rPr>
        <vertAlign val="superscript"/>
        <sz val="12"/>
        <color theme="1"/>
        <rFont val="Times New Roman"/>
        <family val="1"/>
      </rPr>
      <t>4</t>
    </r>
  </si>
  <si>
    <t>4. Reductions in equity related to the acquisition of noncontrolling interests; the excess of consideration paid over the previously recorded balance sheet carrying amount.</t>
  </si>
  <si>
    <t>Adoption of equity method</t>
  </si>
  <si>
    <t>Sources: Berkshire Hathaway Annual Reports 2014-2019 and author's calculations.</t>
  </si>
  <si>
    <t>Ending Equity 2019</t>
  </si>
  <si>
    <t>Net income - operations:</t>
  </si>
  <si>
    <t>Less: 2018-2019 investment/derivatives gains/losses</t>
  </si>
  <si>
    <t>Net income - realized gains:</t>
  </si>
  <si>
    <t>2015-2017 realized gains</t>
  </si>
  <si>
    <t>2018-2019 after-tax realized gains on equity + fixed maturity</t>
  </si>
  <si>
    <t>Unrealized appreciation of investments:</t>
  </si>
  <si>
    <t>2015-2017 unrealized appreciation from table above</t>
  </si>
  <si>
    <r>
      <t xml:space="preserve">Less: </t>
    </r>
    <r>
      <rPr>
        <i/>
        <sz val="12"/>
        <color theme="1"/>
        <rFont val="Times New Roman"/>
        <family val="1"/>
      </rPr>
      <t>Realized gains from above</t>
    </r>
  </si>
  <si>
    <t>Less: 2017 TCJA included in 2017 net income</t>
  </si>
  <si>
    <t>2015-2017 net income from above</t>
  </si>
  <si>
    <t>2018-2019 net income from above</t>
  </si>
  <si>
    <t>Rounded data from 2019ar</t>
  </si>
  <si>
    <r>
      <t xml:space="preserve">2018-2019 investment/derivatives gains/losses - </t>
    </r>
    <r>
      <rPr>
        <i/>
        <sz val="12"/>
        <color theme="1"/>
        <rFont val="Times New Roman"/>
        <family val="1"/>
      </rPr>
      <t>in net income</t>
    </r>
  </si>
  <si>
    <t>2018-2019 unrealized appreciation in table above (the securities whose change doesn't flow thru net income)</t>
  </si>
  <si>
    <t xml:space="preserve">2014-19 </t>
  </si>
  <si>
    <t>Table 9.2.</t>
  </si>
  <si>
    <t xml:space="preserve">  Total underwriting</t>
  </si>
  <si>
    <t>Corporate, eliminations and other</t>
  </si>
  <si>
    <t>Consolidated with BHRG</t>
  </si>
  <si>
    <t>Consolidated with MSR</t>
  </si>
  <si>
    <r>
      <t>Equity method investments</t>
    </r>
    <r>
      <rPr>
        <vertAlign val="superscript"/>
        <sz val="12"/>
        <color theme="1"/>
        <rFont val="Times New Roman"/>
        <family val="1"/>
      </rPr>
      <t>4</t>
    </r>
  </si>
  <si>
    <r>
      <t>Income taxes and minority interests</t>
    </r>
    <r>
      <rPr>
        <vertAlign val="superscript"/>
        <sz val="12"/>
        <color theme="1"/>
        <rFont val="Times New Roman"/>
        <family val="1"/>
      </rPr>
      <t>5</t>
    </r>
  </si>
  <si>
    <t>BNSF</t>
  </si>
  <si>
    <r>
      <t>Berkshire Hathaway Energy</t>
    </r>
    <r>
      <rPr>
        <vertAlign val="superscript"/>
        <sz val="12"/>
        <color theme="1"/>
        <rFont val="Times New Roman"/>
        <family val="1"/>
      </rPr>
      <t>1</t>
    </r>
  </si>
  <si>
    <t>1. In 2014, MidAmerican changed its name to Berkshire Hathaway Energy.</t>
  </si>
  <si>
    <t>3. In 2018, the Finance and financial products businesses were consolidated with the MSR businesses.</t>
  </si>
  <si>
    <t>4. 2018: Includes intangible asset impairment from Kraft Heinz.</t>
  </si>
  <si>
    <t xml:space="preserve">Sources: Berkshire Hathaway Annual Reports 2014, 2016, 2017, 2019. </t>
  </si>
  <si>
    <t>Sources: Berkshire Hathaway Annual Reports 2014-2019.</t>
  </si>
  <si>
    <t>Railroad</t>
  </si>
  <si>
    <r>
      <t>Finance and financial products</t>
    </r>
    <r>
      <rPr>
        <vertAlign val="superscript"/>
        <sz val="12"/>
        <color theme="1"/>
        <rFont val="Times New Roman"/>
        <family val="1"/>
      </rPr>
      <t>1</t>
    </r>
  </si>
  <si>
    <r>
      <t>Other</t>
    </r>
    <r>
      <rPr>
        <vertAlign val="superscript"/>
        <sz val="12"/>
        <color theme="1"/>
        <rFont val="Times New Roman"/>
        <family val="1"/>
      </rPr>
      <t>2</t>
    </r>
  </si>
  <si>
    <t xml:space="preserve">1. Beginning in 2018, the Finance and Financial Products businesses were consolidated with the Manufacturing, Service, and Retailing businesses. </t>
  </si>
  <si>
    <t xml:space="preserve">2. Includes $2.7 billion after-tax intangible asset impairment charge from Kraft Heinz. </t>
  </si>
  <si>
    <t>3. 2011: Includes earnings of Lubrizol from September 16.</t>
  </si>
  <si>
    <r>
      <t>Finance and financial products</t>
    </r>
    <r>
      <rPr>
        <vertAlign val="superscript"/>
        <sz val="12"/>
        <color theme="1"/>
        <rFont val="Times New Roman"/>
        <family val="1"/>
      </rPr>
      <t>4</t>
    </r>
  </si>
  <si>
    <t>4. In 2014, Marmon's leasing operations began to be included in Finance and financial products. This table uses data from 2014 which adjusts 2012 and 2013 for the new presentation.</t>
  </si>
  <si>
    <t>Sources: Berkshire Hathaway Annual Reports 2015-2019 and author's calculations.</t>
  </si>
  <si>
    <t xml:space="preserve">Berkshire stopped reporting this data after 2016. </t>
  </si>
  <si>
    <t>1. For the 2016 presentation, Berkshire reclassified $22 million from Iowa utility to Other for results in 2015 and $28 million for results in 2014. The more recent presentation is included here.</t>
  </si>
  <si>
    <t>PacifiCorp</t>
  </si>
  <si>
    <r>
      <t>Iowa utility</t>
    </r>
    <r>
      <rPr>
        <vertAlign val="superscript"/>
        <sz val="12"/>
        <color theme="1"/>
        <rFont val="Times New Roman"/>
        <family val="1"/>
      </rPr>
      <t>1</t>
    </r>
  </si>
  <si>
    <r>
      <t>Canadian transmission utility</t>
    </r>
    <r>
      <rPr>
        <vertAlign val="superscript"/>
        <sz val="12"/>
        <color theme="1"/>
        <rFont val="Times New Roman"/>
        <family val="1"/>
      </rPr>
      <t>2</t>
    </r>
  </si>
  <si>
    <r>
      <t>Renewable projects</t>
    </r>
    <r>
      <rPr>
        <vertAlign val="superscript"/>
        <sz val="12"/>
        <color theme="1"/>
        <rFont val="Times New Roman"/>
        <family val="1"/>
      </rPr>
      <t>2</t>
    </r>
  </si>
  <si>
    <r>
      <t>Other (net)</t>
    </r>
    <r>
      <rPr>
        <vertAlign val="superscript"/>
        <sz val="12"/>
        <color theme="1"/>
        <rFont val="Times New Roman"/>
        <family val="1"/>
      </rPr>
      <t>2</t>
    </r>
  </si>
  <si>
    <t>2. Canadian transmission utility and renewable projects reported in other beginning in 2017.</t>
  </si>
  <si>
    <t>Earnings before corporate interest and taxes</t>
  </si>
  <si>
    <t xml:space="preserve">1. Berkshire stopped reporting this data in the Chairman's letter after 2016. Data for 2017-2019 taken from the Annual Reports. </t>
  </si>
  <si>
    <t xml:space="preserve">2. In 2019, Berkshire changed the presentation of Berkshire Hathaway Energy to present consolidated income accounts and only detailed the after-tax results for each unit. Previous presentations included the pre-tax results. </t>
  </si>
  <si>
    <t>Sources: Berkshire Hathaway Annual Reports 2016-2019.</t>
  </si>
  <si>
    <r>
      <t>Net earnings applicable to Berkshire</t>
    </r>
    <r>
      <rPr>
        <vertAlign val="superscript"/>
        <sz val="12"/>
        <color theme="1"/>
        <rFont val="Times New Roman"/>
        <family val="1"/>
      </rPr>
      <t>3</t>
    </r>
  </si>
  <si>
    <t>3. Earnings applicable to Berkshire consist of its share of net earnings plus after tax interest income from debt owed to Berkshire.</t>
  </si>
  <si>
    <r>
      <t>Deferred taxes</t>
    </r>
    <r>
      <rPr>
        <vertAlign val="superscript"/>
        <sz val="12"/>
        <color theme="1"/>
        <rFont val="Times New Roman"/>
        <family val="1"/>
      </rPr>
      <t>1</t>
    </r>
  </si>
  <si>
    <t>Source Years</t>
  </si>
  <si>
    <t>Sources: Berkshire Hathaway Annual Reports 2011, 2014, 2016, 2019; and author's calculations.</t>
  </si>
  <si>
    <t>NI - operations excluding TCJA 2017</t>
  </si>
  <si>
    <t>Acquisitions</t>
  </si>
  <si>
    <t>Capital expenditures, net</t>
  </si>
  <si>
    <t>Cash: 12/31/14</t>
  </si>
  <si>
    <t>Cash: 12/31/19</t>
  </si>
  <si>
    <t>Major capital allocation decisions 2015-2019</t>
  </si>
  <si>
    <t>Net increase in cash &amp; fixed maturity investments</t>
  </si>
  <si>
    <t>2015-19</t>
  </si>
  <si>
    <t>For pie chart</t>
  </si>
  <si>
    <t>Apple, Inc.</t>
  </si>
  <si>
    <t>Bank of America</t>
  </si>
  <si>
    <t>All others</t>
  </si>
  <si>
    <t>Top five % of total</t>
  </si>
  <si>
    <t>JP Morgan Chase</t>
  </si>
  <si>
    <t>Moody's Corp.</t>
  </si>
  <si>
    <t>Note: Investments with a market value of $5 billion or greater in either period.</t>
  </si>
  <si>
    <t>US Bancorp</t>
  </si>
  <si>
    <t>Sources: Berkshire Hathaway Annual Reports 2014, 2019; and author's calculations.</t>
  </si>
  <si>
    <t>(2019 is $166 below the actual amount spend on repurchases (trades hadn't settled before year end)).</t>
  </si>
  <si>
    <t>4. Acquired Duracell from Proctor &amp; Gamble in a cash-rich split-off transaction for $4.2 billion, gross of $1.8 billion acquired cash (2016).</t>
  </si>
  <si>
    <t>Table 9.3.</t>
  </si>
  <si>
    <t>Berkshire Hathaway after-tax earnings</t>
  </si>
  <si>
    <t>Less: realized gains from 2015-2017 (18/19 already above)</t>
  </si>
  <si>
    <t>Sources: Berkshire Hathaway Annual Reports 2004-2016.</t>
  </si>
  <si>
    <t>Manufacturing, Service and Retailing businesses - balance sheets, 2004-2016</t>
  </si>
  <si>
    <t>Manufacturing, Service and Retailing businesses - income statements, 2004-2016</t>
  </si>
  <si>
    <t>Sources: Berkshire Hathaway Annual Reports 2004-2016 and author's calculations.</t>
  </si>
  <si>
    <t>Detail no longer provided</t>
  </si>
  <si>
    <t>Insurance, utilities, railroad, numerous industrial, building, and consumer products businesses, numerous service and retailing businesses, major interests in branded food product businesses, significant stakes in several public companies.</t>
  </si>
  <si>
    <t>Manufacturing, Service and Retailing businesses - ratios and key figures, 2004-2016</t>
  </si>
  <si>
    <t>1. Acquired Iscar for $6.05 billion ($4 billion in 2006 and $2.05 billion in 2013).</t>
  </si>
  <si>
    <t>8. Invested over $73 billion in capital expenditures ($36 billion more than depreciation expense) (2005-2014).</t>
  </si>
  <si>
    <t>9. Increased stake in Wells Fargo by $11.4 billion (various years) and established a major investment in International Business Machines (IBM) at a cost of $13.2 billion (2011-14).</t>
  </si>
  <si>
    <t xml:space="preserve">1. In mid-2006, Warren Buffett pledged to give the bulk of his fortune (worth over $40 billion) to philanthropy. The major recipient was the Bill &amp; Melinda Gates Foundation. </t>
  </si>
  <si>
    <t>Insurance, utilities, railroad, numerous industrial, building, and consumer products businesses, numerous service and retailing businesses, major interest in a branded food product business, significant stakes in several public companies.</t>
  </si>
  <si>
    <t xml:space="preserve">1. This is the implied valuation for 100% of the equity based on the $26.5 billion paid for 77.5% of BNSF. The actual cost was $33.5 billion, which includes the $6.6 billion already owned plus $0.4 billion of equity awards. Upon acquiring the company, Berkshire recognized a $1 billion one-time holding gain on the shares it already owned. </t>
  </si>
  <si>
    <t xml:space="preserve">1. Adjustments were made for goodwill and intangibles, in addition to a minor amount of write-offs and restructuring charges. </t>
  </si>
  <si>
    <t>1. Leverage as measured by the sum of capital more senior in priority divided by source.</t>
  </si>
  <si>
    <t>2.
1995: 15,762 shares issued in connection with acquisition of Helzberg Diamond Shops and R.C. Willey Home Furnishings.
1996: 17,728 "A" shares and 112,655 "B" shares issued in connection with acquisition of FlightSafety.
1997: 1,866 "A" shares and 165 "B" shares issued in connection with acquisition of Star Furniture.
1998: 272,200 "A" share-equivalents issued in connection with the General Re acquisition. Remaining 12,221 A-equivalent shares attributable to the stock portion of the International Dairy Queen and Executive Jet acquisitions. Also note that in 1998 Berkshire eliminated/retired its outstanding Treasury stock.
1999: $88 million attributable to the exercise of stock options in connection with acquisitions.
2000: $224 million or 3,572 A-shares issued in connection with the acquisitions of USIC and Ben Bridge. Remainder or $91 million related to the exercise of options in connection with acquisitions and SQUARZ warrant premiums.
2001: $83 million additional paid-in capital relating to the exercise of stock options in connection with acquisitions  and SQUARZ warrant premiums.
2002: 4,505 A-shares and 7,063 B-shares issued in connection with unspecified acquisitions ($324 million); $97 million attributable to the exercise of options related to acquisitions and SQUARZ warrant premiums.
2003: $123 million attributable to the exercise of stock options in connection with acquisitions and SQUARZ warrant premiums.
2004: $117 million attributable to the exercise of stock options in connection with acquisitions and SQUARZ warrant premiums.</t>
  </si>
  <si>
    <t>Table 10.x.</t>
  </si>
  <si>
    <t>Litton Industries, select data</t>
  </si>
  <si>
    <t>Reported EPS</t>
  </si>
  <si>
    <t>Intangibles</t>
  </si>
  <si>
    <t>Shares outstanding (common, millions)</t>
  </si>
  <si>
    <t>Book value per outstanding share</t>
  </si>
  <si>
    <t>Pre-tax income per share</t>
  </si>
  <si>
    <t>NI/SH out</t>
  </si>
  <si>
    <t>Annual Reports</t>
  </si>
  <si>
    <t>File length</t>
  </si>
  <si>
    <t>Estimated length (file - 2 pages for cover/back)</t>
  </si>
  <si>
    <t>Transcript files</t>
  </si>
  <si>
    <t>Chairman's letter length</t>
  </si>
  <si>
    <t>Chairman's letter % total</t>
  </si>
  <si>
    <t>Length 1965-2019</t>
  </si>
  <si>
    <t>1994-2005</t>
  </si>
  <si>
    <t>2006-2011</t>
  </si>
  <si>
    <t>2012-2018</t>
  </si>
  <si>
    <t>Pages</t>
  </si>
  <si>
    <t>Word count</t>
  </si>
  <si>
    <t>(For Chart) Length - Chairman's letter (for stacked)</t>
  </si>
  <si>
    <t>Annual report total pages CAGR 1965-2019</t>
  </si>
  <si>
    <t>Textron, Inc., select data</t>
  </si>
  <si>
    <t>(SH equity incl'd minority int)</t>
  </si>
  <si>
    <t>3:2 split</t>
  </si>
  <si>
    <t>Ling-Temco-Vought, select data</t>
  </si>
  <si>
    <t>Gulf + Western, select data</t>
  </si>
  <si>
    <t>ITT, select data</t>
  </si>
  <si>
    <t>Revenues/SH</t>
  </si>
  <si>
    <t>Teledyne, select data</t>
  </si>
  <si>
    <t>Conglomerates, select data</t>
  </si>
  <si>
    <t>Litton Industries</t>
  </si>
  <si>
    <t>% of 1959</t>
  </si>
  <si>
    <t>(in millions)</t>
  </si>
  <si>
    <t>1. Earnings per share calculated by dividing reported net income by the number of outstanding common shares.</t>
  </si>
  <si>
    <t>LTV</t>
  </si>
  <si>
    <t>Gulf + Western</t>
  </si>
  <si>
    <t>Teledyne</t>
  </si>
  <si>
    <t>2. Base year for Teledyne is 1961.</t>
  </si>
  <si>
    <t>Not including finance and ESOP debt</t>
  </si>
  <si>
    <t>Shares outstanding (A sh)</t>
  </si>
  <si>
    <t>% base year 1964</t>
  </si>
  <si>
    <t>Decade change</t>
  </si>
  <si>
    <t>Textron</t>
  </si>
  <si>
    <t>Average pre-tax return on capital</t>
  </si>
  <si>
    <t>Litton</t>
  </si>
  <si>
    <r>
      <t>Teledyne</t>
    </r>
    <r>
      <rPr>
        <vertAlign val="superscript"/>
        <sz val="12"/>
        <color theme="1"/>
        <rFont val="Times New Roman"/>
        <family val="1"/>
      </rPr>
      <t>1</t>
    </r>
  </si>
  <si>
    <t>Change in shares outstanding</t>
  </si>
  <si>
    <t>Change in revenues</t>
  </si>
  <si>
    <t>Early conglomerates, select data 1959-1969</t>
  </si>
  <si>
    <t>1. Teledyne beginning in 1962 (earlier data not available).</t>
  </si>
  <si>
    <t>Equity/total invested capital</t>
  </si>
  <si>
    <t>Equity/IC</t>
  </si>
  <si>
    <t>ITT</t>
  </si>
  <si>
    <t>Sources: Annual reports for International Telephone and Telegraph, Gulf + Western, Ling-Temco-Vought, Litton, Teledyne; and author's calculations.</t>
  </si>
  <si>
    <t>1. Acquired Van Tuyl Automotive Group for $4.2 billion (2015).</t>
  </si>
  <si>
    <t>3. Acquired Precision Castparts Corp. (PCC) for $32.6 billion cash (2016).</t>
  </si>
  <si>
    <t xml:space="preserve">3. Buffett wins 10-year bet that an index fund will beat a group of hedge funds (2017). </t>
  </si>
  <si>
    <t>1. The Insurance Group breaks its 14-year record of consecutive underwriting profits with a pre-tax loss of $3.2 billion. GEICO reports its first underwriting loss since 2000. (2017)</t>
  </si>
  <si>
    <t xml:space="preserve">5. Invested $8.9 billion in the four largest US airlines. </t>
  </si>
  <si>
    <t>8. Acquired Medical Liability Mutual Insurance Company for $2.5 billion (2018).</t>
  </si>
  <si>
    <t xml:space="preserve">9. Acquired a significant stake in Apple, Inc.: $6.7 billion (2016), $14 billion (2017) and $15 billion (2018) for a total investment of $36 billion or 5.4% of the company. </t>
  </si>
  <si>
    <t>10. Sold 81% interest in Applied Underwriters for $920 million (2019).</t>
  </si>
  <si>
    <t>11. Invested $10 billion in Occidental Petroleum preferred stock.</t>
  </si>
  <si>
    <t>12. Invested over $71 billion in capital expenditures ($32 billion more than depreciation expense) (2015-2019).</t>
  </si>
  <si>
    <t xml:space="preserve">13. Repurchased $6.4 billion of its own stock (2018-2019). </t>
  </si>
  <si>
    <t xml:space="preserve">2. In 2014, Marmon's leasing operations were rolled into Finance and financial products. </t>
  </si>
  <si>
    <r>
      <t>Manufacturing, service and retailing (MSR)</t>
    </r>
    <r>
      <rPr>
        <vertAlign val="superscript"/>
        <sz val="12"/>
        <color theme="1"/>
        <rFont val="Times New Roman"/>
        <family val="1"/>
      </rPr>
      <t>2</t>
    </r>
  </si>
  <si>
    <t>Manufacturing, service and retailing (MSR)</t>
  </si>
  <si>
    <t>Top Five</t>
  </si>
  <si>
    <t>IBM</t>
  </si>
  <si>
    <t>% change</t>
  </si>
  <si>
    <t>BofA</t>
  </si>
  <si>
    <t>Coke</t>
  </si>
  <si>
    <t>AMEX</t>
  </si>
  <si>
    <t>Wells Fargo</t>
  </si>
  <si>
    <t>Apple</t>
  </si>
  <si>
    <t>1. Data taken from the 2019 Annual Report to maintain consistency. Slight differences exist for any particular year depending on the report year.</t>
  </si>
  <si>
    <t>2. Beginning in 2018, investment gains/losses include the changes in fair values of equity securities during the period. Net earnings in 2017 includes a one-time net benefit of $29.1 billion attributable to the enactment of the Tax Cuts and Jobs Act of 2017.</t>
  </si>
  <si>
    <t>2017
Original</t>
  </si>
  <si>
    <t>2017 Restated</t>
  </si>
  <si>
    <t xml:space="preserve">Note: In 2014, Marmon's leasing operations began to be included in the Finance and Financial Products sector. The 2014 Annual Report provided a restatement of 2012 and 2013 for comparative purposes. This presentation contains the original presentations. </t>
  </si>
  <si>
    <t>3. The 2014 transaction was connected to the Graham Holdings tax-free exchange, which included 2,107 Class A shares and 1,278 Class B shares.</t>
  </si>
  <si>
    <t xml:space="preserve">1. 2017: Includes a one-time gain from a reduction in the US Corporate income tax rate from 35% to 21%.
2018: Beginning in 2018, unrealized gains and losses on equity securities are included in net income. </t>
  </si>
  <si>
    <t>5. 2017: Related to Berkshire discontinuing the practice of discounting workers' compensation claim liabilities assumed under reinsurance contracts. Equity for the prior years was restated for 2014-2016 in the financial statements.
2018: Related to adoption of ASC 606 related to revenue recognition (affected fractional ownership interests).</t>
  </si>
  <si>
    <t>5. 2017: Includes $28.2 billion benefit from the Tax Cuts and Jobs Act of 2017.</t>
  </si>
  <si>
    <t xml:space="preserve">4. Congress passed the Tax Cuts and Jobs Act of 2017 which reduced the US Corporate tax rate from 35% to 21%. </t>
  </si>
  <si>
    <t>Insurance underwriting (2%)</t>
  </si>
  <si>
    <t>Investment income (23%)</t>
  </si>
  <si>
    <t>BNSF (24%)</t>
  </si>
  <si>
    <t>Utilities and energy (13%)</t>
  </si>
  <si>
    <t>MSR (41%)</t>
  </si>
  <si>
    <t>Other (-2%)</t>
  </si>
  <si>
    <t>Value</t>
  </si>
  <si>
    <t>www.theoraclesclassroom.com</t>
  </si>
  <si>
    <t>XL Toolbox Settings</t>
  </si>
  <si>
    <t>export_preset</t>
  </si>
  <si>
    <t>export_path</t>
  </si>
  <si>
    <t xml:space="preserve">www.theoraclesclassroom.com </t>
  </si>
  <si>
    <t>Source: The Decline Of A Cotton Textile City (Wolfbein p. 161).</t>
  </si>
  <si>
    <t>Southern States</t>
  </si>
  <si>
    <t>Massachusetts</t>
  </si>
  <si>
    <t>New England</t>
  </si>
  <si>
    <t>United States</t>
  </si>
  <si>
    <t># looms</t>
  </si>
  <si>
    <t># spindles</t>
  </si>
  <si>
    <r>
      <t xml:space="preserve">Equity capital </t>
    </r>
    <r>
      <rPr>
        <i/>
        <sz val="12"/>
        <color rgb="FF000000"/>
        <rFont val="Times New Roman"/>
        <family val="1"/>
      </rPr>
      <t>($ millions)</t>
    </r>
  </si>
  <si>
    <r>
      <t xml:space="preserve">Net revenues </t>
    </r>
    <r>
      <rPr>
        <i/>
        <sz val="12"/>
        <color theme="1"/>
        <rFont val="Times New Roman"/>
        <family val="1"/>
      </rPr>
      <t>($ millions)</t>
    </r>
  </si>
  <si>
    <r>
      <t xml:space="preserve">Hathaway
</t>
    </r>
    <r>
      <rPr>
        <u/>
        <sz val="12"/>
        <color theme="1"/>
        <rFont val="Times New Roman"/>
        <family val="1"/>
      </rPr>
      <t>Manufacturing</t>
    </r>
  </si>
  <si>
    <r>
      <t xml:space="preserve">Berkshire
Fine
</t>
    </r>
    <r>
      <rPr>
        <u/>
        <sz val="12"/>
        <color theme="1"/>
        <rFont val="Times New Roman"/>
        <family val="1"/>
      </rPr>
      <t>Spinning</t>
    </r>
  </si>
  <si>
    <t xml:space="preserve">Comparative operational data for Berkshire Fine Spinning Associates and Hathaway Manufacturing. </t>
  </si>
  <si>
    <t xml:space="preserve">Table 1.1. </t>
  </si>
  <si>
    <t>Returns on equity at Berkshire Fine Spinning and Hathaway Manufacturing from 1940-1949.</t>
  </si>
  <si>
    <t>1945-1949 avg</t>
  </si>
  <si>
    <t>1940-1944 avg</t>
  </si>
  <si>
    <t>Profit margins at Berkshire Fine Spinning and Hathaway Manufacturing from 1940-1949.</t>
  </si>
  <si>
    <t>Berkshire Fine Spinning</t>
  </si>
  <si>
    <t>Revenues at Berkshire Fine Spinning and Hathaway Manufacturing from 1940-1949.</t>
  </si>
  <si>
    <t>Profit Margins</t>
  </si>
  <si>
    <t>Return on Equity</t>
  </si>
  <si>
    <t>Pro-Forma profit margin and return on equity for Berkshire Hathaway 1950-1955.</t>
  </si>
  <si>
    <t>Average</t>
  </si>
  <si>
    <t>Profit Margin</t>
  </si>
  <si>
    <t>Berkshire Hathaway (Pro-Forma)</t>
  </si>
  <si>
    <t>Changes in American Textile Industry, Technical bulletin No. 1210. U.S. Dept. Agriculture, Issued November 1959, accessed via Google Books p. 72</t>
  </si>
  <si>
    <t>End of WWII</t>
  </si>
  <si>
    <t>End of the Great Depressions and Start of WWII</t>
  </si>
  <si>
    <t>Start of the Great Depression</t>
  </si>
  <si>
    <t>Active %</t>
  </si>
  <si>
    <t>Spindles in Place</t>
  </si>
  <si>
    <t>Shares outstanding (000's)</t>
  </si>
  <si>
    <t>Property, plant &amp; equipment, net</t>
  </si>
  <si>
    <t>Berkshire Hathaway balance sheet, 1954</t>
  </si>
  <si>
    <t>Table 2.2.</t>
  </si>
  <si>
    <t>Plants</t>
  </si>
  <si>
    <t>Sept. 27, 1958</t>
  </si>
  <si>
    <t>Jan. 1, 1957</t>
  </si>
  <si>
    <t>Select period data</t>
  </si>
  <si>
    <t>Table 2.3.</t>
  </si>
  <si>
    <t>Balance, end of 1964</t>
  </si>
  <si>
    <t>Capital expenditures</t>
  </si>
  <si>
    <t>Plant write-downs</t>
  </si>
  <si>
    <t>Balance, end of 1954</t>
  </si>
  <si>
    <t>Property, plant, and equipment: 1954-1964</t>
  </si>
  <si>
    <t>Table 2.6.</t>
  </si>
  <si>
    <t>Plant, property, and equipment</t>
  </si>
  <si>
    <t>$ Change</t>
  </si>
  <si>
    <t>Select data from 1955 and 1964</t>
  </si>
  <si>
    <t>Table 2.4.</t>
  </si>
  <si>
    <t>Premiums written to average equity</t>
  </si>
  <si>
    <t>Select Berkshire Hathaway insurance company data, 1968-69</t>
  </si>
  <si>
    <t>Table 3.2.</t>
  </si>
  <si>
    <t>Avg. ROA</t>
  </si>
  <si>
    <t>Operating income after tax (prior to securities gains/losses)</t>
  </si>
  <si>
    <t>Berkshire going-in return</t>
  </si>
  <si>
    <t>Avg. operating income after-tax</t>
  </si>
  <si>
    <t>1968 Bank book value</t>
  </si>
  <si>
    <t>Berkshire purchase price</t>
  </si>
  <si>
    <t>Less: 1969 earnings</t>
  </si>
  <si>
    <t>1969 ending carrying value</t>
  </si>
  <si>
    <t>The Illinois National Bank &amp; Trust Co. of Rockford, acquisition analysis</t>
  </si>
  <si>
    <t xml:space="preserve">Table 3.3. </t>
  </si>
  <si>
    <t>Non-bank: profit margin (profit / revenues) x capital intensity (revenues / capital) = return on capital</t>
  </si>
  <si>
    <t>Bank: return on assets x leverage (assets / equity) = return on equity</t>
  </si>
  <si>
    <t xml:space="preserve">Bank and non-bank key metric calculations </t>
  </si>
  <si>
    <t xml:space="preserve">Figure 3.x. </t>
  </si>
  <si>
    <t>Avg. assets / avg. equity</t>
  </si>
  <si>
    <t>Return on assets</t>
  </si>
  <si>
    <t>Operating income, after-tax</t>
  </si>
  <si>
    <t>Illinois National Bank, return on assets and return on equity calculation, 1970</t>
  </si>
  <si>
    <t>Table 3.4.</t>
  </si>
  <si>
    <t>Return on capital, pre-tax</t>
  </si>
  <si>
    <t>Textile division, select data, 1971</t>
  </si>
  <si>
    <t>Table 3.5.</t>
  </si>
  <si>
    <t>Insurance Group - select data</t>
  </si>
  <si>
    <t>Table 3.7.</t>
  </si>
  <si>
    <t>AR as % revenues</t>
  </si>
  <si>
    <t>Accounts receivable (AR)</t>
  </si>
  <si>
    <t>Inventories as % revenues</t>
  </si>
  <si>
    <t>Textile division - select data</t>
  </si>
  <si>
    <t>Table 3.6.</t>
  </si>
  <si>
    <t>Source: Berkshire Hathaway Annual Report, 1973.</t>
  </si>
  <si>
    <t>Textile division, select data</t>
  </si>
  <si>
    <t>Table 3.8.</t>
  </si>
  <si>
    <t>December</t>
  </si>
  <si>
    <t>November</t>
  </si>
  <si>
    <t>October</t>
  </si>
  <si>
    <t>September</t>
  </si>
  <si>
    <t>August</t>
  </si>
  <si>
    <t>July</t>
  </si>
  <si>
    <t>June</t>
  </si>
  <si>
    <t>May</t>
  </si>
  <si>
    <t>April</t>
  </si>
  <si>
    <t>March</t>
  </si>
  <si>
    <t>February</t>
  </si>
  <si>
    <t>January</t>
  </si>
  <si>
    <t>Unaudited results</t>
  </si>
  <si>
    <t>Audited results</t>
  </si>
  <si>
    <t>Prior audit</t>
  </si>
  <si>
    <t>(2 months of overlap)</t>
  </si>
  <si>
    <t>(10 months of overlap)</t>
  </si>
  <si>
    <t>Further from economic reality</t>
  </si>
  <si>
    <t>Closer to economic reality</t>
  </si>
  <si>
    <t>No audit exception</t>
  </si>
  <si>
    <t>Audit exception</t>
  </si>
  <si>
    <t>Blue Chip's consolidation into Berkshire's financials</t>
  </si>
  <si>
    <t>Figure 3.1.</t>
  </si>
  <si>
    <t>Capital stock and surplus - GAAP</t>
  </si>
  <si>
    <t>Income tax effects and adjustments</t>
  </si>
  <si>
    <t>Sundry nonadmitted assets</t>
  </si>
  <si>
    <t>Net recoverable from unauthorized reinsurers</t>
  </si>
  <si>
    <t>Excess statutory liability loss reserves</t>
  </si>
  <si>
    <t>Deferred policy acquisition costs</t>
  </si>
  <si>
    <t>Excess of carrying value in Blue Chip Stamps</t>
  </si>
  <si>
    <t>Unrealized gains on equity securities
(excluding Blue Chip Stamps)</t>
  </si>
  <si>
    <t>Policyholder statutory surplus</t>
  </si>
  <si>
    <t>Reconciliation of statutory surplus to GAAP shareholders' equity, 1974</t>
  </si>
  <si>
    <t>Table 3.9.</t>
  </si>
  <si>
    <t xml:space="preserve">2. 1974 current liabilities estimated by deducting Insurance Group from the consolidated financial statements. </t>
  </si>
  <si>
    <t>1. 1974 cash estimated at 2.5% of revenues.</t>
  </si>
  <si>
    <t>Revenues / capital</t>
  </si>
  <si>
    <t>Capital employed in Textile Division</t>
  </si>
  <si>
    <r>
      <t>Less: current liabilities</t>
    </r>
    <r>
      <rPr>
        <vertAlign val="superscript"/>
        <sz val="12"/>
        <color theme="1"/>
        <rFont val="Times New Roman"/>
        <family val="1"/>
      </rPr>
      <t>2</t>
    </r>
  </si>
  <si>
    <t>Plant, property &amp; equipment</t>
  </si>
  <si>
    <r>
      <t>Cash</t>
    </r>
    <r>
      <rPr>
        <vertAlign val="superscript"/>
        <sz val="12"/>
        <color theme="1"/>
        <rFont val="Times New Roman"/>
        <family val="1"/>
      </rPr>
      <t>1</t>
    </r>
  </si>
  <si>
    <t>Table 3.11.</t>
  </si>
  <si>
    <r>
      <rPr>
        <b/>
        <sz val="12"/>
        <color theme="1"/>
        <rFont val="Times New Roman"/>
        <family val="1"/>
      </rPr>
      <t>7.</t>
    </r>
    <r>
      <rPr>
        <sz val="12"/>
        <color theme="1"/>
        <rFont val="Times New Roman"/>
        <family val="1"/>
      </rPr>
      <t xml:space="preserve"> Allocated 75% of $1.3 billion common equity portfolio into stock of GEICO, General Foods, Exxon, Washington Post.</t>
    </r>
  </si>
  <si>
    <t>Sources: Berkshire Hathaway Annual Report, 1975.</t>
  </si>
  <si>
    <t>Revenues (with Waumbec)</t>
  </si>
  <si>
    <t>Textile Division - select data</t>
  </si>
  <si>
    <t>Table 4.3.</t>
  </si>
  <si>
    <t>Workers' compensation</t>
  </si>
  <si>
    <t>Note: The Berkshire Hathaway figures differ slightly from those presented by Buffett in his letter (1976: 98.7%; 1975: 115.4%). Buffett used the statutory figures which do not include deferred premium acquisition costs.</t>
  </si>
  <si>
    <t>Stockholder-owned auto lines</t>
  </si>
  <si>
    <t>Stockholder-owned property/casualty</t>
  </si>
  <si>
    <t>Combined ratio, selected groups</t>
  </si>
  <si>
    <t>Price / book value</t>
  </si>
  <si>
    <t>Average book value</t>
  </si>
  <si>
    <t>Average shares outstanding</t>
  </si>
  <si>
    <t>Average cost per share</t>
  </si>
  <si>
    <t>Shares repurchased</t>
  </si>
  <si>
    <t>% Repurchased</t>
  </si>
  <si>
    <t>Berkshire Hathaway share repurchases, 1976</t>
  </si>
  <si>
    <t xml:space="preserve">Note: Percentages are rounded and don't add exactly to 100%. </t>
  </si>
  <si>
    <t>Total Equities</t>
  </si>
  <si>
    <t>Kaiser Industries, Inc.</t>
  </si>
  <si>
    <t>Ogilvy &amp; Mather International, Inc.</t>
  </si>
  <si>
    <t>Knight-Ridder Newspapers, Inc.</t>
  </si>
  <si>
    <t>Kaiser Aluminum &amp; Chemical Corporation</t>
  </si>
  <si>
    <t>GEICO - Common</t>
  </si>
  <si>
    <t>Capital Cities Communications, Inc.</t>
  </si>
  <si>
    <t xml:space="preserve">The Interpublic Group of Companies, Inc. </t>
  </si>
  <si>
    <t>GEICO - Convertible Preferred</t>
  </si>
  <si>
    <t>The Washington Post Company Class B</t>
  </si>
  <si>
    <t>Market Value
($ thousands)</t>
  </si>
  <si>
    <t>Berkshire Hathaway share repurchases, 1977</t>
  </si>
  <si>
    <t>(Restated) 1977</t>
  </si>
  <si>
    <t>Sources: Blue Chip Stamps 10K reports, 1970-1978.</t>
  </si>
  <si>
    <t>Note: Blue Chip Stamps’ fiscal year ended at the end of February or beginning of March through 1976, and then was changed to January 1, 1977, and then to December 31, 1978 and thereafter.</t>
  </si>
  <si>
    <t>52 WEEKS ENDED</t>
  </si>
  <si>
    <t>Figure 5.x Blue Chip Stamps trading stamp revenues</t>
  </si>
  <si>
    <t>Source: Berkshire Hathaway Annual Reports, 1973 and 1977.</t>
  </si>
  <si>
    <t>Table 5.x Select financial information on Blue Chip Stamps</t>
  </si>
  <si>
    <t>Source: Berkshire Hathaway 1978 Annual Report.</t>
  </si>
  <si>
    <t>Home State companies</t>
  </si>
  <si>
    <t>Underwriting gain (loss)</t>
  </si>
  <si>
    <r>
      <t>Sources: Berkshire Hathaway Annual Reports 1977 and 1978.</t>
    </r>
    <r>
      <rPr>
        <i/>
        <sz val="11"/>
        <color theme="1"/>
        <rFont val="Calibri"/>
        <family val="2"/>
        <scheme val="minor"/>
      </rPr>
      <t> </t>
    </r>
  </si>
  <si>
    <t>1977 Restated</t>
  </si>
  <si>
    <t>1977 Original</t>
  </si>
  <si>
    <t>Berkshire Hathaway, select parent-level information</t>
  </si>
  <si>
    <t>Avg. ROAA</t>
  </si>
  <si>
    <t>Avg. EBIT</t>
  </si>
  <si>
    <t>ROAA</t>
  </si>
  <si>
    <t>Sources: Blue Chip Stamps Annual Report 1973; Wesco Annual Reports 1970, 1973.</t>
  </si>
  <si>
    <t>Return on assets
(pre-tax, avg. 5 years)</t>
  </si>
  <si>
    <t>Blue Chip going-in return</t>
  </si>
  <si>
    <t xml:space="preserve">Pre-tax earnings, 1972
</t>
  </si>
  <si>
    <t>Wesco 1973 average shareholders' equity</t>
  </si>
  <si>
    <t>Implied market value</t>
  </si>
  <si>
    <t>Percentage of company owned</t>
  </si>
  <si>
    <t>Blue Chip 1973 investment</t>
  </si>
  <si>
    <t>Wesco Financial Corporation, select data</t>
  </si>
  <si>
    <t>Footnote: 
1. Blue Chip Stamps' earnings yield represents See’s pre-tax return on capital divided by the multiple Blue Chip paid for See’s tangible capital. (An alternative method to calculate this would be to divide the pre-tax earnings of See’s into the Blue Chip Stamps purchase price.)</t>
  </si>
  <si>
    <r>
      <t>Blue Chip Stamps earnings yield</t>
    </r>
    <r>
      <rPr>
        <vertAlign val="superscript"/>
        <sz val="12"/>
        <color theme="1"/>
        <rFont val="Times New Roman"/>
        <family val="1"/>
      </rPr>
      <t>1</t>
    </r>
  </si>
  <si>
    <t>Purchase price/tangible capital</t>
  </si>
  <si>
    <t>Purchase price</t>
  </si>
  <si>
    <t>Revenues/capital</t>
  </si>
  <si>
    <t>Tangible capital base</t>
  </si>
  <si>
    <t xml:space="preserve">In the 1984 Annual Letter Buffett quotes the figure for "net tangible assets" at $8 million. In the 1991 letter he cites a figure of $7 million for "tangible net worth". </t>
  </si>
  <si>
    <t>See's Candy Shops, Inc., select data</t>
  </si>
  <si>
    <t xml:space="preserve">Note: Totals do not add up to 100% due to rounding. </t>
  </si>
  <si>
    <t>All others, combined</t>
  </si>
  <si>
    <t>Mutual Savings and Loan</t>
  </si>
  <si>
    <t>Illinois National Bank</t>
  </si>
  <si>
    <t>See's Candies</t>
  </si>
  <si>
    <t>Total insurance</t>
  </si>
  <si>
    <t>Insurance net investment income</t>
  </si>
  <si>
    <t>Insurance underwriting</t>
  </si>
  <si>
    <t>Berkshire Hathaway summary sources of operating earnings 10% or more, 1979</t>
  </si>
  <si>
    <t>Source: Best's Aggregates and Averages, as quoted in the 1981 Berkshire Hathaway Annual Report.</t>
  </si>
  <si>
    <t>Growth in earned premiums</t>
  </si>
  <si>
    <t>Growth in written premiums</t>
  </si>
  <si>
    <t>Select insurance industry data</t>
  </si>
  <si>
    <t>After-tax profits</t>
  </si>
  <si>
    <t>% / Yr.</t>
  </si>
  <si>
    <t>($ and pounds in millions)</t>
  </si>
  <si>
    <t>Berkshire Hathaway summary sources of operating earnings 10% or more, 1981</t>
  </si>
  <si>
    <t xml:space="preserve"> Amortization of goodwill5</t>
  </si>
  <si>
    <t xml:space="preserve"> Illinois National Bank4</t>
  </si>
  <si>
    <t xml:space="preserve"> Blue Chip Stamps - parent3</t>
  </si>
  <si>
    <t xml:space="preserve"> Nebraska Furniture Mart2</t>
  </si>
  <si>
    <t xml:space="preserve">1. Blue Chip Stamps - parent represented 9.0%. </t>
  </si>
  <si>
    <r>
      <t>All others, combined</t>
    </r>
    <r>
      <rPr>
        <vertAlign val="superscript"/>
        <sz val="12"/>
        <color theme="1"/>
        <rFont val="Times New Roman"/>
        <family val="1"/>
      </rPr>
      <t>1</t>
    </r>
  </si>
  <si>
    <t>Wesco Financial - parent</t>
  </si>
  <si>
    <t>Berkshire Hathaway summary sources of operating earnings 10% or more, 1982</t>
  </si>
  <si>
    <t>Average price-to-book value</t>
  </si>
  <si>
    <t>Price-to-book value (low)</t>
  </si>
  <si>
    <t>Price-to-book value (high)</t>
  </si>
  <si>
    <t>Assumes half of 1983 income added to YE 1983 equity</t>
  </si>
  <si>
    <t>Book value mid-1983 (estimated)</t>
  </si>
  <si>
    <t>Implied market value (low)</t>
  </si>
  <si>
    <t>Implied market value (high)</t>
  </si>
  <si>
    <t>BRK share price Q3 1983 (low)</t>
  </si>
  <si>
    <t>BRK share price Q3 1983 (high)</t>
  </si>
  <si>
    <t>Shares outstanding (year end 1982)</t>
  </si>
  <si>
    <t>Berkshire Hathaway implied valuation in Blue Chip Stamps merger</t>
  </si>
  <si>
    <t>Sources: Berkshire Hathaway Annual Reports 1983, 2013; 2014 Annual Meeting Q&amp;A.</t>
  </si>
  <si>
    <t xml:space="preserve">1. These are approximate values stated by Buffett in response to a question at the 2014 Annual Meeting. </t>
  </si>
  <si>
    <t>BRK going-in return, pre-tax</t>
  </si>
  <si>
    <t>BRK price/tangible assets</t>
  </si>
  <si>
    <t>Tangible assets</t>
  </si>
  <si>
    <r>
      <t>1983 pre-tax margin</t>
    </r>
    <r>
      <rPr>
        <vertAlign val="superscript"/>
        <sz val="12"/>
        <color theme="1"/>
        <rFont val="Times New Roman"/>
        <family val="1"/>
      </rPr>
      <t>1</t>
    </r>
  </si>
  <si>
    <r>
      <t>1983 revenues</t>
    </r>
    <r>
      <rPr>
        <vertAlign val="superscript"/>
        <sz val="12"/>
        <color theme="1"/>
        <rFont val="Times New Roman"/>
        <family val="1"/>
      </rPr>
      <t>1</t>
    </r>
  </si>
  <si>
    <t>Valuation</t>
  </si>
  <si>
    <t>Ownership interest</t>
  </si>
  <si>
    <t>Nebraska Furniture Mart, select data and valuation, 1983</t>
  </si>
  <si>
    <t>Source: Berkshire Hathaway Annual Report 1983.</t>
  </si>
  <si>
    <t>3. Amortization of goodwill is included in Other for years prior to 1982.</t>
  </si>
  <si>
    <t>2. 1982 and 1983 are not comparable; major assets were transferred in the mid-year 1983 merger of Blue Chip Stamps.</t>
  </si>
  <si>
    <t>1. 1983 figures are those for October through December.</t>
  </si>
  <si>
    <t>This table presents each company's earnings on a company-level basis. It differs from the presentation elsewhere which adjusts for Berkshire's ownership interest in each company.</t>
  </si>
  <si>
    <r>
      <t xml:space="preserve"> Amortization of goodwill</t>
    </r>
    <r>
      <rPr>
        <vertAlign val="superscript"/>
        <sz val="12"/>
        <color theme="1"/>
        <rFont val="Times New Roman"/>
        <family val="1"/>
      </rPr>
      <t>3</t>
    </r>
  </si>
  <si>
    <r>
      <t xml:space="preserve"> Blue Chip Stamps - parent</t>
    </r>
    <r>
      <rPr>
        <vertAlign val="superscript"/>
        <sz val="12"/>
        <color theme="1"/>
        <rFont val="Times New Roman"/>
        <family val="1"/>
      </rPr>
      <t>2</t>
    </r>
  </si>
  <si>
    <r>
      <t xml:space="preserve"> Nebraska Furniture Mart</t>
    </r>
    <r>
      <rPr>
        <vertAlign val="superscript"/>
        <sz val="12"/>
        <color theme="1"/>
        <rFont val="Times New Roman"/>
        <family val="1"/>
      </rPr>
      <t>1</t>
    </r>
  </si>
  <si>
    <t xml:space="preserve"> Buffalo Evening News</t>
  </si>
  <si>
    <t>Earnings of Berkshire Hathaway subsidiaries, company-level</t>
  </si>
  <si>
    <t>Source: Berkshire Hathaway Annual Report 1984.</t>
  </si>
  <si>
    <t xml:space="preserve">4. The accounting of the GEICO special dividend was changed during 1984. </t>
  </si>
  <si>
    <r>
      <t>Special GEICO distribution</t>
    </r>
    <r>
      <rPr>
        <vertAlign val="superscript"/>
        <sz val="12"/>
        <color theme="1"/>
        <rFont val="Times New Roman"/>
        <family val="1"/>
      </rPr>
      <t>4</t>
    </r>
  </si>
  <si>
    <t>Savings account liabilities</t>
  </si>
  <si>
    <t>Loan portfolio</t>
  </si>
  <si>
    <t>Mutual Savings and Loan, select data, 1984</t>
  </si>
  <si>
    <t xml:space="preserve">Note: Excludes structure settlement and loss-reserve assumption business. </t>
  </si>
  <si>
    <t>?</t>
  </si>
  <si>
    <t>One year later</t>
  </si>
  <si>
    <t>Original report</t>
  </si>
  <si>
    <t>Insurance underwriting profitability</t>
  </si>
  <si>
    <t>Top 4</t>
  </si>
  <si>
    <t>4. 1984: Detail taken from the Chairman's Letter in the Berkshire Hathaway Annual Report.</t>
  </si>
  <si>
    <t>3. 1974: Detail on investments greater than $1 million in value. All others represents 36 companies.</t>
  </si>
  <si>
    <t>2. 1974 &amp; 1984: Market values.</t>
  </si>
  <si>
    <t xml:space="preserve">1. Totals do not add to 100% due to rounding. </t>
  </si>
  <si>
    <t>Total common stocks</t>
  </si>
  <si>
    <t>46 total in 1974</t>
  </si>
  <si>
    <t>Washington Post Company - Class B</t>
  </si>
  <si>
    <t>Time, Inc.</t>
  </si>
  <si>
    <t>Sperry &amp; Hutchinson Company</t>
  </si>
  <si>
    <t>Omaha National Corporation</t>
  </si>
  <si>
    <t>Ogilvy &amp; Mather International</t>
  </si>
  <si>
    <t>Northwest Industries</t>
  </si>
  <si>
    <t>National Preso Industries</t>
  </si>
  <si>
    <t>Munsingwear, Inc.</t>
  </si>
  <si>
    <t>Interpublic Group, Co.</t>
  </si>
  <si>
    <t>Handy &amp; Harmon</t>
  </si>
  <si>
    <t>General Foods Corporation</t>
  </si>
  <si>
    <t>Exxon Corporation</t>
  </si>
  <si>
    <t>California Water Service Co.</t>
  </si>
  <si>
    <t>American Broadcasting Companies, Inc.</t>
  </si>
  <si>
    <t>Affiliated Publications</t>
  </si>
  <si>
    <t>% of total</t>
  </si>
  <si>
    <t>Berkshire Hathaway common stock portfolio, select detail</t>
  </si>
  <si>
    <t>Cash and investments</t>
  </si>
  <si>
    <t>Float, average</t>
  </si>
  <si>
    <t>Earned insurance premiums</t>
  </si>
  <si>
    <t>Written insurance premiums</t>
  </si>
  <si>
    <t>Berkshire Hathaway, select data</t>
  </si>
  <si>
    <t>Sources: Berkshire Hathaway Annual Reports, 1974-1984; 1992 (float data).</t>
  </si>
  <si>
    <t>Source: Berkshire Hathaway Chairman's letter 1985.</t>
  </si>
  <si>
    <t>Incremental return on capital</t>
  </si>
  <si>
    <t>Incremental capital required</t>
  </si>
  <si>
    <t>Pre-tax earnings, 1970</t>
  </si>
  <si>
    <t>Pre-tax earnings, 1985</t>
  </si>
  <si>
    <r>
      <rPr>
        <b/>
        <i/>
        <sz val="12"/>
        <color theme="1"/>
        <rFont val="Times New Roman"/>
        <family val="1"/>
      </rPr>
      <t>The Buffalo News</t>
    </r>
    <r>
      <rPr>
        <b/>
        <sz val="12"/>
        <color theme="1"/>
        <rFont val="Times New Roman"/>
        <family val="1"/>
      </rPr>
      <t>, See's, and Nebraska Furniture Mart incremental return on capital analysis</t>
    </r>
  </si>
  <si>
    <t>Liquidation proceeds</t>
  </si>
  <si>
    <t>30,000 to 50,000</t>
  </si>
  <si>
    <t>Cost to replace in 1985</t>
  </si>
  <si>
    <t>Balance sheet value</t>
  </si>
  <si>
    <t>Original cost</t>
  </si>
  <si>
    <t>Select data on textile equipment ($ thousands):</t>
  </si>
  <si>
    <r>
      <t xml:space="preserve">Space occupied </t>
    </r>
    <r>
      <rPr>
        <i/>
        <sz val="12"/>
        <color theme="1"/>
        <rFont val="Times New Roman"/>
        <family val="1"/>
      </rPr>
      <t>(sq. ft.)</t>
    </r>
  </si>
  <si>
    <t>Berkshire Hathaway Textile division, select data</t>
  </si>
  <si>
    <t>Sources: Berkshire Hathaway Chairman letters 1984, 1985.</t>
  </si>
  <si>
    <t xml:space="preserve">Note: Totals may not add due to rounding. </t>
  </si>
  <si>
    <t>Reporting threshold</t>
  </si>
  <si>
    <t>Beatrice Companies, Inc.</t>
  </si>
  <si>
    <t xml:space="preserve">1. May 10, 1965: Warren Buffett gains control of Berkshire and is elected Chairman. </t>
  </si>
  <si>
    <t>3. Price controls instituted by the Nixon Administration (1970).</t>
  </si>
  <si>
    <t>High</t>
  </si>
  <si>
    <t>Low</t>
  </si>
  <si>
    <t>Q1</t>
  </si>
  <si>
    <t>Q2</t>
  </si>
  <si>
    <t>Q3</t>
  </si>
  <si>
    <t>Q4</t>
  </si>
  <si>
    <t>YE SH Out</t>
  </si>
  <si>
    <t>Avg.</t>
  </si>
  <si>
    <t>Market Value-High</t>
  </si>
  <si>
    <t>Market Value-Low</t>
  </si>
  <si>
    <t>YE BV $</t>
  </si>
  <si>
    <t>Avg. BV</t>
  </si>
  <si>
    <t>Price/Avg. BV - High</t>
  </si>
  <si>
    <t>Price/Avg. BV - Low</t>
  </si>
  <si>
    <t>Average Share Price</t>
  </si>
  <si>
    <t>Average Market Value</t>
  </si>
  <si>
    <t>Statutory surplus</t>
  </si>
  <si>
    <t>Written premium to statutory surplus</t>
  </si>
  <si>
    <t xml:space="preserve">Table 3.x. </t>
  </si>
  <si>
    <t>Insurance Group, select information 1969-1974</t>
  </si>
  <si>
    <t>Urban Auto</t>
  </si>
  <si>
    <t>Underwriting gain/(loss)</t>
  </si>
  <si>
    <t>Underwriting gain(loss)</t>
  </si>
  <si>
    <r>
      <t>Urban Auto</t>
    </r>
    <r>
      <rPr>
        <vertAlign val="superscript"/>
        <sz val="12"/>
        <color theme="1"/>
        <rFont val="Times New Roman"/>
        <family val="1"/>
      </rPr>
      <t>1</t>
    </r>
  </si>
  <si>
    <t>1. Urban Auto from September 30, 1971, the date of acquisition. The full year results for the entity acquired were $7,669.</t>
  </si>
  <si>
    <t>Source: Berkshire Hathaway Annual Reports 1973, 1974.</t>
  </si>
  <si>
    <t>Column1</t>
  </si>
  <si>
    <t>Column2</t>
  </si>
  <si>
    <t>Column3</t>
  </si>
  <si>
    <t>Column4</t>
  </si>
  <si>
    <t>Column5</t>
  </si>
  <si>
    <t>Column6</t>
  </si>
  <si>
    <t>Column7</t>
  </si>
  <si>
    <t>Column8</t>
  </si>
  <si>
    <t>Date</t>
  </si>
  <si>
    <t>Sources: Berkshire Hathaway Annual Report 1984 and author's calculations.</t>
  </si>
  <si>
    <t>Stock price/annum 75-84</t>
  </si>
  <si>
    <t>Sources: Berkshire Hathaway Chairman Letters 1985, 1986.</t>
  </si>
  <si>
    <t>Washington Post Company-Class B</t>
  </si>
  <si>
    <t>Lear Siegler, Inc.</t>
  </si>
  <si>
    <t>Capital Cities/ABC, Inc.</t>
  </si>
  <si>
    <t>Sources: The Coca-Cola Company Annual Report 1988 and author's calculations.</t>
  </si>
  <si>
    <t xml:space="preserve">Sources: Moody’s Industrial Manuals 1934-40 and author's calculations. </t>
  </si>
  <si>
    <t>Note: No data on 1939 for BFS, but spindles/looms same in 1938 and 1940.</t>
  </si>
  <si>
    <t>Revenues / avg. equity capital</t>
  </si>
  <si>
    <r>
      <t>Revenues/average equity</t>
    </r>
    <r>
      <rPr>
        <vertAlign val="superscript"/>
        <sz val="12"/>
        <color theme="1"/>
        <rFont val="Times New Roman"/>
        <family val="1"/>
      </rPr>
      <t>1</t>
    </r>
  </si>
  <si>
    <t>Footnote: Revenues/average equity calculation is from 1936-39 because no data is available for 1935 for Hathaway Manufacturing.</t>
  </si>
  <si>
    <t>1935-1939 (average)</t>
  </si>
  <si>
    <t>Profit margin</t>
  </si>
  <si>
    <t xml:space="preserve">Table 1.4. </t>
  </si>
  <si>
    <t xml:space="preserve">Table 1.2. </t>
  </si>
  <si>
    <t xml:space="preserve">1. Warren Buffett begins buying shares for Buffett Partnership Limited in 1962. </t>
  </si>
  <si>
    <t>Source: Berkshire Hathaway Annual Report 1954.</t>
  </si>
  <si>
    <t>Source: Berkshire Hathaway Annual Report 1958.</t>
  </si>
  <si>
    <t xml:space="preserve">Sources: Berkshire Hathaway Annual Reports 1955 and 1964. </t>
  </si>
  <si>
    <t>Sources: Berkshire Hathaway Annual Reports 1955-1964.</t>
  </si>
  <si>
    <t xml:space="preserve">Sources: Berkshire Hathaway Annual Reports 1955-1964. </t>
  </si>
  <si>
    <t>Source: Berkshire Hathaway Chairman's letter 1988.</t>
  </si>
  <si>
    <t xml:space="preserve">1. Nominally a preferred stock, Buffett said it was financially equivalent to a common stock. </t>
  </si>
  <si>
    <t xml:space="preserve">Note: Buffett's Chairman's letter only included select investments and did not inlcude a total. I have elected not to take data from the footnotes of the Annual Report since Buffett's classifications historically differed slightly from GAAP reporting. </t>
  </si>
  <si>
    <r>
      <t>Federal Home Loan Mortgage Corp.</t>
    </r>
    <r>
      <rPr>
        <vertAlign val="superscript"/>
        <sz val="12"/>
        <color theme="1"/>
        <rFont val="Times New Roman"/>
        <family val="1"/>
      </rPr>
      <t>1</t>
    </r>
  </si>
  <si>
    <t>Source: Berkshire Hathaway Chairman's letter 1989.</t>
  </si>
  <si>
    <t xml:space="preserve">Note: Buffett's Chairman's letter only included select investments and did not include a total. I have elected not to take data from the footnotes of the Annual Report since Buffett's classifications historically differed slightly from GAAP reporting. </t>
  </si>
  <si>
    <t>Sources: Berkshire Hathaway Annual Report 1989 and author's calculations.</t>
  </si>
  <si>
    <t>Conversion price/book value</t>
  </si>
  <si>
    <t>Implied BRK market value</t>
  </si>
  <si>
    <t>BRK shares outstanding</t>
  </si>
  <si>
    <t>Implied value per share</t>
  </si>
  <si>
    <t>Conversion rate</t>
  </si>
  <si>
    <t>Bond face value</t>
  </si>
  <si>
    <t>Berkshire Hathaway implied valuation, 1989</t>
  </si>
  <si>
    <t>Source: Berkshire Hathaway Annual Report 1990.</t>
  </si>
  <si>
    <t>Average float 
($ mil.)</t>
  </si>
  <si>
    <t>Underwriting Loss ($ mil.)</t>
  </si>
  <si>
    <t>Float and cost of float compared to U.S. Government Bonds</t>
  </si>
  <si>
    <t>Total look-through earnings</t>
  </si>
  <si>
    <t>Berkshire Hathaway after-tax operating earnings</t>
  </si>
  <si>
    <t>Net operating earnings attributable to BRK</t>
  </si>
  <si>
    <t>Less: taxes owed if paid out as dividends</t>
  </si>
  <si>
    <t>Operating earnings retained by investees (BRK share)</t>
  </si>
  <si>
    <t>Berkshire Hathaway look-through earnings, 1990</t>
  </si>
  <si>
    <t>Source: Berkshire Hathaway Annual Report 2018.</t>
  </si>
  <si>
    <t>Difference (book-market)</t>
  </si>
  <si>
    <t>Change in market value</t>
  </si>
  <si>
    <t>Change in book value</t>
  </si>
  <si>
    <t>Berkshire Hathaway change in book and market values</t>
  </si>
  <si>
    <r>
      <t>Underwriting gain/(loss) - pre-tax</t>
    </r>
    <r>
      <rPr>
        <vertAlign val="superscript"/>
        <sz val="12"/>
        <color theme="1"/>
        <rFont val="Times New Roman"/>
        <family val="1"/>
      </rPr>
      <t>1</t>
    </r>
  </si>
  <si>
    <t>Sources: Berkshire Hathaway Annual Reports 1984, 1991; and author's calculations.</t>
  </si>
  <si>
    <t>Incremental capital</t>
  </si>
  <si>
    <t>Incremental earnings</t>
  </si>
  <si>
    <t>See's Candy, select data</t>
  </si>
  <si>
    <t>Note the difference between $591 million 1990 from the '91 ar and the $602 million figure here</t>
  </si>
  <si>
    <t>Source: Berkshire Hathaway Annual Report 1991.</t>
  </si>
  <si>
    <t>3. Earnings calculated on average ownership for the year.</t>
  </si>
  <si>
    <t>2. Earnings for the nine months after Berkshire converted its preferred stock on April 1.</t>
  </si>
  <si>
    <t>1. Net of minority interest at Wesco.</t>
  </si>
  <si>
    <t xml:space="preserve">Note: Amounts are after tax. </t>
  </si>
  <si>
    <t xml:space="preserve">            Total look-through earnings of Berkshire</t>
  </si>
  <si>
    <t>Reported operating earnings of Berkshire</t>
  </si>
  <si>
    <t>Hypothetical tax on these undistributed investee earnings</t>
  </si>
  <si>
    <t>Berkshire's share of undistributed earnings of major investees</t>
  </si>
  <si>
    <r>
      <t>Wells Fargo &amp; Company</t>
    </r>
    <r>
      <rPr>
        <vertAlign val="superscript"/>
        <sz val="12"/>
        <color theme="1"/>
        <rFont val="Times New Roman"/>
        <family val="1"/>
      </rPr>
      <t>3</t>
    </r>
  </si>
  <si>
    <t>GEICO Corp.</t>
  </si>
  <si>
    <r>
      <t>The Gillette Company</t>
    </r>
    <r>
      <rPr>
        <vertAlign val="superscript"/>
        <sz val="12"/>
        <color theme="1"/>
        <rFont val="Times New Roman"/>
        <family val="1"/>
      </rPr>
      <t>2</t>
    </r>
  </si>
  <si>
    <r>
      <t>Berkshire's share of undistributed operating</t>
    </r>
    <r>
      <rPr>
        <u/>
        <sz val="12"/>
        <color theme="1"/>
        <rFont val="Times New Roman"/>
        <family val="1"/>
      </rPr>
      <t xml:space="preserve"> earnings </t>
    </r>
    <r>
      <rPr>
        <i/>
        <u/>
        <sz val="12"/>
        <color theme="1"/>
        <rFont val="Times New Roman"/>
        <family val="1"/>
      </rPr>
      <t>($ millions)</t>
    </r>
  </si>
  <si>
    <t>Berkshire's major investees</t>
  </si>
  <si>
    <t>Berkshire Hathaway look-through earnings, 1990-1991
(reproduced from the 1991 Chairman's Letter)</t>
  </si>
  <si>
    <t xml:space="preserve">Sources: Berkshire Hathaway Annual Report 1992 and author's calculations. </t>
  </si>
  <si>
    <t>Earnings yield</t>
  </si>
  <si>
    <r>
      <t xml:space="preserve">Estimated owner earnings </t>
    </r>
    <r>
      <rPr>
        <i/>
        <sz val="12"/>
        <color theme="1"/>
        <rFont val="Times New Roman"/>
        <family val="1"/>
      </rPr>
      <t>($ millions)</t>
    </r>
  </si>
  <si>
    <t>Price/book value</t>
  </si>
  <si>
    <r>
      <t xml:space="preserve">1991 average book value </t>
    </r>
    <r>
      <rPr>
        <i/>
        <sz val="12"/>
        <color theme="1"/>
        <rFont val="Times New Roman"/>
        <family val="1"/>
      </rPr>
      <t>($ millions)</t>
    </r>
  </si>
  <si>
    <r>
      <t xml:space="preserve">Implied market value </t>
    </r>
    <r>
      <rPr>
        <i/>
        <sz val="12"/>
        <color theme="1"/>
        <rFont val="Times New Roman"/>
        <family val="1"/>
      </rPr>
      <t>($ millions)</t>
    </r>
  </si>
  <si>
    <t>Berkshire Hathaway implied valuation</t>
  </si>
  <si>
    <t>Sources: Berkshire Hathaway Annual Report 1993 and author's calculations.</t>
  </si>
  <si>
    <t>Guinness PLC</t>
  </si>
  <si>
    <t>General Dynamics Corp.</t>
  </si>
  <si>
    <t>Freddie Mac</t>
  </si>
  <si>
    <r>
      <rPr>
        <sz val="12"/>
        <color theme="1"/>
        <rFont val="Times New Roman"/>
        <family val="1"/>
      </rPr>
      <t xml:space="preserve">Unrealized </t>
    </r>
    <r>
      <rPr>
        <u/>
        <sz val="12"/>
        <color theme="1"/>
        <rFont val="Times New Roman"/>
        <family val="1"/>
      </rPr>
      <t>Gain/(Loss)</t>
    </r>
  </si>
  <si>
    <t>Berkshire Hathaway equity portfolio, 1993</t>
  </si>
  <si>
    <t>Premium</t>
  </si>
  <si>
    <t>Source: Berkshire Hathaway Annual Report 1994.</t>
  </si>
  <si>
    <t>Ending carrying value, 1994</t>
  </si>
  <si>
    <t>Cumulative purchase-premium charges (1986-94)</t>
  </si>
  <si>
    <t>Ending book value, 1994</t>
  </si>
  <si>
    <t>Cumulative dividends, 1986-94</t>
  </si>
  <si>
    <t>Cumulative earnings, 1986-94</t>
  </si>
  <si>
    <t>Berkshire's purchase price, 1986</t>
  </si>
  <si>
    <t>Purchase premium over beginning book value</t>
  </si>
  <si>
    <t>Beginning book value, 1986</t>
  </si>
  <si>
    <r>
      <t xml:space="preserve">Berkshire's </t>
    </r>
    <r>
      <rPr>
        <u/>
        <sz val="12"/>
        <color theme="1"/>
        <rFont val="Times New Roman"/>
        <family val="1"/>
      </rPr>
      <t>Carrying Value</t>
    </r>
  </si>
  <si>
    <r>
      <t xml:space="preserve">Scott Fetzer </t>
    </r>
    <r>
      <rPr>
        <u/>
        <sz val="12"/>
        <color theme="1"/>
        <rFont val="Times New Roman"/>
        <family val="1"/>
      </rPr>
      <t>Book Value</t>
    </r>
  </si>
  <si>
    <t>Scott Fetzer, book value and carrying value</t>
  </si>
  <si>
    <t>Source: Berkshire Hathaway Chairman's letter 1994.</t>
  </si>
  <si>
    <t>2. The reporting threshold was $300 million of market value.</t>
  </si>
  <si>
    <t>Washington Post Company</t>
  </si>
  <si>
    <t>PNC Bank Corporation</t>
  </si>
  <si>
    <t>Gannett Co., Inc.</t>
  </si>
  <si>
    <t>Federal Home Loan Mortgage Corp.</t>
  </si>
  <si>
    <t>Berkshire Hathaway common stock portfolio, select data</t>
  </si>
  <si>
    <t>Sources: Berkshire Hathaway Annual Reports, 1984, 1991, and author's calculations.</t>
  </si>
  <si>
    <t xml:space="preserve">Sources: Berkshire Hathaway Annual Reports 1991, 1993, 1994; and author's calculations. </t>
  </si>
  <si>
    <t xml:space="preserve">2. Earnings for major investees are calculated based on average ownership for the year. </t>
  </si>
  <si>
    <t>1. Earnings are after tax.</t>
  </si>
  <si>
    <t>Price/book value at year-end</t>
  </si>
  <si>
    <t>BV (company level) at year end (millions)</t>
  </si>
  <si>
    <t>Market value of Berkshire at year-end</t>
  </si>
  <si>
    <t># shares outstanding at year end (000s)</t>
  </si>
  <si>
    <t>Stock price at year end $</t>
  </si>
  <si>
    <t>Berkshire Hathaway look-through earnings and valuation, 1990-1994</t>
  </si>
  <si>
    <t>Average float 
($ millions)</t>
  </si>
  <si>
    <t>Underwriting Loss ($ millions)</t>
  </si>
  <si>
    <t xml:space="preserve">Common shares outstanding (000's)  </t>
  </si>
  <si>
    <t>Pre-tax earnings yield</t>
  </si>
  <si>
    <t>Implied acquisition valuation</t>
  </si>
  <si>
    <t>Total pre-tax earning power</t>
  </si>
  <si>
    <t>Net investment income (1995)</t>
  </si>
  <si>
    <t>Assumed combined ratio</t>
  </si>
  <si>
    <t>Premium volume</t>
  </si>
  <si>
    <t>Earnings approach</t>
  </si>
  <si>
    <t>Book value + float</t>
  </si>
  <si>
    <r>
      <t xml:space="preserve">Price/book value </t>
    </r>
    <r>
      <rPr>
        <i/>
        <sz val="12"/>
        <color theme="1"/>
        <rFont val="Times New Roman"/>
        <family val="1"/>
      </rPr>
      <t>(# times)</t>
    </r>
  </si>
  <si>
    <t>Book value (12/31/95)</t>
  </si>
  <si>
    <t>Implied value of 100%</t>
  </si>
  <si>
    <t>Price paid for 49%</t>
  </si>
  <si>
    <t>($ billions)</t>
  </si>
  <si>
    <t>Balance sheet approach</t>
  </si>
  <si>
    <t>GEICO acquisition analysis</t>
  </si>
  <si>
    <t>3. 1996: The consolidated underwriting gain amounts to $221.4 million in this table, and in the notes to the financial statements. However, Buffett's Sources of Reported Earnings table, and the non-GAAP financials at the end of the annual report, list a figure of $222.1 million.</t>
  </si>
  <si>
    <t>Sources: Berkshire Hathaway Annual Reports 1995, 1996; and author's calculations.</t>
  </si>
  <si>
    <t>Sources: Berkshire Hathaway Annual Reports 1996, 1997; and author's calculations.</t>
  </si>
  <si>
    <t>Per A-share</t>
  </si>
  <si>
    <t>Sources: Berkshire Hathaway Chairman's Letter 1997 and author's calculations.</t>
  </si>
  <si>
    <t xml:space="preserve">2. The reporting threshold was $750 million. </t>
  </si>
  <si>
    <t>1. Figures may not add due to rounding.</t>
  </si>
  <si>
    <t>Travelers Group, Inc.</t>
  </si>
  <si>
    <t>The Walt Disney Company</t>
  </si>
  <si>
    <t>% total</t>
  </si>
  <si>
    <t>($ millions, at market value)</t>
  </si>
  <si>
    <t>Revenues/assets</t>
  </si>
  <si>
    <t>FlightSafety</t>
  </si>
  <si>
    <t>Comparison of FlightSafety and See's Candies, select 1997 data</t>
  </si>
  <si>
    <t>Sources: Berkshire Hathaway Annual Reports 1997, 1998; and author's calculations.</t>
  </si>
  <si>
    <t xml:space="preserve">Redeemable preferred stocks </t>
  </si>
  <si>
    <t>Corporate bonds</t>
  </si>
  <si>
    <t>Obligations of foreign governments</t>
  </si>
  <si>
    <t>States, municipalities and political subdivisions</t>
  </si>
  <si>
    <t>US treasuries, governments, agencies</t>
  </si>
  <si>
    <t>(At market value)</t>
  </si>
  <si>
    <t>Berkshire Hathaway fixed maturity portfolio</t>
  </si>
  <si>
    <t xml:space="preserve">  Building materials oper. Margin</t>
  </si>
  <si>
    <t>Pre-tax return on assets</t>
  </si>
  <si>
    <t>5-Year</t>
  </si>
  <si>
    <t>Justin Industries - Acme Brick analysis</t>
  </si>
  <si>
    <t xml:space="preserve">  Footwear oper. Margin</t>
  </si>
  <si>
    <t>Sources: Berkshire Hathaway Annual Reports, 1999, 2000; and author's calculations</t>
  </si>
  <si>
    <t>Source = P6. BRK Valuation.</t>
  </si>
  <si>
    <t>Pre-tax operating earnings (ex. investment income; adjusted to breakeven insurance underwriting)</t>
  </si>
  <si>
    <t>15 years</t>
  </si>
  <si>
    <t>10 years</t>
  </si>
  <si>
    <t>5 years</t>
  </si>
  <si>
    <t>Interest cost if a loan over:</t>
  </si>
  <si>
    <t>Underwriting loss</t>
  </si>
  <si>
    <t>All expected future losses</t>
  </si>
  <si>
    <t>Upfront premium</t>
  </si>
  <si>
    <t>Accounting and economics of General Re's North American property/casualty unit excess reinsurance contract, 2000</t>
  </si>
  <si>
    <t>1. Adjustments were made for an asset write-down ($25 million) and restructuring costs ($13 million) in 1999.</t>
  </si>
  <si>
    <t>Sources: Berkshire Hathaway Annual Report 2002 and author's calculations.</t>
  </si>
  <si>
    <t>Increased by 10%/year over five years</t>
  </si>
  <si>
    <t>Increased by 15%/year over five years</t>
  </si>
  <si>
    <t>Annual return to warrant holder if BRKA:</t>
  </si>
  <si>
    <t>Warrant holder annual cost, net</t>
  </si>
  <si>
    <t>BRK A book value</t>
  </si>
  <si>
    <t>BRK A market value per $10K warrant</t>
  </si>
  <si>
    <t># shares per warrant</t>
  </si>
  <si>
    <t>Implied price-to-book ratio at issuance</t>
  </si>
  <si>
    <t>Price-to-book ratio 2002-Q2</t>
  </si>
  <si>
    <t>BRKA book value end of 2002-Q2</t>
  </si>
  <si>
    <t>BRKA price end of 2002-Q2</t>
  </si>
  <si>
    <t>Berkshire Hathaway SQUARZ Notes - select data</t>
  </si>
  <si>
    <t xml:space="preserve">Note: Berkshire Hathaway Primary Group and BHRG written premiums were not detailed. </t>
  </si>
  <si>
    <t>Year-end float</t>
  </si>
  <si>
    <t>Pre-tax income from non-insurance</t>
  </si>
  <si>
    <t>Pre-tax underwriting profit</t>
  </si>
  <si>
    <t>Percentage of total BRK assets</t>
  </si>
  <si>
    <t>BRK total assets</t>
  </si>
  <si>
    <t>Insurance assets</t>
  </si>
  <si>
    <t>Relative size of Berkshire's insurance subsidiaries</t>
  </si>
  <si>
    <t>Avg. per share from annual</t>
  </si>
  <si>
    <t xml:space="preserve">1. In 1996 Berkshire stopped reporting loss development in each business line. </t>
  </si>
  <si>
    <t>2. The results for 2000 at General Re include five quarters. In 2000 General Re International and Global Life/Health changed its reporting from a one-quarter lag.</t>
  </si>
  <si>
    <t>Growth rate 95-05</t>
  </si>
  <si>
    <t>Growth rate 65-05</t>
  </si>
  <si>
    <t>Source: Berkshire Hathaway Annual Report 2005.</t>
  </si>
  <si>
    <t>Annualized growth, 1995-2005:</t>
  </si>
  <si>
    <t>Per share earnings</t>
  </si>
  <si>
    <t>Per share investments</t>
  </si>
  <si>
    <t>Annualized growth, 1965-2005:</t>
  </si>
  <si>
    <t>1995-2005</t>
  </si>
  <si>
    <t>1965-2005</t>
  </si>
  <si>
    <t>Per-share earnings</t>
  </si>
  <si>
    <t>Per-share investments</t>
  </si>
  <si>
    <t>Note: Operating earnings are pre-tax.</t>
  </si>
  <si>
    <t>($ per share)</t>
  </si>
  <si>
    <t>Berkshire Hathaway - select data</t>
  </si>
  <si>
    <t>Sources: Berkshire Hathaway Annual Report 2007 and author's calculations.</t>
  </si>
  <si>
    <t>Net fixed assets</t>
  </si>
  <si>
    <t>FlightSafety - select data</t>
  </si>
  <si>
    <t>Capital required</t>
  </si>
  <si>
    <t>See's Candies - select data</t>
  </si>
  <si>
    <t xml:space="preserve">Source: Berkshire Hathaway Annual Report 2008. </t>
  </si>
  <si>
    <t>Food preparation equipment and shopping carts for restaurants and retailers worldwide</t>
  </si>
  <si>
    <t>Food Service Equipment</t>
  </si>
  <si>
    <t xml:space="preserve">Store fixtures and accessories for major retailers worldwide </t>
  </si>
  <si>
    <t>Retail Store Fixtures</t>
  </si>
  <si>
    <t xml:space="preserve">Water Treatment equipment for residential, commercial, and industrial applications. </t>
  </si>
  <si>
    <t>Leases and operates mobile cranes, primarily to the energy, mining and petrochemical markets</t>
  </si>
  <si>
    <t>Construction Services</t>
  </si>
  <si>
    <t>Metal fasteners, safety products, metal fabrication, and other products</t>
  </si>
  <si>
    <t>Industrial Products</t>
  </si>
  <si>
    <t>Producing a variety of metal products and materials for the plumbing, HVAC/R (R is for refrigeration), construction and industrial markets</t>
  </si>
  <si>
    <t>Flow Products</t>
  </si>
  <si>
    <r>
      <t>Distribution</t>
    </r>
    <r>
      <rPr>
        <b/>
        <sz val="12"/>
        <color theme="1"/>
        <rFont val="Times New Roman"/>
        <family val="1"/>
      </rPr>
      <t xml:space="preserve"> </t>
    </r>
    <r>
      <rPr>
        <sz val="12"/>
        <color theme="1"/>
        <rFont val="Times New Roman"/>
        <family val="1"/>
      </rPr>
      <t xml:space="preserve">Services for specialty pipe and steel tubing. </t>
    </r>
  </si>
  <si>
    <t>Primarily serves the heavy-duty highway transportation industry</t>
  </si>
  <si>
    <t>Highway Technologies</t>
  </si>
  <si>
    <t xml:space="preserve">Includes railroad tank cars and intermodal tank containers </t>
  </si>
  <si>
    <t>Transportation Services &amp; Engineered Products</t>
  </si>
  <si>
    <t>Produces copper electrical wiring for residential, commercial and industrial buildings</t>
  </si>
  <si>
    <t>Building Wire</t>
  </si>
  <si>
    <t>Energy related markets, residential and non-residential construction, and other industries</t>
  </si>
  <si>
    <t>Engineered Wire &amp; Cable</t>
  </si>
  <si>
    <t>Description</t>
  </si>
  <si>
    <t>Sector</t>
  </si>
  <si>
    <t>Marmon's operating sectors</t>
  </si>
  <si>
    <t>Source: Berkshire Hathaway Annual Report 2008, 2012 Marmon Brochure, and author's calculations.</t>
  </si>
  <si>
    <t>Sources: Berkshire Hathaway Annual Meeting 2010 and Kraft 10K report 2009.</t>
  </si>
  <si>
    <t>Multiple</t>
  </si>
  <si>
    <t>Net proceeds</t>
  </si>
  <si>
    <t>Less: income tax</t>
  </si>
  <si>
    <t>Sale price</t>
  </si>
  <si>
    <t>Analysis of the Kraft pizza business sale</t>
  </si>
  <si>
    <t>Coca-Cola</t>
  </si>
  <si>
    <t>Investment portfolio</t>
  </si>
  <si>
    <t>Agricultural products</t>
  </si>
  <si>
    <t>Coal</t>
  </si>
  <si>
    <t>BNSF frieght revenues chart</t>
  </si>
  <si>
    <t>Per share (A-equivalent):</t>
  </si>
  <si>
    <t>Sources: Berkshire Hathaway Annual Reports 2013, 2014; and author's calculations.</t>
  </si>
  <si>
    <t xml:space="preserve">Table 7.x. </t>
  </si>
  <si>
    <t>Original and restated results for MSR businesses</t>
  </si>
  <si>
    <t>Without Marmon Leasing</t>
  </si>
  <si>
    <t>With Marmon Leasing</t>
  </si>
  <si>
    <t>Change from original</t>
  </si>
  <si>
    <t>Sources: Berkshire Hathaway Annual Reports 2013, 2014.</t>
  </si>
  <si>
    <t>Detail on Berkshire Hathaway manufacturing businesses</t>
  </si>
  <si>
    <t>Industrial and end-user products</t>
  </si>
  <si>
    <t>Apparel</t>
  </si>
  <si>
    <t>Source: Reproduced from the 2014 Berkshire Hathaway Annual Report.</t>
  </si>
  <si>
    <t>Finance and Financial Products earnings</t>
  </si>
  <si>
    <t>Berkadia (50% share)</t>
  </si>
  <si>
    <t>Clayton</t>
  </si>
  <si>
    <t>CORT</t>
  </si>
  <si>
    <t>Marmon - containers and cranes</t>
  </si>
  <si>
    <t>Marmon - railcars</t>
  </si>
  <si>
    <t>XTRA</t>
  </si>
  <si>
    <r>
      <t>Net financial income</t>
    </r>
    <r>
      <rPr>
        <vertAlign val="superscript"/>
        <sz val="12"/>
        <color theme="1"/>
        <rFont val="Times New Roman"/>
        <family val="1"/>
      </rPr>
      <t>1</t>
    </r>
  </si>
  <si>
    <t>1. Excludes capital gains or losses</t>
  </si>
  <si>
    <t>Analysis of Berkshire's 2014 cash rich split offs</t>
  </si>
  <si>
    <t>Value given</t>
  </si>
  <si>
    <t>Value received</t>
  </si>
  <si>
    <t>Graham Holding Company</t>
  </si>
  <si>
    <t>Graham Holding Company shares</t>
  </si>
  <si>
    <t>Miami TV station</t>
  </si>
  <si>
    <t>Berkshire Shares</t>
  </si>
  <si>
    <t>Tax savings (assuming 38% rate)</t>
  </si>
  <si>
    <t>Assuming the GHC shares had a cost basis of $11mm. The $2.1 billion of gain was disclosed in the 2014ar.</t>
  </si>
  <si>
    <t>Phillips 66</t>
  </si>
  <si>
    <t>Phillips 66 shares</t>
  </si>
  <si>
    <t>Specialty chemicals business</t>
  </si>
  <si>
    <t xml:space="preserve">Sources: Berkshire Hathaway Annual Report 2014 and author's calculations. </t>
  </si>
  <si>
    <t>Sources: Berkshire Hathaway Annual Reports 2010, 2011; and author's calculations.</t>
  </si>
  <si>
    <t>Intangible assets, net</t>
  </si>
  <si>
    <t>Short- and long-term debt</t>
  </si>
  <si>
    <t>Total capital returned</t>
  </si>
  <si>
    <t>Share repurchases, net</t>
  </si>
  <si>
    <t>Sources: Berkshire Hathaway Annual Report 2010, IBM Annual Reports 2006-2010, and author's calculations.</t>
  </si>
  <si>
    <t>Implied return assuming 5-year average ROC</t>
  </si>
  <si>
    <t>Implied going-in pre-tax return (2010)</t>
  </si>
  <si>
    <r>
      <t>Purchase valuation</t>
    </r>
    <r>
      <rPr>
        <vertAlign val="superscript"/>
        <sz val="12"/>
        <color theme="1"/>
        <rFont val="Times New Roman"/>
        <family val="1"/>
      </rPr>
      <t>1</t>
    </r>
  </si>
  <si>
    <t>IBM investment analysis</t>
  </si>
  <si>
    <t>Source: Berkshire Hathaway Annual Report 2011.</t>
  </si>
  <si>
    <t>2. Lubrizol separated for comparative purposes.</t>
  </si>
  <si>
    <t>1. Acme, Johns Manville, MiTek, and Shaw (Clayton Homes was included in Finance and Financial Products.)</t>
  </si>
  <si>
    <t xml:space="preserve">Footnotes: </t>
  </si>
  <si>
    <t>Total MSR pre-tax earnings</t>
  </si>
  <si>
    <t>Lubrizol</t>
  </si>
  <si>
    <r>
      <t>Non housing-related businesses</t>
    </r>
    <r>
      <rPr>
        <vertAlign val="superscript"/>
        <sz val="12"/>
        <color theme="1"/>
        <rFont val="Times New Roman"/>
        <family val="1"/>
      </rPr>
      <t>2</t>
    </r>
  </si>
  <si>
    <r>
      <t>Housing-related businesses</t>
    </r>
    <r>
      <rPr>
        <vertAlign val="superscript"/>
        <sz val="12"/>
        <color theme="1"/>
        <rFont val="Times New Roman"/>
        <family val="1"/>
      </rPr>
      <t>1</t>
    </r>
  </si>
  <si>
    <t>Manufacturing, Service, and Retailing - select data</t>
  </si>
  <si>
    <t>Cost Basis</t>
  </si>
  <si>
    <t>Sources: Berkshire Hathaway Annual Reports 2011, 2012; and author's calculations.</t>
  </si>
  <si>
    <t>Sources: Berkshire Hathaway Annual Reports 2012, 2013; and author's calculations.</t>
  </si>
  <si>
    <t>Other: $0.7</t>
  </si>
  <si>
    <t>Infant/nutrition: $1.2</t>
  </si>
  <si>
    <t>Meals and snacks: $4.2</t>
  </si>
  <si>
    <t>Ketchup and sauces: $5.4</t>
  </si>
  <si>
    <t>Expected return on plan assets</t>
  </si>
  <si>
    <t>Berkshire Hathaway's pension return assumptions</t>
  </si>
  <si>
    <t>Source: Berkshire Hathaway Annual Report 2013.</t>
  </si>
  <si>
    <t>Highway Technologies, Water Treatment, Retail Store Fixtures, Food Service Equipment, Retail Home Improvement Products</t>
  </si>
  <si>
    <t>Marmon Retail &amp; End User Technologies  (Retail Technologies)</t>
  </si>
  <si>
    <t>Transportation Services &amp; Engineered Products, Engineered Wire &amp; Cable, Crane Services</t>
  </si>
  <si>
    <t>Marmon Natural Resources &amp; Transportation Services (Natural Resources)</t>
  </si>
  <si>
    <t>Electrical &amp; Plumbing Products Distribution, Distribution Services, Industrial Products</t>
  </si>
  <si>
    <t>Marmon Engineered Industrial &amp; Metal Components (Engineered Components)</t>
  </si>
  <si>
    <t>Marmon Group operating sectors and companies</t>
  </si>
  <si>
    <t>Sources: Berkshire Hathaway Annual Reports 2009-2013 and author's calculations.</t>
  </si>
  <si>
    <t>Manufacturing, Service and Retailing Businesses - net debt (cash)</t>
  </si>
  <si>
    <t>Source: Warren Buffett comments at the 2014 Berkshire Hathaway Annual Meeting.</t>
  </si>
  <si>
    <t>Dilution rate on 4.4 billion shares</t>
  </si>
  <si>
    <t>Net share issuance</t>
  </si>
  <si>
    <t>Share repurchases (at exercise price)</t>
  </si>
  <si>
    <t>Total proceeds</t>
  </si>
  <si>
    <t>Tax benefit (at 35% of value transfer)</t>
  </si>
  <si>
    <t>Exercise proceeds</t>
  </si>
  <si>
    <t>Transfer of value (exercise - strike)</t>
  </si>
  <si>
    <t>Assumed share price at exercise</t>
  </si>
  <si>
    <t>Assumed strike price</t>
  </si>
  <si>
    <t>Number of shares</t>
  </si>
  <si>
    <t>Buffett's calculation of Coca-Cola dilution</t>
  </si>
  <si>
    <t>Avg. BV/SH  2004</t>
  </si>
  <si>
    <t>Avg. BV/SH  2014</t>
  </si>
  <si>
    <r>
      <t xml:space="preserve">    Berkshire Hathaway Reinsurance Group</t>
    </r>
    <r>
      <rPr>
        <vertAlign val="superscript"/>
        <sz val="12"/>
        <color theme="1"/>
        <rFont val="Times New Roman"/>
        <family val="1"/>
      </rPr>
      <t>1</t>
    </r>
  </si>
  <si>
    <r>
      <t>BNSF</t>
    </r>
    <r>
      <rPr>
        <vertAlign val="superscript"/>
        <sz val="12"/>
        <color theme="1"/>
        <rFont val="Times New Roman"/>
        <family val="1"/>
      </rPr>
      <t>2</t>
    </r>
  </si>
  <si>
    <r>
      <t>Berkshire Hathaway Energy</t>
    </r>
    <r>
      <rPr>
        <vertAlign val="superscript"/>
        <sz val="12"/>
        <color theme="1"/>
        <rFont val="Times New Roman"/>
        <family val="1"/>
      </rPr>
      <t>3</t>
    </r>
  </si>
  <si>
    <r>
      <t>Manufacturing, service and retailing</t>
    </r>
    <r>
      <rPr>
        <vertAlign val="superscript"/>
        <sz val="12"/>
        <color theme="1"/>
        <rFont val="Times New Roman"/>
        <family val="1"/>
      </rPr>
      <t>4</t>
    </r>
  </si>
  <si>
    <t xml:space="preserve">2. BNSF beginning February 12, 2010. </t>
  </si>
  <si>
    <t>3. In 2014 MidAmerican changed its name to Berkshire Hathaway Energy. Amounts in 2005 and 2006 were classified as equity in earnings of MidAmerican.</t>
  </si>
  <si>
    <t>4. In 2014 Marmon's leasing operations began to be included in Finance and financial products. This table uses data from 2014 which adjusts 2012 and 2013 for the new presentation.</t>
  </si>
  <si>
    <t>1. The attentive reader will notice BHRG underwriting profit of $250 million in this table contrasts with that of the $349 million figure presented elsewhere. In 2010 Berkshire moved the life and annuity business under BHRG.</t>
  </si>
  <si>
    <t>1. The $250 million pre-tax underwriting gain presented for BHRG in 2009 is the updated 2010 figure. The original amount was $349 million. In 2010, Berkshire moved the life and annuity business to BHRG from Finance and Financial Products.</t>
  </si>
  <si>
    <t>2. 2010-2014: Earned premium figure for the Primary Group is calculated based on the total known earned premiums and the known other segment data. Footnotes disclose rounded figures.</t>
  </si>
  <si>
    <t xml:space="preserve">Sources: Berkshire Hathaway Annual Reports 2004, 2014; and author's calculations. </t>
  </si>
  <si>
    <t>Primary</t>
  </si>
  <si>
    <t>BHRG</t>
  </si>
  <si>
    <t>Gen Re</t>
  </si>
  <si>
    <t>Berkshire Hathaway insurance float, select data</t>
  </si>
  <si>
    <t>Sources: Berkshire Hathaway Annual Reports 1984, 1994.</t>
  </si>
  <si>
    <t xml:space="preserve">Note: The figure for 1984 presented here uses the revised presentation for comparability with 1994. </t>
  </si>
  <si>
    <t>Sources: Berkshire Hathaway Annual Reports 2004, 2014.</t>
  </si>
  <si>
    <t>Sources: Berkshire Hathaway Annual Reports 1994, 2004.</t>
  </si>
  <si>
    <t>Sources: Berkshire Hathaway Annual Reports 1974, 1984.</t>
  </si>
  <si>
    <t>Sources: Berkshire Hathaway Annual Reports 1965, 1974.</t>
  </si>
  <si>
    <t>Select data</t>
  </si>
  <si>
    <t>S&amp;P 500 with dividends</t>
  </si>
  <si>
    <t>BRK-per share market value</t>
  </si>
  <si>
    <t>BRK-per share book value</t>
  </si>
  <si>
    <t>Average annual change in:</t>
  </si>
  <si>
    <t>Decaded ended</t>
  </si>
  <si>
    <t>Berkshire Hathaway book value and market value performance</t>
  </si>
  <si>
    <t>Buffalo News (1977)</t>
  </si>
  <si>
    <t>Consolidated equity - pro-forma</t>
  </si>
  <si>
    <t>1977 equity for Diversified = 27120.298</t>
  </si>
  <si>
    <t>Diversified equity 1976-BRK shares</t>
  </si>
  <si>
    <t>Blue Chip average equity 1976-77</t>
  </si>
  <si>
    <t>Uses figures post-Diversified merger for 1977</t>
  </si>
  <si>
    <t>Berkshire average equity 1976-77</t>
  </si>
  <si>
    <t>See's Candies (1972)</t>
  </si>
  <si>
    <t>Blue Chip average equity 1971-72</t>
  </si>
  <si>
    <t>Berkshire average equity 1971-72</t>
  </si>
  <si>
    <t xml:space="preserve">Sources: Berkshire Hathaway Annual Report 1974, 1984, 1994, 2004, 2014; and author's calculations. </t>
  </si>
  <si>
    <t xml:space="preserve">6. Using the $12.25 billion equity + preferred investment. </t>
  </si>
  <si>
    <t xml:space="preserve">5. Using the $26.5 billion purchase price for the 77.5% of BNSF Berkshire did not already own. </t>
  </si>
  <si>
    <t xml:space="preserve">4. Using the $2.33 billion purchase price for the remaining half of GEICO Berkshire did not already own. </t>
  </si>
  <si>
    <t xml:space="preserve">3. Size of General Re acquisition based on the 272,000 shares issued divided by the 1,518,548 shares outstanding at the end of the year. </t>
  </si>
  <si>
    <t xml:space="preserve">2. Buffalo News acquisition price compared to the combined average equity of Berkshire Hathaway, Blue Chip Stamps, and Diversified Retailing. </t>
  </si>
  <si>
    <t>1. Washington Post (1974); GEICO (1984); Coca-Cola (1994); American Express (2004); Wells Fargo (2014).</t>
  </si>
  <si>
    <r>
      <t>Heinz (2013)</t>
    </r>
    <r>
      <rPr>
        <vertAlign val="superscript"/>
        <sz val="12"/>
        <color theme="1"/>
        <rFont val="Times New Roman"/>
        <family val="1"/>
      </rPr>
      <t>6</t>
    </r>
  </si>
  <si>
    <r>
      <t>BSNF (2010)</t>
    </r>
    <r>
      <rPr>
        <vertAlign val="superscript"/>
        <sz val="12"/>
        <color theme="1"/>
        <rFont val="Times New Roman"/>
        <family val="1"/>
      </rPr>
      <t>5</t>
    </r>
  </si>
  <si>
    <r>
      <t>GEICO (1996)</t>
    </r>
    <r>
      <rPr>
        <vertAlign val="superscript"/>
        <sz val="12"/>
        <color theme="1"/>
        <rFont val="Times New Roman"/>
        <family val="1"/>
      </rPr>
      <t>4</t>
    </r>
  </si>
  <si>
    <r>
      <t>General Re (1998)</t>
    </r>
    <r>
      <rPr>
        <vertAlign val="superscript"/>
        <sz val="12"/>
        <color theme="1"/>
        <rFont val="Times New Roman"/>
        <family val="1"/>
      </rPr>
      <t>3</t>
    </r>
  </si>
  <si>
    <t>Dexter Shoe (1993)</t>
  </si>
  <si>
    <t>Scott Fetzer (1986)</t>
  </si>
  <si>
    <t>Nebraska Furniture Mart (1983)</t>
  </si>
  <si>
    <r>
      <t>Buffalo News (1977)</t>
    </r>
    <r>
      <rPr>
        <vertAlign val="superscript"/>
        <sz val="12"/>
        <color theme="1"/>
        <rFont val="Times New Roman"/>
        <family val="1"/>
      </rPr>
      <t>2</t>
    </r>
  </si>
  <si>
    <t>National Indemnity (1967)</t>
  </si>
  <si>
    <t>Illinois National Bank &amp; Trust (1969)</t>
  </si>
  <si>
    <t>Acquisitions (% average equity capital at time of purchase):</t>
  </si>
  <si>
    <t>Top four (% of average equity at end of year)</t>
  </si>
  <si>
    <t>Top four $</t>
  </si>
  <si>
    <t>Top four common stock investments (% of portfolio)</t>
  </si>
  <si>
    <r>
      <t>Largest single common stock investment (% of portfolio</t>
    </r>
    <r>
      <rPr>
        <vertAlign val="superscript"/>
        <sz val="12"/>
        <color theme="1"/>
        <rFont val="Times New Roman"/>
        <family val="1"/>
      </rPr>
      <t>1)</t>
    </r>
  </si>
  <si>
    <t>Common stock portfolio:</t>
  </si>
  <si>
    <t>Decade ended:</t>
  </si>
  <si>
    <t>Significant capital allocation decisions by decade</t>
  </si>
  <si>
    <t>Fechheimer</t>
  </si>
  <si>
    <t>Scott Fetzer</t>
  </si>
  <si>
    <t>See's</t>
  </si>
  <si>
    <t>Rockford Bank</t>
  </si>
  <si>
    <t>JM</t>
  </si>
  <si>
    <t>Xtra</t>
  </si>
  <si>
    <t>Cort</t>
  </si>
  <si>
    <t>Nebraska Furniture Mart</t>
  </si>
  <si>
    <t>Dairy Queen</t>
  </si>
  <si>
    <t>BNSF*</t>
  </si>
  <si>
    <t>Justin</t>
  </si>
  <si>
    <t>Heinz</t>
  </si>
  <si>
    <t>Sees?</t>
  </si>
  <si>
    <t>NV Energy</t>
  </si>
  <si>
    <t>Purchase Multiple</t>
  </si>
  <si>
    <t>BRK Going-in return</t>
  </si>
  <si>
    <t>Company-level ROC</t>
  </si>
  <si>
    <t>Decade</t>
  </si>
  <si>
    <t>Actual Year of Acquisition</t>
  </si>
  <si>
    <t>Acquisitions dot plot</t>
  </si>
  <si>
    <t>Total assets / (equity + 75% float)</t>
  </si>
  <si>
    <t>Pre-tax earnings per share ex. Insurance ex. Investment income</t>
  </si>
  <si>
    <t>Insurance pre-tax earnings - per share</t>
  </si>
  <si>
    <t>Insurance pre-tax earnings</t>
  </si>
  <si>
    <t>With insurance underwriting</t>
  </si>
  <si>
    <t>Sources: Berkshire Hathaway Annual Reports 2014, 2015; and author's calculations.</t>
  </si>
  <si>
    <t>W/out insurance underwriting</t>
  </si>
  <si>
    <t>Investments (Kraft Heinz at market)</t>
  </si>
  <si>
    <t>Sources: Berkshire Hathaway Annual Report 2015 and author's calculations.</t>
  </si>
  <si>
    <t>Sources: Berkshire Hathaway Annual Report 2016 and author's calculations.</t>
  </si>
  <si>
    <t>Other businesses (11%)</t>
  </si>
  <si>
    <t>Canada (11%)</t>
  </si>
  <si>
    <t>Enhancers &amp; snack nuts (11%)</t>
  </si>
  <si>
    <t>Meals &amp; desserts (12%)</t>
  </si>
  <si>
    <t>Beverages (14%)</t>
  </si>
  <si>
    <t>Refrigerated meals (19%)</t>
  </si>
  <si>
    <t>Cheese (22%)</t>
  </si>
  <si>
    <t xml:space="preserve">Source: 2016 Berkshire Hathaway Annual Report 2016. </t>
  </si>
  <si>
    <t xml:space="preserve">2. Capital gains/losses are mostly realized but include unrealized when required by GAAP. </t>
  </si>
  <si>
    <t>1. Earnings from operations are after tax and include dividends and interest but excluding capital gains/losses.</t>
  </si>
  <si>
    <t>Notes</t>
  </si>
  <si>
    <t>Capital gains</t>
  </si>
  <si>
    <t>After-tax operating earnings</t>
  </si>
  <si>
    <t>Sources: Berkshire Hathaway Annual Reports 2015-2016 and author's calculations.</t>
  </si>
  <si>
    <t>All but $96MM remained.</t>
  </si>
  <si>
    <t>Walmart</t>
  </si>
  <si>
    <t>Met threshold / no increase to shares</t>
  </si>
  <si>
    <t>New</t>
  </si>
  <si>
    <t>United Continental Holdings</t>
  </si>
  <si>
    <t>Exchanged for Duracell</t>
  </si>
  <si>
    <t>Southwest Airlines</t>
  </si>
  <si>
    <t>Sanofi</t>
  </si>
  <si>
    <t>Increased</t>
  </si>
  <si>
    <t>Goldman Sachs</t>
  </si>
  <si>
    <t>Gone</t>
  </si>
  <si>
    <t>Deere &amp; Company</t>
  </si>
  <si>
    <t>Delta Airlines</t>
  </si>
  <si>
    <t>Below threshold</t>
  </si>
  <si>
    <t>DaVita Healthcare Partners</t>
  </si>
  <si>
    <t>Charter Communications</t>
  </si>
  <si>
    <t>AT&amp;T</t>
  </si>
  <si>
    <t>Unchanged</t>
  </si>
  <si>
    <t>4,8,11</t>
  </si>
  <si>
    <t>DFND</t>
  </si>
  <si>
    <t>SH</t>
  </si>
  <si>
    <t>G5480U153</t>
  </si>
  <si>
    <t>LILAC SHS CL C</t>
  </si>
  <si>
    <t>LIBERTY GLOBAL PLC</t>
  </si>
  <si>
    <t>G5480U138</t>
  </si>
  <si>
    <t>LILAC SHS CL A</t>
  </si>
  <si>
    <t>G5480U120</t>
  </si>
  <si>
    <t>SHS CL C</t>
  </si>
  <si>
    <t>G5480U104</t>
  </si>
  <si>
    <t>SHS CL A</t>
  </si>
  <si>
    <t>G0750C108</t>
  </si>
  <si>
    <t>COM</t>
  </si>
  <si>
    <t>AXALTA COATING SYS LTD</t>
  </si>
  <si>
    <t>4,14</t>
  </si>
  <si>
    <t>WELLS FARGO &amp; CO NEW</t>
  </si>
  <si>
    <t>4,13</t>
  </si>
  <si>
    <t>4,12</t>
  </si>
  <si>
    <t>4,11</t>
  </si>
  <si>
    <t>4,10</t>
  </si>
  <si>
    <t>4,5,9</t>
  </si>
  <si>
    <t>4,7</t>
  </si>
  <si>
    <t>4,6</t>
  </si>
  <si>
    <t>4,5</t>
  </si>
  <si>
    <t>3,4,5</t>
  </si>
  <si>
    <t>2,4,11</t>
  </si>
  <si>
    <t>1,2,4,11</t>
  </si>
  <si>
    <t>WAL MART STORES INC</t>
  </si>
  <si>
    <t>92927K102</t>
  </si>
  <si>
    <t>WABCO HLDGS INC</t>
  </si>
  <si>
    <t>92826C839</t>
  </si>
  <si>
    <t>COM CL A</t>
  </si>
  <si>
    <t>VISA INC</t>
  </si>
  <si>
    <t>92345Y106</t>
  </si>
  <si>
    <t>CL A</t>
  </si>
  <si>
    <t>VERISK ANALYTICS INC</t>
  </si>
  <si>
    <t>92343V104</t>
  </si>
  <si>
    <t>VERIZON COMMUNICATIONS INC</t>
  </si>
  <si>
    <t>VERISIGN INC</t>
  </si>
  <si>
    <t>CL B</t>
  </si>
  <si>
    <t>UNITED PARCEL SERVICE INC</t>
  </si>
  <si>
    <t>COM NEW</t>
  </si>
  <si>
    <t>U S G CORP</t>
  </si>
  <si>
    <t>US BANCORP DEL</t>
  </si>
  <si>
    <t>90130A101</t>
  </si>
  <si>
    <t>TWENTY FIRST CENTY FOX INC</t>
  </si>
  <si>
    <t>TORCHMARK CORP</t>
  </si>
  <si>
    <t>SUNCOR ENERGY INC NEW</t>
  </si>
  <si>
    <t>80105N105</t>
  </si>
  <si>
    <t>SPONSORED ADR</t>
  </si>
  <si>
    <t>SANOFI</t>
  </si>
  <si>
    <t>76131D103</t>
  </si>
  <si>
    <t>RESTAURANT BRANDS INTL INC</t>
  </si>
  <si>
    <t>PROCTER &amp; GAMBLE CO</t>
  </si>
  <si>
    <t>PRECISION CASTPARTS CORP</t>
  </si>
  <si>
    <t>PHILLIPS 66</t>
  </si>
  <si>
    <t>67011P100</t>
  </si>
  <si>
    <t>NOW INC</t>
  </si>
  <si>
    <t>MOODYS CORP</t>
  </si>
  <si>
    <t>MONDELEZ INTL INC</t>
  </si>
  <si>
    <t>58441K100</t>
  </si>
  <si>
    <t>MEDIA GEN INC NEW</t>
  </si>
  <si>
    <t>57636Q104</t>
  </si>
  <si>
    <t>MASTERCARD INC</t>
  </si>
  <si>
    <t>55261F104</t>
  </si>
  <si>
    <t>M &amp; T BK CORP</t>
  </si>
  <si>
    <t>COM SER C</t>
  </si>
  <si>
    <t>LIBERTY MEDIA CORP DELAWARE</t>
  </si>
  <si>
    <t>LEE ENTERPRISES INC</t>
  </si>
  <si>
    <t>KRAFT HEINZ CO</t>
  </si>
  <si>
    <t>49456B101</t>
  </si>
  <si>
    <t>KINDER MORGAN INC DEL</t>
  </si>
  <si>
    <t>JOHNSON &amp; JOHNSON</t>
  </si>
  <si>
    <t>INTERNATIONAL BUSINESS MACHS</t>
  </si>
  <si>
    <t>GRAHAM HLDGS CO</t>
  </si>
  <si>
    <t>38141G104</t>
  </si>
  <si>
    <t>GOLDMAN SACHS GROUP INC</t>
  </si>
  <si>
    <t>37045V100</t>
  </si>
  <si>
    <t>GENERAL MTRS CO</t>
  </si>
  <si>
    <t>GENERAL ELECTRIC CO</t>
  </si>
  <si>
    <t>DEERE &amp; CO</t>
  </si>
  <si>
    <t>23918K108</t>
  </si>
  <si>
    <t>DAVITA HEALTHCARE PARTNERS I</t>
  </si>
  <si>
    <t>22160K105</t>
  </si>
  <si>
    <t>COSTCO WHSL CORP NEW</t>
  </si>
  <si>
    <t>COCA COLA CO</t>
  </si>
  <si>
    <t>16117M305</t>
  </si>
  <si>
    <t>CL A NEW</t>
  </si>
  <si>
    <t>CHARTER COMMUNICATIONS INC D</t>
  </si>
  <si>
    <t>BANK OF NEW YORK MELLON CORP</t>
  </si>
  <si>
    <t>AMERICAN EXPRESS CO</t>
  </si>
  <si>
    <t>00206R102</t>
  </si>
  <si>
    <t>AT&amp;T INC</t>
  </si>
  <si>
    <t>NONE</t>
  </si>
  <si>
    <t>SHARED</t>
  </si>
  <si>
    <t>SOLE</t>
  </si>
  <si>
    <t>MANAGER</t>
  </si>
  <si>
    <t>DISCRETION</t>
  </si>
  <si>
    <t>CALL</t>
  </si>
  <si>
    <t>PRN</t>
  </si>
  <si>
    <t>PRN AMT</t>
  </si>
  <si>
    <t>(x$1000)</t>
  </si>
  <si>
    <t>CUSIP</t>
  </si>
  <si>
    <t>TITLE OF CLASS</t>
  </si>
  <si>
    <t>NAME OF ISSUER</t>
  </si>
  <si>
    <t>VOTING AUTHORITY</t>
  </si>
  <si>
    <t>OTHER</t>
  </si>
  <si>
    <t>INVESTMENT</t>
  </si>
  <si>
    <t>PUT/</t>
  </si>
  <si>
    <t>SH/</t>
  </si>
  <si>
    <t>SHRS OR</t>
  </si>
  <si>
    <t>VALUE</t>
  </si>
  <si>
    <t>COLUMN 8</t>
  </si>
  <si>
    <t>COLUMN 7</t>
  </si>
  <si>
    <t>COLUMN 6</t>
  </si>
  <si>
    <t>COLUMN 5</t>
  </si>
  <si>
    <t>COLUMN 4</t>
  </si>
  <si>
    <t>COLUMN 3</t>
  </si>
  <si>
    <t>COLUMN 2</t>
  </si>
  <si>
    <t>COLUMN 1</t>
  </si>
  <si>
    <t>The reader should not assume that the information is accurate and complete.</t>
  </si>
  <si>
    <t>The Securities and Exchange Commission has not necessarily reviewed the information in this filing and has not determined if it is accurate and complete.</t>
  </si>
  <si>
    <t>UNITED CONTL HLDGS INC</t>
  </si>
  <si>
    <t>SOUTHWEST AIRLS CO</t>
  </si>
  <si>
    <t>82968B103</t>
  </si>
  <si>
    <t>SIRIUS XM HLDGS INC</t>
  </si>
  <si>
    <t>61166W101</t>
  </si>
  <si>
    <t>MOSANTO CO NEW</t>
  </si>
  <si>
    <t>COM C SIRIUSXM</t>
  </si>
  <si>
    <t>COM A SIRIUSXM</t>
  </si>
  <si>
    <t>DELTA AIR LINES INC DEL</t>
  </si>
  <si>
    <t>16119P108</t>
  </si>
  <si>
    <t>CHARTER COMMUNICATIONS INC N</t>
  </si>
  <si>
    <t>APPLE INC</t>
  </si>
  <si>
    <t>02376R102</t>
  </si>
  <si>
    <t>AMERICAN AIRLS GROUP INC</t>
  </si>
  <si>
    <t>EBIT / identifiable assets</t>
  </si>
  <si>
    <t>MSR deferred taxes from Chairman's letter</t>
  </si>
  <si>
    <t>MSR Revenues</t>
  </si>
  <si>
    <t>Deferred taxes - insurance and other</t>
  </si>
  <si>
    <t>Pre-tax return on total tangible capital (including deferred tax)</t>
  </si>
  <si>
    <t>EBIT (note: this is the figure w/o acquisition-related charges i.e. the good number WB pointed to)</t>
  </si>
  <si>
    <t>Consolidated total equity - insurance and other</t>
  </si>
  <si>
    <t>Consolidated total liabilities - insurance and other</t>
  </si>
  <si>
    <t>Consolidated total assets - insurance and other</t>
  </si>
  <si>
    <t>MSR total assets from Chairman's letter</t>
  </si>
  <si>
    <t>Goodwill at year end - MSR</t>
  </si>
  <si>
    <t>Identifiable assets at year end - MSR</t>
  </si>
  <si>
    <t>Goodwill &amp; intangibles on MSR balance sheet</t>
  </si>
  <si>
    <t>Implied goodwill &amp; intangibles on insurance balance sheet</t>
  </si>
  <si>
    <t>Consolidated insurance and other goodwill &amp; intangibles</t>
  </si>
  <si>
    <t>Other intangible assets</t>
  </si>
  <si>
    <t>Information from the BRK consolidated balance sheet (Insurance and Other):</t>
  </si>
  <si>
    <t>Calculation for goodwill &amp; intangibles:</t>
  </si>
  <si>
    <t>Implied cash, equivalents and Treasury Bills at MSR</t>
  </si>
  <si>
    <t>Cash, cash equivalents and Treasury Bills held - insurance</t>
  </si>
  <si>
    <t>Parent-level cash, cash equivalents and Treasury Bills</t>
  </si>
  <si>
    <t>Cash, cash equivalents and Treasury Bills held - consolidated insurance and other</t>
  </si>
  <si>
    <t>Calculation for cash:</t>
  </si>
  <si>
    <t>Tangible capital including deferred tax liabilities</t>
  </si>
  <si>
    <t>Goodwill and intangibles</t>
  </si>
  <si>
    <t>2015 estimate</t>
  </si>
  <si>
    <t>2015-original</t>
  </si>
  <si>
    <t>2017 estimate</t>
  </si>
  <si>
    <t>2016 estimate</t>
  </si>
  <si>
    <t>2016-original</t>
  </si>
  <si>
    <t>MSR businesses - balance sheet estimate</t>
  </si>
  <si>
    <t>BHRG Casualty</t>
  </si>
  <si>
    <t>BHRG Property</t>
  </si>
  <si>
    <t>Average annual percentage payout of incurred losses by age, net of reinsurance</t>
  </si>
  <si>
    <t>Sources: Berkshire Hathaway Annual Report 2017 and author's calculations.</t>
  </si>
  <si>
    <t>Sources: Berkshire Hathaway Annual Report 2018 and author's calculations.</t>
  </si>
  <si>
    <t>4. Based on Berkshire's 2018 share repurchases.</t>
  </si>
  <si>
    <t>3. 15x $1.3 billion after tax earnings.</t>
  </si>
  <si>
    <t>2. $173 billion less $15 billion tax on unrealized gain.</t>
  </si>
  <si>
    <t>1. 15x $16.8 billion after tax earnings.</t>
  </si>
  <si>
    <t xml:space="preserve">2. A 15x multiple is consistent with our use of 10x pre-tax earnings earlier in this book and assuming the new 21% tax rate. </t>
  </si>
  <si>
    <t>1. I've used Buffett's figures which presumably represent something close to normalized earnings.</t>
  </si>
  <si>
    <t>Going-in rate of return, after-tax</t>
  </si>
  <si>
    <t>After-tax earnings of Groves 1 &amp; 3</t>
  </si>
  <si>
    <t>Implied value of Groves 1 &amp; 3</t>
  </si>
  <si>
    <t>Less: sum of Groves 2 &amp; 4 above</t>
  </si>
  <si>
    <t>Price/value</t>
  </si>
  <si>
    <r>
      <t>Implied market value</t>
    </r>
    <r>
      <rPr>
        <vertAlign val="superscript"/>
        <sz val="12"/>
        <color theme="1"/>
        <rFont val="Times New Roman"/>
        <family val="1"/>
      </rPr>
      <t>4</t>
    </r>
  </si>
  <si>
    <t>Implied Yield Method:</t>
  </si>
  <si>
    <t>pre-tax</t>
  </si>
  <si>
    <t>15.4x after tax @ 21% rate</t>
  </si>
  <si>
    <t>after tax</t>
  </si>
  <si>
    <t>10x pre-tax @ 35%</t>
  </si>
  <si>
    <t>Grove 4: Cash, Treasuries, bonds</t>
  </si>
  <si>
    <r>
      <t>Grove 3: Control group businesses</t>
    </r>
    <r>
      <rPr>
        <vertAlign val="superscript"/>
        <sz val="12"/>
        <color theme="1"/>
        <rFont val="Times New Roman"/>
        <family val="1"/>
      </rPr>
      <t>3</t>
    </r>
  </si>
  <si>
    <r>
      <t>Grove 2: Equity securities</t>
    </r>
    <r>
      <rPr>
        <vertAlign val="superscript"/>
        <sz val="12"/>
        <color theme="1"/>
        <rFont val="Times New Roman"/>
        <family val="1"/>
      </rPr>
      <t>2</t>
    </r>
  </si>
  <si>
    <r>
      <t>Grove 1: Non-insurance</t>
    </r>
    <r>
      <rPr>
        <vertAlign val="superscript"/>
        <sz val="12"/>
        <color theme="1"/>
        <rFont val="Times New Roman"/>
        <family val="1"/>
      </rPr>
      <t>1</t>
    </r>
  </si>
  <si>
    <t>Direct Calculation Method:</t>
  </si>
  <si>
    <t xml:space="preserve">Value </t>
  </si>
  <si>
    <t>Berkshire Hathaway valuation, 2018</t>
  </si>
  <si>
    <t>&lt;---Multiplier</t>
  </si>
  <si>
    <t>Sources: Berkshire Hathaway Annual Report 2019 and author's calculations.</t>
  </si>
  <si>
    <t>&lt;--- Pre-tax earnings of Finance and Financial Products as reported in 2017</t>
  </si>
  <si>
    <t>Probably just CORT and XTRA 2016 pre-tax earnings were $60MM + $179MM = $239MM</t>
  </si>
  <si>
    <t>Now includes XTRA and CORT</t>
  </si>
  <si>
    <t>Clayton 2017 = $765MM</t>
  </si>
  <si>
    <t>Now includes Clayton Homes</t>
  </si>
  <si>
    <t>Most likely the railcar business; 2016 was $654MM.</t>
  </si>
  <si>
    <t>Now includes Marmon's UTLX</t>
  </si>
  <si>
    <t>FY  '17 Original</t>
  </si>
  <si>
    <t>Total change</t>
  </si>
  <si>
    <t>Net loss (BRK share)</t>
  </si>
  <si>
    <t>Change in carrying value</t>
  </si>
  <si>
    <t>Carrying value year-end 2018</t>
  </si>
  <si>
    <t>Carrying value year-end 2017</t>
  </si>
  <si>
    <t>Value year-end 2018</t>
  </si>
  <si>
    <t>Value year-end 2017</t>
  </si>
  <si>
    <t>Equity Method (BRK accounting)</t>
  </si>
  <si>
    <t>As Investment</t>
  </si>
  <si>
    <t>Kraft Heinz accounting</t>
  </si>
  <si>
    <t>Implied valuation (mil)</t>
  </si>
  <si>
    <t>Shares out FYE '19</t>
  </si>
  <si>
    <t>12/31/19 closing price</t>
  </si>
  <si>
    <t>Shares out Q3 2019</t>
  </si>
  <si>
    <t>High price paid Q4 2019</t>
  </si>
  <si>
    <t>Sources: Berkshire Hathaway Annual Reports 2018-2019; and author's calculations.</t>
  </si>
  <si>
    <t>(Buffett appears to use 10x?)</t>
  </si>
  <si>
    <t>4. Based on Berkshire's share repurchases.</t>
  </si>
  <si>
    <t>Implied value using 10x earnings</t>
  </si>
  <si>
    <t>3. 15x $1 billion (2019) and $1.3 billion (2018) after tax earnings.</t>
  </si>
  <si>
    <t>2. Deducts $32 billion (2019) and $15 billion (2018) tax on unrealized gain.</t>
  </si>
  <si>
    <t>1. 15x $17.7 billion (2019) and $16.8 billion (2018) after tax earnings.</t>
  </si>
  <si>
    <r>
      <t xml:space="preserve">Shares outstanding </t>
    </r>
    <r>
      <rPr>
        <b/>
        <u/>
        <sz val="11"/>
        <color theme="1"/>
        <rFont val="Times New Roman"/>
        <family val="1"/>
      </rPr>
      <t>prior</t>
    </r>
    <r>
      <rPr>
        <sz val="11"/>
        <color theme="1"/>
        <rFont val="Times New Roman"/>
        <family val="1"/>
      </rPr>
      <t xml:space="preserve"> FYE</t>
    </r>
  </si>
  <si>
    <t>Price/A-share</t>
  </si>
  <si>
    <t>1. I've used Buffett's figures for 2018 (which presumably represented something close to normalized earnings) and followed the logic to 2019.</t>
  </si>
  <si>
    <t>Dollar amt (from stmt SH equity)</t>
  </si>
  <si>
    <t>Treasury stock acquired</t>
  </si>
  <si>
    <t>Berkshire Hathaway valuation, 2018 and 2019</t>
  </si>
  <si>
    <t>Shares repurchased FROM Berkshire</t>
  </si>
  <si>
    <t>Via 5% junior subordinated debenture due June 2057</t>
  </si>
  <si>
    <t>Greg Abel Ownership</t>
  </si>
  <si>
    <t>Walter Scott Ownership</t>
  </si>
  <si>
    <t>BRK Ownership</t>
  </si>
  <si>
    <t>Greg Abel Shares</t>
  </si>
  <si>
    <t>David Sokol Shares</t>
  </si>
  <si>
    <t>Walter Scott Shares</t>
  </si>
  <si>
    <t>Implied total valuation (mil)</t>
  </si>
  <si>
    <t>Price/share</t>
  </si>
  <si>
    <t>Amount $ mil)</t>
  </si>
  <si>
    <t>February:</t>
  </si>
  <si>
    <t>Source: Berkshire Hathaway Energy 10K filings 2015-2019 and author's calculations.</t>
  </si>
  <si>
    <t>2. Valuation is at the Berkshire Hathaway Energy level and includes investments such as BYD, Inc. (worth $1.1 billion at 12/31/19).</t>
  </si>
  <si>
    <t>1. Series of two transactions: 35,000 shares for $19 million and 181,891 for $100 million (5% junior subordinated debenture).</t>
  </si>
  <si>
    <t xml:space="preserve">n/a </t>
  </si>
  <si>
    <t>Implied value of BHE
($ millions)</t>
  </si>
  <si>
    <t>Price per share</t>
  </si>
  <si>
    <t>BRK ownership</t>
  </si>
  <si>
    <t>Berkshire Hathaway Energy - select data</t>
  </si>
  <si>
    <t>Sources: Berkshire Hathaway Annual Reports 2018-2019 and author's calculations.</t>
  </si>
  <si>
    <t>Implied repurchase valuation</t>
  </si>
  <si>
    <t>Shares out 12/31/18</t>
  </si>
  <si>
    <t>Assumed price</t>
  </si>
  <si>
    <t>Avg. price</t>
  </si>
  <si>
    <t>Amount spent</t>
  </si>
  <si>
    <t>Class A equivalent</t>
  </si>
  <si>
    <t>Total for the year…</t>
  </si>
  <si>
    <t>Class A-equiv</t>
  </si>
  <si>
    <t>Average price</t>
  </si>
  <si>
    <t>#</t>
  </si>
  <si>
    <t>2018 share repurchases - 4th Quarter Only</t>
  </si>
  <si>
    <t>Transactions with non-controlling</t>
  </si>
  <si>
    <t>Other comprehensive income, net of minority interests</t>
  </si>
  <si>
    <t>Increase in shareholders' equity (above)</t>
  </si>
  <si>
    <t>Shares repurchases</t>
  </si>
  <si>
    <t>Berkshire Hathaway SH equity 2018</t>
  </si>
  <si>
    <t>Berkshire Hathaway SH equity 2017</t>
  </si>
  <si>
    <t>Other items include other OCI items and adoption of new accounting pronouncements</t>
  </si>
  <si>
    <t>2. Increase in shareholders' equity from earnings and securities gains. Does not account for share repurchases and certain other items.</t>
  </si>
  <si>
    <t>1. Related to Kraft Heinz (discussed later).</t>
  </si>
  <si>
    <t xml:space="preserve">2. Amounts are after non-controlling or minority interests. </t>
  </si>
  <si>
    <t>1. ASU 2016-01 is the accounting rule that changed the reporting of unrealized gains/losses.</t>
  </si>
  <si>
    <r>
      <t>Increase in shareholders' equity</t>
    </r>
    <r>
      <rPr>
        <b/>
        <vertAlign val="superscript"/>
        <sz val="12"/>
        <color theme="1"/>
        <rFont val="Times New Roman"/>
        <family val="1"/>
      </rPr>
      <t>2</t>
    </r>
  </si>
  <si>
    <t>Unrealized gain/losses</t>
  </si>
  <si>
    <t>Statement of Comprehensive Income:</t>
  </si>
  <si>
    <t>Unrealized losses</t>
  </si>
  <si>
    <t>Realized gains/losses</t>
  </si>
  <si>
    <r>
      <t>Non-cash impairment</t>
    </r>
    <r>
      <rPr>
        <vertAlign val="superscript"/>
        <sz val="12"/>
        <color theme="1"/>
        <rFont val="Times New Roman"/>
        <family val="1"/>
      </rPr>
      <t>1</t>
    </r>
  </si>
  <si>
    <t>Income Statement:</t>
  </si>
  <si>
    <t>New rules</t>
  </si>
  <si>
    <t>Old rules</t>
  </si>
  <si>
    <t>($ billions, after tax)</t>
  </si>
  <si>
    <t>Impact of ASU 2016-01 on Berkshire's reported earnings</t>
  </si>
  <si>
    <t>Q1 2016</t>
  </si>
  <si>
    <t>Volume</t>
  </si>
  <si>
    <t>Adj Close</t>
  </si>
  <si>
    <t>Close</t>
  </si>
  <si>
    <t>Open</t>
  </si>
  <si>
    <t>1. Purchased National Indemnity Company and National Fire and Marine Company (collectively National Indemnity) for $8.6 million (1967).</t>
  </si>
  <si>
    <t>2. Purchase of National Indemnity, The Illinois National Bank of Rockford, Blue Chip Stamps, See's Candy (various).</t>
  </si>
  <si>
    <t xml:space="preserve">4. United States abandons the gold standard (1971). </t>
  </si>
  <si>
    <t>5. Purchased a 26% interest in Blue Chip Stamps for approximately $15 million (various).</t>
  </si>
  <si>
    <t>Sources: Berkshire Hathaway Annual Report 1969 and author's calculations.</t>
  </si>
  <si>
    <t>Sources: Berkshire Hathaway Annual Report 1970 and author's calculations.</t>
  </si>
  <si>
    <t>Source: Berkshire Hathaway Annual Reports 1970, 1972.</t>
  </si>
  <si>
    <t>Sources: Berkshire Hathaway Annual Report 1972 and author's calculations.</t>
  </si>
  <si>
    <t>Source: Berkshire Hathaway Annual Report 1974.</t>
  </si>
  <si>
    <t>Sources: Berkshire Hathaway Annual Reports 1965-1974.</t>
  </si>
  <si>
    <t>Sources: Berkshire Hathaway Annual Reports 1964, 1974 and author's calculations.</t>
  </si>
  <si>
    <t>Sources: Berkshire Hathaway Annual Reports 1968-1974 and 1992 (float data).</t>
  </si>
  <si>
    <t>Sources: Berkshire Hathaway Annual Reports 1969-1974.</t>
  </si>
  <si>
    <t>Sources: Berkshire Hathaway Annual Reports 1978-1984.</t>
  </si>
  <si>
    <t>Sources: Berkshire Hathaway Annual Report 1976 and author calculations.</t>
  </si>
  <si>
    <t xml:space="preserve">Sources: Berkshire Hathaway Chairman’s Letter 1976 and author's calculations. </t>
  </si>
  <si>
    <t>Sources: Berkshire Hathaway Annual Report 1977 and author calculations.</t>
  </si>
  <si>
    <t>Sources: Berkshire Hathaway Chairman’s Letter 1977 and author's calculations.</t>
  </si>
  <si>
    <t>Berkshire Hathaway equity portfolio, 1977 (Insurance Group)</t>
  </si>
  <si>
    <r>
      <t xml:space="preserve">1978: </t>
    </r>
    <r>
      <rPr>
        <sz val="12"/>
        <color rgb="FF000000"/>
        <rFont val="Times New Roman"/>
        <family val="1"/>
      </rPr>
      <t>Merger with Diversified Retailing causes ownership interest to increase to 58%. Blue Chip now fully-consolidated with Berkshire's financials</t>
    </r>
  </si>
  <si>
    <t>Sources: Berkshire Hathaway Annual Reports 1971-1978.</t>
  </si>
  <si>
    <t>Sources: Blue Chip Stamps 10K Reports 1971, 1975, 1978.</t>
  </si>
  <si>
    <t>Sources: Blue Chip Stamps Annual Report 1973 and Berkshire Hathaway Chairman's Letter 1991.</t>
  </si>
  <si>
    <t>Sources: Berkshire Hathaway Chairman's Letter 1979 and author's calculations.</t>
  </si>
  <si>
    <t>Sources: Berkshire Hathaway Chairman's Letter 1981 and author's calculations.</t>
  </si>
  <si>
    <t>Sources: Blue Chip Stamps Chairman's Letter 1981 and author's calculations.</t>
  </si>
  <si>
    <t>Sources: Berkshire Hathaway Chairman's Letter 1982 and author's calculations.</t>
  </si>
  <si>
    <t>Sources: Berkshire Hathaway Annual Report 1983 and author's calculations.</t>
  </si>
  <si>
    <t>1. 1983 figures are for October through December.</t>
  </si>
  <si>
    <t>Source: Berkshire Hathaway Chairman's Letter 1984.</t>
  </si>
  <si>
    <t>Loan portfolio (% total assets)</t>
  </si>
  <si>
    <t>Loan portfolio (% deposits)</t>
  </si>
  <si>
    <t>Shareholders' equity (% total assets)</t>
  </si>
  <si>
    <t>Sources: Berkshire Hathaway 10K filing 1974, Berkshire Hathaway Annual Report 1984, and author's calculations.</t>
  </si>
  <si>
    <t xml:space="preserve">4. Rose "Mrs. B." Blumkin turns 100 years old (1993). </t>
  </si>
  <si>
    <t>Note: Scott Fetzer did not file a public report its 1985 because it was acquired by Berkshire.</t>
  </si>
  <si>
    <t>Sources: Berkshire Hathaway Annual Report 1986, Scott Fetzer Annual Reports 1980-1984 
and author's calculations.</t>
  </si>
  <si>
    <r>
      <t xml:space="preserve">Berkshire's ownership of </t>
    </r>
    <r>
      <rPr>
        <u/>
        <sz val="12"/>
        <color theme="1"/>
        <rFont val="Times New Roman"/>
        <family val="1"/>
      </rPr>
      <t>company at year end</t>
    </r>
  </si>
  <si>
    <t xml:space="preserve">1. Buffett's Chairman's letter only included select investments and did not include a total. I elected not to take data from the footnotes of the Annual Report since Buffett's classifications historically differed slightly from GAAP reporting. </t>
  </si>
  <si>
    <t>Book value</t>
  </si>
  <si>
    <t>Less dilution</t>
  </si>
  <si>
    <t>Plus P/B change</t>
  </si>
  <si>
    <t>Market value chg/sh</t>
  </si>
  <si>
    <t>Less BV</t>
  </si>
  <si>
    <t>Implied p/b change</t>
  </si>
  <si>
    <t>Actual share prices year end</t>
  </si>
  <si>
    <t>P/B</t>
  </si>
  <si>
    <t>BV/SH</t>
  </si>
  <si>
    <t>MV/SH</t>
  </si>
  <si>
    <t>S&amp;P</t>
  </si>
  <si>
    <t>Primary Group</t>
  </si>
  <si>
    <t>Reinsurance Group</t>
  </si>
  <si>
    <t>Float-adjusted price/book value</t>
  </si>
  <si>
    <t>Sources: Berkshire Hathaway Annual Report 1995 and author's calculations.</t>
  </si>
  <si>
    <t>Return on invested capital (avg.) - pre-tax</t>
  </si>
  <si>
    <t>Return on invested capital (avg.) - after-tax</t>
  </si>
  <si>
    <t>Sources: Berkshire Hathaway Annual Report 1997 and author's calculations.</t>
  </si>
  <si>
    <t>1. Using the two-column method based on per-share investments of $47,647 and ten times per-share operating earnings of $474.45.</t>
  </si>
  <si>
    <r>
      <t>Price/float multiple</t>
    </r>
    <r>
      <rPr>
        <vertAlign val="superscript"/>
        <sz val="12"/>
        <color theme="1"/>
        <rFont val="Times New Roman"/>
        <family val="1"/>
      </rPr>
      <t>3</t>
    </r>
  </si>
  <si>
    <t xml:space="preserve">3. The multiple increases to 1.07x using the higher per share operating earnings from 1997. </t>
  </si>
  <si>
    <t>Mortgage-backed securities</t>
  </si>
  <si>
    <t>Insurance UW + investment income/operating earnings pre-tax</t>
  </si>
  <si>
    <t>Change in average invested capital</t>
  </si>
  <si>
    <r>
      <t>Revenues</t>
    </r>
    <r>
      <rPr>
        <i/>
        <sz val="12"/>
        <color theme="1"/>
        <rFont val="Times New Roman"/>
        <family val="1"/>
      </rPr>
      <t xml:space="preserve"> </t>
    </r>
  </si>
  <si>
    <t xml:space="preserve">Revenues </t>
  </si>
  <si>
    <t>Accounting treatment</t>
  </si>
  <si>
    <t>Economics</t>
  </si>
  <si>
    <t>Sources: Berkshire Hathaway Annual Report 2000 and author's calculations.</t>
  </si>
  <si>
    <t>Note: In 2003, the Chairman's letter stopped containing the Sources of Reported Earnings table.. For the years 2003 and 2004 I have used pre-tax data from the Operating Businesses segment of the 2004 Annual Report. Most categories are comparable to Buffett's tables; however, a major difference is the reporting of earnings from MidAmerican. I have used the figures Buffett presented up to 2002, and the figures from the aforementioned table in the Annual Report for years 2003 and 2004. Thus, the data from 2000-2002, and 2003-2004 are not comparable.</t>
  </si>
  <si>
    <t>5. 2000: BHRG: The figure for earned premiums in the 2000 annual report is $4,705. In the 2002 presentation it is listed as $4,712. Likewise, the pre-tax underwriting loss, as originally presented, was $175. This changed to a loss of $168 in the 2002 presentation. I have used the 2002 figures and adjusted the losses and loss expenses by the $6 difference (reasoning it is more likely the loss estimate was off vs. the expenses, which should have been known).
2000: General Re: The results presented here for 2000 include 15 months. Berkshire subsequently corrected for this. The narrative contains results for the 12 month period.</t>
  </si>
  <si>
    <t xml:space="preserve">Source: Berkshire Hathaway Annual Report 2008; 2012 Marmon Brochure and author's calculations. </t>
  </si>
  <si>
    <t>Footnote: Implied valuation based on Berkshire's purchase of 5.5% of IBM for $10,856 million.</t>
  </si>
  <si>
    <t>Year-end Float ($ millions)</t>
  </si>
  <si>
    <t>Year-end Float (% Growth)</t>
  </si>
  <si>
    <t>Year-end Float (% Total)</t>
  </si>
  <si>
    <t>Income taxes and noncontrolling interests</t>
  </si>
  <si>
    <t>Earnings after tax</t>
  </si>
  <si>
    <t>Average tangible capital employed</t>
  </si>
  <si>
    <t>Note: 2017 as revised to the presentation in 2018, which includes some businesses formerly reported in Finance and Financial Products.</t>
  </si>
  <si>
    <t>Gross unpaid losses</t>
  </si>
  <si>
    <t>Economics of reinsurance float at BHRG, 2019</t>
  </si>
  <si>
    <t>Deferred charges</t>
  </si>
  <si>
    <t>Net liabilities (float proxy)</t>
  </si>
  <si>
    <t>Float:</t>
  </si>
  <si>
    <t>Written premiums</t>
  </si>
  <si>
    <t>Paid losses and adj. exp.</t>
  </si>
  <si>
    <t>Net cash flow</t>
  </si>
  <si>
    <t>Accounting</t>
  </si>
  <si>
    <t>Increase deferred charges</t>
  </si>
  <si>
    <t>AIG deferred charge amortization</t>
  </si>
  <si>
    <t>Other deferred charge amortization</t>
  </si>
  <si>
    <t>(A)</t>
  </si>
  <si>
    <t>(B)</t>
  </si>
  <si>
    <t>Cost of float (B / A)</t>
  </si>
  <si>
    <t>Reported accounting loss</t>
  </si>
  <si>
    <t>Foreign currency remeasurement</t>
  </si>
  <si>
    <t>Increase estimated liabilities</t>
  </si>
  <si>
    <t>Data from 2019:</t>
  </si>
  <si>
    <t>Cost of float assuming no premiums</t>
  </si>
  <si>
    <t>Note: In 2018, the Finance and Financial Products businesses were consolidated into the MSR businesses.</t>
  </si>
  <si>
    <t>Footnote: 2017: Excludes (adds back) the $28,200 one-time gain associated with the Tax Cuts and Jobs Act of 2017.</t>
  </si>
  <si>
    <t>Annual meeting length</t>
  </si>
  <si>
    <t>theoraclesclassroom.com</t>
  </si>
  <si>
    <t>&lt;?xml version="1.0" encoding="utf-16"?&gt;_x000D_
&lt;Preset xmlns:xsi="http://www.w3.org/2001/XMLSchema-instance" xmlns:xsd="http://www.w3.org/2001/XMLSchema"&gt;_x000D_
  &lt;Name&gt;PNG, 850 dpi, RGB, White canvas&lt;/Name&gt;_x000D_
  &lt;Dpi&gt;850&lt;/Dpi&gt;_x000D_
  &lt;FileType&gt;Png&lt;/FileType&gt;_x000D_
  &lt;ColorSpace&gt;Rgb&lt;/ColorSpace&gt;_x000D_
  &lt;Transparency&gt;WhiteCanvas&lt;/Transparency&gt;_x000D_
  &lt;UseColorProfile&gt;false&lt;/UseColorProfile&gt;_x000D_
  &lt;ColorProfile&gt;HP_2310&lt;/ColorProfile&gt;_x000D_
&lt;/Preset&gt;</t>
  </si>
  <si>
    <t>C:\Users\adam\Desktop\Temp save - to delete later\PCC.png</t>
  </si>
  <si>
    <t>Berkshire Fine Spinning Associates and Hathaway Manufacturing Company, select data</t>
  </si>
  <si>
    <t>Berkshire Fine Spinning Associates and Hathaway Manufacturing Company, pro-forma combined, select data</t>
  </si>
  <si>
    <t>GEICO equity change</t>
  </si>
  <si>
    <t>Shares less treasury</t>
  </si>
  <si>
    <t>ORIGINAL --- In BOOK</t>
  </si>
  <si>
    <t>CORRECTION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</si>
</sst>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mmm\.\ dd\,\ yyyy"/>
    <numFmt numFmtId="167" formatCode="_(&quot;$&quot;* #,##0_);_(&quot;$&quot;* \(#,##0\);_(&quot;$&quot;* &quot;-&quot;??_);_(@_)"/>
    <numFmt numFmtId="168" formatCode="_(* #,##0_);_(* \(#,##0\);_(* &quot;0&quot;_);_(@_)"/>
    <numFmt numFmtId="169" formatCode="0.00000000000000%"/>
    <numFmt numFmtId="170" formatCode="&quot;$&quot;##,##0,;\(&quot;$&quot;##,##0,\)"/>
    <numFmt numFmtId="171" formatCode="##,##0,;\(##,##0,\)"/>
    <numFmt numFmtId="172" formatCode="mm/dd/yy"/>
    <numFmt numFmtId="173" formatCode="@*."/>
    <numFmt numFmtId="174" formatCode="yyyy"/>
    <numFmt numFmtId="175" formatCode="0.0000%"/>
    <numFmt numFmtId="176" formatCode="_(&quot;$&quot;* #,##0.0_);_(&quot;$&quot;* \(#,##0.0\);_(&quot;$&quot;* &quot;-&quot;??_);_(@_)"/>
    <numFmt numFmtId="177" formatCode="_(* #,##0.0_);_(* \(#,##0.0\);_(* &quot;-&quot;??_);_(@_)"/>
    <numFmt numFmtId="178" formatCode="0.0%;\(0.0%\)"/>
    <numFmt numFmtId="179" formatCode="&quot;$&quot;##,##0.#,;\(&quot;$&quot;##,##0.#\)"/>
    <numFmt numFmtId="180" formatCode="##,##0.#,;\(##,##0.#,\)"/>
    <numFmt numFmtId="181" formatCode="&quot;$&quot;##,##0.0,;\(&quot;$&quot;##,##0.0\)"/>
    <numFmt numFmtId="182" formatCode="##,##0.0,;\(##,##0.0,\)"/>
    <numFmt numFmtId="183" formatCode="##,##0.#,;\(##,##0.0,\)"/>
    <numFmt numFmtId="184" formatCode="&quot;$&quot;##,##0.0,;\(&quot;$&quot;##,##0.0,\)"/>
    <numFmt numFmtId="185" formatCode="&quot;$&quot;#,##0;&quot;$&quot;\-#,##0"/>
    <numFmt numFmtId="186" formatCode="0.000000000000000%"/>
    <numFmt numFmtId="187" formatCode="0.000%"/>
    <numFmt numFmtId="188" formatCode="###0.0;###0.0"/>
    <numFmt numFmtId="189" formatCode="#,##0.0;#,##0.0"/>
    <numFmt numFmtId="190" formatCode="&quot;$&quot;0.00"/>
    <numFmt numFmtId="191" formatCode="_(* #,##0.0_);_(* \(#,##0.0\);_(* &quot;-&quot;?_);_(@_)"/>
    <numFmt numFmtId="192" formatCode="&quot;$&quot;#,##0.00"/>
    <numFmt numFmtId="193" formatCode="#,#00"/>
    <numFmt numFmtId="194" formatCode="#,##0.0"/>
    <numFmt numFmtId="195" formatCode="&quot;$&quot;#,##0.0_);[Red]\(&quot;$&quot;#,##0.0\)"/>
    <numFmt numFmtId="196" formatCode="&quot;$&quot;#,##0.0"/>
    <numFmt numFmtId="197" formatCode="&quot;$&quot;#,##0"/>
    <numFmt numFmtId="198" formatCode="#,###"/>
    <numFmt numFmtId="199" formatCode="&quot;$&quot;#,##0_;"/>
    <numFmt numFmtId="200" formatCode="&quot;$&quot;#,##0_)"/>
    <numFmt numFmtId="201" formatCode="#,##0_)"/>
    <numFmt numFmtId="202" formatCode="##,##0_)\,;\(##,##0,\)"/>
    <numFmt numFmtId="203" formatCode="#,###,_);\(#,###,\)"/>
    <numFmt numFmtId="204" formatCode="&quot;$&quot;#,###,_);\(&quot;$&quot;#,###,\)"/>
    <numFmt numFmtId="205" formatCode="#"/>
    <numFmt numFmtId="206" formatCode="&quot;$&quot;#,###,_)"/>
    <numFmt numFmtId="207" formatCode="##0_;"/>
    <numFmt numFmtId="208" formatCode="#,###,_);\(#,###,_)"/>
    <numFmt numFmtId="209" formatCode="#_)"/>
    <numFmt numFmtId="210" formatCode="&quot;$&quot;#,###_);\(&quot;$&quot;#,###\)"/>
    <numFmt numFmtId="211" formatCode="#,###_);\(#,###\)"/>
    <numFmt numFmtId="212" formatCode="&quot;$&quot;#,###,_);\(&quot;$&quot;##,##0,\)"/>
    <numFmt numFmtId="213" formatCode="#,##0,_);\(#,###,\)"/>
    <numFmt numFmtId="214" formatCode="&quot;$&quot;##,##0,_);\(&quot;$&quot;##,##0,\)"/>
    <numFmt numFmtId="215" formatCode="mm/dd/yy_)"/>
    <numFmt numFmtId="216" formatCode="##,##0,_);\(##,##0,\)"/>
    <numFmt numFmtId="217" formatCode="&quot;$&quot;#,###_);\(&quot;$&quot;##,##0\)"/>
    <numFmt numFmtId="218" formatCode="#,###_);\(##,##0\)"/>
    <numFmt numFmtId="219" formatCode="_(* #,##0.000_);_(* \(#,##0.000\);_(* &quot;-&quot;??_);_(@_)"/>
    <numFmt numFmtId="220" formatCode="&quot;$&quot;#,###"/>
    <numFmt numFmtId="221" formatCode="&quot;$&quot;#,###.00"/>
    <numFmt numFmtId="222" formatCode="&quot;$&quot;#.##"/>
    <numFmt numFmtId="223" formatCode="&quot;$&quot;#,###_)"/>
    <numFmt numFmtId="224" formatCode="&quot;$&quot;#,###.00_)"/>
    <numFmt numFmtId="225" formatCode="&quot;$&quot;#_)"/>
    <numFmt numFmtId="226" formatCode="0.0,;\(0.0,\)"/>
    <numFmt numFmtId="227" formatCode="_(* #,##0_);_(* \(#,##0.0\);_*\ &quot;0&quot;;_(@_)"/>
    <numFmt numFmtId="228" formatCode="#,##0_);\(##,##0\)"/>
    <numFmt numFmtId="229" formatCode="&quot;$&quot;#,##0_);\(&quot;$&quot;##,##0\)"/>
    <numFmt numFmtId="230" formatCode="&quot;$&quot;#,##0,_);\(&quot;$&quot;##,##0,\)"/>
    <numFmt numFmtId="231" formatCode="#,##0,_);\(##,##0,\)"/>
    <numFmt numFmtId="232" formatCode="&quot;$&quot;#,##0.0_)"/>
    <numFmt numFmtId="233" formatCode="#,##0.0_);\(#,##0.0\)"/>
    <numFmt numFmtId="234" formatCode="_(&quot;$&quot;#,##0.0_);_(&quot;$&quot;* \(#,##0.0\);_(&quot;$&quot;&quot;-&quot;??_);_(@_)"/>
    <numFmt numFmtId="235" formatCode="_(&quot;$&quot;#,##0.0_);_(&quot;$&quot;* \(#,##0.0\);_(&quot;$&quot;* &quot;-&quot;??_);_(@_)"/>
    <numFmt numFmtId="236" formatCode="_(#,##0.0_);_(* \(#,##0.0\);_(* &quot;-&quot;??_);_(@_)"/>
    <numFmt numFmtId="237" formatCode="_(#,##0.0_);_(* \(#,##0.0\);_(&quot;0&quot;??_);_(@_)"/>
    <numFmt numFmtId="238" formatCode="_(#,##0.0_);_(* \(#,##0.0\);_(&quot;0&quot;_);_(@_)"/>
    <numFmt numFmtId="239" formatCode="_(&quot;$&quot;#,##0.0_);_(\(&quot;$&quot;#,##0.0\);_(&quot;$&quot;&quot;-&quot;??_);_(@_)"/>
    <numFmt numFmtId="240" formatCode="&quot;$&quot;#,##0.00_)"/>
    <numFmt numFmtId="241" formatCode="#,##0,_);\(#,##0,\)"/>
    <numFmt numFmtId="242" formatCode="_(* #,##0.00;_(* \(#,##0.00\);_(* &quot;-&quot;??_);_(@_)"/>
    <numFmt numFmtId="243" formatCode="&quot;$&quot;#,##0,_)"/>
    <numFmt numFmtId="244" formatCode="&quot;$&quot;#.#0_)"/>
    <numFmt numFmtId="245" formatCode="#,##0,_)"/>
    <numFmt numFmtId="246" formatCode="&quot;$&quot;#,##0_);\(#,##0\)"/>
    <numFmt numFmtId="247" formatCode="&quot;$&quot;#,##0_);0;\(&quot;$&quot;#,##0\)"/>
    <numFmt numFmtId="248" formatCode="#,##0_);0\(#,##0\)"/>
    <numFmt numFmtId="249" formatCode="#,##0_);\(&quot;$&quot;#,##0\)"/>
    <numFmt numFmtId="250" formatCode="&quot;$&quot;#,##0,"/>
    <numFmt numFmtId="251" formatCode="&quot;$&quot;#,##0;\(&quot;$&quot;#,##0\)"/>
    <numFmt numFmtId="252" formatCode="_)"/>
    <numFmt numFmtId="253" formatCode="0_)"/>
    <numFmt numFmtId="254" formatCode="0.0%_);\(0.0%\)"/>
    <numFmt numFmtId="255" formatCode="0%_);\(0%\)"/>
    <numFmt numFmtId="256" formatCode="##,##0.000,;\(##,##0.000,\)"/>
    <numFmt numFmtId="257" formatCode="#,#00%"/>
    <numFmt numFmtId="258" formatCode="&quot;$&quot;0.00_)"/>
    <numFmt numFmtId="259" formatCode="m/dd/yy"/>
    <numFmt numFmtId="260" formatCode="0%;\(0%\)"/>
    <numFmt numFmtId="261" formatCode="#,000,_);\(#,000,\)"/>
    <numFmt numFmtId="262" formatCode="0.00%_);\(0.00%\)"/>
    <numFmt numFmtId="263" formatCode="0.00\:&quot;1&quot;_)"/>
    <numFmt numFmtId="264" formatCode="&quot;+&quot;;\ &quot;_&quot;"/>
    <numFmt numFmtId="265" formatCode="0.0_);\(0.0\)"/>
    <numFmt numFmtId="266" formatCode="&quot;$&quot;#.#_)"/>
    <numFmt numFmtId="267" formatCode="&quot;$&quot;#.0_)"/>
    <numFmt numFmtId="268" formatCode="#.0"/>
    <numFmt numFmtId="269" formatCode="&quot;$&quot;0.0_)"/>
    <numFmt numFmtId="270" formatCode="###0_);\(###0\)"/>
    <numFmt numFmtId="271" formatCode="#.0&quot;%&quot;"/>
    <numFmt numFmtId="272" formatCode="_(* #,##0;_(* \(#,##0\);_(* &quot;-&quot;??_);_(@_)"/>
    <numFmt numFmtId="273" formatCode="#,#00;\(#,#00\)"/>
    <numFmt numFmtId="274" formatCode="#.0,"/>
    <numFmt numFmtId="275" formatCode="&quot;$&quot;#.0,"/>
    <numFmt numFmtId="276" formatCode="#,###.0;\(#.0\)"/>
    <numFmt numFmtId="277" formatCode="#,###.0_)"/>
    <numFmt numFmtId="278" formatCode="_(&quot;$&quot;#,##0_);_(\(&quot;$&quot;#,##0\);_(&quot;$&quot;&quot;-&quot;??_);_(@_)"/>
    <numFmt numFmtId="279" formatCode="&quot;$&quot;#,###;\(&quot;$&quot;#,###\)"/>
    <numFmt numFmtId="280" formatCode="&quot;$&quot;#,##0;\(&quot;$&quot;#,###\)"/>
    <numFmt numFmtId="281" formatCode="#,###,"/>
    <numFmt numFmtId="282" formatCode="&quot;$&quot;#,###,"/>
    <numFmt numFmtId="283" formatCode="&quot;$&quot;#"/>
    <numFmt numFmtId="284" formatCode="0.0,_);\(0.0,\)"/>
    <numFmt numFmtId="285" formatCode="&quot;$&quot;##,##0.0,_);\(&quot;$&quot;##,##0.0\)"/>
    <numFmt numFmtId="286" formatCode="&quot;$&quot;##,##0.00,_);\(&quot;$&quot;##,##0.00,\)"/>
    <numFmt numFmtId="287" formatCode="0.0%_)"/>
    <numFmt numFmtId="288" formatCode="&quot;$&quot;#.#__"/>
    <numFmt numFmtId="289" formatCode="&quot;+&quot;#.#&quot;pts&quot;;&quot;-&quot;#.#&quot;pts&quot;"/>
    <numFmt numFmtId="290" formatCode="0.00\x"/>
    <numFmt numFmtId="291" formatCode="&quot;$&quot;#.0"/>
    <numFmt numFmtId="292" formatCode="0.0\x"/>
    <numFmt numFmtId="293" formatCode="&quot;$&quot;#,###_);\(#,###\)"/>
    <numFmt numFmtId="294" formatCode="#,##0_);\(#,###\)"/>
    <numFmt numFmtId="295" formatCode="#,###,,"/>
    <numFmt numFmtId="296" formatCode="&quot;$&quot;#.0_);\(#.0\)"/>
    <numFmt numFmtId="297" formatCode="#.0_);\(#.0\)"/>
    <numFmt numFmtId="298" formatCode="#,##0.00_)"/>
    <numFmt numFmtId="299" formatCode="&quot;$&quot;#_);\(&quot;$&quot;#\)"/>
    <numFmt numFmtId="300" formatCode="#_);\(#\)"/>
    <numFmt numFmtId="301" formatCode="#."/>
    <numFmt numFmtId="302" formatCode="0;\(0%\)"/>
    <numFmt numFmtId="303" formatCode="0%_)"/>
    <numFmt numFmtId="304" formatCode="#,##0%;&quot;NM&quot;"/>
    <numFmt numFmtId="305" formatCode="0_);\(0\)"/>
    <numFmt numFmtId="306" formatCode="&quot;$&quot;0_);\(&quot;$&quot;0\)"/>
    <numFmt numFmtId="307" formatCode="#,##0.000_);\(#,##0.000\)"/>
    <numFmt numFmtId="308" formatCode="&quot;$&quot;#,##0.0_);\(&quot;$&quot;#,##0.0\)"/>
    <numFmt numFmtId="309" formatCode="0.00\x_)"/>
    <numFmt numFmtId="310" formatCode="&quot;$&quot;#,#00_);\(&quot;$&quot;\,0\)"/>
    <numFmt numFmtId="311" formatCode="#,#00_);\(#,#00\)"/>
    <numFmt numFmtId="312" formatCode="&quot;$&quot;#,##0_);\(&quot;$&quot;#,#00\)"/>
    <numFmt numFmtId="313" formatCode="&quot;$&quot;#,##0.0_);0.0;\(&quot;$&quot;#,##0.0\)"/>
  </numFmts>
  <fonts count="68" x14ac:knownFonts="1">
    <font>
      <sz val="11"/>
      <color theme="1"/>
      <name val="Calibri"/>
      <family val="2"/>
      <scheme val="minor"/>
    </font>
    <font>
      <sz val="12"/>
      <color theme="1"/>
      <name val="Times New Roman"/>
      <family val="2"/>
    </font>
    <font>
      <sz val="12"/>
      <color theme="1"/>
      <name val="Times New Roman"/>
      <family val="2"/>
    </font>
    <font>
      <sz val="11"/>
      <color theme="1"/>
      <name val="Calibri"/>
      <family val="2"/>
      <scheme val="minor"/>
    </font>
    <font>
      <sz val="11"/>
      <color theme="1"/>
      <name val="Times New Roman"/>
      <family val="1"/>
    </font>
    <font>
      <b/>
      <sz val="11"/>
      <color theme="1"/>
      <name val="Times New Roman"/>
      <family val="1"/>
    </font>
    <font>
      <b/>
      <u/>
      <sz val="11"/>
      <color theme="1"/>
      <name val="Times New Roman"/>
      <family val="1"/>
    </font>
    <font>
      <i/>
      <sz val="11"/>
      <color theme="1"/>
      <name val="Times New Roman"/>
      <family val="1"/>
    </font>
    <font>
      <sz val="9"/>
      <color theme="1"/>
      <name val="Times New Roman"/>
      <family val="1"/>
    </font>
    <font>
      <sz val="9"/>
      <color indexed="81"/>
      <name val="Tahoma"/>
      <family val="2"/>
    </font>
    <font>
      <b/>
      <sz val="9"/>
      <color indexed="81"/>
      <name val="Tahoma"/>
      <family val="2"/>
    </font>
    <font>
      <b/>
      <sz val="14"/>
      <color theme="1"/>
      <name val="Times New Roman"/>
      <family val="1"/>
    </font>
    <font>
      <sz val="8"/>
      <color theme="1"/>
      <name val="Times New Roman"/>
      <family val="1"/>
    </font>
    <font>
      <i/>
      <u/>
      <sz val="11"/>
      <color theme="1"/>
      <name val="Times New Roman"/>
      <family val="1"/>
    </font>
    <font>
      <i/>
      <sz val="11"/>
      <color theme="1"/>
      <name val="Calibri"/>
      <family val="2"/>
      <scheme val="minor"/>
    </font>
    <font>
      <u/>
      <sz val="11"/>
      <color theme="10"/>
      <name val="Calibri"/>
      <family val="2"/>
      <scheme val="minor"/>
    </font>
    <font>
      <sz val="11"/>
      <name val="Times New Roman"/>
      <family val="1"/>
    </font>
    <font>
      <vertAlign val="superscript"/>
      <sz val="11"/>
      <color theme="1"/>
      <name val="Times New Roman"/>
      <family val="1"/>
    </font>
    <font>
      <sz val="10"/>
      <color theme="1"/>
      <name val="Times New Roman"/>
      <family val="1"/>
    </font>
    <font>
      <sz val="11"/>
      <color theme="0"/>
      <name val="Times New Roman"/>
      <family val="1"/>
    </font>
    <font>
      <i/>
      <sz val="10"/>
      <color theme="1"/>
      <name val="Times New Roman"/>
      <family val="1"/>
    </font>
    <font>
      <b/>
      <sz val="11"/>
      <name val="Times New Roman"/>
      <family val="1"/>
    </font>
    <font>
      <sz val="10"/>
      <color rgb="FF000000"/>
      <name val="Times New Roman"/>
      <family val="1"/>
    </font>
    <font>
      <sz val="11"/>
      <color rgb="FF000000"/>
      <name val="Times New Roman"/>
      <family val="1"/>
    </font>
    <font>
      <b/>
      <i/>
      <sz val="11"/>
      <color theme="1"/>
      <name val="Times New Roman"/>
      <family val="1"/>
    </font>
    <font>
      <b/>
      <sz val="12"/>
      <color theme="1"/>
      <name val="Times New Roman"/>
      <family val="1"/>
    </font>
    <font>
      <u/>
      <sz val="11"/>
      <color theme="1"/>
      <name val="Times New Roman"/>
      <family val="1"/>
    </font>
    <font>
      <sz val="12"/>
      <color theme="1"/>
      <name val="Times New Roman"/>
      <family val="1"/>
    </font>
    <font>
      <i/>
      <sz val="12"/>
      <color theme="1"/>
      <name val="Times New Roman"/>
      <family val="1"/>
    </font>
    <font>
      <b/>
      <u/>
      <sz val="12"/>
      <color theme="1"/>
      <name val="Times New Roman"/>
      <family val="1"/>
    </font>
    <font>
      <i/>
      <u/>
      <sz val="12"/>
      <color theme="1"/>
      <name val="Times New Roman"/>
      <family val="1"/>
    </font>
    <font>
      <u/>
      <sz val="12"/>
      <color theme="10"/>
      <name val="Calibri"/>
      <family val="2"/>
      <scheme val="minor"/>
    </font>
    <font>
      <u/>
      <sz val="12"/>
      <color theme="1"/>
      <name val="Times New Roman"/>
      <family val="1"/>
    </font>
    <font>
      <vertAlign val="superscript"/>
      <sz val="12"/>
      <color theme="1"/>
      <name val="Times New Roman"/>
      <family val="1"/>
    </font>
    <font>
      <b/>
      <vertAlign val="superscript"/>
      <sz val="12"/>
      <color theme="1"/>
      <name val="Times New Roman"/>
      <family val="1"/>
    </font>
    <font>
      <b/>
      <sz val="12"/>
      <color rgb="FF000000"/>
      <name val="Times New Roman"/>
      <family val="1"/>
    </font>
    <font>
      <sz val="12"/>
      <color rgb="FF000000"/>
      <name val="Times New Roman"/>
      <family val="1"/>
    </font>
    <font>
      <u/>
      <vertAlign val="superscript"/>
      <sz val="12"/>
      <color theme="1"/>
      <name val="Times New Roman"/>
      <family val="1"/>
    </font>
    <font>
      <u val="singleAccounting"/>
      <sz val="12"/>
      <color theme="1"/>
      <name val="Times New Roman"/>
      <family val="1"/>
    </font>
    <font>
      <sz val="11.5"/>
      <color theme="1"/>
      <name val="Times New Roman"/>
      <family val="1"/>
    </font>
    <font>
      <u/>
      <sz val="12"/>
      <name val="Times New Roman"/>
      <family val="1"/>
    </font>
    <font>
      <i/>
      <sz val="12"/>
      <name val="Times New Roman"/>
      <family val="1"/>
    </font>
    <font>
      <sz val="12"/>
      <name val="Times New Roman"/>
      <family val="1"/>
    </font>
    <font>
      <vertAlign val="superscript"/>
      <sz val="12"/>
      <name val="Times New Roman"/>
      <family val="1"/>
    </font>
    <font>
      <i/>
      <vertAlign val="superscript"/>
      <sz val="12"/>
      <color theme="1"/>
      <name val="Times New Roman"/>
      <family val="1"/>
    </font>
    <font>
      <sz val="12"/>
      <color rgb="FFFF0000"/>
      <name val="Times New Roman"/>
      <family val="1"/>
    </font>
    <font>
      <sz val="12"/>
      <color theme="5" tint="0.39997558519241921"/>
      <name val="Times New Roman"/>
      <family val="1"/>
    </font>
    <font>
      <sz val="12"/>
      <color theme="1"/>
      <name val="Calibri"/>
      <family val="2"/>
      <scheme val="minor"/>
    </font>
    <font>
      <b/>
      <i/>
      <sz val="12"/>
      <color theme="1"/>
      <name val="Times New Roman"/>
      <family val="1"/>
    </font>
    <font>
      <sz val="8"/>
      <name val="Calibri"/>
      <family val="2"/>
      <scheme val="minor"/>
    </font>
    <font>
      <b/>
      <sz val="12"/>
      <name val="Times New Roman"/>
      <family val="1"/>
    </font>
    <font>
      <b/>
      <vertAlign val="superscript"/>
      <sz val="12"/>
      <name val="Times New Roman"/>
      <family val="1"/>
    </font>
    <font>
      <b/>
      <sz val="12"/>
      <color theme="0"/>
      <name val="Times New Roman"/>
      <family val="1"/>
    </font>
    <font>
      <i/>
      <sz val="9"/>
      <color theme="1"/>
      <name val="Times New Roman"/>
      <family val="1"/>
    </font>
    <font>
      <sz val="10.5"/>
      <color theme="1"/>
      <name val="Times New Roman"/>
      <family val="1"/>
    </font>
    <font>
      <i/>
      <sz val="12"/>
      <color theme="1"/>
      <name val="Calibri"/>
      <family val="2"/>
      <scheme val="minor"/>
    </font>
    <font>
      <sz val="8"/>
      <color theme="1"/>
      <name val="Calibri"/>
      <family val="2"/>
      <scheme val="minor"/>
    </font>
    <font>
      <i/>
      <sz val="12"/>
      <color rgb="FF000000"/>
      <name val="Times New Roman"/>
      <family val="1"/>
    </font>
    <font>
      <sz val="12"/>
      <color rgb="FF3A3A3A"/>
      <name val="Times New Roman"/>
      <family val="1"/>
    </font>
    <font>
      <sz val="12"/>
      <color rgb="FF494949"/>
      <name val="Times New Roman"/>
      <family val="1"/>
    </font>
    <font>
      <sz val="12"/>
      <color rgb="FF595959"/>
      <name val="Times New Roman"/>
      <family val="1"/>
    </font>
    <font>
      <sz val="12"/>
      <color rgb="FF707070"/>
      <name val="Times New Roman"/>
      <family val="1"/>
    </font>
    <font>
      <sz val="12"/>
      <color rgb="FF232323"/>
      <name val="Times New Roman"/>
      <family val="1"/>
    </font>
    <font>
      <sz val="12"/>
      <color rgb="FF0000FF"/>
      <name val="Times New Roman"/>
      <family val="1"/>
    </font>
    <font>
      <sz val="14"/>
      <color rgb="FF000000"/>
      <name val="Times New Roman"/>
      <family val="1"/>
    </font>
    <font>
      <sz val="12"/>
      <color rgb="FF000000"/>
      <name val="Arial"/>
      <family val="2"/>
    </font>
    <font>
      <sz val="10"/>
      <name val="Arial"/>
      <family val="2"/>
    </font>
    <font>
      <i/>
      <sz val="11"/>
      <color theme="4" tint="-0.249977111117893"/>
      <name val="Times New Roman"/>
      <family val="1"/>
    </font>
  </fonts>
  <fills count="38">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gray0625"/>
    </fill>
    <fill>
      <patternFill patternType="solid">
        <fgColor rgb="FFFFFF00"/>
        <bgColor indexed="64"/>
      </patternFill>
    </fill>
    <fill>
      <patternFill patternType="solid">
        <fgColor theme="7"/>
        <bgColor indexed="64"/>
      </patternFill>
    </fill>
    <fill>
      <patternFill patternType="solid">
        <fgColor theme="7" tint="0.79998168889431442"/>
        <bgColor indexed="64"/>
      </patternFill>
    </fill>
    <fill>
      <patternFill patternType="solid">
        <fgColor theme="5"/>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gray0625">
        <bgColor theme="7"/>
      </patternFill>
    </fill>
    <fill>
      <patternFill patternType="solid">
        <fgColor theme="9" tint="0.59999389629810485"/>
        <bgColor indexed="64"/>
      </patternFill>
    </fill>
    <fill>
      <patternFill patternType="gray0625">
        <bgColor rgb="FFFFFF00"/>
      </patternFill>
    </fill>
    <fill>
      <patternFill patternType="solid">
        <fgColor theme="2"/>
        <bgColor indexed="64"/>
      </patternFill>
    </fill>
    <fill>
      <patternFill patternType="gray0625">
        <bgColor auto="1"/>
      </patternFill>
    </fill>
    <fill>
      <patternFill patternType="solid">
        <fgColor theme="0" tint="-0.14999847407452621"/>
        <bgColor indexed="64"/>
      </patternFill>
    </fill>
    <fill>
      <patternFill patternType="gray0625">
        <bgColor theme="0" tint="-0.14999847407452621"/>
      </patternFill>
    </fill>
    <fill>
      <patternFill patternType="solid">
        <fgColor rgb="FF00B0F0"/>
        <bgColor indexed="64"/>
      </patternFill>
    </fill>
    <fill>
      <patternFill patternType="solid">
        <fgColor theme="1"/>
        <bgColor indexed="64"/>
      </patternFill>
    </fill>
    <fill>
      <patternFill patternType="gray0625">
        <bgColor theme="0"/>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gray0625">
        <bgColor theme="7" tint="0.59999389629810485"/>
      </patternFill>
    </fill>
    <fill>
      <patternFill patternType="solid">
        <fgColor theme="4" tint="0.39997558519241921"/>
        <bgColor indexed="64"/>
      </patternFill>
    </fill>
    <fill>
      <patternFill patternType="gray0625">
        <bgColor theme="4" tint="0.39997558519241921"/>
      </patternFill>
    </fill>
    <fill>
      <patternFill patternType="gray0625">
        <bgColor theme="5" tint="0.59999389629810485"/>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FFFFFF"/>
        <bgColor indexed="64"/>
      </patternFill>
    </fill>
  </fills>
  <borders count="6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double">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right style="thin">
        <color indexed="64"/>
      </right>
      <top/>
      <bottom style="medium">
        <color indexed="64"/>
      </bottom>
      <diagonal/>
    </border>
    <border>
      <left/>
      <right style="medium">
        <color indexed="64"/>
      </right>
      <top style="double">
        <color indexed="64"/>
      </top>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right/>
      <top style="double">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indexed="64"/>
      </left>
      <right/>
      <top style="thin">
        <color indexed="64"/>
      </top>
      <bottom style="double">
        <color indexed="64"/>
      </bottom>
      <diagonal/>
    </border>
    <border>
      <left style="medium">
        <color indexed="64"/>
      </left>
      <right/>
      <top style="medium">
        <color indexed="64"/>
      </top>
      <bottom style="thin">
        <color indexed="64"/>
      </bottom>
      <diagonal/>
    </border>
  </borders>
  <cellStyleXfs count="9">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 fillId="0" borderId="0" applyNumberFormat="0" applyFill="0" applyBorder="0" applyAlignment="0" applyProtection="0"/>
    <xf numFmtId="0" fontId="22" fillId="0" borderId="0"/>
    <xf numFmtId="0" fontId="2" fillId="0" borderId="0"/>
    <xf numFmtId="0" fontId="1" fillId="0" borderId="0"/>
    <xf numFmtId="0" fontId="66" fillId="0" borderId="0"/>
  </cellStyleXfs>
  <cellXfs count="3023">
    <xf numFmtId="0" fontId="0" fillId="0" borderId="0" xfId="0"/>
    <xf numFmtId="0" fontId="4" fillId="0" borderId="0" xfId="0" applyFont="1"/>
    <xf numFmtId="164" fontId="4" fillId="0" borderId="0" xfId="1" applyNumberFormat="1" applyFont="1"/>
    <xf numFmtId="44" fontId="4" fillId="0" borderId="0" xfId="2" applyFont="1"/>
    <xf numFmtId="164" fontId="4" fillId="0" borderId="0" xfId="0" applyNumberFormat="1" applyFont="1"/>
    <xf numFmtId="10" fontId="4" fillId="0" borderId="0" xfId="3" applyNumberFormat="1" applyFont="1"/>
    <xf numFmtId="0" fontId="4" fillId="0" borderId="3" xfId="0" applyFont="1" applyBorder="1"/>
    <xf numFmtId="164" fontId="4" fillId="0" borderId="4" xfId="1" applyNumberFormat="1" applyFont="1" applyBorder="1"/>
    <xf numFmtId="0" fontId="4" fillId="0" borderId="4" xfId="0" applyFont="1" applyBorder="1"/>
    <xf numFmtId="0" fontId="4" fillId="0" borderId="5" xfId="0" applyFont="1" applyBorder="1"/>
    <xf numFmtId="0" fontId="5" fillId="0" borderId="0" xfId="0" applyFont="1"/>
    <xf numFmtId="0" fontId="6" fillId="0" borderId="0" xfId="0" applyFont="1"/>
    <xf numFmtId="0" fontId="7" fillId="0" borderId="0" xfId="0" applyFont="1"/>
    <xf numFmtId="167" fontId="4" fillId="0" borderId="0" xfId="2" applyNumberFormat="1" applyFont="1"/>
    <xf numFmtId="167" fontId="4" fillId="0" borderId="0" xfId="0" applyNumberFormat="1" applyFont="1"/>
    <xf numFmtId="0" fontId="4" fillId="2" borderId="0" xfId="0" applyFont="1" applyFill="1"/>
    <xf numFmtId="0" fontId="7" fillId="2" borderId="0" xfId="0" applyFont="1" applyFill="1"/>
    <xf numFmtId="0" fontId="4" fillId="3" borderId="0" xfId="0" applyFont="1" applyFill="1"/>
    <xf numFmtId="167" fontId="4" fillId="3" borderId="0" xfId="0" applyNumberFormat="1" applyFont="1" applyFill="1"/>
    <xf numFmtId="0" fontId="4" fillId="4" borderId="0" xfId="0" applyFont="1" applyFill="1"/>
    <xf numFmtId="167" fontId="4" fillId="4" borderId="0" xfId="0" applyNumberFormat="1" applyFont="1" applyFill="1"/>
    <xf numFmtId="164" fontId="4" fillId="4" borderId="0" xfId="0" applyNumberFormat="1" applyFont="1" applyFill="1"/>
    <xf numFmtId="168" fontId="4" fillId="4" borderId="0" xfId="0" applyNumberFormat="1" applyFont="1" applyFill="1"/>
    <xf numFmtId="0" fontId="5" fillId="0" borderId="1" xfId="0" applyFont="1" applyBorder="1"/>
    <xf numFmtId="0" fontId="5" fillId="0" borderId="3" xfId="0" applyFont="1" applyBorder="1"/>
    <xf numFmtId="0" fontId="4" fillId="0" borderId="15" xfId="0" applyFont="1" applyBorder="1"/>
    <xf numFmtId="0" fontId="4" fillId="0" borderId="6" xfId="0" applyFont="1" applyBorder="1"/>
    <xf numFmtId="0" fontId="6" fillId="0" borderId="1" xfId="0" applyFont="1" applyBorder="1"/>
    <xf numFmtId="0" fontId="7" fillId="0" borderId="3" xfId="0" applyFont="1" applyBorder="1"/>
    <xf numFmtId="165" fontId="4" fillId="0" borderId="0" xfId="3" applyNumberFormat="1" applyFont="1"/>
    <xf numFmtId="165" fontId="4" fillId="0" borderId="4" xfId="3" applyNumberFormat="1" applyFont="1" applyBorder="1"/>
    <xf numFmtId="43" fontId="4" fillId="0" borderId="0" xfId="1" applyFont="1"/>
    <xf numFmtId="0" fontId="4" fillId="9" borderId="0" xfId="0" applyFont="1" applyFill="1"/>
    <xf numFmtId="0" fontId="4" fillId="10" borderId="0" xfId="0" applyFont="1" applyFill="1"/>
    <xf numFmtId="0" fontId="4" fillId="11" borderId="0" xfId="0" applyFont="1" applyFill="1"/>
    <xf numFmtId="0" fontId="4" fillId="13" borderId="3" xfId="0" applyFont="1" applyFill="1" applyBorder="1"/>
    <xf numFmtId="0" fontId="4" fillId="13" borderId="0" xfId="0" applyFont="1" applyFill="1"/>
    <xf numFmtId="164" fontId="0" fillId="0" borderId="0" xfId="1" applyNumberFormat="1" applyFont="1"/>
    <xf numFmtId="164" fontId="0" fillId="0" borderId="0" xfId="0" applyNumberFormat="1"/>
    <xf numFmtId="0" fontId="14" fillId="14" borderId="0" xfId="0" applyFont="1" applyFill="1"/>
    <xf numFmtId="164" fontId="0" fillId="14" borderId="0" xfId="1" applyNumberFormat="1" applyFont="1" applyFill="1"/>
    <xf numFmtId="0" fontId="0" fillId="14" borderId="0" xfId="0" applyFill="1"/>
    <xf numFmtId="0" fontId="14" fillId="9" borderId="0" xfId="0" applyFont="1" applyFill="1"/>
    <xf numFmtId="0" fontId="0" fillId="9" borderId="0" xfId="0" applyFill="1"/>
    <xf numFmtId="164" fontId="0" fillId="9" borderId="0" xfId="1" applyNumberFormat="1" applyFont="1" applyFill="1"/>
    <xf numFmtId="0" fontId="14" fillId="0" borderId="0" xfId="0" applyFont="1"/>
    <xf numFmtId="0" fontId="0" fillId="6" borderId="0" xfId="0" applyFill="1"/>
    <xf numFmtId="164" fontId="0" fillId="6" borderId="0" xfId="1" applyNumberFormat="1" applyFont="1" applyFill="1"/>
    <xf numFmtId="0" fontId="0" fillId="12" borderId="0" xfId="0" applyFill="1"/>
    <xf numFmtId="164" fontId="0" fillId="12" borderId="0" xfId="1" applyNumberFormat="1" applyFont="1" applyFill="1"/>
    <xf numFmtId="0" fontId="4" fillId="8" borderId="0" xfId="0" applyFont="1" applyFill="1"/>
    <xf numFmtId="0" fontId="4" fillId="14" borderId="0" xfId="0" applyFont="1" applyFill="1"/>
    <xf numFmtId="164" fontId="4" fillId="14" borderId="0" xfId="0" applyNumberFormat="1" applyFont="1" applyFill="1"/>
    <xf numFmtId="170" fontId="4" fillId="0" borderId="0" xfId="0" applyNumberFormat="1" applyFont="1"/>
    <xf numFmtId="0" fontId="7" fillId="9" borderId="0" xfId="0" applyFont="1" applyFill="1"/>
    <xf numFmtId="170" fontId="4" fillId="9" borderId="0" xfId="0" applyNumberFormat="1" applyFont="1" applyFill="1"/>
    <xf numFmtId="44" fontId="4" fillId="0" borderId="6" xfId="2" applyFont="1" applyBorder="1"/>
    <xf numFmtId="171" fontId="4" fillId="0" borderId="0" xfId="0" applyNumberFormat="1" applyFont="1"/>
    <xf numFmtId="0" fontId="5" fillId="0" borderId="5" xfId="0" applyFont="1" applyBorder="1"/>
    <xf numFmtId="170" fontId="4" fillId="14" borderId="0" xfId="0" applyNumberFormat="1" applyFont="1" applyFill="1"/>
    <xf numFmtId="171" fontId="4" fillId="14" borderId="0" xfId="0" applyNumberFormat="1" applyFont="1" applyFill="1"/>
    <xf numFmtId="0" fontId="0" fillId="0" borderId="0" xfId="0" applyAlignment="1">
      <alignment wrapText="1"/>
    </xf>
    <xf numFmtId="0" fontId="4" fillId="0" borderId="18" xfId="0" applyFont="1" applyBorder="1"/>
    <xf numFmtId="0" fontId="4" fillId="0" borderId="2" xfId="0" applyFont="1" applyBorder="1"/>
    <xf numFmtId="0" fontId="6" fillId="0" borderId="4" xfId="0" applyFont="1" applyBorder="1"/>
    <xf numFmtId="167" fontId="4" fillId="0" borderId="4" xfId="2" applyNumberFormat="1" applyFont="1" applyBorder="1"/>
    <xf numFmtId="170" fontId="4" fillId="0" borderId="0" xfId="2" applyNumberFormat="1" applyFont="1"/>
    <xf numFmtId="0" fontId="4" fillId="0" borderId="3" xfId="0" applyFont="1" applyBorder="1" applyAlignment="1">
      <alignment wrapText="1"/>
    </xf>
    <xf numFmtId="44" fontId="4" fillId="0" borderId="4" xfId="2" applyFont="1" applyBorder="1"/>
    <xf numFmtId="9" fontId="4" fillId="0" borderId="0" xfId="3" applyFont="1"/>
    <xf numFmtId="9" fontId="4" fillId="0" borderId="4" xfId="3" applyFont="1" applyBorder="1"/>
    <xf numFmtId="164" fontId="4" fillId="0" borderId="15" xfId="1" applyNumberFormat="1" applyFont="1" applyBorder="1"/>
    <xf numFmtId="164" fontId="4" fillId="0" borderId="6" xfId="1" applyNumberFormat="1" applyFont="1" applyBorder="1"/>
    <xf numFmtId="0" fontId="4" fillId="0" borderId="7" xfId="0" applyFont="1" applyBorder="1"/>
    <xf numFmtId="3" fontId="4" fillId="0" borderId="0" xfId="0" applyNumberFormat="1" applyFont="1"/>
    <xf numFmtId="3" fontId="4" fillId="3" borderId="0" xfId="0" applyNumberFormat="1" applyFont="1" applyFill="1"/>
    <xf numFmtId="164" fontId="4" fillId="0" borderId="7" xfId="1" applyNumberFormat="1" applyFont="1" applyBorder="1"/>
    <xf numFmtId="0" fontId="4" fillId="0" borderId="0" xfId="0" applyFont="1" applyAlignment="1">
      <alignment horizontal="right"/>
    </xf>
    <xf numFmtId="0" fontId="4" fillId="19" borderId="0" xfId="0" applyFont="1" applyFill="1"/>
    <xf numFmtId="3" fontId="4" fillId="19" borderId="0" xfId="0" applyNumberFormat="1" applyFont="1" applyFill="1"/>
    <xf numFmtId="164" fontId="4" fillId="0" borderId="9" xfId="1" applyNumberFormat="1" applyFont="1" applyBorder="1"/>
    <xf numFmtId="0" fontId="4" fillId="21" borderId="15" xfId="0" applyFont="1" applyFill="1" applyBorder="1"/>
    <xf numFmtId="0" fontId="4" fillId="21" borderId="0" xfId="0" applyFont="1" applyFill="1"/>
    <xf numFmtId="164" fontId="5" fillId="0" borderId="9" xfId="1" applyNumberFormat="1" applyFont="1" applyBorder="1"/>
    <xf numFmtId="164" fontId="5" fillId="0" borderId="13" xfId="1" applyNumberFormat="1" applyFont="1" applyBorder="1"/>
    <xf numFmtId="0" fontId="4" fillId="0" borderId="1" xfId="0" applyFont="1" applyBorder="1"/>
    <xf numFmtId="0" fontId="6" fillId="0" borderId="18" xfId="0" applyFont="1" applyBorder="1"/>
    <xf numFmtId="0" fontId="6" fillId="0" borderId="2" xfId="0" applyFont="1" applyBorder="1"/>
    <xf numFmtId="0" fontId="4" fillId="0" borderId="0" xfId="0" applyFont="1" applyAlignment="1">
      <alignment horizontal="left" vertical="top" wrapText="1"/>
    </xf>
    <xf numFmtId="43" fontId="4" fillId="0" borderId="4" xfId="1" applyFont="1" applyBorder="1"/>
    <xf numFmtId="0" fontId="4" fillId="0" borderId="0" xfId="0" applyFont="1" applyAlignment="1">
      <alignment horizontal="left"/>
    </xf>
    <xf numFmtId="9" fontId="4" fillId="0" borderId="0" xfId="0" applyNumberFormat="1" applyFont="1"/>
    <xf numFmtId="44" fontId="4" fillId="0" borderId="0" xfId="0" applyNumberFormat="1" applyFont="1"/>
    <xf numFmtId="3" fontId="4" fillId="0" borderId="2" xfId="0" applyNumberFormat="1" applyFont="1" applyBorder="1"/>
    <xf numFmtId="3" fontId="4" fillId="0" borderId="4" xfId="0" applyNumberFormat="1" applyFont="1" applyBorder="1"/>
    <xf numFmtId="3" fontId="4" fillId="0" borderId="13" xfId="0" applyNumberFormat="1" applyFont="1" applyBorder="1"/>
    <xf numFmtId="0" fontId="4" fillId="23" borderId="5" xfId="0" applyFont="1" applyFill="1" applyBorder="1"/>
    <xf numFmtId="0" fontId="4" fillId="23" borderId="15" xfId="0" applyFont="1" applyFill="1" applyBorder="1"/>
    <xf numFmtId="3" fontId="4" fillId="23" borderId="20" xfId="0" applyNumberFormat="1" applyFont="1" applyFill="1" applyBorder="1"/>
    <xf numFmtId="3" fontId="7" fillId="0" borderId="0" xfId="0" applyNumberFormat="1" applyFont="1"/>
    <xf numFmtId="164" fontId="5" fillId="0" borderId="0" xfId="1" applyNumberFormat="1" applyFont="1"/>
    <xf numFmtId="167" fontId="5" fillId="0" borderId="0" xfId="2" applyNumberFormat="1" applyFont="1"/>
    <xf numFmtId="167" fontId="4" fillId="0" borderId="9" xfId="2" applyNumberFormat="1" applyFont="1" applyBorder="1"/>
    <xf numFmtId="167" fontId="4" fillId="0" borderId="15" xfId="2" applyNumberFormat="1" applyFont="1" applyBorder="1"/>
    <xf numFmtId="0" fontId="4" fillId="0" borderId="0" xfId="2" applyNumberFormat="1" applyFont="1"/>
    <xf numFmtId="3" fontId="4" fillId="9" borderId="0" xfId="0" applyNumberFormat="1" applyFont="1" applyFill="1"/>
    <xf numFmtId="167" fontId="4" fillId="9" borderId="0" xfId="0" applyNumberFormat="1" applyFont="1" applyFill="1"/>
    <xf numFmtId="170" fontId="4" fillId="0" borderId="9" xfId="0" applyNumberFormat="1" applyFont="1" applyBorder="1"/>
    <xf numFmtId="14" fontId="5" fillId="0" borderId="18" xfId="0" applyNumberFormat="1" applyFont="1" applyBorder="1"/>
    <xf numFmtId="14" fontId="5" fillId="0" borderId="2" xfId="0" applyNumberFormat="1" applyFont="1" applyBorder="1"/>
    <xf numFmtId="164" fontId="5" fillId="0" borderId="4" xfId="1" applyNumberFormat="1" applyFont="1" applyBorder="1"/>
    <xf numFmtId="167" fontId="5" fillId="0" borderId="4" xfId="2" applyNumberFormat="1" applyFont="1" applyBorder="1"/>
    <xf numFmtId="167" fontId="5" fillId="0" borderId="15" xfId="2" applyNumberFormat="1" applyFont="1" applyBorder="1"/>
    <xf numFmtId="167" fontId="5" fillId="0" borderId="6" xfId="2" applyNumberFormat="1" applyFont="1" applyBorder="1"/>
    <xf numFmtId="173" fontId="4" fillId="0" borderId="0" xfId="0" applyNumberFormat="1" applyFont="1" applyAlignment="1">
      <alignment vertical="center" wrapText="1"/>
    </xf>
    <xf numFmtId="0" fontId="4" fillId="0" borderId="0" xfId="0" applyFont="1" applyAlignment="1">
      <alignment wrapText="1"/>
    </xf>
    <xf numFmtId="177" fontId="4" fillId="0" borderId="0" xfId="1" applyNumberFormat="1" applyFont="1"/>
    <xf numFmtId="176" fontId="4" fillId="0" borderId="0" xfId="2" applyNumberFormat="1" applyFont="1"/>
    <xf numFmtId="176" fontId="4" fillId="13" borderId="0" xfId="2" applyNumberFormat="1" applyFont="1" applyFill="1"/>
    <xf numFmtId="43" fontId="4" fillId="0" borderId="0" xfId="0" applyNumberFormat="1" applyFont="1"/>
    <xf numFmtId="0" fontId="4" fillId="0" borderId="0" xfId="0" applyFont="1" applyAlignment="1">
      <alignment horizontal="right" wrapText="1"/>
    </xf>
    <xf numFmtId="0" fontId="4" fillId="6" borderId="0" xfId="0" applyFont="1" applyFill="1" applyAlignment="1">
      <alignment wrapText="1"/>
    </xf>
    <xf numFmtId="0" fontId="19" fillId="0" borderId="0" xfId="0" applyFont="1"/>
    <xf numFmtId="0" fontId="5" fillId="0" borderId="4" xfId="0" applyFont="1" applyBorder="1"/>
    <xf numFmtId="165" fontId="4" fillId="0" borderId="7" xfId="3" applyNumberFormat="1" applyFont="1" applyBorder="1"/>
    <xf numFmtId="164" fontId="4" fillId="0" borderId="15" xfId="0" applyNumberFormat="1" applyFont="1" applyBorder="1"/>
    <xf numFmtId="164" fontId="5" fillId="0" borderId="0" xfId="0" applyNumberFormat="1" applyFont="1"/>
    <xf numFmtId="0" fontId="5" fillId="8" borderId="0" xfId="0" applyFont="1" applyFill="1"/>
    <xf numFmtId="185" fontId="16" fillId="0" borderId="0" xfId="0" applyNumberFormat="1" applyFont="1" applyAlignment="1">
      <alignment horizontal="right" vertical="top" wrapText="1"/>
    </xf>
    <xf numFmtId="185" fontId="16" fillId="0" borderId="4" xfId="0" applyNumberFormat="1" applyFont="1" applyBorder="1" applyAlignment="1">
      <alignment horizontal="right" vertical="top" wrapText="1"/>
    </xf>
    <xf numFmtId="177" fontId="4" fillId="0" borderId="15" xfId="1" applyNumberFormat="1" applyFont="1" applyBorder="1"/>
    <xf numFmtId="0" fontId="7" fillId="0" borderId="1" xfId="0" applyFont="1" applyBorder="1"/>
    <xf numFmtId="177" fontId="4" fillId="0" borderId="4" xfId="1" applyNumberFormat="1" applyFont="1" applyBorder="1"/>
    <xf numFmtId="176" fontId="4" fillId="0" borderId="15" xfId="2" applyNumberFormat="1" applyFont="1" applyBorder="1"/>
    <xf numFmtId="167" fontId="4" fillId="0" borderId="8" xfId="2" applyNumberFormat="1" applyFont="1" applyBorder="1"/>
    <xf numFmtId="6" fontId="4" fillId="0" borderId="0" xfId="0" applyNumberFormat="1" applyFont="1"/>
    <xf numFmtId="10" fontId="4" fillId="0" borderId="0" xfId="0" applyNumberFormat="1" applyFont="1"/>
    <xf numFmtId="8" fontId="4" fillId="0" borderId="0" xfId="0" applyNumberFormat="1" applyFont="1"/>
    <xf numFmtId="186" fontId="4" fillId="0" borderId="0" xfId="0" applyNumberFormat="1" applyFont="1"/>
    <xf numFmtId="167" fontId="4" fillId="0" borderId="4" xfId="0" applyNumberFormat="1" applyFont="1" applyBorder="1"/>
    <xf numFmtId="9" fontId="4" fillId="21" borderId="4" xfId="3" applyFont="1" applyFill="1" applyBorder="1"/>
    <xf numFmtId="187" fontId="4" fillId="0" borderId="0" xfId="0" applyNumberFormat="1" applyFont="1"/>
    <xf numFmtId="0" fontId="4" fillId="0" borderId="23" xfId="0" applyFont="1" applyBorder="1" applyAlignment="1">
      <alignment horizontal="left" vertical="top" wrapText="1"/>
    </xf>
    <xf numFmtId="0" fontId="20" fillId="0" borderId="0" xfId="0" applyFont="1"/>
    <xf numFmtId="0" fontId="24" fillId="0" borderId="3" xfId="0" applyFont="1" applyBorder="1"/>
    <xf numFmtId="177" fontId="4" fillId="0" borderId="6" xfId="1" applyNumberFormat="1" applyFont="1" applyBorder="1"/>
    <xf numFmtId="176" fontId="4" fillId="0" borderId="6" xfId="2" applyNumberFormat="1" applyFont="1" applyBorder="1"/>
    <xf numFmtId="176" fontId="4" fillId="13" borderId="4" xfId="2" applyNumberFormat="1" applyFont="1" applyFill="1" applyBorder="1"/>
    <xf numFmtId="191" fontId="4" fillId="0" borderId="4" xfId="0" applyNumberFormat="1" applyFont="1" applyBorder="1"/>
    <xf numFmtId="177" fontId="5" fillId="0" borderId="19" xfId="1" applyNumberFormat="1" applyFont="1" applyBorder="1"/>
    <xf numFmtId="191" fontId="4" fillId="0" borderId="6" xfId="0" applyNumberFormat="1" applyFont="1" applyBorder="1"/>
    <xf numFmtId="191" fontId="4" fillId="6" borderId="6" xfId="0" applyNumberFormat="1" applyFont="1" applyFill="1" applyBorder="1"/>
    <xf numFmtId="0" fontId="25" fillId="0" borderId="0" xfId="0" applyFont="1"/>
    <xf numFmtId="0" fontId="4" fillId="27" borderId="0" xfId="0" applyFont="1" applyFill="1"/>
    <xf numFmtId="0" fontId="6" fillId="0" borderId="0" xfId="0" applyFont="1" applyAlignment="1">
      <alignment horizontal="right"/>
    </xf>
    <xf numFmtId="9" fontId="4" fillId="0" borderId="7" xfId="3" applyFont="1" applyBorder="1"/>
    <xf numFmtId="10" fontId="4" fillId="0" borderId="7" xfId="3" applyNumberFormat="1" applyFont="1" applyBorder="1"/>
    <xf numFmtId="167" fontId="4" fillId="0" borderId="37" xfId="2" applyNumberFormat="1" applyFont="1" applyBorder="1"/>
    <xf numFmtId="0" fontId="4" fillId="0" borderId="38" xfId="0" applyFont="1" applyBorder="1"/>
    <xf numFmtId="0" fontId="4" fillId="0" borderId="39" xfId="0" applyFont="1" applyBorder="1"/>
    <xf numFmtId="0" fontId="12" fillId="0" borderId="0" xfId="0" applyFont="1"/>
    <xf numFmtId="0" fontId="6" fillId="0" borderId="18" xfId="0" applyFont="1" applyBorder="1" applyAlignment="1">
      <alignment wrapText="1"/>
    </xf>
    <xf numFmtId="167" fontId="4" fillId="0" borderId="3" xfId="2" applyNumberFormat="1" applyFont="1" applyBorder="1"/>
    <xf numFmtId="10" fontId="4" fillId="8" borderId="0" xfId="3" applyNumberFormat="1" applyFont="1" applyFill="1"/>
    <xf numFmtId="167" fontId="4" fillId="0" borderId="30" xfId="2" applyNumberFormat="1" applyFont="1" applyBorder="1"/>
    <xf numFmtId="167" fontId="4" fillId="0" borderId="16" xfId="0" applyNumberFormat="1" applyFont="1" applyBorder="1"/>
    <xf numFmtId="167" fontId="4" fillId="0" borderId="5" xfId="2" applyNumberFormat="1" applyFont="1" applyBorder="1"/>
    <xf numFmtId="167" fontId="4" fillId="0" borderId="6" xfId="0" applyNumberFormat="1" applyFont="1" applyBorder="1"/>
    <xf numFmtId="9" fontId="4" fillId="8" borderId="4" xfId="3" applyFont="1" applyFill="1" applyBorder="1"/>
    <xf numFmtId="167" fontId="5" fillId="0" borderId="30" xfId="2" applyNumberFormat="1" applyFont="1" applyBorder="1"/>
    <xf numFmtId="9" fontId="4" fillId="0" borderId="16" xfId="3" applyFont="1" applyBorder="1"/>
    <xf numFmtId="167" fontId="4" fillId="0" borderId="6" xfId="2" applyNumberFormat="1" applyFont="1" applyBorder="1"/>
    <xf numFmtId="10" fontId="4" fillId="8" borderId="0" xfId="0" applyNumberFormat="1" applyFont="1" applyFill="1"/>
    <xf numFmtId="10" fontId="4" fillId="0" borderId="7" xfId="0" applyNumberFormat="1" applyFont="1" applyBorder="1"/>
    <xf numFmtId="44" fontId="4" fillId="0" borderId="9" xfId="2" applyFont="1" applyBorder="1"/>
    <xf numFmtId="44" fontId="4" fillId="0" borderId="13" xfId="2" applyFont="1" applyBorder="1"/>
    <xf numFmtId="9" fontId="4" fillId="0" borderId="15" xfId="3" applyFont="1" applyBorder="1"/>
    <xf numFmtId="167" fontId="4" fillId="0" borderId="0" xfId="2" applyNumberFormat="1" applyFont="1" applyAlignment="1">
      <alignment horizontal="right"/>
    </xf>
    <xf numFmtId="44" fontId="4" fillId="13" borderId="0" xfId="2" applyFont="1" applyFill="1"/>
    <xf numFmtId="0" fontId="6" fillId="13" borderId="0" xfId="0" applyFont="1" applyFill="1"/>
    <xf numFmtId="0" fontId="6" fillId="13" borderId="4" xfId="0" applyFont="1" applyFill="1" applyBorder="1"/>
    <xf numFmtId="44" fontId="4" fillId="28" borderId="0" xfId="2" applyFont="1" applyFill="1"/>
    <xf numFmtId="0" fontId="4" fillId="28" borderId="3" xfId="0" applyFont="1" applyFill="1" applyBorder="1" applyAlignment="1">
      <alignment wrapText="1"/>
    </xf>
    <xf numFmtId="44" fontId="4" fillId="28" borderId="4" xfId="2" applyFont="1" applyFill="1" applyBorder="1"/>
    <xf numFmtId="0" fontId="4" fillId="28" borderId="0" xfId="0" applyFont="1" applyFill="1"/>
    <xf numFmtId="43" fontId="4" fillId="28" borderId="0" xfId="1" applyFont="1" applyFill="1"/>
    <xf numFmtId="165" fontId="4" fillId="28" borderId="0" xfId="3" applyNumberFormat="1" applyFont="1" applyFill="1"/>
    <xf numFmtId="44" fontId="7" fillId="0" borderId="0" xfId="2" applyFont="1"/>
    <xf numFmtId="0" fontId="5" fillId="0" borderId="15" xfId="0" applyFont="1" applyBorder="1"/>
    <xf numFmtId="0" fontId="13" fillId="0" borderId="0" xfId="0" applyFont="1"/>
    <xf numFmtId="0" fontId="24" fillId="0" borderId="1" xfId="0" applyFont="1" applyBorder="1"/>
    <xf numFmtId="15" fontId="4" fillId="0" borderId="0" xfId="0" applyNumberFormat="1" applyFont="1"/>
    <xf numFmtId="0" fontId="5" fillId="11" borderId="0" xfId="0" applyFont="1" applyFill="1"/>
    <xf numFmtId="164" fontId="4" fillId="0" borderId="0" xfId="1" applyNumberFormat="1" applyFont="1" applyAlignment="1">
      <alignment horizontal="right"/>
    </xf>
    <xf numFmtId="165" fontId="4" fillId="28" borderId="4" xfId="3" applyNumberFormat="1" applyFont="1" applyFill="1" applyBorder="1"/>
    <xf numFmtId="43" fontId="4" fillId="28" borderId="4" xfId="1" applyFont="1" applyFill="1" applyBorder="1"/>
    <xf numFmtId="14" fontId="4" fillId="0" borderId="0" xfId="0" applyNumberFormat="1" applyFont="1"/>
    <xf numFmtId="167" fontId="4" fillId="0" borderId="9" xfId="0" applyNumberFormat="1" applyFont="1" applyBorder="1"/>
    <xf numFmtId="0" fontId="4" fillId="0" borderId="0" xfId="0" applyFont="1" applyFill="1"/>
    <xf numFmtId="164" fontId="4" fillId="0" borderId="0" xfId="1" applyNumberFormat="1" applyFont="1" applyFill="1"/>
    <xf numFmtId="167" fontId="4" fillId="0" borderId="0" xfId="2" applyNumberFormat="1" applyFont="1" applyFill="1"/>
    <xf numFmtId="165" fontId="4" fillId="0" borderId="0" xfId="3" applyNumberFormat="1" applyFont="1" applyBorder="1"/>
    <xf numFmtId="0" fontId="5" fillId="0" borderId="18" xfId="0" applyFont="1" applyBorder="1" applyAlignment="1">
      <alignment horizontal="center"/>
    </xf>
    <xf numFmtId="164" fontId="4" fillId="0" borderId="0" xfId="1" applyNumberFormat="1" applyFont="1" applyBorder="1"/>
    <xf numFmtId="0" fontId="5" fillId="0" borderId="0" xfId="0" applyFont="1" applyBorder="1" applyAlignment="1">
      <alignment horizontal="center"/>
    </xf>
    <xf numFmtId="0" fontId="4" fillId="0" borderId="0" xfId="0" applyFont="1" applyBorder="1"/>
    <xf numFmtId="0" fontId="24" fillId="0" borderId="0" xfId="0" applyFont="1" applyBorder="1"/>
    <xf numFmtId="0" fontId="26" fillId="0" borderId="0" xfId="0" applyFont="1"/>
    <xf numFmtId="167" fontId="7" fillId="0" borderId="0" xfId="0" applyNumberFormat="1" applyFont="1"/>
    <xf numFmtId="165" fontId="4" fillId="0" borderId="0" xfId="3" applyNumberFormat="1" applyFont="1" applyFill="1"/>
    <xf numFmtId="170" fontId="4" fillId="0" borderId="0" xfId="0" applyNumberFormat="1" applyFont="1" applyBorder="1"/>
    <xf numFmtId="0" fontId="27" fillId="0" borderId="0" xfId="0" applyFont="1"/>
    <xf numFmtId="0" fontId="28" fillId="0" borderId="1" xfId="0" applyFont="1" applyBorder="1"/>
    <xf numFmtId="0" fontId="25" fillId="0" borderId="3" xfId="0" applyFont="1" applyBorder="1"/>
    <xf numFmtId="0" fontId="27" fillId="0" borderId="3" xfId="0" applyFont="1" applyBorder="1"/>
    <xf numFmtId="164" fontId="27" fillId="0" borderId="0" xfId="1" applyNumberFormat="1" applyFont="1" applyBorder="1"/>
    <xf numFmtId="9" fontId="27" fillId="0" borderId="4" xfId="3" applyFont="1" applyBorder="1"/>
    <xf numFmtId="0" fontId="28" fillId="0" borderId="5" xfId="0" applyFont="1" applyBorder="1"/>
    <xf numFmtId="0" fontId="27" fillId="0" borderId="15" xfId="0" applyFont="1" applyBorder="1"/>
    <xf numFmtId="0" fontId="27" fillId="0" borderId="6" xfId="0" applyFont="1" applyBorder="1"/>
    <xf numFmtId="0" fontId="27" fillId="0" borderId="0" xfId="0" applyFont="1" applyBorder="1"/>
    <xf numFmtId="0" fontId="28" fillId="0" borderId="3" xfId="0" applyFont="1" applyBorder="1"/>
    <xf numFmtId="0" fontId="28" fillId="0" borderId="4" xfId="0" applyFont="1" applyBorder="1"/>
    <xf numFmtId="0" fontId="27" fillId="0" borderId="4" xfId="0" applyFont="1" applyBorder="1"/>
    <xf numFmtId="0" fontId="27" fillId="0" borderId="5" xfId="0" applyFont="1" applyBorder="1"/>
    <xf numFmtId="0" fontId="29" fillId="0" borderId="1" xfId="0" applyFont="1" applyBorder="1"/>
    <xf numFmtId="9" fontId="27" fillId="0" borderId="0" xfId="3" applyFont="1"/>
    <xf numFmtId="165" fontId="27" fillId="0" borderId="0" xfId="3" applyNumberFormat="1" applyFont="1"/>
    <xf numFmtId="165" fontId="27" fillId="0" borderId="9" xfId="3" applyNumberFormat="1" applyFont="1" applyBorder="1"/>
    <xf numFmtId="165" fontId="27" fillId="0" borderId="13" xfId="3" applyNumberFormat="1" applyFont="1" applyBorder="1"/>
    <xf numFmtId="164" fontId="27" fillId="0" borderId="0" xfId="1" applyNumberFormat="1" applyFont="1"/>
    <xf numFmtId="164" fontId="27" fillId="7" borderId="0" xfId="1" applyNumberFormat="1" applyFont="1" applyFill="1"/>
    <xf numFmtId="165" fontId="27" fillId="0" borderId="15" xfId="3" applyNumberFormat="1" applyFont="1" applyBorder="1"/>
    <xf numFmtId="170" fontId="27" fillId="0" borderId="0" xfId="1" applyNumberFormat="1" applyFont="1"/>
    <xf numFmtId="171" fontId="27" fillId="0" borderId="0" xfId="1" applyNumberFormat="1" applyFont="1"/>
    <xf numFmtId="171" fontId="27" fillId="0" borderId="9" xfId="1" applyNumberFormat="1" applyFont="1" applyBorder="1"/>
    <xf numFmtId="171" fontId="27" fillId="0" borderId="4" xfId="1" applyNumberFormat="1" applyFont="1" applyBorder="1" applyAlignment="1">
      <alignment horizontal="right"/>
    </xf>
    <xf numFmtId="171" fontId="27" fillId="0" borderId="4" xfId="1" applyNumberFormat="1" applyFont="1" applyBorder="1"/>
    <xf numFmtId="0" fontId="30" fillId="0" borderId="3" xfId="0" applyFont="1" applyBorder="1"/>
    <xf numFmtId="171" fontId="27" fillId="0" borderId="0" xfId="0" applyNumberFormat="1" applyFont="1"/>
    <xf numFmtId="171" fontId="27" fillId="0" borderId="4" xfId="0" applyNumberFormat="1" applyFont="1" applyBorder="1"/>
    <xf numFmtId="0" fontId="27" fillId="10" borderId="3" xfId="0" applyFont="1" applyFill="1" applyBorder="1"/>
    <xf numFmtId="171" fontId="27" fillId="10" borderId="0" xfId="0" applyNumberFormat="1" applyFont="1" applyFill="1"/>
    <xf numFmtId="171" fontId="27" fillId="10" borderId="4" xfId="0" applyNumberFormat="1" applyFont="1" applyFill="1" applyBorder="1"/>
    <xf numFmtId="171" fontId="27" fillId="7" borderId="4" xfId="2" applyNumberFormat="1" applyFont="1" applyFill="1" applyBorder="1"/>
    <xf numFmtId="0" fontId="27" fillId="9" borderId="3" xfId="0" applyFont="1" applyFill="1" applyBorder="1"/>
    <xf numFmtId="171" fontId="27" fillId="9" borderId="4" xfId="1" applyNumberFormat="1" applyFont="1" applyFill="1" applyBorder="1"/>
    <xf numFmtId="170" fontId="27" fillId="0" borderId="4" xfId="1" applyNumberFormat="1" applyFont="1" applyBorder="1"/>
    <xf numFmtId="166" fontId="25" fillId="0" borderId="0" xfId="0" applyNumberFormat="1" applyFont="1"/>
    <xf numFmtId="166" fontId="25" fillId="0" borderId="4" xfId="0" applyNumberFormat="1" applyFont="1" applyBorder="1"/>
    <xf numFmtId="170" fontId="27" fillId="0" borderId="0" xfId="2" applyNumberFormat="1" applyFont="1"/>
    <xf numFmtId="170" fontId="27" fillId="0" borderId="4" xfId="2" applyNumberFormat="1" applyFont="1" applyBorder="1"/>
    <xf numFmtId="167" fontId="27" fillId="0" borderId="0" xfId="2" applyNumberFormat="1" applyFont="1"/>
    <xf numFmtId="167" fontId="27" fillId="0" borderId="4" xfId="2" applyNumberFormat="1" applyFont="1" applyBorder="1"/>
    <xf numFmtId="164" fontId="27" fillId="7" borderId="4" xfId="1" applyNumberFormat="1" applyFont="1" applyFill="1" applyBorder="1"/>
    <xf numFmtId="171" fontId="28" fillId="0" borderId="9" xfId="1" applyNumberFormat="1" applyFont="1" applyBorder="1"/>
    <xf numFmtId="171" fontId="28" fillId="0" borderId="13" xfId="1" applyNumberFormat="1" applyFont="1" applyBorder="1"/>
    <xf numFmtId="168" fontId="28" fillId="0" borderId="4" xfId="1" applyNumberFormat="1" applyFont="1" applyBorder="1"/>
    <xf numFmtId="170" fontId="27" fillId="0" borderId="8" xfId="2" applyNumberFormat="1" applyFont="1" applyBorder="1"/>
    <xf numFmtId="170" fontId="27" fillId="0" borderId="14" xfId="2" applyNumberFormat="1" applyFont="1" applyBorder="1"/>
    <xf numFmtId="164" fontId="27" fillId="0" borderId="4" xfId="1" applyNumberFormat="1" applyFont="1" applyBorder="1"/>
    <xf numFmtId="171" fontId="27" fillId="7" borderId="4" xfId="1" applyNumberFormat="1" applyFont="1" applyFill="1" applyBorder="1"/>
    <xf numFmtId="168" fontId="27" fillId="0" borderId="4" xfId="1" applyNumberFormat="1" applyFont="1" applyBorder="1"/>
    <xf numFmtId="171" fontId="27" fillId="0" borderId="13" xfId="1" applyNumberFormat="1" applyFont="1" applyBorder="1"/>
    <xf numFmtId="171" fontId="28" fillId="0" borderId="4" xfId="1" applyNumberFormat="1" applyFont="1" applyBorder="1"/>
    <xf numFmtId="171" fontId="28" fillId="0" borderId="7" xfId="1" applyNumberFormat="1" applyFont="1" applyBorder="1"/>
    <xf numFmtId="171" fontId="28" fillId="0" borderId="16" xfId="1" applyNumberFormat="1" applyFont="1" applyBorder="1"/>
    <xf numFmtId="0" fontId="28" fillId="2" borderId="3" xfId="0" applyFont="1" applyFill="1" applyBorder="1"/>
    <xf numFmtId="171" fontId="28" fillId="2" borderId="4" xfId="1" applyNumberFormat="1" applyFont="1" applyFill="1" applyBorder="1"/>
    <xf numFmtId="171" fontId="27" fillId="0" borderId="10" xfId="1" applyNumberFormat="1" applyFont="1" applyBorder="1"/>
    <xf numFmtId="171" fontId="27" fillId="0" borderId="17" xfId="1" applyNumberFormat="1" applyFont="1" applyBorder="1"/>
    <xf numFmtId="0" fontId="25" fillId="0" borderId="5" xfId="0" applyFont="1" applyBorder="1"/>
    <xf numFmtId="170" fontId="27" fillId="0" borderId="15" xfId="2" applyNumberFormat="1" applyFont="1" applyBorder="1"/>
    <xf numFmtId="170" fontId="27" fillId="0" borderId="6" xfId="2" applyNumberFormat="1" applyFont="1" applyBorder="1"/>
    <xf numFmtId="0" fontId="27" fillId="2" borderId="0" xfId="0" applyFont="1" applyFill="1"/>
    <xf numFmtId="44" fontId="27" fillId="2" borderId="0" xfId="2" applyFont="1" applyFill="1"/>
    <xf numFmtId="167" fontId="27" fillId="2" borderId="0" xfId="2" applyNumberFormat="1" applyFont="1" applyFill="1"/>
    <xf numFmtId="167" fontId="27" fillId="0" borderId="0" xfId="0" applyNumberFormat="1" applyFont="1"/>
    <xf numFmtId="164" fontId="27" fillId="0" borderId="0" xfId="0" applyNumberFormat="1" applyFont="1"/>
    <xf numFmtId="0" fontId="25" fillId="0" borderId="1" xfId="0" applyFont="1" applyBorder="1"/>
    <xf numFmtId="171" fontId="27" fillId="0" borderId="4" xfId="2" applyNumberFormat="1" applyFont="1" applyBorder="1"/>
    <xf numFmtId="171" fontId="27" fillId="5" borderId="0" xfId="1" applyNumberFormat="1" applyFont="1" applyFill="1"/>
    <xf numFmtId="0" fontId="27" fillId="0" borderId="3" xfId="0" applyFont="1" applyBorder="1" applyAlignment="1">
      <alignment wrapText="1"/>
    </xf>
    <xf numFmtId="170" fontId="25" fillId="0" borderId="15" xfId="2" applyNumberFormat="1" applyFont="1" applyBorder="1"/>
    <xf numFmtId="170" fontId="25" fillId="0" borderId="6" xfId="2" applyNumberFormat="1" applyFont="1" applyBorder="1"/>
    <xf numFmtId="0" fontId="27" fillId="9" borderId="0" xfId="0" applyFont="1" applyFill="1"/>
    <xf numFmtId="0" fontId="29" fillId="0" borderId="0" xfId="0" applyFont="1"/>
    <xf numFmtId="172" fontId="25" fillId="0" borderId="0" xfId="0" applyNumberFormat="1" applyFont="1"/>
    <xf numFmtId="0" fontId="28" fillId="5" borderId="1" xfId="0" applyFont="1" applyFill="1" applyBorder="1"/>
    <xf numFmtId="0" fontId="27" fillId="5" borderId="18" xfId="0" applyFont="1" applyFill="1" applyBorder="1"/>
    <xf numFmtId="0" fontId="27" fillId="5" borderId="3" xfId="0" applyFont="1" applyFill="1" applyBorder="1"/>
    <xf numFmtId="166" fontId="25" fillId="5" borderId="0" xfId="0" applyNumberFormat="1" applyFont="1" applyFill="1"/>
    <xf numFmtId="164" fontId="27" fillId="5" borderId="0" xfId="1" applyNumberFormat="1" applyFont="1" applyFill="1"/>
    <xf numFmtId="0" fontId="27" fillId="5" borderId="0" xfId="0" applyFont="1" applyFill="1"/>
    <xf numFmtId="171" fontId="27" fillId="5" borderId="9" xfId="1" applyNumberFormat="1" applyFont="1" applyFill="1" applyBorder="1"/>
    <xf numFmtId="0" fontId="29" fillId="5" borderId="3" xfId="0" applyFont="1" applyFill="1" applyBorder="1"/>
    <xf numFmtId="171" fontId="25" fillId="5" borderId="0" xfId="0" applyNumberFormat="1" applyFont="1" applyFill="1"/>
    <xf numFmtId="171" fontId="27" fillId="5" borderId="10" xfId="1" applyNumberFormat="1" applyFont="1" applyFill="1" applyBorder="1"/>
    <xf numFmtId="0" fontId="25" fillId="5" borderId="5" xfId="0" applyFont="1" applyFill="1" applyBorder="1"/>
    <xf numFmtId="166" fontId="25" fillId="5" borderId="15" xfId="0" applyNumberFormat="1" applyFont="1" applyFill="1" applyBorder="1"/>
    <xf numFmtId="171" fontId="25" fillId="5" borderId="15" xfId="1" applyNumberFormat="1" applyFont="1" applyFill="1" applyBorder="1"/>
    <xf numFmtId="0" fontId="27" fillId="5" borderId="15" xfId="0" applyFont="1" applyFill="1" applyBorder="1"/>
    <xf numFmtId="0" fontId="28" fillId="13" borderId="1" xfId="0" applyFont="1" applyFill="1" applyBorder="1"/>
    <xf numFmtId="0" fontId="27" fillId="13" borderId="18" xfId="0" applyFont="1" applyFill="1" applyBorder="1"/>
    <xf numFmtId="171" fontId="27" fillId="13" borderId="18" xfId="0" applyNumberFormat="1" applyFont="1" applyFill="1" applyBorder="1"/>
    <xf numFmtId="0" fontId="27" fillId="13" borderId="3" xfId="0" applyFont="1" applyFill="1" applyBorder="1"/>
    <xf numFmtId="166" fontId="25" fillId="13" borderId="0" xfId="0" applyNumberFormat="1" applyFont="1" applyFill="1"/>
    <xf numFmtId="164" fontId="27" fillId="13" borderId="0" xfId="1" applyNumberFormat="1" applyFont="1" applyFill="1"/>
    <xf numFmtId="171" fontId="27" fillId="13" borderId="0" xfId="1" applyNumberFormat="1" applyFont="1" applyFill="1"/>
    <xf numFmtId="0" fontId="27" fillId="13" borderId="0" xfId="0" applyFont="1" applyFill="1"/>
    <xf numFmtId="171" fontId="27" fillId="13" borderId="9" xfId="1" applyNumberFormat="1" applyFont="1" applyFill="1" applyBorder="1"/>
    <xf numFmtId="0" fontId="29" fillId="13" borderId="3" xfId="0" applyFont="1" applyFill="1" applyBorder="1"/>
    <xf numFmtId="171" fontId="25" fillId="13" borderId="0" xfId="0" applyNumberFormat="1" applyFont="1" applyFill="1"/>
    <xf numFmtId="171" fontId="27" fillId="13" borderId="10" xfId="1" applyNumberFormat="1" applyFont="1" applyFill="1" applyBorder="1"/>
    <xf numFmtId="0" fontId="25" fillId="13" borderId="5" xfId="0" applyFont="1" applyFill="1" applyBorder="1"/>
    <xf numFmtId="166" fontId="25" fillId="13" borderId="15" xfId="0" applyNumberFormat="1" applyFont="1" applyFill="1" applyBorder="1"/>
    <xf numFmtId="171" fontId="25" fillId="13" borderId="15" xfId="1" applyNumberFormat="1" applyFont="1" applyFill="1" applyBorder="1"/>
    <xf numFmtId="0" fontId="27" fillId="13" borderId="15" xfId="0" applyFont="1" applyFill="1" applyBorder="1"/>
    <xf numFmtId="0" fontId="27" fillId="12" borderId="0" xfId="0" applyFont="1" applyFill="1"/>
    <xf numFmtId="166" fontId="25" fillId="12" borderId="0" xfId="0" applyNumberFormat="1" applyFont="1" applyFill="1"/>
    <xf numFmtId="0" fontId="28" fillId="0" borderId="0" xfId="0" applyFont="1"/>
    <xf numFmtId="0" fontId="27" fillId="10" borderId="0" xfId="0" applyFont="1" applyFill="1"/>
    <xf numFmtId="0" fontId="27" fillId="6" borderId="0" xfId="0" applyFont="1" applyFill="1"/>
    <xf numFmtId="164" fontId="27" fillId="0" borderId="15" xfId="1" applyNumberFormat="1" applyFont="1" applyBorder="1"/>
    <xf numFmtId="164" fontId="27" fillId="0" borderId="6" xfId="1" applyNumberFormat="1" applyFont="1" applyBorder="1"/>
    <xf numFmtId="170" fontId="25" fillId="0" borderId="15" xfId="1" applyNumberFormat="1" applyFont="1" applyBorder="1"/>
    <xf numFmtId="170" fontId="25" fillId="0" borderId="6" xfId="1" applyNumberFormat="1" applyFont="1" applyBorder="1"/>
    <xf numFmtId="164" fontId="27" fillId="9" borderId="0" xfId="0" applyNumberFormat="1" applyFont="1" applyFill="1"/>
    <xf numFmtId="171" fontId="27" fillId="9" borderId="0" xfId="0" applyNumberFormat="1" applyFont="1" applyFill="1"/>
    <xf numFmtId="0" fontId="27" fillId="14" borderId="1" xfId="0" applyFont="1" applyFill="1" applyBorder="1"/>
    <xf numFmtId="0" fontId="27" fillId="14" borderId="18" xfId="0" applyFont="1" applyFill="1" applyBorder="1"/>
    <xf numFmtId="170" fontId="27" fillId="14" borderId="2" xfId="0" applyNumberFormat="1" applyFont="1" applyFill="1" applyBorder="1"/>
    <xf numFmtId="0" fontId="27" fillId="14" borderId="3" xfId="0" applyFont="1" applyFill="1" applyBorder="1"/>
    <xf numFmtId="0" fontId="27" fillId="14" borderId="0" xfId="0" applyFont="1" applyFill="1"/>
    <xf numFmtId="171" fontId="27" fillId="14" borderId="4" xfId="0" applyNumberFormat="1" applyFont="1" applyFill="1" applyBorder="1"/>
    <xf numFmtId="0" fontId="27" fillId="14" borderId="4" xfId="0" applyFont="1" applyFill="1" applyBorder="1"/>
    <xf numFmtId="170" fontId="27" fillId="14" borderId="4" xfId="0" applyNumberFormat="1" applyFont="1" applyFill="1" applyBorder="1"/>
    <xf numFmtId="0" fontId="27" fillId="9" borderId="5" xfId="0" applyFont="1" applyFill="1" applyBorder="1"/>
    <xf numFmtId="164" fontId="27" fillId="9" borderId="15" xfId="0" applyNumberFormat="1" applyFont="1" applyFill="1" applyBorder="1"/>
    <xf numFmtId="164" fontId="27" fillId="9" borderId="6" xfId="0" applyNumberFormat="1" applyFont="1" applyFill="1" applyBorder="1"/>
    <xf numFmtId="170" fontId="27" fillId="0" borderId="0" xfId="0" applyNumberFormat="1" applyFont="1"/>
    <xf numFmtId="7" fontId="27" fillId="0" borderId="0" xfId="0" applyNumberFormat="1" applyFont="1"/>
    <xf numFmtId="0" fontId="27" fillId="11" borderId="3" xfId="0" applyFont="1" applyFill="1" applyBorder="1"/>
    <xf numFmtId="164" fontId="27" fillId="11" borderId="0" xfId="1" applyNumberFormat="1" applyFont="1" applyFill="1"/>
    <xf numFmtId="164" fontId="27" fillId="11" borderId="4" xfId="1" applyNumberFormat="1" applyFont="1" applyFill="1" applyBorder="1"/>
    <xf numFmtId="0" fontId="27" fillId="11" borderId="0" xfId="0" applyFont="1" applyFill="1"/>
    <xf numFmtId="173" fontId="27" fillId="0" borderId="3" xfId="0" applyNumberFormat="1" applyFont="1" applyBorder="1"/>
    <xf numFmtId="165" fontId="27" fillId="0" borderId="4" xfId="3" applyNumberFormat="1" applyFont="1" applyBorder="1"/>
    <xf numFmtId="43" fontId="27" fillId="0" borderId="0" xfId="1" applyFont="1"/>
    <xf numFmtId="43" fontId="27" fillId="0" borderId="4" xfId="1" applyFont="1" applyBorder="1"/>
    <xf numFmtId="10" fontId="27" fillId="0" borderId="0" xfId="3" applyNumberFormat="1" applyFont="1"/>
    <xf numFmtId="10" fontId="27" fillId="0" borderId="4" xfId="3" applyNumberFormat="1" applyFont="1" applyBorder="1"/>
    <xf numFmtId="169" fontId="27" fillId="0" borderId="0" xfId="0" applyNumberFormat="1" applyFont="1"/>
    <xf numFmtId="10" fontId="27" fillId="0" borderId="9" xfId="0" applyNumberFormat="1" applyFont="1" applyBorder="1"/>
    <xf numFmtId="10" fontId="27" fillId="0" borderId="13" xfId="0" applyNumberFormat="1" applyFont="1" applyBorder="1"/>
    <xf numFmtId="10" fontId="27" fillId="0" borderId="15" xfId="3" applyNumberFormat="1" applyFont="1" applyBorder="1"/>
    <xf numFmtId="0" fontId="27" fillId="8" borderId="0" xfId="0" applyFont="1" applyFill="1"/>
    <xf numFmtId="164" fontId="27" fillId="8" borderId="0" xfId="0" applyNumberFormat="1" applyFont="1" applyFill="1"/>
    <xf numFmtId="164" fontId="27" fillId="8" borderId="9" xfId="0" applyNumberFormat="1" applyFont="1" applyFill="1" applyBorder="1"/>
    <xf numFmtId="0" fontId="29" fillId="0" borderId="18" xfId="0" applyFont="1" applyBorder="1"/>
    <xf numFmtId="0" fontId="29" fillId="0" borderId="2" xfId="0" applyFont="1" applyBorder="1"/>
    <xf numFmtId="170" fontId="27" fillId="0" borderId="4" xfId="0" applyNumberFormat="1" applyFont="1" applyBorder="1"/>
    <xf numFmtId="171" fontId="27" fillId="25" borderId="0" xfId="0" applyNumberFormat="1" applyFont="1" applyFill="1"/>
    <xf numFmtId="171" fontId="27" fillId="0" borderId="3" xfId="0" applyNumberFormat="1" applyFont="1" applyBorder="1"/>
    <xf numFmtId="165" fontId="27" fillId="0" borderId="3" xfId="3" applyNumberFormat="1" applyFont="1" applyBorder="1"/>
    <xf numFmtId="165" fontId="27" fillId="0" borderId="0" xfId="0" applyNumberFormat="1" applyFont="1"/>
    <xf numFmtId="165" fontId="27" fillId="0" borderId="6" xfId="3" applyNumberFormat="1" applyFont="1" applyBorder="1"/>
    <xf numFmtId="165" fontId="27" fillId="0" borderId="5" xfId="3" applyNumberFormat="1" applyFont="1" applyBorder="1"/>
    <xf numFmtId="165" fontId="27" fillId="7" borderId="0" xfId="3" applyNumberFormat="1" applyFont="1" applyFill="1"/>
    <xf numFmtId="0" fontId="27" fillId="24" borderId="3" xfId="0" applyFont="1" applyFill="1" applyBorder="1"/>
    <xf numFmtId="171" fontId="27" fillId="24" borderId="0" xfId="0" applyNumberFormat="1" applyFont="1" applyFill="1"/>
    <xf numFmtId="171" fontId="27" fillId="24" borderId="4" xfId="0" applyNumberFormat="1" applyFont="1" applyFill="1" applyBorder="1"/>
    <xf numFmtId="0" fontId="27" fillId="24" borderId="0" xfId="0" applyFont="1" applyFill="1"/>
    <xf numFmtId="0" fontId="27" fillId="13" borderId="4" xfId="0" applyFont="1" applyFill="1" applyBorder="1"/>
    <xf numFmtId="170" fontId="27" fillId="10" borderId="0" xfId="0" applyNumberFormat="1" applyFont="1" applyFill="1"/>
    <xf numFmtId="9" fontId="27" fillId="10" borderId="0" xfId="3" applyFont="1" applyFill="1"/>
    <xf numFmtId="170" fontId="28" fillId="0" borderId="0" xfId="2" applyNumberFormat="1" applyFont="1" applyAlignment="1">
      <alignment horizontal="center"/>
    </xf>
    <xf numFmtId="0" fontId="28" fillId="11" borderId="0" xfId="0" applyFont="1" applyFill="1"/>
    <xf numFmtId="171" fontId="28" fillId="11" borderId="0" xfId="0" applyNumberFormat="1" applyFont="1" applyFill="1"/>
    <xf numFmtId="165" fontId="28" fillId="11" borderId="0" xfId="3" applyNumberFormat="1" applyFont="1" applyFill="1"/>
    <xf numFmtId="170" fontId="28" fillId="11" borderId="0" xfId="2" applyNumberFormat="1" applyFont="1" applyFill="1" applyAlignment="1">
      <alignment horizontal="center"/>
    </xf>
    <xf numFmtId="0" fontId="28" fillId="13" borderId="0" xfId="0" applyFont="1" applyFill="1"/>
    <xf numFmtId="171" fontId="28" fillId="13" borderId="0" xfId="0" applyNumberFormat="1" applyFont="1" applyFill="1"/>
    <xf numFmtId="170" fontId="27" fillId="8" borderId="0" xfId="2" applyNumberFormat="1" applyFont="1" applyFill="1"/>
    <xf numFmtId="171" fontId="28" fillId="0" borderId="0" xfId="0" applyNumberFormat="1" applyFont="1" applyAlignment="1">
      <alignment horizontal="center"/>
    </xf>
    <xf numFmtId="0" fontId="4" fillId="0" borderId="0" xfId="0" applyNumberFormat="1" applyFont="1"/>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6" fontId="27" fillId="0" borderId="0" xfId="0" applyNumberFormat="1" applyFont="1" applyBorder="1" applyAlignment="1">
      <alignment horizontal="right" vertical="center" wrapText="1"/>
    </xf>
    <xf numFmtId="0" fontId="27" fillId="0" borderId="2" xfId="0" applyFont="1" applyBorder="1"/>
    <xf numFmtId="14" fontId="32" fillId="0" borderId="0" xfId="0" applyNumberFormat="1" applyFont="1" applyBorder="1"/>
    <xf numFmtId="14" fontId="32" fillId="0" borderId="4" xfId="0" applyNumberFormat="1" applyFont="1" applyBorder="1"/>
    <xf numFmtId="167" fontId="27" fillId="0" borderId="0" xfId="2" applyNumberFormat="1" applyFont="1" applyBorder="1"/>
    <xf numFmtId="168" fontId="27" fillId="0" borderId="0" xfId="1" applyNumberFormat="1" applyFont="1" applyBorder="1"/>
    <xf numFmtId="164" fontId="27" fillId="0" borderId="8" xfId="1" applyNumberFormat="1" applyFont="1" applyBorder="1"/>
    <xf numFmtId="164" fontId="27" fillId="0" borderId="8" xfId="1" applyNumberFormat="1" applyFont="1" applyFill="1" applyBorder="1"/>
    <xf numFmtId="14" fontId="32" fillId="0" borderId="0" xfId="0" applyNumberFormat="1" applyFont="1" applyFill="1" applyBorder="1"/>
    <xf numFmtId="0" fontId="27" fillId="0" borderId="0" xfId="0" applyFont="1" applyFill="1" applyBorder="1"/>
    <xf numFmtId="164" fontId="27" fillId="0" borderId="0" xfId="0" applyNumberFormat="1" applyFont="1" applyBorder="1"/>
    <xf numFmtId="164" fontId="27" fillId="0" borderId="0" xfId="0" applyNumberFormat="1" applyFont="1" applyFill="1" applyBorder="1"/>
    <xf numFmtId="165" fontId="27" fillId="0" borderId="0" xfId="0" applyNumberFormat="1" applyFont="1" applyBorder="1"/>
    <xf numFmtId="165" fontId="27" fillId="0" borderId="0" xfId="0" applyNumberFormat="1" applyFont="1" applyFill="1" applyBorder="1"/>
    <xf numFmtId="167" fontId="27" fillId="0" borderId="0" xfId="2" applyNumberFormat="1" applyFont="1" applyFill="1" applyBorder="1"/>
    <xf numFmtId="9" fontId="27" fillId="0" borderId="0" xfId="3" applyNumberFormat="1" applyFont="1"/>
    <xf numFmtId="164" fontId="27" fillId="0" borderId="13" xfId="1" applyNumberFormat="1" applyFont="1" applyBorder="1"/>
    <xf numFmtId="167" fontId="27" fillId="0" borderId="13" xfId="2" applyNumberFormat="1" applyFont="1" applyBorder="1"/>
    <xf numFmtId="0" fontId="27" fillId="0" borderId="4" xfId="0" applyFont="1" applyBorder="1" applyAlignment="1">
      <alignment horizontal="left" vertical="top" wrapText="1"/>
    </xf>
    <xf numFmtId="8" fontId="27" fillId="0" borderId="4" xfId="0" applyNumberFormat="1" applyFont="1" applyBorder="1" applyAlignment="1">
      <alignment horizontal="left"/>
    </xf>
    <xf numFmtId="0" fontId="27" fillId="0" borderId="0" xfId="0" applyFont="1" applyBorder="1" applyAlignment="1">
      <alignment horizontal="left" vertical="top" wrapText="1"/>
    </xf>
    <xf numFmtId="8" fontId="27" fillId="0" borderId="0" xfId="0" applyNumberFormat="1" applyFont="1" applyBorder="1" applyAlignment="1">
      <alignment horizontal="left"/>
    </xf>
    <xf numFmtId="0" fontId="7" fillId="0" borderId="0" xfId="0" applyFont="1" applyBorder="1"/>
    <xf numFmtId="0" fontId="4" fillId="0" borderId="1" xfId="0" applyFont="1" applyBorder="1" applyAlignment="1">
      <alignment horizontal="right"/>
    </xf>
    <xf numFmtId="167" fontId="4" fillId="27" borderId="2" xfId="2" applyNumberFormat="1" applyFont="1" applyFill="1" applyBorder="1"/>
    <xf numFmtId="170" fontId="4" fillId="0" borderId="6" xfId="0" applyNumberFormat="1" applyFont="1" applyBorder="1"/>
    <xf numFmtId="170" fontId="27" fillId="0" borderId="0" xfId="0" applyNumberFormat="1" applyFont="1" applyBorder="1"/>
    <xf numFmtId="0" fontId="32" fillId="0" borderId="2" xfId="0" applyFont="1" applyBorder="1" applyAlignment="1">
      <alignment horizontal="center" wrapText="1"/>
    </xf>
    <xf numFmtId="0" fontId="32" fillId="0" borderId="18" xfId="0" applyFont="1" applyBorder="1" applyAlignment="1">
      <alignment horizontal="center"/>
    </xf>
    <xf numFmtId="170" fontId="27" fillId="0" borderId="0" xfId="0" applyNumberFormat="1" applyFont="1" applyBorder="1" applyAlignment="1">
      <alignment horizontal="center"/>
    </xf>
    <xf numFmtId="170" fontId="4" fillId="0" borderId="4" xfId="0" applyNumberFormat="1" applyFont="1" applyBorder="1" applyAlignment="1">
      <alignment horizontal="center"/>
    </xf>
    <xf numFmtId="170" fontId="27" fillId="0" borderId="8" xfId="0" applyNumberFormat="1" applyFont="1" applyBorder="1" applyAlignment="1">
      <alignment horizontal="center"/>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171" fontId="27" fillId="0" borderId="0" xfId="0" applyNumberFormat="1" applyFont="1" applyBorder="1"/>
    <xf numFmtId="171" fontId="27" fillId="0" borderId="9" xfId="0" applyNumberFormat="1" applyFont="1" applyBorder="1"/>
    <xf numFmtId="171" fontId="27" fillId="0" borderId="13" xfId="0" applyNumberFormat="1" applyFont="1" applyBorder="1"/>
    <xf numFmtId="170" fontId="27" fillId="0" borderId="8" xfId="0" applyNumberFormat="1" applyFont="1" applyBorder="1"/>
    <xf numFmtId="170" fontId="27" fillId="0" borderId="14" xfId="0" applyNumberFormat="1" applyFont="1" applyBorder="1"/>
    <xf numFmtId="164" fontId="28" fillId="0" borderId="0" xfId="1" applyNumberFormat="1" applyFont="1" applyBorder="1"/>
    <xf numFmtId="164" fontId="28" fillId="0" borderId="4" xfId="1" applyNumberFormat="1" applyFont="1" applyBorder="1"/>
    <xf numFmtId="168" fontId="28" fillId="0" borderId="7" xfId="1" applyNumberFormat="1" applyFont="1" applyBorder="1"/>
    <xf numFmtId="164" fontId="28" fillId="0" borderId="7" xfId="1" applyNumberFormat="1" applyFont="1" applyBorder="1"/>
    <xf numFmtId="168" fontId="28" fillId="0" borderId="16" xfId="1" applyNumberFormat="1" applyFont="1" applyBorder="1"/>
    <xf numFmtId="171" fontId="28" fillId="0" borderId="10" xfId="0" applyNumberFormat="1" applyFont="1" applyBorder="1"/>
    <xf numFmtId="171" fontId="28" fillId="0" borderId="17" xfId="0" applyNumberFormat="1" applyFont="1" applyBorder="1"/>
    <xf numFmtId="164" fontId="28" fillId="2" borderId="0" xfId="1" applyNumberFormat="1" applyFont="1" applyFill="1" applyBorder="1"/>
    <xf numFmtId="164" fontId="28" fillId="2" borderId="4" xfId="1" applyNumberFormat="1" applyFont="1" applyFill="1" applyBorder="1"/>
    <xf numFmtId="168" fontId="28" fillId="2" borderId="0" xfId="1" applyNumberFormat="1" applyFont="1" applyFill="1" applyBorder="1"/>
    <xf numFmtId="168" fontId="28" fillId="2" borderId="4" xfId="1" applyNumberFormat="1" applyFont="1" applyFill="1" applyBorder="1"/>
    <xf numFmtId="0" fontId="28" fillId="9" borderId="0" xfId="0" applyFont="1" applyFill="1"/>
    <xf numFmtId="170" fontId="28" fillId="9" borderId="0" xfId="2" applyNumberFormat="1" applyFont="1" applyFill="1"/>
    <xf numFmtId="0" fontId="25" fillId="0" borderId="0" xfId="0" applyFont="1" applyBorder="1"/>
    <xf numFmtId="170" fontId="27" fillId="0" borderId="0" xfId="2" applyNumberFormat="1" applyFont="1" applyBorder="1"/>
    <xf numFmtId="172" fontId="32" fillId="0" borderId="18" xfId="0" applyNumberFormat="1" applyFont="1" applyBorder="1"/>
    <xf numFmtId="172" fontId="32" fillId="0" borderId="2" xfId="0" applyNumberFormat="1" applyFont="1" applyBorder="1"/>
    <xf numFmtId="0" fontId="4" fillId="24" borderId="0" xfId="0" applyFont="1" applyFill="1"/>
    <xf numFmtId="171" fontId="27" fillId="0" borderId="0" xfId="1" applyNumberFormat="1" applyFont="1" applyBorder="1"/>
    <xf numFmtId="171" fontId="28" fillId="0" borderId="4" xfId="1" applyNumberFormat="1" applyFont="1" applyBorder="1" applyAlignment="1">
      <alignment horizontal="right"/>
    </xf>
    <xf numFmtId="0" fontId="28" fillId="0" borderId="1" xfId="0" applyFont="1" applyBorder="1" applyAlignment="1">
      <alignment wrapText="1"/>
    </xf>
    <xf numFmtId="170" fontId="27" fillId="0" borderId="15" xfId="0" applyNumberFormat="1" applyFont="1" applyBorder="1"/>
    <xf numFmtId="170" fontId="27" fillId="0" borderId="6" xfId="0" applyNumberFormat="1" applyFont="1" applyBorder="1"/>
    <xf numFmtId="170" fontId="4" fillId="24" borderId="0" xfId="0" applyNumberFormat="1" applyFont="1" applyFill="1" applyBorder="1"/>
    <xf numFmtId="170" fontId="4" fillId="24" borderId="0" xfId="0" applyNumberFormat="1" applyFont="1" applyFill="1"/>
    <xf numFmtId="0" fontId="27" fillId="0" borderId="1" xfId="0" applyFont="1" applyBorder="1"/>
    <xf numFmtId="0" fontId="27" fillId="0" borderId="3" xfId="0" applyFont="1" applyBorder="1" applyAlignment="1">
      <alignment vertical="top"/>
    </xf>
    <xf numFmtId="0" fontId="32" fillId="0" borderId="18" xfId="0" applyFont="1" applyBorder="1" applyAlignment="1">
      <alignment horizontal="left"/>
    </xf>
    <xf numFmtId="0" fontId="32" fillId="0" borderId="2" xfId="0" applyFont="1" applyBorder="1" applyAlignment="1">
      <alignment horizontal="left"/>
    </xf>
    <xf numFmtId="0" fontId="5" fillId="0" borderId="0" xfId="0" applyFont="1" applyBorder="1"/>
    <xf numFmtId="170" fontId="32" fillId="0" borderId="2" xfId="0" applyNumberFormat="1" applyFont="1" applyBorder="1" applyAlignment="1">
      <alignment horizontal="center" wrapText="1"/>
    </xf>
    <xf numFmtId="0" fontId="25" fillId="8" borderId="0" xfId="0" applyFont="1" applyFill="1"/>
    <xf numFmtId="44" fontId="27" fillId="0" borderId="0" xfId="2" applyFont="1" applyBorder="1"/>
    <xf numFmtId="44" fontId="27" fillId="0" borderId="4" xfId="2" applyFont="1" applyBorder="1"/>
    <xf numFmtId="10" fontId="27" fillId="0" borderId="0" xfId="3" applyNumberFormat="1" applyFont="1" applyBorder="1"/>
    <xf numFmtId="170" fontId="27" fillId="9" borderId="0" xfId="0" applyNumberFormat="1" applyFont="1" applyFill="1" applyBorder="1"/>
    <xf numFmtId="165" fontId="27" fillId="0" borderId="0" xfId="3" applyNumberFormat="1" applyFont="1" applyBorder="1"/>
    <xf numFmtId="0" fontId="27" fillId="0" borderId="3" xfId="0" applyFont="1" applyBorder="1" applyAlignment="1">
      <alignment horizontal="left" vertical="top" wrapText="1"/>
    </xf>
    <xf numFmtId="164" fontId="25" fillId="0" borderId="9" xfId="1" applyNumberFormat="1" applyFont="1" applyBorder="1"/>
    <xf numFmtId="164" fontId="25" fillId="0" borderId="13" xfId="1" applyNumberFormat="1" applyFont="1" applyBorder="1"/>
    <xf numFmtId="164" fontId="25" fillId="0" borderId="19" xfId="1" applyNumberFormat="1" applyFont="1" applyBorder="1"/>
    <xf numFmtId="164" fontId="25" fillId="0" borderId="20" xfId="1" applyNumberFormat="1" applyFont="1" applyBorder="1"/>
    <xf numFmtId="0" fontId="32" fillId="0" borderId="18" xfId="0" applyFont="1" applyBorder="1" applyAlignment="1">
      <alignment horizontal="right"/>
    </xf>
    <xf numFmtId="0" fontId="32" fillId="0" borderId="2" xfId="0" applyFont="1" applyBorder="1" applyAlignment="1">
      <alignment horizontal="right"/>
    </xf>
    <xf numFmtId="164" fontId="27" fillId="0" borderId="9" xfId="1" applyNumberFormat="1" applyFont="1" applyBorder="1"/>
    <xf numFmtId="193" fontId="27" fillId="0" borderId="0" xfId="0" applyNumberFormat="1" applyFont="1" applyBorder="1" applyAlignment="1">
      <alignment horizontal="right" vertical="center" wrapText="1"/>
    </xf>
    <xf numFmtId="193" fontId="27" fillId="0" borderId="4" xfId="0" applyNumberFormat="1" applyFont="1" applyBorder="1" applyAlignment="1">
      <alignment horizontal="right" vertical="center" wrapText="1"/>
    </xf>
    <xf numFmtId="3" fontId="27" fillId="0" borderId="0" xfId="0" applyNumberFormat="1" applyFont="1" applyBorder="1" applyAlignment="1">
      <alignment horizontal="right" vertical="center" wrapText="1"/>
    </xf>
    <xf numFmtId="194" fontId="27" fillId="0" borderId="0" xfId="0" applyNumberFormat="1" applyFont="1" applyBorder="1" applyAlignment="1">
      <alignment horizontal="right" vertical="center" wrapText="1"/>
    </xf>
    <xf numFmtId="6" fontId="27" fillId="0" borderId="4" xfId="0" applyNumberFormat="1" applyFont="1" applyBorder="1" applyAlignment="1">
      <alignment horizontal="right" vertical="center" wrapText="1"/>
    </xf>
    <xf numFmtId="194" fontId="27" fillId="0" borderId="4" xfId="0" applyNumberFormat="1" applyFont="1" applyBorder="1" applyAlignment="1">
      <alignment horizontal="right" vertical="center" wrapText="1"/>
    </xf>
    <xf numFmtId="195" fontId="27" fillId="0" borderId="15" xfId="0" applyNumberFormat="1" applyFont="1" applyBorder="1" applyAlignment="1">
      <alignment horizontal="right" vertical="center" wrapText="1"/>
    </xf>
    <xf numFmtId="195" fontId="27" fillId="0" borderId="6" xfId="0" applyNumberFormat="1" applyFont="1" applyBorder="1" applyAlignment="1">
      <alignment horizontal="right" vertical="center" wrapText="1"/>
    </xf>
    <xf numFmtId="196" fontId="27" fillId="0" borderId="0" xfId="0" applyNumberFormat="1" applyFont="1" applyBorder="1" applyAlignment="1">
      <alignment horizontal="right" vertical="center" wrapText="1"/>
    </xf>
    <xf numFmtId="196" fontId="27" fillId="0" borderId="4" xfId="0" applyNumberFormat="1" applyFont="1" applyBorder="1" applyAlignment="1">
      <alignment horizontal="right" vertical="center" wrapText="1"/>
    </xf>
    <xf numFmtId="0" fontId="28" fillId="0" borderId="1" xfId="0" applyFont="1" applyBorder="1" applyAlignment="1">
      <alignment horizontal="left" wrapText="1"/>
    </xf>
    <xf numFmtId="0" fontId="27" fillId="0" borderId="3" xfId="0" applyNumberFormat="1" applyFont="1" applyBorder="1"/>
    <xf numFmtId="0" fontId="28" fillId="0" borderId="3" xfId="0" applyNumberFormat="1" applyFont="1" applyBorder="1"/>
    <xf numFmtId="0" fontId="27" fillId="0" borderId="5" xfId="0" applyNumberFormat="1" applyFont="1" applyBorder="1"/>
    <xf numFmtId="0" fontId="27" fillId="0" borderId="3" xfId="0" applyNumberFormat="1" applyFont="1" applyBorder="1" applyAlignment="1">
      <alignment wrapText="1"/>
    </xf>
    <xf numFmtId="197" fontId="27" fillId="0" borderId="0" xfId="2" applyNumberFormat="1" applyFont="1" applyBorder="1"/>
    <xf numFmtId="197" fontId="27" fillId="0" borderId="4" xfId="2" applyNumberFormat="1" applyFont="1" applyBorder="1"/>
    <xf numFmtId="193" fontId="27" fillId="0" borderId="0" xfId="1" applyNumberFormat="1" applyFont="1" applyBorder="1"/>
    <xf numFmtId="193" fontId="27" fillId="0" borderId="4" xfId="1" applyNumberFormat="1" applyFont="1" applyBorder="1"/>
    <xf numFmtId="3" fontId="27" fillId="0" borderId="0" xfId="1" applyNumberFormat="1" applyFont="1" applyBorder="1"/>
    <xf numFmtId="197" fontId="27" fillId="0" borderId="15" xfId="2" applyNumberFormat="1" applyFont="1" applyBorder="1"/>
    <xf numFmtId="197" fontId="27" fillId="0" borderId="6" xfId="2" applyNumberFormat="1" applyFont="1" applyBorder="1"/>
    <xf numFmtId="0" fontId="7" fillId="0" borderId="18" xfId="0" applyFont="1" applyBorder="1"/>
    <xf numFmtId="0" fontId="25" fillId="0" borderId="0" xfId="0" applyFont="1" applyFill="1" applyBorder="1"/>
    <xf numFmtId="197" fontId="27" fillId="0" borderId="13" xfId="2" applyNumberFormat="1" applyFont="1" applyBorder="1"/>
    <xf numFmtId="198" fontId="27" fillId="0" borderId="4" xfId="1" applyNumberFormat="1" applyFont="1" applyBorder="1"/>
    <xf numFmtId="0" fontId="25" fillId="0" borderId="0" xfId="0" applyFont="1" applyFill="1"/>
    <xf numFmtId="165" fontId="27" fillId="0" borderId="19" xfId="3" applyNumberFormat="1" applyFont="1" applyBorder="1"/>
    <xf numFmtId="0" fontId="32" fillId="0" borderId="18" xfId="0" applyFont="1" applyBorder="1"/>
    <xf numFmtId="0" fontId="32" fillId="0" borderId="2" xfId="0" applyFont="1" applyBorder="1"/>
    <xf numFmtId="164" fontId="27" fillId="0" borderId="7" xfId="1" applyNumberFormat="1" applyFont="1" applyBorder="1"/>
    <xf numFmtId="164" fontId="27" fillId="7" borderId="7" xfId="1" applyNumberFormat="1" applyFont="1" applyFill="1" applyBorder="1"/>
    <xf numFmtId="167" fontId="27" fillId="0" borderId="9" xfId="2" applyNumberFormat="1" applyFont="1" applyBorder="1"/>
    <xf numFmtId="164" fontId="27" fillId="0" borderId="16" xfId="1" applyNumberFormat="1" applyFont="1" applyBorder="1"/>
    <xf numFmtId="164" fontId="27" fillId="7" borderId="0" xfId="1" applyNumberFormat="1" applyFont="1" applyFill="1" applyBorder="1"/>
    <xf numFmtId="9" fontId="27" fillId="0" borderId="0" xfId="3" applyFont="1" applyBorder="1"/>
    <xf numFmtId="0" fontId="27" fillId="0" borderId="0" xfId="0" applyFont="1" applyBorder="1" applyAlignment="1">
      <alignment horizontal="right"/>
    </xf>
    <xf numFmtId="0" fontId="32" fillId="0" borderId="0" xfId="0" applyFont="1" applyBorder="1" applyAlignment="1">
      <alignment horizontal="right" wrapText="1"/>
    </xf>
    <xf numFmtId="164" fontId="27" fillId="0" borderId="0" xfId="1" applyNumberFormat="1" applyFont="1" applyBorder="1" applyAlignment="1">
      <alignment horizontal="right"/>
    </xf>
    <xf numFmtId="0" fontId="27" fillId="0" borderId="18" xfId="0" applyFont="1" applyBorder="1" applyAlignment="1">
      <alignment horizontal="center" wrapText="1"/>
    </xf>
    <xf numFmtId="0" fontId="27" fillId="0" borderId="32" xfId="0" applyFont="1" applyBorder="1" applyAlignment="1">
      <alignment horizontal="center" wrapText="1"/>
    </xf>
    <xf numFmtId="0" fontId="32" fillId="0" borderId="24" xfId="0" applyFont="1" applyBorder="1" applyAlignment="1">
      <alignment horizontal="right" wrapText="1"/>
    </xf>
    <xf numFmtId="164" fontId="27" fillId="0" borderId="24" xfId="1" applyNumberFormat="1" applyFont="1" applyBorder="1" applyAlignment="1">
      <alignment horizontal="right"/>
    </xf>
    <xf numFmtId="164" fontId="27" fillId="0" borderId="26" xfId="1" applyNumberFormat="1" applyFont="1" applyBorder="1"/>
    <xf numFmtId="9" fontId="27" fillId="0" borderId="0" xfId="0" applyNumberFormat="1" applyFont="1" applyBorder="1" applyAlignment="1">
      <alignment horizontal="right"/>
    </xf>
    <xf numFmtId="200" fontId="27" fillId="0" borderId="0" xfId="0" applyNumberFormat="1" applyFont="1" applyBorder="1"/>
    <xf numFmtId="200" fontId="27" fillId="0" borderId="8" xfId="0" applyNumberFormat="1" applyFont="1" applyBorder="1"/>
    <xf numFmtId="200" fontId="27" fillId="0" borderId="15" xfId="0" applyNumberFormat="1" applyFont="1" applyBorder="1"/>
    <xf numFmtId="201" fontId="27" fillId="0" borderId="0" xfId="0" applyNumberFormat="1" applyFont="1" applyBorder="1"/>
    <xf numFmtId="0" fontId="27" fillId="0" borderId="18" xfId="0" applyFont="1" applyBorder="1"/>
    <xf numFmtId="0" fontId="27" fillId="0" borderId="18" xfId="0" applyFont="1" applyBorder="1" applyAlignment="1">
      <alignment horizontal="right"/>
    </xf>
    <xf numFmtId="0" fontId="27" fillId="19" borderId="0" xfId="0" applyFont="1" applyFill="1" applyBorder="1"/>
    <xf numFmtId="3" fontId="27" fillId="19" borderId="0" xfId="2" applyNumberFormat="1" applyFont="1" applyFill="1" applyBorder="1"/>
    <xf numFmtId="3" fontId="27" fillId="0" borderId="0" xfId="2" applyNumberFormat="1" applyFont="1" applyBorder="1"/>
    <xf numFmtId="3" fontId="27" fillId="0" borderId="4" xfId="2" applyNumberFormat="1" applyFont="1" applyBorder="1"/>
    <xf numFmtId="3" fontId="27" fillId="19" borderId="0" xfId="1" applyNumberFormat="1" applyFont="1" applyFill="1" applyBorder="1"/>
    <xf numFmtId="3" fontId="28" fillId="0" borderId="0" xfId="1" applyNumberFormat="1" applyFont="1" applyBorder="1"/>
    <xf numFmtId="3" fontId="28" fillId="0" borderId="4" xfId="1" applyNumberFormat="1" applyFont="1" applyBorder="1"/>
    <xf numFmtId="3" fontId="27" fillId="0" borderId="4" xfId="1" applyNumberFormat="1" applyFont="1" applyBorder="1"/>
    <xf numFmtId="0" fontId="27" fillId="8" borderId="3" xfId="0" applyFont="1" applyFill="1" applyBorder="1"/>
    <xf numFmtId="3" fontId="27" fillId="18" borderId="0" xfId="1" applyNumberFormat="1" applyFont="1" applyFill="1" applyBorder="1"/>
    <xf numFmtId="3" fontId="27" fillId="8" borderId="0" xfId="1" applyNumberFormat="1" applyFont="1" applyFill="1" applyBorder="1"/>
    <xf numFmtId="3" fontId="27" fillId="18" borderId="4" xfId="1" applyNumberFormat="1" applyFont="1" applyFill="1" applyBorder="1"/>
    <xf numFmtId="171" fontId="27" fillId="19" borderId="0" xfId="1" applyNumberFormat="1" applyFont="1" applyFill="1" applyBorder="1"/>
    <xf numFmtId="171" fontId="27" fillId="19" borderId="0" xfId="0" applyNumberFormat="1" applyFont="1" applyFill="1" applyBorder="1"/>
    <xf numFmtId="171" fontId="28" fillId="0" borderId="0" xfId="1" applyNumberFormat="1" applyFont="1" applyBorder="1"/>
    <xf numFmtId="171" fontId="28" fillId="19" borderId="0" xfId="1" applyNumberFormat="1" applyFont="1" applyFill="1" applyBorder="1"/>
    <xf numFmtId="171" fontId="28" fillId="19" borderId="7" xfId="1" applyNumberFormat="1" applyFont="1" applyFill="1" applyBorder="1"/>
    <xf numFmtId="171" fontId="28" fillId="2" borderId="0" xfId="1" applyNumberFormat="1" applyFont="1" applyFill="1" applyBorder="1"/>
    <xf numFmtId="171" fontId="28" fillId="2" borderId="0" xfId="0" applyNumberFormat="1" applyFont="1" applyFill="1" applyBorder="1"/>
    <xf numFmtId="0" fontId="28" fillId="2" borderId="3" xfId="0" applyFont="1" applyFill="1" applyBorder="1" applyAlignment="1">
      <alignment wrapText="1"/>
    </xf>
    <xf numFmtId="171" fontId="28" fillId="8" borderId="0" xfId="1" applyNumberFormat="1" applyFont="1" applyFill="1" applyBorder="1"/>
    <xf numFmtId="3" fontId="27" fillId="0" borderId="0" xfId="0" applyNumberFormat="1" applyFont="1"/>
    <xf numFmtId="3" fontId="27" fillId="0" borderId="0" xfId="2" applyNumberFormat="1" applyFont="1"/>
    <xf numFmtId="3" fontId="27" fillId="8" borderId="0" xfId="2" applyNumberFormat="1" applyFont="1" applyFill="1"/>
    <xf numFmtId="3" fontId="27" fillId="2" borderId="0" xfId="2" applyNumberFormat="1" applyFont="1" applyFill="1"/>
    <xf numFmtId="3" fontId="27" fillId="0" borderId="0" xfId="1" applyNumberFormat="1" applyFont="1"/>
    <xf numFmtId="171" fontId="27" fillId="0" borderId="10" xfId="2" applyNumberFormat="1" applyFont="1" applyBorder="1"/>
    <xf numFmtId="171" fontId="27" fillId="0" borderId="17" xfId="2" applyNumberFormat="1" applyFont="1" applyBorder="1"/>
    <xf numFmtId="171" fontId="27" fillId="0" borderId="7" xfId="1" applyNumberFormat="1" applyFont="1" applyBorder="1"/>
    <xf numFmtId="171" fontId="27" fillId="0" borderId="16" xfId="1" applyNumberFormat="1" applyFont="1" applyBorder="1"/>
    <xf numFmtId="173" fontId="25" fillId="9" borderId="3" xfId="0" applyNumberFormat="1" applyFont="1" applyFill="1" applyBorder="1"/>
    <xf numFmtId="3" fontId="25" fillId="2" borderId="0" xfId="1" applyNumberFormat="1" applyFont="1" applyFill="1"/>
    <xf numFmtId="3" fontId="25" fillId="19" borderId="0" xfId="1" applyNumberFormat="1" applyFont="1" applyFill="1"/>
    <xf numFmtId="3" fontId="25" fillId="9" borderId="0" xfId="1" applyNumberFormat="1" applyFont="1" applyFill="1"/>
    <xf numFmtId="175" fontId="27" fillId="0" borderId="0" xfId="3" applyNumberFormat="1" applyFont="1"/>
    <xf numFmtId="170" fontId="27" fillId="19" borderId="0" xfId="2" applyNumberFormat="1" applyFont="1" applyFill="1"/>
    <xf numFmtId="170" fontId="27" fillId="7" borderId="0" xfId="2" applyNumberFormat="1" applyFont="1" applyFill="1"/>
    <xf numFmtId="3" fontId="25" fillId="0" borderId="15" xfId="2" applyNumberFormat="1" applyFont="1" applyBorder="1"/>
    <xf numFmtId="3" fontId="25" fillId="19" borderId="15" xfId="2" applyNumberFormat="1" applyFont="1" applyFill="1" applyBorder="1"/>
    <xf numFmtId="3" fontId="25" fillId="0" borderId="6" xfId="2" applyNumberFormat="1" applyFont="1" applyBorder="1"/>
    <xf numFmtId="0" fontId="27" fillId="19" borderId="18" xfId="0" applyFont="1" applyFill="1" applyBorder="1" applyAlignment="1">
      <alignment horizontal="right"/>
    </xf>
    <xf numFmtId="0" fontId="27" fillId="19" borderId="0" xfId="0" applyFont="1" applyFill="1" applyBorder="1" applyAlignment="1">
      <alignment horizontal="right"/>
    </xf>
    <xf numFmtId="170" fontId="27" fillId="0" borderId="0" xfId="2" applyNumberFormat="1" applyFont="1" applyFill="1" applyBorder="1"/>
    <xf numFmtId="174" fontId="32" fillId="0" borderId="0" xfId="0" applyNumberFormat="1" applyFont="1" applyBorder="1"/>
    <xf numFmtId="174" fontId="32" fillId="19" borderId="0" xfId="0" applyNumberFormat="1" applyFont="1" applyFill="1" applyBorder="1"/>
    <xf numFmtId="174" fontId="32" fillId="0" borderId="4" xfId="0" applyNumberFormat="1" applyFont="1" applyBorder="1"/>
    <xf numFmtId="3" fontId="27" fillId="24" borderId="0" xfId="0" applyNumberFormat="1" applyFont="1" applyFill="1"/>
    <xf numFmtId="3" fontId="27" fillId="0" borderId="18" xfId="0" applyNumberFormat="1" applyFont="1" applyBorder="1"/>
    <xf numFmtId="3" fontId="27" fillId="0" borderId="18" xfId="0" applyNumberFormat="1" applyFont="1" applyBorder="1" applyAlignment="1">
      <alignment horizontal="right"/>
    </xf>
    <xf numFmtId="3" fontId="27" fillId="29" borderId="18" xfId="0" applyNumberFormat="1" applyFont="1" applyFill="1" applyBorder="1"/>
    <xf numFmtId="3" fontId="27" fillId="0" borderId="2" xfId="0" applyNumberFormat="1" applyFont="1" applyBorder="1"/>
    <xf numFmtId="170" fontId="27" fillId="0" borderId="0" xfId="1" applyNumberFormat="1" applyFont="1" applyBorder="1"/>
    <xf numFmtId="170" fontId="27" fillId="19" borderId="0" xfId="1" applyNumberFormat="1" applyFont="1" applyFill="1" applyBorder="1"/>
    <xf numFmtId="171" fontId="27" fillId="19" borderId="0" xfId="2" applyNumberFormat="1" applyFont="1" applyFill="1" applyBorder="1"/>
    <xf numFmtId="171" fontId="27" fillId="0" borderId="0" xfId="2" applyNumberFormat="1" applyFont="1" applyBorder="1"/>
    <xf numFmtId="171" fontId="27" fillId="0" borderId="9" xfId="2" applyNumberFormat="1" applyFont="1" applyBorder="1"/>
    <xf numFmtId="171" fontId="27" fillId="0" borderId="13" xfId="2" applyNumberFormat="1" applyFont="1" applyBorder="1"/>
    <xf numFmtId="170" fontId="27" fillId="0" borderId="8" xfId="1" applyNumberFormat="1" applyFont="1" applyBorder="1"/>
    <xf numFmtId="170" fontId="27" fillId="0" borderId="14" xfId="1" applyNumberFormat="1" applyFont="1" applyBorder="1"/>
    <xf numFmtId="202" fontId="27" fillId="0" borderId="0" xfId="1" applyNumberFormat="1" applyFont="1" applyBorder="1"/>
    <xf numFmtId="203" fontId="27" fillId="0" borderId="0" xfId="1" applyNumberFormat="1" applyFont="1" applyBorder="1"/>
    <xf numFmtId="203" fontId="27" fillId="19" borderId="0" xfId="1" applyNumberFormat="1" applyFont="1" applyFill="1" applyBorder="1"/>
    <xf numFmtId="203" fontId="27" fillId="0" borderId="4" xfId="1" applyNumberFormat="1" applyFont="1" applyBorder="1"/>
    <xf numFmtId="203" fontId="27" fillId="7" borderId="0" xfId="1" applyNumberFormat="1" applyFont="1" applyFill="1" applyBorder="1"/>
    <xf numFmtId="203" fontId="27" fillId="7" borderId="4" xfId="1" applyNumberFormat="1" applyFont="1" applyFill="1" applyBorder="1"/>
    <xf numFmtId="170" fontId="27" fillId="0" borderId="0" xfId="1" applyNumberFormat="1" applyFont="1" applyFill="1" applyBorder="1"/>
    <xf numFmtId="175" fontId="27" fillId="24" borderId="0" xfId="3" applyNumberFormat="1" applyFont="1" applyFill="1"/>
    <xf numFmtId="203" fontId="27" fillId="0" borderId="0" xfId="1" applyNumberFormat="1" applyFont="1"/>
    <xf numFmtId="203" fontId="27" fillId="7" borderId="0" xfId="1" applyNumberFormat="1" applyFont="1" applyFill="1"/>
    <xf numFmtId="3" fontId="27" fillId="0" borderId="0" xfId="0" applyNumberFormat="1" applyFont="1" applyFill="1"/>
    <xf numFmtId="204" fontId="27" fillId="0" borderId="8" xfId="2" applyNumberFormat="1" applyFont="1" applyBorder="1"/>
    <xf numFmtId="204" fontId="27" fillId="0" borderId="14" xfId="2" applyNumberFormat="1" applyFont="1" applyBorder="1"/>
    <xf numFmtId="204" fontId="27" fillId="19" borderId="0" xfId="2" applyNumberFormat="1" applyFont="1" applyFill="1" applyBorder="1"/>
    <xf numFmtId="0" fontId="27" fillId="21" borderId="0" xfId="0" applyFont="1" applyFill="1"/>
    <xf numFmtId="3" fontId="27" fillId="21" borderId="18" xfId="1" applyNumberFormat="1" applyFont="1" applyFill="1" applyBorder="1"/>
    <xf numFmtId="170" fontId="27" fillId="7" borderId="0" xfId="1" applyNumberFormat="1" applyFont="1" applyFill="1"/>
    <xf numFmtId="3" fontId="27" fillId="21" borderId="0" xfId="1" applyNumberFormat="1" applyFont="1" applyFill="1"/>
    <xf numFmtId="171" fontId="27" fillId="16" borderId="4" xfId="1" applyNumberFormat="1" applyFont="1" applyFill="1" applyBorder="1"/>
    <xf numFmtId="0" fontId="27" fillId="9" borderId="3" xfId="0" applyFont="1" applyFill="1" applyBorder="1" applyAlignment="1">
      <alignment wrapText="1"/>
    </xf>
    <xf numFmtId="164" fontId="27" fillId="21" borderId="0" xfId="1" applyNumberFormat="1" applyFont="1" applyFill="1"/>
    <xf numFmtId="44" fontId="27" fillId="0" borderId="0" xfId="2" applyFont="1"/>
    <xf numFmtId="171" fontId="27" fillId="7" borderId="0" xfId="0" applyNumberFormat="1" applyFont="1" applyFill="1"/>
    <xf numFmtId="170" fontId="25" fillId="7" borderId="8" xfId="1" applyNumberFormat="1" applyFont="1" applyFill="1" applyBorder="1"/>
    <xf numFmtId="165" fontId="27" fillId="21" borderId="0" xfId="3" applyNumberFormat="1" applyFont="1" applyFill="1"/>
    <xf numFmtId="3" fontId="27" fillId="0" borderId="0" xfId="3" applyNumberFormat="1" applyFont="1"/>
    <xf numFmtId="3" fontId="25" fillId="0" borderId="0" xfId="0" applyNumberFormat="1" applyFont="1"/>
    <xf numFmtId="3" fontId="28" fillId="0" borderId="0" xfId="0" applyNumberFormat="1" applyFont="1"/>
    <xf numFmtId="3" fontId="28" fillId="0" borderId="0" xfId="3" applyNumberFormat="1" applyFont="1"/>
    <xf numFmtId="0" fontId="27" fillId="0" borderId="0" xfId="0" applyFont="1" applyFill="1"/>
    <xf numFmtId="172" fontId="25" fillId="0" borderId="0" xfId="0" applyNumberFormat="1" applyFont="1" applyFill="1"/>
    <xf numFmtId="3" fontId="27" fillId="21" borderId="0" xfId="2" applyNumberFormat="1" applyFont="1" applyFill="1" applyBorder="1"/>
    <xf numFmtId="205" fontId="38" fillId="0" borderId="0" xfId="1" applyNumberFormat="1" applyFont="1" applyBorder="1"/>
    <xf numFmtId="205" fontId="38" fillId="0" borderId="4" xfId="1" applyNumberFormat="1" applyFont="1" applyBorder="1"/>
    <xf numFmtId="3" fontId="27" fillId="21" borderId="0" xfId="1" applyNumberFormat="1" applyFont="1" applyFill="1" applyBorder="1"/>
    <xf numFmtId="3" fontId="28" fillId="21" borderId="0" xfId="1" applyNumberFormat="1" applyFont="1" applyFill="1" applyBorder="1"/>
    <xf numFmtId="171" fontId="27" fillId="10" borderId="0" xfId="0" applyNumberFormat="1" applyFont="1" applyFill="1" applyBorder="1"/>
    <xf numFmtId="171" fontId="27" fillId="16" borderId="0" xfId="1" applyNumberFormat="1" applyFont="1" applyFill="1" applyBorder="1"/>
    <xf numFmtId="171" fontId="27" fillId="9" borderId="0" xfId="1" applyNumberFormat="1" applyFont="1" applyFill="1" applyBorder="1"/>
    <xf numFmtId="170" fontId="27" fillId="21" borderId="0" xfId="1" applyNumberFormat="1" applyFont="1" applyFill="1" applyBorder="1"/>
    <xf numFmtId="0" fontId="27" fillId="0" borderId="15" xfId="0" applyFont="1" applyFill="1" applyBorder="1"/>
    <xf numFmtId="165" fontId="27" fillId="24" borderId="0" xfId="3" applyNumberFormat="1" applyFont="1" applyFill="1"/>
    <xf numFmtId="167" fontId="27" fillId="24" borderId="0" xfId="2" applyNumberFormat="1" applyFont="1" applyFill="1"/>
    <xf numFmtId="3" fontId="27" fillId="24" borderId="0" xfId="1" applyNumberFormat="1" applyFont="1" applyFill="1"/>
    <xf numFmtId="206" fontId="27" fillId="0" borderId="0" xfId="1" applyNumberFormat="1" applyFont="1"/>
    <xf numFmtId="206" fontId="27" fillId="0" borderId="4" xfId="1" applyNumberFormat="1" applyFont="1" applyBorder="1"/>
    <xf numFmtId="207" fontId="38" fillId="0" borderId="0" xfId="1" applyNumberFormat="1" applyFont="1" applyBorder="1"/>
    <xf numFmtId="207" fontId="38" fillId="21" borderId="0" xfId="1" applyNumberFormat="1" applyFont="1" applyFill="1" applyBorder="1"/>
    <xf numFmtId="207" fontId="38" fillId="0" borderId="4" xfId="1" applyNumberFormat="1" applyFont="1" applyBorder="1"/>
    <xf numFmtId="204" fontId="27" fillId="0" borderId="0" xfId="1" applyNumberFormat="1" applyFont="1"/>
    <xf numFmtId="204" fontId="27" fillId="21" borderId="0" xfId="1" applyNumberFormat="1" applyFont="1" applyFill="1"/>
    <xf numFmtId="204" fontId="27" fillId="7" borderId="0" xfId="1" applyNumberFormat="1" applyFont="1" applyFill="1"/>
    <xf numFmtId="203" fontId="27" fillId="21" borderId="0" xfId="1" applyNumberFormat="1" applyFont="1" applyFill="1"/>
    <xf numFmtId="203" fontId="27" fillId="0" borderId="10" xfId="1" applyNumberFormat="1" applyFont="1" applyBorder="1"/>
    <xf numFmtId="203" fontId="27" fillId="0" borderId="17" xfId="1" applyNumberFormat="1" applyFont="1" applyBorder="1"/>
    <xf numFmtId="203" fontId="27" fillId="0" borderId="9" xfId="1" applyNumberFormat="1" applyFont="1" applyBorder="1"/>
    <xf numFmtId="203" fontId="27" fillId="0" borderId="13" xfId="1" applyNumberFormat="1" applyFont="1" applyBorder="1"/>
    <xf numFmtId="203" fontId="27" fillId="7" borderId="0" xfId="0" applyNumberFormat="1" applyFont="1" applyFill="1"/>
    <xf numFmtId="203" fontId="27" fillId="0" borderId="0" xfId="0" applyNumberFormat="1" applyFont="1"/>
    <xf numFmtId="203" fontId="27" fillId="0" borderId="4" xfId="0" applyNumberFormat="1" applyFont="1" applyBorder="1"/>
    <xf numFmtId="203" fontId="27" fillId="21" borderId="0" xfId="2" applyNumberFormat="1" applyFont="1" applyFill="1"/>
    <xf numFmtId="206" fontId="27" fillId="0" borderId="8" xfId="1" applyNumberFormat="1" applyFont="1" applyBorder="1"/>
    <xf numFmtId="206" fontId="27" fillId="0" borderId="14" xfId="1" applyNumberFormat="1" applyFont="1" applyBorder="1"/>
    <xf numFmtId="164" fontId="27" fillId="0" borderId="0" xfId="1" applyNumberFormat="1" applyFont="1" applyFill="1"/>
    <xf numFmtId="208" fontId="27" fillId="7" borderId="0" xfId="1" applyNumberFormat="1" applyFont="1" applyFill="1"/>
    <xf numFmtId="208" fontId="27" fillId="7" borderId="0" xfId="0" applyNumberFormat="1" applyFont="1" applyFill="1"/>
    <xf numFmtId="204" fontId="27" fillId="7" borderId="4" xfId="1" applyNumberFormat="1" applyFont="1" applyFill="1" applyBorder="1"/>
    <xf numFmtId="204" fontId="27" fillId="0" borderId="8" xfId="1" applyNumberFormat="1" applyFont="1" applyBorder="1"/>
    <xf numFmtId="204" fontId="27" fillId="0" borderId="14" xfId="1" applyNumberFormat="1" applyFont="1" applyBorder="1"/>
    <xf numFmtId="203" fontId="27" fillId="7" borderId="4" xfId="0" applyNumberFormat="1" applyFont="1" applyFill="1" applyBorder="1"/>
    <xf numFmtId="203" fontId="25" fillId="21" borderId="0" xfId="1" applyNumberFormat="1" applyFont="1" applyFill="1"/>
    <xf numFmtId="203" fontId="27" fillId="21" borderId="0" xfId="0" applyNumberFormat="1" applyFont="1" applyFill="1"/>
    <xf numFmtId="203" fontId="25" fillId="21" borderId="0" xfId="0" applyNumberFormat="1" applyFont="1" applyFill="1"/>
    <xf numFmtId="43" fontId="27" fillId="24" borderId="0" xfId="1" applyFont="1" applyFill="1"/>
    <xf numFmtId="164" fontId="27" fillId="24" borderId="0" xfId="1" applyNumberFormat="1" applyFont="1" applyFill="1"/>
    <xf numFmtId="0" fontId="27" fillId="27" borderId="0" xfId="0" applyFont="1" applyFill="1"/>
    <xf numFmtId="164" fontId="27" fillId="27" borderId="0" xfId="1" applyNumberFormat="1" applyFont="1" applyFill="1"/>
    <xf numFmtId="3" fontId="27" fillId="27" borderId="0" xfId="1" applyNumberFormat="1" applyFont="1" applyFill="1"/>
    <xf numFmtId="170" fontId="27" fillId="27" borderId="0" xfId="0" applyNumberFormat="1" applyFont="1" applyFill="1"/>
    <xf numFmtId="0" fontId="25" fillId="30" borderId="0" xfId="0" applyFont="1" applyFill="1"/>
    <xf numFmtId="165" fontId="27" fillId="30" borderId="0" xfId="3" applyNumberFormat="1" applyFont="1" applyFill="1"/>
    <xf numFmtId="0" fontId="5" fillId="0" borderId="0" xfId="0" applyFont="1" applyFill="1"/>
    <xf numFmtId="209" fontId="26" fillId="0" borderId="18" xfId="0" applyNumberFormat="1" applyFont="1" applyBorder="1"/>
    <xf numFmtId="209" fontId="26" fillId="0" borderId="2" xfId="0" applyNumberFormat="1" applyFont="1" applyBorder="1"/>
    <xf numFmtId="210" fontId="4" fillId="0" borderId="9" xfId="2" applyNumberFormat="1" applyFont="1" applyBorder="1"/>
    <xf numFmtId="210" fontId="4" fillId="0" borderId="13" xfId="2" applyNumberFormat="1" applyFont="1" applyBorder="1"/>
    <xf numFmtId="210" fontId="4" fillId="0" borderId="0" xfId="2" applyNumberFormat="1" applyFont="1"/>
    <xf numFmtId="210" fontId="4" fillId="0" borderId="4" xfId="2" applyNumberFormat="1" applyFont="1" applyBorder="1"/>
    <xf numFmtId="211" fontId="4" fillId="0" borderId="0" xfId="0" applyNumberFormat="1" applyFont="1"/>
    <xf numFmtId="211" fontId="4" fillId="0" borderId="4" xfId="0" applyNumberFormat="1" applyFont="1" applyBorder="1"/>
    <xf numFmtId="211" fontId="4" fillId="0" borderId="0" xfId="2" applyNumberFormat="1" applyFont="1"/>
    <xf numFmtId="211" fontId="4" fillId="0" borderId="4" xfId="2" applyNumberFormat="1" applyFont="1" applyBorder="1"/>
    <xf numFmtId="211" fontId="4" fillId="0" borderId="0" xfId="1" applyNumberFormat="1" applyFont="1"/>
    <xf numFmtId="211" fontId="4" fillId="0" borderId="4" xfId="1" applyNumberFormat="1" applyFont="1" applyBorder="1"/>
    <xf numFmtId="211" fontId="4" fillId="0" borderId="9" xfId="1" applyNumberFormat="1" applyFont="1" applyBorder="1"/>
    <xf numFmtId="211" fontId="4" fillId="0" borderId="13" xfId="1" applyNumberFormat="1" applyFont="1" applyBorder="1"/>
    <xf numFmtId="211" fontId="4" fillId="0" borderId="0" xfId="1" applyNumberFormat="1" applyFont="1" applyBorder="1"/>
    <xf numFmtId="211" fontId="4" fillId="0" borderId="9" xfId="2" applyNumberFormat="1" applyFont="1" applyBorder="1"/>
    <xf numFmtId="211" fontId="4" fillId="0" borderId="13" xfId="2" applyNumberFormat="1" applyFont="1" applyBorder="1"/>
    <xf numFmtId="171" fontId="27" fillId="14" borderId="0" xfId="1" applyNumberFormat="1" applyFont="1" applyFill="1"/>
    <xf numFmtId="10" fontId="27" fillId="21" borderId="9" xfId="0" applyNumberFormat="1" applyFont="1" applyFill="1" applyBorder="1"/>
    <xf numFmtId="0" fontId="27" fillId="21" borderId="0" xfId="0" applyFont="1" applyFill="1" applyBorder="1"/>
    <xf numFmtId="170" fontId="27" fillId="21" borderId="0" xfId="2" applyNumberFormat="1" applyFont="1" applyFill="1" applyBorder="1"/>
    <xf numFmtId="164" fontId="27" fillId="21" borderId="0" xfId="1" applyNumberFormat="1" applyFont="1" applyFill="1" applyBorder="1"/>
    <xf numFmtId="164" fontId="27" fillId="11" borderId="0" xfId="1" applyNumberFormat="1" applyFont="1" applyFill="1" applyBorder="1"/>
    <xf numFmtId="212" fontId="27" fillId="0" borderId="0" xfId="1" applyNumberFormat="1" applyFont="1" applyBorder="1"/>
    <xf numFmtId="212" fontId="27" fillId="0" borderId="4" xfId="1" applyNumberFormat="1" applyFont="1" applyBorder="1"/>
    <xf numFmtId="212" fontId="27" fillId="21" borderId="0" xfId="1" applyNumberFormat="1" applyFont="1" applyFill="1" applyBorder="1"/>
    <xf numFmtId="203" fontId="27" fillId="21" borderId="0" xfId="1" applyNumberFormat="1" applyFont="1" applyFill="1" applyBorder="1"/>
    <xf numFmtId="203" fontId="27" fillId="0" borderId="7" xfId="1" applyNumberFormat="1" applyFont="1" applyBorder="1"/>
    <xf numFmtId="203" fontId="27" fillId="0" borderId="16" xfId="1" applyNumberFormat="1" applyFont="1" applyBorder="1"/>
    <xf numFmtId="203" fontId="27" fillId="21" borderId="7" xfId="1" applyNumberFormat="1" applyFont="1" applyFill="1" applyBorder="1"/>
    <xf numFmtId="213" fontId="27" fillId="7" borderId="0" xfId="1" applyNumberFormat="1" applyFont="1" applyFill="1" applyBorder="1"/>
    <xf numFmtId="213" fontId="27" fillId="0" borderId="0" xfId="1" applyNumberFormat="1" applyFont="1" applyBorder="1"/>
    <xf numFmtId="213" fontId="27" fillId="0" borderId="4" xfId="1" applyNumberFormat="1" applyFont="1" applyBorder="1"/>
    <xf numFmtId="213" fontId="27" fillId="21" borderId="0" xfId="1" applyNumberFormat="1" applyFont="1" applyFill="1" applyBorder="1"/>
    <xf numFmtId="213" fontId="27" fillId="0" borderId="7" xfId="1" applyNumberFormat="1" applyFont="1" applyBorder="1"/>
    <xf numFmtId="213" fontId="27" fillId="0" borderId="16" xfId="1" applyNumberFormat="1" applyFont="1" applyBorder="1"/>
    <xf numFmtId="213" fontId="27" fillId="21" borderId="7" xfId="1" applyNumberFormat="1" applyFont="1" applyFill="1" applyBorder="1"/>
    <xf numFmtId="213" fontId="27" fillId="0" borderId="8" xfId="1" applyNumberFormat="1" applyFont="1" applyBorder="1"/>
    <xf numFmtId="213" fontId="27" fillId="0" borderId="14" xfId="1" applyNumberFormat="1" applyFont="1" applyBorder="1"/>
    <xf numFmtId="213" fontId="27" fillId="0" borderId="9" xfId="1" applyNumberFormat="1" applyFont="1" applyBorder="1"/>
    <xf numFmtId="213" fontId="27" fillId="0" borderId="13" xfId="1" applyNumberFormat="1" applyFont="1" applyBorder="1"/>
    <xf numFmtId="213" fontId="27" fillId="21" borderId="9" xfId="1" applyNumberFormat="1" applyFont="1" applyFill="1" applyBorder="1"/>
    <xf numFmtId="214" fontId="27" fillId="0" borderId="0" xfId="2" applyNumberFormat="1" applyFont="1" applyBorder="1"/>
    <xf numFmtId="214" fontId="27" fillId="0" borderId="4" xfId="2" applyNumberFormat="1" applyFont="1" applyBorder="1"/>
    <xf numFmtId="214" fontId="27" fillId="21" borderId="0" xfId="2" applyNumberFormat="1" applyFont="1" applyFill="1" applyBorder="1"/>
    <xf numFmtId="214" fontId="27" fillId="0" borderId="8" xfId="1" applyNumberFormat="1" applyFont="1" applyBorder="1"/>
    <xf numFmtId="214" fontId="27" fillId="0" borderId="14" xfId="1" applyNumberFormat="1" applyFont="1" applyBorder="1"/>
    <xf numFmtId="209" fontId="32" fillId="0" borderId="18" xfId="0" applyNumberFormat="1" applyFont="1" applyBorder="1"/>
    <xf numFmtId="209" fontId="32" fillId="0" borderId="2" xfId="0" applyNumberFormat="1" applyFont="1" applyBorder="1"/>
    <xf numFmtId="209" fontId="32" fillId="21" borderId="18" xfId="0" applyNumberFormat="1" applyFont="1" applyFill="1" applyBorder="1"/>
    <xf numFmtId="212" fontId="27" fillId="0" borderId="8" xfId="1" applyNumberFormat="1" applyFont="1" applyBorder="1"/>
    <xf numFmtId="212" fontId="27" fillId="0" borderId="14" xfId="1" applyNumberFormat="1" applyFont="1" applyBorder="1"/>
    <xf numFmtId="212" fontId="27" fillId="21" borderId="8" xfId="1" applyNumberFormat="1" applyFont="1" applyFill="1" applyBorder="1"/>
    <xf numFmtId="203" fontId="27" fillId="0" borderId="0" xfId="2" applyNumberFormat="1" applyFont="1" applyBorder="1"/>
    <xf numFmtId="203" fontId="27" fillId="0" borderId="4" xfId="2" applyNumberFormat="1" applyFont="1" applyBorder="1"/>
    <xf numFmtId="203" fontId="27" fillId="21" borderId="0" xfId="2" applyNumberFormat="1" applyFont="1" applyFill="1" applyBorder="1"/>
    <xf numFmtId="203" fontId="27" fillId="0" borderId="9" xfId="2" applyNumberFormat="1" applyFont="1" applyBorder="1"/>
    <xf numFmtId="203" fontId="27" fillId="0" borderId="13" xfId="2" applyNumberFormat="1" applyFont="1" applyBorder="1"/>
    <xf numFmtId="203" fontId="27" fillId="21" borderId="9" xfId="2" applyNumberFormat="1" applyFont="1" applyFill="1" applyBorder="1"/>
    <xf numFmtId="203" fontId="27" fillId="22" borderId="0" xfId="1" applyNumberFormat="1" applyFont="1" applyFill="1" applyBorder="1"/>
    <xf numFmtId="212" fontId="27" fillId="0" borderId="15" xfId="1" applyNumberFormat="1" applyFont="1" applyBorder="1"/>
    <xf numFmtId="212" fontId="27" fillId="0" borderId="6" xfId="1" applyNumberFormat="1" applyFont="1" applyBorder="1"/>
    <xf numFmtId="212" fontId="27" fillId="21" borderId="15" xfId="1" applyNumberFormat="1" applyFont="1" applyFill="1" applyBorder="1"/>
    <xf numFmtId="165" fontId="27" fillId="21" borderId="0" xfId="3" applyNumberFormat="1" applyFont="1" applyFill="1" applyBorder="1"/>
    <xf numFmtId="43" fontId="27" fillId="0" borderId="0" xfId="1" applyFont="1" applyBorder="1"/>
    <xf numFmtId="43" fontId="27" fillId="21" borderId="0" xfId="1" applyFont="1" applyFill="1" applyBorder="1"/>
    <xf numFmtId="10" fontId="27" fillId="21" borderId="0" xfId="3" applyNumberFormat="1" applyFont="1" applyFill="1" applyBorder="1"/>
    <xf numFmtId="209" fontId="32" fillId="0" borderId="3" xfId="0" applyNumberFormat="1" applyFont="1" applyBorder="1"/>
    <xf numFmtId="171" fontId="27" fillId="0" borderId="3" xfId="1" applyNumberFormat="1" applyFont="1" applyFill="1" applyBorder="1"/>
    <xf numFmtId="0" fontId="27" fillId="0" borderId="3" xfId="0" applyFont="1" applyFill="1" applyBorder="1"/>
    <xf numFmtId="165" fontId="27" fillId="0" borderId="3" xfId="3" applyNumberFormat="1" applyFont="1" applyFill="1" applyBorder="1"/>
    <xf numFmtId="43" fontId="27" fillId="0" borderId="3" xfId="1" applyFont="1" applyFill="1" applyBorder="1"/>
    <xf numFmtId="203" fontId="27" fillId="0" borderId="0" xfId="1" applyNumberFormat="1" applyFont="1" applyFill="1" applyBorder="1"/>
    <xf numFmtId="203" fontId="27" fillId="0" borderId="9" xfId="1" applyNumberFormat="1" applyFont="1" applyFill="1" applyBorder="1"/>
    <xf numFmtId="212" fontId="27" fillId="0" borderId="8" xfId="1" applyNumberFormat="1" applyFont="1" applyFill="1" applyBorder="1"/>
    <xf numFmtId="203" fontId="27" fillId="0" borderId="10" xfId="1" applyNumberFormat="1" applyFont="1" applyFill="1" applyBorder="1"/>
    <xf numFmtId="203" fontId="27" fillId="0" borderId="13" xfId="1" applyNumberFormat="1" applyFont="1" applyFill="1" applyBorder="1"/>
    <xf numFmtId="203" fontId="27" fillId="0" borderId="4" xfId="1" applyNumberFormat="1" applyFont="1" applyFill="1" applyBorder="1"/>
    <xf numFmtId="0" fontId="29" fillId="0" borderId="18" xfId="0" applyFont="1" applyBorder="1" applyAlignment="1">
      <alignment horizontal="left"/>
    </xf>
    <xf numFmtId="0" fontId="29" fillId="0" borderId="2" xfId="0" applyFont="1" applyBorder="1" applyAlignment="1">
      <alignment horizontal="left"/>
    </xf>
    <xf numFmtId="0" fontId="27" fillId="0" borderId="0" xfId="0" applyFont="1" applyBorder="1" applyAlignment="1">
      <alignment vertical="top"/>
    </xf>
    <xf numFmtId="5" fontId="27" fillId="0" borderId="0" xfId="2" applyNumberFormat="1" applyFont="1"/>
    <xf numFmtId="200" fontId="27" fillId="0" borderId="8" xfId="2" applyNumberFormat="1" applyFont="1" applyBorder="1"/>
    <xf numFmtId="200" fontId="27" fillId="0" borderId="14" xfId="2" applyNumberFormat="1" applyFont="1" applyBorder="1"/>
    <xf numFmtId="210" fontId="27" fillId="0" borderId="0" xfId="1" applyNumberFormat="1" applyFont="1" applyBorder="1"/>
    <xf numFmtId="210" fontId="27" fillId="0" borderId="8" xfId="1" applyNumberFormat="1" applyFont="1" applyBorder="1"/>
    <xf numFmtId="210" fontId="27" fillId="0" borderId="4" xfId="2" applyNumberFormat="1" applyFont="1" applyBorder="1"/>
    <xf numFmtId="168" fontId="27" fillId="0" borderId="9" xfId="1" applyNumberFormat="1" applyFont="1" applyBorder="1"/>
    <xf numFmtId="168" fontId="27" fillId="0" borderId="13" xfId="1" applyNumberFormat="1" applyFont="1" applyBorder="1"/>
    <xf numFmtId="210" fontId="27" fillId="0" borderId="0" xfId="2" applyNumberFormat="1" applyFont="1" applyBorder="1"/>
    <xf numFmtId="210" fontId="27" fillId="0" borderId="9" xfId="2" applyNumberFormat="1" applyFont="1" applyBorder="1"/>
    <xf numFmtId="0" fontId="0" fillId="0" borderId="0" xfId="0" applyBorder="1"/>
    <xf numFmtId="210" fontId="27" fillId="0" borderId="13" xfId="2" applyNumberFormat="1" applyFont="1" applyBorder="1"/>
    <xf numFmtId="0" fontId="0" fillId="0" borderId="15" xfId="0" applyBorder="1"/>
    <xf numFmtId="0" fontId="28" fillId="2" borderId="0" xfId="0" applyFont="1" applyFill="1"/>
    <xf numFmtId="0" fontId="27" fillId="3" borderId="0" xfId="0" applyFont="1" applyFill="1"/>
    <xf numFmtId="167" fontId="27" fillId="3" borderId="0" xfId="0" applyNumberFormat="1" applyFont="1" applyFill="1"/>
    <xf numFmtId="0" fontId="27" fillId="4" borderId="0" xfId="0" applyFont="1" applyFill="1"/>
    <xf numFmtId="167" fontId="27" fillId="4" borderId="0" xfId="0" applyNumberFormat="1" applyFont="1" applyFill="1"/>
    <xf numFmtId="170" fontId="27" fillId="5" borderId="0" xfId="0" applyNumberFormat="1" applyFont="1" applyFill="1"/>
    <xf numFmtId="0" fontId="28" fillId="0" borderId="0" xfId="0" applyFont="1" applyBorder="1"/>
    <xf numFmtId="164" fontId="27" fillId="4" borderId="0" xfId="0" applyNumberFormat="1" applyFont="1" applyFill="1"/>
    <xf numFmtId="168" fontId="27" fillId="4" borderId="0" xfId="0" applyNumberFormat="1" applyFont="1" applyFill="1"/>
    <xf numFmtId="167" fontId="27" fillId="14" borderId="0" xfId="0" applyNumberFormat="1" applyFont="1" applyFill="1"/>
    <xf numFmtId="167" fontId="27" fillId="2" borderId="0" xfId="0" applyNumberFormat="1" applyFont="1" applyFill="1"/>
    <xf numFmtId="165" fontId="27" fillId="0" borderId="4" xfId="3" applyNumberFormat="1" applyFont="1" applyBorder="1" applyAlignment="1">
      <alignment horizontal="right"/>
    </xf>
    <xf numFmtId="0" fontId="25" fillId="17" borderId="0" xfId="0" applyFont="1" applyFill="1"/>
    <xf numFmtId="10" fontId="25" fillId="17" borderId="0" xfId="0" applyNumberFormat="1" applyFont="1" applyFill="1"/>
    <xf numFmtId="0" fontId="28" fillId="17" borderId="0" xfId="0" applyFont="1" applyFill="1"/>
    <xf numFmtId="170" fontId="27" fillId="17" borderId="0" xfId="0" applyNumberFormat="1" applyFont="1" applyFill="1"/>
    <xf numFmtId="171" fontId="28" fillId="17" borderId="0" xfId="0" applyNumberFormat="1" applyFont="1" applyFill="1"/>
    <xf numFmtId="170" fontId="28" fillId="17" borderId="9" xfId="0" applyNumberFormat="1" applyFont="1" applyFill="1" applyBorder="1"/>
    <xf numFmtId="10" fontId="28" fillId="17" borderId="0" xfId="3" applyNumberFormat="1" applyFont="1" applyFill="1"/>
    <xf numFmtId="9" fontId="25" fillId="17" borderId="0" xfId="0" applyNumberFormat="1" applyFont="1" applyFill="1"/>
    <xf numFmtId="171" fontId="28" fillId="17" borderId="9" xfId="0" applyNumberFormat="1" applyFont="1" applyFill="1" applyBorder="1"/>
    <xf numFmtId="9" fontId="28" fillId="17" borderId="0" xfId="3" applyFont="1" applyFill="1"/>
    <xf numFmtId="166" fontId="25" fillId="0" borderId="0" xfId="0" applyNumberFormat="1" applyFont="1" applyBorder="1"/>
    <xf numFmtId="167" fontId="27" fillId="7" borderId="0" xfId="2" applyNumberFormat="1" applyFont="1" applyFill="1" applyBorder="1"/>
    <xf numFmtId="168" fontId="28" fillId="0" borderId="0" xfId="1" applyNumberFormat="1" applyFont="1" applyBorder="1"/>
    <xf numFmtId="171" fontId="27" fillId="0" borderId="0" xfId="1" applyNumberFormat="1" applyFont="1" applyFill="1" applyBorder="1"/>
    <xf numFmtId="171" fontId="27" fillId="0" borderId="4" xfId="1" applyNumberFormat="1" applyFont="1" applyFill="1" applyBorder="1"/>
    <xf numFmtId="167" fontId="27" fillId="24" borderId="0" xfId="0" applyNumberFormat="1" applyFont="1" applyFill="1"/>
    <xf numFmtId="214" fontId="27" fillId="0" borderId="8" xfId="2" applyNumberFormat="1" applyFont="1" applyBorder="1"/>
    <xf numFmtId="214" fontId="27" fillId="0" borderId="14" xfId="2" applyNumberFormat="1" applyFont="1" applyBorder="1"/>
    <xf numFmtId="213" fontId="27" fillId="0" borderId="0" xfId="1" applyNumberFormat="1" applyFont="1"/>
    <xf numFmtId="213" fontId="27" fillId="0" borderId="0" xfId="0" applyNumberFormat="1" applyFont="1"/>
    <xf numFmtId="213" fontId="27" fillId="0" borderId="4" xfId="0" applyNumberFormat="1" applyFont="1" applyBorder="1"/>
    <xf numFmtId="213" fontId="27" fillId="0" borderId="0" xfId="2" applyNumberFormat="1" applyFont="1"/>
    <xf numFmtId="213" fontId="27" fillId="0" borderId="4" xfId="2" applyNumberFormat="1" applyFont="1" applyBorder="1"/>
    <xf numFmtId="213" fontId="27" fillId="7" borderId="0" xfId="2" applyNumberFormat="1" applyFont="1" applyFill="1"/>
    <xf numFmtId="213" fontId="27" fillId="5" borderId="0" xfId="1" applyNumberFormat="1" applyFont="1" applyFill="1"/>
    <xf numFmtId="212" fontId="27" fillId="0" borderId="0" xfId="1" applyNumberFormat="1" applyFont="1"/>
    <xf numFmtId="215" fontId="32" fillId="0" borderId="18" xfId="0" applyNumberFormat="1" applyFont="1" applyBorder="1"/>
    <xf numFmtId="215" fontId="32" fillId="0" borderId="2" xfId="0" applyNumberFormat="1" applyFont="1" applyBorder="1"/>
    <xf numFmtId="216" fontId="27" fillId="0" borderId="0" xfId="1" applyNumberFormat="1" applyFont="1"/>
    <xf numFmtId="216" fontId="27" fillId="0" borderId="4" xfId="1" applyNumberFormat="1" applyFont="1" applyBorder="1"/>
    <xf numFmtId="190" fontId="27" fillId="0" borderId="0" xfId="2" applyNumberFormat="1" applyFont="1" applyBorder="1"/>
    <xf numFmtId="190" fontId="27" fillId="0" borderId="4" xfId="2" applyNumberFormat="1" applyFont="1" applyBorder="1"/>
    <xf numFmtId="0" fontId="32" fillId="0" borderId="1" xfId="0" applyFont="1" applyBorder="1"/>
    <xf numFmtId="0" fontId="7" fillId="0" borderId="0" xfId="0" applyFont="1" applyFill="1"/>
    <xf numFmtId="171" fontId="27" fillId="13" borderId="0" xfId="1" applyNumberFormat="1" applyFont="1" applyFill="1" applyBorder="1"/>
    <xf numFmtId="171" fontId="27" fillId="13" borderId="4" xfId="1" applyNumberFormat="1" applyFont="1" applyFill="1" applyBorder="1"/>
    <xf numFmtId="0" fontId="27" fillId="0" borderId="5" xfId="0" applyFont="1" applyFill="1" applyBorder="1"/>
    <xf numFmtId="171" fontId="27" fillId="0" borderId="0" xfId="2" applyNumberFormat="1" applyFont="1" applyFill="1" applyBorder="1"/>
    <xf numFmtId="171" fontId="27" fillId="0" borderId="4" xfId="2" applyNumberFormat="1" applyFont="1" applyFill="1" applyBorder="1"/>
    <xf numFmtId="172" fontId="25" fillId="0" borderId="0" xfId="0" applyNumberFormat="1" applyFont="1" applyFill="1" applyBorder="1"/>
    <xf numFmtId="171" fontId="27" fillId="0" borderId="0" xfId="0" applyNumberFormat="1" applyFont="1" applyFill="1" applyBorder="1"/>
    <xf numFmtId="170" fontId="25" fillId="0" borderId="0" xfId="1" applyNumberFormat="1" applyFont="1" applyFill="1" applyBorder="1"/>
    <xf numFmtId="164" fontId="27" fillId="0" borderId="0" xfId="1" applyNumberFormat="1" applyFont="1" applyFill="1" applyBorder="1"/>
    <xf numFmtId="216" fontId="27" fillId="0" borderId="0" xfId="1" applyNumberFormat="1" applyFont="1" applyBorder="1"/>
    <xf numFmtId="216" fontId="27" fillId="0" borderId="10" xfId="1" applyNumberFormat="1" applyFont="1" applyBorder="1"/>
    <xf numFmtId="216" fontId="27" fillId="0" borderId="17" xfId="1" applyNumberFormat="1" applyFont="1" applyBorder="1"/>
    <xf numFmtId="216" fontId="27" fillId="0" borderId="9" xfId="1" applyNumberFormat="1" applyFont="1" applyBorder="1"/>
    <xf numFmtId="216" fontId="27" fillId="0" borderId="13" xfId="1" applyNumberFormat="1" applyFont="1" applyBorder="1"/>
    <xf numFmtId="216" fontId="27" fillId="0" borderId="0" xfId="0" applyNumberFormat="1" applyFont="1" applyBorder="1"/>
    <xf numFmtId="216" fontId="27" fillId="0" borderId="4" xfId="0" applyNumberFormat="1" applyFont="1" applyBorder="1"/>
    <xf numFmtId="214" fontId="27" fillId="0" borderId="0" xfId="1" applyNumberFormat="1" applyFont="1" applyBorder="1"/>
    <xf numFmtId="214" fontId="27" fillId="0" borderId="4" xfId="1" applyNumberFormat="1" applyFont="1" applyBorder="1"/>
    <xf numFmtId="170" fontId="25" fillId="0" borderId="0" xfId="1" applyNumberFormat="1" applyFont="1" applyBorder="1"/>
    <xf numFmtId="216" fontId="27" fillId="0" borderId="0" xfId="0" applyNumberFormat="1" applyFont="1"/>
    <xf numFmtId="214" fontId="27" fillId="0" borderId="0" xfId="1" applyNumberFormat="1" applyFont="1"/>
    <xf numFmtId="9" fontId="27" fillId="0" borderId="0" xfId="3" applyFont="1" applyFill="1" applyBorder="1"/>
    <xf numFmtId="165" fontId="27" fillId="0" borderId="0" xfId="3" applyNumberFormat="1" applyFont="1" applyFill="1" applyBorder="1"/>
    <xf numFmtId="171" fontId="27" fillId="0" borderId="8" xfId="1" applyNumberFormat="1" applyFont="1" applyBorder="1"/>
    <xf numFmtId="171" fontId="27" fillId="0" borderId="14" xfId="1" applyNumberFormat="1" applyFont="1" applyBorder="1"/>
    <xf numFmtId="216" fontId="27" fillId="0" borderId="7" xfId="1" applyNumberFormat="1" applyFont="1" applyBorder="1"/>
    <xf numFmtId="216" fontId="27" fillId="0" borderId="16" xfId="1" applyNumberFormat="1" applyFont="1" applyBorder="1"/>
    <xf numFmtId="170" fontId="27" fillId="0" borderId="3" xfId="2" applyNumberFormat="1" applyFont="1" applyBorder="1"/>
    <xf numFmtId="0" fontId="7" fillId="0" borderId="0" xfId="0" applyFont="1" applyFill="1" applyBorder="1"/>
    <xf numFmtId="171" fontId="27" fillId="25" borderId="0" xfId="0" applyNumberFormat="1" applyFont="1" applyFill="1" applyBorder="1"/>
    <xf numFmtId="214" fontId="27" fillId="0" borderId="0" xfId="0" applyNumberFormat="1" applyFont="1"/>
    <xf numFmtId="214" fontId="27" fillId="0" borderId="4" xfId="0" applyNumberFormat="1" applyFont="1" applyBorder="1"/>
    <xf numFmtId="214" fontId="27" fillId="0" borderId="3" xfId="0" applyNumberFormat="1" applyFont="1" applyBorder="1"/>
    <xf numFmtId="214" fontId="27" fillId="0" borderId="0" xfId="0" applyNumberFormat="1" applyFont="1" applyAlignment="1"/>
    <xf numFmtId="214" fontId="27" fillId="0" borderId="4" xfId="0" applyNumberFormat="1" applyFont="1" applyBorder="1" applyAlignment="1"/>
    <xf numFmtId="216" fontId="27" fillId="0" borderId="3" xfId="0" applyNumberFormat="1" applyFont="1" applyBorder="1"/>
    <xf numFmtId="209" fontId="29" fillId="0" borderId="18" xfId="0" applyNumberFormat="1" applyFont="1" applyBorder="1"/>
    <xf numFmtId="209" fontId="29" fillId="0" borderId="1" xfId="0" applyNumberFormat="1" applyFont="1" applyBorder="1"/>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25" fillId="0" borderId="3" xfId="0" applyFont="1" applyBorder="1" applyAlignment="1">
      <alignment vertical="top"/>
    </xf>
    <xf numFmtId="6" fontId="27" fillId="0" borderId="4" xfId="0" applyNumberFormat="1" applyFont="1" applyBorder="1" applyAlignment="1">
      <alignment horizontal="left"/>
    </xf>
    <xf numFmtId="0" fontId="25" fillId="0" borderId="29" xfId="0" applyFont="1" applyBorder="1"/>
    <xf numFmtId="0" fontId="27" fillId="0" borderId="9" xfId="0" applyFont="1" applyBorder="1"/>
    <xf numFmtId="0" fontId="27" fillId="0" borderId="13" xfId="0" applyFont="1" applyBorder="1"/>
    <xf numFmtId="0" fontId="27" fillId="0" borderId="23" xfId="0" applyFont="1" applyBorder="1" applyAlignment="1">
      <alignment horizontal="left" vertical="top" wrapText="1"/>
    </xf>
    <xf numFmtId="0" fontId="27" fillId="0" borderId="0" xfId="0" applyFont="1" applyAlignment="1">
      <alignment horizontal="left" vertical="top" wrapText="1"/>
    </xf>
    <xf numFmtId="217" fontId="27" fillId="0" borderId="0" xfId="2" applyNumberFormat="1" applyFont="1"/>
    <xf numFmtId="217" fontId="27" fillId="0" borderId="4" xfId="2" applyNumberFormat="1" applyFont="1" applyBorder="1"/>
    <xf numFmtId="218" fontId="27" fillId="0" borderId="0" xfId="1" applyNumberFormat="1" applyFont="1"/>
    <xf numFmtId="218" fontId="27" fillId="0" borderId="4" xfId="1" applyNumberFormat="1" applyFont="1" applyBorder="1"/>
    <xf numFmtId="218" fontId="27" fillId="13" borderId="0" xfId="1" applyNumberFormat="1" applyFont="1" applyFill="1"/>
    <xf numFmtId="218" fontId="27" fillId="13" borderId="4" xfId="1" applyNumberFormat="1" applyFont="1" applyFill="1" applyBorder="1"/>
    <xf numFmtId="218" fontId="27" fillId="13" borderId="7" xfId="1" applyNumberFormat="1" applyFont="1" applyFill="1" applyBorder="1"/>
    <xf numFmtId="218" fontId="27" fillId="13" borderId="16" xfId="1" applyNumberFormat="1" applyFont="1" applyFill="1" applyBorder="1"/>
    <xf numFmtId="218" fontId="27" fillId="0" borderId="9" xfId="1" applyNumberFormat="1" applyFont="1" applyBorder="1"/>
    <xf numFmtId="218" fontId="27" fillId="0" borderId="13" xfId="1" applyNumberFormat="1" applyFont="1" applyBorder="1"/>
    <xf numFmtId="217" fontId="27" fillId="0" borderId="8" xfId="2" applyNumberFormat="1" applyFont="1" applyBorder="1"/>
    <xf numFmtId="217" fontId="27" fillId="0" borderId="14" xfId="2" applyNumberFormat="1" applyFont="1" applyBorder="1"/>
    <xf numFmtId="0" fontId="28" fillId="0" borderId="9" xfId="0" applyFont="1" applyBorder="1" applyAlignment="1">
      <alignment horizontal="center"/>
    </xf>
    <xf numFmtId="0" fontId="28" fillId="0" borderId="13" xfId="0" applyFont="1" applyBorder="1" applyAlignment="1">
      <alignment horizontal="center"/>
    </xf>
    <xf numFmtId="179" fontId="27" fillId="0" borderId="27" xfId="2" applyNumberFormat="1" applyFont="1" applyBorder="1"/>
    <xf numFmtId="180" fontId="27" fillId="0" borderId="28" xfId="1" applyNumberFormat="1" applyFont="1" applyBorder="1"/>
    <xf numFmtId="165" fontId="27" fillId="0" borderId="7" xfId="3" applyNumberFormat="1" applyFont="1" applyBorder="1"/>
    <xf numFmtId="182" fontId="27" fillId="0" borderId="28" xfId="1" applyNumberFormat="1" applyFont="1" applyBorder="1"/>
    <xf numFmtId="165" fontId="27" fillId="0" borderId="16" xfId="3" applyNumberFormat="1" applyFont="1" applyBorder="1"/>
    <xf numFmtId="180" fontId="27" fillId="0" borderId="7" xfId="1" applyNumberFormat="1" applyFont="1" applyBorder="1"/>
    <xf numFmtId="182" fontId="27" fillId="0" borderId="7" xfId="1" applyNumberFormat="1" applyFont="1" applyBorder="1"/>
    <xf numFmtId="180" fontId="27" fillId="0" borderId="8" xfId="1" applyNumberFormat="1" applyFont="1" applyBorder="1"/>
    <xf numFmtId="182" fontId="27" fillId="0" borderId="8" xfId="1" applyNumberFormat="1" applyFont="1" applyBorder="1"/>
    <xf numFmtId="180" fontId="27" fillId="0" borderId="0" xfId="1" applyNumberFormat="1" applyFont="1" applyBorder="1"/>
    <xf numFmtId="182" fontId="27" fillId="0" borderId="0" xfId="1" applyNumberFormat="1" applyFont="1" applyBorder="1"/>
    <xf numFmtId="183" fontId="27" fillId="0" borderId="0" xfId="1" applyNumberFormat="1" applyFont="1" applyBorder="1"/>
    <xf numFmtId="0" fontId="27" fillId="0" borderId="30" xfId="0" applyFont="1" applyBorder="1"/>
    <xf numFmtId="0" fontId="27" fillId="0" borderId="16" xfId="0" applyFont="1" applyBorder="1"/>
    <xf numFmtId="184" fontId="25" fillId="0" borderId="27" xfId="2" applyNumberFormat="1" applyFont="1" applyBorder="1"/>
    <xf numFmtId="164" fontId="25" fillId="0" borderId="4" xfId="1" applyNumberFormat="1" applyFont="1" applyBorder="1"/>
    <xf numFmtId="164" fontId="27" fillId="0" borderId="15" xfId="0" applyNumberFormat="1" applyFont="1" applyBorder="1"/>
    <xf numFmtId="164" fontId="27" fillId="11" borderId="0" xfId="0" applyNumberFormat="1" applyFont="1" applyFill="1"/>
    <xf numFmtId="0" fontId="32" fillId="0" borderId="0" xfId="0" applyFont="1"/>
    <xf numFmtId="0" fontId="27" fillId="0" borderId="18" xfId="0" applyFont="1" applyBorder="1" applyAlignment="1">
      <alignment horizontal="center"/>
    </xf>
    <xf numFmtId="0" fontId="30" fillId="0" borderId="0" xfId="0" applyFont="1" applyBorder="1" applyAlignment="1">
      <alignment horizontal="center"/>
    </xf>
    <xf numFmtId="0" fontId="28" fillId="0" borderId="0" xfId="0" applyFont="1" applyBorder="1" applyAlignment="1">
      <alignment horizontal="center"/>
    </xf>
    <xf numFmtId="164" fontId="25" fillId="0" borderId="0" xfId="0" applyNumberFormat="1" applyFont="1" applyBorder="1"/>
    <xf numFmtId="164" fontId="25" fillId="0" borderId="0" xfId="1" applyNumberFormat="1" applyFont="1" applyBorder="1"/>
    <xf numFmtId="165" fontId="27" fillId="0" borderId="4" xfId="3" applyNumberFormat="1" applyFont="1" applyFill="1" applyBorder="1"/>
    <xf numFmtId="164" fontId="28" fillId="0" borderId="0" xfId="1" applyNumberFormat="1" applyFont="1" applyBorder="1" applyAlignment="1">
      <alignment horizontal="right"/>
    </xf>
    <xf numFmtId="0" fontId="28" fillId="0" borderId="0" xfId="0" applyFont="1" applyBorder="1" applyAlignment="1">
      <alignment horizontal="right"/>
    </xf>
    <xf numFmtId="0" fontId="28" fillId="11" borderId="0" xfId="0" applyFont="1" applyFill="1" applyBorder="1"/>
    <xf numFmtId="181" fontId="25" fillId="0" borderId="0" xfId="2" applyNumberFormat="1" applyFont="1" applyBorder="1"/>
    <xf numFmtId="184" fontId="25" fillId="0" borderId="0" xfId="2" applyNumberFormat="1" applyFont="1" applyBorder="1"/>
    <xf numFmtId="164" fontId="28" fillId="0" borderId="0" xfId="1" applyNumberFormat="1" applyFont="1" applyAlignment="1">
      <alignment horizontal="center"/>
    </xf>
    <xf numFmtId="220" fontId="27" fillId="0" borderId="0" xfId="0" applyNumberFormat="1" applyFont="1"/>
    <xf numFmtId="220" fontId="27" fillId="0" borderId="4" xfId="0" applyNumberFormat="1" applyFont="1" applyBorder="1"/>
    <xf numFmtId="221" fontId="27" fillId="0" borderId="4" xfId="0" applyNumberFormat="1" applyFont="1" applyBorder="1"/>
    <xf numFmtId="220" fontId="27" fillId="0" borderId="0" xfId="0" applyNumberFormat="1" applyFont="1" applyBorder="1"/>
    <xf numFmtId="221" fontId="27" fillId="0" borderId="0" xfId="0" applyNumberFormat="1" applyFont="1" applyBorder="1"/>
    <xf numFmtId="0" fontId="32" fillId="0" borderId="0" xfId="0" applyFont="1" applyBorder="1"/>
    <xf numFmtId="0" fontId="27" fillId="7" borderId="0" xfId="0" applyFont="1" applyFill="1" applyBorder="1"/>
    <xf numFmtId="0" fontId="7" fillId="0" borderId="0" xfId="0" applyFont="1" applyAlignment="1">
      <alignment vertical="top" wrapText="1"/>
    </xf>
    <xf numFmtId="164" fontId="27" fillId="0" borderId="9" xfId="0" applyNumberFormat="1" applyFont="1" applyBorder="1"/>
    <xf numFmtId="0" fontId="7" fillId="0" borderId="0" xfId="0" applyFont="1" applyBorder="1" applyAlignment="1">
      <alignment horizontal="left" vertical="top" wrapText="1"/>
    </xf>
    <xf numFmtId="0" fontId="5" fillId="0" borderId="0" xfId="0" applyFont="1" applyBorder="1" applyAlignment="1">
      <alignment horizontal="left" vertical="top" wrapText="1"/>
    </xf>
    <xf numFmtId="44" fontId="27" fillId="0" borderId="0" xfId="0" applyNumberFormat="1" applyFont="1"/>
    <xf numFmtId="0" fontId="7" fillId="0" borderId="0" xfId="0" applyFont="1" applyBorder="1" applyAlignment="1">
      <alignment vertical="top" wrapText="1"/>
    </xf>
    <xf numFmtId="9" fontId="27" fillId="0" borderId="0" xfId="0" applyNumberFormat="1" applyFont="1" applyBorder="1"/>
    <xf numFmtId="198" fontId="27" fillId="0" borderId="0" xfId="1" applyNumberFormat="1" applyFont="1" applyBorder="1"/>
    <xf numFmtId="9" fontId="27" fillId="0" borderId="4" xfId="0" applyNumberFormat="1" applyFont="1" applyBorder="1"/>
    <xf numFmtId="9" fontId="27" fillId="0" borderId="15" xfId="0" applyNumberFormat="1" applyFont="1" applyBorder="1"/>
    <xf numFmtId="222" fontId="27" fillId="0" borderId="0" xfId="2" applyNumberFormat="1" applyFont="1"/>
    <xf numFmtId="222" fontId="27" fillId="0" borderId="0" xfId="2" applyNumberFormat="1" applyFont="1" applyBorder="1"/>
    <xf numFmtId="222" fontId="27" fillId="0" borderId="4" xfId="2" applyNumberFormat="1" applyFont="1" applyBorder="1"/>
    <xf numFmtId="9" fontId="27" fillId="0" borderId="0" xfId="3" applyNumberFormat="1" applyFont="1" applyBorder="1"/>
    <xf numFmtId="9" fontId="27" fillId="0" borderId="4" xfId="3" applyNumberFormat="1" applyFont="1" applyBorder="1"/>
    <xf numFmtId="0" fontId="4" fillId="0" borderId="0" xfId="0" applyFont="1" applyBorder="1" applyAlignment="1">
      <alignment vertical="top" wrapText="1"/>
    </xf>
    <xf numFmtId="223" fontId="27" fillId="0" borderId="0" xfId="2" applyNumberFormat="1" applyFont="1" applyBorder="1"/>
    <xf numFmtId="223" fontId="27" fillId="0" borderId="4" xfId="2" applyNumberFormat="1" applyFont="1" applyBorder="1"/>
    <xf numFmtId="37" fontId="27" fillId="0" borderId="0" xfId="1" applyNumberFormat="1" applyFont="1" applyBorder="1"/>
    <xf numFmtId="37" fontId="27" fillId="0" borderId="4" xfId="1" applyNumberFormat="1" applyFont="1" applyBorder="1"/>
    <xf numFmtId="37" fontId="27" fillId="0" borderId="27" xfId="2" applyNumberFormat="1" applyFont="1" applyBorder="1"/>
    <xf numFmtId="37" fontId="27" fillId="0" borderId="31" xfId="2" applyNumberFormat="1" applyFont="1" applyBorder="1"/>
    <xf numFmtId="37" fontId="27" fillId="0" borderId="0" xfId="0" applyNumberFormat="1" applyFont="1" applyBorder="1"/>
    <xf numFmtId="37" fontId="27" fillId="0" borderId="4" xfId="0" applyNumberFormat="1" applyFont="1" applyBorder="1"/>
    <xf numFmtId="37" fontId="27" fillId="0" borderId="0" xfId="2" applyNumberFormat="1" applyFont="1" applyBorder="1"/>
    <xf numFmtId="37" fontId="27" fillId="0" borderId="4" xfId="2" applyNumberFormat="1" applyFont="1" applyBorder="1"/>
    <xf numFmtId="37" fontId="27" fillId="0" borderId="8" xfId="2" applyNumberFormat="1" applyFont="1" applyBorder="1"/>
    <xf numFmtId="37" fontId="27" fillId="0" borderId="14" xfId="2" applyNumberFormat="1" applyFont="1" applyBorder="1"/>
    <xf numFmtId="39" fontId="27" fillId="0" borderId="0" xfId="2" applyNumberFormat="1" applyFont="1" applyBorder="1"/>
    <xf numFmtId="39" fontId="27" fillId="0" borderId="4" xfId="2" applyNumberFormat="1" applyFont="1" applyBorder="1"/>
    <xf numFmtId="39" fontId="27" fillId="0" borderId="0" xfId="1" applyNumberFormat="1" applyFont="1" applyBorder="1"/>
    <xf numFmtId="39" fontId="27" fillId="0" borderId="4" xfId="1" applyNumberFormat="1" applyFont="1" applyBorder="1"/>
    <xf numFmtId="39" fontId="27" fillId="0" borderId="8" xfId="2" applyNumberFormat="1" applyFont="1" applyBorder="1"/>
    <xf numFmtId="39" fontId="27" fillId="0" borderId="14" xfId="2" applyNumberFormat="1" applyFont="1" applyBorder="1"/>
    <xf numFmtId="224" fontId="27" fillId="0" borderId="15" xfId="2" applyNumberFormat="1" applyFont="1" applyBorder="1"/>
    <xf numFmtId="224" fontId="27" fillId="0" borderId="6" xfId="2" applyNumberFormat="1" applyFont="1" applyBorder="1"/>
    <xf numFmtId="0" fontId="28" fillId="0" borderId="3" xfId="0" applyFont="1" applyBorder="1" applyAlignment="1">
      <alignment wrapText="1"/>
    </xf>
    <xf numFmtId="180" fontId="28" fillId="0" borderId="0" xfId="1" applyNumberFormat="1" applyFont="1" applyBorder="1"/>
    <xf numFmtId="178" fontId="28" fillId="0" borderId="0" xfId="3" applyNumberFormat="1" applyFont="1" applyBorder="1"/>
    <xf numFmtId="165" fontId="28" fillId="0" borderId="0" xfId="3" applyNumberFormat="1" applyFont="1" applyBorder="1"/>
    <xf numFmtId="178" fontId="28" fillId="0" borderId="4" xfId="3" applyNumberFormat="1" applyFont="1" applyBorder="1"/>
    <xf numFmtId="183" fontId="28" fillId="0" borderId="0" xfId="1" applyNumberFormat="1" applyFont="1" applyBorder="1"/>
    <xf numFmtId="182" fontId="28" fillId="0" borderId="0" xfId="1" applyNumberFormat="1" applyFont="1" applyBorder="1"/>
    <xf numFmtId="226" fontId="28" fillId="0" borderId="0" xfId="1" applyNumberFormat="1" applyFont="1" applyBorder="1"/>
    <xf numFmtId="10" fontId="16" fillId="0" borderId="0" xfId="3" applyNumberFormat="1" applyFont="1" applyBorder="1" applyAlignment="1">
      <alignment horizontal="center" vertical="top" wrapText="1"/>
    </xf>
    <xf numFmtId="10" fontId="23" fillId="0" borderId="0" xfId="3" applyNumberFormat="1" applyFont="1" applyBorder="1" applyAlignment="1">
      <alignment horizontal="center" vertical="top" wrapText="1"/>
    </xf>
    <xf numFmtId="0" fontId="7" fillId="0" borderId="0" xfId="0" applyFont="1" applyAlignment="1">
      <alignment horizontal="left" vertical="top" wrapText="1"/>
    </xf>
    <xf numFmtId="0" fontId="4" fillId="0" borderId="15"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28" fillId="0" borderId="1" xfId="0" applyFont="1" applyBorder="1" applyAlignment="1">
      <alignment horizontal="left" vertical="top" wrapText="1"/>
    </xf>
    <xf numFmtId="0" fontId="4" fillId="0" borderId="0" xfId="0" applyFont="1" applyAlignment="1">
      <alignment horizontal="left" vertical="top" wrapText="1"/>
    </xf>
    <xf numFmtId="223" fontId="4" fillId="0" borderId="0" xfId="0" applyNumberFormat="1" applyFont="1"/>
    <xf numFmtId="0" fontId="7" fillId="0" borderId="3" xfId="0" applyFont="1" applyBorder="1" applyAlignment="1">
      <alignment horizontal="left" vertical="top" wrapText="1"/>
    </xf>
    <xf numFmtId="1" fontId="40" fillId="0" borderId="18" xfId="0" applyNumberFormat="1" applyFont="1" applyBorder="1" applyAlignment="1">
      <alignment horizontal="right" vertical="top" wrapText="1" indent="1"/>
    </xf>
    <xf numFmtId="1" fontId="40" fillId="0" borderId="2" xfId="0" applyNumberFormat="1" applyFont="1" applyBorder="1" applyAlignment="1">
      <alignment horizontal="right" vertical="top" wrapText="1" indent="1"/>
    </xf>
    <xf numFmtId="0" fontId="28" fillId="0" borderId="3" xfId="0" applyFont="1" applyBorder="1" applyAlignment="1">
      <alignment horizontal="left" vertical="top" wrapText="1"/>
    </xf>
    <xf numFmtId="1" fontId="40" fillId="0" borderId="0" xfId="0" applyNumberFormat="1" applyFont="1" applyBorder="1" applyAlignment="1">
      <alignment horizontal="right" vertical="top" wrapText="1" indent="1"/>
    </xf>
    <xf numFmtId="1" fontId="40" fillId="0" borderId="4" xfId="0" applyNumberFormat="1" applyFont="1" applyBorder="1" applyAlignment="1">
      <alignment horizontal="right" vertical="top" wrapText="1" indent="1"/>
    </xf>
    <xf numFmtId="0" fontId="41" fillId="0" borderId="3" xfId="0" applyFont="1" applyBorder="1" applyAlignment="1">
      <alignment horizontal="left" vertical="top" wrapText="1"/>
    </xf>
    <xf numFmtId="0" fontId="42" fillId="0" borderId="3" xfId="0" applyFont="1" applyBorder="1" applyAlignment="1">
      <alignment horizontal="left" vertical="top" wrapText="1"/>
    </xf>
    <xf numFmtId="3" fontId="42" fillId="0" borderId="4" xfId="0" applyNumberFormat="1" applyFont="1" applyBorder="1" applyAlignment="1">
      <alignment horizontal="left" vertical="top" wrapText="1"/>
    </xf>
    <xf numFmtId="229" fontId="27" fillId="0" borderId="8" xfId="1" applyNumberFormat="1" applyFont="1" applyBorder="1" applyAlignment="1">
      <alignment horizontal="right"/>
    </xf>
    <xf numFmtId="229" fontId="27" fillId="0" borderId="0" xfId="1" applyNumberFormat="1" applyFont="1" applyBorder="1" applyAlignment="1">
      <alignment horizontal="right"/>
    </xf>
    <xf numFmtId="229" fontId="27" fillId="0" borderId="4" xfId="1" applyNumberFormat="1" applyFont="1" applyBorder="1" applyAlignment="1">
      <alignment horizontal="right"/>
    </xf>
    <xf numFmtId="228" fontId="27" fillId="0" borderId="0" xfId="1" applyNumberFormat="1" applyFont="1" applyBorder="1" applyAlignment="1">
      <alignment horizontal="right"/>
    </xf>
    <xf numFmtId="228" fontId="27" fillId="0" borderId="4" xfId="1" applyNumberFormat="1" applyFont="1" applyBorder="1" applyAlignment="1">
      <alignment horizontal="right"/>
    </xf>
    <xf numFmtId="227" fontId="42" fillId="0" borderId="0" xfId="0" applyNumberFormat="1" applyFont="1" applyBorder="1" applyAlignment="1">
      <alignment horizontal="right" vertical="top" wrapText="1"/>
    </xf>
    <xf numFmtId="229" fontId="27" fillId="0" borderId="14" xfId="1" applyNumberFormat="1" applyFont="1" applyBorder="1" applyAlignment="1">
      <alignment horizontal="right"/>
    </xf>
    <xf numFmtId="3" fontId="42" fillId="0" borderId="0" xfId="0" applyNumberFormat="1" applyFont="1" applyBorder="1" applyAlignment="1">
      <alignment horizontal="left" vertical="top" wrapText="1"/>
    </xf>
    <xf numFmtId="0" fontId="25" fillId="11" borderId="0" xfId="0" applyFont="1" applyFill="1"/>
    <xf numFmtId="174" fontId="25" fillId="0" borderId="11" xfId="0" applyNumberFormat="1" applyFont="1" applyBorder="1"/>
    <xf numFmtId="174" fontId="25" fillId="0" borderId="12" xfId="0" applyNumberFormat="1" applyFont="1" applyBorder="1"/>
    <xf numFmtId="174" fontId="25" fillId="19" borderId="11" xfId="0" applyNumberFormat="1" applyFont="1" applyFill="1" applyBorder="1"/>
    <xf numFmtId="3" fontId="27" fillId="20" borderId="0" xfId="2" applyNumberFormat="1" applyFont="1" applyFill="1"/>
    <xf numFmtId="3" fontId="27" fillId="20" borderId="4" xfId="2" applyNumberFormat="1" applyFont="1" applyFill="1" applyBorder="1"/>
    <xf numFmtId="171" fontId="27" fillId="20" borderId="0" xfId="2" applyNumberFormat="1" applyFont="1" applyFill="1"/>
    <xf numFmtId="171" fontId="27" fillId="19" borderId="0" xfId="2" applyNumberFormat="1" applyFont="1" applyFill="1"/>
    <xf numFmtId="171" fontId="27" fillId="0" borderId="0" xfId="2" applyNumberFormat="1" applyFont="1"/>
    <xf numFmtId="171" fontId="27" fillId="7" borderId="0" xfId="2" applyNumberFormat="1" applyFont="1" applyFill="1"/>
    <xf numFmtId="171" fontId="27" fillId="19" borderId="0" xfId="1" applyNumberFormat="1" applyFont="1" applyFill="1"/>
    <xf numFmtId="164" fontId="27" fillId="20" borderId="0" xfId="1" applyNumberFormat="1" applyFont="1" applyFill="1"/>
    <xf numFmtId="171" fontId="27" fillId="20" borderId="0" xfId="1" applyNumberFormat="1" applyFont="1" applyFill="1"/>
    <xf numFmtId="171" fontId="27" fillId="7" borderId="0" xfId="1" applyNumberFormat="1" applyFont="1" applyFill="1"/>
    <xf numFmtId="170" fontId="25" fillId="0" borderId="8" xfId="2" applyNumberFormat="1" applyFont="1" applyBorder="1"/>
    <xf numFmtId="170" fontId="25" fillId="0" borderId="14" xfId="2" applyNumberFormat="1" applyFont="1" applyBorder="1"/>
    <xf numFmtId="170" fontId="25" fillId="19" borderId="8" xfId="2" applyNumberFormat="1" applyFont="1" applyFill="1" applyBorder="1"/>
    <xf numFmtId="170" fontId="27" fillId="11" borderId="0" xfId="0" applyNumberFormat="1" applyFont="1" applyFill="1"/>
    <xf numFmtId="170" fontId="27" fillId="0" borderId="9" xfId="0" applyNumberFormat="1" applyFont="1" applyBorder="1"/>
    <xf numFmtId="173" fontId="27" fillId="0" borderId="0" xfId="0" applyNumberFormat="1" applyFont="1"/>
    <xf numFmtId="230" fontId="27" fillId="0" borderId="0" xfId="1" applyNumberFormat="1" applyFont="1" applyBorder="1" applyAlignment="1">
      <alignment horizontal="right"/>
    </xf>
    <xf numFmtId="230" fontId="27" fillId="0" borderId="8" xfId="1" applyNumberFormat="1" applyFont="1" applyBorder="1" applyAlignment="1">
      <alignment horizontal="right"/>
    </xf>
    <xf numFmtId="231" fontId="27" fillId="0" borderId="0" xfId="1" applyNumberFormat="1" applyFont="1" applyBorder="1" applyAlignment="1">
      <alignment horizontal="right"/>
    </xf>
    <xf numFmtId="230" fontId="27" fillId="0" borderId="4" xfId="1" applyNumberFormat="1" applyFont="1" applyBorder="1" applyAlignment="1">
      <alignment horizontal="right"/>
    </xf>
    <xf numFmtId="3" fontId="27" fillId="20" borderId="0" xfId="2" applyNumberFormat="1" applyFont="1" applyFill="1" applyBorder="1"/>
    <xf numFmtId="231" fontId="27" fillId="0" borderId="4" xfId="1" applyNumberFormat="1" applyFont="1" applyBorder="1" applyAlignment="1">
      <alignment horizontal="right"/>
    </xf>
    <xf numFmtId="230" fontId="27" fillId="0" borderId="14" xfId="1" applyNumberFormat="1" applyFont="1" applyBorder="1" applyAlignment="1">
      <alignment horizontal="right"/>
    </xf>
    <xf numFmtId="0" fontId="27" fillId="11" borderId="0" xfId="0" applyFont="1" applyFill="1" applyBorder="1"/>
    <xf numFmtId="0" fontId="27" fillId="11" borderId="4" xfId="0" applyFont="1" applyFill="1" applyBorder="1"/>
    <xf numFmtId="171" fontId="27" fillId="11" borderId="0" xfId="1" applyNumberFormat="1" applyFont="1" applyFill="1" applyBorder="1"/>
    <xf numFmtId="171" fontId="27" fillId="11" borderId="4" xfId="1" applyNumberFormat="1" applyFont="1" applyFill="1" applyBorder="1"/>
    <xf numFmtId="170" fontId="27" fillId="11" borderId="0" xfId="0" applyNumberFormat="1" applyFont="1" applyFill="1" applyBorder="1"/>
    <xf numFmtId="170" fontId="27" fillId="11" borderId="4" xfId="0" applyNumberFormat="1" applyFont="1" applyFill="1" applyBorder="1"/>
    <xf numFmtId="209" fontId="32" fillId="0" borderId="11" xfId="0" applyNumberFormat="1" applyFont="1" applyBorder="1"/>
    <xf numFmtId="209" fontId="32" fillId="0" borderId="12" xfId="0" applyNumberFormat="1" applyFont="1" applyBorder="1"/>
    <xf numFmtId="0" fontId="42" fillId="13" borderId="0" xfId="0" applyFont="1" applyFill="1"/>
    <xf numFmtId="0" fontId="42" fillId="0" borderId="0" xfId="0" applyFont="1"/>
    <xf numFmtId="0" fontId="42" fillId="0" borderId="4" xfId="0" applyFont="1" applyBorder="1"/>
    <xf numFmtId="177" fontId="42" fillId="0" borderId="0" xfId="1" applyNumberFormat="1" applyFont="1"/>
    <xf numFmtId="176" fontId="27" fillId="0" borderId="0" xfId="2" applyNumberFormat="1" applyFont="1"/>
    <xf numFmtId="176" fontId="42" fillId="0" borderId="0" xfId="2" applyNumberFormat="1" applyFont="1"/>
    <xf numFmtId="176" fontId="42" fillId="0" borderId="4" xfId="2" applyNumberFormat="1" applyFont="1" applyBorder="1"/>
    <xf numFmtId="177" fontId="27" fillId="0" borderId="0" xfId="1" applyNumberFormat="1" applyFont="1"/>
    <xf numFmtId="177" fontId="42" fillId="0" borderId="4" xfId="1" applyNumberFormat="1" applyFont="1" applyBorder="1"/>
    <xf numFmtId="177" fontId="45" fillId="0" borderId="0" xfId="1" applyNumberFormat="1" applyFont="1"/>
    <xf numFmtId="177" fontId="27" fillId="0" borderId="9" xfId="1" applyNumberFormat="1" applyFont="1" applyBorder="1"/>
    <xf numFmtId="177" fontId="42" fillId="0" borderId="9" xfId="1" applyNumberFormat="1" applyFont="1" applyBorder="1"/>
    <xf numFmtId="177" fontId="42" fillId="0" borderId="13" xfId="1" applyNumberFormat="1" applyFont="1" applyBorder="1"/>
    <xf numFmtId="177" fontId="45" fillId="0" borderId="4" xfId="1" applyNumberFormat="1" applyFont="1" applyBorder="1"/>
    <xf numFmtId="176" fontId="27" fillId="0" borderId="8" xfId="2" applyNumberFormat="1" applyFont="1" applyBorder="1"/>
    <xf numFmtId="176" fontId="42" fillId="0" borderId="8" xfId="2" applyNumberFormat="1" applyFont="1" applyBorder="1"/>
    <xf numFmtId="176" fontId="42" fillId="0" borderId="14" xfId="2" applyNumberFormat="1" applyFont="1" applyBorder="1"/>
    <xf numFmtId="0" fontId="45" fillId="0" borderId="0" xfId="0" applyFont="1"/>
    <xf numFmtId="0" fontId="45" fillId="0" borderId="4" xfId="0" applyFont="1" applyBorder="1"/>
    <xf numFmtId="177" fontId="27" fillId="0" borderId="10" xfId="1" applyNumberFormat="1" applyFont="1" applyBorder="1"/>
    <xf numFmtId="177" fontId="42" fillId="0" borderId="10" xfId="1" applyNumberFormat="1" applyFont="1" applyBorder="1"/>
    <xf numFmtId="177" fontId="42" fillId="0" borderId="17" xfId="1" applyNumberFormat="1" applyFont="1" applyBorder="1"/>
    <xf numFmtId="176" fontId="27" fillId="13" borderId="0" xfId="2" applyNumberFormat="1" applyFont="1" applyFill="1"/>
    <xf numFmtId="176" fontId="42" fillId="13" borderId="0" xfId="2" applyNumberFormat="1" applyFont="1" applyFill="1"/>
    <xf numFmtId="176" fontId="42" fillId="13" borderId="4" xfId="2" applyNumberFormat="1" applyFont="1" applyFill="1" applyBorder="1"/>
    <xf numFmtId="177" fontId="27" fillId="0" borderId="15" xfId="1" applyNumberFormat="1" applyFont="1" applyBorder="1"/>
    <xf numFmtId="177" fontId="27" fillId="0" borderId="7" xfId="1" applyNumberFormat="1" applyFont="1" applyBorder="1"/>
    <xf numFmtId="177" fontId="42" fillId="0" borderId="7" xfId="1" applyNumberFormat="1" applyFont="1" applyBorder="1"/>
    <xf numFmtId="177" fontId="42" fillId="0" borderId="16" xfId="1" applyNumberFormat="1" applyFont="1" applyBorder="1"/>
    <xf numFmtId="165" fontId="27" fillId="0" borderId="9" xfId="0" applyNumberFormat="1" applyFont="1" applyBorder="1"/>
    <xf numFmtId="165" fontId="27" fillId="0" borderId="13" xfId="0" applyNumberFormat="1" applyFont="1" applyBorder="1"/>
    <xf numFmtId="165" fontId="27" fillId="11" borderId="0" xfId="0" applyNumberFormat="1" applyFont="1" applyFill="1"/>
    <xf numFmtId="43" fontId="27" fillId="0" borderId="0" xfId="0" applyNumberFormat="1" applyFont="1"/>
    <xf numFmtId="0" fontId="40" fillId="0" borderId="4" xfId="0" applyFont="1" applyBorder="1"/>
    <xf numFmtId="232" fontId="42" fillId="0" borderId="4" xfId="2" applyNumberFormat="1" applyFont="1" applyBorder="1"/>
    <xf numFmtId="233" fontId="42" fillId="0" borderId="4" xfId="1" applyNumberFormat="1" applyFont="1" applyBorder="1"/>
    <xf numFmtId="177" fontId="27" fillId="0" borderId="0" xfId="1" applyNumberFormat="1" applyFont="1" applyBorder="1"/>
    <xf numFmtId="0" fontId="40" fillId="0" borderId="18" xfId="0" applyFont="1" applyBorder="1"/>
    <xf numFmtId="0" fontId="40" fillId="0" borderId="2" xfId="0" applyFont="1" applyBorder="1"/>
    <xf numFmtId="0" fontId="40" fillId="0" borderId="0" xfId="0" applyFont="1" applyBorder="1"/>
    <xf numFmtId="0" fontId="42" fillId="0" borderId="0" xfId="0" applyFont="1" applyBorder="1"/>
    <xf numFmtId="232" fontId="27" fillId="0" borderId="0" xfId="2" applyNumberFormat="1" applyFont="1" applyBorder="1"/>
    <xf numFmtId="232" fontId="42" fillId="0" borderId="0" xfId="2" applyNumberFormat="1" applyFont="1" applyBorder="1"/>
    <xf numFmtId="233" fontId="27" fillId="0" borderId="0" xfId="1" applyNumberFormat="1" applyFont="1" applyBorder="1"/>
    <xf numFmtId="233" fontId="42" fillId="0" borderId="0" xfId="1" applyNumberFormat="1" applyFont="1" applyBorder="1"/>
    <xf numFmtId="176" fontId="27" fillId="0" borderId="0" xfId="2" applyNumberFormat="1" applyFont="1" applyBorder="1"/>
    <xf numFmtId="233" fontId="27" fillId="0" borderId="0" xfId="2" applyNumberFormat="1" applyFont="1" applyBorder="1"/>
    <xf numFmtId="232" fontId="42" fillId="0" borderId="0" xfId="1" applyNumberFormat="1" applyFont="1" applyFill="1" applyBorder="1"/>
    <xf numFmtId="232" fontId="42" fillId="0" borderId="4" xfId="1" applyNumberFormat="1" applyFont="1" applyFill="1" applyBorder="1"/>
    <xf numFmtId="233" fontId="45" fillId="0" borderId="0" xfId="1" applyNumberFormat="1" applyFont="1" applyBorder="1"/>
    <xf numFmtId="177" fontId="45" fillId="0" borderId="0" xfId="1" applyNumberFormat="1" applyFont="1" applyBorder="1"/>
    <xf numFmtId="177" fontId="42" fillId="0" borderId="0" xfId="1" applyNumberFormat="1" applyFont="1" applyBorder="1"/>
    <xf numFmtId="0" fontId="45" fillId="0" borderId="0" xfId="0" applyFont="1" applyBorder="1"/>
    <xf numFmtId="176" fontId="42" fillId="0" borderId="0" xfId="2" applyNumberFormat="1" applyFont="1" applyBorder="1"/>
    <xf numFmtId="176" fontId="27" fillId="13" borderId="0" xfId="2" applyNumberFormat="1" applyFont="1" applyFill="1" applyBorder="1"/>
    <xf numFmtId="176" fontId="42" fillId="13" borderId="0" xfId="2" applyNumberFormat="1" applyFont="1" applyFill="1" applyBorder="1"/>
    <xf numFmtId="209" fontId="32" fillId="0" borderId="0" xfId="0" applyNumberFormat="1" applyFont="1" applyBorder="1"/>
    <xf numFmtId="209" fontId="40" fillId="0" borderId="0" xfId="0" applyNumberFormat="1" applyFont="1" applyBorder="1"/>
    <xf numFmtId="209" fontId="40" fillId="0" borderId="4" xfId="0" applyNumberFormat="1" applyFont="1" applyBorder="1"/>
    <xf numFmtId="0" fontId="29" fillId="0" borderId="0" xfId="0" applyFont="1" applyBorder="1"/>
    <xf numFmtId="232" fontId="27" fillId="0" borderId="4" xfId="2" applyNumberFormat="1" applyFont="1" applyBorder="1"/>
    <xf numFmtId="234" fontId="27" fillId="0" borderId="8" xfId="2" applyNumberFormat="1" applyFont="1" applyBorder="1"/>
    <xf numFmtId="235" fontId="27" fillId="0" borderId="7" xfId="2" applyNumberFormat="1" applyFont="1" applyBorder="1"/>
    <xf numFmtId="235" fontId="42" fillId="0" borderId="7" xfId="2" applyNumberFormat="1" applyFont="1" applyBorder="1"/>
    <xf numFmtId="235" fontId="42" fillId="0" borderId="16" xfId="2" applyNumberFormat="1" applyFont="1" applyBorder="1"/>
    <xf numFmtId="235" fontId="27" fillId="0" borderId="8" xfId="2" applyNumberFormat="1" applyFont="1" applyBorder="1"/>
    <xf numFmtId="235" fontId="42" fillId="0" borderId="8" xfId="2" applyNumberFormat="1" applyFont="1" applyBorder="1"/>
    <xf numFmtId="235" fontId="42" fillId="0" borderId="14" xfId="2" applyNumberFormat="1" applyFont="1" applyBorder="1"/>
    <xf numFmtId="236" fontId="27" fillId="0" borderId="0" xfId="1" applyNumberFormat="1" applyFont="1"/>
    <xf numFmtId="236" fontId="42" fillId="0" borderId="4" xfId="1" applyNumberFormat="1" applyFont="1" applyBorder="1"/>
    <xf numFmtId="236" fontId="27" fillId="0" borderId="7" xfId="1" applyNumberFormat="1" applyFont="1" applyBorder="1"/>
    <xf numFmtId="236" fontId="42" fillId="0" borderId="7" xfId="1" applyNumberFormat="1" applyFont="1" applyBorder="1"/>
    <xf numFmtId="236" fontId="42" fillId="0" borderId="16" xfId="1" applyNumberFormat="1" applyFont="1" applyBorder="1"/>
    <xf numFmtId="236" fontId="27" fillId="0" borderId="10" xfId="1" applyNumberFormat="1" applyFont="1" applyBorder="1"/>
    <xf numFmtId="236" fontId="42" fillId="0" borderId="10" xfId="1" applyNumberFormat="1" applyFont="1" applyBorder="1"/>
    <xf numFmtId="236" fontId="42" fillId="0" borderId="17" xfId="1" applyNumberFormat="1" applyFont="1" applyBorder="1"/>
    <xf numFmtId="236" fontId="27" fillId="0" borderId="9" xfId="1" applyNumberFormat="1" applyFont="1" applyBorder="1"/>
    <xf numFmtId="236" fontId="42" fillId="0" borderId="9" xfId="1" applyNumberFormat="1" applyFont="1" applyBorder="1"/>
    <xf numFmtId="236" fontId="42" fillId="0" borderId="13" xfId="1" applyNumberFormat="1" applyFont="1" applyBorder="1"/>
    <xf numFmtId="235" fontId="28" fillId="0" borderId="8" xfId="2" applyNumberFormat="1" applyFont="1" applyBorder="1"/>
    <xf numFmtId="235" fontId="41" fillId="0" borderId="8" xfId="2" applyNumberFormat="1" applyFont="1" applyBorder="1"/>
    <xf numFmtId="235" fontId="41" fillId="0" borderId="14" xfId="2" applyNumberFormat="1" applyFont="1" applyBorder="1"/>
    <xf numFmtId="235" fontId="41" fillId="0" borderId="4" xfId="2" applyNumberFormat="1" applyFont="1" applyBorder="1"/>
    <xf numFmtId="236" fontId="41" fillId="0" borderId="4" xfId="1" applyNumberFormat="1" applyFont="1" applyBorder="1"/>
    <xf numFmtId="209" fontId="40" fillId="0" borderId="18" xfId="0" applyNumberFormat="1" applyFont="1" applyBorder="1"/>
    <xf numFmtId="209" fontId="40" fillId="0" borderId="2" xfId="0" applyNumberFormat="1" applyFont="1" applyBorder="1"/>
    <xf numFmtId="234" fontId="27" fillId="0" borderId="14" xfId="2" applyNumberFormat="1" applyFont="1" applyBorder="1"/>
    <xf numFmtId="236" fontId="27" fillId="0" borderId="0" xfId="1" applyNumberFormat="1" applyFont="1" applyBorder="1"/>
    <xf numFmtId="236" fontId="42" fillId="0" borderId="0" xfId="1" applyNumberFormat="1" applyFont="1" applyBorder="1"/>
    <xf numFmtId="0" fontId="46" fillId="0" borderId="0" xfId="0" applyFont="1" applyBorder="1"/>
    <xf numFmtId="235" fontId="28" fillId="0" borderId="0" xfId="2" applyNumberFormat="1" applyFont="1" applyBorder="1"/>
    <xf numFmtId="235" fontId="41" fillId="0" borderId="0" xfId="2" applyNumberFormat="1" applyFont="1" applyBorder="1"/>
    <xf numFmtId="236" fontId="28" fillId="0" borderId="0" xfId="1" applyNumberFormat="1" applyFont="1" applyBorder="1"/>
    <xf numFmtId="236" fontId="41" fillId="0" borderId="0" xfId="1" applyNumberFormat="1" applyFont="1" applyBorder="1"/>
    <xf numFmtId="176" fontId="27" fillId="0" borderId="4" xfId="2" applyNumberFormat="1" applyFont="1" applyBorder="1"/>
    <xf numFmtId="177" fontId="27" fillId="0" borderId="4" xfId="1" applyNumberFormat="1" applyFont="1" applyBorder="1"/>
    <xf numFmtId="0" fontId="29" fillId="0" borderId="4" xfId="0" applyFont="1" applyBorder="1"/>
    <xf numFmtId="43" fontId="27" fillId="0" borderId="15" xfId="1" applyFont="1" applyBorder="1"/>
    <xf numFmtId="235" fontId="27" fillId="0" borderId="0" xfId="2" applyNumberFormat="1" applyFont="1"/>
    <xf numFmtId="235" fontId="42" fillId="0" borderId="4" xfId="2" applyNumberFormat="1" applyFont="1" applyBorder="1"/>
    <xf numFmtId="235" fontId="27" fillId="0" borderId="0" xfId="2" applyNumberFormat="1" applyFont="1" applyBorder="1"/>
    <xf numFmtId="235" fontId="42" fillId="0" borderId="0" xfId="2" applyNumberFormat="1" applyFont="1" applyBorder="1"/>
    <xf numFmtId="0" fontId="25" fillId="8" borderId="0" xfId="0" applyFont="1" applyFill="1" applyBorder="1"/>
    <xf numFmtId="235" fontId="27" fillId="0" borderId="4" xfId="2" applyNumberFormat="1" applyFont="1" applyBorder="1"/>
    <xf numFmtId="235" fontId="27" fillId="0" borderId="14" xfId="2" applyNumberFormat="1" applyFont="1" applyBorder="1"/>
    <xf numFmtId="236" fontId="27" fillId="0" borderId="4" xfId="1" applyNumberFormat="1" applyFont="1" applyBorder="1"/>
    <xf numFmtId="236" fontId="27" fillId="0" borderId="13" xfId="1" applyNumberFormat="1" applyFont="1" applyBorder="1"/>
    <xf numFmtId="0" fontId="42" fillId="0" borderId="3" xfId="0" applyFont="1" applyBorder="1"/>
    <xf numFmtId="165" fontId="45" fillId="0" borderId="0" xfId="3" applyNumberFormat="1" applyFont="1"/>
    <xf numFmtId="165" fontId="45" fillId="0" borderId="0" xfId="0" applyNumberFormat="1" applyFont="1"/>
    <xf numFmtId="237" fontId="27" fillId="0" borderId="0" xfId="1" applyNumberFormat="1" applyFont="1" applyBorder="1" applyAlignment="1">
      <alignment horizontal="right"/>
    </xf>
    <xf numFmtId="237" fontId="42" fillId="0" borderId="0" xfId="1" applyNumberFormat="1" applyFont="1" applyBorder="1" applyAlignment="1">
      <alignment horizontal="right"/>
    </xf>
    <xf numFmtId="237" fontId="42" fillId="0" borderId="4" xfId="1" applyNumberFormat="1" applyFont="1" applyBorder="1" applyAlignment="1">
      <alignment horizontal="right"/>
    </xf>
    <xf numFmtId="238" fontId="27" fillId="0" borderId="0" xfId="1" applyNumberFormat="1" applyFont="1" applyBorder="1" applyAlignment="1">
      <alignment horizontal="right"/>
    </xf>
    <xf numFmtId="238" fontId="42" fillId="0" borderId="0" xfId="1" applyNumberFormat="1" applyFont="1" applyBorder="1" applyAlignment="1">
      <alignment horizontal="right"/>
    </xf>
    <xf numFmtId="238" fontId="42" fillId="0" borderId="4" xfId="1" applyNumberFormat="1" applyFont="1" applyBorder="1" applyAlignment="1">
      <alignment horizontal="right"/>
    </xf>
    <xf numFmtId="238" fontId="42" fillId="0" borderId="10" xfId="1" applyNumberFormat="1" applyFont="1" applyBorder="1" applyAlignment="1">
      <alignment horizontal="right"/>
    </xf>
    <xf numFmtId="238" fontId="42" fillId="0" borderId="17" xfId="1" applyNumberFormat="1" applyFont="1" applyBorder="1" applyAlignment="1">
      <alignment horizontal="right"/>
    </xf>
    <xf numFmtId="237" fontId="27" fillId="0" borderId="4" xfId="1" applyNumberFormat="1" applyFont="1" applyBorder="1" applyAlignment="1">
      <alignment horizontal="right"/>
    </xf>
    <xf numFmtId="176" fontId="27" fillId="0" borderId="15" xfId="2" applyNumberFormat="1" applyFont="1" applyBorder="1"/>
    <xf numFmtId="176" fontId="42" fillId="0" borderId="15" xfId="2" applyNumberFormat="1" applyFont="1" applyBorder="1"/>
    <xf numFmtId="176" fontId="42" fillId="0" borderId="6" xfId="2" applyNumberFormat="1" applyFont="1" applyBorder="1"/>
    <xf numFmtId="238" fontId="27" fillId="0" borderId="0" xfId="1" applyNumberFormat="1" applyFont="1" applyBorder="1" applyAlignment="1"/>
    <xf numFmtId="235" fontId="27" fillId="0" borderId="0" xfId="2" applyNumberFormat="1" applyFont="1" applyBorder="1" applyAlignment="1">
      <alignment horizontal="right"/>
    </xf>
    <xf numFmtId="235" fontId="42" fillId="0" borderId="0" xfId="2" applyNumberFormat="1" applyFont="1" applyBorder="1" applyAlignment="1">
      <alignment horizontal="right"/>
    </xf>
    <xf numFmtId="235" fontId="42" fillId="0" borderId="4" xfId="2" applyNumberFormat="1" applyFont="1" applyBorder="1" applyAlignment="1">
      <alignment horizontal="right"/>
    </xf>
    <xf numFmtId="238" fontId="42" fillId="0" borderId="4" xfId="1" applyNumberFormat="1" applyFont="1" applyBorder="1"/>
    <xf numFmtId="238" fontId="27" fillId="0" borderId="10" xfId="1" applyNumberFormat="1" applyFont="1" applyBorder="1"/>
    <xf numFmtId="238" fontId="42" fillId="0" borderId="10" xfId="1" applyNumberFormat="1" applyFont="1" applyBorder="1"/>
    <xf numFmtId="238" fontId="42" fillId="0" borderId="17" xfId="1" applyNumberFormat="1" applyFont="1" applyBorder="1"/>
    <xf numFmtId="239" fontId="27" fillId="0" borderId="8" xfId="2" applyNumberFormat="1" applyFont="1" applyBorder="1" applyAlignment="1">
      <alignment horizontal="right"/>
    </xf>
    <xf numFmtId="239" fontId="42" fillId="0" borderId="8" xfId="2" applyNumberFormat="1" applyFont="1" applyBorder="1" applyAlignment="1">
      <alignment horizontal="right"/>
    </xf>
    <xf numFmtId="239" fontId="42" fillId="0" borderId="14" xfId="2" applyNumberFormat="1" applyFont="1" applyBorder="1" applyAlignment="1">
      <alignment horizontal="right"/>
    </xf>
    <xf numFmtId="238" fontId="27" fillId="0" borderId="0" xfId="1" applyNumberFormat="1" applyFont="1" applyBorder="1"/>
    <xf numFmtId="238" fontId="42" fillId="0" borderId="0" xfId="1" applyNumberFormat="1" applyFont="1" applyBorder="1"/>
    <xf numFmtId="0" fontId="27" fillId="21" borderId="3" xfId="0" applyNumberFormat="1" applyFont="1" applyFill="1" applyBorder="1"/>
    <xf numFmtId="193" fontId="27" fillId="21" borderId="0" xfId="1" applyNumberFormat="1" applyFont="1" applyFill="1" applyBorder="1"/>
    <xf numFmtId="193" fontId="27" fillId="21" borderId="4" xfId="1" applyNumberFormat="1" applyFont="1" applyFill="1" applyBorder="1"/>
    <xf numFmtId="0" fontId="27" fillId="0" borderId="3" xfId="0" applyNumberFormat="1" applyFont="1" applyFill="1" applyBorder="1"/>
    <xf numFmtId="193" fontId="27" fillId="0" borderId="0" xfId="1" applyNumberFormat="1" applyFont="1" applyFill="1" applyBorder="1"/>
    <xf numFmtId="193" fontId="27" fillId="0" borderId="4" xfId="1" applyNumberFormat="1" applyFont="1" applyFill="1" applyBorder="1"/>
    <xf numFmtId="164" fontId="27" fillId="0" borderId="4" xfId="0" applyNumberFormat="1" applyFont="1" applyBorder="1"/>
    <xf numFmtId="164" fontId="27" fillId="0" borderId="14" xfId="1" applyNumberFormat="1" applyFont="1" applyBorder="1"/>
    <xf numFmtId="165" fontId="27" fillId="0" borderId="4" xfId="0" applyNumberFormat="1" applyFont="1" applyBorder="1"/>
    <xf numFmtId="0" fontId="27" fillId="21" borderId="3" xfId="0" applyFont="1" applyFill="1" applyBorder="1"/>
    <xf numFmtId="164" fontId="27" fillId="21" borderId="4" xfId="1" applyNumberFormat="1" applyFont="1" applyFill="1" applyBorder="1"/>
    <xf numFmtId="37" fontId="27" fillId="0" borderId="0" xfId="1" applyNumberFormat="1" applyFont="1" applyFill="1" applyBorder="1"/>
    <xf numFmtId="200" fontId="27" fillId="0" borderId="8" xfId="2" applyNumberFormat="1" applyFont="1" applyFill="1" applyBorder="1"/>
    <xf numFmtId="200" fontId="27" fillId="0" borderId="0" xfId="2" applyNumberFormat="1" applyFont="1" applyFill="1" applyBorder="1"/>
    <xf numFmtId="200" fontId="27" fillId="0" borderId="0" xfId="2" applyNumberFormat="1" applyFont="1" applyBorder="1"/>
    <xf numFmtId="200" fontId="27" fillId="0" borderId="4" xfId="2" applyNumberFormat="1" applyFont="1" applyBorder="1"/>
    <xf numFmtId="198" fontId="27" fillId="21" borderId="4" xfId="0" applyNumberFormat="1" applyFont="1" applyFill="1" applyBorder="1"/>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3" xfId="0" applyFont="1" applyBorder="1" applyAlignment="1">
      <alignment horizontal="left" vertical="top"/>
    </xf>
    <xf numFmtId="0" fontId="4" fillId="0" borderId="0" xfId="0" applyFont="1" applyAlignment="1">
      <alignment horizontal="left" vertical="top" wrapText="1"/>
    </xf>
    <xf numFmtId="0" fontId="18" fillId="0" borderId="4" xfId="0" applyFont="1" applyBorder="1" applyAlignment="1">
      <alignment horizontal="left" vertical="top" wrapText="1"/>
    </xf>
    <xf numFmtId="0" fontId="27" fillId="0" borderId="18" xfId="0" applyFont="1" applyFill="1" applyBorder="1" applyAlignment="1">
      <alignment horizontal="center" wrapText="1"/>
    </xf>
    <xf numFmtId="0" fontId="32" fillId="0" borderId="3" xfId="0" applyFont="1" applyFill="1" applyBorder="1" applyAlignment="1">
      <alignment horizontal="right" wrapText="1"/>
    </xf>
    <xf numFmtId="0" fontId="32" fillId="0" borderId="0" xfId="0" applyFont="1" applyFill="1" applyBorder="1" applyAlignment="1">
      <alignment horizontal="right" wrapText="1"/>
    </xf>
    <xf numFmtId="0" fontId="27" fillId="0" borderId="3" xfId="0" applyFont="1" applyFill="1" applyBorder="1" applyAlignment="1">
      <alignment horizontal="right"/>
    </xf>
    <xf numFmtId="199" fontId="27" fillId="0" borderId="0" xfId="2" applyNumberFormat="1" applyFont="1" applyFill="1" applyBorder="1" applyAlignment="1">
      <alignment horizontal="right"/>
    </xf>
    <xf numFmtId="164" fontId="27" fillId="0" borderId="0" xfId="1" applyNumberFormat="1" applyFont="1" applyFill="1" applyBorder="1" applyAlignment="1">
      <alignment horizontal="right"/>
    </xf>
    <xf numFmtId="199" fontId="27" fillId="0" borderId="0" xfId="1" applyNumberFormat="1" applyFont="1" applyFill="1" applyBorder="1" applyAlignment="1">
      <alignment horizontal="right"/>
    </xf>
    <xf numFmtId="0" fontId="4" fillId="0" borderId="3" xfId="0" applyFont="1" applyFill="1" applyBorder="1"/>
    <xf numFmtId="164" fontId="27" fillId="0" borderId="24" xfId="1" applyNumberFormat="1" applyFont="1" applyFill="1" applyBorder="1"/>
    <xf numFmtId="0" fontId="4" fillId="0" borderId="5" xfId="0" applyFont="1" applyFill="1" applyBorder="1"/>
    <xf numFmtId="167" fontId="4" fillId="0" borderId="15" xfId="2" applyNumberFormat="1" applyFont="1" applyFill="1" applyBorder="1"/>
    <xf numFmtId="164" fontId="4" fillId="0" borderId="43" xfId="1" applyNumberFormat="1" applyFont="1" applyFill="1" applyBorder="1"/>
    <xf numFmtId="0" fontId="4" fillId="21" borderId="0" xfId="0" applyFont="1" applyFill="1" applyBorder="1"/>
    <xf numFmtId="164" fontId="27" fillId="21" borderId="0" xfId="1" applyNumberFormat="1" applyFont="1" applyFill="1" applyBorder="1" applyAlignment="1">
      <alignment horizontal="right"/>
    </xf>
    <xf numFmtId="9" fontId="4" fillId="21" borderId="0" xfId="3" applyFont="1" applyFill="1" applyBorder="1"/>
    <xf numFmtId="164" fontId="4" fillId="21" borderId="15" xfId="1" applyNumberFormat="1" applyFont="1" applyFill="1" applyBorder="1" applyAlignment="1">
      <alignment horizontal="right"/>
    </xf>
    <xf numFmtId="10" fontId="4" fillId="21" borderId="15" xfId="3" applyNumberFormat="1" applyFont="1" applyFill="1" applyBorder="1"/>
    <xf numFmtId="10" fontId="4" fillId="21" borderId="6" xfId="3" applyNumberFormat="1" applyFont="1" applyFill="1" applyBorder="1"/>
    <xf numFmtId="43" fontId="4" fillId="21" borderId="0" xfId="1" applyFont="1" applyFill="1" applyBorder="1"/>
    <xf numFmtId="43" fontId="4" fillId="21" borderId="4" xfId="1" applyFont="1" applyFill="1" applyBorder="1"/>
    <xf numFmtId="240" fontId="4" fillId="21" borderId="0" xfId="2" applyNumberFormat="1" applyFont="1" applyFill="1" applyBorder="1"/>
    <xf numFmtId="240" fontId="4" fillId="21" borderId="4" xfId="2" applyNumberFormat="1" applyFont="1" applyFill="1" applyBorder="1"/>
    <xf numFmtId="0" fontId="4" fillId="21" borderId="4" xfId="0" applyFont="1" applyFill="1" applyBorder="1"/>
    <xf numFmtId="0" fontId="4" fillId="21" borderId="18" xfId="0" applyFont="1" applyFill="1" applyBorder="1"/>
    <xf numFmtId="0" fontId="4" fillId="21" borderId="2" xfId="0" applyFont="1" applyFill="1" applyBorder="1"/>
    <xf numFmtId="0" fontId="26" fillId="21" borderId="0" xfId="0" applyFont="1" applyFill="1" applyBorder="1" applyAlignment="1">
      <alignment horizontal="right"/>
    </xf>
    <xf numFmtId="0" fontId="26" fillId="21" borderId="4" xfId="0" applyFont="1" applyFill="1" applyBorder="1" applyAlignment="1">
      <alignment horizontal="right"/>
    </xf>
    <xf numFmtId="200" fontId="27" fillId="15" borderId="6" xfId="0" applyNumberFormat="1" applyFont="1" applyFill="1" applyBorder="1"/>
    <xf numFmtId="0" fontId="27" fillId="15" borderId="4" xfId="0" applyFont="1" applyFill="1" applyBorder="1"/>
    <xf numFmtId="9" fontId="25" fillId="0" borderId="4" xfId="0" applyNumberFormat="1" applyFont="1" applyFill="1" applyBorder="1" applyAlignment="1">
      <alignment horizontal="right"/>
    </xf>
    <xf numFmtId="0" fontId="27" fillId="0" borderId="6" xfId="0" applyFont="1" applyFill="1" applyBorder="1"/>
    <xf numFmtId="3" fontId="28" fillId="19" borderId="0" xfId="1" applyNumberFormat="1" applyFont="1" applyFill="1" applyBorder="1"/>
    <xf numFmtId="170" fontId="27" fillId="19" borderId="0" xfId="2" applyNumberFormat="1" applyFont="1" applyFill="1" applyBorder="1"/>
    <xf numFmtId="203" fontId="27" fillId="19" borderId="0" xfId="2" applyNumberFormat="1" applyFont="1" applyFill="1" applyBorder="1"/>
    <xf numFmtId="241" fontId="27" fillId="0" borderId="0" xfId="1" applyNumberFormat="1" applyFont="1" applyBorder="1"/>
    <xf numFmtId="241" fontId="27" fillId="0" borderId="4" xfId="1" applyNumberFormat="1" applyFont="1" applyBorder="1"/>
    <xf numFmtId="214" fontId="27" fillId="21" borderId="4" xfId="2" applyNumberFormat="1" applyFont="1" applyFill="1" applyBorder="1"/>
    <xf numFmtId="164" fontId="27" fillId="0" borderId="4" xfId="1" applyNumberFormat="1" applyFont="1" applyFill="1" applyBorder="1"/>
    <xf numFmtId="198" fontId="27" fillId="0" borderId="4" xfId="0" applyNumberFormat="1" applyFont="1" applyFill="1" applyBorder="1"/>
    <xf numFmtId="242" fontId="27" fillId="0" borderId="6" xfId="1" applyNumberFormat="1" applyFont="1" applyBorder="1" applyAlignment="1">
      <alignment horizontal="right"/>
    </xf>
    <xf numFmtId="0" fontId="6" fillId="0" borderId="18" xfId="0" applyFont="1" applyBorder="1" applyAlignment="1">
      <alignment horizontal="left"/>
    </xf>
    <xf numFmtId="0" fontId="6" fillId="0" borderId="2" xfId="0" applyFont="1" applyBorder="1" applyAlignment="1">
      <alignment horizontal="left"/>
    </xf>
    <xf numFmtId="0" fontId="18" fillId="0" borderId="0" xfId="0" applyFont="1" applyBorder="1" applyAlignment="1">
      <alignment horizontal="left" vertical="top" wrapText="1"/>
    </xf>
    <xf numFmtId="0" fontId="8" fillId="0" borderId="0" xfId="0" applyFont="1" applyBorder="1" applyAlignment="1">
      <alignment horizontal="left" vertical="top" wrapText="1"/>
    </xf>
    <xf numFmtId="0" fontId="8" fillId="0" borderId="4" xfId="0" applyFont="1" applyBorder="1" applyAlignment="1">
      <alignment horizontal="left" vertical="top" wrapText="1"/>
    </xf>
    <xf numFmtId="6" fontId="4" fillId="0" borderId="0" xfId="0" applyNumberFormat="1" applyFont="1" applyBorder="1" applyAlignment="1">
      <alignment horizontal="left"/>
    </xf>
    <xf numFmtId="6" fontId="4" fillId="0" borderId="4" xfId="0" applyNumberFormat="1" applyFont="1" applyBorder="1" applyAlignment="1">
      <alignment horizontal="left"/>
    </xf>
    <xf numFmtId="8" fontId="4" fillId="0" borderId="0" xfId="0" applyNumberFormat="1" applyFont="1" applyBorder="1" applyAlignment="1">
      <alignment horizontal="left"/>
    </xf>
    <xf numFmtId="8" fontId="4" fillId="0" borderId="4" xfId="0" applyNumberFormat="1" applyFont="1" applyBorder="1" applyAlignment="1">
      <alignment horizontal="left"/>
    </xf>
    <xf numFmtId="0" fontId="4" fillId="0" borderId="3" xfId="0" applyFont="1" applyBorder="1" applyAlignment="1">
      <alignment vertical="top"/>
    </xf>
    <xf numFmtId="164" fontId="27" fillId="13" borderId="0" xfId="0" applyNumberFormat="1" applyFont="1" applyFill="1"/>
    <xf numFmtId="0" fontId="27" fillId="8" borderId="4" xfId="0" applyFont="1" applyFill="1" applyBorder="1"/>
    <xf numFmtId="167" fontId="27" fillId="0" borderId="19" xfId="2" applyNumberFormat="1" applyFont="1" applyBorder="1"/>
    <xf numFmtId="0" fontId="27" fillId="8" borderId="15" xfId="0" applyFont="1" applyFill="1" applyBorder="1"/>
    <xf numFmtId="0" fontId="27" fillId="8" borderId="6" xfId="0" applyFont="1" applyFill="1" applyBorder="1"/>
    <xf numFmtId="37" fontId="27" fillId="0" borderId="0" xfId="1" applyNumberFormat="1" applyFont="1"/>
    <xf numFmtId="37" fontId="27" fillId="0" borderId="0" xfId="0" applyNumberFormat="1" applyFont="1"/>
    <xf numFmtId="37" fontId="28" fillId="0" borderId="0" xfId="1" applyNumberFormat="1" applyFont="1"/>
    <xf numFmtId="37" fontId="27" fillId="0" borderId="0" xfId="0" applyNumberFormat="1" applyFont="1" applyAlignment="1">
      <alignment horizontal="right"/>
    </xf>
    <xf numFmtId="37" fontId="27" fillId="0" borderId="0" xfId="1" applyNumberFormat="1" applyFont="1" applyAlignment="1">
      <alignment horizontal="right"/>
    </xf>
    <xf numFmtId="37" fontId="27" fillId="21" borderId="0" xfId="1" applyNumberFormat="1" applyFont="1" applyFill="1" applyAlignment="1">
      <alignment horizontal="right"/>
    </xf>
    <xf numFmtId="37" fontId="27" fillId="0" borderId="9" xfId="2" applyNumberFormat="1" applyFont="1" applyBorder="1" applyAlignment="1">
      <alignment horizontal="right"/>
    </xf>
    <xf numFmtId="37" fontId="27" fillId="0" borderId="9" xfId="1" applyNumberFormat="1" applyFont="1" applyBorder="1" applyAlignment="1">
      <alignment horizontal="right"/>
    </xf>
    <xf numFmtId="37" fontId="27" fillId="0" borderId="0" xfId="2" applyNumberFormat="1" applyFont="1"/>
    <xf numFmtId="37" fontId="27" fillId="0" borderId="7" xfId="1" applyNumberFormat="1" applyFont="1" applyBorder="1"/>
    <xf numFmtId="37" fontId="27" fillId="0" borderId="0" xfId="2" applyNumberFormat="1" applyFont="1" applyBorder="1" applyAlignment="1">
      <alignment horizontal="right"/>
    </xf>
    <xf numFmtId="37" fontId="27" fillId="0" borderId="0" xfId="1" applyNumberFormat="1" applyFont="1" applyBorder="1" applyAlignment="1">
      <alignment horizontal="right"/>
    </xf>
    <xf numFmtId="37" fontId="28" fillId="0" borderId="4" xfId="1" applyNumberFormat="1" applyFont="1" applyBorder="1"/>
    <xf numFmtId="37" fontId="27" fillId="0" borderId="0" xfId="2" applyNumberFormat="1" applyFont="1" applyAlignment="1">
      <alignment horizontal="right"/>
    </xf>
    <xf numFmtId="37" fontId="27" fillId="0" borderId="4" xfId="2" applyNumberFormat="1" applyFont="1" applyBorder="1" applyAlignment="1">
      <alignment horizontal="right"/>
    </xf>
    <xf numFmtId="37" fontId="27" fillId="0" borderId="4" xfId="1" applyNumberFormat="1" applyFont="1" applyBorder="1" applyAlignment="1">
      <alignment horizontal="right"/>
    </xf>
    <xf numFmtId="37" fontId="27" fillId="0" borderId="7" xfId="1" applyNumberFormat="1" applyFont="1" applyBorder="1" applyAlignment="1">
      <alignment horizontal="right"/>
    </xf>
    <xf numFmtId="37" fontId="27" fillId="0" borderId="16" xfId="1" applyNumberFormat="1" applyFont="1" applyBorder="1" applyAlignment="1">
      <alignment horizontal="right"/>
    </xf>
    <xf numFmtId="37" fontId="27" fillId="0" borderId="16" xfId="1" applyNumberFormat="1" applyFont="1" applyBorder="1"/>
    <xf numFmtId="37" fontId="27" fillId="9" borderId="0" xfId="1" applyNumberFormat="1" applyFont="1" applyFill="1"/>
    <xf numFmtId="37" fontId="28" fillId="9" borderId="0" xfId="1" applyNumberFormat="1" applyFont="1" applyFill="1"/>
    <xf numFmtId="37" fontId="28" fillId="9" borderId="4" xfId="1" applyNumberFormat="1" applyFont="1" applyFill="1" applyBorder="1"/>
    <xf numFmtId="37" fontId="27" fillId="9" borderId="7" xfId="1" applyNumberFormat="1" applyFont="1" applyFill="1" applyBorder="1"/>
    <xf numFmtId="37" fontId="28" fillId="9" borderId="7" xfId="1" applyNumberFormat="1" applyFont="1" applyFill="1" applyBorder="1"/>
    <xf numFmtId="37" fontId="28" fillId="9" borderId="16" xfId="1" applyNumberFormat="1" applyFont="1" applyFill="1" applyBorder="1"/>
    <xf numFmtId="37" fontId="25" fillId="0" borderId="9" xfId="1" applyNumberFormat="1" applyFont="1" applyBorder="1"/>
    <xf numFmtId="37" fontId="25" fillId="0" borderId="13" xfId="1" applyNumberFormat="1" applyFont="1" applyBorder="1"/>
    <xf numFmtId="5" fontId="25" fillId="0" borderId="8" xfId="2" applyNumberFormat="1" applyFont="1" applyBorder="1"/>
    <xf numFmtId="5" fontId="25" fillId="0" borderId="14" xfId="2" applyNumberFormat="1" applyFont="1" applyBorder="1"/>
    <xf numFmtId="37" fontId="27" fillId="0" borderId="0" xfId="1" applyNumberFormat="1" applyFont="1" applyFill="1"/>
    <xf numFmtId="37" fontId="27" fillId="0" borderId="4" xfId="1" applyNumberFormat="1" applyFont="1" applyFill="1" applyBorder="1"/>
    <xf numFmtId="37" fontId="27" fillId="0" borderId="0" xfId="1" applyNumberFormat="1" applyFont="1" applyFill="1" applyAlignment="1">
      <alignment horizontal="right"/>
    </xf>
    <xf numFmtId="37" fontId="27" fillId="0" borderId="4" xfId="1" applyNumberFormat="1" applyFont="1" applyFill="1" applyBorder="1" applyAlignment="1">
      <alignment horizontal="right"/>
    </xf>
    <xf numFmtId="5" fontId="25" fillId="0" borderId="0" xfId="2" applyNumberFormat="1" applyFont="1" applyBorder="1"/>
    <xf numFmtId="5" fontId="25" fillId="0" borderId="4" xfId="2" applyNumberFormat="1" applyFont="1" applyBorder="1"/>
    <xf numFmtId="37" fontId="28" fillId="0" borderId="36" xfId="1" applyNumberFormat="1" applyFont="1" applyFill="1" applyBorder="1" applyAlignment="1">
      <alignment horizontal="center"/>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48" fillId="13" borderId="0" xfId="0" applyFont="1" applyFill="1"/>
    <xf numFmtId="0" fontId="48" fillId="0" borderId="0" xfId="0" applyFont="1"/>
    <xf numFmtId="0" fontId="25" fillId="0" borderId="2" xfId="0" applyFont="1" applyBorder="1" applyAlignment="1">
      <alignment horizontal="center"/>
    </xf>
    <xf numFmtId="0" fontId="25" fillId="0" borderId="0" xfId="0" applyFont="1" applyAlignment="1">
      <alignment horizontal="center"/>
    </xf>
    <xf numFmtId="0" fontId="28" fillId="0" borderId="0" xfId="0" applyFont="1" applyAlignment="1">
      <alignment horizontal="center"/>
    </xf>
    <xf numFmtId="0" fontId="28" fillId="0" borderId="4" xfId="0" applyFont="1" applyBorder="1" applyAlignment="1">
      <alignment horizontal="center"/>
    </xf>
    <xf numFmtId="0" fontId="29" fillId="0" borderId="29" xfId="0" applyFont="1" applyBorder="1"/>
    <xf numFmtId="0" fontId="28" fillId="0" borderId="10" xfId="0" applyFont="1" applyBorder="1" applyAlignment="1">
      <alignment horizontal="center"/>
    </xf>
    <xf numFmtId="0" fontId="30" fillId="0" borderId="7" xfId="0" applyFont="1" applyBorder="1" applyAlignment="1">
      <alignment horizontal="center"/>
    </xf>
    <xf numFmtId="0" fontId="28" fillId="0" borderId="7" xfId="0" applyFont="1" applyBorder="1" applyAlignment="1">
      <alignment horizontal="center"/>
    </xf>
    <xf numFmtId="0" fontId="29" fillId="0" borderId="3" xfId="0" applyFont="1" applyBorder="1"/>
    <xf numFmtId="165" fontId="28" fillId="0" borderId="0" xfId="3" applyNumberFormat="1" applyFont="1"/>
    <xf numFmtId="167" fontId="27" fillId="6" borderId="0" xfId="0" applyNumberFormat="1" applyFont="1" applyFill="1"/>
    <xf numFmtId="5" fontId="27" fillId="0" borderId="27" xfId="2" applyNumberFormat="1" applyFont="1" applyBorder="1"/>
    <xf numFmtId="5" fontId="27" fillId="0" borderId="8" xfId="2" applyNumberFormat="1" applyFont="1" applyBorder="1"/>
    <xf numFmtId="37" fontId="27" fillId="0" borderId="28" xfId="1" applyNumberFormat="1" applyFont="1" applyBorder="1"/>
    <xf numFmtId="180" fontId="27" fillId="21" borderId="0" xfId="1" applyNumberFormat="1" applyFont="1" applyFill="1" applyBorder="1"/>
    <xf numFmtId="0" fontId="27" fillId="21" borderId="4" xfId="0" applyFont="1" applyFill="1" applyBorder="1"/>
    <xf numFmtId="180" fontId="27" fillId="0" borderId="0" xfId="1" applyNumberFormat="1" applyFont="1" applyFill="1" applyBorder="1"/>
    <xf numFmtId="0" fontId="27" fillId="0" borderId="4" xfId="0" applyFont="1" applyFill="1" applyBorder="1"/>
    <xf numFmtId="5" fontId="27" fillId="0" borderId="9" xfId="2" applyNumberFormat="1" applyFont="1" applyBorder="1"/>
    <xf numFmtId="0" fontId="28" fillId="0" borderId="30" xfId="0" applyFont="1" applyBorder="1"/>
    <xf numFmtId="5" fontId="27" fillId="0" borderId="27" xfId="2" applyNumberFormat="1" applyFont="1" applyFill="1" applyBorder="1"/>
    <xf numFmtId="0" fontId="28" fillId="13" borderId="3" xfId="0" applyFont="1" applyFill="1" applyBorder="1" applyAlignment="1">
      <alignment wrapText="1"/>
    </xf>
    <xf numFmtId="164" fontId="28" fillId="13" borderId="0" xfId="1" applyNumberFormat="1" applyFont="1" applyFill="1" applyBorder="1"/>
    <xf numFmtId="182" fontId="28" fillId="13" borderId="0" xfId="1" applyNumberFormat="1" applyFont="1" applyFill="1" applyBorder="1"/>
    <xf numFmtId="178" fontId="28" fillId="13" borderId="0" xfId="3" applyNumberFormat="1" applyFont="1" applyFill="1" applyBorder="1"/>
    <xf numFmtId="177" fontId="28" fillId="13" borderId="0" xfId="1" applyNumberFormat="1" applyFont="1" applyFill="1" applyBorder="1"/>
    <xf numFmtId="164" fontId="28" fillId="13" borderId="4" xfId="1" applyNumberFormat="1" applyFont="1" applyFill="1" applyBorder="1"/>
    <xf numFmtId="165" fontId="28" fillId="13" borderId="0" xfId="3" applyNumberFormat="1" applyFont="1" applyFill="1" applyBorder="1"/>
    <xf numFmtId="180" fontId="28" fillId="13" borderId="0" xfId="1" applyNumberFormat="1" applyFont="1" applyFill="1" applyBorder="1"/>
    <xf numFmtId="165" fontId="28" fillId="13" borderId="4" xfId="3" applyNumberFormat="1" applyFont="1" applyFill="1" applyBorder="1"/>
    <xf numFmtId="37" fontId="27" fillId="0" borderId="28" xfId="2" applyNumberFormat="1" applyFont="1" applyBorder="1"/>
    <xf numFmtId="0" fontId="4" fillId="0" borderId="0" xfId="0" applyFont="1" applyBorder="1" applyAlignment="1">
      <alignment vertical="top"/>
    </xf>
    <xf numFmtId="0" fontId="27" fillId="0" borderId="0" xfId="0" applyFont="1" applyBorder="1" applyAlignment="1">
      <alignment horizontal="center"/>
    </xf>
    <xf numFmtId="5" fontId="27" fillId="0" borderId="0" xfId="2" applyNumberFormat="1" applyFont="1" applyBorder="1"/>
    <xf numFmtId="5" fontId="27" fillId="0" borderId="0" xfId="1" applyNumberFormat="1" applyFont="1" applyBorder="1"/>
    <xf numFmtId="0" fontId="27" fillId="23" borderId="0" xfId="0" applyFont="1" applyFill="1"/>
    <xf numFmtId="0" fontId="27" fillId="0" borderId="7" xfId="0" applyFont="1" applyBorder="1" applyAlignment="1">
      <alignment horizontal="center"/>
    </xf>
    <xf numFmtId="37" fontId="27" fillId="0" borderId="7" xfId="2" applyNumberFormat="1" applyFont="1" applyBorder="1"/>
    <xf numFmtId="5" fontId="27" fillId="0" borderId="0" xfId="2" applyNumberFormat="1" applyFont="1" applyFill="1" applyBorder="1"/>
    <xf numFmtId="5" fontId="27" fillId="0" borderId="0" xfId="0" applyNumberFormat="1" applyFont="1"/>
    <xf numFmtId="5" fontId="27" fillId="0" borderId="8" xfId="2" applyNumberFormat="1" applyFont="1" applyFill="1" applyBorder="1"/>
    <xf numFmtId="44" fontId="27" fillId="28" borderId="0" xfId="2" applyFont="1" applyFill="1"/>
    <xf numFmtId="44" fontId="27" fillId="0" borderId="9" xfId="2" applyFont="1" applyBorder="1"/>
    <xf numFmtId="0" fontId="27" fillId="28" borderId="3" xfId="0" applyFont="1" applyFill="1" applyBorder="1" applyAlignment="1">
      <alignment wrapText="1"/>
    </xf>
    <xf numFmtId="43" fontId="27" fillId="28" borderId="0" xfId="1" applyFont="1" applyFill="1"/>
    <xf numFmtId="44" fontId="27" fillId="28" borderId="4" xfId="2" applyFont="1" applyFill="1" applyBorder="1"/>
    <xf numFmtId="165" fontId="27" fillId="28" borderId="0" xfId="3" applyNumberFormat="1" applyFont="1" applyFill="1"/>
    <xf numFmtId="165" fontId="27" fillId="28" borderId="4" xfId="3" applyNumberFormat="1" applyFont="1" applyFill="1" applyBorder="1"/>
    <xf numFmtId="43" fontId="27" fillId="28" borderId="4" xfId="1" applyFont="1" applyFill="1" applyBorder="1"/>
    <xf numFmtId="44" fontId="28" fillId="0" borderId="0" xfId="2" applyFont="1"/>
    <xf numFmtId="9" fontId="27" fillId="0" borderId="15" xfId="3" applyFont="1" applyBorder="1"/>
    <xf numFmtId="44" fontId="27" fillId="0" borderId="6" xfId="2" applyFont="1" applyBorder="1"/>
    <xf numFmtId="200" fontId="27" fillId="0" borderId="0" xfId="2" applyNumberFormat="1" applyFont="1"/>
    <xf numFmtId="201" fontId="27" fillId="0" borderId="0" xfId="2" applyNumberFormat="1" applyFont="1"/>
    <xf numFmtId="201" fontId="27" fillId="0" borderId="4" xfId="2" applyNumberFormat="1" applyFont="1" applyBorder="1"/>
    <xf numFmtId="201" fontId="27" fillId="0" borderId="7" xfId="2" applyNumberFormat="1" applyFont="1" applyBorder="1"/>
    <xf numFmtId="201" fontId="27" fillId="0" borderId="16" xfId="2" applyNumberFormat="1" applyFont="1" applyBorder="1"/>
    <xf numFmtId="201" fontId="27" fillId="0" borderId="0" xfId="2" applyNumberFormat="1" applyFont="1" applyBorder="1"/>
    <xf numFmtId="44" fontId="28" fillId="21" borderId="0" xfId="2" applyFont="1" applyFill="1"/>
    <xf numFmtId="44" fontId="27" fillId="21" borderId="0" xfId="2" applyFont="1" applyFill="1"/>
    <xf numFmtId="44" fontId="27" fillId="21" borderId="4" xfId="2" applyFont="1" applyFill="1" applyBorder="1"/>
    <xf numFmtId="200" fontId="27" fillId="0" borderId="4" xfId="0" applyNumberFormat="1" applyFont="1" applyBorder="1"/>
    <xf numFmtId="240" fontId="27" fillId="0" borderId="0" xfId="0" applyNumberFormat="1" applyFont="1" applyBorder="1"/>
    <xf numFmtId="240" fontId="27" fillId="0" borderId="4" xfId="0" applyNumberFormat="1" applyFont="1" applyBorder="1"/>
    <xf numFmtId="201" fontId="27" fillId="0" borderId="9" xfId="0" applyNumberFormat="1" applyFont="1" applyBorder="1"/>
    <xf numFmtId="192" fontId="27" fillId="0" borderId="0" xfId="0" applyNumberFormat="1" applyFont="1"/>
    <xf numFmtId="200" fontId="27" fillId="0" borderId="2" xfId="0" applyNumberFormat="1" applyFont="1" applyBorder="1"/>
    <xf numFmtId="0" fontId="5" fillId="0" borderId="6" xfId="0" applyFont="1" applyBorder="1"/>
    <xf numFmtId="209" fontId="32" fillId="0" borderId="0" xfId="0" applyNumberFormat="1" applyFont="1"/>
    <xf numFmtId="0" fontId="25" fillId="0" borderId="4" xfId="0" applyFont="1" applyBorder="1"/>
    <xf numFmtId="0" fontId="31" fillId="0" borderId="0" xfId="4" applyFont="1"/>
    <xf numFmtId="164" fontId="28" fillId="0" borderId="0" xfId="0" applyNumberFormat="1" applyFont="1"/>
    <xf numFmtId="0" fontId="28" fillId="0" borderId="1" xfId="0" applyFont="1" applyFill="1" applyBorder="1"/>
    <xf numFmtId="209" fontId="32" fillId="0" borderId="18" xfId="0" applyNumberFormat="1" applyFont="1" applyFill="1" applyBorder="1"/>
    <xf numFmtId="209" fontId="32" fillId="0" borderId="2" xfId="0" applyNumberFormat="1" applyFont="1" applyFill="1" applyBorder="1"/>
    <xf numFmtId="200" fontId="27" fillId="0" borderId="0" xfId="0" applyNumberFormat="1" applyFont="1" applyFill="1" applyBorder="1"/>
    <xf numFmtId="200" fontId="27" fillId="0" borderId="4" xfId="0" applyNumberFormat="1" applyFont="1" applyFill="1" applyBorder="1"/>
    <xf numFmtId="240" fontId="27" fillId="0" borderId="0" xfId="0" applyNumberFormat="1" applyFont="1" applyFill="1" applyBorder="1"/>
    <xf numFmtId="240" fontId="27" fillId="0" borderId="4" xfId="0" applyNumberFormat="1" applyFont="1" applyFill="1" applyBorder="1"/>
    <xf numFmtId="200" fontId="27" fillId="0" borderId="9" xfId="0" applyNumberFormat="1" applyFont="1" applyFill="1" applyBorder="1"/>
    <xf numFmtId="201" fontId="27" fillId="0" borderId="0" xfId="0" applyNumberFormat="1" applyFont="1" applyFill="1" applyBorder="1"/>
    <xf numFmtId="200" fontId="27" fillId="0" borderId="9" xfId="0" applyNumberFormat="1" applyFont="1" applyBorder="1"/>
    <xf numFmtId="243" fontId="27" fillId="0" borderId="0" xfId="2" applyNumberFormat="1" applyFont="1" applyBorder="1"/>
    <xf numFmtId="243" fontId="27" fillId="0" borderId="4" xfId="2" applyNumberFormat="1" applyFont="1" applyBorder="1"/>
    <xf numFmtId="243" fontId="27" fillId="0" borderId="0" xfId="2" applyNumberFormat="1" applyFont="1"/>
    <xf numFmtId="243" fontId="27" fillId="0" borderId="0" xfId="1" applyNumberFormat="1" applyFont="1" applyBorder="1"/>
    <xf numFmtId="243" fontId="27" fillId="0" borderId="4" xfId="1" applyNumberFormat="1" applyFont="1" applyBorder="1"/>
    <xf numFmtId="245" fontId="27" fillId="0" borderId="0" xfId="1" applyNumberFormat="1" applyFont="1" applyBorder="1"/>
    <xf numFmtId="245" fontId="27" fillId="0" borderId="4" xfId="1" applyNumberFormat="1" applyFont="1" applyBorder="1"/>
    <xf numFmtId="245" fontId="27" fillId="0" borderId="0" xfId="1" applyNumberFormat="1" applyFont="1"/>
    <xf numFmtId="245" fontId="27" fillId="0" borderId="9" xfId="1" applyNumberFormat="1" applyFont="1" applyBorder="1"/>
    <xf numFmtId="245" fontId="27" fillId="0" borderId="13" xfId="1" applyNumberFormat="1" applyFont="1" applyBorder="1"/>
    <xf numFmtId="164" fontId="28" fillId="0" borderId="0" xfId="1" applyNumberFormat="1" applyFont="1"/>
    <xf numFmtId="244" fontId="27" fillId="0" borderId="0" xfId="2" applyNumberFormat="1" applyFont="1" applyBorder="1"/>
    <xf numFmtId="244" fontId="27" fillId="0" borderId="4" xfId="2" applyNumberFormat="1" applyFont="1" applyBorder="1"/>
    <xf numFmtId="245" fontId="27" fillId="0" borderId="0" xfId="2" applyNumberFormat="1" applyFont="1" applyBorder="1"/>
    <xf numFmtId="243" fontId="27" fillId="0" borderId="9" xfId="2" applyNumberFormat="1" applyFont="1" applyBorder="1"/>
    <xf numFmtId="240" fontId="27" fillId="0" borderId="0" xfId="2" applyNumberFormat="1" applyFont="1" applyBorder="1"/>
    <xf numFmtId="240" fontId="27" fillId="0" borderId="4" xfId="2" applyNumberFormat="1" applyFont="1" applyBorder="1"/>
    <xf numFmtId="240" fontId="27" fillId="0" borderId="0" xfId="2" applyNumberFormat="1" applyFont="1"/>
    <xf numFmtId="200" fontId="27" fillId="8" borderId="0" xfId="0" applyNumberFormat="1" applyFont="1" applyFill="1" applyBorder="1"/>
    <xf numFmtId="165" fontId="27" fillId="8" borderId="0" xfId="3" applyNumberFormat="1" applyFont="1" applyFill="1" applyBorder="1"/>
    <xf numFmtId="201" fontId="27" fillId="8" borderId="0" xfId="0" applyNumberFormat="1" applyFont="1" applyFill="1" applyBorder="1"/>
    <xf numFmtId="200" fontId="27" fillId="8" borderId="9" xfId="0" applyNumberFormat="1" applyFont="1" applyFill="1" applyBorder="1"/>
    <xf numFmtId="43" fontId="27" fillId="8" borderId="0" xfId="1" applyFont="1" applyFill="1" applyBorder="1"/>
    <xf numFmtId="246" fontId="27" fillId="0" borderId="0" xfId="0" applyNumberFormat="1" applyFont="1" applyBorder="1"/>
    <xf numFmtId="246" fontId="27" fillId="0" borderId="4" xfId="0" applyNumberFormat="1" applyFont="1" applyBorder="1"/>
    <xf numFmtId="0" fontId="27" fillId="0" borderId="3" xfId="0" applyFont="1" applyBorder="1" applyAlignment="1">
      <alignment horizontal="right"/>
    </xf>
    <xf numFmtId="200" fontId="27" fillId="0" borderId="7" xfId="2" applyNumberFormat="1" applyFont="1" applyBorder="1"/>
    <xf numFmtId="200" fontId="27" fillId="0" borderId="0" xfId="1" applyNumberFormat="1" applyFont="1" applyBorder="1"/>
    <xf numFmtId="0" fontId="27" fillId="0" borderId="4" xfId="0" applyFont="1" applyBorder="1" applyAlignment="1">
      <alignment horizontal="left" vertical="top" wrapText="1"/>
    </xf>
    <xf numFmtId="0" fontId="27" fillId="0" borderId="0" xfId="0" applyFont="1" applyAlignment="1">
      <alignment horizontal="left" vertical="top" wrapText="1"/>
    </xf>
    <xf numFmtId="0" fontId="42" fillId="0" borderId="3" xfId="0" applyFont="1" applyBorder="1" applyAlignment="1">
      <alignment horizontal="left" vertical="top" wrapText="1"/>
    </xf>
    <xf numFmtId="0" fontId="4" fillId="0" borderId="3" xfId="0" applyFont="1" applyBorder="1" applyAlignment="1">
      <alignment vertical="top" wrapText="1"/>
    </xf>
    <xf numFmtId="0" fontId="4" fillId="0" borderId="0" xfId="0" applyFont="1" applyBorder="1" applyAlignment="1">
      <alignment vertical="top" wrapText="1"/>
    </xf>
    <xf numFmtId="209" fontId="27" fillId="0" borderId="0" xfId="0" applyNumberFormat="1" applyFont="1"/>
    <xf numFmtId="209" fontId="27" fillId="0" borderId="0" xfId="0" applyNumberFormat="1" applyFont="1" applyBorder="1"/>
    <xf numFmtId="209" fontId="27" fillId="0" borderId="4" xfId="0" applyNumberFormat="1" applyFont="1" applyBorder="1"/>
    <xf numFmtId="165" fontId="27" fillId="0" borderId="18" xfId="3" applyNumberFormat="1" applyFont="1" applyBorder="1"/>
    <xf numFmtId="0" fontId="27" fillId="0" borderId="3"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Border="1" applyAlignment="1">
      <alignment wrapText="1"/>
    </xf>
    <xf numFmtId="37" fontId="27" fillId="0" borderId="0" xfId="0" applyNumberFormat="1" applyFont="1" applyFill="1" applyBorder="1"/>
    <xf numFmtId="37" fontId="27" fillId="0" borderId="9" xfId="0" applyNumberFormat="1" applyFont="1" applyFill="1" applyBorder="1"/>
    <xf numFmtId="37" fontId="27" fillId="0" borderId="0" xfId="0" applyNumberFormat="1" applyFont="1" applyBorder="1" applyAlignment="1">
      <alignment horizontal="right"/>
    </xf>
    <xf numFmtId="37" fontId="7" fillId="0" borderId="0" xfId="0" applyNumberFormat="1" applyFont="1" applyBorder="1"/>
    <xf numFmtId="0" fontId="27" fillId="0" borderId="3" xfId="0" applyFont="1" applyBorder="1" applyAlignment="1">
      <alignment horizontal="left"/>
    </xf>
    <xf numFmtId="37" fontId="27" fillId="0" borderId="13" xfId="0" applyNumberFormat="1" applyFont="1" applyFill="1" applyBorder="1"/>
    <xf numFmtId="37" fontId="27" fillId="0" borderId="4" xfId="0" applyNumberFormat="1" applyFont="1" applyFill="1" applyBorder="1"/>
    <xf numFmtId="0" fontId="27" fillId="21" borderId="3" xfId="0" applyFont="1" applyFill="1" applyBorder="1" applyAlignment="1">
      <alignment horizontal="right"/>
    </xf>
    <xf numFmtId="167" fontId="25" fillId="0" borderId="4" xfId="0" applyNumberFormat="1" applyFont="1" applyBorder="1"/>
    <xf numFmtId="167" fontId="25" fillId="0" borderId="14" xfId="0" applyNumberFormat="1" applyFont="1" applyBorder="1"/>
    <xf numFmtId="176" fontId="27" fillId="0" borderId="2" xfId="0" applyNumberFormat="1" applyFont="1" applyBorder="1"/>
    <xf numFmtId="177" fontId="27" fillId="0" borderId="4" xfId="0" applyNumberFormat="1" applyFont="1" applyBorder="1"/>
    <xf numFmtId="43" fontId="28" fillId="0" borderId="0" xfId="0" applyNumberFormat="1" applyFont="1"/>
    <xf numFmtId="164" fontId="25" fillId="0" borderId="0" xfId="0" applyNumberFormat="1" applyFont="1"/>
    <xf numFmtId="177" fontId="27" fillId="0" borderId="0" xfId="0" applyNumberFormat="1" applyFont="1"/>
    <xf numFmtId="191" fontId="27" fillId="0" borderId="4" xfId="0" applyNumberFormat="1" applyFont="1" applyBorder="1"/>
    <xf numFmtId="176" fontId="27" fillId="0" borderId="13" xfId="0" applyNumberFormat="1" applyFont="1" applyBorder="1"/>
    <xf numFmtId="0" fontId="27" fillId="27" borderId="3" xfId="0" applyFont="1" applyFill="1" applyBorder="1"/>
    <xf numFmtId="167" fontId="27" fillId="27" borderId="4" xfId="0" applyNumberFormat="1" applyFont="1" applyFill="1" applyBorder="1"/>
    <xf numFmtId="0" fontId="27" fillId="27" borderId="5" xfId="0" applyFont="1" applyFill="1" applyBorder="1"/>
    <xf numFmtId="44" fontId="27" fillId="27" borderId="6" xfId="0" applyNumberFormat="1" applyFont="1" applyFill="1" applyBorder="1"/>
    <xf numFmtId="0" fontId="32" fillId="21" borderId="40" xfId="0" applyFont="1" applyFill="1" applyBorder="1" applyAlignment="1">
      <alignment horizontal="right"/>
    </xf>
    <xf numFmtId="167" fontId="27" fillId="13" borderId="0" xfId="2" applyNumberFormat="1" applyFont="1" applyFill="1"/>
    <xf numFmtId="167" fontId="27" fillId="13" borderId="0" xfId="0" applyNumberFormat="1" applyFont="1" applyFill="1"/>
    <xf numFmtId="9" fontId="27" fillId="13" borderId="0" xfId="3" applyFont="1" applyFill="1"/>
    <xf numFmtId="165" fontId="27" fillId="13" borderId="0" xfId="3" applyNumberFormat="1" applyFont="1" applyFill="1"/>
    <xf numFmtId="0" fontId="25" fillId="0" borderId="15" xfId="0" applyFont="1" applyBorder="1"/>
    <xf numFmtId="9" fontId="27" fillId="0" borderId="8" xfId="3" applyFont="1" applyBorder="1"/>
    <xf numFmtId="9" fontId="27" fillId="0" borderId="33" xfId="3" applyFont="1" applyBorder="1"/>
    <xf numFmtId="9" fontId="27" fillId="21" borderId="14" xfId="3" applyFont="1" applyFill="1" applyBorder="1"/>
    <xf numFmtId="5" fontId="27" fillId="0" borderId="0" xfId="0" applyNumberFormat="1" applyFont="1" applyBorder="1"/>
    <xf numFmtId="5" fontId="27" fillId="21" borderId="41" xfId="0" applyNumberFormat="1" applyFont="1" applyFill="1" applyBorder="1"/>
    <xf numFmtId="5" fontId="27" fillId="0" borderId="8" xfId="0" applyNumberFormat="1" applyFont="1" applyBorder="1"/>
    <xf numFmtId="5" fontId="27" fillId="21" borderId="42" xfId="0" applyNumberFormat="1" applyFont="1" applyFill="1" applyBorder="1"/>
    <xf numFmtId="5" fontId="27" fillId="0" borderId="49" xfId="0" applyNumberFormat="1" applyFont="1" applyBorder="1"/>
    <xf numFmtId="5" fontId="27" fillId="0" borderId="4" xfId="0" applyNumberFormat="1" applyFont="1" applyBorder="1"/>
    <xf numFmtId="37" fontId="27" fillId="21" borderId="41" xfId="1" applyNumberFormat="1" applyFont="1" applyFill="1" applyBorder="1"/>
    <xf numFmtId="0" fontId="32" fillId="0" borderId="32" xfId="0" applyFont="1" applyBorder="1" applyAlignment="1">
      <alignment horizontal="right"/>
    </xf>
    <xf numFmtId="0" fontId="32" fillId="21" borderId="2" xfId="0" applyFont="1" applyFill="1" applyBorder="1" applyAlignment="1">
      <alignment horizontal="right"/>
    </xf>
    <xf numFmtId="0" fontId="48" fillId="0" borderId="1" xfId="0" applyFont="1" applyBorder="1"/>
    <xf numFmtId="167" fontId="27" fillId="0" borderId="15" xfId="2" applyNumberFormat="1" applyFont="1" applyBorder="1"/>
    <xf numFmtId="167" fontId="27" fillId="0" borderId="6" xfId="2" applyNumberFormat="1" applyFont="1" applyBorder="1"/>
    <xf numFmtId="246" fontId="27" fillId="0" borderId="0" xfId="2" applyNumberFormat="1" applyFont="1"/>
    <xf numFmtId="246" fontId="27" fillId="0" borderId="4" xfId="2" applyNumberFormat="1" applyFont="1" applyBorder="1"/>
    <xf numFmtId="246" fontId="27" fillId="0" borderId="4" xfId="1" applyNumberFormat="1" applyFont="1" applyBorder="1"/>
    <xf numFmtId="246" fontId="27" fillId="0" borderId="15" xfId="2" applyNumberFormat="1" applyFont="1" applyBorder="1"/>
    <xf numFmtId="246" fontId="27" fillId="0" borderId="15" xfId="0" applyNumberFormat="1" applyFont="1" applyBorder="1"/>
    <xf numFmtId="246" fontId="27" fillId="0" borderId="6" xfId="2" applyNumberFormat="1" applyFont="1" applyBorder="1"/>
    <xf numFmtId="0" fontId="30" fillId="0" borderId="0" xfId="0" applyFont="1" applyAlignment="1">
      <alignment horizontal="right"/>
    </xf>
    <xf numFmtId="0" fontId="30" fillId="0" borderId="4" xfId="0" applyFont="1" applyBorder="1" applyAlignment="1">
      <alignment horizontal="right"/>
    </xf>
    <xf numFmtId="0" fontId="50" fillId="0" borderId="3" xfId="0" applyFont="1" applyBorder="1" applyAlignment="1">
      <alignment horizontal="left" vertical="top" wrapText="1"/>
    </xf>
    <xf numFmtId="185" fontId="42" fillId="0" borderId="0" xfId="0" applyNumberFormat="1" applyFont="1" applyAlignment="1">
      <alignment horizontal="right" vertical="top" wrapText="1"/>
    </xf>
    <xf numFmtId="185" fontId="42" fillId="0" borderId="4" xfId="0" applyNumberFormat="1" applyFont="1" applyBorder="1" applyAlignment="1">
      <alignment horizontal="right" vertical="top" wrapText="1"/>
    </xf>
    <xf numFmtId="3" fontId="42" fillId="0" borderId="0" xfId="0" applyNumberFormat="1" applyFont="1" applyAlignment="1">
      <alignment horizontal="right" vertical="top" wrapText="1"/>
    </xf>
    <xf numFmtId="3" fontId="42" fillId="0" borderId="4" xfId="0" applyNumberFormat="1" applyFont="1" applyBorder="1" applyAlignment="1">
      <alignment horizontal="right" vertical="top" wrapText="1"/>
    </xf>
    <xf numFmtId="3" fontId="42" fillId="0" borderId="0" xfId="0" applyNumberFormat="1" applyFont="1" applyAlignment="1">
      <alignment horizontal="right" wrapText="1"/>
    </xf>
    <xf numFmtId="164" fontId="27" fillId="0" borderId="0" xfId="1" applyNumberFormat="1" applyFont="1" applyAlignment="1">
      <alignment horizontal="center"/>
    </xf>
    <xf numFmtId="164" fontId="27" fillId="0" borderId="4" xfId="1" applyNumberFormat="1" applyFont="1" applyBorder="1" applyAlignment="1">
      <alignment horizontal="center"/>
    </xf>
    <xf numFmtId="167" fontId="42" fillId="0" borderId="8" xfId="2" applyNumberFormat="1" applyFont="1" applyBorder="1" applyAlignment="1">
      <alignment horizontal="right" vertical="top" wrapText="1"/>
    </xf>
    <xf numFmtId="167" fontId="42" fillId="0" borderId="0" xfId="2" applyNumberFormat="1" applyFont="1" applyAlignment="1">
      <alignment horizontal="right" vertical="top" wrapText="1"/>
    </xf>
    <xf numFmtId="167" fontId="42" fillId="0" borderId="14" xfId="2" applyNumberFormat="1" applyFont="1" applyBorder="1" applyAlignment="1">
      <alignment horizontal="right" vertical="top" wrapText="1"/>
    </xf>
    <xf numFmtId="3" fontId="42" fillId="0" borderId="0" xfId="0" applyNumberFormat="1" applyFont="1" applyAlignment="1">
      <alignment horizontal="left" vertical="top" wrapText="1"/>
    </xf>
    <xf numFmtId="185" fontId="42" fillId="0" borderId="0" xfId="0" applyNumberFormat="1" applyFont="1" applyAlignment="1">
      <alignment horizontal="right" wrapText="1"/>
    </xf>
    <xf numFmtId="185" fontId="42" fillId="0" borderId="4" xfId="0" applyNumberFormat="1" applyFont="1" applyBorder="1" applyAlignment="1">
      <alignment horizontal="right" wrapText="1"/>
    </xf>
    <xf numFmtId="176" fontId="25" fillId="0" borderId="4" xfId="2" applyNumberFormat="1" applyFont="1" applyBorder="1"/>
    <xf numFmtId="176" fontId="27" fillId="11" borderId="4" xfId="2" applyNumberFormat="1" applyFont="1" applyFill="1" applyBorder="1"/>
    <xf numFmtId="176" fontId="27" fillId="0" borderId="0" xfId="0" applyNumberFormat="1" applyFont="1"/>
    <xf numFmtId="191" fontId="27" fillId="0" borderId="0" xfId="0" applyNumberFormat="1" applyFont="1"/>
    <xf numFmtId="176" fontId="27" fillId="0" borderId="9" xfId="0" applyNumberFormat="1" applyFont="1" applyBorder="1"/>
    <xf numFmtId="167" fontId="27" fillId="27" borderId="0" xfId="0" applyNumberFormat="1" applyFont="1" applyFill="1"/>
    <xf numFmtId="44" fontId="27" fillId="27" borderId="0" xfId="0" applyNumberFormat="1" applyFont="1" applyFill="1"/>
    <xf numFmtId="176" fontId="25" fillId="0" borderId="0" xfId="2" applyNumberFormat="1" applyFont="1" applyBorder="1"/>
    <xf numFmtId="176" fontId="27" fillId="11" borderId="0" xfId="2" applyNumberFormat="1" applyFont="1" applyFill="1" applyBorder="1"/>
    <xf numFmtId="1" fontId="32" fillId="0" borderId="18" xfId="0" applyNumberFormat="1" applyFont="1" applyBorder="1"/>
    <xf numFmtId="1" fontId="32" fillId="0" borderId="2" xfId="0" applyNumberFormat="1" applyFont="1" applyBorder="1"/>
    <xf numFmtId="247" fontId="27" fillId="0" borderId="0" xfId="2" applyNumberFormat="1" applyFont="1" applyBorder="1"/>
    <xf numFmtId="247" fontId="27" fillId="0" borderId="4" xfId="2" applyNumberFormat="1" applyFont="1" applyBorder="1"/>
    <xf numFmtId="247" fontId="27" fillId="0" borderId="4" xfId="1" applyNumberFormat="1" applyFont="1" applyBorder="1"/>
    <xf numFmtId="248" fontId="27" fillId="0" borderId="0" xfId="1" applyNumberFormat="1" applyFont="1" applyBorder="1"/>
    <xf numFmtId="248" fontId="27" fillId="0" borderId="4" xfId="1" applyNumberFormat="1" applyFont="1" applyBorder="1"/>
    <xf numFmtId="247" fontId="27" fillId="0" borderId="8" xfId="2" applyNumberFormat="1" applyFont="1" applyBorder="1"/>
    <xf numFmtId="247" fontId="27" fillId="0" borderId="14" xfId="2" applyNumberFormat="1" applyFont="1" applyBorder="1"/>
    <xf numFmtId="44" fontId="27" fillId="21" borderId="3" xfId="2" applyFont="1" applyFill="1" applyBorder="1"/>
    <xf numFmtId="209" fontId="32" fillId="0" borderId="4" xfId="0" applyNumberFormat="1" applyFont="1" applyBorder="1"/>
    <xf numFmtId="176" fontId="27" fillId="13" borderId="4" xfId="2" applyNumberFormat="1" applyFont="1" applyFill="1" applyBorder="1"/>
    <xf numFmtId="177" fontId="27" fillId="0" borderId="6" xfId="1" applyNumberFormat="1" applyFont="1" applyBorder="1"/>
    <xf numFmtId="5" fontId="27" fillId="0" borderId="4" xfId="2" applyNumberFormat="1" applyFont="1" applyBorder="1"/>
    <xf numFmtId="5" fontId="27" fillId="0" borderId="4" xfId="1" applyNumberFormat="1" applyFont="1" applyBorder="1"/>
    <xf numFmtId="5" fontId="27" fillId="0" borderId="14" xfId="2" applyNumberFormat="1" applyFont="1" applyBorder="1"/>
    <xf numFmtId="5" fontId="27" fillId="0" borderId="10" xfId="1" applyNumberFormat="1" applyFont="1" applyBorder="1"/>
    <xf numFmtId="5" fontId="27" fillId="0" borderId="17" xfId="1" applyNumberFormat="1" applyFont="1" applyBorder="1"/>
    <xf numFmtId="248" fontId="27" fillId="0" borderId="9" xfId="1" applyNumberFormat="1" applyFont="1" applyBorder="1"/>
    <xf numFmtId="248" fontId="27" fillId="0" borderId="13" xfId="1" applyNumberFormat="1" applyFont="1" applyBorder="1"/>
    <xf numFmtId="248" fontId="27" fillId="0" borderId="10" xfId="1" applyNumberFormat="1" applyFont="1" applyBorder="1"/>
    <xf numFmtId="248" fontId="27" fillId="0" borderId="17" xfId="1" applyNumberFormat="1" applyFont="1" applyBorder="1"/>
    <xf numFmtId="177" fontId="27" fillId="21" borderId="0" xfId="1" applyNumberFormat="1" applyFont="1" applyFill="1" applyBorder="1"/>
    <xf numFmtId="177" fontId="27" fillId="21" borderId="4" xfId="1" applyNumberFormat="1" applyFont="1" applyFill="1" applyBorder="1"/>
    <xf numFmtId="177" fontId="4" fillId="0" borderId="0" xfId="1" applyNumberFormat="1" applyFont="1" applyBorder="1"/>
    <xf numFmtId="5" fontId="27" fillId="0" borderId="7" xfId="2" applyNumberFormat="1" applyFont="1" applyBorder="1"/>
    <xf numFmtId="5" fontId="27" fillId="0" borderId="16" xfId="2" applyNumberFormat="1" applyFont="1" applyBorder="1"/>
    <xf numFmtId="5" fontId="27" fillId="0" borderId="0" xfId="1" applyNumberFormat="1" applyFont="1"/>
    <xf numFmtId="37" fontId="27" fillId="0" borderId="10" xfId="1" applyNumberFormat="1" applyFont="1" applyBorder="1"/>
    <xf numFmtId="37" fontId="27" fillId="0" borderId="17" xfId="1" applyNumberFormat="1" applyFont="1" applyBorder="1"/>
    <xf numFmtId="37" fontId="27" fillId="0" borderId="9" xfId="1" applyNumberFormat="1" applyFont="1" applyBorder="1"/>
    <xf numFmtId="37" fontId="27" fillId="0" borderId="13" xfId="1" applyNumberFormat="1" applyFont="1" applyBorder="1"/>
    <xf numFmtId="0" fontId="4" fillId="0" borderId="4" xfId="0" applyFont="1" applyBorder="1" applyAlignment="1">
      <alignment vertical="top" wrapText="1"/>
    </xf>
    <xf numFmtId="0" fontId="32" fillId="0" borderId="3" xfId="0" applyFont="1" applyBorder="1" applyAlignment="1">
      <alignment wrapText="1"/>
    </xf>
    <xf numFmtId="0" fontId="32" fillId="0" borderId="0" xfId="0" applyFont="1" applyAlignment="1">
      <alignment horizontal="center" wrapText="1"/>
    </xf>
    <xf numFmtId="0" fontId="27" fillId="0" borderId="0" xfId="0" applyFont="1" applyAlignment="1">
      <alignment horizontal="center" wrapText="1"/>
    </xf>
    <xf numFmtId="0" fontId="27" fillId="0" borderId="4" xfId="0" applyFont="1" applyBorder="1" applyAlignment="1">
      <alignment horizontal="center" wrapText="1"/>
    </xf>
    <xf numFmtId="0" fontId="27" fillId="0" borderId="0" xfId="0" applyFont="1" applyAlignment="1">
      <alignment wrapText="1"/>
    </xf>
    <xf numFmtId="0" fontId="32" fillId="0" borderId="0" xfId="0" applyFont="1" applyAlignment="1">
      <alignment wrapText="1"/>
    </xf>
    <xf numFmtId="0" fontId="27" fillId="0" borderId="4" xfId="0" applyFont="1" applyBorder="1" applyAlignment="1">
      <alignment wrapText="1"/>
    </xf>
    <xf numFmtId="0" fontId="32" fillId="0" borderId="4" xfId="0" applyFont="1" applyBorder="1" applyAlignment="1">
      <alignment wrapText="1"/>
    </xf>
    <xf numFmtId="165" fontId="27" fillId="7" borderId="4" xfId="3" applyNumberFormat="1" applyFont="1" applyFill="1" applyBorder="1"/>
    <xf numFmtId="165" fontId="27" fillId="0" borderId="0" xfId="3" applyNumberFormat="1" applyFont="1" applyAlignment="1">
      <alignment horizontal="right"/>
    </xf>
    <xf numFmtId="176" fontId="27" fillId="0" borderId="6" xfId="2" applyNumberFormat="1" applyFont="1" applyBorder="1"/>
    <xf numFmtId="0" fontId="29" fillId="0" borderId="15" xfId="0" applyFont="1" applyBorder="1"/>
    <xf numFmtId="43" fontId="27" fillId="0" borderId="6" xfId="1" applyFont="1" applyBorder="1"/>
    <xf numFmtId="247" fontId="27" fillId="0" borderId="0" xfId="2" applyNumberFormat="1" applyFont="1"/>
    <xf numFmtId="247" fontId="27" fillId="0" borderId="0" xfId="1" applyNumberFormat="1" applyFont="1"/>
    <xf numFmtId="167" fontId="27" fillId="21" borderId="0" xfId="2" applyNumberFormat="1" applyFont="1" applyFill="1"/>
    <xf numFmtId="176" fontId="27" fillId="21" borderId="0" xfId="2" applyNumberFormat="1" applyFont="1" applyFill="1"/>
    <xf numFmtId="176" fontId="27" fillId="21" borderId="4" xfId="2" applyNumberFormat="1" applyFont="1" applyFill="1" applyBorder="1"/>
    <xf numFmtId="176" fontId="4" fillId="0" borderId="0" xfId="2" applyNumberFormat="1" applyFont="1" applyBorder="1"/>
    <xf numFmtId="246" fontId="27" fillId="0" borderId="9" xfId="1" applyNumberFormat="1" applyFont="1" applyBorder="1"/>
    <xf numFmtId="246" fontId="27" fillId="0" borderId="13" xfId="1" applyNumberFormat="1" applyFont="1" applyBorder="1"/>
    <xf numFmtId="246" fontId="27" fillId="0" borderId="8" xfId="2" applyNumberFormat="1" applyFont="1" applyBorder="1"/>
    <xf numFmtId="246" fontId="27" fillId="0" borderId="14" xfId="2" applyNumberFormat="1" applyFont="1" applyBorder="1"/>
    <xf numFmtId="246" fontId="27" fillId="0" borderId="0" xfId="2" applyNumberFormat="1" applyFont="1" applyBorder="1"/>
    <xf numFmtId="246" fontId="27" fillId="0" borderId="0" xfId="1" applyNumberFormat="1" applyFont="1" applyBorder="1"/>
    <xf numFmtId="165" fontId="27" fillId="21" borderId="4" xfId="3" applyNumberFormat="1" applyFont="1" applyFill="1" applyBorder="1"/>
    <xf numFmtId="0" fontId="48" fillId="0" borderId="0" xfId="0" applyFont="1" applyFill="1"/>
    <xf numFmtId="37" fontId="27" fillId="0" borderId="9" xfId="2" applyNumberFormat="1" applyFont="1" applyBorder="1"/>
    <xf numFmtId="37" fontId="27" fillId="0" borderId="13" xfId="2" applyNumberFormat="1" applyFont="1" applyBorder="1"/>
    <xf numFmtId="249" fontId="27" fillId="0" borderId="0" xfId="1" applyNumberFormat="1" applyFont="1" applyBorder="1"/>
    <xf numFmtId="249" fontId="27" fillId="0" borderId="4" xfId="1" applyNumberFormat="1" applyFont="1" applyBorder="1"/>
    <xf numFmtId="249" fontId="28" fillId="0" borderId="0" xfId="1" applyNumberFormat="1" applyFont="1" applyBorder="1"/>
    <xf numFmtId="249" fontId="28" fillId="0" borderId="4" xfId="1" applyNumberFormat="1" applyFont="1" applyBorder="1"/>
    <xf numFmtId="249" fontId="27" fillId="0" borderId="9" xfId="1" applyNumberFormat="1" applyFont="1" applyBorder="1"/>
    <xf numFmtId="249" fontId="27" fillId="0" borderId="13" xfId="1" applyNumberFormat="1" applyFont="1" applyBorder="1"/>
    <xf numFmtId="5" fontId="27" fillId="21" borderId="0" xfId="0" applyNumberFormat="1" applyFont="1" applyFill="1" applyBorder="1"/>
    <xf numFmtId="5" fontId="27" fillId="21" borderId="4" xfId="0" applyNumberFormat="1" applyFont="1" applyFill="1" applyBorder="1"/>
    <xf numFmtId="37" fontId="42" fillId="0" borderId="10" xfId="1" applyNumberFormat="1" applyFont="1" applyBorder="1"/>
    <xf numFmtId="37" fontId="42" fillId="0" borderId="17" xfId="1" applyNumberFormat="1" applyFont="1" applyBorder="1"/>
    <xf numFmtId="37" fontId="27" fillId="0" borderId="4" xfId="0" applyNumberFormat="1" applyFont="1" applyBorder="1" applyAlignment="1">
      <alignment horizontal="right"/>
    </xf>
    <xf numFmtId="37" fontId="27" fillId="0" borderId="0" xfId="0" applyNumberFormat="1" applyFont="1" applyBorder="1" applyAlignment="1">
      <alignment horizontal="right" wrapText="1"/>
    </xf>
    <xf numFmtId="37" fontId="27" fillId="0" borderId="4" xfId="0" applyNumberFormat="1" applyFont="1" applyBorder="1" applyAlignment="1">
      <alignment horizontal="right" wrapText="1"/>
    </xf>
    <xf numFmtId="37" fontId="27" fillId="0" borderId="9" xfId="0" applyNumberFormat="1" applyFont="1" applyFill="1" applyBorder="1" applyAlignment="1">
      <alignment horizontal="right"/>
    </xf>
    <xf numFmtId="37" fontId="27" fillId="0" borderId="13" xfId="0" applyNumberFormat="1" applyFont="1" applyFill="1" applyBorder="1" applyAlignment="1">
      <alignment horizontal="right"/>
    </xf>
    <xf numFmtId="0" fontId="27" fillId="21" borderId="3" xfId="0" applyFont="1" applyFill="1" applyBorder="1" applyAlignment="1">
      <alignment horizontal="center" vertical="center" wrapText="1"/>
    </xf>
    <xf numFmtId="0" fontId="27" fillId="21" borderId="0" xfId="0" applyFont="1" applyFill="1" applyBorder="1" applyAlignment="1">
      <alignment horizontal="center" vertical="center" wrapText="1"/>
    </xf>
    <xf numFmtId="0" fontId="27" fillId="21" borderId="4" xfId="0" applyFont="1" applyFill="1" applyBorder="1" applyAlignment="1">
      <alignment horizontal="center" vertical="center" wrapText="1"/>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32" fillId="21" borderId="0" xfId="0" applyFont="1" applyFill="1" applyBorder="1"/>
    <xf numFmtId="225" fontId="27" fillId="0" borderId="4" xfId="0" applyNumberFormat="1" applyFont="1" applyBorder="1"/>
    <xf numFmtId="223" fontId="27" fillId="0" borderId="3" xfId="0" applyNumberFormat="1" applyFont="1" applyBorder="1"/>
    <xf numFmtId="223" fontId="27" fillId="0" borderId="14" xfId="0" applyNumberFormat="1" applyFont="1" applyBorder="1"/>
    <xf numFmtId="223" fontId="27" fillId="0" borderId="5" xfId="0" applyNumberFormat="1" applyFont="1" applyBorder="1"/>
    <xf numFmtId="223" fontId="27" fillId="0" borderId="6" xfId="0" applyNumberFormat="1" applyFont="1" applyBorder="1"/>
    <xf numFmtId="0" fontId="28" fillId="27" borderId="0" xfId="0" applyFont="1" applyFill="1"/>
    <xf numFmtId="223" fontId="27" fillId="0" borderId="0" xfId="0" applyNumberFormat="1" applyFont="1" applyBorder="1"/>
    <xf numFmtId="223" fontId="27" fillId="0" borderId="4" xfId="0" applyNumberFormat="1" applyFont="1" applyBorder="1"/>
    <xf numFmtId="223" fontId="27" fillId="21" borderId="4" xfId="0" applyNumberFormat="1" applyFont="1" applyFill="1" applyBorder="1"/>
    <xf numFmtId="37" fontId="27" fillId="21" borderId="4" xfId="1" applyNumberFormat="1" applyFont="1" applyFill="1" applyBorder="1"/>
    <xf numFmtId="164" fontId="28" fillId="27" borderId="0" xfId="0" applyNumberFormat="1" applyFont="1" applyFill="1"/>
    <xf numFmtId="223" fontId="27" fillId="0" borderId="8" xfId="0" applyNumberFormat="1" applyFont="1" applyBorder="1"/>
    <xf numFmtId="223" fontId="27" fillId="21" borderId="14" xfId="0" applyNumberFormat="1" applyFont="1" applyFill="1" applyBorder="1"/>
    <xf numFmtId="223" fontId="27" fillId="0" borderId="15" xfId="0" applyNumberFormat="1" applyFont="1" applyBorder="1"/>
    <xf numFmtId="223" fontId="27" fillId="0" borderId="0" xfId="0" applyNumberFormat="1" applyFont="1"/>
    <xf numFmtId="0" fontId="4"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32" fillId="0" borderId="18" xfId="0" applyFont="1" applyBorder="1" applyAlignment="1">
      <alignment horizontal="center"/>
    </xf>
    <xf numFmtId="0" fontId="27" fillId="0" borderId="0" xfId="0" applyFont="1" applyBorder="1" applyAlignment="1">
      <alignment horizontal="center"/>
    </xf>
    <xf numFmtId="0" fontId="25" fillId="0" borderId="2" xfId="0" applyFont="1" applyBorder="1" applyAlignment="1">
      <alignment horizontal="center"/>
    </xf>
    <xf numFmtId="167" fontId="27" fillId="0" borderId="27" xfId="2" applyNumberFormat="1" applyFont="1" applyBorder="1"/>
    <xf numFmtId="164" fontId="27" fillId="0" borderId="28" xfId="1" applyNumberFormat="1" applyFont="1" applyBorder="1"/>
    <xf numFmtId="167" fontId="27" fillId="0" borderId="8" xfId="2" applyNumberFormat="1" applyFont="1" applyBorder="1"/>
    <xf numFmtId="164" fontId="27" fillId="0" borderId="0" xfId="1" applyNumberFormat="1" applyFont="1" applyAlignment="1">
      <alignment horizontal="right"/>
    </xf>
    <xf numFmtId="0" fontId="27" fillId="27" borderId="4" xfId="0" applyFont="1" applyFill="1" applyBorder="1"/>
    <xf numFmtId="200" fontId="27" fillId="0" borderId="9" xfId="2" applyNumberFormat="1" applyFont="1" applyBorder="1"/>
    <xf numFmtId="164" fontId="27" fillId="0" borderId="0" xfId="0" applyNumberFormat="1" applyFont="1" applyFill="1"/>
    <xf numFmtId="165" fontId="27" fillId="0" borderId="0" xfId="3" applyNumberFormat="1" applyFont="1" applyFill="1"/>
    <xf numFmtId="164" fontId="4" fillId="0" borderId="15" xfId="0" applyNumberFormat="1" applyFont="1" applyFill="1" applyBorder="1"/>
    <xf numFmtId="164" fontId="4" fillId="0" borderId="15" xfId="1" applyNumberFormat="1" applyFont="1" applyFill="1" applyBorder="1"/>
    <xf numFmtId="164" fontId="4" fillId="0" borderId="6" xfId="1" applyNumberFormat="1" applyFont="1" applyFill="1" applyBorder="1"/>
    <xf numFmtId="164" fontId="4" fillId="0" borderId="0" xfId="0" applyNumberFormat="1" applyFont="1" applyFill="1"/>
    <xf numFmtId="165" fontId="27" fillId="7" borderId="0" xfId="3" applyNumberFormat="1" applyFont="1" applyFill="1" applyBorder="1"/>
    <xf numFmtId="200" fontId="27" fillId="27" borderId="0" xfId="2" applyNumberFormat="1" applyFont="1" applyFill="1" applyBorder="1"/>
    <xf numFmtId="0" fontId="27" fillId="27" borderId="0" xfId="0" applyFont="1" applyFill="1" applyBorder="1"/>
    <xf numFmtId="167" fontId="27" fillId="27" borderId="0" xfId="2" applyNumberFormat="1" applyFont="1" applyFill="1" applyBorder="1"/>
    <xf numFmtId="201" fontId="27" fillId="0" borderId="0" xfId="2" applyNumberFormat="1" applyFont="1" applyFill="1" applyBorder="1"/>
    <xf numFmtId="5" fontId="27" fillId="0" borderId="0" xfId="3" applyNumberFormat="1" applyFont="1" applyBorder="1"/>
    <xf numFmtId="5" fontId="27" fillId="7" borderId="0" xfId="2" applyNumberFormat="1" applyFont="1" applyFill="1" applyBorder="1"/>
    <xf numFmtId="5" fontId="27" fillId="7" borderId="0" xfId="3" applyNumberFormat="1" applyFont="1" applyFill="1" applyBorder="1"/>
    <xf numFmtId="5" fontId="27" fillId="0" borderId="0" xfId="3" applyNumberFormat="1" applyFont="1" applyBorder="1" applyAlignment="1">
      <alignment horizontal="right"/>
    </xf>
    <xf numFmtId="5" fontId="27" fillId="7" borderId="0" xfId="1" applyNumberFormat="1" applyFont="1" applyFill="1" applyBorder="1"/>
    <xf numFmtId="5" fontId="27" fillId="0" borderId="9" xfId="3" applyNumberFormat="1" applyFont="1" applyBorder="1"/>
    <xf numFmtId="167" fontId="28" fillId="0" borderId="0" xfId="2" applyNumberFormat="1" applyFont="1"/>
    <xf numFmtId="250" fontId="27" fillId="0" borderId="4" xfId="2" applyNumberFormat="1" applyFont="1" applyBorder="1"/>
    <xf numFmtId="250" fontId="28" fillId="0" borderId="4" xfId="2" applyNumberFormat="1" applyFont="1" applyBorder="1"/>
    <xf numFmtId="0" fontId="32" fillId="15" borderId="2" xfId="0" applyFont="1" applyFill="1" applyBorder="1" applyAlignment="1">
      <alignment horizontal="right"/>
    </xf>
    <xf numFmtId="200" fontId="27" fillId="15" borderId="4" xfId="0" applyNumberFormat="1" applyFont="1" applyFill="1" applyBorder="1"/>
    <xf numFmtId="164" fontId="27" fillId="15" borderId="4" xfId="0" applyNumberFormat="1" applyFont="1" applyFill="1" applyBorder="1"/>
    <xf numFmtId="200" fontId="27" fillId="15" borderId="14" xfId="0" applyNumberFormat="1" applyFont="1" applyFill="1" applyBorder="1"/>
    <xf numFmtId="0" fontId="32" fillId="21" borderId="46" xfId="0" applyFont="1" applyFill="1" applyBorder="1" applyAlignment="1">
      <alignment horizontal="right"/>
    </xf>
    <xf numFmtId="223" fontId="27" fillId="21" borderId="47" xfId="0" applyNumberFormat="1" applyFont="1" applyFill="1" applyBorder="1"/>
    <xf numFmtId="37" fontId="27" fillId="21" borderId="47" xfId="1" applyNumberFormat="1" applyFont="1" applyFill="1" applyBorder="1"/>
    <xf numFmtId="223" fontId="27" fillId="21" borderId="48" xfId="0" applyNumberFormat="1" applyFont="1" applyFill="1" applyBorder="1"/>
    <xf numFmtId="0" fontId="27" fillId="0" borderId="44" xfId="0" applyFont="1" applyBorder="1"/>
    <xf numFmtId="0" fontId="28" fillId="0" borderId="0" xfId="0" applyFont="1" applyBorder="1" applyAlignment="1">
      <alignment vertical="top" wrapText="1"/>
    </xf>
    <xf numFmtId="0" fontId="28" fillId="0" borderId="0" xfId="0" applyFont="1" applyBorder="1" applyAlignment="1">
      <alignment horizontal="left" vertical="top" wrapText="1"/>
    </xf>
    <xf numFmtId="0" fontId="27" fillId="0" borderId="45" xfId="0" applyFont="1" applyBorder="1"/>
    <xf numFmtId="181" fontId="25" fillId="0" borderId="27" xfId="2" applyNumberFormat="1" applyFont="1" applyBorder="1"/>
    <xf numFmtId="5" fontId="27" fillId="13" borderId="0" xfId="0" applyNumberFormat="1" applyFont="1" applyFill="1"/>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16" fillId="0" borderId="3" xfId="0" applyFont="1" applyBorder="1" applyAlignment="1">
      <alignment horizontal="left" vertical="top" wrapText="1"/>
    </xf>
    <xf numFmtId="0" fontId="4" fillId="0" borderId="0" xfId="0" applyFont="1" applyAlignment="1">
      <alignment horizontal="left" vertical="top" wrapText="1"/>
    </xf>
    <xf numFmtId="0" fontId="16" fillId="0" borderId="0" xfId="0" applyFont="1" applyAlignment="1">
      <alignment horizontal="left" vertical="top" wrapText="1"/>
    </xf>
    <xf numFmtId="9" fontId="27" fillId="0" borderId="4" xfId="3" applyFont="1" applyFill="1" applyBorder="1"/>
    <xf numFmtId="200" fontId="42" fillId="0" borderId="27" xfId="2" applyNumberFormat="1" applyFont="1" applyBorder="1" applyAlignment="1">
      <alignment horizontal="right" vertical="top" wrapText="1"/>
    </xf>
    <xf numFmtId="200" fontId="42" fillId="0" borderId="0" xfId="2" applyNumberFormat="1" applyFont="1" applyAlignment="1">
      <alignment horizontal="right" vertical="top" wrapText="1"/>
    </xf>
    <xf numFmtId="200" fontId="42" fillId="0" borderId="31" xfId="2" applyNumberFormat="1" applyFont="1" applyBorder="1" applyAlignment="1">
      <alignment horizontal="right" vertical="top" wrapText="1"/>
    </xf>
    <xf numFmtId="200" fontId="27" fillId="0" borderId="0" xfId="1" applyNumberFormat="1" applyFont="1"/>
    <xf numFmtId="200" fontId="42" fillId="0" borderId="0" xfId="0" applyNumberFormat="1" applyFont="1" applyAlignment="1">
      <alignment horizontal="right" vertical="top" wrapText="1"/>
    </xf>
    <xf numFmtId="200" fontId="27" fillId="0" borderId="4" xfId="1" applyNumberFormat="1" applyFont="1" applyBorder="1"/>
    <xf numFmtId="200" fontId="42" fillId="0" borderId="8" xfId="2" applyNumberFormat="1" applyFont="1" applyBorder="1" applyAlignment="1">
      <alignment horizontal="right" vertical="top" wrapText="1"/>
    </xf>
    <xf numFmtId="200" fontId="42" fillId="0" borderId="14" xfId="2" applyNumberFormat="1" applyFont="1" applyBorder="1" applyAlignment="1">
      <alignment horizontal="right" vertical="top" wrapText="1"/>
    </xf>
    <xf numFmtId="10" fontId="27" fillId="0" borderId="0" xfId="0" applyNumberFormat="1" applyFont="1"/>
    <xf numFmtId="9" fontId="27" fillId="0" borderId="0" xfId="0" applyNumberFormat="1" applyFont="1"/>
    <xf numFmtId="186" fontId="27" fillId="0" borderId="0" xfId="0" applyNumberFormat="1" applyFont="1"/>
    <xf numFmtId="201" fontId="27" fillId="0" borderId="0" xfId="0" applyNumberFormat="1" applyFont="1"/>
    <xf numFmtId="0" fontId="25" fillId="27" borderId="0" xfId="0" applyFont="1" applyFill="1"/>
    <xf numFmtId="201" fontId="27" fillId="0" borderId="4" xfId="0" applyNumberFormat="1" applyFont="1" applyBorder="1"/>
    <xf numFmtId="0" fontId="7" fillId="0" borderId="0" xfId="0" applyFont="1" applyFill="1" applyBorder="1" applyAlignment="1">
      <alignment horizontal="left" vertical="top" wrapText="1"/>
    </xf>
    <xf numFmtId="0" fontId="42" fillId="0" borderId="0" xfId="0" applyFont="1" applyFill="1"/>
    <xf numFmtId="0" fontId="4" fillId="0" borderId="0" xfId="0" applyFont="1" applyFill="1" applyBorder="1"/>
    <xf numFmtId="0" fontId="4" fillId="0" borderId="4" xfId="0" applyFont="1" applyFill="1" applyBorder="1"/>
    <xf numFmtId="200" fontId="27" fillId="21" borderId="0" xfId="0" applyNumberFormat="1" applyFont="1" applyFill="1" applyBorder="1"/>
    <xf numFmtId="37" fontId="27" fillId="0" borderId="9" xfId="0" applyNumberFormat="1" applyFont="1" applyBorder="1"/>
    <xf numFmtId="5" fontId="27" fillId="0" borderId="9" xfId="0" applyNumberFormat="1" applyFont="1" applyBorder="1"/>
    <xf numFmtId="0" fontId="25" fillId="13" borderId="0" xfId="0" applyFont="1" applyFill="1"/>
    <xf numFmtId="37" fontId="27" fillId="7" borderId="0" xfId="0" applyNumberFormat="1" applyFont="1" applyFill="1" applyBorder="1"/>
    <xf numFmtId="37" fontId="27" fillId="7" borderId="4" xfId="0" applyNumberFormat="1" applyFont="1" applyFill="1" applyBorder="1"/>
    <xf numFmtId="37" fontId="27" fillId="0" borderId="13" xfId="0" applyNumberFormat="1" applyFont="1" applyBorder="1"/>
    <xf numFmtId="5" fontId="27" fillId="0" borderId="13" xfId="0" applyNumberFormat="1" applyFont="1" applyBorder="1"/>
    <xf numFmtId="0" fontId="28" fillId="0" borderId="15" xfId="0" applyFont="1" applyBorder="1"/>
    <xf numFmtId="0" fontId="28" fillId="0" borderId="6" xfId="0" applyFont="1" applyBorder="1"/>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4"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27" fillId="0" borderId="0" xfId="0" applyFont="1" applyAlignment="1">
      <alignment horizontal="left" vertical="top" wrapText="1"/>
    </xf>
    <xf numFmtId="0" fontId="42" fillId="0" borderId="3"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wrapText="1"/>
    </xf>
    <xf numFmtId="0" fontId="27" fillId="0" borderId="0" xfId="0" applyFont="1" applyBorder="1" applyAlignment="1">
      <alignment horizontal="center"/>
    </xf>
    <xf numFmtId="0" fontId="25" fillId="0" borderId="2" xfId="0" applyFont="1" applyBorder="1" applyAlignment="1">
      <alignment horizontal="center"/>
    </xf>
    <xf numFmtId="44" fontId="27" fillId="21" borderId="0" xfId="2" applyFont="1" applyFill="1" applyBorder="1"/>
    <xf numFmtId="247" fontId="27" fillId="0" borderId="0" xfId="0" applyNumberFormat="1" applyFont="1"/>
    <xf numFmtId="1" fontId="27" fillId="0" borderId="0" xfId="0" applyNumberFormat="1" applyFont="1"/>
    <xf numFmtId="10" fontId="27" fillId="8" borderId="0" xfId="3" applyNumberFormat="1" applyFont="1" applyFill="1"/>
    <xf numFmtId="0" fontId="4" fillId="0" borderId="1" xfId="0" applyFont="1" applyFill="1" applyBorder="1"/>
    <xf numFmtId="0" fontId="6" fillId="0" borderId="18" xfId="0" applyFont="1" applyFill="1" applyBorder="1" applyAlignment="1">
      <alignment horizontal="left"/>
    </xf>
    <xf numFmtId="0" fontId="4" fillId="0" borderId="3" xfId="0" applyFont="1" applyFill="1" applyBorder="1" applyAlignment="1">
      <alignment vertical="top"/>
    </xf>
    <xf numFmtId="0" fontId="18"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6" fontId="4" fillId="0" borderId="0" xfId="0" applyNumberFormat="1" applyFont="1" applyFill="1" applyBorder="1" applyAlignment="1">
      <alignment horizontal="left"/>
    </xf>
    <xf numFmtId="8" fontId="4" fillId="0" borderId="0" xfId="0" applyNumberFormat="1" applyFont="1" applyFill="1" applyBorder="1" applyAlignment="1">
      <alignment horizontal="left"/>
    </xf>
    <xf numFmtId="0" fontId="7" fillId="0" borderId="3" xfId="0" applyFont="1" applyFill="1" applyBorder="1"/>
    <xf numFmtId="0" fontId="6" fillId="0" borderId="2" xfId="0" applyFont="1" applyFill="1" applyBorder="1" applyAlignment="1">
      <alignment horizontal="left"/>
    </xf>
    <xf numFmtId="0" fontId="8" fillId="0" borderId="4" xfId="0" applyFont="1" applyFill="1" applyBorder="1" applyAlignment="1">
      <alignment horizontal="left" vertical="top" wrapText="1"/>
    </xf>
    <xf numFmtId="6" fontId="4" fillId="0" borderId="4" xfId="0" applyNumberFormat="1" applyFont="1" applyFill="1" applyBorder="1" applyAlignment="1">
      <alignment horizontal="left"/>
    </xf>
    <xf numFmtId="8" fontId="4" fillId="0" borderId="4" xfId="0" applyNumberFormat="1" applyFont="1" applyFill="1" applyBorder="1" applyAlignment="1">
      <alignment horizontal="left"/>
    </xf>
    <xf numFmtId="0" fontId="18" fillId="0" borderId="4" xfId="0" applyFont="1" applyFill="1" applyBorder="1" applyAlignment="1">
      <alignment horizontal="left" vertical="top" wrapText="1"/>
    </xf>
    <xf numFmtId="0" fontId="4" fillId="0" borderId="15" xfId="0" applyFont="1" applyFill="1" applyBorder="1"/>
    <xf numFmtId="0" fontId="4" fillId="0" borderId="6" xfId="0" applyFont="1" applyFill="1" applyBorder="1"/>
    <xf numFmtId="15" fontId="4" fillId="0" borderId="0" xfId="0" applyNumberFormat="1" applyFont="1" applyFill="1"/>
    <xf numFmtId="247" fontId="27" fillId="23" borderId="0" xfId="0" applyNumberFormat="1" applyFont="1" applyFill="1"/>
    <xf numFmtId="37" fontId="27" fillId="23" borderId="0" xfId="0" applyNumberFormat="1" applyFont="1" applyFill="1"/>
    <xf numFmtId="44" fontId="27" fillId="0" borderId="0" xfId="0" applyNumberFormat="1" applyFont="1" applyFill="1" applyBorder="1"/>
    <xf numFmtId="0" fontId="30" fillId="0" borderId="0" xfId="0" applyFont="1" applyBorder="1" applyAlignment="1">
      <alignment horizontal="right"/>
    </xf>
    <xf numFmtId="1" fontId="50" fillId="0" borderId="18" xfId="0" applyNumberFormat="1" applyFont="1" applyBorder="1" applyAlignment="1">
      <alignment horizontal="right" vertical="top" wrapText="1" indent="1"/>
    </xf>
    <xf numFmtId="1" fontId="50" fillId="0" borderId="2" xfId="0" applyNumberFormat="1" applyFont="1" applyBorder="1" applyAlignment="1">
      <alignment horizontal="right" vertical="top" wrapText="1" indent="1"/>
    </xf>
    <xf numFmtId="3" fontId="42" fillId="0" borderId="4" xfId="0" applyNumberFormat="1" applyFont="1" applyBorder="1" applyAlignment="1">
      <alignment horizontal="right" wrapText="1"/>
    </xf>
    <xf numFmtId="164" fontId="42" fillId="0" borderId="0" xfId="1" applyNumberFormat="1" applyFont="1" applyAlignment="1">
      <alignment horizontal="right" vertical="top" wrapText="1"/>
    </xf>
    <xf numFmtId="3" fontId="42" fillId="0" borderId="4" xfId="0" applyNumberFormat="1" applyFont="1" applyBorder="1" applyAlignment="1">
      <alignment horizontal="center" wrapText="1"/>
    </xf>
    <xf numFmtId="0" fontId="27" fillId="0" borderId="0" xfId="3" applyNumberFormat="1" applyFont="1"/>
    <xf numFmtId="0" fontId="4" fillId="21" borderId="3" xfId="0" applyFont="1" applyFill="1" applyBorder="1"/>
    <xf numFmtId="0" fontId="42" fillId="0" borderId="3" xfId="0" applyFont="1" applyFill="1" applyBorder="1" applyAlignment="1">
      <alignment horizontal="left" vertical="top" wrapText="1"/>
    </xf>
    <xf numFmtId="251" fontId="42" fillId="0" borderId="0" xfId="0" applyNumberFormat="1" applyFont="1" applyFill="1" applyAlignment="1">
      <alignment horizontal="right" vertical="top" wrapText="1"/>
    </xf>
    <xf numFmtId="251" fontId="42" fillId="0" borderId="4" xfId="0" applyNumberFormat="1" applyFont="1" applyFill="1" applyBorder="1" applyAlignment="1">
      <alignment horizontal="right" vertical="top" wrapText="1"/>
    </xf>
    <xf numFmtId="5" fontId="42" fillId="0" borderId="8" xfId="2" applyNumberFormat="1" applyFont="1" applyBorder="1" applyAlignment="1">
      <alignment horizontal="right" vertical="top" wrapText="1"/>
    </xf>
    <xf numFmtId="5" fontId="42" fillId="0" borderId="0" xfId="2" applyNumberFormat="1" applyFont="1" applyAlignment="1">
      <alignment horizontal="right" vertical="top" wrapText="1"/>
    </xf>
    <xf numFmtId="5" fontId="42" fillId="0" borderId="14" xfId="2" applyNumberFormat="1" applyFont="1" applyBorder="1" applyAlignment="1">
      <alignment horizontal="right" vertical="top" wrapText="1"/>
    </xf>
    <xf numFmtId="5" fontId="42" fillId="0" borderId="27" xfId="2" applyNumberFormat="1" applyFont="1" applyBorder="1" applyAlignment="1">
      <alignment horizontal="right" vertical="top" wrapText="1"/>
    </xf>
    <xf numFmtId="5" fontId="42" fillId="0" borderId="31" xfId="2" applyNumberFormat="1" applyFont="1" applyBorder="1" applyAlignment="1">
      <alignment horizontal="right" vertical="top" wrapText="1"/>
    </xf>
    <xf numFmtId="5" fontId="42" fillId="0" borderId="0" xfId="0" applyNumberFormat="1" applyFont="1" applyAlignment="1">
      <alignment horizontal="right" vertical="top" wrapText="1"/>
    </xf>
    <xf numFmtId="0" fontId="50" fillId="8" borderId="0" xfId="0" applyFont="1" applyFill="1"/>
    <xf numFmtId="0" fontId="4" fillId="0" borderId="4" xfId="0" applyFont="1" applyFill="1" applyBorder="1" applyAlignment="1">
      <alignment vertical="top" wrapText="1"/>
    </xf>
    <xf numFmtId="201" fontId="27" fillId="0" borderId="4" xfId="0" applyNumberFormat="1" applyFont="1" applyFill="1" applyBorder="1"/>
    <xf numFmtId="165" fontId="27" fillId="0" borderId="0" xfId="3" applyNumberFormat="1" applyFont="1" applyBorder="1" applyAlignment="1">
      <alignment horizontal="right"/>
    </xf>
    <xf numFmtId="165" fontId="28" fillId="0" borderId="4" xfId="3" applyNumberFormat="1" applyFont="1" applyBorder="1"/>
    <xf numFmtId="0" fontId="32" fillId="0" borderId="4" xfId="0" applyFont="1" applyBorder="1" applyAlignment="1">
      <alignment horizontal="center" wrapText="1"/>
    </xf>
    <xf numFmtId="0" fontId="32" fillId="0" borderId="3" xfId="0" applyFont="1" applyBorder="1" applyAlignment="1">
      <alignment horizontal="center" wrapText="1"/>
    </xf>
    <xf numFmtId="5" fontId="27" fillId="0" borderId="13" xfId="2" applyNumberFormat="1" applyFont="1" applyBorder="1"/>
    <xf numFmtId="167" fontId="27" fillId="21" borderId="0" xfId="2" applyNumberFormat="1" applyFont="1" applyFill="1" applyBorder="1"/>
    <xf numFmtId="167" fontId="27" fillId="21" borderId="4" xfId="2" applyNumberFormat="1" applyFont="1" applyFill="1" applyBorder="1"/>
    <xf numFmtId="167" fontId="27" fillId="0" borderId="14" xfId="2" applyNumberFormat="1" applyFont="1" applyBorder="1"/>
    <xf numFmtId="164" fontId="27" fillId="27" borderId="0" xfId="0" applyNumberFormat="1" applyFont="1" applyFill="1"/>
    <xf numFmtId="9" fontId="27" fillId="27" borderId="0" xfId="3" applyFont="1" applyFill="1"/>
    <xf numFmtId="164" fontId="27" fillId="27" borderId="0" xfId="3" applyNumberFormat="1" applyFont="1" applyFill="1"/>
    <xf numFmtId="167" fontId="27" fillId="27" borderId="0" xfId="3" applyNumberFormat="1" applyFont="1" applyFill="1"/>
    <xf numFmtId="165" fontId="27" fillId="27" borderId="0" xfId="3" applyNumberFormat="1" applyFont="1" applyFill="1"/>
    <xf numFmtId="7" fontId="27" fillId="0" borderId="0" xfId="2" applyNumberFormat="1" applyFont="1" applyFill="1" applyBorder="1"/>
    <xf numFmtId="7" fontId="27" fillId="0" borderId="4" xfId="2" applyNumberFormat="1" applyFont="1" applyFill="1" applyBorder="1"/>
    <xf numFmtId="5" fontId="27" fillId="0" borderId="4" xfId="2" applyNumberFormat="1" applyFont="1" applyFill="1" applyBorder="1"/>
    <xf numFmtId="0" fontId="4" fillId="0" borderId="0" xfId="0" applyFont="1" applyAlignment="1">
      <alignment vertical="top" wrapText="1"/>
    </xf>
    <xf numFmtId="0" fontId="27" fillId="0" borderId="0" xfId="0" applyFont="1" applyFill="1" applyAlignment="1"/>
    <xf numFmtId="0" fontId="27" fillId="0" borderId="0" xfId="0" applyFont="1" applyAlignment="1"/>
    <xf numFmtId="0" fontId="27" fillId="7" borderId="0" xfId="0" applyFont="1" applyFill="1" applyAlignment="1"/>
    <xf numFmtId="0" fontId="29" fillId="0" borderId="0" xfId="0" applyFont="1" applyFill="1"/>
    <xf numFmtId="167" fontId="27" fillId="0" borderId="0" xfId="2" applyNumberFormat="1" applyFont="1" applyFill="1"/>
    <xf numFmtId="164" fontId="27" fillId="0" borderId="0" xfId="1" applyNumberFormat="1" applyFont="1" applyFill="1" applyAlignment="1">
      <alignment horizontal="right"/>
    </xf>
    <xf numFmtId="252" fontId="32" fillId="0" borderId="2" xfId="0" applyNumberFormat="1" applyFont="1" applyBorder="1" applyAlignment="1">
      <alignment horizontal="right"/>
    </xf>
    <xf numFmtId="5" fontId="27" fillId="0" borderId="0" xfId="1" applyNumberFormat="1" applyFont="1" applyFill="1" applyBorder="1"/>
    <xf numFmtId="37" fontId="28" fillId="0" borderId="0" xfId="1" applyNumberFormat="1" applyFont="1" applyFill="1" applyBorder="1"/>
    <xf numFmtId="37" fontId="27" fillId="0" borderId="9" xfId="1" applyNumberFormat="1" applyFont="1" applyFill="1" applyBorder="1"/>
    <xf numFmtId="0" fontId="28" fillId="0" borderId="3" xfId="0" applyFont="1" applyFill="1" applyBorder="1"/>
    <xf numFmtId="0" fontId="16" fillId="0" borderId="0"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3" xfId="0" applyFont="1" applyFill="1" applyBorder="1" applyAlignment="1">
      <alignment vertical="top"/>
    </xf>
    <xf numFmtId="0" fontId="16" fillId="0" borderId="3" xfId="0" applyFont="1" applyFill="1" applyBorder="1"/>
    <xf numFmtId="0" fontId="16" fillId="0" borderId="5" xfId="0" applyFont="1" applyFill="1" applyBorder="1"/>
    <xf numFmtId="0" fontId="16" fillId="0" borderId="15" xfId="0" applyFont="1" applyFill="1" applyBorder="1" applyAlignment="1">
      <alignment horizontal="left" vertical="top" wrapText="1"/>
    </xf>
    <xf numFmtId="0" fontId="16" fillId="0" borderId="6" xfId="0" applyFont="1" applyFill="1" applyBorder="1" applyAlignment="1">
      <alignment horizontal="left" vertical="top" wrapText="1"/>
    </xf>
    <xf numFmtId="5" fontId="27" fillId="0" borderId="27" xfId="0" applyNumberFormat="1" applyFont="1" applyBorder="1"/>
    <xf numFmtId="5" fontId="27" fillId="0" borderId="14" xfId="0" applyNumberFormat="1" applyFont="1" applyBorder="1"/>
    <xf numFmtId="5" fontId="27" fillId="0" borderId="44" xfId="0" applyNumberFormat="1" applyFont="1" applyBorder="1"/>
    <xf numFmtId="5" fontId="27" fillId="0" borderId="31" xfId="0" applyNumberFormat="1" applyFont="1" applyBorder="1"/>
    <xf numFmtId="0" fontId="32" fillId="0" borderId="0" xfId="0" applyFont="1" applyFill="1" applyAlignment="1">
      <alignment horizontal="center" wrapText="1"/>
    </xf>
    <xf numFmtId="0" fontId="27" fillId="0" borderId="0" xfId="0" applyFont="1" applyFill="1" applyAlignment="1">
      <alignment horizontal="center" wrapText="1"/>
    </xf>
    <xf numFmtId="0" fontId="27" fillId="0" borderId="0" xfId="0" applyFont="1" applyFill="1" applyAlignment="1">
      <alignment wrapText="1"/>
    </xf>
    <xf numFmtId="177" fontId="27" fillId="0" borderId="0" xfId="0" applyNumberFormat="1" applyFont="1" applyFill="1" applyAlignment="1">
      <alignment wrapText="1"/>
    </xf>
    <xf numFmtId="177" fontId="27" fillId="0" borderId="0" xfId="1" applyNumberFormat="1" applyFont="1" applyFill="1" applyAlignment="1">
      <alignment wrapText="1"/>
    </xf>
    <xf numFmtId="37" fontId="27" fillId="0" borderId="6" xfId="0" applyNumberFormat="1" applyFont="1" applyBorder="1"/>
    <xf numFmtId="10" fontId="27" fillId="6" borderId="0" xfId="0" applyNumberFormat="1" applyFont="1" applyFill="1"/>
    <xf numFmtId="165" fontId="45" fillId="0" borderId="4" xfId="3" applyNumberFormat="1" applyFont="1" applyFill="1" applyBorder="1"/>
    <xf numFmtId="165" fontId="45" fillId="0" borderId="4" xfId="3" applyNumberFormat="1" applyFont="1" applyBorder="1"/>
    <xf numFmtId="0" fontId="28" fillId="28" borderId="0" xfId="0" applyFont="1" applyFill="1"/>
    <xf numFmtId="253" fontId="32" fillId="0" borderId="18" xfId="0" applyNumberFormat="1" applyFont="1" applyBorder="1"/>
    <xf numFmtId="253" fontId="32" fillId="0" borderId="2" xfId="0" applyNumberFormat="1" applyFont="1" applyBorder="1"/>
    <xf numFmtId="0" fontId="28" fillId="28" borderId="3" xfId="0" applyFont="1" applyFill="1" applyBorder="1"/>
    <xf numFmtId="37" fontId="28" fillId="31" borderId="0" xfId="0" applyNumberFormat="1" applyFont="1" applyFill="1" applyBorder="1"/>
    <xf numFmtId="0" fontId="28" fillId="28" borderId="0" xfId="0" applyFont="1" applyFill="1" applyBorder="1"/>
    <xf numFmtId="37" fontId="28" fillId="28" borderId="0" xfId="0" applyNumberFormat="1" applyFont="1" applyFill="1" applyBorder="1"/>
    <xf numFmtId="37" fontId="28" fillId="31" borderId="4" xfId="0" applyNumberFormat="1" applyFont="1" applyFill="1" applyBorder="1"/>
    <xf numFmtId="37" fontId="28" fillId="28" borderId="4" xfId="0" applyNumberFormat="1" applyFont="1" applyFill="1" applyBorder="1"/>
    <xf numFmtId="37" fontId="4" fillId="0" borderId="0" xfId="0" applyNumberFormat="1" applyFont="1" applyBorder="1"/>
    <xf numFmtId="37" fontId="4" fillId="0" borderId="4" xfId="0" applyNumberFormat="1" applyFont="1" applyBorder="1"/>
    <xf numFmtId="0" fontId="42" fillId="0" borderId="3" xfId="0" applyFont="1" applyBorder="1" applyAlignment="1">
      <alignment horizontal="left" vertical="top" wrapText="1"/>
    </xf>
    <xf numFmtId="0" fontId="42" fillId="21" borderId="3" xfId="0" applyFont="1" applyFill="1" applyBorder="1" applyAlignment="1">
      <alignment horizontal="left" vertical="top" wrapText="1"/>
    </xf>
    <xf numFmtId="3" fontId="42" fillId="21" borderId="0" xfId="0" applyNumberFormat="1" applyFont="1" applyFill="1" applyAlignment="1">
      <alignment horizontal="left" vertical="top" wrapText="1"/>
    </xf>
    <xf numFmtId="3" fontId="42" fillId="21" borderId="4" xfId="0" applyNumberFormat="1" applyFont="1" applyFill="1" applyBorder="1" applyAlignment="1">
      <alignment horizontal="left" vertical="top" wrapText="1"/>
    </xf>
    <xf numFmtId="178" fontId="27" fillId="0" borderId="0" xfId="3" applyNumberFormat="1" applyFont="1" applyFill="1" applyBorder="1"/>
    <xf numFmtId="178" fontId="27" fillId="0" borderId="0" xfId="0" applyNumberFormat="1" applyFont="1" applyFill="1" applyBorder="1"/>
    <xf numFmtId="178" fontId="27" fillId="0" borderId="4" xfId="0" applyNumberFormat="1" applyFont="1" applyFill="1" applyBorder="1"/>
    <xf numFmtId="254" fontId="27" fillId="0" borderId="4" xfId="3" applyNumberFormat="1" applyFont="1" applyBorder="1"/>
    <xf numFmtId="254" fontId="27" fillId="7" borderId="0" xfId="1" applyNumberFormat="1" applyFont="1" applyFill="1"/>
    <xf numFmtId="254" fontId="27" fillId="0" borderId="0" xfId="0" applyNumberFormat="1" applyFont="1"/>
    <xf numFmtId="254" fontId="27" fillId="0" borderId="0" xfId="3" applyNumberFormat="1" applyFont="1"/>
    <xf numFmtId="254" fontId="27" fillId="0" borderId="0" xfId="3" applyNumberFormat="1" applyFont="1" applyAlignment="1">
      <alignment horizontal="center"/>
    </xf>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2" fillId="0" borderId="3" xfId="0" applyFont="1" applyBorder="1" applyAlignment="1">
      <alignment horizontal="left" vertical="top" wrapText="1"/>
    </xf>
    <xf numFmtId="0" fontId="4" fillId="0" borderId="15" xfId="0" applyFont="1" applyFill="1" applyBorder="1" applyAlignment="1">
      <alignment horizontal="left" vertical="top" wrapText="1"/>
    </xf>
    <xf numFmtId="0" fontId="4" fillId="0" borderId="6" xfId="0" applyFont="1" applyFill="1" applyBorder="1" applyAlignment="1">
      <alignment horizontal="left" vertical="top" wrapText="1"/>
    </xf>
    <xf numFmtId="0" fontId="16" fillId="0" borderId="3" xfId="0" applyFont="1" applyFill="1" applyBorder="1" applyAlignment="1">
      <alignment horizontal="left" vertical="top" wrapText="1"/>
    </xf>
    <xf numFmtId="0" fontId="7" fillId="0" borderId="0" xfId="0" applyFont="1" applyFill="1" applyBorder="1" applyAlignment="1">
      <alignment horizontal="left" vertical="top" wrapText="1"/>
    </xf>
    <xf numFmtId="0" fontId="28" fillId="0" borderId="18" xfId="0" applyFont="1" applyBorder="1"/>
    <xf numFmtId="0" fontId="29" fillId="0" borderId="9" xfId="0" applyFont="1" applyBorder="1"/>
    <xf numFmtId="0" fontId="28" fillId="27" borderId="3" xfId="0" applyFont="1" applyFill="1" applyBorder="1"/>
    <xf numFmtId="0" fontId="28" fillId="27" borderId="4" xfId="0" applyFont="1" applyFill="1" applyBorder="1"/>
    <xf numFmtId="5" fontId="27" fillId="13" borderId="0" xfId="2" applyNumberFormat="1" applyFont="1" applyFill="1" applyBorder="1"/>
    <xf numFmtId="0" fontId="27" fillId="13" borderId="0" xfId="0" applyFont="1" applyFill="1" applyBorder="1"/>
    <xf numFmtId="0" fontId="27" fillId="32" borderId="3" xfId="0" applyFont="1" applyFill="1" applyBorder="1"/>
    <xf numFmtId="5" fontId="27" fillId="32" borderId="0" xfId="2" applyNumberFormat="1" applyFont="1" applyFill="1" applyBorder="1"/>
    <xf numFmtId="0" fontId="27" fillId="32" borderId="0" xfId="0" applyFont="1" applyFill="1" applyBorder="1"/>
    <xf numFmtId="5" fontId="27" fillId="33" borderId="0" xfId="2" applyNumberFormat="1" applyFont="1" applyFill="1" applyBorder="1"/>
    <xf numFmtId="5" fontId="27" fillId="34" borderId="0" xfId="2" applyNumberFormat="1" applyFont="1" applyFill="1" applyBorder="1"/>
    <xf numFmtId="0" fontId="4" fillId="0" borderId="15" xfId="0" applyFont="1" applyFill="1" applyBorder="1" applyAlignment="1">
      <alignment horizontal="left" vertical="top" wrapText="1"/>
    </xf>
    <xf numFmtId="0" fontId="4" fillId="0" borderId="6" xfId="0" applyFont="1" applyFill="1" applyBorder="1" applyAlignment="1">
      <alignment horizontal="left" vertical="top" wrapText="1"/>
    </xf>
    <xf numFmtId="0" fontId="7" fillId="0" borderId="0" xfId="0" applyFont="1" applyFill="1" applyBorder="1" applyAlignment="1">
      <alignment horizontal="left" vertical="top" wrapText="1"/>
    </xf>
    <xf numFmtId="0" fontId="32" fillId="0" borderId="0" xfId="0" applyFont="1" applyBorder="1" applyAlignment="1">
      <alignment horizontal="center" wrapText="1"/>
    </xf>
    <xf numFmtId="0" fontId="27" fillId="0" borderId="0" xfId="0" applyFont="1" applyBorder="1" applyAlignment="1">
      <alignment horizontal="center" wrapText="1"/>
    </xf>
    <xf numFmtId="254" fontId="27" fillId="0" borderId="0" xfId="0" applyNumberFormat="1" applyFont="1" applyBorder="1"/>
    <xf numFmtId="254" fontId="27" fillId="0" borderId="0" xfId="3" applyNumberFormat="1" applyFont="1" applyBorder="1"/>
    <xf numFmtId="254" fontId="27" fillId="0" borderId="0" xfId="3" applyNumberFormat="1" applyFont="1" applyBorder="1" applyAlignment="1">
      <alignment horizontal="center"/>
    </xf>
    <xf numFmtId="254" fontId="27" fillId="0" borderId="15" xfId="3" applyNumberFormat="1" applyFont="1" applyBorder="1"/>
    <xf numFmtId="165" fontId="28" fillId="0" borderId="0" xfId="3" applyNumberFormat="1" applyFont="1" applyFill="1" applyBorder="1"/>
    <xf numFmtId="0" fontId="16" fillId="0" borderId="4" xfId="0" applyFont="1" applyFill="1" applyBorder="1" applyAlignment="1">
      <alignment vertical="top" wrapText="1"/>
    </xf>
    <xf numFmtId="5" fontId="42" fillId="0" borderId="0" xfId="2" applyNumberFormat="1" applyFont="1" applyBorder="1" applyAlignment="1">
      <alignment horizontal="right" vertical="top" wrapText="1"/>
    </xf>
    <xf numFmtId="185" fontId="42" fillId="0" borderId="0" xfId="0" applyNumberFormat="1" applyFont="1" applyBorder="1" applyAlignment="1">
      <alignment horizontal="right" vertical="top" wrapText="1"/>
    </xf>
    <xf numFmtId="3" fontId="42" fillId="0" borderId="0" xfId="0" applyNumberFormat="1" applyFont="1" applyBorder="1" applyAlignment="1">
      <alignment horizontal="right" vertical="top" wrapText="1"/>
    </xf>
    <xf numFmtId="5" fontId="42" fillId="0" borderId="4" xfId="2" applyNumberFormat="1" applyFont="1" applyBorder="1" applyAlignment="1">
      <alignment horizontal="right" vertical="top" wrapText="1"/>
    </xf>
    <xf numFmtId="3" fontId="42" fillId="21" borderId="0" xfId="0" applyNumberFormat="1" applyFont="1" applyFill="1" applyBorder="1" applyAlignment="1">
      <alignment horizontal="left" vertical="top" wrapText="1"/>
    </xf>
    <xf numFmtId="5" fontId="42" fillId="0" borderId="0" xfId="0" applyNumberFormat="1" applyFont="1" applyBorder="1" applyAlignment="1">
      <alignment horizontal="right" vertical="top" wrapText="1"/>
    </xf>
    <xf numFmtId="5" fontId="42" fillId="0" borderId="4" xfId="0" applyNumberFormat="1" applyFont="1" applyBorder="1" applyAlignment="1">
      <alignment horizontal="right" vertical="top" wrapText="1"/>
    </xf>
    <xf numFmtId="3" fontId="42" fillId="0" borderId="0" xfId="0" applyNumberFormat="1" applyFont="1" applyBorder="1" applyAlignment="1">
      <alignment horizontal="right" wrapText="1"/>
    </xf>
    <xf numFmtId="44" fontId="42" fillId="0" borderId="0" xfId="2" applyFont="1" applyBorder="1" applyAlignment="1">
      <alignment horizontal="right" vertical="top" wrapText="1"/>
    </xf>
    <xf numFmtId="0" fontId="5" fillId="0" borderId="0" xfId="0" applyFont="1" applyFill="1" applyBorder="1"/>
    <xf numFmtId="0" fontId="5" fillId="0" borderId="4" xfId="0" applyFont="1" applyFill="1" applyBorder="1"/>
    <xf numFmtId="251" fontId="16" fillId="0" borderId="0" xfId="0" applyNumberFormat="1" applyFont="1" applyFill="1" applyBorder="1" applyAlignment="1">
      <alignment horizontal="right" vertical="top" wrapText="1"/>
    </xf>
    <xf numFmtId="251" fontId="16" fillId="0" borderId="4" xfId="0" applyNumberFormat="1" applyFont="1" applyFill="1" applyBorder="1" applyAlignment="1">
      <alignment horizontal="right" vertical="top" wrapText="1"/>
    </xf>
    <xf numFmtId="0" fontId="28" fillId="8" borderId="1" xfId="0" applyFont="1" applyFill="1" applyBorder="1"/>
    <xf numFmtId="0" fontId="27" fillId="8" borderId="0" xfId="0" applyFont="1" applyFill="1" applyBorder="1"/>
    <xf numFmtId="201" fontId="27" fillId="8" borderId="0" xfId="0" applyNumberFormat="1" applyFont="1" applyFill="1"/>
    <xf numFmtId="0" fontId="32" fillId="8" borderId="18" xfId="0" applyFont="1" applyFill="1" applyBorder="1"/>
    <xf numFmtId="0" fontId="32" fillId="8" borderId="2" xfId="0" applyFont="1" applyFill="1" applyBorder="1" applyAlignment="1">
      <alignment horizontal="right"/>
    </xf>
    <xf numFmtId="43" fontId="27" fillId="8" borderId="4" xfId="1" applyFont="1" applyFill="1" applyBorder="1"/>
    <xf numFmtId="192" fontId="27" fillId="8" borderId="0" xfId="0" applyNumberFormat="1" applyFont="1" applyFill="1"/>
    <xf numFmtId="0" fontId="41" fillId="0" borderId="1" xfId="0" applyFont="1" applyFill="1" applyBorder="1"/>
    <xf numFmtId="209" fontId="40" fillId="0" borderId="18" xfId="0" applyNumberFormat="1" applyFont="1" applyFill="1" applyBorder="1"/>
    <xf numFmtId="209" fontId="40" fillId="0" borderId="2" xfId="0" applyNumberFormat="1" applyFont="1" applyFill="1" applyBorder="1"/>
    <xf numFmtId="0" fontId="42" fillId="0" borderId="3" xfId="0" applyFont="1" applyFill="1" applyBorder="1"/>
    <xf numFmtId="200" fontId="42" fillId="0" borderId="0" xfId="0" applyNumberFormat="1" applyFont="1" applyFill="1" applyBorder="1"/>
    <xf numFmtId="200" fontId="42" fillId="0" borderId="4" xfId="0" applyNumberFormat="1" applyFont="1" applyFill="1" applyBorder="1"/>
    <xf numFmtId="9" fontId="27" fillId="0" borderId="0" xfId="3" applyNumberFormat="1" applyFont="1" applyFill="1" applyBorder="1"/>
    <xf numFmtId="201" fontId="27" fillId="0" borderId="9" xfId="0" applyNumberFormat="1" applyFont="1" applyFill="1" applyBorder="1"/>
    <xf numFmtId="192" fontId="27" fillId="0" borderId="0" xfId="0" applyNumberFormat="1" applyFont="1" applyFill="1" applyBorder="1"/>
    <xf numFmtId="0" fontId="42" fillId="21" borderId="3" xfId="0" applyFont="1" applyFill="1" applyBorder="1"/>
    <xf numFmtId="0" fontId="42" fillId="21" borderId="0" xfId="0" applyFont="1" applyFill="1" applyBorder="1"/>
    <xf numFmtId="0" fontId="42" fillId="21" borderId="4" xfId="0" applyFont="1" applyFill="1" applyBorder="1"/>
    <xf numFmtId="10" fontId="27" fillId="0" borderId="0" xfId="0" applyNumberFormat="1" applyFont="1" applyBorder="1"/>
    <xf numFmtId="192" fontId="27" fillId="0" borderId="0" xfId="0" applyNumberFormat="1" applyFont="1" applyBorder="1"/>
    <xf numFmtId="201" fontId="27" fillId="0" borderId="19" xfId="0" applyNumberFormat="1" applyFont="1" applyFill="1" applyBorder="1"/>
    <xf numFmtId="192" fontId="27" fillId="0" borderId="15" xfId="0" applyNumberFormat="1" applyFont="1" applyBorder="1"/>
    <xf numFmtId="201" fontId="27" fillId="0" borderId="19" xfId="0" applyNumberFormat="1" applyFont="1" applyBorder="1"/>
    <xf numFmtId="201" fontId="27" fillId="0" borderId="20" xfId="0" applyNumberFormat="1" applyFont="1" applyFill="1" applyBorder="1"/>
    <xf numFmtId="201" fontId="27" fillId="0" borderId="0" xfId="0" applyNumberFormat="1" applyFont="1" applyFill="1"/>
    <xf numFmtId="9" fontId="27" fillId="0" borderId="4" xfId="3" applyNumberFormat="1" applyFont="1" applyFill="1" applyBorder="1"/>
    <xf numFmtId="0" fontId="7" fillId="0" borderId="0" xfId="0" applyFont="1" applyFill="1" applyBorder="1" applyAlignment="1">
      <alignment horizontal="left" vertical="top" wrapText="1"/>
    </xf>
    <xf numFmtId="0" fontId="32" fillId="0" borderId="18" xfId="0" applyFont="1" applyBorder="1" applyAlignment="1">
      <alignment horizontal="center"/>
    </xf>
    <xf numFmtId="0" fontId="27" fillId="0" borderId="0" xfId="0" applyFont="1" applyBorder="1" applyAlignment="1">
      <alignment horizontal="center"/>
    </xf>
    <xf numFmtId="0" fontId="25" fillId="0" borderId="2" xfId="0" applyFont="1" applyBorder="1" applyAlignment="1">
      <alignment horizontal="center"/>
    </xf>
    <xf numFmtId="0" fontId="27" fillId="0" borderId="34" xfId="0" applyFont="1" applyBorder="1"/>
    <xf numFmtId="0" fontId="27" fillId="0" borderId="35" xfId="0" applyFont="1" applyBorder="1"/>
    <xf numFmtId="0" fontId="27" fillId="0" borderId="23" xfId="0" applyFont="1" applyBorder="1"/>
    <xf numFmtId="0" fontId="27" fillId="0" borderId="24" xfId="0" applyFont="1" applyBorder="1"/>
    <xf numFmtId="37" fontId="27" fillId="0" borderId="24" xfId="0" applyNumberFormat="1" applyFont="1" applyBorder="1"/>
    <xf numFmtId="0" fontId="27" fillId="0" borderId="25" xfId="0" applyFont="1" applyBorder="1"/>
    <xf numFmtId="37" fontId="27" fillId="0" borderId="10" xfId="0" applyNumberFormat="1" applyFont="1" applyBorder="1"/>
    <xf numFmtId="37" fontId="27" fillId="0" borderId="7" xfId="0" applyNumberFormat="1" applyFont="1" applyBorder="1"/>
    <xf numFmtId="0" fontId="27" fillId="0" borderId="26" xfId="0" applyFont="1" applyBorder="1"/>
    <xf numFmtId="0" fontId="4" fillId="0" borderId="0"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wrapText="1"/>
    </xf>
    <xf numFmtId="0" fontId="4" fillId="0" borderId="0" xfId="0" applyFont="1" applyBorder="1" applyAlignment="1">
      <alignment vertical="top" wrapText="1"/>
    </xf>
    <xf numFmtId="0" fontId="4" fillId="0" borderId="0" xfId="0" applyFont="1" applyFill="1" applyBorder="1" applyAlignment="1">
      <alignment vertical="top" wrapText="1"/>
    </xf>
    <xf numFmtId="0" fontId="4" fillId="0" borderId="15" xfId="0" applyFont="1" applyBorder="1" applyAlignment="1">
      <alignment vertical="top" wrapText="1"/>
    </xf>
    <xf numFmtId="0" fontId="4" fillId="0" borderId="6" xfId="0" applyFont="1" applyBorder="1" applyAlignment="1">
      <alignment vertical="top" wrapText="1"/>
    </xf>
    <xf numFmtId="1" fontId="27" fillId="11" borderId="0" xfId="0" applyNumberFormat="1" applyFont="1" applyFill="1"/>
    <xf numFmtId="37" fontId="27" fillId="11" borderId="0" xfId="1" applyNumberFormat="1" applyFont="1" applyFill="1" applyBorder="1"/>
    <xf numFmtId="247" fontId="27" fillId="11" borderId="0" xfId="0" applyNumberFormat="1" applyFont="1" applyFill="1"/>
    <xf numFmtId="37" fontId="27" fillId="0" borderId="0" xfId="0" applyNumberFormat="1" applyFont="1" applyFill="1"/>
    <xf numFmtId="37" fontId="27" fillId="6" borderId="0" xfId="0" applyNumberFormat="1" applyFont="1" applyFill="1"/>
    <xf numFmtId="37" fontId="27" fillId="6" borderId="13" xfId="0" applyNumberFormat="1" applyFont="1" applyFill="1" applyBorder="1"/>
    <xf numFmtId="37" fontId="27" fillId="0" borderId="2" xfId="0" applyNumberFormat="1" applyFont="1" applyBorder="1"/>
    <xf numFmtId="37" fontId="27" fillId="0" borderId="18" xfId="0" applyNumberFormat="1" applyFont="1" applyBorder="1"/>
    <xf numFmtId="247" fontId="27" fillId="0" borderId="9" xfId="0" applyNumberFormat="1" applyFont="1" applyBorder="1"/>
    <xf numFmtId="255" fontId="27" fillId="0" borderId="0" xfId="3" applyNumberFormat="1" applyFont="1"/>
    <xf numFmtId="255" fontId="27" fillId="0" borderId="0" xfId="3" applyNumberFormat="1" applyFont="1" applyBorder="1"/>
    <xf numFmtId="255" fontId="27" fillId="21" borderId="4" xfId="3" applyNumberFormat="1" applyFont="1" applyFill="1" applyBorder="1"/>
    <xf numFmtId="255" fontId="27" fillId="0" borderId="8" xfId="3" applyNumberFormat="1" applyFont="1" applyBorder="1"/>
    <xf numFmtId="255" fontId="27" fillId="21" borderId="14" xfId="3" applyNumberFormat="1" applyFont="1" applyFill="1" applyBorder="1"/>
    <xf numFmtId="0" fontId="7" fillId="0" borderId="4" xfId="0" applyFont="1" applyBorder="1"/>
    <xf numFmtId="0" fontId="7" fillId="0" borderId="15" xfId="0" applyFont="1" applyBorder="1"/>
    <xf numFmtId="0" fontId="7" fillId="0" borderId="6" xfId="0" applyFont="1" applyBorder="1"/>
    <xf numFmtId="255" fontId="27" fillId="0" borderId="24" xfId="3" applyNumberFormat="1" applyFont="1" applyBorder="1"/>
    <xf numFmtId="255" fontId="27" fillId="0" borderId="33" xfId="3" applyNumberFormat="1" applyFont="1" applyBorder="1"/>
    <xf numFmtId="255" fontId="27" fillId="0" borderId="0" xfId="0" applyNumberFormat="1" applyFont="1" applyBorder="1" applyAlignment="1">
      <alignment horizontal="right"/>
    </xf>
    <xf numFmtId="255" fontId="27" fillId="15" borderId="4" xfId="0" applyNumberFormat="1" applyFont="1" applyFill="1" applyBorder="1" applyAlignment="1">
      <alignment horizontal="right"/>
    </xf>
    <xf numFmtId="255" fontId="27" fillId="0" borderId="8" xfId="0" applyNumberFormat="1" applyFont="1" applyBorder="1" applyAlignment="1">
      <alignment horizontal="right"/>
    </xf>
    <xf numFmtId="255" fontId="27" fillId="15" borderId="14" xfId="0" applyNumberFormat="1" applyFont="1" applyFill="1" applyBorder="1" applyAlignment="1">
      <alignment horizontal="right"/>
    </xf>
    <xf numFmtId="255" fontId="28" fillId="0" borderId="4" xfId="3" applyNumberFormat="1" applyFont="1" applyBorder="1"/>
    <xf numFmtId="255" fontId="28" fillId="0" borderId="13" xfId="3" applyNumberFormat="1" applyFont="1" applyBorder="1"/>
    <xf numFmtId="255" fontId="4" fillId="0" borderId="4" xfId="3" applyNumberFormat="1" applyFont="1" applyBorder="1" applyAlignment="1">
      <alignment horizontal="center"/>
    </xf>
    <xf numFmtId="255" fontId="4" fillId="0" borderId="13" xfId="3" applyNumberFormat="1" applyFont="1" applyBorder="1" applyAlignment="1">
      <alignment horizontal="center"/>
    </xf>
    <xf numFmtId="0" fontId="27" fillId="0" borderId="0" xfId="0" applyNumberFormat="1" applyFont="1" applyFill="1" applyBorder="1"/>
    <xf numFmtId="0" fontId="27" fillId="0" borderId="15" xfId="0" applyNumberFormat="1" applyFont="1" applyFill="1" applyBorder="1"/>
    <xf numFmtId="200" fontId="27" fillId="0" borderId="6" xfId="0" applyNumberFormat="1" applyFont="1" applyBorder="1"/>
    <xf numFmtId="0" fontId="28" fillId="0" borderId="0" xfId="0" applyFont="1" applyBorder="1" applyAlignment="1">
      <alignment wrapText="1"/>
    </xf>
    <xf numFmtId="165" fontId="27" fillId="0" borderId="49" xfId="3" applyNumberFormat="1" applyFont="1" applyBorder="1"/>
    <xf numFmtId="200" fontId="27" fillId="0" borderId="14" xfId="0" applyNumberFormat="1" applyFont="1" applyBorder="1"/>
    <xf numFmtId="165" fontId="27" fillId="0" borderId="44" xfId="3" applyNumberFormat="1" applyFont="1" applyBorder="1"/>
    <xf numFmtId="254" fontId="27" fillId="0" borderId="9" xfId="3" applyNumberFormat="1" applyFont="1" applyBorder="1"/>
    <xf numFmtId="254" fontId="27" fillId="0" borderId="9" xfId="0" applyNumberFormat="1" applyFont="1" applyBorder="1"/>
    <xf numFmtId="254" fontId="54" fillId="0" borderId="0" xfId="3" applyNumberFormat="1" applyFont="1" applyBorder="1"/>
    <xf numFmtId="0" fontId="27" fillId="0" borderId="0" xfId="0" applyFont="1" applyFill="1" applyBorder="1" applyAlignment="1">
      <alignment horizontal="left" vertical="top" wrapText="1"/>
    </xf>
    <xf numFmtId="246" fontId="27" fillId="0" borderId="2" xfId="0" applyNumberFormat="1" applyFont="1" applyBorder="1"/>
    <xf numFmtId="37" fontId="27" fillId="11" borderId="4" xfId="0" applyNumberFormat="1" applyFont="1" applyFill="1" applyBorder="1"/>
    <xf numFmtId="246" fontId="27" fillId="0" borderId="13" xfId="0" applyNumberFormat="1" applyFont="1" applyBorder="1"/>
    <xf numFmtId="246" fontId="27" fillId="21" borderId="4" xfId="0" applyNumberFormat="1" applyFont="1" applyFill="1" applyBorder="1"/>
    <xf numFmtId="246" fontId="27" fillId="0" borderId="6" xfId="0" applyNumberFormat="1" applyFont="1" applyBorder="1"/>
    <xf numFmtId="37" fontId="27" fillId="8" borderId="0" xfId="0" applyNumberFormat="1" applyFont="1" applyFill="1"/>
    <xf numFmtId="0" fontId="25" fillId="0" borderId="0" xfId="0" applyFont="1" applyAlignment="1">
      <alignment vertical="top" wrapText="1"/>
    </xf>
    <xf numFmtId="0" fontId="27" fillId="0" borderId="40" xfId="0" applyFont="1" applyBorder="1" applyAlignment="1">
      <alignment horizontal="right"/>
    </xf>
    <xf numFmtId="0" fontId="27" fillId="0" borderId="50" xfId="0" applyFont="1" applyBorder="1" applyAlignment="1">
      <alignment horizontal="right"/>
    </xf>
    <xf numFmtId="256" fontId="7" fillId="0" borderId="0" xfId="0" applyNumberFormat="1" applyFont="1"/>
    <xf numFmtId="0" fontId="27" fillId="0" borderId="11" xfId="0" applyFont="1" applyBorder="1" applyAlignment="1">
      <alignment horizontal="center" wrapText="1"/>
    </xf>
    <xf numFmtId="0" fontId="27" fillId="0" borderId="12" xfId="0" applyFont="1" applyBorder="1" applyAlignment="1">
      <alignment horizontal="center" wrapText="1"/>
    </xf>
    <xf numFmtId="257" fontId="27" fillId="0" borderId="0" xfId="3" applyNumberFormat="1" applyFont="1" applyBorder="1" applyAlignment="1">
      <alignment horizontal="right"/>
    </xf>
    <xf numFmtId="178" fontId="27" fillId="0" borderId="0" xfId="3" applyNumberFormat="1" applyFont="1"/>
    <xf numFmtId="178" fontId="27" fillId="0" borderId="0" xfId="0" applyNumberFormat="1" applyFont="1"/>
    <xf numFmtId="246" fontId="27" fillId="0" borderId="0" xfId="0" applyNumberFormat="1" applyFont="1"/>
    <xf numFmtId="246" fontId="27" fillId="0" borderId="9" xfId="0" applyNumberFormat="1" applyFont="1" applyBorder="1"/>
    <xf numFmtId="0" fontId="32" fillId="0" borderId="0" xfId="3" applyNumberFormat="1" applyFont="1"/>
    <xf numFmtId="209" fontId="32" fillId="0" borderId="18" xfId="0" applyNumberFormat="1" applyFont="1" applyBorder="1" applyAlignment="1">
      <alignment horizontal="center" wrapText="1"/>
    </xf>
    <xf numFmtId="0" fontId="7" fillId="0" borderId="0" xfId="0" applyFont="1" applyFill="1" applyAlignment="1">
      <alignment horizontal="left" vertical="top" wrapText="1"/>
    </xf>
    <xf numFmtId="0" fontId="55" fillId="0" borderId="0" xfId="0" applyFont="1" applyFill="1"/>
    <xf numFmtId="0" fontId="14" fillId="0" borderId="0" xfId="0" applyFont="1" applyFill="1"/>
    <xf numFmtId="0" fontId="27" fillId="0" borderId="3" xfId="0" applyFont="1" applyBorder="1" applyAlignment="1">
      <alignment horizontal="left" vertical="top" wrapText="1"/>
    </xf>
    <xf numFmtId="0" fontId="32" fillId="0" borderId="18" xfId="0" applyFont="1" applyBorder="1" applyAlignment="1">
      <alignment horizontal="center"/>
    </xf>
    <xf numFmtId="0" fontId="56" fillId="0" borderId="0" xfId="0" applyFont="1" applyAlignment="1">
      <alignment vertical="center"/>
    </xf>
    <xf numFmtId="3" fontId="36" fillId="0" borderId="4" xfId="0" applyNumberFormat="1" applyFont="1" applyBorder="1" applyAlignment="1">
      <alignment vertical="center" wrapText="1"/>
    </xf>
    <xf numFmtId="0" fontId="35" fillId="0" borderId="3" xfId="0" applyFont="1" applyBorder="1" applyAlignment="1">
      <alignment vertical="center" wrapText="1"/>
    </xf>
    <xf numFmtId="3" fontId="36" fillId="35" borderId="4" xfId="0" applyNumberFormat="1" applyFont="1" applyFill="1" applyBorder="1" applyAlignment="1">
      <alignment vertical="center" wrapText="1"/>
    </xf>
    <xf numFmtId="0" fontId="35" fillId="35" borderId="3" xfId="0" applyFont="1" applyFill="1" applyBorder="1" applyAlignment="1">
      <alignment vertical="center" wrapText="1"/>
    </xf>
    <xf numFmtId="0" fontId="36" fillId="0" borderId="3" xfId="0" applyFont="1" applyBorder="1" applyAlignment="1">
      <alignment vertical="center" wrapText="1"/>
    </xf>
    <xf numFmtId="10" fontId="36" fillId="0" borderId="4" xfId="0" applyNumberFormat="1" applyFont="1" applyBorder="1" applyAlignment="1">
      <alignment vertical="center" wrapText="1"/>
    </xf>
    <xf numFmtId="0" fontId="36" fillId="0" borderId="3" xfId="0" applyFont="1" applyBorder="1" applyAlignment="1">
      <alignment horizontal="left" vertical="center" wrapText="1"/>
    </xf>
    <xf numFmtId="0" fontId="27" fillId="0" borderId="4" xfId="0" applyFont="1" applyBorder="1" applyAlignment="1">
      <alignment vertical="center" wrapText="1"/>
    </xf>
    <xf numFmtId="0" fontId="25" fillId="0" borderId="3" xfId="0" applyFont="1" applyBorder="1" applyAlignment="1">
      <alignment horizontal="left" vertical="center" wrapText="1"/>
    </xf>
    <xf numFmtId="3" fontId="27" fillId="0" borderId="4" xfId="0" applyNumberFormat="1" applyFont="1" applyBorder="1" applyAlignment="1">
      <alignment vertical="center" wrapText="1"/>
    </xf>
    <xf numFmtId="0" fontId="27" fillId="0" borderId="3" xfId="0" applyFont="1" applyBorder="1" applyAlignment="1">
      <alignment vertical="center" wrapText="1"/>
    </xf>
    <xf numFmtId="258" fontId="36" fillId="0" borderId="4" xfId="0" applyNumberFormat="1" applyFont="1" applyBorder="1" applyAlignment="1">
      <alignment vertical="top" wrapText="1"/>
    </xf>
    <xf numFmtId="0" fontId="35" fillId="0" borderId="3" xfId="0" applyFont="1" applyBorder="1" applyAlignment="1">
      <alignment horizontal="left" vertical="center" wrapText="1"/>
    </xf>
    <xf numFmtId="0" fontId="27" fillId="0" borderId="2" xfId="0" applyFont="1" applyBorder="1" applyAlignment="1">
      <alignment horizontal="right" wrapText="1"/>
    </xf>
    <xf numFmtId="0" fontId="27" fillId="0" borderId="18" xfId="0" applyFont="1" applyBorder="1" applyAlignment="1">
      <alignment horizontal="right" wrapText="1"/>
    </xf>
    <xf numFmtId="0" fontId="25" fillId="0" borderId="1" xfId="0" applyFont="1" applyBorder="1" applyAlignment="1">
      <alignment vertical="center" wrapText="1"/>
    </xf>
    <xf numFmtId="0" fontId="27" fillId="26" borderId="0" xfId="0" applyFont="1" applyFill="1"/>
    <xf numFmtId="171" fontId="27" fillId="21" borderId="4" xfId="0" applyNumberFormat="1" applyFont="1" applyFill="1" applyBorder="1"/>
    <xf numFmtId="0" fontId="27" fillId="21" borderId="6" xfId="0" applyFont="1" applyFill="1" applyBorder="1"/>
    <xf numFmtId="214" fontId="27" fillId="0" borderId="0" xfId="0" applyNumberFormat="1" applyFont="1" applyBorder="1"/>
    <xf numFmtId="214" fontId="39" fillId="26" borderId="0" xfId="0" applyNumberFormat="1" applyFont="1" applyFill="1" applyBorder="1"/>
    <xf numFmtId="0" fontId="27" fillId="0" borderId="18" xfId="0" applyFont="1" applyFill="1" applyBorder="1"/>
    <xf numFmtId="170" fontId="27" fillId="21" borderId="0" xfId="0" applyNumberFormat="1" applyFont="1" applyFill="1"/>
    <xf numFmtId="171" fontId="27" fillId="21" borderId="0" xfId="0" applyNumberFormat="1" applyFont="1" applyFill="1"/>
    <xf numFmtId="171" fontId="27" fillId="21" borderId="15" xfId="0" applyNumberFormat="1" applyFont="1" applyFill="1" applyBorder="1"/>
    <xf numFmtId="171" fontId="27" fillId="21" borderId="0" xfId="0" applyNumberFormat="1" applyFont="1" applyFill="1" applyBorder="1"/>
    <xf numFmtId="254" fontId="27" fillId="0" borderId="6" xfId="3" applyNumberFormat="1" applyFont="1" applyBorder="1"/>
    <xf numFmtId="171" fontId="27" fillId="0" borderId="15" xfId="0" applyNumberFormat="1" applyFont="1" applyBorder="1"/>
    <xf numFmtId="254" fontId="27" fillId="21" borderId="0" xfId="0" applyNumberFormat="1" applyFont="1" applyFill="1"/>
    <xf numFmtId="254" fontId="45" fillId="21" borderId="0" xfId="0" applyNumberFormat="1" applyFont="1" applyFill="1"/>
    <xf numFmtId="214" fontId="27" fillId="21" borderId="0" xfId="0" applyNumberFormat="1" applyFont="1" applyFill="1"/>
    <xf numFmtId="7" fontId="4" fillId="0" borderId="0" xfId="0" applyNumberFormat="1" applyFont="1"/>
    <xf numFmtId="9" fontId="28" fillId="0" borderId="4" xfId="3" applyFont="1" applyBorder="1"/>
    <xf numFmtId="0" fontId="32" fillId="0" borderId="2" xfId="0" applyFont="1" applyBorder="1" applyAlignment="1">
      <alignment horizontal="center"/>
    </xf>
    <xf numFmtId="259" fontId="32" fillId="0" borderId="18" xfId="0" applyNumberFormat="1" applyFont="1" applyBorder="1"/>
    <xf numFmtId="260" fontId="27" fillId="0" borderId="6" xfId="3" applyNumberFormat="1" applyFont="1" applyBorder="1" applyAlignment="1">
      <alignment horizontal="right"/>
    </xf>
    <xf numFmtId="164" fontId="27" fillId="0" borderId="15" xfId="1" applyNumberFormat="1" applyFont="1" applyBorder="1" applyAlignment="1">
      <alignment horizontal="right"/>
    </xf>
    <xf numFmtId="260" fontId="27" fillId="0" borderId="4" xfId="3" applyNumberFormat="1" applyFont="1" applyBorder="1" applyAlignment="1">
      <alignment horizontal="right"/>
    </xf>
    <xf numFmtId="0" fontId="32" fillId="0" borderId="4" xfId="0" applyFont="1" applyBorder="1" applyAlignment="1">
      <alignment horizontal="right"/>
    </xf>
    <xf numFmtId="0" fontId="32" fillId="0" borderId="0" xfId="0" applyFont="1" applyAlignment="1">
      <alignment horizontal="right"/>
    </xf>
    <xf numFmtId="5" fontId="27" fillId="0" borderId="20" xfId="1" applyNumberFormat="1" applyFont="1" applyBorder="1" applyAlignment="1">
      <alignment horizontal="right"/>
    </xf>
    <xf numFmtId="5" fontId="27" fillId="0" borderId="4" xfId="1" applyNumberFormat="1" applyFont="1" applyBorder="1" applyAlignment="1">
      <alignment horizontal="right"/>
    </xf>
    <xf numFmtId="260" fontId="27" fillId="0" borderId="6" xfId="3" applyNumberFormat="1" applyFont="1" applyBorder="1" applyAlignment="1">
      <alignment horizontal="center"/>
    </xf>
    <xf numFmtId="164" fontId="27" fillId="0" borderId="15" xfId="1" applyNumberFormat="1" applyFont="1" applyBorder="1" applyAlignment="1">
      <alignment horizontal="center"/>
    </xf>
    <xf numFmtId="168" fontId="27" fillId="0" borderId="15" xfId="0" applyNumberFormat="1" applyFont="1" applyBorder="1" applyAlignment="1">
      <alignment horizontal="center"/>
    </xf>
    <xf numFmtId="260" fontId="27" fillId="0" borderId="4" xfId="3" applyNumberFormat="1" applyFont="1" applyBorder="1" applyAlignment="1">
      <alignment horizontal="center"/>
    </xf>
    <xf numFmtId="164" fontId="27" fillId="0" borderId="0" xfId="1" applyNumberFormat="1" applyFont="1" applyBorder="1" applyAlignment="1">
      <alignment horizontal="center"/>
    </xf>
    <xf numFmtId="168" fontId="27" fillId="0" borderId="0" xfId="0" applyNumberFormat="1" applyFont="1" applyAlignment="1">
      <alignment horizontal="center"/>
    </xf>
    <xf numFmtId="5" fontId="27" fillId="0" borderId="0" xfId="1" applyNumberFormat="1" applyFont="1" applyBorder="1" applyAlignment="1">
      <alignment horizontal="right"/>
    </xf>
    <xf numFmtId="261" fontId="27" fillId="0" borderId="0" xfId="0" applyNumberFormat="1" applyFont="1" applyBorder="1" applyAlignment="1">
      <alignment horizontal="right"/>
    </xf>
    <xf numFmtId="261" fontId="27" fillId="0" borderId="9" xfId="0" applyNumberFormat="1" applyFont="1" applyBorder="1" applyAlignment="1">
      <alignment horizontal="right"/>
    </xf>
    <xf numFmtId="214" fontId="27" fillId="0" borderId="8" xfId="0" applyNumberFormat="1" applyFont="1" applyBorder="1"/>
    <xf numFmtId="214" fontId="27" fillId="0" borderId="14" xfId="0" applyNumberFormat="1" applyFont="1" applyBorder="1"/>
    <xf numFmtId="262" fontId="27" fillId="0" borderId="0" xfId="3" applyNumberFormat="1" applyFont="1" applyBorder="1"/>
    <xf numFmtId="262" fontId="27" fillId="0" borderId="4" xfId="3" applyNumberFormat="1" applyFont="1" applyBorder="1"/>
    <xf numFmtId="170" fontId="27" fillId="21" borderId="4" xfId="0" applyNumberFormat="1" applyFont="1" applyFill="1" applyBorder="1"/>
    <xf numFmtId="0" fontId="25" fillId="21" borderId="4" xfId="0" applyFont="1" applyFill="1" applyBorder="1"/>
    <xf numFmtId="263" fontId="27" fillId="0" borderId="0" xfId="0" applyNumberFormat="1" applyFont="1" applyBorder="1"/>
    <xf numFmtId="263" fontId="27" fillId="0" borderId="4" xfId="0" applyNumberFormat="1" applyFont="1" applyBorder="1"/>
    <xf numFmtId="264" fontId="42" fillId="0" borderId="6" xfId="3" applyNumberFormat="1" applyFont="1" applyBorder="1" applyAlignment="1">
      <alignment horizontal="center"/>
    </xf>
    <xf numFmtId="264" fontId="42" fillId="0" borderId="16" xfId="3" applyNumberFormat="1" applyFont="1" applyBorder="1" applyAlignment="1">
      <alignment horizontal="center"/>
    </xf>
    <xf numFmtId="264" fontId="42" fillId="0" borderId="4" xfId="3" applyNumberFormat="1" applyFont="1" applyBorder="1" applyAlignment="1">
      <alignment horizontal="center"/>
    </xf>
    <xf numFmtId="9" fontId="27" fillId="0" borderId="4" xfId="3" applyFont="1" applyBorder="1" applyAlignment="1">
      <alignment horizontal="center"/>
    </xf>
    <xf numFmtId="176" fontId="27" fillId="0" borderId="0" xfId="2" applyNumberFormat="1" applyFont="1" applyBorder="1" applyAlignment="1">
      <alignment horizontal="center"/>
    </xf>
    <xf numFmtId="265" fontId="27" fillId="0" borderId="0" xfId="1" applyNumberFormat="1" applyFont="1" applyBorder="1" applyAlignment="1">
      <alignment horizontal="right"/>
    </xf>
    <xf numFmtId="9" fontId="27" fillId="21" borderId="4" xfId="3" applyFont="1" applyFill="1" applyBorder="1" applyAlignment="1">
      <alignment horizontal="center"/>
    </xf>
    <xf numFmtId="176" fontId="27" fillId="21" borderId="0" xfId="2" applyNumberFormat="1" applyFont="1" applyFill="1" applyBorder="1" applyAlignment="1">
      <alignment horizontal="center"/>
    </xf>
    <xf numFmtId="266" fontId="27" fillId="0" borderId="0" xfId="2" applyNumberFormat="1" applyFont="1" applyBorder="1" applyAlignment="1">
      <alignment horizontal="right"/>
    </xf>
    <xf numFmtId="209" fontId="32" fillId="0" borderId="18" xfId="0" applyNumberFormat="1" applyFont="1" applyBorder="1" applyAlignment="1">
      <alignment horizontal="right"/>
    </xf>
    <xf numFmtId="0" fontId="28" fillId="0" borderId="0" xfId="0" applyFont="1" applyAlignment="1">
      <alignment vertical="top" wrapText="1"/>
    </xf>
    <xf numFmtId="177" fontId="27" fillId="0" borderId="13" xfId="1" applyNumberFormat="1" applyFont="1" applyBorder="1"/>
    <xf numFmtId="267" fontId="27" fillId="0" borderId="4" xfId="2" applyNumberFormat="1" applyFont="1" applyBorder="1"/>
    <xf numFmtId="0" fontId="7" fillId="0" borderId="2" xfId="0" applyFont="1" applyBorder="1"/>
    <xf numFmtId="0" fontId="27" fillId="35" borderId="4" xfId="0" applyFont="1" applyFill="1" applyBorder="1"/>
    <xf numFmtId="0" fontId="27" fillId="35" borderId="3" xfId="0" applyFont="1" applyFill="1" applyBorder="1"/>
    <xf numFmtId="219" fontId="27" fillId="0" borderId="4" xfId="1" applyNumberFormat="1" applyFont="1" applyBorder="1"/>
    <xf numFmtId="165" fontId="27" fillId="0" borderId="20" xfId="3" applyNumberFormat="1" applyFont="1" applyBorder="1"/>
    <xf numFmtId="0" fontId="32" fillId="35" borderId="4" xfId="0" applyFont="1" applyFill="1" applyBorder="1"/>
    <xf numFmtId="0" fontId="28" fillId="35" borderId="3" xfId="0" applyFont="1" applyFill="1" applyBorder="1"/>
    <xf numFmtId="9" fontId="27" fillId="0" borderId="6" xfId="0" applyNumberFormat="1" applyFont="1" applyBorder="1"/>
    <xf numFmtId="219" fontId="27" fillId="0" borderId="0" xfId="1" applyNumberFormat="1" applyFont="1" applyBorder="1"/>
    <xf numFmtId="9" fontId="27" fillId="0" borderId="6" xfId="3" applyFont="1" applyBorder="1"/>
    <xf numFmtId="268" fontId="27" fillId="0" borderId="15" xfId="2" applyNumberFormat="1" applyFont="1" applyBorder="1"/>
    <xf numFmtId="196" fontId="27" fillId="0" borderId="0" xfId="2" applyNumberFormat="1" applyFont="1" applyBorder="1"/>
    <xf numFmtId="0" fontId="27" fillId="24" borderId="15" xfId="0" applyFont="1" applyFill="1" applyBorder="1"/>
    <xf numFmtId="0" fontId="27" fillId="36" borderId="0" xfId="0" applyFont="1" applyFill="1"/>
    <xf numFmtId="0" fontId="27" fillId="24" borderId="18" xfId="0" applyFont="1" applyFill="1" applyBorder="1"/>
    <xf numFmtId="206" fontId="27" fillId="0" borderId="14" xfId="0" applyNumberFormat="1" applyFont="1" applyBorder="1"/>
    <xf numFmtId="203" fontId="27" fillId="0" borderId="4" xfId="0" applyNumberFormat="1" applyFont="1" applyBorder="1" applyAlignment="1">
      <alignment vertical="top"/>
    </xf>
    <xf numFmtId="206" fontId="27" fillId="0" borderId="4" xfId="0" applyNumberFormat="1" applyFont="1" applyBorder="1"/>
    <xf numFmtId="258" fontId="27" fillId="0" borderId="4" xfId="2" applyNumberFormat="1" applyFont="1" applyBorder="1" applyAlignment="1">
      <alignment horizontal="right"/>
    </xf>
    <xf numFmtId="258" fontId="27" fillId="0" borderId="0" xfId="2" applyNumberFormat="1" applyFont="1" applyBorder="1" applyAlignment="1">
      <alignment horizontal="right"/>
    </xf>
    <xf numFmtId="269" fontId="27" fillId="0" borderId="4" xfId="2" applyNumberFormat="1" applyFont="1" applyBorder="1" applyAlignment="1">
      <alignment horizontal="right"/>
    </xf>
    <xf numFmtId="269" fontId="27" fillId="0" borderId="0" xfId="2" applyNumberFormat="1" applyFont="1" applyBorder="1" applyAlignment="1">
      <alignment horizontal="right"/>
    </xf>
    <xf numFmtId="269" fontId="27" fillId="0" borderId="13" xfId="2" applyNumberFormat="1" applyFont="1" applyBorder="1" applyAlignment="1">
      <alignment horizontal="right"/>
    </xf>
    <xf numFmtId="269" fontId="27" fillId="0" borderId="9" xfId="2" applyNumberFormat="1" applyFont="1" applyBorder="1" applyAlignment="1">
      <alignment horizontal="right"/>
    </xf>
    <xf numFmtId="177" fontId="27" fillId="0" borderId="0" xfId="1" applyNumberFormat="1" applyFont="1" applyBorder="1" applyAlignment="1">
      <alignment horizontal="center"/>
    </xf>
    <xf numFmtId="177" fontId="27" fillId="0" borderId="4" xfId="1" applyNumberFormat="1" applyFont="1" applyBorder="1" applyAlignment="1">
      <alignment horizontal="center"/>
    </xf>
    <xf numFmtId="209" fontId="32" fillId="0" borderId="2" xfId="0" applyNumberFormat="1" applyFont="1" applyBorder="1" applyAlignment="1">
      <alignment horizontal="right"/>
    </xf>
    <xf numFmtId="171" fontId="27" fillId="21" borderId="0" xfId="1" applyNumberFormat="1" applyFont="1" applyFill="1" applyBorder="1"/>
    <xf numFmtId="171" fontId="27" fillId="21" borderId="4" xfId="1" applyNumberFormat="1" applyFont="1" applyFill="1" applyBorder="1"/>
    <xf numFmtId="213" fontId="27" fillId="21" borderId="0" xfId="1" applyNumberFormat="1" applyFont="1" applyFill="1"/>
    <xf numFmtId="213" fontId="27" fillId="21" borderId="4" xfId="1" applyNumberFormat="1" applyFont="1" applyFill="1" applyBorder="1"/>
    <xf numFmtId="164" fontId="27" fillId="21" borderId="4" xfId="1" applyNumberFormat="1" applyFont="1" applyFill="1" applyBorder="1" applyAlignment="1">
      <alignment horizontal="right"/>
    </xf>
    <xf numFmtId="164" fontId="27" fillId="21" borderId="13" xfId="1" applyNumberFormat="1" applyFont="1" applyFill="1" applyBorder="1" applyAlignment="1">
      <alignment horizontal="right"/>
    </xf>
    <xf numFmtId="171" fontId="27" fillId="21" borderId="4" xfId="1" applyNumberFormat="1" applyFont="1" applyFill="1" applyBorder="1" applyAlignment="1">
      <alignment horizontal="right"/>
    </xf>
    <xf numFmtId="171" fontId="27" fillId="21" borderId="0" xfId="2" applyNumberFormat="1" applyFont="1" applyFill="1" applyBorder="1"/>
    <xf numFmtId="171" fontId="27" fillId="21" borderId="4" xfId="2" applyNumberFormat="1" applyFont="1" applyFill="1" applyBorder="1"/>
    <xf numFmtId="171" fontId="27" fillId="21" borderId="7" xfId="2" applyNumberFormat="1" applyFont="1" applyFill="1" applyBorder="1"/>
    <xf numFmtId="171" fontId="27" fillId="21" borderId="16" xfId="2" applyNumberFormat="1" applyFont="1" applyFill="1" applyBorder="1"/>
    <xf numFmtId="164" fontId="27" fillId="21" borderId="14" xfId="1" applyNumberFormat="1" applyFont="1" applyFill="1" applyBorder="1" applyAlignment="1">
      <alignment horizontal="right"/>
    </xf>
    <xf numFmtId="214" fontId="27" fillId="21" borderId="4" xfId="1" applyNumberFormat="1" applyFont="1" applyFill="1" applyBorder="1"/>
    <xf numFmtId="216" fontId="27" fillId="21" borderId="4" xfId="1" applyNumberFormat="1" applyFont="1" applyFill="1" applyBorder="1"/>
    <xf numFmtId="254" fontId="27" fillId="0" borderId="13" xfId="3" applyNumberFormat="1" applyFont="1" applyBorder="1"/>
    <xf numFmtId="164" fontId="27" fillId="21" borderId="6" xfId="1" applyNumberFormat="1" applyFont="1" applyFill="1" applyBorder="1"/>
    <xf numFmtId="216" fontId="27" fillId="21" borderId="0" xfId="1" applyNumberFormat="1" applyFont="1" applyFill="1" applyBorder="1"/>
    <xf numFmtId="168" fontId="27" fillId="21" borderId="0" xfId="1" applyNumberFormat="1" applyFont="1" applyFill="1"/>
    <xf numFmtId="0" fontId="32" fillId="0" borderId="18" xfId="0" applyFont="1" applyBorder="1" applyAlignment="1">
      <alignment horizontal="center"/>
    </xf>
    <xf numFmtId="177" fontId="27" fillId="0" borderId="15" xfId="1" applyNumberFormat="1" applyFont="1" applyBorder="1" applyAlignment="1"/>
    <xf numFmtId="0" fontId="27" fillId="0" borderId="5" xfId="0" applyFont="1" applyBorder="1" applyAlignment="1">
      <alignment wrapText="1"/>
    </xf>
    <xf numFmtId="232" fontId="27" fillId="0" borderId="0" xfId="2" applyNumberFormat="1" applyFont="1" applyFill="1" applyBorder="1" applyAlignment="1">
      <alignment horizontal="right"/>
    </xf>
    <xf numFmtId="232" fontId="27" fillId="0" borderId="0" xfId="2" applyNumberFormat="1" applyFont="1" applyBorder="1" applyAlignment="1">
      <alignment horizontal="right"/>
    </xf>
    <xf numFmtId="255" fontId="27" fillId="0" borderId="4" xfId="3" applyNumberFormat="1" applyFont="1" applyBorder="1" applyAlignment="1">
      <alignment horizontal="right"/>
    </xf>
    <xf numFmtId="255" fontId="27" fillId="0" borderId="6" xfId="3" applyNumberFormat="1" applyFont="1" applyBorder="1" applyAlignment="1">
      <alignment horizontal="right"/>
    </xf>
    <xf numFmtId="165" fontId="27" fillId="0" borderId="4" xfId="3" applyNumberFormat="1" applyFont="1" applyBorder="1" applyAlignment="1"/>
    <xf numFmtId="165" fontId="27" fillId="21" borderId="4" xfId="3" applyNumberFormat="1" applyFont="1" applyFill="1" applyBorder="1" applyAlignment="1"/>
    <xf numFmtId="167" fontId="27" fillId="0" borderId="4" xfId="2" applyNumberFormat="1" applyFont="1" applyBorder="1" applyAlignment="1"/>
    <xf numFmtId="167" fontId="27" fillId="21" borderId="4" xfId="2" applyNumberFormat="1" applyFont="1" applyFill="1" applyBorder="1" applyAlignment="1"/>
    <xf numFmtId="164" fontId="27" fillId="0" borderId="4" xfId="1" applyNumberFormat="1" applyFont="1" applyBorder="1" applyAlignment="1"/>
    <xf numFmtId="5" fontId="27" fillId="0" borderId="4" xfId="1" applyNumberFormat="1" applyFont="1" applyBorder="1" applyAlignment="1"/>
    <xf numFmtId="270" fontId="32" fillId="0" borderId="2" xfId="0" applyNumberFormat="1" applyFont="1" applyBorder="1" applyAlignment="1">
      <alignment horizontal="right"/>
    </xf>
    <xf numFmtId="0" fontId="27" fillId="0" borderId="4" xfId="0" applyFont="1" applyBorder="1" applyAlignment="1">
      <alignment horizontal="center"/>
    </xf>
    <xf numFmtId="0" fontId="27" fillId="0" borderId="0" xfId="0" applyFont="1" applyAlignment="1">
      <alignment horizontal="center"/>
    </xf>
    <xf numFmtId="271" fontId="27" fillId="0" borderId="4" xfId="0" applyNumberFormat="1" applyFont="1" applyBorder="1" applyAlignment="1">
      <alignment horizontal="right"/>
    </xf>
    <xf numFmtId="271" fontId="27" fillId="0" borderId="0" xfId="0" applyNumberFormat="1" applyFont="1" applyAlignment="1">
      <alignment horizontal="right"/>
    </xf>
    <xf numFmtId="197" fontId="27" fillId="0" borderId="4" xfId="2" applyNumberFormat="1" applyFont="1" applyBorder="1" applyAlignment="1">
      <alignment horizontal="right"/>
    </xf>
    <xf numFmtId="0" fontId="27" fillId="0" borderId="4" xfId="0" applyFont="1" applyBorder="1" applyAlignment="1">
      <alignment horizontal="right"/>
    </xf>
    <xf numFmtId="272" fontId="27" fillId="0" borderId="4" xfId="1" applyNumberFormat="1" applyFont="1" applyBorder="1" applyAlignment="1">
      <alignment horizontal="right"/>
    </xf>
    <xf numFmtId="192" fontId="27" fillId="0" borderId="4" xfId="2" applyNumberFormat="1" applyFont="1" applyBorder="1" applyAlignment="1">
      <alignment horizontal="right"/>
    </xf>
    <xf numFmtId="165" fontId="27" fillId="0" borderId="0" xfId="3" applyNumberFormat="1" applyFont="1" applyBorder="1" applyAlignment="1"/>
    <xf numFmtId="165" fontId="27" fillId="21" borderId="0" xfId="3" applyNumberFormat="1" applyFont="1" applyFill="1" applyBorder="1" applyAlignment="1"/>
    <xf numFmtId="167" fontId="27" fillId="0" borderId="0" xfId="2" applyNumberFormat="1" applyFont="1" applyBorder="1" applyAlignment="1"/>
    <xf numFmtId="167" fontId="27" fillId="21" borderId="0" xfId="2" applyNumberFormat="1" applyFont="1" applyFill="1" applyBorder="1" applyAlignment="1"/>
    <xf numFmtId="164" fontId="27" fillId="0" borderId="0" xfId="1" applyNumberFormat="1" applyFont="1" applyBorder="1" applyAlignment="1"/>
    <xf numFmtId="5" fontId="27" fillId="0" borderId="0" xfId="1" applyNumberFormat="1" applyFont="1" applyBorder="1" applyAlignment="1"/>
    <xf numFmtId="164" fontId="27" fillId="0" borderId="7" xfId="1" applyNumberFormat="1" applyFont="1" applyBorder="1" applyAlignment="1"/>
    <xf numFmtId="270" fontId="32" fillId="0" borderId="18" xfId="0" applyNumberFormat="1" applyFont="1" applyBorder="1" applyAlignment="1">
      <alignment horizontal="right"/>
    </xf>
    <xf numFmtId="165" fontId="27" fillId="0" borderId="14" xfId="3" applyNumberFormat="1" applyFont="1" applyBorder="1" applyAlignment="1">
      <alignment horizontal="right"/>
    </xf>
    <xf numFmtId="197" fontId="27" fillId="0" borderId="8" xfId="2" applyNumberFormat="1" applyFont="1" applyFill="1" applyBorder="1" applyAlignment="1">
      <alignment horizontal="right"/>
    </xf>
    <xf numFmtId="0" fontId="27" fillId="0" borderId="0" xfId="0" applyFont="1" applyAlignment="1">
      <alignment horizontal="left"/>
    </xf>
    <xf numFmtId="0" fontId="27" fillId="0" borderId="3" xfId="0" applyFont="1" applyBorder="1" applyAlignment="1">
      <alignment horizontal="center"/>
    </xf>
    <xf numFmtId="193" fontId="27" fillId="0" borderId="0" xfId="1" applyNumberFormat="1" applyFont="1" applyFill="1" applyBorder="1" applyAlignment="1">
      <alignment horizontal="right"/>
    </xf>
    <xf numFmtId="164" fontId="27" fillId="0" borderId="3" xfId="1" applyNumberFormat="1" applyFont="1" applyBorder="1" applyAlignment="1">
      <alignment horizontal="right"/>
    </xf>
    <xf numFmtId="197" fontId="27" fillId="0" borderId="0" xfId="2" applyNumberFormat="1" applyFont="1" applyFill="1" applyBorder="1" applyAlignment="1">
      <alignment horizontal="right"/>
    </xf>
    <xf numFmtId="0" fontId="32" fillId="0" borderId="18" xfId="0" applyFont="1" applyBorder="1" applyAlignment="1">
      <alignment horizontal="right" wrapText="1"/>
    </xf>
    <xf numFmtId="0" fontId="32" fillId="0" borderId="1" xfId="0" applyFont="1" applyBorder="1" applyAlignment="1">
      <alignment horizontal="center"/>
    </xf>
    <xf numFmtId="43" fontId="27" fillId="0" borderId="6" xfId="1" applyFont="1" applyBorder="1" applyAlignment="1">
      <alignment horizontal="right"/>
    </xf>
    <xf numFmtId="197" fontId="27" fillId="0" borderId="2" xfId="2" applyNumberFormat="1" applyFont="1" applyBorder="1" applyAlignment="1">
      <alignment horizontal="right"/>
    </xf>
    <xf numFmtId="164" fontId="27" fillId="21" borderId="4" xfId="1" applyNumberFormat="1" applyFont="1" applyFill="1" applyBorder="1" applyAlignment="1"/>
    <xf numFmtId="164" fontId="27" fillId="21" borderId="0" xfId="1" applyNumberFormat="1" applyFont="1" applyFill="1" applyBorder="1" applyAlignment="1"/>
    <xf numFmtId="0" fontId="32" fillId="0" borderId="2" xfId="0" applyFont="1" applyBorder="1" applyAlignment="1">
      <alignment horizontal="right"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7" fillId="0" borderId="0" xfId="0" applyFont="1" applyAlignment="1">
      <alignment horizontal="left" vertical="top" wrapText="1"/>
    </xf>
    <xf numFmtId="0" fontId="4" fillId="0" borderId="0" xfId="0" applyFont="1" applyAlignment="1">
      <alignment horizontal="left" vertical="top" wrapText="1"/>
    </xf>
    <xf numFmtId="0" fontId="32" fillId="0" borderId="18" xfId="0" applyFont="1" applyBorder="1" applyAlignment="1">
      <alignment horizontal="center"/>
    </xf>
    <xf numFmtId="15" fontId="27" fillId="0" borderId="0" xfId="0" applyNumberFormat="1" applyFont="1"/>
    <xf numFmtId="14" fontId="27" fillId="0" borderId="0" xfId="0" applyNumberFormat="1" applyFont="1"/>
    <xf numFmtId="167" fontId="27" fillId="0" borderId="20" xfId="2" applyNumberFormat="1" applyFont="1" applyBorder="1"/>
    <xf numFmtId="14" fontId="32" fillId="0" borderId="2" xfId="0" applyNumberFormat="1" applyFont="1" applyBorder="1"/>
    <xf numFmtId="14" fontId="32" fillId="0" borderId="18" xfId="0" applyNumberFormat="1" applyFont="1" applyBorder="1"/>
    <xf numFmtId="0" fontId="4" fillId="0" borderId="18" xfId="0" applyFont="1" applyBorder="1" applyAlignment="1">
      <alignment horizontal="left" vertical="top"/>
    </xf>
    <xf numFmtId="177" fontId="27" fillId="0" borderId="6" xfId="1" applyNumberFormat="1" applyFont="1" applyBorder="1" applyAlignment="1"/>
    <xf numFmtId="197" fontId="27" fillId="0" borderId="14" xfId="2" applyNumberFormat="1" applyFont="1" applyBorder="1" applyAlignment="1"/>
    <xf numFmtId="197" fontId="27" fillId="0" borderId="8" xfId="2" applyNumberFormat="1" applyFont="1" applyBorder="1" applyAlignment="1"/>
    <xf numFmtId="273" fontId="27" fillId="0" borderId="4" xfId="1" applyNumberFormat="1" applyFont="1" applyBorder="1" applyAlignment="1"/>
    <xf numFmtId="273" fontId="27" fillId="0" borderId="0" xfId="1" applyNumberFormat="1" applyFont="1" applyBorder="1" applyAlignment="1"/>
    <xf numFmtId="197" fontId="27" fillId="0" borderId="4" xfId="2" applyNumberFormat="1" applyFont="1" applyBorder="1" applyAlignment="1"/>
    <xf numFmtId="197" fontId="27" fillId="0" borderId="0" xfId="2" applyNumberFormat="1" applyFont="1" applyBorder="1" applyAlignment="1"/>
    <xf numFmtId="274" fontId="27" fillId="0" borderId="15" xfId="0" applyNumberFormat="1" applyFont="1" applyBorder="1" applyAlignment="1">
      <alignment horizontal="right"/>
    </xf>
    <xf numFmtId="275" fontId="27" fillId="0" borderId="0" xfId="0" applyNumberFormat="1" applyFont="1" applyAlignment="1">
      <alignment horizontal="right"/>
    </xf>
    <xf numFmtId="274" fontId="27" fillId="0" borderId="0" xfId="0" applyNumberFormat="1" applyFont="1" applyAlignment="1">
      <alignment horizontal="right"/>
    </xf>
    <xf numFmtId="274" fontId="27" fillId="21" borderId="0" xfId="0" applyNumberFormat="1" applyFont="1" applyFill="1" applyAlignment="1">
      <alignment horizontal="right"/>
    </xf>
    <xf numFmtId="10" fontId="27" fillId="0" borderId="6" xfId="0" applyNumberFormat="1" applyFont="1" applyBorder="1"/>
    <xf numFmtId="177" fontId="27" fillId="0" borderId="4" xfId="1" applyNumberFormat="1" applyFont="1" applyFill="1" applyBorder="1"/>
    <xf numFmtId="232" fontId="27" fillId="0" borderId="13" xfId="2" applyNumberFormat="1" applyFont="1" applyBorder="1"/>
    <xf numFmtId="276" fontId="27" fillId="0" borderId="4" xfId="1" applyNumberFormat="1" applyFont="1" applyBorder="1"/>
    <xf numFmtId="277" fontId="27" fillId="0" borderId="4" xfId="1" applyNumberFormat="1" applyFont="1" applyBorder="1"/>
    <xf numFmtId="0" fontId="27" fillId="27" borderId="1" xfId="0" applyFont="1" applyFill="1" applyBorder="1"/>
    <xf numFmtId="14" fontId="32" fillId="27" borderId="0" xfId="0" applyNumberFormat="1" applyFont="1" applyFill="1" applyBorder="1"/>
    <xf numFmtId="14" fontId="32" fillId="27" borderId="4" xfId="0" applyNumberFormat="1" applyFont="1" applyFill="1" applyBorder="1"/>
    <xf numFmtId="0" fontId="27" fillId="27" borderId="3" xfId="0" applyNumberFormat="1" applyFont="1" applyFill="1" applyBorder="1"/>
    <xf numFmtId="197" fontId="27" fillId="27" borderId="0" xfId="2" applyNumberFormat="1" applyFont="1" applyFill="1" applyBorder="1"/>
    <xf numFmtId="197" fontId="27" fillId="27" borderId="4" xfId="2" applyNumberFormat="1" applyFont="1" applyFill="1" applyBorder="1"/>
    <xf numFmtId="0" fontId="27" fillId="27" borderId="3" xfId="0" applyNumberFormat="1" applyFont="1" applyFill="1" applyBorder="1" applyAlignment="1">
      <alignment wrapText="1"/>
    </xf>
    <xf numFmtId="193" fontId="27" fillId="27" borderId="0" xfId="1" applyNumberFormat="1" applyFont="1" applyFill="1" applyBorder="1"/>
    <xf numFmtId="193" fontId="27" fillId="27" borderId="4" xfId="1" applyNumberFormat="1" applyFont="1" applyFill="1" applyBorder="1"/>
    <xf numFmtId="164" fontId="27" fillId="27" borderId="0" xfId="1" applyNumberFormat="1" applyFont="1" applyFill="1" applyBorder="1"/>
    <xf numFmtId="164" fontId="27" fillId="27" borderId="4" xfId="1" applyNumberFormat="1" applyFont="1" applyFill="1" applyBorder="1"/>
    <xf numFmtId="0" fontId="28" fillId="27" borderId="3" xfId="0" applyNumberFormat="1" applyFont="1" applyFill="1" applyBorder="1"/>
    <xf numFmtId="3" fontId="27" fillId="27" borderId="0" xfId="1" applyNumberFormat="1" applyFont="1" applyFill="1" applyBorder="1"/>
    <xf numFmtId="0" fontId="27" fillId="27" borderId="5" xfId="0" applyNumberFormat="1" applyFont="1" applyFill="1" applyBorder="1"/>
    <xf numFmtId="197" fontId="27" fillId="27" borderId="15" xfId="2" applyNumberFormat="1" applyFont="1" applyFill="1" applyBorder="1"/>
    <xf numFmtId="197" fontId="27" fillId="27" borderId="6" xfId="2" applyNumberFormat="1" applyFont="1" applyFill="1" applyBorder="1"/>
    <xf numFmtId="0" fontId="7" fillId="27" borderId="18" xfId="0" applyFont="1" applyFill="1" applyBorder="1"/>
    <xf numFmtId="254" fontId="27" fillId="0" borderId="4" xfId="0" applyNumberFormat="1" applyFont="1" applyBorder="1"/>
    <xf numFmtId="254" fontId="27" fillId="0" borderId="13" xfId="0" applyNumberFormat="1" applyFont="1" applyBorder="1"/>
    <xf numFmtId="254" fontId="27" fillId="0" borderId="2" xfId="3" applyNumberFormat="1" applyFont="1" applyBorder="1"/>
    <xf numFmtId="165" fontId="27" fillId="0" borderId="6" xfId="3" applyNumberFormat="1" applyFont="1" applyBorder="1" applyAlignment="1">
      <alignment horizontal="right"/>
    </xf>
    <xf numFmtId="9" fontId="27" fillId="0" borderId="15" xfId="3" applyFont="1" applyBorder="1" applyAlignment="1">
      <alignment horizontal="right"/>
    </xf>
    <xf numFmtId="197" fontId="27" fillId="0" borderId="15" xfId="0" applyNumberFormat="1" applyFont="1" applyBorder="1" applyAlignment="1">
      <alignment horizontal="right"/>
    </xf>
    <xf numFmtId="9" fontId="27" fillId="0" borderId="0" xfId="3" applyFont="1" applyBorder="1" applyAlignment="1">
      <alignment horizontal="right"/>
    </xf>
    <xf numFmtId="197" fontId="27" fillId="0" borderId="0" xfId="0" applyNumberFormat="1" applyFont="1" applyAlignment="1">
      <alignment horizontal="right"/>
    </xf>
    <xf numFmtId="0" fontId="27" fillId="0" borderId="0" xfId="0" applyFont="1" applyAlignment="1">
      <alignment horizontal="right"/>
    </xf>
    <xf numFmtId="254" fontId="27" fillId="0" borderId="13" xfId="3" applyNumberFormat="1" applyFont="1" applyFill="1" applyBorder="1"/>
    <xf numFmtId="254" fontId="27" fillId="0" borderId="4" xfId="3" applyNumberFormat="1" applyFont="1" applyFill="1" applyBorder="1"/>
    <xf numFmtId="165" fontId="4" fillId="0" borderId="0" xfId="0" applyNumberFormat="1" applyFont="1"/>
    <xf numFmtId="165" fontId="27" fillId="0" borderId="6" xfId="3" applyNumberFormat="1" applyFont="1" applyFill="1" applyBorder="1"/>
    <xf numFmtId="254" fontId="27" fillId="0" borderId="2" xfId="0" applyNumberFormat="1" applyFont="1" applyBorder="1"/>
    <xf numFmtId="164" fontId="27" fillId="21" borderId="16" xfId="1" applyNumberFormat="1" applyFont="1" applyFill="1" applyBorder="1" applyAlignment="1"/>
    <xf numFmtId="164" fontId="27" fillId="21" borderId="7" xfId="1" applyNumberFormat="1" applyFont="1" applyFill="1" applyBorder="1" applyAlignment="1"/>
    <xf numFmtId="200" fontId="27" fillId="21" borderId="4" xfId="0" applyNumberFormat="1" applyFont="1" applyFill="1" applyBorder="1"/>
    <xf numFmtId="164" fontId="27" fillId="0" borderId="2" xfId="1" applyNumberFormat="1" applyFont="1" applyBorder="1"/>
    <xf numFmtId="196" fontId="27" fillId="0" borderId="0" xfId="0" applyNumberFormat="1" applyFont="1"/>
    <xf numFmtId="197" fontId="27" fillId="0" borderId="0" xfId="0" applyNumberFormat="1" applyFont="1"/>
    <xf numFmtId="278" fontId="27" fillId="0" borderId="4" xfId="1" applyNumberFormat="1" applyFont="1" applyFill="1" applyBorder="1"/>
    <xf numFmtId="278" fontId="27" fillId="0" borderId="0" xfId="1" applyNumberFormat="1" applyFont="1" applyFill="1" applyBorder="1"/>
    <xf numFmtId="164" fontId="27" fillId="0" borderId="16" xfId="1" applyNumberFormat="1" applyFont="1" applyFill="1" applyBorder="1"/>
    <xf numFmtId="164" fontId="27" fillId="0" borderId="7" xfId="1" applyNumberFormat="1" applyFont="1" applyFill="1" applyBorder="1"/>
    <xf numFmtId="168" fontId="27" fillId="21" borderId="4" xfId="1" applyNumberFormat="1" applyFont="1" applyFill="1" applyBorder="1"/>
    <xf numFmtId="164" fontId="27" fillId="0" borderId="13" xfId="1" applyNumberFormat="1" applyFont="1" applyFill="1" applyBorder="1"/>
    <xf numFmtId="164" fontId="27" fillId="0" borderId="9" xfId="1" applyNumberFormat="1" applyFont="1" applyFill="1" applyBorder="1"/>
    <xf numFmtId="279" fontId="27" fillId="0" borderId="4" xfId="2" applyNumberFormat="1" applyFont="1" applyFill="1" applyBorder="1"/>
    <xf numFmtId="279" fontId="27" fillId="0" borderId="0" xfId="2" applyNumberFormat="1" applyFont="1" applyFill="1" applyBorder="1"/>
    <xf numFmtId="168" fontId="27" fillId="0" borderId="4" xfId="1" applyNumberFormat="1" applyFont="1" applyFill="1" applyBorder="1"/>
    <xf numFmtId="168" fontId="27" fillId="0" borderId="0" xfId="1" applyNumberFormat="1" applyFont="1" applyFill="1" applyBorder="1"/>
    <xf numFmtId="164" fontId="27" fillId="0" borderId="4" xfId="1" applyNumberFormat="1" applyFont="1" applyBorder="1" applyAlignment="1">
      <alignment horizontal="right"/>
    </xf>
    <xf numFmtId="200" fontId="27" fillId="0" borderId="4" xfId="1" applyNumberFormat="1" applyFont="1" applyBorder="1" applyAlignment="1">
      <alignment horizontal="right"/>
    </xf>
    <xf numFmtId="280" fontId="27" fillId="0" borderId="0" xfId="1" applyNumberFormat="1" applyFont="1" applyBorder="1" applyAlignment="1">
      <alignment horizontal="right"/>
    </xf>
    <xf numFmtId="0" fontId="30" fillId="0" borderId="1" xfId="0" applyFont="1" applyBorder="1" applyAlignment="1">
      <alignment horizontal="right"/>
    </xf>
    <xf numFmtId="281" fontId="27" fillId="0" borderId="0" xfId="0" applyNumberFormat="1" applyFont="1"/>
    <xf numFmtId="282" fontId="27" fillId="0" borderId="0" xfId="1" applyNumberFormat="1" applyFont="1" applyBorder="1"/>
    <xf numFmtId="165" fontId="27" fillId="0" borderId="14" xfId="3" applyNumberFormat="1" applyFont="1" applyBorder="1"/>
    <xf numFmtId="282" fontId="27" fillId="0" borderId="8" xfId="1" applyNumberFormat="1" applyFont="1" applyBorder="1"/>
    <xf numFmtId="165" fontId="27" fillId="0" borderId="33" xfId="3" applyNumberFormat="1" applyFont="1" applyBorder="1"/>
    <xf numFmtId="281" fontId="27" fillId="0" borderId="0" xfId="1" applyNumberFormat="1" applyFont="1" applyBorder="1"/>
    <xf numFmtId="165" fontId="27" fillId="0" borderId="24" xfId="3" applyNumberFormat="1" applyFont="1" applyBorder="1"/>
    <xf numFmtId="200" fontId="27" fillId="0" borderId="0" xfId="0" applyNumberFormat="1" applyFont="1"/>
    <xf numFmtId="281" fontId="27" fillId="0" borderId="0" xfId="1" applyNumberFormat="1" applyFont="1" applyFill="1" applyBorder="1"/>
    <xf numFmtId="281" fontId="27" fillId="21" borderId="0" xfId="1" applyNumberFormat="1" applyFont="1" applyFill="1" applyBorder="1"/>
    <xf numFmtId="281" fontId="27" fillId="21" borderId="24" xfId="1" applyNumberFormat="1" applyFont="1" applyFill="1" applyBorder="1"/>
    <xf numFmtId="281" fontId="27" fillId="21" borderId="4" xfId="1" applyNumberFormat="1" applyFont="1" applyFill="1" applyBorder="1"/>
    <xf numFmtId="3" fontId="27" fillId="21" borderId="4" xfId="1" applyNumberFormat="1" applyFont="1" applyFill="1" applyBorder="1"/>
    <xf numFmtId="3" fontId="28" fillId="21" borderId="4" xfId="1" applyNumberFormat="1" applyFont="1" applyFill="1" applyBorder="1"/>
    <xf numFmtId="203" fontId="27" fillId="21" borderId="4" xfId="1" applyNumberFormat="1" applyFont="1" applyFill="1" applyBorder="1"/>
    <xf numFmtId="203" fontId="27" fillId="21" borderId="4" xfId="2" applyNumberFormat="1" applyFont="1" applyFill="1" applyBorder="1"/>
    <xf numFmtId="170" fontId="27" fillId="21" borderId="4" xfId="1" applyNumberFormat="1" applyFont="1" applyFill="1" applyBorder="1"/>
    <xf numFmtId="170" fontId="27" fillId="21" borderId="9" xfId="1" applyNumberFormat="1" applyFont="1" applyFill="1" applyBorder="1"/>
    <xf numFmtId="171" fontId="27" fillId="21" borderId="9" xfId="1" applyNumberFormat="1" applyFont="1" applyFill="1" applyBorder="1"/>
    <xf numFmtId="171" fontId="27" fillId="21" borderId="9" xfId="2" applyNumberFormat="1" applyFont="1" applyFill="1" applyBorder="1"/>
    <xf numFmtId="3" fontId="27" fillId="19" borderId="18" xfId="1" applyNumberFormat="1" applyFont="1" applyFill="1" applyBorder="1"/>
    <xf numFmtId="205" fontId="38" fillId="19" borderId="0" xfId="1" applyNumberFormat="1" applyFont="1" applyFill="1" applyBorder="1"/>
    <xf numFmtId="3" fontId="27" fillId="19" borderId="0" xfId="0" applyNumberFormat="1" applyFont="1" applyFill="1" applyBorder="1"/>
    <xf numFmtId="3" fontId="27" fillId="19" borderId="9" xfId="1" applyNumberFormat="1" applyFont="1" applyFill="1" applyBorder="1"/>
    <xf numFmtId="164" fontId="28" fillId="19" borderId="7" xfId="1" applyNumberFormat="1" applyFont="1" applyFill="1" applyBorder="1"/>
    <xf numFmtId="3" fontId="27" fillId="19" borderId="10" xfId="1" applyNumberFormat="1" applyFont="1" applyFill="1" applyBorder="1"/>
    <xf numFmtId="3" fontId="27" fillId="19" borderId="8" xfId="2" applyNumberFormat="1" applyFont="1" applyFill="1" applyBorder="1"/>
    <xf numFmtId="3" fontId="27" fillId="19" borderId="15" xfId="2" applyNumberFormat="1" applyFont="1" applyFill="1" applyBorder="1"/>
    <xf numFmtId="170" fontId="27" fillId="21" borderId="8" xfId="1" applyNumberFormat="1" applyFont="1" applyFill="1" applyBorder="1"/>
    <xf numFmtId="207" fontId="38" fillId="19" borderId="0" xfId="1" applyNumberFormat="1" applyFont="1" applyFill="1" applyBorder="1"/>
    <xf numFmtId="206" fontId="27" fillId="19" borderId="0" xfId="1" applyNumberFormat="1" applyFont="1" applyFill="1"/>
    <xf numFmtId="203" fontId="27" fillId="19" borderId="0" xfId="1" applyNumberFormat="1" applyFont="1" applyFill="1"/>
    <xf numFmtId="203" fontId="27" fillId="19" borderId="0" xfId="2" applyNumberFormat="1" applyFont="1" applyFill="1"/>
    <xf numFmtId="3" fontId="27" fillId="19" borderId="0" xfId="1" applyNumberFormat="1" applyFont="1" applyFill="1"/>
    <xf numFmtId="164" fontId="27" fillId="19" borderId="15" xfId="1" applyNumberFormat="1" applyFont="1" applyFill="1" applyBorder="1"/>
    <xf numFmtId="254" fontId="27" fillId="21" borderId="0" xfId="3" applyNumberFormat="1" applyFont="1" applyFill="1"/>
    <xf numFmtId="254" fontId="27" fillId="19" borderId="0" xfId="0" applyNumberFormat="1" applyFont="1" applyFill="1"/>
    <xf numFmtId="254" fontId="25" fillId="19" borderId="15" xfId="0" applyNumberFormat="1" applyFont="1" applyFill="1" applyBorder="1"/>
    <xf numFmtId="211" fontId="4" fillId="21" borderId="0" xfId="1" applyNumberFormat="1" applyFont="1" applyFill="1"/>
    <xf numFmtId="211" fontId="4" fillId="21" borderId="4" xfId="1" applyNumberFormat="1" applyFont="1" applyFill="1" applyBorder="1"/>
    <xf numFmtId="203" fontId="27" fillId="21" borderId="9" xfId="1" applyNumberFormat="1" applyFont="1" applyFill="1" applyBorder="1"/>
    <xf numFmtId="218" fontId="27" fillId="21" borderId="0" xfId="1" applyNumberFormat="1" applyFont="1" applyFill="1"/>
    <xf numFmtId="218" fontId="27" fillId="21" borderId="4" xfId="1" applyNumberFormat="1" applyFont="1" applyFill="1" applyBorder="1"/>
    <xf numFmtId="283" fontId="27" fillId="0" borderId="4" xfId="0" applyNumberFormat="1" applyFont="1" applyBorder="1"/>
    <xf numFmtId="205" fontId="27" fillId="0" borderId="13" xfId="1" applyNumberFormat="1" applyFont="1" applyBorder="1" applyAlignment="1"/>
    <xf numFmtId="3" fontId="27" fillId="0" borderId="6" xfId="0" applyNumberFormat="1" applyFont="1" applyBorder="1"/>
    <xf numFmtId="3" fontId="27" fillId="0" borderId="4" xfId="0" applyNumberFormat="1" applyFont="1" applyBorder="1"/>
    <xf numFmtId="3" fontId="27" fillId="21" borderId="4" xfId="0" applyNumberFormat="1" applyFont="1" applyFill="1" applyBorder="1" applyAlignment="1">
      <alignment horizontal="right"/>
    </xf>
    <xf numFmtId="3" fontId="27" fillId="0" borderId="4" xfId="0" applyNumberFormat="1" applyFont="1" applyBorder="1" applyAlignment="1">
      <alignment horizontal="right"/>
    </xf>
    <xf numFmtId="284" fontId="27" fillId="0" borderId="8" xfId="1" applyNumberFormat="1" applyFont="1" applyBorder="1"/>
    <xf numFmtId="284" fontId="27" fillId="0" borderId="0" xfId="1" applyNumberFormat="1" applyFont="1" applyBorder="1"/>
    <xf numFmtId="284" fontId="27" fillId="0" borderId="7" xfId="1" applyNumberFormat="1" applyFont="1" applyBorder="1"/>
    <xf numFmtId="284" fontId="27" fillId="0" borderId="28" xfId="1" applyNumberFormat="1" applyFont="1" applyBorder="1"/>
    <xf numFmtId="282" fontId="27" fillId="0" borderId="15" xfId="1" applyNumberFormat="1" applyFont="1" applyBorder="1"/>
    <xf numFmtId="282" fontId="27" fillId="0" borderId="15" xfId="1" applyNumberFormat="1" applyFont="1" applyFill="1" applyBorder="1"/>
    <xf numFmtId="282" fontId="27" fillId="0" borderId="0" xfId="1" applyNumberFormat="1" applyFont="1" applyFill="1" applyBorder="1"/>
    <xf numFmtId="165" fontId="28" fillId="0" borderId="14" xfId="3" applyNumberFormat="1" applyFont="1" applyBorder="1"/>
    <xf numFmtId="165" fontId="28" fillId="0" borderId="33" xfId="3" applyNumberFormat="1" applyFont="1" applyBorder="1"/>
    <xf numFmtId="165" fontId="28" fillId="0" borderId="24" xfId="3" applyNumberFormat="1" applyFont="1" applyBorder="1"/>
    <xf numFmtId="0" fontId="28" fillId="21" borderId="24" xfId="3" applyNumberFormat="1" applyFont="1" applyFill="1" applyBorder="1"/>
    <xf numFmtId="0" fontId="27" fillId="21" borderId="0" xfId="1" applyNumberFormat="1" applyFont="1" applyFill="1" applyBorder="1"/>
    <xf numFmtId="0" fontId="28" fillId="21" borderId="4" xfId="3" applyNumberFormat="1" applyFont="1" applyFill="1" applyBorder="1"/>
    <xf numFmtId="0" fontId="30" fillId="0" borderId="2" xfId="0" applyFont="1" applyBorder="1" applyAlignment="1">
      <alignment horizontal="right"/>
    </xf>
    <xf numFmtId="0" fontId="30" fillId="0" borderId="32" xfId="0" applyFont="1" applyBorder="1" applyAlignment="1">
      <alignment horizontal="right"/>
    </xf>
    <xf numFmtId="0" fontId="27" fillId="19" borderId="18" xfId="0" applyFont="1" applyFill="1" applyBorder="1"/>
    <xf numFmtId="0" fontId="28" fillId="0" borderId="4" xfId="0" applyFont="1" applyBorder="1" applyAlignment="1">
      <alignment horizontal="right"/>
    </xf>
    <xf numFmtId="0" fontId="27" fillId="0" borderId="2" xfId="0" applyFont="1" applyBorder="1" applyAlignment="1">
      <alignment horizontal="center"/>
    </xf>
    <xf numFmtId="0" fontId="27" fillId="0" borderId="0" xfId="0" applyNumberFormat="1" applyFont="1"/>
    <xf numFmtId="172" fontId="32" fillId="0" borderId="0" xfId="0" applyNumberFormat="1" applyFont="1" applyBorder="1"/>
    <xf numFmtId="172" fontId="27" fillId="0" borderId="0" xfId="0" applyNumberFormat="1" applyFont="1" applyBorder="1"/>
    <xf numFmtId="14" fontId="27" fillId="0" borderId="0" xfId="0" applyNumberFormat="1" applyFont="1" applyBorder="1"/>
    <xf numFmtId="165" fontId="27" fillId="8" borderId="0" xfId="3" applyNumberFormat="1" applyFont="1" applyFill="1"/>
    <xf numFmtId="0" fontId="27" fillId="0" borderId="0" xfId="1" applyNumberFormat="1" applyFont="1" applyFill="1" applyBorder="1"/>
    <xf numFmtId="285" fontId="27" fillId="0" borderId="27" xfId="2" applyNumberFormat="1" applyFont="1" applyBorder="1"/>
    <xf numFmtId="269" fontId="27" fillId="0" borderId="4" xfId="0" applyNumberFormat="1" applyFont="1" applyBorder="1" applyAlignment="1">
      <alignment vertical="top" wrapText="1"/>
    </xf>
    <xf numFmtId="269" fontId="36" fillId="0" borderId="4" xfId="0" applyNumberFormat="1" applyFont="1" applyBorder="1" applyAlignment="1">
      <alignment vertical="top" wrapText="1"/>
    </xf>
    <xf numFmtId="0" fontId="27" fillId="0" borderId="0" xfId="0" applyFont="1" applyBorder="1" applyAlignment="1">
      <alignment vertical="center" wrapText="1"/>
    </xf>
    <xf numFmtId="10" fontId="27" fillId="0" borderId="0" xfId="0" applyNumberFormat="1" applyFont="1" applyBorder="1" applyAlignment="1">
      <alignment vertical="center" wrapText="1"/>
    </xf>
    <xf numFmtId="10" fontId="27" fillId="0" borderId="4" xfId="0" applyNumberFormat="1" applyFont="1" applyBorder="1" applyAlignment="1">
      <alignment vertical="center" wrapText="1"/>
    </xf>
    <xf numFmtId="269" fontId="27" fillId="0" borderId="0" xfId="0" applyNumberFormat="1" applyFont="1" applyBorder="1" applyAlignment="1">
      <alignment vertical="top" wrapText="1"/>
    </xf>
    <xf numFmtId="269" fontId="36" fillId="0" borderId="0" xfId="0" applyNumberFormat="1" applyFont="1" applyBorder="1" applyAlignment="1">
      <alignment vertical="top" wrapText="1"/>
    </xf>
    <xf numFmtId="3" fontId="27" fillId="0" borderId="0" xfId="0" applyNumberFormat="1" applyFont="1" applyBorder="1" applyAlignment="1">
      <alignment vertical="center" wrapText="1"/>
    </xf>
    <xf numFmtId="3" fontId="36" fillId="0" borderId="0" xfId="0" applyNumberFormat="1" applyFont="1" applyBorder="1" applyAlignment="1">
      <alignment vertical="center" wrapText="1"/>
    </xf>
    <xf numFmtId="3" fontId="36" fillId="35" borderId="0" xfId="0" applyNumberFormat="1" applyFont="1" applyFill="1" applyBorder="1" applyAlignment="1">
      <alignment vertical="center" wrapText="1"/>
    </xf>
    <xf numFmtId="9" fontId="36" fillId="0" borderId="0" xfId="0" applyNumberFormat="1" applyFont="1" applyBorder="1" applyAlignment="1">
      <alignment vertical="center" wrapText="1"/>
    </xf>
    <xf numFmtId="3" fontId="27" fillId="0" borderId="0" xfId="0" applyNumberFormat="1" applyFont="1" applyFill="1" applyBorder="1" applyAlignment="1">
      <alignment vertical="center" wrapText="1"/>
    </xf>
    <xf numFmtId="286" fontId="27" fillId="0" borderId="0" xfId="0" applyNumberFormat="1" applyFont="1" applyAlignment="1"/>
    <xf numFmtId="258" fontId="36" fillId="0" borderId="0" xfId="0" applyNumberFormat="1" applyFont="1" applyBorder="1" applyAlignment="1">
      <alignment vertical="top" wrapText="1"/>
    </xf>
    <xf numFmtId="3" fontId="36" fillId="0" borderId="0" xfId="0" applyNumberFormat="1" applyFont="1" applyFill="1" applyBorder="1" applyAlignment="1">
      <alignment vertical="center" wrapText="1"/>
    </xf>
    <xf numFmtId="0" fontId="7" fillId="0" borderId="0" xfId="0" applyFont="1" applyBorder="1" applyAlignment="1">
      <alignment vertical="center"/>
    </xf>
    <xf numFmtId="286" fontId="27" fillId="0" borderId="0" xfId="0" applyNumberFormat="1" applyFont="1" applyBorder="1" applyAlignment="1"/>
    <xf numFmtId="286" fontId="27" fillId="0" borderId="4" xfId="0" applyNumberFormat="1" applyFont="1" applyBorder="1" applyAlignment="1"/>
    <xf numFmtId="0" fontId="25" fillId="0" borderId="0" xfId="0" applyFont="1" applyAlignment="1">
      <alignment horizontal="left" vertical="top" wrapText="1"/>
    </xf>
    <xf numFmtId="0" fontId="4" fillId="0" borderId="3" xfId="0" applyFont="1" applyBorder="1" applyAlignment="1">
      <alignment horizontal="left" vertical="top" wrapText="1"/>
    </xf>
    <xf numFmtId="0" fontId="27" fillId="0" borderId="3" xfId="0" applyFont="1" applyBorder="1" applyAlignment="1">
      <alignment horizontal="left" vertical="top" wrapText="1"/>
    </xf>
    <xf numFmtId="220" fontId="27" fillId="0" borderId="4" xfId="1" applyNumberFormat="1" applyFont="1" applyBorder="1"/>
    <xf numFmtId="282" fontId="27" fillId="0" borderId="4" xfId="1" applyNumberFormat="1" applyFont="1" applyBorder="1"/>
    <xf numFmtId="198" fontId="27" fillId="0" borderId="4" xfId="1" applyNumberFormat="1" applyFont="1" applyFill="1" applyBorder="1"/>
    <xf numFmtId="220" fontId="27" fillId="0" borderId="4" xfId="1" applyNumberFormat="1" applyFont="1" applyFill="1" applyBorder="1"/>
    <xf numFmtId="198" fontId="27" fillId="0" borderId="4" xfId="0" applyNumberFormat="1" applyFont="1" applyBorder="1"/>
    <xf numFmtId="187" fontId="27" fillId="0" borderId="4" xfId="0" applyNumberFormat="1" applyFont="1" applyBorder="1"/>
    <xf numFmtId="220" fontId="27" fillId="0" borderId="2" xfId="0" applyNumberFormat="1" applyFont="1" applyBorder="1"/>
    <xf numFmtId="287" fontId="42" fillId="0" borderId="6" xfId="3" applyNumberFormat="1" applyFont="1" applyBorder="1" applyAlignment="1">
      <alignment horizontal="center" vertical="top" wrapText="1"/>
    </xf>
    <xf numFmtId="10" fontId="42" fillId="0" borderId="15" xfId="3" applyNumberFormat="1" applyFont="1" applyBorder="1" applyAlignment="1">
      <alignment horizontal="center" vertical="top" wrapText="1"/>
    </xf>
    <xf numFmtId="0" fontId="27" fillId="0" borderId="15" xfId="0" applyFont="1" applyBorder="1" applyAlignment="1">
      <alignment horizontal="center" vertical="top"/>
    </xf>
    <xf numFmtId="177" fontId="58" fillId="0" borderId="15" xfId="1" applyNumberFormat="1" applyFont="1" applyBorder="1" applyAlignment="1">
      <alignment horizontal="right" vertical="top" wrapText="1"/>
    </xf>
    <xf numFmtId="189" fontId="59" fillId="0" borderId="15" xfId="5" applyNumberFormat="1" applyFont="1" applyBorder="1" applyAlignment="1">
      <alignment horizontal="center" vertical="top" wrapText="1"/>
    </xf>
    <xf numFmtId="2" fontId="58" fillId="0" borderId="15" xfId="1" applyNumberFormat="1" applyFont="1" applyBorder="1" applyAlignment="1">
      <alignment horizontal="center" vertical="top" wrapText="1"/>
    </xf>
    <xf numFmtId="0" fontId="27" fillId="0" borderId="5" xfId="0" applyFont="1" applyBorder="1" applyAlignment="1">
      <alignment horizontal="center"/>
    </xf>
    <xf numFmtId="287" fontId="42" fillId="0" borderId="4" xfId="3" applyNumberFormat="1" applyFont="1" applyBorder="1" applyAlignment="1">
      <alignment horizontal="center" vertical="top" wrapText="1"/>
    </xf>
    <xf numFmtId="10" fontId="42" fillId="0" borderId="0" xfId="3" applyNumberFormat="1" applyFont="1" applyBorder="1" applyAlignment="1">
      <alignment horizontal="center" vertical="top" wrapText="1"/>
    </xf>
    <xf numFmtId="0" fontId="27" fillId="0" borderId="0" xfId="0" applyFont="1" applyAlignment="1">
      <alignment horizontal="center" vertical="top"/>
    </xf>
    <xf numFmtId="177" fontId="58" fillId="0" borderId="0" xfId="1" applyNumberFormat="1" applyFont="1" applyBorder="1" applyAlignment="1">
      <alignment horizontal="right" vertical="top" wrapText="1"/>
    </xf>
    <xf numFmtId="0" fontId="42" fillId="0" borderId="0" xfId="5" applyFont="1" applyAlignment="1">
      <alignment horizontal="center" vertical="top" wrapText="1"/>
    </xf>
    <xf numFmtId="2" fontId="58" fillId="0" borderId="0" xfId="1" applyNumberFormat="1" applyFont="1" applyBorder="1" applyAlignment="1">
      <alignment horizontal="center" vertical="top" wrapText="1"/>
    </xf>
    <xf numFmtId="189" fontId="58" fillId="0" borderId="0" xfId="5" applyNumberFormat="1" applyFont="1" applyAlignment="1">
      <alignment horizontal="center" vertical="top" wrapText="1"/>
    </xf>
    <xf numFmtId="188" fontId="58" fillId="0" borderId="0" xfId="5" applyNumberFormat="1" applyFont="1" applyAlignment="1">
      <alignment horizontal="center" vertical="top" wrapText="1"/>
    </xf>
    <xf numFmtId="188" fontId="60" fillId="0" borderId="0" xfId="5" applyNumberFormat="1" applyFont="1" applyAlignment="1">
      <alignment horizontal="center" vertical="top" wrapText="1"/>
    </xf>
    <xf numFmtId="10" fontId="42" fillId="0" borderId="0" xfId="5" applyNumberFormat="1" applyFont="1" applyAlignment="1">
      <alignment horizontal="center" vertical="top" wrapText="1"/>
    </xf>
    <xf numFmtId="188" fontId="59" fillId="0" borderId="0" xfId="5" applyNumberFormat="1" applyFont="1" applyAlignment="1">
      <alignment horizontal="center" vertical="top" wrapText="1"/>
    </xf>
    <xf numFmtId="287" fontId="36" fillId="0" borderId="4" xfId="3" applyNumberFormat="1" applyFont="1" applyBorder="1" applyAlignment="1">
      <alignment horizontal="center" vertical="top" wrapText="1"/>
    </xf>
    <xf numFmtId="188" fontId="61" fillId="0" borderId="0" xfId="5" applyNumberFormat="1" applyFont="1" applyAlignment="1">
      <alignment horizontal="center" vertical="top" wrapText="1"/>
    </xf>
    <xf numFmtId="190" fontId="36" fillId="0" borderId="0" xfId="2" applyNumberFormat="1" applyFont="1" applyBorder="1" applyAlignment="1">
      <alignment horizontal="center" vertical="top" wrapText="1"/>
    </xf>
    <xf numFmtId="188" fontId="62" fillId="0" borderId="0" xfId="5" applyNumberFormat="1" applyFont="1" applyAlignment="1">
      <alignment horizontal="center" vertical="top" wrapText="1"/>
    </xf>
    <xf numFmtId="288" fontId="36" fillId="0" borderId="0" xfId="2" applyNumberFormat="1" applyFont="1" applyBorder="1" applyAlignment="1">
      <alignment horizontal="right" vertical="top" wrapText="1"/>
    </xf>
    <xf numFmtId="0" fontId="27" fillId="0" borderId="1" xfId="0" applyFont="1" applyBorder="1" applyAlignment="1">
      <alignment horizontal="center"/>
    </xf>
    <xf numFmtId="0" fontId="7" fillId="0" borderId="18" xfId="0" applyFont="1" applyBorder="1" applyAlignment="1">
      <alignment vertical="top" wrapText="1"/>
    </xf>
    <xf numFmtId="225" fontId="27" fillId="0" borderId="20" xfId="0" applyNumberFormat="1" applyFont="1" applyBorder="1"/>
    <xf numFmtId="211" fontId="27" fillId="0" borderId="4" xfId="1" applyNumberFormat="1" applyFont="1" applyBorder="1"/>
    <xf numFmtId="211" fontId="27" fillId="0" borderId="13" xfId="0" applyNumberFormat="1" applyFont="1" applyBorder="1"/>
    <xf numFmtId="211" fontId="27" fillId="0" borderId="4" xfId="0" applyNumberFormat="1" applyFont="1" applyBorder="1"/>
    <xf numFmtId="289" fontId="27" fillId="0" borderId="6" xfId="0" applyNumberFormat="1" applyFont="1" applyBorder="1"/>
    <xf numFmtId="289" fontId="27" fillId="0" borderId="15" xfId="0" applyNumberFormat="1" applyFont="1" applyBorder="1"/>
    <xf numFmtId="164" fontId="7" fillId="0" borderId="0" xfId="1" applyNumberFormat="1" applyFont="1" applyBorder="1" applyAlignment="1">
      <alignment horizontal="right" wrapText="1"/>
    </xf>
    <xf numFmtId="164" fontId="7" fillId="0" borderId="0" xfId="1" applyNumberFormat="1" applyFont="1" applyBorder="1" applyAlignment="1">
      <alignment horizontal="right"/>
    </xf>
    <xf numFmtId="268" fontId="27" fillId="0" borderId="0" xfId="0" applyNumberFormat="1" applyFont="1"/>
    <xf numFmtId="290" fontId="27" fillId="21" borderId="4" xfId="0" applyNumberFormat="1" applyFont="1" applyFill="1" applyBorder="1" applyAlignment="1">
      <alignment horizontal="right"/>
    </xf>
    <xf numFmtId="268" fontId="27" fillId="21" borderId="0" xfId="0" applyNumberFormat="1" applyFont="1" applyFill="1" applyAlignment="1">
      <alignment horizontal="right"/>
    </xf>
    <xf numFmtId="290" fontId="27" fillId="0" borderId="4" xfId="0" applyNumberFormat="1" applyFont="1" applyBorder="1" applyAlignment="1">
      <alignment horizontal="right"/>
    </xf>
    <xf numFmtId="268" fontId="27" fillId="0" borderId="0" xfId="0" applyNumberFormat="1" applyFont="1" applyAlignment="1">
      <alignment horizontal="right"/>
    </xf>
    <xf numFmtId="291" fontId="27" fillId="0" borderId="0" xfId="0" applyNumberFormat="1" applyFont="1" applyAlignment="1">
      <alignment horizontal="right"/>
    </xf>
    <xf numFmtId="292" fontId="27" fillId="0" borderId="4" xfId="0" applyNumberFormat="1" applyFont="1" applyBorder="1" applyAlignment="1">
      <alignment horizontal="right"/>
    </xf>
    <xf numFmtId="0" fontId="0" fillId="0" borderId="6" xfId="0" applyBorder="1"/>
    <xf numFmtId="0" fontId="0" fillId="0" borderId="4" xfId="0" applyBorder="1"/>
    <xf numFmtId="0" fontId="0" fillId="0" borderId="0" xfId="0" applyAlignment="1">
      <alignment horizontal="center"/>
    </xf>
    <xf numFmtId="0" fontId="27" fillId="0" borderId="0" xfId="0" applyFont="1" applyAlignment="1">
      <alignment horizontal="center" vertical="top" wrapText="1"/>
    </xf>
    <xf numFmtId="165" fontId="27" fillId="0" borderId="0" xfId="3" applyNumberFormat="1" applyFont="1" applyBorder="1" applyAlignment="1">
      <alignment horizontal="center" vertical="top" wrapText="1"/>
    </xf>
    <xf numFmtId="165" fontId="4" fillId="0" borderId="0" xfId="3" applyNumberFormat="1" applyFont="1" applyBorder="1" applyAlignment="1">
      <alignment horizontal="center" vertical="top" wrapText="1"/>
    </xf>
    <xf numFmtId="293" fontId="27" fillId="0" borderId="8" xfId="0" applyNumberFormat="1" applyFont="1" applyBorder="1"/>
    <xf numFmtId="293" fontId="27" fillId="0" borderId="0" xfId="0" applyNumberFormat="1" applyFont="1"/>
    <xf numFmtId="211" fontId="27" fillId="0" borderId="0" xfId="0" applyNumberFormat="1" applyFont="1"/>
    <xf numFmtId="211" fontId="27" fillId="0" borderId="7" xfId="0" applyNumberFormat="1" applyFont="1" applyBorder="1"/>
    <xf numFmtId="294" fontId="27" fillId="0" borderId="0" xfId="0" applyNumberFormat="1" applyFont="1"/>
    <xf numFmtId="209" fontId="32" fillId="0" borderId="0" xfId="0" applyNumberFormat="1" applyFont="1" applyAlignment="1">
      <alignment horizontal="right" vertical="top" wrapText="1"/>
    </xf>
    <xf numFmtId="209" fontId="0" fillId="0" borderId="0" xfId="0" applyNumberFormat="1" applyAlignment="1">
      <alignment horizontal="right"/>
    </xf>
    <xf numFmtId="0" fontId="32" fillId="0" borderId="0" xfId="0" applyFont="1" applyAlignment="1">
      <alignment horizontal="center" vertical="top" wrapText="1"/>
    </xf>
    <xf numFmtId="0" fontId="32" fillId="0" borderId="1" xfId="0" applyFont="1" applyBorder="1" applyAlignment="1">
      <alignment horizontal="left" wrapText="1"/>
    </xf>
    <xf numFmtId="295" fontId="27" fillId="0" borderId="4" xfId="0" applyNumberFormat="1" applyFont="1" applyBorder="1"/>
    <xf numFmtId="295" fontId="27" fillId="21" borderId="4" xfId="0" applyNumberFormat="1" applyFont="1" applyFill="1" applyBorder="1"/>
    <xf numFmtId="292" fontId="27" fillId="0" borderId="4" xfId="1" applyNumberFormat="1" applyFont="1" applyBorder="1"/>
    <xf numFmtId="0" fontId="25" fillId="0" borderId="0" xfId="0" applyFont="1" applyAlignment="1">
      <alignment horizontal="left" vertical="top" wrapText="1"/>
    </xf>
    <xf numFmtId="0" fontId="4" fillId="0" borderId="3" xfId="0" applyFont="1" applyBorder="1" applyAlignment="1">
      <alignment horizontal="left" vertical="top" wrapText="1"/>
    </xf>
    <xf numFmtId="0" fontId="27" fillId="0" borderId="3" xfId="0" applyFont="1" applyBorder="1" applyAlignment="1">
      <alignment horizontal="left" vertical="top" wrapText="1"/>
    </xf>
    <xf numFmtId="0" fontId="27" fillId="0" borderId="0" xfId="0" applyFont="1" applyAlignment="1">
      <alignment horizontal="left" vertical="top" wrapText="1"/>
    </xf>
    <xf numFmtId="0" fontId="27" fillId="0" borderId="18" xfId="0" applyFont="1" applyBorder="1" applyAlignment="1">
      <alignment horizontal="center" wrapText="1"/>
    </xf>
    <xf numFmtId="0" fontId="27" fillId="0" borderId="2" xfId="0" applyFont="1" applyBorder="1" applyAlignment="1">
      <alignment horizontal="center" wrapText="1"/>
    </xf>
    <xf numFmtId="0" fontId="4" fillId="0" borderId="0" xfId="0" applyFont="1" applyBorder="1" applyAlignment="1">
      <alignment horizontal="left" vertical="top" wrapText="1"/>
    </xf>
    <xf numFmtId="204" fontId="27" fillId="0" borderId="6" xfId="0" applyNumberFormat="1" applyFont="1" applyBorder="1" applyAlignment="1">
      <alignment horizontal="right"/>
    </xf>
    <xf numFmtId="204" fontId="27" fillId="0" borderId="15" xfId="0" applyNumberFormat="1" applyFont="1" applyBorder="1" applyAlignment="1">
      <alignment horizontal="right"/>
    </xf>
    <xf numFmtId="204" fontId="27" fillId="0" borderId="14" xfId="0" applyNumberFormat="1" applyFont="1" applyBorder="1" applyAlignment="1">
      <alignment horizontal="right"/>
    </xf>
    <xf numFmtId="204" fontId="27" fillId="0" borderId="0" xfId="0" applyNumberFormat="1" applyFont="1" applyAlignment="1">
      <alignment horizontal="right"/>
    </xf>
    <xf numFmtId="204" fontId="27" fillId="0" borderId="8" xfId="0" applyNumberFormat="1" applyFont="1" applyBorder="1" applyAlignment="1">
      <alignment horizontal="right"/>
    </xf>
    <xf numFmtId="203" fontId="27" fillId="0" borderId="4" xfId="0" applyNumberFormat="1" applyFont="1" applyBorder="1" applyAlignment="1">
      <alignment horizontal="right"/>
    </xf>
    <xf numFmtId="203" fontId="27" fillId="0" borderId="0" xfId="0" applyNumberFormat="1" applyFont="1" applyAlignment="1">
      <alignment horizontal="right"/>
    </xf>
    <xf numFmtId="204" fontId="27" fillId="0" borderId="4" xfId="0" applyNumberFormat="1" applyFont="1" applyBorder="1" applyAlignment="1">
      <alignment horizontal="right"/>
    </xf>
    <xf numFmtId="209" fontId="32" fillId="0" borderId="18" xfId="0" applyNumberFormat="1" applyFont="1" applyBorder="1" applyAlignment="1">
      <alignment horizontal="right" indent="1"/>
    </xf>
    <xf numFmtId="0" fontId="32" fillId="0" borderId="18" xfId="0" applyFont="1" applyBorder="1" applyAlignment="1">
      <alignment horizontal="right" indent="1"/>
    </xf>
    <xf numFmtId="296" fontId="27" fillId="0" borderId="20" xfId="0" applyNumberFormat="1" applyFont="1" applyBorder="1"/>
    <xf numFmtId="267" fontId="27" fillId="0" borderId="15" xfId="0" applyNumberFormat="1" applyFont="1" applyBorder="1"/>
    <xf numFmtId="297" fontId="27" fillId="0" borderId="4" xfId="0" applyNumberFormat="1" applyFont="1" applyBorder="1"/>
    <xf numFmtId="267" fontId="27" fillId="0" borderId="0" xfId="0" applyNumberFormat="1" applyFont="1"/>
    <xf numFmtId="297" fontId="27" fillId="0" borderId="13" xfId="0" applyNumberFormat="1" applyFont="1" applyBorder="1"/>
    <xf numFmtId="297" fontId="27" fillId="0" borderId="9" xfId="0" applyNumberFormat="1" applyFont="1" applyBorder="1"/>
    <xf numFmtId="297" fontId="27" fillId="0" borderId="0" xfId="0" applyNumberFormat="1" applyFont="1"/>
    <xf numFmtId="267" fontId="27" fillId="0" borderId="4" xfId="0" applyNumberFormat="1" applyFont="1" applyBorder="1"/>
    <xf numFmtId="220" fontId="4" fillId="0" borderId="4" xfId="1" applyNumberFormat="1" applyFont="1" applyBorder="1"/>
    <xf numFmtId="281" fontId="27" fillId="0" borderId="4" xfId="1" applyNumberFormat="1" applyFont="1" applyBorder="1"/>
    <xf numFmtId="281" fontId="27" fillId="0" borderId="4" xfId="1" applyNumberFormat="1" applyFont="1" applyFill="1" applyBorder="1"/>
    <xf numFmtId="282" fontId="27" fillId="0" borderId="4" xfId="1" applyNumberFormat="1" applyFont="1" applyFill="1" applyBorder="1"/>
    <xf numFmtId="268" fontId="27" fillId="21" borderId="0" xfId="0" applyNumberFormat="1" applyFont="1" applyFill="1"/>
    <xf numFmtId="0" fontId="0" fillId="0" borderId="15" xfId="0" applyBorder="1" applyAlignment="1">
      <alignment horizontal="center"/>
    </xf>
    <xf numFmtId="0" fontId="27" fillId="0" borderId="15" xfId="0" applyFont="1" applyBorder="1" applyAlignment="1">
      <alignment horizontal="center" vertical="top" wrapText="1"/>
    </xf>
    <xf numFmtId="165" fontId="4" fillId="0" borderId="0" xfId="3" applyNumberFormat="1" applyFont="1" applyFill="1" applyBorder="1" applyAlignment="1">
      <alignment horizontal="center" vertical="top" wrapText="1"/>
    </xf>
    <xf numFmtId="165" fontId="27" fillId="0" borderId="0" xfId="3" applyNumberFormat="1" applyFont="1" applyFill="1" applyBorder="1" applyAlignment="1">
      <alignment vertical="top" wrapText="1"/>
    </xf>
    <xf numFmtId="165" fontId="27" fillId="0" borderId="3" xfId="3" applyNumberFormat="1" applyFont="1" applyBorder="1" applyAlignment="1">
      <alignment vertical="top" wrapText="1"/>
    </xf>
    <xf numFmtId="0" fontId="0" fillId="21" borderId="4" xfId="0" applyFill="1" applyBorder="1"/>
    <xf numFmtId="293" fontId="27" fillId="21" borderId="0" xfId="0" applyNumberFormat="1" applyFont="1" applyFill="1"/>
    <xf numFmtId="165" fontId="27" fillId="21" borderId="0" xfId="3" applyNumberFormat="1" applyFont="1" applyFill="1" applyBorder="1" applyAlignment="1">
      <alignment vertical="top" wrapText="1"/>
    </xf>
    <xf numFmtId="165" fontId="27" fillId="21" borderId="3" xfId="3" applyNumberFormat="1" applyFont="1" applyFill="1" applyBorder="1" applyAlignment="1">
      <alignment vertical="top" wrapText="1"/>
    </xf>
    <xf numFmtId="290" fontId="27" fillId="0" borderId="0" xfId="0" applyNumberFormat="1" applyFont="1"/>
    <xf numFmtId="292" fontId="27" fillId="0" borderId="0" xfId="1" applyNumberFormat="1" applyFont="1" applyFill="1" applyBorder="1"/>
    <xf numFmtId="0" fontId="0" fillId="13" borderId="0" xfId="0" applyFill="1"/>
    <xf numFmtId="0" fontId="0" fillId="13" borderId="4" xfId="0" applyFill="1" applyBorder="1"/>
    <xf numFmtId="293" fontId="27" fillId="13" borderId="0" xfId="0" applyNumberFormat="1" applyFont="1" applyFill="1"/>
    <xf numFmtId="165" fontId="27" fillId="13" borderId="0" xfId="3" applyNumberFormat="1" applyFont="1" applyFill="1" applyBorder="1" applyAlignment="1">
      <alignment vertical="top" wrapText="1"/>
    </xf>
    <xf numFmtId="165" fontId="27" fillId="13" borderId="3" xfId="3" applyNumberFormat="1" applyFont="1" applyFill="1" applyBorder="1" applyAlignment="1">
      <alignment horizontal="left" vertical="top" wrapText="1"/>
    </xf>
    <xf numFmtId="200" fontId="27" fillId="0" borderId="0" xfId="1" applyNumberFormat="1" applyFont="1" applyFill="1" applyBorder="1"/>
    <xf numFmtId="200" fontId="27" fillId="0" borderId="0" xfId="1" applyNumberFormat="1" applyFont="1" applyFill="1" applyBorder="1" applyAlignment="1">
      <alignment vertical="top" wrapText="1"/>
    </xf>
    <xf numFmtId="164" fontId="27" fillId="13" borderId="0" xfId="1" applyNumberFormat="1" applyFont="1" applyFill="1" applyBorder="1"/>
    <xf numFmtId="164" fontId="27" fillId="13" borderId="0" xfId="1" applyNumberFormat="1" applyFont="1" applyFill="1" applyBorder="1" applyAlignment="1">
      <alignment vertical="top" wrapText="1"/>
    </xf>
    <xf numFmtId="165" fontId="27" fillId="13" borderId="3" xfId="3" applyNumberFormat="1" applyFont="1" applyFill="1" applyBorder="1" applyAlignment="1">
      <alignment vertical="top" wrapText="1"/>
    </xf>
    <xf numFmtId="0" fontId="0" fillId="0" borderId="2" xfId="0" applyBorder="1"/>
    <xf numFmtId="209" fontId="32" fillId="0" borderId="18" xfId="0" applyNumberFormat="1" applyFont="1" applyBorder="1" applyAlignment="1">
      <alignment horizontal="right" vertical="top" wrapText="1"/>
    </xf>
    <xf numFmtId="209" fontId="0" fillId="0" borderId="18" xfId="0" applyNumberFormat="1" applyBorder="1" applyAlignment="1">
      <alignment horizontal="right"/>
    </xf>
    <xf numFmtId="0" fontId="32" fillId="0" borderId="18" xfId="0" applyFont="1" applyBorder="1" applyAlignment="1">
      <alignment horizontal="center" vertical="top" wrapText="1"/>
    </xf>
    <xf numFmtId="0" fontId="5" fillId="13" borderId="0" xfId="0" applyFont="1" applyFill="1"/>
    <xf numFmtId="165" fontId="42" fillId="0" borderId="6" xfId="3" applyNumberFormat="1" applyFont="1" applyBorder="1" applyAlignment="1">
      <alignment horizontal="center" vertical="top" wrapText="1"/>
    </xf>
    <xf numFmtId="0" fontId="42" fillId="0" borderId="15" xfId="5" applyFont="1" applyBorder="1" applyAlignment="1">
      <alignment horizontal="center" vertical="top" wrapText="1"/>
    </xf>
    <xf numFmtId="165" fontId="42" fillId="0" borderId="4" xfId="3" applyNumberFormat="1" applyFont="1" applyBorder="1" applyAlignment="1">
      <alignment horizontal="center" vertical="top" wrapText="1"/>
    </xf>
    <xf numFmtId="189" fontId="60" fillId="0" borderId="0" xfId="5" applyNumberFormat="1" applyFont="1" applyAlignment="1">
      <alignment horizontal="center" vertical="top" wrapText="1"/>
    </xf>
    <xf numFmtId="189" fontId="59" fillId="0" borderId="0" xfId="5" applyNumberFormat="1" applyFont="1" applyAlignment="1">
      <alignment horizontal="center" vertical="top" wrapText="1"/>
    </xf>
    <xf numFmtId="165" fontId="36" fillId="0" borderId="4" xfId="3" applyNumberFormat="1" applyFont="1" applyBorder="1" applyAlignment="1">
      <alignment horizontal="center" vertical="top" wrapText="1"/>
    </xf>
    <xf numFmtId="227" fontId="27" fillId="21" borderId="0" xfId="1" applyNumberFormat="1" applyFont="1" applyFill="1" applyBorder="1" applyAlignment="1">
      <alignment horizontal="right" vertical="top"/>
    </xf>
    <xf numFmtId="232" fontId="42" fillId="21" borderId="0" xfId="1" applyNumberFormat="1" applyFont="1" applyFill="1" applyBorder="1"/>
    <xf numFmtId="177" fontId="42" fillId="21" borderId="0" xfId="1" applyNumberFormat="1" applyFont="1" applyFill="1" applyBorder="1"/>
    <xf numFmtId="232" fontId="42" fillId="21" borderId="4" xfId="1" applyNumberFormat="1" applyFont="1" applyFill="1" applyBorder="1"/>
    <xf numFmtId="232" fontId="27" fillId="0" borderId="8" xfId="2" applyNumberFormat="1" applyFont="1" applyBorder="1"/>
    <xf numFmtId="232" fontId="27" fillId="0" borderId="14" xfId="2" applyNumberFormat="1" applyFont="1" applyBorder="1"/>
    <xf numFmtId="236" fontId="27" fillId="21" borderId="7" xfId="1" applyNumberFormat="1" applyFont="1" applyFill="1" applyBorder="1"/>
    <xf numFmtId="236" fontId="42" fillId="21" borderId="7" xfId="1" applyNumberFormat="1" applyFont="1" applyFill="1" applyBorder="1"/>
    <xf numFmtId="236" fontId="42" fillId="21" borderId="16" xfId="1" applyNumberFormat="1" applyFont="1" applyFill="1" applyBorder="1"/>
    <xf numFmtId="236" fontId="27" fillId="21" borderId="0" xfId="1" applyNumberFormat="1" applyFont="1" applyFill="1" applyBorder="1"/>
    <xf numFmtId="236" fontId="42" fillId="21" borderId="0" xfId="1" applyNumberFormat="1" applyFont="1" applyFill="1" applyBorder="1"/>
    <xf numFmtId="236" fontId="42" fillId="21" borderId="4" xfId="1" applyNumberFormat="1" applyFont="1" applyFill="1" applyBorder="1"/>
    <xf numFmtId="233" fontId="58" fillId="0" borderId="0" xfId="1" applyNumberFormat="1" applyFont="1" applyBorder="1" applyAlignment="1">
      <alignment horizontal="right" vertical="top" wrapText="1"/>
    </xf>
    <xf numFmtId="233" fontId="58" fillId="0" borderId="15" xfId="1" applyNumberFormat="1" applyFont="1" applyBorder="1" applyAlignment="1">
      <alignment horizontal="right" vertical="top" wrapText="1"/>
    </xf>
    <xf numFmtId="254" fontId="27" fillId="21" borderId="4" xfId="0" applyNumberFormat="1" applyFont="1" applyFill="1" applyBorder="1"/>
    <xf numFmtId="236" fontId="27" fillId="21" borderId="0" xfId="1" applyNumberFormat="1" applyFont="1" applyFill="1"/>
    <xf numFmtId="0" fontId="45" fillId="0" borderId="4" xfId="0" applyFont="1" applyFill="1" applyBorder="1"/>
    <xf numFmtId="235" fontId="27" fillId="21" borderId="0" xfId="2" applyNumberFormat="1" applyFont="1" applyFill="1" applyBorder="1"/>
    <xf numFmtId="235" fontId="27" fillId="21" borderId="4" xfId="2" applyNumberFormat="1" applyFont="1" applyFill="1" applyBorder="1"/>
    <xf numFmtId="237" fontId="27" fillId="21" borderId="0" xfId="1" applyNumberFormat="1" applyFont="1" applyFill="1" applyBorder="1" applyAlignment="1">
      <alignment horizontal="right"/>
    </xf>
    <xf numFmtId="237" fontId="27" fillId="21" borderId="4" xfId="1" applyNumberFormat="1" applyFont="1" applyFill="1" applyBorder="1" applyAlignment="1">
      <alignment horizontal="right"/>
    </xf>
    <xf numFmtId="0" fontId="4" fillId="0" borderId="0" xfId="0" applyFont="1" applyBorder="1" applyAlignment="1">
      <alignment horizontal="left" vertical="top" wrapText="1"/>
    </xf>
    <xf numFmtId="177" fontId="27" fillId="0" borderId="0" xfId="1" applyNumberFormat="1" applyFont="1" applyFill="1" applyBorder="1"/>
    <xf numFmtId="177" fontId="42" fillId="21" borderId="4" xfId="1" applyNumberFormat="1" applyFont="1" applyFill="1" applyBorder="1"/>
    <xf numFmtId="177" fontId="42" fillId="21" borderId="0" xfId="1" applyNumberFormat="1" applyFont="1" applyFill="1"/>
    <xf numFmtId="37" fontId="27" fillId="21" borderId="0" xfId="0" applyNumberFormat="1" applyFont="1" applyFill="1"/>
    <xf numFmtId="177" fontId="27" fillId="21" borderId="0" xfId="1" applyNumberFormat="1" applyFont="1" applyFill="1"/>
    <xf numFmtId="37" fontId="27" fillId="0" borderId="7" xfId="1" applyNumberFormat="1" applyFont="1" applyFill="1" applyBorder="1"/>
    <xf numFmtId="37" fontId="27" fillId="21" borderId="4" xfId="1" applyNumberFormat="1" applyFont="1" applyFill="1" applyBorder="1" applyAlignment="1">
      <alignment horizontal="right"/>
    </xf>
    <xf numFmtId="37" fontId="27" fillId="21" borderId="0" xfId="1" applyNumberFormat="1" applyFont="1" applyFill="1"/>
    <xf numFmtId="37" fontId="27" fillId="21" borderId="7" xfId="1" applyNumberFormat="1" applyFont="1" applyFill="1" applyBorder="1"/>
    <xf numFmtId="37" fontId="27" fillId="21" borderId="16" xfId="1" applyNumberFormat="1" applyFont="1" applyFill="1" applyBorder="1"/>
    <xf numFmtId="0" fontId="32" fillId="0" borderId="3" xfId="0" applyFont="1" applyBorder="1"/>
    <xf numFmtId="298" fontId="27" fillId="0" borderId="4" xfId="0" applyNumberFormat="1" applyFont="1" applyBorder="1"/>
    <xf numFmtId="0" fontId="28"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37" fontId="27" fillId="0" borderId="0" xfId="2" applyNumberFormat="1" applyFont="1" applyFill="1" applyBorder="1" applyAlignment="1">
      <alignment horizontal="right"/>
    </xf>
    <xf numFmtId="9" fontId="27" fillId="0" borderId="0" xfId="3" applyFont="1" applyFill="1" applyBorder="1" applyAlignment="1">
      <alignment horizontal="right"/>
    </xf>
    <xf numFmtId="37" fontId="27" fillId="0" borderId="28" xfId="1" applyNumberFormat="1" applyFont="1" applyFill="1" applyBorder="1"/>
    <xf numFmtId="165" fontId="27" fillId="0" borderId="7" xfId="3" applyNumberFormat="1" applyFont="1" applyFill="1" applyBorder="1"/>
    <xf numFmtId="176" fontId="27" fillId="6" borderId="0" xfId="0" applyNumberFormat="1" applyFont="1" applyFill="1"/>
    <xf numFmtId="43" fontId="27" fillId="28" borderId="0" xfId="1" applyFont="1" applyFill="1" applyBorder="1"/>
    <xf numFmtId="165" fontId="27" fillId="28" borderId="0" xfId="3" applyNumberFormat="1" applyFont="1" applyFill="1" applyBorder="1"/>
    <xf numFmtId="44" fontId="27" fillId="28" borderId="0" xfId="2" applyFont="1" applyFill="1" applyBorder="1"/>
    <xf numFmtId="282" fontId="27" fillId="0" borderId="9" xfId="1" applyNumberFormat="1" applyFont="1" applyBorder="1"/>
    <xf numFmtId="0" fontId="28" fillId="0" borderId="2" xfId="0" applyFont="1" applyBorder="1"/>
    <xf numFmtId="225" fontId="27" fillId="0" borderId="0" xfId="0" applyNumberFormat="1" applyFont="1"/>
    <xf numFmtId="209" fontId="32" fillId="27" borderId="2" xfId="0" applyNumberFormat="1" applyFont="1" applyFill="1" applyBorder="1"/>
    <xf numFmtId="200" fontId="27" fillId="27" borderId="4" xfId="2" applyNumberFormat="1" applyFont="1" applyFill="1" applyBorder="1"/>
    <xf numFmtId="201" fontId="27" fillId="27" borderId="16" xfId="2" applyNumberFormat="1" applyFont="1" applyFill="1" applyBorder="1"/>
    <xf numFmtId="44" fontId="27" fillId="27" borderId="4" xfId="2" applyFont="1" applyFill="1" applyBorder="1"/>
    <xf numFmtId="165" fontId="27" fillId="27" borderId="4" xfId="3" applyNumberFormat="1" applyFont="1" applyFill="1" applyBorder="1"/>
    <xf numFmtId="43" fontId="27" fillId="27" borderId="4" xfId="1" applyFont="1" applyFill="1" applyBorder="1"/>
    <xf numFmtId="0" fontId="29" fillId="27" borderId="4" xfId="0" applyFont="1" applyFill="1" applyBorder="1"/>
    <xf numFmtId="201" fontId="27" fillId="27" borderId="4" xfId="2" applyNumberFormat="1" applyFont="1" applyFill="1" applyBorder="1"/>
    <xf numFmtId="177" fontId="27" fillId="27" borderId="4" xfId="1" applyNumberFormat="1" applyFont="1" applyFill="1" applyBorder="1"/>
    <xf numFmtId="9" fontId="27" fillId="27" borderId="4" xfId="3" applyFont="1" applyFill="1" applyBorder="1"/>
    <xf numFmtId="9" fontId="27" fillId="27" borderId="6" xfId="3" applyFont="1" applyFill="1" applyBorder="1"/>
    <xf numFmtId="37" fontId="27" fillId="0" borderId="0" xfId="1" applyNumberFormat="1" applyFont="1" applyFill="1" applyBorder="1" applyAlignment="1">
      <alignment horizontal="right"/>
    </xf>
    <xf numFmtId="37" fontId="25" fillId="0" borderId="0" xfId="1" applyNumberFormat="1" applyFont="1" applyFill="1" applyBorder="1"/>
    <xf numFmtId="9" fontId="28" fillId="0" borderId="6" xfId="3" applyFont="1" applyBorder="1"/>
    <xf numFmtId="9" fontId="28" fillId="0" borderId="15" xfId="3" applyFont="1" applyBorder="1"/>
    <xf numFmtId="9" fontId="28" fillId="0" borderId="0" xfId="3" applyFont="1" applyBorder="1"/>
    <xf numFmtId="9" fontId="28" fillId="0" borderId="13" xfId="3" applyFont="1" applyBorder="1"/>
    <xf numFmtId="9" fontId="28" fillId="0" borderId="9" xfId="3" applyFont="1" applyBorder="1"/>
    <xf numFmtId="9" fontId="27" fillId="0" borderId="15" xfId="3" applyNumberFormat="1" applyFont="1" applyBorder="1"/>
    <xf numFmtId="9" fontId="27" fillId="0" borderId="6" xfId="3" applyNumberFormat="1" applyFont="1" applyBorder="1"/>
    <xf numFmtId="0" fontId="7" fillId="0" borderId="18" xfId="0" applyFont="1" applyFill="1" applyBorder="1" applyAlignment="1">
      <alignment vertical="top" wrapText="1"/>
    </xf>
    <xf numFmtId="201" fontId="27" fillId="0" borderId="13" xfId="2" applyNumberFormat="1" applyFont="1" applyBorder="1"/>
    <xf numFmtId="201" fontId="27" fillId="0" borderId="9" xfId="2" applyNumberFormat="1" applyFont="1" applyBorder="1"/>
    <xf numFmtId="165" fontId="27" fillId="0" borderId="6" xfId="0" applyNumberFormat="1" applyFont="1" applyBorder="1"/>
    <xf numFmtId="299" fontId="27" fillId="0" borderId="13" xfId="0" applyNumberFormat="1" applyFont="1" applyBorder="1"/>
    <xf numFmtId="300" fontId="27" fillId="0" borderId="4" xfId="0" applyNumberFormat="1" applyFont="1" applyBorder="1"/>
    <xf numFmtId="299" fontId="27" fillId="0" borderId="4" xfId="0" applyNumberFormat="1" applyFont="1" applyBorder="1"/>
    <xf numFmtId="10" fontId="27" fillId="0" borderId="6" xfId="3" applyNumberFormat="1" applyFont="1" applyBorder="1"/>
    <xf numFmtId="10" fontId="27" fillId="0" borderId="4" xfId="0" applyNumberFormat="1" applyFont="1" applyBorder="1"/>
    <xf numFmtId="43" fontId="27" fillId="21" borderId="4" xfId="1" applyFont="1" applyFill="1" applyBorder="1"/>
    <xf numFmtId="43" fontId="27" fillId="0" borderId="4" xfId="1" applyFont="1" applyFill="1" applyBorder="1"/>
    <xf numFmtId="43" fontId="27" fillId="0" borderId="2" xfId="1" applyFont="1" applyBorder="1"/>
    <xf numFmtId="3" fontId="42" fillId="21" borderId="0" xfId="0" applyNumberFormat="1" applyFont="1" applyFill="1" applyAlignment="1">
      <alignment horizontal="right" vertical="top" wrapText="1"/>
    </xf>
    <xf numFmtId="3" fontId="42" fillId="21" borderId="4" xfId="0" applyNumberFormat="1" applyFont="1" applyFill="1" applyBorder="1" applyAlignment="1">
      <alignment horizontal="right" vertical="top" wrapText="1"/>
    </xf>
    <xf numFmtId="37" fontId="27" fillId="21" borderId="0" xfId="1" applyNumberFormat="1" applyFont="1" applyFill="1" applyBorder="1"/>
    <xf numFmtId="167" fontId="27" fillId="21" borderId="27" xfId="2" applyNumberFormat="1" applyFont="1" applyFill="1" applyBorder="1"/>
    <xf numFmtId="164" fontId="27" fillId="21" borderId="7" xfId="1" applyNumberFormat="1" applyFont="1" applyFill="1" applyBorder="1"/>
    <xf numFmtId="0" fontId="27" fillId="21" borderId="0" xfId="2" applyNumberFormat="1" applyFont="1" applyFill="1" applyBorder="1"/>
    <xf numFmtId="167" fontId="18" fillId="21" borderId="0" xfId="2" applyNumberFormat="1" applyFont="1" applyFill="1" applyBorder="1" applyAlignment="1">
      <alignment horizontal="center"/>
    </xf>
    <xf numFmtId="178" fontId="27" fillId="0" borderId="0" xfId="1" applyNumberFormat="1" applyFont="1" applyFill="1" applyBorder="1"/>
    <xf numFmtId="37" fontId="27" fillId="21" borderId="0" xfId="2" applyNumberFormat="1" applyFont="1" applyFill="1" applyBorder="1"/>
    <xf numFmtId="37" fontId="27" fillId="21" borderId="4" xfId="2" applyNumberFormat="1" applyFont="1" applyFill="1" applyBorder="1"/>
    <xf numFmtId="249" fontId="27" fillId="21" borderId="4" xfId="1" applyNumberFormat="1" applyFont="1" applyFill="1" applyBorder="1"/>
    <xf numFmtId="37" fontId="27" fillId="21" borderId="0" xfId="2" applyNumberFormat="1" applyFont="1" applyFill="1"/>
    <xf numFmtId="5" fontId="27" fillId="0" borderId="6" xfId="2" applyNumberFormat="1" applyFont="1" applyBorder="1"/>
    <xf numFmtId="5" fontId="27" fillId="0" borderId="15" xfId="2" applyNumberFormat="1" applyFont="1" applyBorder="1"/>
    <xf numFmtId="254" fontId="27" fillId="0" borderId="0" xfId="3" applyNumberFormat="1" applyFont="1" applyAlignment="1">
      <alignment horizontal="right"/>
    </xf>
    <xf numFmtId="37" fontId="27" fillId="21" borderId="0" xfId="0" applyNumberFormat="1" applyFont="1" applyFill="1" applyBorder="1"/>
    <xf numFmtId="37" fontId="27" fillId="21" borderId="4" xfId="0" applyNumberFormat="1" applyFont="1" applyFill="1" applyBorder="1"/>
    <xf numFmtId="201" fontId="27" fillId="0" borderId="6" xfId="0" applyNumberFormat="1" applyFont="1" applyBorder="1"/>
    <xf numFmtId="201" fontId="27" fillId="0" borderId="15" xfId="0" applyNumberFormat="1" applyFont="1" applyBorder="1"/>
    <xf numFmtId="0" fontId="28" fillId="0" borderId="1" xfId="0" applyFont="1" applyBorder="1" applyAlignment="1">
      <alignment horizontal="right"/>
    </xf>
    <xf numFmtId="164" fontId="28" fillId="21" borderId="0" xfId="1" applyNumberFormat="1" applyFont="1" applyFill="1" applyBorder="1"/>
    <xf numFmtId="5" fontId="27" fillId="21" borderId="0" xfId="1" applyNumberFormat="1" applyFont="1" applyFill="1" applyBorder="1"/>
    <xf numFmtId="37" fontId="28" fillId="21" borderId="0" xfId="1" applyNumberFormat="1" applyFont="1" applyFill="1" applyBorder="1"/>
    <xf numFmtId="37" fontId="28" fillId="21" borderId="4" xfId="1" applyNumberFormat="1" applyFont="1" applyFill="1" applyBorder="1"/>
    <xf numFmtId="292" fontId="27" fillId="0" borderId="6" xfId="0" applyNumberFormat="1" applyFont="1" applyBorder="1"/>
    <xf numFmtId="292" fontId="27" fillId="0" borderId="4" xfId="0" applyNumberFormat="1" applyFont="1" applyBorder="1"/>
    <xf numFmtId="283" fontId="27" fillId="0" borderId="0" xfId="0" applyNumberFormat="1" applyFont="1"/>
    <xf numFmtId="292" fontId="27" fillId="0" borderId="6" xfId="1" applyNumberFormat="1" applyFont="1" applyBorder="1"/>
    <xf numFmtId="292" fontId="27" fillId="21" borderId="4" xfId="1" applyNumberFormat="1" applyFont="1" applyFill="1" applyBorder="1"/>
    <xf numFmtId="0" fontId="27" fillId="0" borderId="51" xfId="0" applyFont="1" applyBorder="1" applyAlignment="1">
      <alignment vertical="top" wrapText="1"/>
    </xf>
    <xf numFmtId="0" fontId="27" fillId="0" borderId="52" xfId="0" applyFont="1" applyBorder="1" applyAlignment="1">
      <alignment vertical="top" wrapText="1"/>
    </xf>
    <xf numFmtId="301" fontId="27" fillId="0" borderId="0" xfId="0" applyNumberFormat="1" applyFont="1" applyAlignment="1">
      <alignment vertical="top"/>
    </xf>
    <xf numFmtId="0" fontId="27" fillId="0" borderId="53" xfId="0" applyFont="1" applyBorder="1" applyAlignment="1">
      <alignment vertical="top" wrapText="1"/>
    </xf>
    <xf numFmtId="0" fontId="27" fillId="0" borderId="54" xfId="0" applyFont="1" applyBorder="1" applyAlignment="1">
      <alignment vertical="top" wrapText="1"/>
    </xf>
    <xf numFmtId="0" fontId="25" fillId="0" borderId="2" xfId="0" applyFont="1" applyBorder="1"/>
    <xf numFmtId="0" fontId="25" fillId="0" borderId="55" xfId="0" applyFont="1" applyBorder="1"/>
    <xf numFmtId="201" fontId="27" fillId="0" borderId="0" xfId="1" applyNumberFormat="1" applyFont="1" applyBorder="1"/>
    <xf numFmtId="201" fontId="27" fillId="0" borderId="4" xfId="1" applyNumberFormat="1" applyFont="1" applyBorder="1"/>
    <xf numFmtId="258" fontId="27" fillId="0" borderId="4" xfId="1" applyNumberFormat="1" applyFont="1" applyBorder="1"/>
    <xf numFmtId="0" fontId="27" fillId="0" borderId="3" xfId="0" applyFont="1" applyBorder="1" applyAlignment="1">
      <alignment horizontal="left" vertical="top" wrapText="1"/>
    </xf>
    <xf numFmtId="0" fontId="27" fillId="0" borderId="4" xfId="0" applyFont="1" applyBorder="1" applyAlignment="1">
      <alignment horizontal="left" vertical="top" wrapText="1"/>
    </xf>
    <xf numFmtId="0" fontId="4"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left" vertical="top" wrapText="1"/>
    </xf>
    <xf numFmtId="0" fontId="27" fillId="0" borderId="0" xfId="0" applyFont="1" applyBorder="1" applyAlignment="1">
      <alignment horizontal="center"/>
    </xf>
    <xf numFmtId="0" fontId="7" fillId="0" borderId="0" xfId="0" applyFont="1" applyAlignment="1">
      <alignment horizontal="left" vertical="top" wrapText="1"/>
    </xf>
    <xf numFmtId="0" fontId="4" fillId="0" borderId="0" xfId="0" applyFont="1" applyAlignment="1">
      <alignment horizontal="left" vertical="top" wrapText="1"/>
    </xf>
    <xf numFmtId="0" fontId="32" fillId="0" borderId="18" xfId="0" applyFont="1" applyBorder="1" applyAlignment="1">
      <alignment horizontal="center"/>
    </xf>
    <xf numFmtId="290" fontId="27" fillId="0" borderId="6" xfId="0" applyNumberFormat="1" applyFont="1" applyBorder="1"/>
    <xf numFmtId="167" fontId="50" fillId="8" borderId="0" xfId="2" applyNumberFormat="1" applyFont="1" applyFill="1" applyBorder="1" applyAlignment="1">
      <alignment horizontal="left" vertical="top" wrapText="1"/>
    </xf>
    <xf numFmtId="167" fontId="42" fillId="0" borderId="0" xfId="2" applyNumberFormat="1" applyFont="1" applyFill="1" applyBorder="1" applyAlignment="1">
      <alignment horizontal="right" vertical="top" wrapText="1"/>
    </xf>
    <xf numFmtId="201" fontId="27" fillId="0" borderId="13" xfId="0" applyNumberFormat="1" applyFont="1" applyBorder="1"/>
    <xf numFmtId="200" fontId="27" fillId="0" borderId="13" xfId="0" applyNumberFormat="1" applyFont="1" applyBorder="1"/>
    <xf numFmtId="209" fontId="26" fillId="0" borderId="18" xfId="0" applyNumberFormat="1" applyFont="1" applyBorder="1" applyAlignment="1">
      <alignment horizontal="right"/>
    </xf>
    <xf numFmtId="209" fontId="26" fillId="0" borderId="2" xfId="0" applyNumberFormat="1" applyFont="1" applyBorder="1" applyAlignment="1">
      <alignment horizontal="right"/>
    </xf>
    <xf numFmtId="0" fontId="4" fillId="0" borderId="4" xfId="0" applyFont="1" applyBorder="1" applyAlignment="1">
      <alignment horizontal="right"/>
    </xf>
    <xf numFmtId="200" fontId="4" fillId="0" borderId="0" xfId="0" applyNumberFormat="1" applyFont="1" applyAlignment="1">
      <alignment horizontal="right"/>
    </xf>
    <xf numFmtId="200" fontId="4" fillId="0" borderId="4" xfId="0" applyNumberFormat="1" applyFont="1" applyBorder="1" applyAlignment="1">
      <alignment horizontal="right"/>
    </xf>
    <xf numFmtId="201" fontId="4" fillId="0" borderId="0" xfId="0" applyNumberFormat="1" applyFont="1" applyAlignment="1">
      <alignment horizontal="right"/>
    </xf>
    <xf numFmtId="201" fontId="4" fillId="0" borderId="4" xfId="0" applyNumberFormat="1" applyFont="1" applyBorder="1" applyAlignment="1">
      <alignment horizontal="right"/>
    </xf>
    <xf numFmtId="201" fontId="4" fillId="0" borderId="9" xfId="0" applyNumberFormat="1" applyFont="1" applyBorder="1" applyAlignment="1">
      <alignment horizontal="right"/>
    </xf>
    <xf numFmtId="201" fontId="4" fillId="0" borderId="13" xfId="0" applyNumberFormat="1" applyFont="1" applyBorder="1" applyAlignment="1">
      <alignment horizontal="right"/>
    </xf>
    <xf numFmtId="200" fontId="4" fillId="21" borderId="0" xfId="0" applyNumberFormat="1" applyFont="1" applyFill="1" applyAlignment="1">
      <alignment horizontal="right"/>
    </xf>
    <xf numFmtId="200" fontId="4" fillId="21" borderId="4" xfId="0" applyNumberFormat="1" applyFont="1" applyFill="1" applyBorder="1" applyAlignment="1">
      <alignment horizontal="right"/>
    </xf>
    <xf numFmtId="201" fontId="4" fillId="0" borderId="15" xfId="0" applyNumberFormat="1" applyFont="1" applyBorder="1" applyAlignment="1">
      <alignment horizontal="right"/>
    </xf>
    <xf numFmtId="201" fontId="4" fillId="0" borderId="6" xfId="0" applyNumberFormat="1" applyFont="1" applyBorder="1" applyAlignment="1">
      <alignment horizontal="right"/>
    </xf>
    <xf numFmtId="302" fontId="27" fillId="0" borderId="15" xfId="3" applyNumberFormat="1" applyFont="1" applyBorder="1"/>
    <xf numFmtId="303" fontId="27" fillId="0" borderId="0" xfId="3" applyNumberFormat="1" applyFont="1"/>
    <xf numFmtId="9" fontId="27" fillId="21" borderId="0" xfId="3" applyFont="1" applyFill="1"/>
    <xf numFmtId="9" fontId="27" fillId="21" borderId="15" xfId="3" applyFont="1" applyFill="1" applyBorder="1"/>
    <xf numFmtId="209" fontId="27" fillId="0" borderId="9" xfId="0" applyNumberFormat="1" applyFont="1" applyBorder="1"/>
    <xf numFmtId="209" fontId="32" fillId="0" borderId="6" xfId="0" applyNumberFormat="1" applyFont="1" applyBorder="1"/>
    <xf numFmtId="209" fontId="32" fillId="0" borderId="15" xfId="0" applyNumberFormat="1" applyFont="1" applyBorder="1"/>
    <xf numFmtId="209" fontId="32" fillId="21" borderId="4" xfId="0" applyNumberFormat="1" applyFont="1" applyFill="1" applyBorder="1"/>
    <xf numFmtId="209" fontId="32" fillId="21" borderId="0" xfId="0" applyNumberFormat="1" applyFont="1" applyFill="1"/>
    <xf numFmtId="0" fontId="28" fillId="21" borderId="3" xfId="0" applyFont="1" applyFill="1" applyBorder="1"/>
    <xf numFmtId="7" fontId="27" fillId="0" borderId="4" xfId="0" applyNumberFormat="1" applyFont="1" applyBorder="1"/>
    <xf numFmtId="209" fontId="32" fillId="0" borderId="2" xfId="1" applyNumberFormat="1" applyFont="1" applyBorder="1"/>
    <xf numFmtId="209" fontId="32" fillId="0" borderId="18" xfId="1" applyNumberFormat="1" applyFont="1" applyBorder="1"/>
    <xf numFmtId="0" fontId="27" fillId="0" borderId="15" xfId="0" applyFont="1" applyBorder="1" applyAlignment="1">
      <alignment horizontal="left" vertical="top"/>
    </xf>
    <xf numFmtId="0" fontId="27" fillId="0" borderId="4" xfId="0" applyFont="1" applyBorder="1" applyAlignment="1">
      <alignment horizontal="left" vertical="top"/>
    </xf>
    <xf numFmtId="0" fontId="27" fillId="0" borderId="0" xfId="0" applyFont="1" applyAlignment="1">
      <alignment horizontal="left" vertical="top"/>
    </xf>
    <xf numFmtId="0" fontId="27" fillId="0" borderId="3" xfId="0" applyFont="1" applyBorder="1" applyAlignment="1">
      <alignment horizontal="left" vertical="top"/>
    </xf>
    <xf numFmtId="0" fontId="27" fillId="21" borderId="4" xfId="0" applyFont="1" applyFill="1" applyBorder="1" applyAlignment="1">
      <alignment horizontal="left" vertical="top"/>
    </xf>
    <xf numFmtId="0" fontId="27" fillId="21" borderId="0" xfId="0" applyFont="1" applyFill="1" applyAlignment="1">
      <alignment horizontal="left" vertical="top"/>
    </xf>
    <xf numFmtId="0" fontId="27" fillId="21" borderId="3" xfId="0" applyFont="1" applyFill="1" applyBorder="1" applyAlignment="1">
      <alignment horizontal="left" vertical="top"/>
    </xf>
    <xf numFmtId="5" fontId="27" fillId="0" borderId="20" xfId="0" applyNumberFormat="1" applyFont="1" applyBorder="1"/>
    <xf numFmtId="5" fontId="27" fillId="0" borderId="19" xfId="0" applyNumberFormat="1" applyFont="1" applyBorder="1"/>
    <xf numFmtId="6" fontId="27" fillId="21" borderId="4" xfId="0" applyNumberFormat="1" applyFont="1" applyFill="1" applyBorder="1"/>
    <xf numFmtId="6" fontId="27" fillId="0" borderId="4" xfId="0" applyNumberFormat="1" applyFont="1" applyBorder="1"/>
    <xf numFmtId="5" fontId="27" fillId="0" borderId="9" xfId="2" applyNumberFormat="1" applyFont="1" applyFill="1" applyBorder="1"/>
    <xf numFmtId="0" fontId="4" fillId="13" borderId="4" xfId="0" applyFont="1" applyFill="1" applyBorder="1" applyAlignment="1">
      <alignment horizontal="left" vertical="top" wrapText="1"/>
    </xf>
    <xf numFmtId="164" fontId="4" fillId="13" borderId="0" xfId="1" applyNumberFormat="1" applyFont="1" applyFill="1"/>
    <xf numFmtId="165" fontId="27" fillId="0" borderId="0" xfId="3" applyNumberFormat="1" applyFont="1" applyBorder="1" applyAlignment="1">
      <alignment horizontal="center"/>
    </xf>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27" fillId="0" borderId="4" xfId="0" applyFont="1" applyBorder="1" applyAlignment="1">
      <alignment horizontal="left" wrapText="1"/>
    </xf>
    <xf numFmtId="254" fontId="27" fillId="0" borderId="15" xfId="0" applyNumberFormat="1" applyFont="1" applyBorder="1"/>
    <xf numFmtId="260" fontId="27" fillId="0" borderId="20" xfId="3" applyNumberFormat="1" applyFont="1" applyBorder="1"/>
    <xf numFmtId="37" fontId="27" fillId="0" borderId="19" xfId="0" applyNumberFormat="1" applyFont="1" applyBorder="1"/>
    <xf numFmtId="260" fontId="27" fillId="0" borderId="4" xfId="3" applyNumberFormat="1" applyFont="1" applyBorder="1"/>
    <xf numFmtId="165" fontId="27" fillId="0" borderId="0" xfId="3" applyNumberFormat="1" applyFont="1" applyAlignment="1">
      <alignment horizontal="center"/>
    </xf>
    <xf numFmtId="304" fontId="27" fillId="0" borderId="6" xfId="3" applyNumberFormat="1" applyFont="1" applyFill="1" applyBorder="1"/>
    <xf numFmtId="197" fontId="27" fillId="0" borderId="15" xfId="0" applyNumberFormat="1" applyFont="1" applyBorder="1"/>
    <xf numFmtId="304" fontId="27" fillId="0" borderId="4" xfId="3" applyNumberFormat="1" applyFont="1" applyFill="1" applyBorder="1"/>
    <xf numFmtId="304" fontId="27" fillId="0" borderId="4" xfId="0" applyNumberFormat="1" applyFont="1" applyBorder="1"/>
    <xf numFmtId="194" fontId="27" fillId="0" borderId="0" xfId="0" applyNumberFormat="1" applyFont="1"/>
    <xf numFmtId="304" fontId="27" fillId="21" borderId="4" xfId="0" applyNumberFormat="1" applyFont="1" applyFill="1" applyBorder="1"/>
    <xf numFmtId="197" fontId="27" fillId="21" borderId="0" xfId="0" applyNumberFormat="1" applyFont="1" applyFill="1"/>
    <xf numFmtId="3" fontId="27" fillId="21" borderId="0" xfId="0" applyNumberFormat="1" applyFont="1" applyFill="1"/>
    <xf numFmtId="194" fontId="27" fillId="21" borderId="0" xfId="0" applyNumberFormat="1" applyFont="1" applyFill="1"/>
    <xf numFmtId="304" fontId="27" fillId="0" borderId="4" xfId="3" applyNumberFormat="1" applyFont="1" applyFill="1" applyBorder="1" applyAlignment="1">
      <alignment horizontal="right"/>
    </xf>
    <xf numFmtId="304" fontId="28" fillId="0" borderId="4" xfId="3" applyNumberFormat="1" applyFont="1" applyFill="1" applyBorder="1" applyAlignment="1">
      <alignment horizontal="right"/>
    </xf>
    <xf numFmtId="304" fontId="27" fillId="13" borderId="4" xfId="3" applyNumberFormat="1" applyFont="1" applyFill="1" applyBorder="1"/>
    <xf numFmtId="197" fontId="27" fillId="13" borderId="0" xfId="0" applyNumberFormat="1" applyFont="1" applyFill="1"/>
    <xf numFmtId="3" fontId="27" fillId="13" borderId="0" xfId="0" applyNumberFormat="1" applyFont="1" applyFill="1"/>
    <xf numFmtId="194" fontId="27" fillId="13" borderId="0" xfId="0" applyNumberFormat="1" applyFont="1" applyFill="1"/>
    <xf numFmtId="9" fontId="27" fillId="15" borderId="4" xfId="3" applyFont="1" applyFill="1" applyBorder="1"/>
    <xf numFmtId="0" fontId="27" fillId="15" borderId="3" xfId="0" applyFont="1" applyFill="1" applyBorder="1"/>
    <xf numFmtId="9" fontId="27" fillId="15" borderId="0" xfId="3" applyFont="1" applyFill="1" applyBorder="1"/>
    <xf numFmtId="173" fontId="27" fillId="15" borderId="0" xfId="0" applyNumberFormat="1" applyFont="1" applyFill="1"/>
    <xf numFmtId="164" fontId="27" fillId="13" borderId="4" xfId="1" applyNumberFormat="1" applyFont="1" applyFill="1" applyBorder="1"/>
    <xf numFmtId="0" fontId="32" fillId="0" borderId="4" xfId="0" applyFont="1" applyBorder="1"/>
    <xf numFmtId="43" fontId="27" fillId="0" borderId="0" xfId="1" applyFont="1" applyFill="1"/>
    <xf numFmtId="43" fontId="27" fillId="21" borderId="0" xfId="1" applyFont="1" applyFill="1"/>
    <xf numFmtId="10" fontId="27" fillId="21" borderId="0" xfId="0" applyNumberFormat="1" applyFont="1" applyFill="1"/>
    <xf numFmtId="7" fontId="0" fillId="0" borderId="0" xfId="0" applyNumberFormat="1"/>
    <xf numFmtId="254" fontId="27" fillId="21" borderId="0" xfId="2" applyNumberFormat="1" applyFont="1" applyFill="1" applyBorder="1"/>
    <xf numFmtId="254" fontId="27" fillId="21" borderId="15" xfId="2" applyNumberFormat="1" applyFont="1" applyFill="1" applyBorder="1"/>
    <xf numFmtId="44" fontId="27" fillId="21" borderId="6" xfId="2" applyFont="1" applyFill="1" applyBorder="1"/>
    <xf numFmtId="0" fontId="26" fillId="0" borderId="18" xfId="0" applyFont="1" applyBorder="1"/>
    <xf numFmtId="0" fontId="26" fillId="0" borderId="2" xfId="0" applyFont="1" applyBorder="1"/>
    <xf numFmtId="178" fontId="27" fillId="0" borderId="6" xfId="3" applyNumberFormat="1" applyFont="1" applyBorder="1"/>
    <xf numFmtId="167" fontId="27" fillId="0" borderId="9" xfId="0" applyNumberFormat="1" applyFont="1" applyBorder="1"/>
    <xf numFmtId="178" fontId="27" fillId="0" borderId="4" xfId="3" applyNumberFormat="1" applyFont="1" applyBorder="1"/>
    <xf numFmtId="246" fontId="27" fillId="0" borderId="13" xfId="2" applyNumberFormat="1" applyFont="1" applyBorder="1"/>
    <xf numFmtId="246" fontId="27" fillId="0" borderId="9" xfId="2" applyNumberFormat="1" applyFont="1" applyBorder="1"/>
    <xf numFmtId="0" fontId="2" fillId="0" borderId="0" xfId="6"/>
    <xf numFmtId="0" fontId="63" fillId="37" borderId="0" xfId="6" applyFont="1" applyFill="1" applyAlignment="1">
      <alignment horizontal="right" vertical="center" wrapText="1"/>
    </xf>
    <xf numFmtId="3" fontId="63" fillId="37" borderId="0" xfId="6" applyNumberFormat="1" applyFont="1" applyFill="1" applyAlignment="1">
      <alignment horizontal="right" vertical="center" wrapText="1"/>
    </xf>
    <xf numFmtId="0" fontId="63" fillId="37" borderId="0" xfId="6" applyFont="1" applyFill="1" applyAlignment="1">
      <alignment vertical="center" wrapText="1"/>
    </xf>
    <xf numFmtId="0" fontId="64" fillId="0" borderId="0" xfId="6" applyFont="1" applyAlignment="1">
      <alignment vertical="center" wrapText="1"/>
    </xf>
    <xf numFmtId="3" fontId="2" fillId="0" borderId="0" xfId="6" applyNumberFormat="1"/>
    <xf numFmtId="11" fontId="63" fillId="37" borderId="0" xfId="6" applyNumberFormat="1" applyFont="1" applyFill="1" applyAlignment="1">
      <alignment vertical="center" wrapText="1"/>
    </xf>
    <xf numFmtId="0" fontId="65" fillId="0" borderId="0" xfId="6" applyFont="1" applyAlignment="1">
      <alignment horizontal="right" vertical="center" wrapText="1"/>
    </xf>
    <xf numFmtId="0" fontId="65" fillId="0" borderId="0" xfId="6" applyFont="1" applyAlignment="1">
      <alignment horizontal="left" vertical="center" wrapText="1"/>
    </xf>
    <xf numFmtId="0" fontId="65" fillId="0" borderId="0" xfId="6" applyFont="1" applyAlignment="1">
      <alignment horizontal="center" vertical="center" wrapText="1"/>
    </xf>
    <xf numFmtId="0" fontId="63" fillId="37" borderId="0" xfId="0" applyFont="1" applyFill="1" applyAlignment="1">
      <alignment horizontal="right" vertical="center" wrapText="1"/>
    </xf>
    <xf numFmtId="3" fontId="63" fillId="37" borderId="0" xfId="0" applyNumberFormat="1" applyFont="1" applyFill="1" applyAlignment="1">
      <alignment horizontal="right" vertical="center" wrapText="1"/>
    </xf>
    <xf numFmtId="0" fontId="63" fillId="37" borderId="0" xfId="0" applyFont="1" applyFill="1" applyAlignment="1">
      <alignment vertical="center" wrapText="1"/>
    </xf>
    <xf numFmtId="0" fontId="64" fillId="0" borderId="0" xfId="0" applyFont="1" applyAlignment="1">
      <alignment vertical="center" wrapText="1"/>
    </xf>
    <xf numFmtId="3" fontId="0" fillId="0" borderId="0" xfId="0" applyNumberFormat="1"/>
    <xf numFmtId="11" fontId="63" fillId="37" borderId="0" xfId="0" applyNumberFormat="1" applyFont="1" applyFill="1" applyAlignment="1">
      <alignment vertical="center" wrapText="1"/>
    </xf>
    <xf numFmtId="0" fontId="65" fillId="0" borderId="0" xfId="0" applyFont="1" applyAlignment="1">
      <alignment horizontal="right" vertical="center" wrapText="1"/>
    </xf>
    <xf numFmtId="0" fontId="65" fillId="0" borderId="0" xfId="0" applyFont="1" applyAlignment="1">
      <alignment horizontal="left" vertical="center" wrapText="1"/>
    </xf>
    <xf numFmtId="0" fontId="65" fillId="0" borderId="0" xfId="0" applyFont="1" applyAlignment="1">
      <alignment horizontal="center" vertical="center" wrapText="1"/>
    </xf>
    <xf numFmtId="37" fontId="25" fillId="0" borderId="9" xfId="0" applyNumberFormat="1" applyFont="1" applyBorder="1"/>
    <xf numFmtId="37" fontId="27" fillId="21" borderId="9" xfId="0" applyNumberFormat="1" applyFont="1" applyFill="1" applyBorder="1"/>
    <xf numFmtId="37" fontId="25" fillId="0" borderId="0" xfId="0" applyNumberFormat="1" applyFont="1"/>
    <xf numFmtId="255" fontId="27" fillId="0" borderId="4" xfId="0" applyNumberFormat="1" applyFont="1" applyBorder="1"/>
    <xf numFmtId="255" fontId="27" fillId="0" borderId="13" xfId="3" applyNumberFormat="1" applyFont="1" applyBorder="1"/>
    <xf numFmtId="255" fontId="27" fillId="0" borderId="4" xfId="3" applyNumberFormat="1" applyFont="1" applyBorder="1"/>
    <xf numFmtId="305" fontId="27" fillId="0" borderId="0" xfId="0" applyNumberFormat="1" applyFont="1"/>
    <xf numFmtId="305" fontId="27" fillId="0" borderId="4" xfId="0" applyNumberFormat="1" applyFont="1" applyBorder="1"/>
    <xf numFmtId="306" fontId="27" fillId="0" borderId="13" xfId="0" applyNumberFormat="1" applyFont="1" applyBorder="1"/>
    <xf numFmtId="306" fontId="27" fillId="0" borderId="4" xfId="0" applyNumberFormat="1" applyFont="1" applyBorder="1"/>
    <xf numFmtId="306" fontId="27" fillId="0" borderId="0" xfId="0" applyNumberFormat="1" applyFont="1"/>
    <xf numFmtId="253" fontId="32" fillId="0" borderId="0" xfId="0" applyNumberFormat="1" applyFont="1" applyAlignment="1">
      <alignment horizontal="right"/>
    </xf>
    <xf numFmtId="253" fontId="32" fillId="0" borderId="2" xfId="0" applyNumberFormat="1" applyFont="1" applyBorder="1" applyAlignment="1">
      <alignment horizontal="right"/>
    </xf>
    <xf numFmtId="200" fontId="27" fillId="0" borderId="3" xfId="0" applyNumberFormat="1" applyFont="1" applyBorder="1"/>
    <xf numFmtId="200" fontId="27" fillId="0" borderId="62" xfId="0" applyNumberFormat="1" applyFont="1" applyBorder="1"/>
    <xf numFmtId="201" fontId="27" fillId="0" borderId="29" xfId="0" applyNumberFormat="1" applyFont="1" applyBorder="1"/>
    <xf numFmtId="201" fontId="27" fillId="0" borderId="3" xfId="0" applyNumberFormat="1" applyFont="1" applyBorder="1"/>
    <xf numFmtId="200" fontId="27" fillId="6" borderId="4" xfId="0" applyNumberFormat="1" applyFont="1" applyFill="1" applyBorder="1"/>
    <xf numFmtId="209" fontId="32" fillId="0" borderId="1" xfId="0" applyNumberFormat="1" applyFont="1" applyBorder="1"/>
    <xf numFmtId="305" fontId="27" fillId="0" borderId="13" xfId="0" applyNumberFormat="1" applyFont="1" applyBorder="1"/>
    <xf numFmtId="305" fontId="27" fillId="0" borderId="9" xfId="0" applyNumberFormat="1" applyFont="1" applyBorder="1"/>
    <xf numFmtId="0" fontId="30" fillId="0" borderId="0" xfId="0" applyFont="1"/>
    <xf numFmtId="306" fontId="27" fillId="0" borderId="9" xfId="0" applyNumberFormat="1" applyFont="1" applyBorder="1"/>
    <xf numFmtId="201" fontId="27" fillId="0" borderId="4" xfId="0" applyNumberFormat="1" applyFont="1" applyBorder="1" applyAlignment="1">
      <alignment horizontal="right"/>
    </xf>
    <xf numFmtId="298" fontId="27" fillId="0" borderId="0" xfId="0" applyNumberFormat="1" applyFont="1" applyAlignment="1">
      <alignment horizontal="right"/>
    </xf>
    <xf numFmtId="201" fontId="27" fillId="0" borderId="0" xfId="0" applyNumberFormat="1" applyFont="1" applyAlignment="1">
      <alignment horizontal="right"/>
    </xf>
    <xf numFmtId="165" fontId="27" fillId="0" borderId="0" xfId="0" applyNumberFormat="1" applyFont="1" applyAlignment="1">
      <alignment horizontal="right"/>
    </xf>
    <xf numFmtId="0" fontId="12" fillId="0" borderId="0" xfId="0" applyFont="1" applyAlignment="1">
      <alignment horizontal="left" vertical="top"/>
    </xf>
    <xf numFmtId="200" fontId="27" fillId="0" borderId="4" xfId="0" applyNumberFormat="1" applyFont="1" applyBorder="1" applyAlignment="1">
      <alignment horizontal="right"/>
    </xf>
    <xf numFmtId="240" fontId="27" fillId="0" borderId="0" xfId="0" applyNumberFormat="1" applyFont="1" applyAlignment="1">
      <alignment horizontal="right"/>
    </xf>
    <xf numFmtId="0" fontId="27" fillId="0" borderId="11" xfId="0" applyFont="1" applyBorder="1" applyAlignment="1">
      <alignment horizontal="right" wrapText="1"/>
    </xf>
    <xf numFmtId="0" fontId="27" fillId="0" borderId="11" xfId="0" applyFont="1" applyBorder="1"/>
    <xf numFmtId="0" fontId="27" fillId="0" borderId="63" xfId="0" applyFont="1" applyBorder="1"/>
    <xf numFmtId="233" fontId="27" fillId="0" borderId="0" xfId="0" applyNumberFormat="1" applyFont="1"/>
    <xf numFmtId="307" fontId="27" fillId="0" borderId="0" xfId="0" applyNumberFormat="1" applyFont="1"/>
    <xf numFmtId="0" fontId="4" fillId="0" borderId="0" xfId="0" applyFont="1" applyAlignment="1">
      <alignment horizontal="left" vertical="top"/>
    </xf>
    <xf numFmtId="233" fontId="4" fillId="0" borderId="4" xfId="0" applyNumberFormat="1" applyFont="1" applyBorder="1"/>
    <xf numFmtId="233" fontId="4" fillId="0" borderId="0" xfId="0" applyNumberFormat="1" applyFont="1"/>
    <xf numFmtId="233" fontId="27" fillId="0" borderId="4" xfId="0" applyNumberFormat="1" applyFont="1" applyBorder="1"/>
    <xf numFmtId="308" fontId="25" fillId="21" borderId="14" xfId="0" applyNumberFormat="1" applyFont="1" applyFill="1" applyBorder="1"/>
    <xf numFmtId="308" fontId="25" fillId="0" borderId="0" xfId="0" applyNumberFormat="1" applyFont="1"/>
    <xf numFmtId="308" fontId="25" fillId="21" borderId="8" xfId="0" applyNumberFormat="1" applyFont="1" applyFill="1" applyBorder="1"/>
    <xf numFmtId="233" fontId="27" fillId="7" borderId="4" xfId="0" applyNumberFormat="1" applyFont="1" applyFill="1" applyBorder="1"/>
    <xf numFmtId="308" fontId="27" fillId="0" borderId="0" xfId="0" applyNumberFormat="1" applyFont="1"/>
    <xf numFmtId="308" fontId="27" fillId="0" borderId="13" xfId="0" applyNumberFormat="1" applyFont="1" applyBorder="1"/>
    <xf numFmtId="308" fontId="27" fillId="0" borderId="9" xfId="0" applyNumberFormat="1" applyFont="1" applyBorder="1"/>
    <xf numFmtId="233" fontId="27" fillId="7" borderId="0" xfId="0" applyNumberFormat="1" applyFont="1" applyFill="1"/>
    <xf numFmtId="308" fontId="27" fillId="0" borderId="4" xfId="0" applyNumberFormat="1" applyFont="1" applyBorder="1"/>
    <xf numFmtId="0" fontId="32" fillId="21" borderId="18" xfId="0" applyFont="1" applyFill="1" applyBorder="1" applyAlignment="1">
      <alignment horizontal="center"/>
    </xf>
    <xf numFmtId="5" fontId="27" fillId="21" borderId="0" xfId="2" applyNumberFormat="1" applyFont="1" applyFill="1" applyBorder="1"/>
    <xf numFmtId="0" fontId="28" fillId="21" borderId="0" xfId="0" applyFont="1" applyFill="1" applyBorder="1" applyAlignment="1">
      <alignment horizontal="center"/>
    </xf>
    <xf numFmtId="0" fontId="27" fillId="21" borderId="9" xfId="0" applyFont="1" applyFill="1" applyBorder="1"/>
    <xf numFmtId="0" fontId="27" fillId="21" borderId="0" xfId="0" applyFont="1" applyFill="1" applyBorder="1" applyAlignment="1">
      <alignment horizontal="center"/>
    </xf>
    <xf numFmtId="200" fontId="27" fillId="21" borderId="0" xfId="2" applyNumberFormat="1" applyFont="1" applyFill="1" applyBorder="1"/>
    <xf numFmtId="0" fontId="28" fillId="21" borderId="18" xfId="0" applyNumberFormat="1" applyFont="1" applyFill="1" applyBorder="1"/>
    <xf numFmtId="0" fontId="27" fillId="21" borderId="0" xfId="0" applyNumberFormat="1" applyFont="1" applyFill="1" applyBorder="1"/>
    <xf numFmtId="254" fontId="27" fillId="21" borderId="0" xfId="1" applyNumberFormat="1" applyFont="1" applyFill="1" applyBorder="1"/>
    <xf numFmtId="0" fontId="1" fillId="0" borderId="0" xfId="7"/>
    <xf numFmtId="14" fontId="1" fillId="0" borderId="0" xfId="7" applyNumberFormat="1"/>
    <xf numFmtId="172" fontId="27" fillId="0" borderId="0" xfId="0" applyNumberFormat="1" applyFont="1"/>
    <xf numFmtId="0" fontId="27" fillId="35" borderId="0" xfId="0" applyFont="1" applyFill="1" applyBorder="1"/>
    <xf numFmtId="0" fontId="32" fillId="35" borderId="0" xfId="0" applyFont="1" applyFill="1" applyBorder="1"/>
    <xf numFmtId="177" fontId="27" fillId="0" borderId="0" xfId="1" applyNumberFormat="1" applyFont="1" applyFill="1" applyBorder="1" applyAlignment="1">
      <alignment horizontal="center"/>
    </xf>
    <xf numFmtId="9" fontId="27" fillId="0" borderId="4" xfId="3" applyNumberFormat="1" applyFont="1" applyBorder="1" applyAlignment="1">
      <alignment horizontal="right"/>
    </xf>
    <xf numFmtId="290" fontId="27" fillId="0" borderId="4" xfId="1" applyNumberFormat="1" applyFont="1" applyBorder="1"/>
    <xf numFmtId="290" fontId="27" fillId="0" borderId="6" xfId="1" applyNumberFormat="1" applyFont="1" applyBorder="1" applyAlignment="1">
      <alignment horizontal="right"/>
    </xf>
    <xf numFmtId="290" fontId="27" fillId="0" borderId="0" xfId="1" applyNumberFormat="1" applyFont="1" applyBorder="1"/>
    <xf numFmtId="0" fontId="4" fillId="0" borderId="4" xfId="0" applyFont="1" applyBorder="1" applyAlignment="1">
      <alignment horizontal="left" vertical="top" wrapText="1"/>
    </xf>
    <xf numFmtId="9" fontId="27" fillId="19" borderId="0" xfId="0" applyNumberFormat="1" applyFont="1" applyFill="1" applyBorder="1"/>
    <xf numFmtId="290" fontId="27" fillId="0" borderId="6" xfId="1" applyNumberFormat="1" applyFont="1" applyBorder="1"/>
    <xf numFmtId="165" fontId="27" fillId="0" borderId="0" xfId="3" applyNumberFormat="1" applyFont="1" applyBorder="1" applyAlignment="1">
      <alignment horizontal="right" vertical="top" wrapText="1"/>
    </xf>
    <xf numFmtId="290" fontId="27" fillId="0" borderId="0" xfId="1" applyNumberFormat="1" applyFont="1" applyFill="1" applyBorder="1"/>
    <xf numFmtId="309" fontId="27" fillId="0" borderId="0" xfId="1" applyNumberFormat="1" applyFont="1" applyFill="1" applyBorder="1"/>
    <xf numFmtId="309" fontId="27" fillId="0" borderId="0" xfId="3" applyNumberFormat="1" applyFont="1" applyFill="1" applyBorder="1" applyAlignment="1">
      <alignment vertical="top" wrapText="1"/>
    </xf>
    <xf numFmtId="309" fontId="27" fillId="0" borderId="0" xfId="0" applyNumberFormat="1" applyFont="1"/>
    <xf numFmtId="0" fontId="25" fillId="0" borderId="3" xfId="0" applyFont="1" applyBorder="1" applyAlignment="1">
      <alignment wrapText="1"/>
    </xf>
    <xf numFmtId="0" fontId="30" fillId="0" borderId="9" xfId="0" applyFont="1" applyBorder="1" applyAlignment="1">
      <alignment horizontal="center"/>
    </xf>
    <xf numFmtId="0" fontId="7" fillId="0" borderId="0" xfId="0" applyFont="1" applyBorder="1" applyAlignment="1">
      <alignment horizontal="right"/>
    </xf>
    <xf numFmtId="0" fontId="28" fillId="0" borderId="3" xfId="0" applyFont="1" applyBorder="1" applyAlignment="1">
      <alignment horizontal="right"/>
    </xf>
    <xf numFmtId="0" fontId="28" fillId="0" borderId="3" xfId="0" applyFont="1" applyBorder="1" applyAlignment="1">
      <alignment horizontal="center"/>
    </xf>
    <xf numFmtId="0" fontId="27" fillId="0" borderId="29" xfId="0" applyFont="1" applyBorder="1"/>
    <xf numFmtId="167" fontId="27" fillId="0" borderId="3" xfId="2" applyNumberFormat="1" applyFont="1" applyBorder="1"/>
    <xf numFmtId="165" fontId="28" fillId="0" borderId="3" xfId="3" applyNumberFormat="1" applyFont="1" applyBorder="1"/>
    <xf numFmtId="165" fontId="27" fillId="21" borderId="3" xfId="3" applyNumberFormat="1" applyFont="1" applyFill="1" applyBorder="1"/>
    <xf numFmtId="164" fontId="27" fillId="0" borderId="3" xfId="1" applyNumberFormat="1" applyFont="1" applyBorder="1"/>
    <xf numFmtId="164" fontId="25" fillId="0" borderId="3" xfId="1" applyNumberFormat="1" applyFont="1" applyBorder="1"/>
    <xf numFmtId="164" fontId="27" fillId="0" borderId="3" xfId="0" applyNumberFormat="1" applyFont="1" applyFill="1" applyBorder="1"/>
    <xf numFmtId="164" fontId="27" fillId="0" borderId="5" xfId="1" applyNumberFormat="1" applyFont="1" applyBorder="1"/>
    <xf numFmtId="0" fontId="7" fillId="0" borderId="18" xfId="0" applyFont="1" applyFill="1" applyBorder="1" applyAlignment="1">
      <alignment horizontal="left" vertical="top" wrapText="1"/>
    </xf>
    <xf numFmtId="309" fontId="27" fillId="0" borderId="4" xfId="1" applyNumberFormat="1" applyFont="1" applyBorder="1"/>
    <xf numFmtId="290" fontId="27" fillId="0" borderId="0" xfId="1" applyNumberFormat="1" applyFont="1"/>
    <xf numFmtId="309" fontId="27" fillId="0" borderId="0" xfId="1" applyNumberFormat="1" applyFont="1" applyBorder="1"/>
    <xf numFmtId="254" fontId="27" fillId="21" borderId="0" xfId="3" applyNumberFormat="1" applyFont="1" applyFill="1" applyBorder="1"/>
    <xf numFmtId="254" fontId="27" fillId="21" borderId="4" xfId="3" applyNumberFormat="1" applyFont="1" applyFill="1" applyBorder="1"/>
    <xf numFmtId="254" fontId="29" fillId="0" borderId="0" xfId="0" applyNumberFormat="1" applyFont="1" applyBorder="1"/>
    <xf numFmtId="44" fontId="27" fillId="13" borderId="0" xfId="2" applyFont="1" applyFill="1" applyBorder="1"/>
    <xf numFmtId="44" fontId="27" fillId="13" borderId="4" xfId="2" applyFont="1" applyFill="1" applyBorder="1"/>
    <xf numFmtId="9" fontId="27" fillId="21" borderId="4" xfId="3" applyFont="1" applyFill="1" applyBorder="1"/>
    <xf numFmtId="9" fontId="27" fillId="21" borderId="6" xfId="3" applyFont="1" applyFill="1" applyBorder="1"/>
    <xf numFmtId="200" fontId="27" fillId="0" borderId="4" xfId="2" applyNumberFormat="1" applyFont="1" applyFill="1" applyBorder="1"/>
    <xf numFmtId="44" fontId="27" fillId="0" borderId="4" xfId="2" applyFont="1" applyFill="1" applyBorder="1"/>
    <xf numFmtId="0" fontId="29" fillId="0" borderId="4" xfId="0" applyFont="1" applyFill="1" applyBorder="1"/>
    <xf numFmtId="201" fontId="27" fillId="0" borderId="4" xfId="2" applyNumberFormat="1" applyFont="1" applyFill="1" applyBorder="1"/>
    <xf numFmtId="209" fontId="32" fillId="0" borderId="4" xfId="0" applyNumberFormat="1" applyFont="1" applyFill="1" applyBorder="1"/>
    <xf numFmtId="201" fontId="27" fillId="0" borderId="41" xfId="2" applyNumberFormat="1" applyFont="1" applyFill="1" applyBorder="1"/>
    <xf numFmtId="9" fontId="27" fillId="0" borderId="41" xfId="3" applyFont="1" applyFill="1" applyBorder="1"/>
    <xf numFmtId="0" fontId="7" fillId="24" borderId="0" xfId="0" applyFont="1" applyFill="1" applyBorder="1"/>
    <xf numFmtId="0" fontId="5" fillId="10" borderId="0" xfId="0" applyFont="1" applyFill="1"/>
    <xf numFmtId="164" fontId="4" fillId="10" borderId="0" xfId="1" applyNumberFormat="1" applyFont="1" applyFill="1"/>
    <xf numFmtId="165" fontId="27" fillId="10" borderId="0" xfId="3" applyNumberFormat="1" applyFont="1" applyFill="1"/>
    <xf numFmtId="0" fontId="28" fillId="10" borderId="0" xfId="0" applyFont="1" applyFill="1"/>
    <xf numFmtId="164" fontId="7" fillId="10" borderId="0" xfId="1" applyNumberFormat="1" applyFont="1" applyFill="1"/>
    <xf numFmtId="9" fontId="7" fillId="10" borderId="0" xfId="3" applyFont="1" applyFill="1"/>
    <xf numFmtId="165" fontId="4" fillId="10" borderId="0" xfId="3" applyNumberFormat="1" applyFont="1" applyFill="1"/>
    <xf numFmtId="164" fontId="4" fillId="10" borderId="0" xfId="0" applyNumberFormat="1" applyFont="1" applyFill="1"/>
    <xf numFmtId="164" fontId="4" fillId="10" borderId="9" xfId="1" applyNumberFormat="1" applyFont="1" applyFill="1" applyBorder="1"/>
    <xf numFmtId="209" fontId="32" fillId="27" borderId="18" xfId="0" applyNumberFormat="1" applyFont="1" applyFill="1" applyBorder="1"/>
    <xf numFmtId="200" fontId="27" fillId="27" borderId="0" xfId="0" applyNumberFormat="1" applyFont="1" applyFill="1" applyBorder="1"/>
    <xf numFmtId="200" fontId="27" fillId="27" borderId="4" xfId="0" applyNumberFormat="1" applyFont="1" applyFill="1" applyBorder="1"/>
    <xf numFmtId="240" fontId="27" fillId="27" borderId="0" xfId="0" applyNumberFormat="1" applyFont="1" applyFill="1" applyBorder="1"/>
    <xf numFmtId="240" fontId="27" fillId="27" borderId="4" xfId="0" applyNumberFormat="1" applyFont="1" applyFill="1" applyBorder="1"/>
    <xf numFmtId="9" fontId="27" fillId="27" borderId="0" xfId="3" applyNumberFormat="1" applyFont="1" applyFill="1" applyBorder="1"/>
    <xf numFmtId="9" fontId="27" fillId="27" borderId="4" xfId="3" applyNumberFormat="1" applyFont="1" applyFill="1" applyBorder="1"/>
    <xf numFmtId="0" fontId="27" fillId="27" borderId="15" xfId="0" applyFont="1" applyFill="1" applyBorder="1"/>
    <xf numFmtId="0" fontId="27" fillId="27" borderId="6" xfId="0" applyFont="1" applyFill="1" applyBorder="1"/>
    <xf numFmtId="193" fontId="27" fillId="0" borderId="15" xfId="0" applyNumberFormat="1" applyFont="1" applyBorder="1"/>
    <xf numFmtId="309" fontId="27" fillId="0" borderId="4" xfId="0" applyNumberFormat="1" applyFont="1" applyBorder="1"/>
    <xf numFmtId="0" fontId="7" fillId="0" borderId="0" xfId="0" applyFont="1" applyAlignment="1">
      <alignment horizontal="left" vertical="top" wrapText="1"/>
    </xf>
    <xf numFmtId="309" fontId="27" fillId="0" borderId="0" xfId="1" applyNumberFormat="1" applyFont="1"/>
    <xf numFmtId="290" fontId="32" fillId="0" borderId="2" xfId="0" applyNumberFormat="1" applyFont="1" applyBorder="1" applyAlignment="1">
      <alignment horizontal="right"/>
    </xf>
    <xf numFmtId="290" fontId="27" fillId="0" borderId="4" xfId="0" applyNumberFormat="1" applyFont="1" applyBorder="1"/>
    <xf numFmtId="290" fontId="27" fillId="21" borderId="4" xfId="0" applyNumberFormat="1" applyFont="1" applyFill="1" applyBorder="1"/>
    <xf numFmtId="165" fontId="27" fillId="0" borderId="4" xfId="0" applyNumberFormat="1" applyFont="1" applyFill="1" applyBorder="1"/>
    <xf numFmtId="0" fontId="4" fillId="0" borderId="0" xfId="0" applyFont="1" applyBorder="1" applyAlignment="1">
      <alignment horizontal="right"/>
    </xf>
    <xf numFmtId="200" fontId="4" fillId="0" borderId="0" xfId="0" applyNumberFormat="1" applyFont="1" applyBorder="1" applyAlignment="1">
      <alignment horizontal="right"/>
    </xf>
    <xf numFmtId="201" fontId="4" fillId="0" borderId="0" xfId="0" applyNumberFormat="1" applyFont="1" applyBorder="1" applyAlignment="1">
      <alignment horizontal="right"/>
    </xf>
    <xf numFmtId="200" fontId="4" fillId="21" borderId="0" xfId="0" applyNumberFormat="1" applyFont="1" applyFill="1" applyBorder="1" applyAlignment="1">
      <alignment horizontal="right"/>
    </xf>
    <xf numFmtId="200" fontId="4" fillId="0" borderId="15" xfId="0" applyNumberFormat="1" applyFont="1" applyBorder="1" applyAlignment="1">
      <alignment horizontal="right"/>
    </xf>
    <xf numFmtId="309" fontId="27" fillId="0" borderId="0" xfId="0" applyNumberFormat="1" applyFont="1" applyBorder="1"/>
    <xf numFmtId="310" fontId="27" fillId="0" borderId="0" xfId="0" applyNumberFormat="1" applyFont="1"/>
    <xf numFmtId="310" fontId="27" fillId="0" borderId="0" xfId="0" applyNumberFormat="1" applyFont="1" applyBorder="1"/>
    <xf numFmtId="311" fontId="27" fillId="0" borderId="0" xfId="0" applyNumberFormat="1" applyFont="1"/>
    <xf numFmtId="311" fontId="27" fillId="0" borderId="9" xfId="0" applyNumberFormat="1" applyFont="1" applyBorder="1"/>
    <xf numFmtId="311" fontId="27" fillId="0" borderId="7" xfId="0" applyNumberFormat="1" applyFont="1" applyBorder="1"/>
    <xf numFmtId="310" fontId="27" fillId="0" borderId="8" xfId="0" applyNumberFormat="1" applyFont="1" applyBorder="1"/>
    <xf numFmtId="255" fontId="27" fillId="0" borderId="16" xfId="3" applyNumberFormat="1" applyFont="1" applyBorder="1"/>
    <xf numFmtId="240" fontId="28" fillId="0" borderId="0" xfId="0" applyNumberFormat="1" applyFont="1" applyFill="1" applyBorder="1" applyAlignment="1">
      <alignment horizontal="right"/>
    </xf>
    <xf numFmtId="240" fontId="28" fillId="0" borderId="4" xfId="0" applyNumberFormat="1" applyFont="1" applyFill="1" applyBorder="1" applyAlignment="1">
      <alignment horizontal="right"/>
    </xf>
    <xf numFmtId="240" fontId="27" fillId="0" borderId="0" xfId="0" applyNumberFormat="1" applyFont="1" applyFill="1" applyBorder="1" applyAlignment="1">
      <alignment horizontal="right"/>
    </xf>
    <xf numFmtId="240" fontId="27" fillId="0" borderId="4" xfId="0" applyNumberFormat="1" applyFont="1" applyFill="1" applyBorder="1" applyAlignment="1">
      <alignment horizontal="right"/>
    </xf>
    <xf numFmtId="201" fontId="27" fillId="0" borderId="0" xfId="0" applyNumberFormat="1" applyFont="1" applyFill="1" applyBorder="1" applyAlignment="1">
      <alignment horizontal="right"/>
    </xf>
    <xf numFmtId="201" fontId="27" fillId="0" borderId="4" xfId="0" applyNumberFormat="1" applyFont="1" applyFill="1" applyBorder="1" applyAlignment="1">
      <alignment horizontal="right"/>
    </xf>
    <xf numFmtId="9" fontId="27" fillId="0" borderId="0" xfId="3" applyNumberFormat="1" applyFont="1" applyFill="1" applyBorder="1" applyAlignment="1">
      <alignment horizontal="right"/>
    </xf>
    <xf numFmtId="9" fontId="27" fillId="0" borderId="4" xfId="3" applyNumberFormat="1" applyFont="1" applyFill="1" applyBorder="1" applyAlignment="1">
      <alignment horizontal="right"/>
    </xf>
    <xf numFmtId="178" fontId="27" fillId="0" borderId="0" xfId="3" applyNumberFormat="1" applyFont="1" applyBorder="1"/>
    <xf numFmtId="311" fontId="27" fillId="0" borderId="0" xfId="0" applyNumberFormat="1" applyFont="1" applyBorder="1"/>
    <xf numFmtId="312" fontId="27" fillId="0" borderId="0" xfId="0" applyNumberFormat="1" applyFont="1" applyBorder="1"/>
    <xf numFmtId="312" fontId="27" fillId="0" borderId="9" xfId="0" applyNumberFormat="1" applyFont="1" applyBorder="1"/>
    <xf numFmtId="178" fontId="27" fillId="0" borderId="15" xfId="3" applyNumberFormat="1" applyFont="1" applyBorder="1"/>
    <xf numFmtId="312" fontId="27" fillId="0" borderId="0" xfId="0" applyNumberFormat="1" applyFont="1" applyBorder="1" applyAlignment="1">
      <alignment horizontal="center"/>
    </xf>
    <xf numFmtId="312" fontId="27" fillId="0" borderId="10" xfId="0" applyNumberFormat="1" applyFont="1" applyBorder="1"/>
    <xf numFmtId="172" fontId="4" fillId="0" borderId="0" xfId="0" applyNumberFormat="1" applyFont="1"/>
    <xf numFmtId="0" fontId="15" fillId="0" borderId="0" xfId="4"/>
    <xf numFmtId="218" fontId="27" fillId="0" borderId="0" xfId="0" applyNumberFormat="1" applyFont="1"/>
    <xf numFmtId="0" fontId="67" fillId="0" borderId="0" xfId="0" applyFont="1" applyFill="1" applyBorder="1" applyAlignment="1">
      <alignment horizontal="left" vertical="top" wrapText="1"/>
    </xf>
    <xf numFmtId="0" fontId="0" fillId="24" borderId="0" xfId="0" applyFill="1"/>
    <xf numFmtId="44" fontId="4" fillId="2" borderId="0" xfId="2" applyFont="1" applyFill="1"/>
    <xf numFmtId="167" fontId="4" fillId="2" borderId="0" xfId="2" applyNumberFormat="1" applyFont="1" applyFill="1"/>
    <xf numFmtId="0" fontId="27" fillId="30" borderId="3" xfId="0" applyFont="1" applyFill="1" applyBorder="1"/>
    <xf numFmtId="203" fontId="27" fillId="30" borderId="0" xfId="1" applyNumberFormat="1" applyFont="1" applyFill="1"/>
    <xf numFmtId="233" fontId="27" fillId="0" borderId="9" xfId="1" applyNumberFormat="1" applyFont="1" applyFill="1" applyBorder="1"/>
    <xf numFmtId="0" fontId="32" fillId="0" borderId="0" xfId="0" applyFont="1" applyFill="1" applyBorder="1"/>
    <xf numFmtId="9" fontId="27" fillId="0" borderId="0" xfId="3" applyFont="1" applyFill="1"/>
    <xf numFmtId="313" fontId="27" fillId="0" borderId="0" xfId="0" applyNumberFormat="1" applyFont="1"/>
    <xf numFmtId="0" fontId="25" fillId="0" borderId="0" xfId="0" applyFont="1" applyAlignment="1">
      <alignment horizontal="left" vertical="top" wrapText="1"/>
    </xf>
    <xf numFmtId="0" fontId="22" fillId="0" borderId="5" xfId="0" applyFont="1" applyBorder="1" applyAlignment="1">
      <alignment horizontal="left" vertical="top" wrapText="1"/>
    </xf>
    <xf numFmtId="0" fontId="22" fillId="0" borderId="15" xfId="0" applyFont="1" applyBorder="1" applyAlignment="1">
      <alignment horizontal="left" vertical="top" wrapText="1"/>
    </xf>
    <xf numFmtId="0" fontId="22" fillId="0" borderId="6" xfId="0" applyFont="1" applyBorder="1" applyAlignment="1">
      <alignment horizontal="left" vertical="top" wrapText="1"/>
    </xf>
    <xf numFmtId="0" fontId="25" fillId="0" borderId="15" xfId="0" applyFont="1" applyBorder="1" applyAlignment="1">
      <alignment horizontal="center"/>
    </xf>
    <xf numFmtId="0" fontId="4" fillId="0" borderId="3" xfId="0" applyFont="1" applyBorder="1" applyAlignment="1">
      <alignment horizontal="left" vertical="top"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0" fontId="7" fillId="0" borderId="0" xfId="0" applyFont="1" applyAlignment="1">
      <alignment horizontal="left" vertical="top" wrapText="1"/>
    </xf>
    <xf numFmtId="0" fontId="27" fillId="0" borderId="3" xfId="0" applyFont="1" applyBorder="1" applyAlignment="1">
      <alignment horizontal="left" vertical="top" wrapText="1"/>
    </xf>
    <xf numFmtId="0" fontId="27" fillId="0" borderId="0" xfId="0" applyFont="1" applyBorder="1" applyAlignment="1">
      <alignment horizontal="left" vertical="top" wrapText="1"/>
    </xf>
    <xf numFmtId="0" fontId="27" fillId="0" borderId="4" xfId="0" applyFont="1" applyBorder="1" applyAlignment="1">
      <alignment horizontal="left" vertical="top" wrapText="1"/>
    </xf>
    <xf numFmtId="0" fontId="28" fillId="0" borderId="18" xfId="0" applyFont="1" applyBorder="1" applyAlignment="1">
      <alignment horizontal="left" vertical="top" wrapText="1"/>
    </xf>
    <xf numFmtId="0" fontId="28" fillId="0" borderId="0" xfId="0" applyFont="1" applyAlignment="1">
      <alignment horizontal="left" vertical="top" wrapText="1"/>
    </xf>
    <xf numFmtId="0" fontId="7" fillId="0" borderId="18" xfId="0" applyFont="1" applyBorder="1" applyAlignment="1">
      <alignment horizontal="left" vertical="top" wrapText="1"/>
    </xf>
    <xf numFmtId="0" fontId="7" fillId="0" borderId="0" xfId="0" applyFont="1" applyBorder="1" applyAlignment="1">
      <alignment horizontal="left" vertical="top" wrapText="1"/>
    </xf>
    <xf numFmtId="0" fontId="27" fillId="0" borderId="0" xfId="0" applyFont="1" applyAlignment="1">
      <alignment horizontal="center" vertical="center" textRotation="90"/>
    </xf>
    <xf numFmtId="0" fontId="27" fillId="0" borderId="41" xfId="0" applyFont="1" applyBorder="1" applyAlignment="1">
      <alignment horizontal="center" vertical="center" textRotation="90"/>
    </xf>
    <xf numFmtId="0" fontId="27" fillId="0" borderId="3" xfId="0" applyFont="1" applyBorder="1" applyAlignment="1">
      <alignment horizontal="center" vertical="center" textRotation="90"/>
    </xf>
    <xf numFmtId="0" fontId="27" fillId="36" borderId="0" xfId="0" applyFont="1" applyFill="1" applyAlignment="1">
      <alignment horizontal="center" vertical="center" textRotation="90" wrapText="1"/>
    </xf>
    <xf numFmtId="0" fontId="27" fillId="21" borderId="0" xfId="0" applyFont="1" applyFill="1" applyAlignment="1">
      <alignment horizontal="center" vertical="center" textRotation="90" wrapText="1"/>
    </xf>
    <xf numFmtId="0" fontId="27" fillId="21" borderId="4" xfId="0" applyFont="1" applyFill="1" applyBorder="1" applyAlignment="1">
      <alignment horizontal="center" vertical="center" textRotation="90" wrapText="1"/>
    </xf>
    <xf numFmtId="0" fontId="27" fillId="0" borderId="4" xfId="0" applyFont="1" applyBorder="1" applyAlignment="1">
      <alignment horizontal="center" vertical="center" textRotation="90"/>
    </xf>
    <xf numFmtId="167" fontId="28" fillId="0" borderId="0" xfId="2" applyNumberFormat="1" applyFont="1" applyAlignment="1">
      <alignment horizontal="center" vertical="center" wrapText="1"/>
    </xf>
    <xf numFmtId="167" fontId="28" fillId="0" borderId="4" xfId="2" applyNumberFormat="1" applyFont="1" applyBorder="1" applyAlignment="1">
      <alignment horizontal="center" vertical="center" wrapText="1"/>
    </xf>
    <xf numFmtId="167" fontId="28" fillId="0" borderId="7" xfId="2" applyNumberFormat="1" applyFont="1" applyBorder="1" applyAlignment="1">
      <alignment horizontal="center" vertical="center" wrapText="1"/>
    </xf>
    <xf numFmtId="167" fontId="28" fillId="0" borderId="16" xfId="2" applyNumberFormat="1" applyFont="1" applyBorder="1" applyAlignment="1">
      <alignment horizontal="center" vertical="center" wrapText="1"/>
    </xf>
    <xf numFmtId="0" fontId="4"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Alignment="1">
      <alignment horizontal="left" vertical="top" wrapText="1"/>
    </xf>
    <xf numFmtId="0" fontId="27" fillId="0" borderId="3"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 xfId="0" applyFont="1" applyBorder="1" applyAlignment="1">
      <alignment horizontal="center" vertical="center" wrapText="1"/>
    </xf>
    <xf numFmtId="0" fontId="4" fillId="0" borderId="0" xfId="0" applyFont="1" applyAlignment="1">
      <alignment horizontal="center" vertical="center"/>
    </xf>
    <xf numFmtId="0" fontId="35" fillId="0" borderId="3" xfId="0" applyFont="1" applyBorder="1" applyAlignment="1">
      <alignment horizontal="left" vertical="top" wrapText="1"/>
    </xf>
    <xf numFmtId="0" fontId="35" fillId="0" borderId="0" xfId="0" applyFont="1" applyBorder="1" applyAlignment="1">
      <alignment horizontal="left" vertical="top" wrapText="1"/>
    </xf>
    <xf numFmtId="0" fontId="35" fillId="0" borderId="4" xfId="0" applyFont="1" applyBorder="1" applyAlignment="1">
      <alignment horizontal="left" vertical="top" wrapText="1"/>
    </xf>
    <xf numFmtId="0" fontId="35" fillId="0" borderId="5" xfId="0" applyFont="1" applyBorder="1" applyAlignment="1">
      <alignment horizontal="left" vertical="top" wrapText="1"/>
    </xf>
    <xf numFmtId="0" fontId="35" fillId="0" borderId="15" xfId="0" applyFont="1" applyBorder="1" applyAlignment="1">
      <alignment horizontal="left" vertical="top" wrapText="1"/>
    </xf>
    <xf numFmtId="0" fontId="35" fillId="0" borderId="6" xfId="0" applyFont="1" applyBorder="1" applyAlignment="1">
      <alignment horizontal="left" vertical="top" wrapText="1"/>
    </xf>
    <xf numFmtId="0" fontId="35" fillId="0" borderId="1" xfId="0" applyFont="1" applyBorder="1" applyAlignment="1">
      <alignment horizontal="left" vertical="top" wrapText="1"/>
    </xf>
    <xf numFmtId="0" fontId="35" fillId="0" borderId="18" xfId="0" applyFont="1" applyBorder="1" applyAlignment="1">
      <alignment horizontal="left" vertical="top" wrapText="1"/>
    </xf>
    <xf numFmtId="0" fontId="35" fillId="0" borderId="2" xfId="0" applyFont="1" applyBorder="1" applyAlignment="1">
      <alignment horizontal="left" vertical="top" wrapText="1"/>
    </xf>
    <xf numFmtId="0" fontId="28" fillId="27" borderId="18" xfId="0" applyFont="1" applyFill="1" applyBorder="1" applyAlignment="1">
      <alignment horizontal="center"/>
    </xf>
    <xf numFmtId="0" fontId="28" fillId="27" borderId="2" xfId="0" applyFont="1" applyFill="1" applyBorder="1" applyAlignment="1">
      <alignment horizontal="center"/>
    </xf>
    <xf numFmtId="0" fontId="28" fillId="0" borderId="18" xfId="0" applyFont="1" applyBorder="1" applyAlignment="1">
      <alignment horizontal="center"/>
    </xf>
    <xf numFmtId="0" fontId="28" fillId="0" borderId="2" xfId="0" applyFont="1" applyBorder="1" applyAlignment="1">
      <alignment horizontal="center"/>
    </xf>
    <xf numFmtId="0" fontId="27" fillId="14" borderId="0" xfId="0" applyFont="1" applyFill="1" applyAlignment="1">
      <alignment horizontal="center"/>
    </xf>
    <xf numFmtId="0" fontId="27" fillId="0" borderId="0" xfId="0" applyFont="1" applyAlignment="1">
      <alignment horizontal="left" vertical="top" wrapText="1"/>
    </xf>
    <xf numFmtId="0" fontId="27" fillId="8" borderId="0" xfId="0" applyFont="1" applyFill="1" applyAlignment="1">
      <alignment horizontal="left" vertical="top" wrapText="1"/>
    </xf>
    <xf numFmtId="0" fontId="28" fillId="0" borderId="1" xfId="0" applyFont="1" applyFill="1" applyBorder="1" applyAlignment="1">
      <alignment horizontal="left" vertical="top" wrapText="1"/>
    </xf>
    <xf numFmtId="0" fontId="28" fillId="0" borderId="18" xfId="0" applyFont="1" applyFill="1" applyBorder="1" applyAlignment="1">
      <alignment horizontal="left" vertical="top"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4" fillId="0" borderId="18" xfId="0" applyFont="1" applyBorder="1" applyAlignment="1">
      <alignment horizontal="left" vertical="top" wrapText="1"/>
    </xf>
    <xf numFmtId="0" fontId="25" fillId="8" borderId="0" xfId="0" applyFont="1" applyFill="1" applyAlignment="1">
      <alignment horizontal="left"/>
    </xf>
    <xf numFmtId="0" fontId="27" fillId="0" borderId="18" xfId="0" applyFont="1" applyBorder="1" applyAlignment="1">
      <alignment horizontal="center" wrapText="1"/>
    </xf>
    <xf numFmtId="0" fontId="27" fillId="0" borderId="2" xfId="0" applyFont="1" applyBorder="1" applyAlignment="1">
      <alignment horizontal="center" wrapText="1"/>
    </xf>
    <xf numFmtId="165" fontId="27" fillId="0" borderId="3" xfId="3" applyNumberFormat="1" applyFont="1" applyBorder="1" applyAlignment="1">
      <alignment horizontal="left" vertical="top" wrapText="1"/>
    </xf>
    <xf numFmtId="165" fontId="27" fillId="0" borderId="0" xfId="3" applyNumberFormat="1" applyFont="1" applyBorder="1" applyAlignment="1">
      <alignment horizontal="left" vertical="top" wrapText="1"/>
    </xf>
    <xf numFmtId="0" fontId="16" fillId="0" borderId="3" xfId="0" applyFont="1" applyBorder="1" applyAlignment="1">
      <alignment horizontal="left" vertical="top" wrapText="1"/>
    </xf>
    <xf numFmtId="0" fontId="16" fillId="0" borderId="0" xfId="0" applyFont="1" applyBorder="1" applyAlignment="1">
      <alignment horizontal="left" vertical="top" wrapText="1"/>
    </xf>
    <xf numFmtId="0" fontId="42" fillId="0" borderId="3" xfId="0" applyFont="1" applyBorder="1" applyAlignment="1">
      <alignment horizontal="left" vertical="top" wrapText="1"/>
    </xf>
    <xf numFmtId="0" fontId="4" fillId="0" borderId="3" xfId="0" applyFont="1" applyBorder="1" applyAlignment="1">
      <alignment horizontal="left" vertical="top"/>
    </xf>
    <xf numFmtId="0" fontId="4" fillId="0" borderId="0" xfId="0" applyFont="1" applyBorder="1" applyAlignment="1">
      <alignment horizontal="left" vertical="top"/>
    </xf>
    <xf numFmtId="0" fontId="4" fillId="0" borderId="4" xfId="0" applyFont="1" applyBorder="1" applyAlignment="1">
      <alignment horizontal="left" vertical="top"/>
    </xf>
    <xf numFmtId="0" fontId="52" fillId="30" borderId="0" xfId="0" applyFont="1" applyFill="1" applyAlignment="1">
      <alignment horizontal="center"/>
    </xf>
    <xf numFmtId="0" fontId="27" fillId="0" borderId="11" xfId="0" applyFont="1" applyBorder="1" applyAlignment="1">
      <alignment horizontal="center"/>
    </xf>
    <xf numFmtId="0" fontId="4" fillId="0" borderId="23" xfId="0" applyFont="1" applyBorder="1" applyAlignment="1">
      <alignment horizontal="left" vertical="top" wrapText="1"/>
    </xf>
    <xf numFmtId="0" fontId="4" fillId="0" borderId="24" xfId="0" applyFont="1" applyBorder="1" applyAlignment="1">
      <alignment horizontal="left" vertical="top" wrapText="1"/>
    </xf>
    <xf numFmtId="0" fontId="11" fillId="0" borderId="0" xfId="0" applyFont="1" applyBorder="1" applyAlignment="1">
      <alignment horizontal="center"/>
    </xf>
    <xf numFmtId="37" fontId="28" fillId="0" borderId="21" xfId="1" applyNumberFormat="1" applyFont="1" applyFill="1" applyBorder="1" applyAlignment="1">
      <alignment horizontal="center" vertical="center" wrapText="1"/>
    </xf>
    <xf numFmtId="37" fontId="28" fillId="0" borderId="22" xfId="1" applyNumberFormat="1" applyFont="1" applyFill="1" applyBorder="1" applyAlignment="1">
      <alignment horizontal="center" vertical="center" wrapText="1"/>
    </xf>
    <xf numFmtId="37" fontId="28" fillId="0" borderId="34" xfId="1" applyNumberFormat="1" applyFont="1" applyFill="1" applyBorder="1" applyAlignment="1">
      <alignment horizontal="center" vertical="center" wrapText="1"/>
    </xf>
    <xf numFmtId="37" fontId="28" fillId="0" borderId="9" xfId="1" applyNumberFormat="1" applyFont="1" applyFill="1" applyBorder="1" applyAlignment="1">
      <alignment horizontal="center" vertical="center" wrapText="1"/>
    </xf>
    <xf numFmtId="37" fontId="28" fillId="0" borderId="35" xfId="1" applyNumberFormat="1" applyFont="1" applyFill="1" applyBorder="1" applyAlignment="1">
      <alignment horizontal="center" vertical="center" wrapText="1"/>
    </xf>
    <xf numFmtId="37" fontId="28" fillId="0" borderId="25" xfId="1" applyNumberFormat="1" applyFont="1" applyFill="1" applyBorder="1" applyAlignment="1">
      <alignment horizontal="center" vertical="center" wrapText="1"/>
    </xf>
    <xf numFmtId="37" fontId="28" fillId="0" borderId="7" xfId="1" applyNumberFormat="1" applyFont="1" applyFill="1" applyBorder="1" applyAlignment="1">
      <alignment horizontal="center" vertical="center" wrapText="1"/>
    </xf>
    <xf numFmtId="37" fontId="28" fillId="0" borderId="26" xfId="1" applyNumberFormat="1" applyFont="1" applyFill="1" applyBorder="1" applyAlignment="1">
      <alignment horizontal="center" vertical="center" wrapText="1"/>
    </xf>
    <xf numFmtId="0" fontId="28" fillId="0" borderId="21" xfId="0" applyFont="1" applyFill="1" applyBorder="1" applyAlignment="1">
      <alignment horizontal="center" vertical="center"/>
    </xf>
    <xf numFmtId="0" fontId="28" fillId="0" borderId="22" xfId="0" applyFont="1" applyFill="1" applyBorder="1" applyAlignment="1">
      <alignment horizontal="center" vertical="center"/>
    </xf>
    <xf numFmtId="0" fontId="28" fillId="0" borderId="34"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26" xfId="0" applyFont="1" applyFill="1" applyBorder="1" applyAlignment="1">
      <alignment horizontal="center" vertical="center" wrapText="1"/>
    </xf>
    <xf numFmtId="37" fontId="28" fillId="0" borderId="34" xfId="1" applyNumberFormat="1" applyFont="1" applyFill="1" applyBorder="1" applyAlignment="1">
      <alignment horizontal="center" vertical="center"/>
    </xf>
    <xf numFmtId="37" fontId="28" fillId="0" borderId="9" xfId="1" applyNumberFormat="1" applyFont="1" applyFill="1" applyBorder="1" applyAlignment="1">
      <alignment horizontal="center" vertical="center"/>
    </xf>
    <xf numFmtId="37" fontId="28" fillId="0" borderId="35" xfId="1" applyNumberFormat="1" applyFont="1" applyFill="1" applyBorder="1" applyAlignment="1">
      <alignment horizontal="center" vertical="center"/>
    </xf>
    <xf numFmtId="37" fontId="28" fillId="0" borderId="25" xfId="1" applyNumberFormat="1" applyFont="1" applyFill="1" applyBorder="1" applyAlignment="1">
      <alignment horizontal="center" vertical="center"/>
    </xf>
    <xf numFmtId="37" fontId="28" fillId="0" borderId="7" xfId="1" applyNumberFormat="1" applyFont="1" applyFill="1" applyBorder="1" applyAlignment="1">
      <alignment horizontal="center" vertical="center"/>
    </xf>
    <xf numFmtId="37" fontId="28" fillId="0" borderId="26" xfId="1" applyNumberFormat="1" applyFont="1" applyFill="1" applyBorder="1" applyAlignment="1">
      <alignment horizontal="center" vertical="center"/>
    </xf>
    <xf numFmtId="37" fontId="28" fillId="0" borderId="23" xfId="1" applyNumberFormat="1" applyFont="1" applyFill="1" applyBorder="1" applyAlignment="1">
      <alignment horizontal="center" vertical="center" wrapText="1"/>
    </xf>
    <xf numFmtId="37" fontId="28" fillId="0" borderId="0" xfId="1" applyNumberFormat="1" applyFont="1" applyFill="1" applyAlignment="1">
      <alignment horizontal="center" vertical="center" wrapText="1"/>
    </xf>
    <xf numFmtId="37" fontId="28" fillId="0" borderId="24" xfId="1" applyNumberFormat="1" applyFont="1" applyFill="1" applyBorder="1" applyAlignment="1">
      <alignment horizontal="center" vertical="center" wrapText="1"/>
    </xf>
    <xf numFmtId="37" fontId="27" fillId="0" borderId="34" xfId="1" applyNumberFormat="1" applyFont="1" applyFill="1" applyBorder="1" applyAlignment="1">
      <alignment horizontal="center" vertical="center" wrapText="1"/>
    </xf>
    <xf numFmtId="37" fontId="47" fillId="0" borderId="9" xfId="0" applyNumberFormat="1" applyFont="1" applyFill="1" applyBorder="1" applyAlignment="1">
      <alignment horizontal="center" vertical="center" wrapText="1"/>
    </xf>
    <xf numFmtId="37" fontId="47" fillId="0" borderId="35" xfId="0" applyNumberFormat="1" applyFont="1" applyFill="1" applyBorder="1" applyAlignment="1">
      <alignment horizontal="center" vertical="center" wrapText="1"/>
    </xf>
    <xf numFmtId="37" fontId="47" fillId="0" borderId="23" xfId="0" applyNumberFormat="1" applyFont="1" applyFill="1" applyBorder="1" applyAlignment="1">
      <alignment horizontal="center" vertical="center" wrapText="1"/>
    </xf>
    <xf numFmtId="37" fontId="47" fillId="0" borderId="0" xfId="0" applyNumberFormat="1" applyFont="1" applyFill="1" applyAlignment="1">
      <alignment horizontal="center" vertical="center" wrapText="1"/>
    </xf>
    <xf numFmtId="37" fontId="47" fillId="0" borderId="24" xfId="0" applyNumberFormat="1" applyFont="1" applyFill="1" applyBorder="1" applyAlignment="1">
      <alignment horizontal="center" vertical="center" wrapText="1"/>
    </xf>
    <xf numFmtId="37" fontId="47" fillId="0" borderId="25" xfId="0" applyNumberFormat="1" applyFont="1" applyFill="1" applyBorder="1" applyAlignment="1">
      <alignment horizontal="center" vertical="center" wrapText="1"/>
    </xf>
    <xf numFmtId="37" fontId="47" fillId="0" borderId="7" xfId="0" applyNumberFormat="1" applyFont="1" applyFill="1" applyBorder="1" applyAlignment="1">
      <alignment horizontal="center" vertical="center" wrapText="1"/>
    </xf>
    <xf numFmtId="37" fontId="47" fillId="0" borderId="26" xfId="0" applyNumberFormat="1" applyFont="1" applyFill="1" applyBorder="1" applyAlignment="1">
      <alignment horizontal="center" vertical="center" wrapText="1"/>
    </xf>
    <xf numFmtId="37" fontId="28" fillId="0" borderId="34" xfId="1" applyNumberFormat="1" applyFont="1" applyFill="1" applyBorder="1" applyAlignment="1">
      <alignment vertical="center" wrapText="1"/>
    </xf>
    <xf numFmtId="37" fontId="28" fillId="0" borderId="35" xfId="0" applyNumberFormat="1" applyFont="1" applyFill="1" applyBorder="1" applyAlignment="1">
      <alignment vertical="center" wrapText="1"/>
    </xf>
    <xf numFmtId="37" fontId="28" fillId="0" borderId="23" xfId="0" applyNumberFormat="1" applyFont="1" applyFill="1" applyBorder="1" applyAlignment="1">
      <alignment vertical="center" wrapText="1"/>
    </xf>
    <xf numFmtId="37" fontId="28" fillId="0" borderId="24" xfId="0" applyNumberFormat="1" applyFont="1" applyFill="1" applyBorder="1" applyAlignment="1">
      <alignment vertical="center" wrapText="1"/>
    </xf>
    <xf numFmtId="37" fontId="28" fillId="0" borderId="25" xfId="0" applyNumberFormat="1" applyFont="1" applyFill="1" applyBorder="1" applyAlignment="1">
      <alignment vertical="center" wrapText="1"/>
    </xf>
    <xf numFmtId="37" fontId="28" fillId="0" borderId="26" xfId="0" applyNumberFormat="1" applyFont="1" applyFill="1" applyBorder="1" applyAlignment="1">
      <alignment vertical="center" wrapText="1"/>
    </xf>
    <xf numFmtId="0" fontId="7" fillId="0" borderId="18" xfId="0" applyFont="1" applyBorder="1" applyAlignment="1">
      <alignment horizontal="center" vertical="top" wrapText="1"/>
    </xf>
    <xf numFmtId="0" fontId="7" fillId="0" borderId="0" xfId="0" applyFont="1" applyAlignment="1">
      <alignment horizontal="left" wrapText="1"/>
    </xf>
    <xf numFmtId="0" fontId="25" fillId="0" borderId="0" xfId="0" applyFont="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6" xfId="0" applyFont="1"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wrapText="1"/>
    </xf>
    <xf numFmtId="0" fontId="7" fillId="0" borderId="0" xfId="0" applyFont="1" applyFill="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6" xfId="0" applyFont="1" applyFill="1" applyBorder="1" applyAlignment="1">
      <alignment horizontal="left" vertical="top" wrapText="1"/>
    </xf>
    <xf numFmtId="0" fontId="7" fillId="0" borderId="18" xfId="0" applyFont="1" applyFill="1" applyBorder="1" applyAlignment="1">
      <alignment horizontal="left" vertical="top" wrapText="1"/>
    </xf>
    <xf numFmtId="0" fontId="27" fillId="0" borderId="12" xfId="0" applyFont="1" applyBorder="1" applyAlignment="1">
      <alignment horizontal="center"/>
    </xf>
    <xf numFmtId="0" fontId="16" fillId="0" borderId="0" xfId="0" applyFont="1" applyAlignment="1">
      <alignment horizontal="left" vertical="top" wrapText="1"/>
    </xf>
    <xf numFmtId="0" fontId="16" fillId="0" borderId="4" xfId="0" applyFont="1" applyBorder="1" applyAlignment="1">
      <alignment horizontal="left" vertical="top" wrapText="1"/>
    </xf>
    <xf numFmtId="0" fontId="27" fillId="0" borderId="5" xfId="0" applyFont="1" applyBorder="1" applyAlignment="1">
      <alignment horizontal="left" vertical="top" wrapText="1"/>
    </xf>
    <xf numFmtId="0" fontId="27" fillId="0" borderId="15" xfId="0" applyFont="1" applyBorder="1" applyAlignment="1">
      <alignment horizontal="left" vertical="top" wrapText="1"/>
    </xf>
    <xf numFmtId="0" fontId="27" fillId="0" borderId="6" xfId="0" applyFont="1" applyBorder="1" applyAlignment="1">
      <alignment horizontal="left" vertical="top" wrapText="1"/>
    </xf>
    <xf numFmtId="0" fontId="32" fillId="0" borderId="18" xfId="0" applyFont="1" applyBorder="1" applyAlignment="1">
      <alignment horizontal="center"/>
    </xf>
    <xf numFmtId="0" fontId="27" fillId="0" borderId="7" xfId="0" applyFont="1" applyBorder="1" applyAlignment="1">
      <alignment horizontal="center"/>
    </xf>
    <xf numFmtId="0" fontId="27" fillId="0" borderId="0" xfId="0" applyFont="1" applyBorder="1" applyAlignment="1">
      <alignment horizontal="center"/>
    </xf>
    <xf numFmtId="0" fontId="25" fillId="0" borderId="18" xfId="0" applyFont="1" applyBorder="1" applyAlignment="1">
      <alignment horizontal="center"/>
    </xf>
    <xf numFmtId="0" fontId="25" fillId="0" borderId="2" xfId="0" applyFont="1" applyBorder="1" applyAlignment="1">
      <alignment horizontal="center"/>
    </xf>
    <xf numFmtId="0" fontId="7" fillId="8" borderId="0" xfId="0" applyFont="1" applyFill="1" applyAlignment="1">
      <alignment horizontal="left" vertical="top" wrapText="1"/>
    </xf>
    <xf numFmtId="0" fontId="11" fillId="0" borderId="0" xfId="0" applyFont="1" applyFill="1" applyBorder="1" applyAlignment="1">
      <alignment horizontal="center"/>
    </xf>
    <xf numFmtId="0" fontId="4" fillId="0" borderId="0" xfId="0" applyFont="1" applyBorder="1" applyAlignment="1">
      <alignment horizontal="left" wrapText="1"/>
    </xf>
    <xf numFmtId="0" fontId="7" fillId="0" borderId="0" xfId="0" applyFont="1" applyFill="1" applyBorder="1" applyAlignment="1">
      <alignment horizontal="left" vertical="top" wrapText="1"/>
    </xf>
    <xf numFmtId="0" fontId="28" fillId="0" borderId="11" xfId="0" applyFont="1" applyBorder="1" applyAlignment="1">
      <alignment horizontal="center"/>
    </xf>
    <xf numFmtId="0" fontId="28" fillId="0" borderId="12" xfId="0" applyFont="1" applyBorder="1" applyAlignment="1">
      <alignment horizontal="center"/>
    </xf>
    <xf numFmtId="0" fontId="27" fillId="0" borderId="3"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4" xfId="0" applyFont="1" applyFill="1" applyBorder="1" applyAlignment="1">
      <alignment horizontal="left" vertical="top" wrapText="1"/>
    </xf>
    <xf numFmtId="44" fontId="27" fillId="0" borderId="0" xfId="0" applyNumberFormat="1" applyFont="1" applyFill="1" applyBorder="1" applyAlignment="1">
      <alignment horizontal="center"/>
    </xf>
    <xf numFmtId="0" fontId="16" fillId="0" borderId="3" xfId="0" applyFont="1" applyFill="1" applyBorder="1" applyAlignment="1">
      <alignment horizontal="left" vertical="top" wrapText="1"/>
    </xf>
    <xf numFmtId="0" fontId="16" fillId="0" borderId="0" xfId="0" applyFont="1" applyFill="1" applyAlignment="1">
      <alignment horizontal="left" vertical="top" wrapText="1"/>
    </xf>
    <xf numFmtId="0" fontId="16" fillId="0" borderId="4" xfId="0" applyFont="1" applyFill="1" applyBorder="1" applyAlignment="1">
      <alignment horizontal="left" vertical="top" wrapText="1"/>
    </xf>
    <xf numFmtId="0" fontId="4" fillId="0" borderId="0" xfId="0" applyFont="1" applyFill="1" applyAlignment="1">
      <alignment horizontal="left" vertical="top" wrapText="1"/>
    </xf>
    <xf numFmtId="0" fontId="4" fillId="13" borderId="3" xfId="0" applyFont="1" applyFill="1" applyBorder="1" applyAlignment="1">
      <alignment horizontal="left" vertical="top" wrapText="1"/>
    </xf>
    <xf numFmtId="0" fontId="4" fillId="13" borderId="0" xfId="0" applyFont="1" applyFill="1" applyBorder="1" applyAlignment="1">
      <alignment horizontal="left" vertical="top" wrapText="1"/>
    </xf>
    <xf numFmtId="0" fontId="27" fillId="0" borderId="16" xfId="0" applyFont="1" applyBorder="1" applyAlignment="1">
      <alignment horizontal="center"/>
    </xf>
    <xf numFmtId="167" fontId="27" fillId="0" borderId="0" xfId="2" applyNumberFormat="1" applyFont="1" applyBorder="1" applyAlignment="1">
      <alignment horizontal="center" vertical="center" wrapText="1"/>
    </xf>
    <xf numFmtId="167" fontId="27" fillId="0" borderId="7" xfId="2" applyNumberFormat="1" applyFont="1" applyBorder="1" applyAlignment="1">
      <alignment horizontal="center" vertical="center" wrapText="1"/>
    </xf>
    <xf numFmtId="0" fontId="28" fillId="0" borderId="18" xfId="0" applyFont="1" applyBorder="1" applyAlignment="1">
      <alignment horizontal="left" vertical="top"/>
    </xf>
    <xf numFmtId="0" fontId="7" fillId="0" borderId="18" xfId="0" applyFont="1" applyBorder="1" applyAlignment="1">
      <alignment horizontal="left" vertical="top"/>
    </xf>
    <xf numFmtId="0" fontId="16" fillId="0" borderId="0" xfId="0" applyFont="1" applyFill="1" applyBorder="1" applyAlignment="1">
      <alignment horizontal="left" vertical="top" wrapText="1"/>
    </xf>
    <xf numFmtId="0" fontId="5" fillId="0" borderId="7" xfId="0" applyFont="1" applyBorder="1" applyAlignment="1">
      <alignment horizontal="center"/>
    </xf>
    <xf numFmtId="0" fontId="5" fillId="0" borderId="11" xfId="0" applyFont="1" applyBorder="1" applyAlignment="1">
      <alignment horizontal="center"/>
    </xf>
    <xf numFmtId="0" fontId="7" fillId="0" borderId="0" xfId="0" applyFont="1" applyAlignment="1">
      <alignment horizontal="center" vertical="top" wrapText="1"/>
    </xf>
    <xf numFmtId="164" fontId="27" fillId="0" borderId="0" xfId="1" applyNumberFormat="1" applyFont="1" applyAlignment="1">
      <alignment horizontal="center"/>
    </xf>
    <xf numFmtId="164" fontId="27" fillId="0" borderId="9" xfId="1" applyNumberFormat="1" applyFont="1" applyBorder="1" applyAlignment="1">
      <alignment horizontal="center"/>
    </xf>
    <xf numFmtId="164" fontId="27" fillId="0" borderId="18" xfId="1" applyNumberFormat="1" applyFont="1" applyBorder="1" applyAlignment="1">
      <alignment horizontal="center"/>
    </xf>
    <xf numFmtId="164" fontId="27" fillId="0" borderId="2" xfId="1" applyNumberFormat="1" applyFont="1" applyBorder="1" applyAlignment="1">
      <alignment horizontal="center"/>
    </xf>
    <xf numFmtId="164" fontId="27" fillId="0" borderId="0" xfId="1" applyNumberFormat="1" applyFont="1" applyBorder="1" applyAlignment="1">
      <alignment horizontal="center"/>
    </xf>
    <xf numFmtId="164" fontId="27" fillId="0" borderId="4" xfId="1" applyNumberFormat="1" applyFont="1" applyBorder="1" applyAlignment="1">
      <alignment horizontal="center"/>
    </xf>
    <xf numFmtId="164" fontId="27" fillId="0" borderId="7" xfId="1" applyNumberFormat="1" applyFont="1" applyBorder="1" applyAlignment="1">
      <alignment horizontal="center"/>
    </xf>
    <xf numFmtId="173" fontId="27" fillId="0" borderId="0" xfId="0" applyNumberFormat="1" applyFont="1" applyAlignment="1">
      <alignment horizontal="center"/>
    </xf>
    <xf numFmtId="173" fontId="27" fillId="15" borderId="0" xfId="0" applyNumberFormat="1" applyFont="1" applyFill="1" applyAlignment="1">
      <alignment horizontal="center"/>
    </xf>
    <xf numFmtId="0" fontId="4" fillId="0" borderId="3" xfId="0" applyFont="1" applyFill="1" applyBorder="1" applyAlignment="1">
      <alignment horizontal="left" vertical="top"/>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37" fontId="28" fillId="0" borderId="21" xfId="0" applyNumberFormat="1" applyFont="1" applyFill="1" applyBorder="1" applyAlignment="1">
      <alignment horizontal="center"/>
    </xf>
    <xf numFmtId="37" fontId="28" fillId="0" borderId="10" xfId="0" applyNumberFormat="1" applyFont="1" applyFill="1" applyBorder="1" applyAlignment="1">
      <alignment horizontal="center"/>
    </xf>
    <xf numFmtId="37" fontId="28" fillId="0" borderId="22" xfId="0" applyNumberFormat="1" applyFont="1" applyFill="1" applyBorder="1" applyAlignment="1">
      <alignment horizontal="center"/>
    </xf>
    <xf numFmtId="37" fontId="7" fillId="0" borderId="21" xfId="0" applyNumberFormat="1" applyFont="1" applyFill="1" applyBorder="1" applyAlignment="1">
      <alignment horizontal="center"/>
    </xf>
    <xf numFmtId="37" fontId="7" fillId="0" borderId="22" xfId="0" applyNumberFormat="1" applyFont="1" applyFill="1" applyBorder="1" applyAlignment="1">
      <alignment horizontal="center"/>
    </xf>
    <xf numFmtId="37" fontId="53" fillId="0" borderId="21" xfId="0" applyNumberFormat="1" applyFont="1" applyFill="1" applyBorder="1" applyAlignment="1">
      <alignment horizontal="left"/>
    </xf>
    <xf numFmtId="37" fontId="53" fillId="0" borderId="22" xfId="0" applyNumberFormat="1" applyFont="1" applyFill="1" applyBorder="1" applyAlignment="1">
      <alignment horizontal="left"/>
    </xf>
    <xf numFmtId="0" fontId="27" fillId="0" borderId="3" xfId="0" applyFont="1" applyBorder="1" applyAlignment="1">
      <alignment horizontal="left" wrapText="1"/>
    </xf>
    <xf numFmtId="0" fontId="27" fillId="0" borderId="0" xfId="0" applyFont="1" applyBorder="1" applyAlignment="1">
      <alignment horizontal="left" wrapText="1"/>
    </xf>
    <xf numFmtId="0" fontId="27" fillId="0" borderId="4" xfId="0" applyFont="1" applyBorder="1" applyAlignment="1">
      <alignment horizontal="left" wrapText="1"/>
    </xf>
    <xf numFmtId="0" fontId="65" fillId="0" borderId="0" xfId="6" applyFont="1" applyAlignment="1">
      <alignment horizontal="center" vertical="center" wrapText="1"/>
    </xf>
    <xf numFmtId="0" fontId="64" fillId="0" borderId="61" xfId="6" applyFont="1" applyBorder="1" applyAlignment="1">
      <alignment horizontal="center" vertical="center" wrapText="1"/>
    </xf>
    <xf numFmtId="0" fontId="64" fillId="0" borderId="60" xfId="6" applyFont="1" applyBorder="1" applyAlignment="1">
      <alignment horizontal="center" vertical="center" wrapText="1"/>
    </xf>
    <xf numFmtId="0" fontId="64" fillId="0" borderId="59" xfId="6" applyFont="1" applyBorder="1" applyAlignment="1">
      <alignment horizontal="center" vertical="center" wrapText="1"/>
    </xf>
    <xf numFmtId="0" fontId="64" fillId="0" borderId="58" xfId="6" applyFont="1" applyBorder="1" applyAlignment="1">
      <alignment horizontal="center" vertical="center" wrapText="1"/>
    </xf>
    <xf numFmtId="0" fontId="64" fillId="0" borderId="57" xfId="6" applyFont="1" applyBorder="1" applyAlignment="1">
      <alignment horizontal="center" vertical="center" wrapText="1"/>
    </xf>
    <xf numFmtId="0" fontId="64" fillId="0" borderId="56" xfId="6" applyFont="1" applyBorder="1" applyAlignment="1">
      <alignment horizontal="center" vertical="center" wrapText="1"/>
    </xf>
    <xf numFmtId="0" fontId="65" fillId="0" borderId="0" xfId="0" applyFont="1" applyAlignment="1">
      <alignment horizontal="center" vertical="center" wrapText="1"/>
    </xf>
    <xf numFmtId="312" fontId="27" fillId="0" borderId="7" xfId="0" applyNumberFormat="1" applyFont="1" applyBorder="1" applyAlignment="1">
      <alignment horizontal="center"/>
    </xf>
    <xf numFmtId="165" fontId="4" fillId="0" borderId="3" xfId="0" applyNumberFormat="1" applyFont="1" applyFill="1" applyBorder="1" applyAlignment="1">
      <alignment horizontal="left" vertical="top" wrapText="1"/>
    </xf>
    <xf numFmtId="165" fontId="4" fillId="0" borderId="0" xfId="0" applyNumberFormat="1" applyFont="1" applyFill="1" applyBorder="1" applyAlignment="1">
      <alignment horizontal="left" vertical="top" wrapText="1"/>
    </xf>
    <xf numFmtId="165" fontId="4" fillId="0" borderId="4" xfId="0" applyNumberFormat="1" applyFont="1" applyFill="1" applyBorder="1" applyAlignment="1">
      <alignment horizontal="left" vertical="top" wrapText="1"/>
    </xf>
    <xf numFmtId="5" fontId="28" fillId="0" borderId="34" xfId="2" applyNumberFormat="1" applyFont="1" applyBorder="1" applyAlignment="1">
      <alignment horizontal="center" vertical="center" wrapText="1"/>
    </xf>
    <xf numFmtId="5" fontId="28" fillId="0" borderId="9" xfId="2" applyNumberFormat="1" applyFont="1" applyBorder="1" applyAlignment="1">
      <alignment horizontal="center" vertical="center" wrapText="1"/>
    </xf>
    <xf numFmtId="5" fontId="28" fillId="0" borderId="35" xfId="2" applyNumberFormat="1" applyFont="1" applyBorder="1" applyAlignment="1">
      <alignment horizontal="center" vertical="center" wrapText="1"/>
    </xf>
    <xf numFmtId="5" fontId="28" fillId="0" borderId="25" xfId="2" applyNumberFormat="1" applyFont="1" applyBorder="1" applyAlignment="1">
      <alignment horizontal="center" vertical="center" wrapText="1"/>
    </xf>
    <xf numFmtId="5" fontId="28" fillId="0" borderId="7" xfId="2" applyNumberFormat="1" applyFont="1" applyBorder="1" applyAlignment="1">
      <alignment horizontal="center" vertical="center" wrapText="1"/>
    </xf>
    <xf numFmtId="5" fontId="28" fillId="0" borderId="26" xfId="2" applyNumberFormat="1" applyFont="1" applyBorder="1" applyAlignment="1">
      <alignment horizontal="center" vertical="center" wrapText="1"/>
    </xf>
    <xf numFmtId="5" fontId="27" fillId="13" borderId="0" xfId="2" applyNumberFormat="1" applyFont="1" applyFill="1" applyBorder="1" applyAlignment="1">
      <alignment horizontal="center" wrapText="1"/>
    </xf>
    <xf numFmtId="164" fontId="28" fillId="0" borderId="34" xfId="1" applyNumberFormat="1" applyFont="1" applyFill="1" applyBorder="1" applyAlignment="1">
      <alignment horizontal="center" vertical="center" wrapText="1"/>
    </xf>
    <xf numFmtId="164" fontId="28" fillId="0" borderId="9" xfId="1" applyNumberFormat="1" applyFont="1" applyFill="1" applyBorder="1" applyAlignment="1">
      <alignment horizontal="center" vertical="center" wrapText="1"/>
    </xf>
    <xf numFmtId="164" fontId="28" fillId="0" borderId="35" xfId="1" applyNumberFormat="1" applyFont="1" applyFill="1" applyBorder="1" applyAlignment="1">
      <alignment horizontal="center" vertical="center" wrapText="1"/>
    </xf>
    <xf numFmtId="164" fontId="28" fillId="0" borderId="23" xfId="1" applyNumberFormat="1" applyFont="1" applyFill="1" applyBorder="1" applyAlignment="1">
      <alignment horizontal="center" vertical="center" wrapText="1"/>
    </xf>
    <xf numFmtId="164" fontId="28" fillId="0" borderId="0" xfId="1" applyNumberFormat="1" applyFont="1" applyFill="1" applyBorder="1" applyAlignment="1">
      <alignment horizontal="center" vertical="center" wrapText="1"/>
    </xf>
    <xf numFmtId="164" fontId="28" fillId="0" borderId="24" xfId="1" applyNumberFormat="1" applyFont="1" applyFill="1" applyBorder="1" applyAlignment="1">
      <alignment horizontal="center" vertical="center" wrapText="1"/>
    </xf>
    <xf numFmtId="164" fontId="28" fillId="0" borderId="25" xfId="1" applyNumberFormat="1" applyFont="1" applyFill="1" applyBorder="1" applyAlignment="1">
      <alignment horizontal="center" vertical="center" wrapText="1"/>
    </xf>
    <xf numFmtId="164" fontId="28" fillId="0" borderId="7" xfId="1" applyNumberFormat="1" applyFont="1" applyFill="1" applyBorder="1" applyAlignment="1">
      <alignment horizontal="center" vertical="center" wrapText="1"/>
    </xf>
    <xf numFmtId="164" fontId="28" fillId="0" borderId="26" xfId="1" applyNumberFormat="1" applyFont="1" applyFill="1" applyBorder="1" applyAlignment="1">
      <alignment horizontal="center" vertical="center" wrapText="1"/>
    </xf>
    <xf numFmtId="0" fontId="27" fillId="0" borderId="5" xfId="0" applyFont="1" applyFill="1" applyBorder="1" applyAlignment="1">
      <alignment horizontal="left" vertical="top" wrapText="1"/>
    </xf>
    <xf numFmtId="0" fontId="27" fillId="0" borderId="15" xfId="0" applyFont="1" applyFill="1" applyBorder="1" applyAlignment="1">
      <alignment horizontal="left" vertical="top" wrapText="1"/>
    </xf>
    <xf numFmtId="0" fontId="27" fillId="0" borderId="6" xfId="0" applyFont="1" applyFill="1" applyBorder="1" applyAlignment="1">
      <alignment horizontal="left" vertical="top" wrapText="1"/>
    </xf>
    <xf numFmtId="0" fontId="28" fillId="0" borderId="18" xfId="0" applyFont="1" applyFill="1" applyBorder="1" applyAlignment="1">
      <alignment horizontal="left" vertical="top"/>
    </xf>
    <xf numFmtId="0" fontId="27" fillId="0" borderId="40" xfId="0" applyFont="1" applyBorder="1"/>
    <xf numFmtId="164" fontId="27" fillId="0" borderId="41" xfId="1" applyNumberFormat="1" applyFont="1" applyBorder="1"/>
    <xf numFmtId="0" fontId="27" fillId="0" borderId="41" xfId="0" applyFont="1" applyBorder="1"/>
    <xf numFmtId="165" fontId="27" fillId="0" borderId="41" xfId="3" applyNumberFormat="1" applyFont="1" applyBorder="1"/>
    <xf numFmtId="167" fontId="27" fillId="0" borderId="41" xfId="2" applyNumberFormat="1" applyFont="1" applyBorder="1"/>
    <xf numFmtId="44" fontId="27" fillId="0" borderId="50" xfId="0" applyNumberFormat="1" applyFont="1" applyBorder="1"/>
    <xf numFmtId="164" fontId="27" fillId="17" borderId="0" xfId="1" applyNumberFormat="1" applyFont="1" applyFill="1"/>
    <xf numFmtId="0" fontId="27" fillId="17" borderId="0" xfId="0" applyFont="1" applyFill="1"/>
    <xf numFmtId="165" fontId="27" fillId="17" borderId="0" xfId="3" applyNumberFormat="1" applyFont="1" applyFill="1"/>
    <xf numFmtId="44" fontId="27" fillId="17" borderId="0" xfId="0" applyNumberFormat="1" applyFont="1" applyFill="1"/>
    <xf numFmtId="43" fontId="27" fillId="17" borderId="0" xfId="1" applyNumberFormat="1" applyFont="1" applyFill="1"/>
  </cellXfs>
  <cellStyles count="9">
    <cellStyle name="Comma" xfId="1" builtinId="3"/>
    <cellStyle name="Currency" xfId="2" builtinId="4"/>
    <cellStyle name="Hyperlink" xfId="4" builtinId="8"/>
    <cellStyle name="Normal" xfId="0" builtinId="0"/>
    <cellStyle name="Normal 2" xfId="5" xr:uid="{00000000-0005-0000-0000-000030000000}"/>
    <cellStyle name="Normal 3" xfId="6" xr:uid="{AE8253FB-3F75-46B5-B51C-0587C3423665}"/>
    <cellStyle name="Normal 4" xfId="7" xr:uid="{4F0812A0-91DE-4603-A505-F54474143933}"/>
    <cellStyle name="Normal 5" xfId="8" xr:uid="{5E607DB0-7A5A-4D4E-B905-6ECD572E3230}"/>
    <cellStyle name="Percent" xfId="3" builtinId="5"/>
  </cellStyles>
  <dxfs count="146">
    <dxf>
      <font>
        <color auto="1"/>
      </font>
      <fill>
        <patternFill>
          <bgColor theme="9" tint="0.59996337778862885"/>
        </patternFill>
      </fill>
    </dxf>
    <dxf>
      <fill>
        <patternFill>
          <bgColor theme="5" tint="0.59996337778862885"/>
        </patternFill>
      </fill>
    </dxf>
    <dxf>
      <font>
        <color auto="1"/>
      </font>
      <fill>
        <patternFill>
          <bgColor theme="9" tint="0.59996337778862885"/>
        </patternFill>
      </fill>
    </dxf>
    <dxf>
      <fill>
        <patternFill>
          <bgColor theme="5" tint="0.39994506668294322"/>
        </patternFill>
      </fill>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numFmt numFmtId="35" formatCode="_(* #,##0.00_);_(* \(#,##0.0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4" formatCode="_(* #,##0_);_(* \(#,##0\);_(*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numFmt numFmtId="167" formatCode="_(&quot;$&quot;* #,##0_);_(&quot;$&quot;* \(#,##0\);_(&quot;$&quot;* &quot;-&quot;??_);_(@_)"/>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m/d/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strike val="0"/>
        <outline val="0"/>
        <shadow val="0"/>
        <u val="none"/>
        <vertAlign val="baseline"/>
        <sz val="12"/>
        <color theme="1"/>
        <name val="Times New Roman"/>
        <family val="1"/>
        <scheme val="none"/>
      </font>
      <numFmt numFmtId="167" formatCode="_(&quot;$&quot;* #,##0_);_(&quot;$&quot;* \(#,##0\);_(&quot;$&quot;* &quot;-&quot;??_);_(@_)"/>
    </dxf>
    <dxf>
      <font>
        <strike val="0"/>
        <outline val="0"/>
        <shadow val="0"/>
        <u val="none"/>
        <vertAlign val="baseline"/>
        <sz val="12"/>
        <color theme="1"/>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theme="1"/>
        <name val="Times New Roman"/>
        <family val="1"/>
        <scheme val="none"/>
      </font>
    </dxf>
  </dxfs>
  <tableStyles count="0" defaultTableStyle="TableStyleMedium2" defaultPivotStyle="PivotStyleLight16"/>
  <colors>
    <mruColors>
      <color rgb="FFEC32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microsoft.com/office/2017/10/relationships/person" Target="persons/perso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calcChain" Target="calcChain.xml"/><Relationship Id="rId26" Type="http://schemas.openxmlformats.org/officeDocument/2006/relationships/worksheet" Target="worksheets/sheet26.xml"/><Relationship Id="rId231"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2.xml"/><Relationship Id="rId1" Type="http://schemas.microsoft.com/office/2011/relationships/chartStyle" Target="style3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'1. 1930s - Spindles'!$B$1</c:f>
              <c:strCache>
                <c:ptCount val="1"/>
                <c:pt idx="0">
                  <c:v>United States</c:v>
                </c:pt>
              </c:strCache>
            </c:strRef>
          </c:tx>
          <c:spPr>
            <a:solidFill>
              <a:schemeClr val="dk1">
                <a:tint val="88500"/>
              </a:schemeClr>
            </a:solidFill>
            <a:ln>
              <a:noFill/>
            </a:ln>
            <a:effectLst/>
          </c:spPr>
          <c:invertIfNegative val="0"/>
          <c:cat>
            <c:numRef>
              <c:f>'1. 1930s - Spindles'!$A$2:$A$4</c:f>
              <c:numCache>
                <c:formatCode>General</c:formatCode>
                <c:ptCount val="3"/>
                <c:pt idx="0">
                  <c:v>1914</c:v>
                </c:pt>
                <c:pt idx="1">
                  <c:v>1925</c:v>
                </c:pt>
                <c:pt idx="2">
                  <c:v>1938</c:v>
                </c:pt>
              </c:numCache>
            </c:numRef>
          </c:cat>
          <c:val>
            <c:numRef>
              <c:f>'1. 1930s - Spindles'!$B$2:$B$4</c:f>
              <c:numCache>
                <c:formatCode>General</c:formatCode>
                <c:ptCount val="3"/>
                <c:pt idx="0">
                  <c:v>32.700000000000003</c:v>
                </c:pt>
                <c:pt idx="1">
                  <c:v>37.9</c:v>
                </c:pt>
                <c:pt idx="2">
                  <c:v>26.4</c:v>
                </c:pt>
              </c:numCache>
            </c:numRef>
          </c:val>
          <c:extLst>
            <c:ext xmlns:c16="http://schemas.microsoft.com/office/drawing/2014/chart" uri="{C3380CC4-5D6E-409C-BE32-E72D297353CC}">
              <c16:uniqueId val="{00000000-251E-450B-8BB4-D5F4FE207678}"/>
            </c:ext>
          </c:extLst>
        </c:ser>
        <c:ser>
          <c:idx val="1"/>
          <c:order val="1"/>
          <c:tx>
            <c:strRef>
              <c:f>'1. 1930s - Spindles'!$C$1</c:f>
              <c:strCache>
                <c:ptCount val="1"/>
                <c:pt idx="0">
                  <c:v>New England</c:v>
                </c:pt>
              </c:strCache>
            </c:strRef>
          </c:tx>
          <c:spPr>
            <a:solidFill>
              <a:schemeClr val="dk1">
                <a:tint val="55000"/>
              </a:schemeClr>
            </a:solidFill>
            <a:ln>
              <a:noFill/>
            </a:ln>
            <a:effectLst/>
          </c:spPr>
          <c:invertIfNegative val="0"/>
          <c:cat>
            <c:numRef>
              <c:f>'1. 1930s - Spindles'!$A$2:$A$4</c:f>
              <c:numCache>
                <c:formatCode>General</c:formatCode>
                <c:ptCount val="3"/>
                <c:pt idx="0">
                  <c:v>1914</c:v>
                </c:pt>
                <c:pt idx="1">
                  <c:v>1925</c:v>
                </c:pt>
                <c:pt idx="2">
                  <c:v>1938</c:v>
                </c:pt>
              </c:numCache>
            </c:numRef>
          </c:cat>
          <c:val>
            <c:numRef>
              <c:f>'1. 1930s - Spindles'!$C$2:$C$4</c:f>
              <c:numCache>
                <c:formatCode>General</c:formatCode>
                <c:ptCount val="3"/>
                <c:pt idx="0">
                  <c:v>17.7</c:v>
                </c:pt>
                <c:pt idx="1">
                  <c:v>18.3</c:v>
                </c:pt>
                <c:pt idx="2">
                  <c:v>6.8</c:v>
                </c:pt>
              </c:numCache>
            </c:numRef>
          </c:val>
          <c:extLst>
            <c:ext xmlns:c16="http://schemas.microsoft.com/office/drawing/2014/chart" uri="{C3380CC4-5D6E-409C-BE32-E72D297353CC}">
              <c16:uniqueId val="{00000001-251E-450B-8BB4-D5F4FE207678}"/>
            </c:ext>
          </c:extLst>
        </c:ser>
        <c:ser>
          <c:idx val="2"/>
          <c:order val="2"/>
          <c:tx>
            <c:strRef>
              <c:f>'1. 1930s - Spindles'!$D$1</c:f>
              <c:strCache>
                <c:ptCount val="1"/>
                <c:pt idx="0">
                  <c:v>Massachusetts</c:v>
                </c:pt>
              </c:strCache>
            </c:strRef>
          </c:tx>
          <c:spPr>
            <a:solidFill>
              <a:schemeClr val="dk1">
                <a:tint val="75000"/>
              </a:schemeClr>
            </a:solidFill>
            <a:ln>
              <a:noFill/>
            </a:ln>
            <a:effectLst/>
          </c:spPr>
          <c:invertIfNegative val="0"/>
          <c:cat>
            <c:numRef>
              <c:f>'1. 1930s - Spindles'!$A$2:$A$4</c:f>
              <c:numCache>
                <c:formatCode>General</c:formatCode>
                <c:ptCount val="3"/>
                <c:pt idx="0">
                  <c:v>1914</c:v>
                </c:pt>
                <c:pt idx="1">
                  <c:v>1925</c:v>
                </c:pt>
                <c:pt idx="2">
                  <c:v>1938</c:v>
                </c:pt>
              </c:numCache>
            </c:numRef>
          </c:cat>
          <c:val>
            <c:numRef>
              <c:f>'1. 1930s - Spindles'!$D$2:$D$4</c:f>
              <c:numCache>
                <c:formatCode>General</c:formatCode>
                <c:ptCount val="3"/>
                <c:pt idx="0">
                  <c:v>11</c:v>
                </c:pt>
                <c:pt idx="1">
                  <c:v>11.6</c:v>
                </c:pt>
                <c:pt idx="2">
                  <c:v>3.8</c:v>
                </c:pt>
              </c:numCache>
            </c:numRef>
          </c:val>
          <c:extLst>
            <c:ext xmlns:c16="http://schemas.microsoft.com/office/drawing/2014/chart" uri="{C3380CC4-5D6E-409C-BE32-E72D297353CC}">
              <c16:uniqueId val="{00000002-251E-450B-8BB4-D5F4FE207678}"/>
            </c:ext>
          </c:extLst>
        </c:ser>
        <c:ser>
          <c:idx val="3"/>
          <c:order val="3"/>
          <c:tx>
            <c:strRef>
              <c:f>'1. 1930s - Spindles'!$E$1</c:f>
              <c:strCache>
                <c:ptCount val="1"/>
                <c:pt idx="0">
                  <c:v>Southern States</c:v>
                </c:pt>
              </c:strCache>
            </c:strRef>
          </c:tx>
          <c:spPr>
            <a:solidFill>
              <a:schemeClr val="dk1">
                <a:tint val="98500"/>
              </a:schemeClr>
            </a:solidFill>
            <a:ln>
              <a:noFill/>
            </a:ln>
            <a:effectLst/>
          </c:spPr>
          <c:invertIfNegative val="0"/>
          <c:cat>
            <c:numRef>
              <c:f>'1. 1930s - Spindles'!$A$2:$A$4</c:f>
              <c:numCache>
                <c:formatCode>General</c:formatCode>
                <c:ptCount val="3"/>
                <c:pt idx="0">
                  <c:v>1914</c:v>
                </c:pt>
                <c:pt idx="1">
                  <c:v>1925</c:v>
                </c:pt>
                <c:pt idx="2">
                  <c:v>1938</c:v>
                </c:pt>
              </c:numCache>
            </c:numRef>
          </c:cat>
          <c:val>
            <c:numRef>
              <c:f>'1. 1930s - Spindles'!$E$2:$E$4</c:f>
              <c:numCache>
                <c:formatCode>General</c:formatCode>
                <c:ptCount val="3"/>
                <c:pt idx="0">
                  <c:v>13</c:v>
                </c:pt>
                <c:pt idx="1">
                  <c:v>17.600000000000001</c:v>
                </c:pt>
                <c:pt idx="2">
                  <c:v>18.8</c:v>
                </c:pt>
              </c:numCache>
            </c:numRef>
          </c:val>
          <c:extLst>
            <c:ext xmlns:c16="http://schemas.microsoft.com/office/drawing/2014/chart" uri="{C3380CC4-5D6E-409C-BE32-E72D297353CC}">
              <c16:uniqueId val="{00000003-251E-450B-8BB4-D5F4FE207678}"/>
            </c:ext>
          </c:extLst>
        </c:ser>
        <c:dLbls>
          <c:showLegendKey val="0"/>
          <c:showVal val="0"/>
          <c:showCatName val="0"/>
          <c:showSerName val="0"/>
          <c:showPercent val="0"/>
          <c:showBubbleSize val="0"/>
        </c:dLbls>
        <c:gapWidth val="219"/>
        <c:overlap val="-27"/>
        <c:axId val="534108792"/>
        <c:axId val="534108464"/>
      </c:barChart>
      <c:catAx>
        <c:axId val="53410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34108464"/>
        <c:crosses val="autoZero"/>
        <c:auto val="1"/>
        <c:lblAlgn val="ctr"/>
        <c:lblOffset val="100"/>
        <c:noMultiLvlLbl val="0"/>
      </c:catAx>
      <c:valAx>
        <c:axId val="534108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solidFill>
                      <a:sysClr val="windowText" lastClr="000000"/>
                    </a:solidFill>
                  </a:rPr>
                  <a:t>Active Spindles (in 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3410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 Stock price data'!$G$1</c:f>
              <c:strCache>
                <c:ptCount val="1"/>
                <c:pt idx="0">
                  <c:v>Average Share Price</c:v>
                </c:pt>
              </c:strCache>
            </c:strRef>
          </c:tx>
          <c:spPr>
            <a:ln w="28575" cap="rnd">
              <a:solidFill>
                <a:schemeClr val="tx1"/>
              </a:solidFill>
              <a:round/>
            </a:ln>
            <a:effectLst/>
          </c:spPr>
          <c:marker>
            <c:symbol val="none"/>
          </c:marker>
          <c:cat>
            <c:strRef>
              <c:f>'3. Stock price data'!$D$3:$D$43</c:f>
              <c:strCache>
                <c:ptCount val="4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strCache>
            </c:strRef>
          </c:cat>
          <c:val>
            <c:numRef>
              <c:f>'3. Stock price data'!$G$3:$G$43</c:f>
              <c:numCache>
                <c:formatCode>_("$"* #,##0_);_("$"* \(#,##0\);_("$"* "-"??_);_(@_)</c:formatCode>
                <c:ptCount val="41"/>
                <c:pt idx="0">
                  <c:v>14</c:v>
                </c:pt>
                <c:pt idx="1">
                  <c:v>18.5</c:v>
                </c:pt>
                <c:pt idx="2">
                  <c:v>18</c:v>
                </c:pt>
                <c:pt idx="3">
                  <c:v>20</c:v>
                </c:pt>
                <c:pt idx="4">
                  <c:v>23.5</c:v>
                </c:pt>
                <c:pt idx="5">
                  <c:v>24</c:v>
                </c:pt>
                <c:pt idx="6">
                  <c:v>20.5</c:v>
                </c:pt>
                <c:pt idx="7">
                  <c:v>17.5</c:v>
                </c:pt>
                <c:pt idx="8">
                  <c:v>18.5</c:v>
                </c:pt>
                <c:pt idx="9">
                  <c:v>18</c:v>
                </c:pt>
                <c:pt idx="10">
                  <c:v>19.5</c:v>
                </c:pt>
                <c:pt idx="11">
                  <c:v>20</c:v>
                </c:pt>
                <c:pt idx="12">
                  <c:v>22</c:v>
                </c:pt>
                <c:pt idx="13">
                  <c:v>27</c:v>
                </c:pt>
                <c:pt idx="14">
                  <c:v>29.5</c:v>
                </c:pt>
                <c:pt idx="15">
                  <c:v>35.5</c:v>
                </c:pt>
                <c:pt idx="16">
                  <c:v>37</c:v>
                </c:pt>
                <c:pt idx="17">
                  <c:v>40</c:v>
                </c:pt>
                <c:pt idx="18">
                  <c:v>35</c:v>
                </c:pt>
                <c:pt idx="19">
                  <c:v>39</c:v>
                </c:pt>
                <c:pt idx="20">
                  <c:v>43.5</c:v>
                </c:pt>
                <c:pt idx="21">
                  <c:v>39.5</c:v>
                </c:pt>
                <c:pt idx="22">
                  <c:v>39</c:v>
                </c:pt>
                <c:pt idx="23">
                  <c:v>41</c:v>
                </c:pt>
                <c:pt idx="24">
                  <c:v>45.5</c:v>
                </c:pt>
                <c:pt idx="25">
                  <c:v>51.5</c:v>
                </c:pt>
                <c:pt idx="26">
                  <c:v>52</c:v>
                </c:pt>
                <c:pt idx="27">
                  <c:v>72</c:v>
                </c:pt>
                <c:pt idx="28">
                  <c:v>74.5</c:v>
                </c:pt>
                <c:pt idx="29">
                  <c:v>78</c:v>
                </c:pt>
                <c:pt idx="30">
                  <c:v>82</c:v>
                </c:pt>
                <c:pt idx="31">
                  <c:v>80</c:v>
                </c:pt>
                <c:pt idx="32">
                  <c:v>86.5</c:v>
                </c:pt>
                <c:pt idx="33">
                  <c:v>86</c:v>
                </c:pt>
                <c:pt idx="34">
                  <c:v>85.5</c:v>
                </c:pt>
                <c:pt idx="35">
                  <c:v>79</c:v>
                </c:pt>
                <c:pt idx="36">
                  <c:v>74</c:v>
                </c:pt>
                <c:pt idx="37">
                  <c:v>70</c:v>
                </c:pt>
                <c:pt idx="38">
                  <c:v>56.5</c:v>
                </c:pt>
                <c:pt idx="39">
                  <c:v>44.5</c:v>
                </c:pt>
              </c:numCache>
            </c:numRef>
          </c:val>
          <c:smooth val="0"/>
          <c:extLst>
            <c:ext xmlns:c16="http://schemas.microsoft.com/office/drawing/2014/chart" uri="{C3380CC4-5D6E-409C-BE32-E72D297353CC}">
              <c16:uniqueId val="{00000001-5E1F-4CDC-A644-FECBBA521141}"/>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 Stock price data'!$G$1</c:f>
              <c:strCache>
                <c:ptCount val="1"/>
                <c:pt idx="0">
                  <c:v>Average Share Price</c:v>
                </c:pt>
              </c:strCache>
            </c:strRef>
          </c:tx>
          <c:spPr>
            <a:ln w="28575" cap="rnd">
              <a:solidFill>
                <a:schemeClr val="tx1"/>
              </a:solidFill>
              <a:round/>
            </a:ln>
            <a:effectLst/>
          </c:spPr>
          <c:marker>
            <c:symbol val="none"/>
          </c:marker>
          <c:cat>
            <c:strRef>
              <c:f>'3. Stock price data'!$D$3:$D$43</c:f>
              <c:strCache>
                <c:ptCount val="4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strCache>
            </c:strRef>
          </c:cat>
          <c:val>
            <c:numRef>
              <c:f>'3. Stock price data'!$G$3:$G$43</c:f>
              <c:numCache>
                <c:formatCode>_("$"* #,##0_);_("$"* \(#,##0\);_("$"* "-"??_);_(@_)</c:formatCode>
                <c:ptCount val="41"/>
                <c:pt idx="0">
                  <c:v>14</c:v>
                </c:pt>
                <c:pt idx="1">
                  <c:v>18.5</c:v>
                </c:pt>
                <c:pt idx="2">
                  <c:v>18</c:v>
                </c:pt>
                <c:pt idx="3">
                  <c:v>20</c:v>
                </c:pt>
                <c:pt idx="4">
                  <c:v>23.5</c:v>
                </c:pt>
                <c:pt idx="5">
                  <c:v>24</c:v>
                </c:pt>
                <c:pt idx="6">
                  <c:v>20.5</c:v>
                </c:pt>
                <c:pt idx="7">
                  <c:v>17.5</c:v>
                </c:pt>
                <c:pt idx="8">
                  <c:v>18.5</c:v>
                </c:pt>
                <c:pt idx="9">
                  <c:v>18</c:v>
                </c:pt>
                <c:pt idx="10">
                  <c:v>19.5</c:v>
                </c:pt>
                <c:pt idx="11">
                  <c:v>20</c:v>
                </c:pt>
                <c:pt idx="12">
                  <c:v>22</c:v>
                </c:pt>
                <c:pt idx="13">
                  <c:v>27</c:v>
                </c:pt>
                <c:pt idx="14">
                  <c:v>29.5</c:v>
                </c:pt>
                <c:pt idx="15">
                  <c:v>35.5</c:v>
                </c:pt>
                <c:pt idx="16">
                  <c:v>37</c:v>
                </c:pt>
                <c:pt idx="17">
                  <c:v>40</c:v>
                </c:pt>
                <c:pt idx="18">
                  <c:v>35</c:v>
                </c:pt>
                <c:pt idx="19">
                  <c:v>39</c:v>
                </c:pt>
                <c:pt idx="20">
                  <c:v>43.5</c:v>
                </c:pt>
                <c:pt idx="21">
                  <c:v>39.5</c:v>
                </c:pt>
                <c:pt idx="22">
                  <c:v>39</c:v>
                </c:pt>
                <c:pt idx="23">
                  <c:v>41</c:v>
                </c:pt>
                <c:pt idx="24">
                  <c:v>45.5</c:v>
                </c:pt>
                <c:pt idx="25">
                  <c:v>51.5</c:v>
                </c:pt>
                <c:pt idx="26">
                  <c:v>52</c:v>
                </c:pt>
                <c:pt idx="27">
                  <c:v>72</c:v>
                </c:pt>
                <c:pt idx="28">
                  <c:v>74.5</c:v>
                </c:pt>
                <c:pt idx="29">
                  <c:v>78</c:v>
                </c:pt>
                <c:pt idx="30">
                  <c:v>82</c:v>
                </c:pt>
                <c:pt idx="31">
                  <c:v>80</c:v>
                </c:pt>
                <c:pt idx="32">
                  <c:v>86.5</c:v>
                </c:pt>
                <c:pt idx="33">
                  <c:v>86</c:v>
                </c:pt>
                <c:pt idx="34">
                  <c:v>85.5</c:v>
                </c:pt>
                <c:pt idx="35">
                  <c:v>79</c:v>
                </c:pt>
                <c:pt idx="36">
                  <c:v>74</c:v>
                </c:pt>
                <c:pt idx="37">
                  <c:v>70</c:v>
                </c:pt>
                <c:pt idx="38">
                  <c:v>56.5</c:v>
                </c:pt>
                <c:pt idx="39">
                  <c:v>44.5</c:v>
                </c:pt>
              </c:numCache>
            </c:numRef>
          </c:val>
          <c:smooth val="0"/>
          <c:extLst>
            <c:ext xmlns:c16="http://schemas.microsoft.com/office/drawing/2014/chart" uri="{C3380CC4-5D6E-409C-BE32-E72D297353CC}">
              <c16:uniqueId val="{00000000-9C62-4F51-BF83-7043E359A5E4}"/>
            </c:ext>
          </c:extLst>
        </c:ser>
        <c:dLbls>
          <c:showLegendKey val="0"/>
          <c:showVal val="0"/>
          <c:showCatName val="0"/>
          <c:showSerName val="0"/>
          <c:showPercent val="0"/>
          <c:showBubbleSize val="0"/>
        </c:dLbls>
        <c:marker val="1"/>
        <c:smooth val="0"/>
        <c:axId val="939732952"/>
        <c:axId val="939733608"/>
      </c:lineChart>
      <c:lineChart>
        <c:grouping val="standard"/>
        <c:varyColors val="0"/>
        <c:ser>
          <c:idx val="0"/>
          <c:order val="1"/>
          <c:tx>
            <c:strRef>
              <c:f>'3. Stock price data'!$U$1</c:f>
              <c:strCache>
                <c:ptCount val="1"/>
                <c:pt idx="0">
                  <c:v>Average</c:v>
                </c:pt>
              </c:strCache>
            </c:strRef>
          </c:tx>
          <c:spPr>
            <a:ln w="28575" cap="rnd">
              <a:solidFill>
                <a:schemeClr val="accent1"/>
              </a:solidFill>
              <a:round/>
            </a:ln>
            <a:effectLst/>
          </c:spPr>
          <c:marker>
            <c:symbol val="none"/>
          </c:marker>
          <c:val>
            <c:numRef>
              <c:f>'3. Stock price data'!$U$3:$U$42</c:f>
              <c:numCache>
                <c:formatCode>_(* #,##0.00_);_(* \(#,##0.00\);_(* "-"??_);_(@_)</c:formatCode>
                <c:ptCount val="40"/>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numCache>
            </c:numRef>
          </c:val>
          <c:smooth val="0"/>
          <c:extLst>
            <c:ext xmlns:c16="http://schemas.microsoft.com/office/drawing/2014/chart" uri="{C3380CC4-5D6E-409C-BE32-E72D297353CC}">
              <c16:uniqueId val="{00000002-9C62-4F51-BF83-7043E359A5E4}"/>
            </c:ext>
          </c:extLst>
        </c:ser>
        <c:dLbls>
          <c:showLegendKey val="0"/>
          <c:showVal val="0"/>
          <c:showCatName val="0"/>
          <c:showSerName val="0"/>
          <c:showPercent val="0"/>
          <c:showBubbleSize val="0"/>
        </c:dLbls>
        <c:marker val="1"/>
        <c:smooth val="0"/>
        <c:axId val="715533576"/>
        <c:axId val="71552996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At val="-20"/>
        <c:auto val="1"/>
        <c:lblAlgn val="ctr"/>
        <c:lblOffset val="100"/>
        <c:noMultiLvlLbl val="0"/>
      </c:catAx>
      <c:valAx>
        <c:axId val="939733608"/>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quot; &quot;"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majorUnit val="10"/>
      </c:valAx>
      <c:valAx>
        <c:axId val="715529968"/>
        <c:scaling>
          <c:orientation val="minMax"/>
          <c:max val="7.5"/>
          <c:min val="0"/>
        </c:scaling>
        <c:delete val="0"/>
        <c:axPos val="r"/>
        <c:numFmt formatCode="_(* #,##0.0_);_(* \(#,##0.0\);_(* &quot;-&quot;?_);_(@_)"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15533576"/>
        <c:crosses val="max"/>
        <c:crossBetween val="between"/>
        <c:majorUnit val="0.5"/>
      </c:valAx>
      <c:catAx>
        <c:axId val="715533576"/>
        <c:scaling>
          <c:orientation val="minMax"/>
        </c:scaling>
        <c:delete val="1"/>
        <c:axPos val="b"/>
        <c:majorTickMark val="out"/>
        <c:minorTickMark val="none"/>
        <c:tickLblPos val="nextTo"/>
        <c:crossAx val="71552996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spPr>
            <a:solidFill>
              <a:schemeClr val="dk1">
                <a:tint val="88500"/>
              </a:schemeClr>
            </a:solidFill>
            <a:ln>
              <a:noFill/>
            </a:ln>
            <a:effectLst/>
          </c:spPr>
          <c:invertIfNegative val="0"/>
          <c:cat>
            <c:numRef>
              <c:f>'4. 1978'!$R$64:$R$75</c:f>
              <c:numCache>
                <c:formatCode>General</c:formatCode>
                <c:ptCount val="12"/>
                <c:pt idx="0">
                  <c:v>1967</c:v>
                </c:pt>
                <c:pt idx="1">
                  <c:v>1968</c:v>
                </c:pt>
                <c:pt idx="2">
                  <c:v>1969</c:v>
                </c:pt>
                <c:pt idx="3">
                  <c:v>1970</c:v>
                </c:pt>
                <c:pt idx="4">
                  <c:v>1971</c:v>
                </c:pt>
                <c:pt idx="5">
                  <c:v>1972</c:v>
                </c:pt>
                <c:pt idx="6">
                  <c:v>1973</c:v>
                </c:pt>
                <c:pt idx="7">
                  <c:v>1974</c:v>
                </c:pt>
                <c:pt idx="8">
                  <c:v>1975</c:v>
                </c:pt>
                <c:pt idx="9">
                  <c:v>1976</c:v>
                </c:pt>
                <c:pt idx="10">
                  <c:v>1977</c:v>
                </c:pt>
                <c:pt idx="11">
                  <c:v>1978</c:v>
                </c:pt>
              </c:numCache>
            </c:numRef>
          </c:cat>
          <c:val>
            <c:numRef>
              <c:f>'4. 1978'!$S$64:$S$75</c:f>
              <c:numCache>
                <c:formatCode>_("$"* #,##0_);_("$"* \(#,##0\);_("$"* "-"??_);_(@_)</c:formatCode>
                <c:ptCount val="12"/>
                <c:pt idx="0">
                  <c:v>92</c:v>
                </c:pt>
                <c:pt idx="1">
                  <c:v>92</c:v>
                </c:pt>
                <c:pt idx="2">
                  <c:v>108</c:v>
                </c:pt>
                <c:pt idx="3">
                  <c:v>126</c:v>
                </c:pt>
                <c:pt idx="4">
                  <c:v>118</c:v>
                </c:pt>
                <c:pt idx="5">
                  <c:v>101</c:v>
                </c:pt>
                <c:pt idx="6">
                  <c:v>89</c:v>
                </c:pt>
                <c:pt idx="7">
                  <c:v>51</c:v>
                </c:pt>
                <c:pt idx="8">
                  <c:v>26</c:v>
                </c:pt>
                <c:pt idx="9">
                  <c:v>20</c:v>
                </c:pt>
                <c:pt idx="10">
                  <c:v>17</c:v>
                </c:pt>
                <c:pt idx="11">
                  <c:v>17</c:v>
                </c:pt>
              </c:numCache>
            </c:numRef>
          </c:val>
          <c:extLst>
            <c:ext xmlns:c16="http://schemas.microsoft.com/office/drawing/2014/chart" uri="{C3380CC4-5D6E-409C-BE32-E72D297353CC}">
              <c16:uniqueId val="{00000000-EBA4-4A00-B041-4774B6003CE2}"/>
            </c:ext>
          </c:extLst>
        </c:ser>
        <c:dLbls>
          <c:showLegendKey val="0"/>
          <c:showVal val="0"/>
          <c:showCatName val="0"/>
          <c:showSerName val="0"/>
          <c:showPercent val="0"/>
          <c:showBubbleSize val="0"/>
        </c:dLbls>
        <c:gapWidth val="150"/>
        <c:axId val="674043096"/>
        <c:axId val="674044736"/>
      </c:barChart>
      <c:catAx>
        <c:axId val="67404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74044736"/>
        <c:crosses val="autoZero"/>
        <c:auto val="1"/>
        <c:lblAlgn val="ctr"/>
        <c:lblOffset val="100"/>
        <c:noMultiLvlLbl val="0"/>
      </c:catAx>
      <c:valAx>
        <c:axId val="674044736"/>
        <c:scaling>
          <c:orientation val="minMax"/>
          <c:max val="13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Millions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74043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a:solidFill>
                <a:schemeClr val="tx1"/>
              </a:solidFill>
            </a:ln>
          </c:spPr>
          <c:marker>
            <c:symbol val="none"/>
          </c:marker>
          <c:cat>
            <c:numRef>
              <c:f>'4. Stock price data'!$D$43:$D$83</c:f>
              <c:numCache>
                <c:formatCode>General</c:formatCode>
                <c:ptCount val="41"/>
                <c:pt idx="0">
                  <c:v>1975</c:v>
                </c:pt>
                <c:pt idx="4">
                  <c:v>1976</c:v>
                </c:pt>
                <c:pt idx="8">
                  <c:v>1977</c:v>
                </c:pt>
                <c:pt idx="12">
                  <c:v>1978</c:v>
                </c:pt>
                <c:pt idx="16">
                  <c:v>1979</c:v>
                </c:pt>
                <c:pt idx="20">
                  <c:v>1980</c:v>
                </c:pt>
                <c:pt idx="24">
                  <c:v>1981</c:v>
                </c:pt>
                <c:pt idx="28">
                  <c:v>1982</c:v>
                </c:pt>
                <c:pt idx="32">
                  <c:v>1983</c:v>
                </c:pt>
                <c:pt idx="36">
                  <c:v>1984</c:v>
                </c:pt>
                <c:pt idx="40">
                  <c:v>1985</c:v>
                </c:pt>
              </c:numCache>
            </c:numRef>
          </c:cat>
          <c:val>
            <c:numRef>
              <c:f>'4. Stock price data'!$U$43:$U$82</c:f>
              <c:numCache>
                <c:formatCode>_(* #,##0.00_);_(* \(#,##0.00\);_(* "-"??_);_(@_)</c:formatCode>
                <c:ptCount val="40"/>
                <c:pt idx="0">
                  <c:v>0.48143028090541584</c:v>
                </c:pt>
                <c:pt idx="1">
                  <c:v>0.51929558389797659</c:v>
                </c:pt>
                <c:pt idx="2">
                  <c:v>0.54634222889266293</c:v>
                </c:pt>
                <c:pt idx="3">
                  <c:v>0.43815564891391778</c:v>
                </c:pt>
                <c:pt idx="4">
                  <c:v>0.44079936277317117</c:v>
                </c:pt>
                <c:pt idx="5">
                  <c:v>0.53927581615866682</c:v>
                </c:pt>
                <c:pt idx="6">
                  <c:v>0.62837355969792497</c:v>
                </c:pt>
                <c:pt idx="7">
                  <c:v>0.75498614262213359</c:v>
                </c:pt>
                <c:pt idx="8">
                  <c:v>0.70922161442197074</c:v>
                </c:pt>
                <c:pt idx="9">
                  <c:v>0.75988030116639727</c:v>
                </c:pt>
                <c:pt idx="10">
                  <c:v>0.80664216585356019</c:v>
                </c:pt>
                <c:pt idx="11">
                  <c:v>0.95861822608683966</c:v>
                </c:pt>
                <c:pt idx="12">
                  <c:v>0.7172034149598786</c:v>
                </c:pt>
                <c:pt idx="13">
                  <c:v>0.8367373174531918</c:v>
                </c:pt>
                <c:pt idx="14">
                  <c:v>0.89650426869984834</c:v>
                </c:pt>
                <c:pt idx="15">
                  <c:v>0.88611001630912534</c:v>
                </c:pt>
                <c:pt idx="16">
                  <c:v>0.58118157555647532</c:v>
                </c:pt>
                <c:pt idx="17">
                  <c:v>0.68575997115808307</c:v>
                </c:pt>
                <c:pt idx="18">
                  <c:v>0.96863595926079238</c:v>
                </c:pt>
                <c:pt idx="19">
                  <c:v>0.98577995853974443</c:v>
                </c:pt>
                <c:pt idx="20">
                  <c:v>0.8431687058213182</c:v>
                </c:pt>
                <c:pt idx="21">
                  <c:v>0.80237022005577052</c:v>
                </c:pt>
                <c:pt idx="22">
                  <c:v>0.97916365837314367</c:v>
                </c:pt>
                <c:pt idx="23">
                  <c:v>1.1899558348284733</c:v>
                </c:pt>
                <c:pt idx="24">
                  <c:v>1.0028065863687401</c:v>
                </c:pt>
                <c:pt idx="25">
                  <c:v>1.0890695185294919</c:v>
                </c:pt>
                <c:pt idx="26">
                  <c:v>1.0567209189692099</c:v>
                </c:pt>
                <c:pt idx="27">
                  <c:v>1.1322009846098677</c:v>
                </c:pt>
                <c:pt idx="28">
                  <c:v>0.81091861636349938</c:v>
                </c:pt>
                <c:pt idx="29">
                  <c:v>0.7832287123901116</c:v>
                </c:pt>
                <c:pt idx="30">
                  <c:v>0.77531731125485792</c:v>
                </c:pt>
                <c:pt idx="31">
                  <c:v>1.0403492492858553</c:v>
                </c:pt>
                <c:pt idx="32">
                  <c:v>1.0050889598391921</c:v>
                </c:pt>
                <c:pt idx="33">
                  <c:v>1.0830699998267157</c:v>
                </c:pt>
                <c:pt idx="34">
                  <c:v>1.2419202664679672</c:v>
                </c:pt>
                <c:pt idx="35">
                  <c:v>1.516297999757402</c:v>
                </c:pt>
                <c:pt idx="36">
                  <c:v>1.2471856003921449</c:v>
                </c:pt>
                <c:pt idx="37">
                  <c:v>1.230396563463789</c:v>
                </c:pt>
                <c:pt idx="38">
                  <c:v>1.2160059603823412</c:v>
                </c:pt>
                <c:pt idx="39">
                  <c:v>1.2327949973106969</c:v>
                </c:pt>
              </c:numCache>
            </c:numRef>
          </c:val>
          <c:smooth val="0"/>
          <c:extLst>
            <c:ext xmlns:c16="http://schemas.microsoft.com/office/drawing/2014/chart" uri="{C3380CC4-5D6E-409C-BE32-E72D297353CC}">
              <c16:uniqueId val="{00000004-4CD2-43AC-9A2E-11E5B7534DDA}"/>
            </c:ext>
          </c:extLst>
        </c:ser>
        <c:ser>
          <c:idx val="0"/>
          <c:order val="1"/>
          <c:spPr>
            <a:ln w="28575" cap="rnd">
              <a:solidFill>
                <a:schemeClr val="tx1"/>
              </a:solidFill>
              <a:round/>
            </a:ln>
            <a:effectLst/>
          </c:spPr>
          <c:marker>
            <c:symbol val="none"/>
          </c:marker>
          <c:cat>
            <c:numRef>
              <c:f>'4. Stock price data'!$D$43:$D$83</c:f>
              <c:numCache>
                <c:formatCode>General</c:formatCode>
                <c:ptCount val="41"/>
                <c:pt idx="0">
                  <c:v>1975</c:v>
                </c:pt>
                <c:pt idx="4">
                  <c:v>1976</c:v>
                </c:pt>
                <c:pt idx="8">
                  <c:v>1977</c:v>
                </c:pt>
                <c:pt idx="12">
                  <c:v>1978</c:v>
                </c:pt>
                <c:pt idx="16">
                  <c:v>1979</c:v>
                </c:pt>
                <c:pt idx="20">
                  <c:v>1980</c:v>
                </c:pt>
                <c:pt idx="24">
                  <c:v>1981</c:v>
                </c:pt>
                <c:pt idx="28">
                  <c:v>1982</c:v>
                </c:pt>
                <c:pt idx="32">
                  <c:v>1983</c:v>
                </c:pt>
                <c:pt idx="36">
                  <c:v>1984</c:v>
                </c:pt>
                <c:pt idx="40">
                  <c:v>1985</c:v>
                </c:pt>
              </c:numCache>
            </c:numRef>
          </c:cat>
          <c:val>
            <c:numRef>
              <c:f>'4. Stock price data'!$U$43:$U$83</c:f>
              <c:numCache>
                <c:formatCode>_(* #,##0.00_);_(* \(#,##0.00\);_(* "-"??_);_(@_)</c:formatCode>
                <c:ptCount val="41"/>
                <c:pt idx="0">
                  <c:v>0.48143028090541584</c:v>
                </c:pt>
                <c:pt idx="1">
                  <c:v>0.51929558389797659</c:v>
                </c:pt>
                <c:pt idx="2">
                  <c:v>0.54634222889266293</c:v>
                </c:pt>
                <c:pt idx="3">
                  <c:v>0.43815564891391778</c:v>
                </c:pt>
                <c:pt idx="4">
                  <c:v>0.44079936277317117</c:v>
                </c:pt>
                <c:pt idx="5">
                  <c:v>0.53927581615866682</c:v>
                </c:pt>
                <c:pt idx="6">
                  <c:v>0.62837355969792497</c:v>
                </c:pt>
                <c:pt idx="7">
                  <c:v>0.75498614262213359</c:v>
                </c:pt>
                <c:pt idx="8">
                  <c:v>0.70922161442197074</c:v>
                </c:pt>
                <c:pt idx="9">
                  <c:v>0.75988030116639727</c:v>
                </c:pt>
                <c:pt idx="10">
                  <c:v>0.80664216585356019</c:v>
                </c:pt>
                <c:pt idx="11">
                  <c:v>0.95861822608683966</c:v>
                </c:pt>
                <c:pt idx="12">
                  <c:v>0.7172034149598786</c:v>
                </c:pt>
                <c:pt idx="13">
                  <c:v>0.8367373174531918</c:v>
                </c:pt>
                <c:pt idx="14">
                  <c:v>0.89650426869984834</c:v>
                </c:pt>
                <c:pt idx="15">
                  <c:v>0.88611001630912534</c:v>
                </c:pt>
                <c:pt idx="16">
                  <c:v>0.58118157555647532</c:v>
                </c:pt>
                <c:pt idx="17">
                  <c:v>0.68575997115808307</c:v>
                </c:pt>
                <c:pt idx="18">
                  <c:v>0.96863595926079238</c:v>
                </c:pt>
                <c:pt idx="19">
                  <c:v>0.98577995853974443</c:v>
                </c:pt>
                <c:pt idx="20">
                  <c:v>0.8431687058213182</c:v>
                </c:pt>
                <c:pt idx="21">
                  <c:v>0.80237022005577052</c:v>
                </c:pt>
                <c:pt idx="22">
                  <c:v>0.97916365837314367</c:v>
                </c:pt>
                <c:pt idx="23">
                  <c:v>1.1899558348284733</c:v>
                </c:pt>
                <c:pt idx="24">
                  <c:v>1.0028065863687401</c:v>
                </c:pt>
                <c:pt idx="25">
                  <c:v>1.0890695185294919</c:v>
                </c:pt>
                <c:pt idx="26">
                  <c:v>1.0567209189692099</c:v>
                </c:pt>
                <c:pt idx="27">
                  <c:v>1.1322009846098677</c:v>
                </c:pt>
                <c:pt idx="28">
                  <c:v>0.81091861636349938</c:v>
                </c:pt>
                <c:pt idx="29">
                  <c:v>0.7832287123901116</c:v>
                </c:pt>
                <c:pt idx="30">
                  <c:v>0.77531731125485792</c:v>
                </c:pt>
                <c:pt idx="31">
                  <c:v>1.0403492492858553</c:v>
                </c:pt>
                <c:pt idx="32">
                  <c:v>1.0050889598391921</c:v>
                </c:pt>
                <c:pt idx="33">
                  <c:v>1.0830699998267157</c:v>
                </c:pt>
                <c:pt idx="34">
                  <c:v>1.2419202664679672</c:v>
                </c:pt>
                <c:pt idx="35">
                  <c:v>1.516297999757402</c:v>
                </c:pt>
                <c:pt idx="36">
                  <c:v>1.2471856003921449</c:v>
                </c:pt>
                <c:pt idx="37">
                  <c:v>1.230396563463789</c:v>
                </c:pt>
                <c:pt idx="38">
                  <c:v>1.2160059603823412</c:v>
                </c:pt>
                <c:pt idx="39">
                  <c:v>1.2327949973106969</c:v>
                </c:pt>
              </c:numCache>
            </c:numRef>
          </c:val>
          <c:smooth val="0"/>
          <c:extLst>
            <c:ext xmlns:c16="http://schemas.microsoft.com/office/drawing/2014/chart" uri="{C3380CC4-5D6E-409C-BE32-E72D297353CC}">
              <c16:uniqueId val="{00000003-4CD2-43AC-9A2E-11E5B7534DDA}"/>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'4. Stock price data'!$G$1</c:f>
              <c:strCache>
                <c:ptCount val="1"/>
                <c:pt idx="0">
                  <c:v>Average Share Price</c:v>
                </c:pt>
              </c:strCache>
            </c:strRef>
          </c:tx>
          <c:spPr>
            <a:ln w="28575" cap="rnd">
              <a:solidFill>
                <a:schemeClr val="tx1"/>
              </a:solidFill>
              <a:round/>
            </a:ln>
            <a:effectLst/>
          </c:spPr>
          <c:marker>
            <c:symbol val="none"/>
          </c:marker>
          <c:cat>
            <c:numRef>
              <c:f>'4. Stock price data'!$D$43:$D$83</c:f>
              <c:numCache>
                <c:formatCode>General</c:formatCode>
                <c:ptCount val="41"/>
                <c:pt idx="0">
                  <c:v>1975</c:v>
                </c:pt>
                <c:pt idx="4">
                  <c:v>1976</c:v>
                </c:pt>
                <c:pt idx="8">
                  <c:v>1977</c:v>
                </c:pt>
                <c:pt idx="12">
                  <c:v>1978</c:v>
                </c:pt>
                <c:pt idx="16">
                  <c:v>1979</c:v>
                </c:pt>
                <c:pt idx="20">
                  <c:v>1980</c:v>
                </c:pt>
                <c:pt idx="24">
                  <c:v>1981</c:v>
                </c:pt>
                <c:pt idx="28">
                  <c:v>1982</c:v>
                </c:pt>
                <c:pt idx="32">
                  <c:v>1983</c:v>
                </c:pt>
                <c:pt idx="36">
                  <c:v>1984</c:v>
                </c:pt>
                <c:pt idx="40">
                  <c:v>1985</c:v>
                </c:pt>
              </c:numCache>
            </c:numRef>
          </c:cat>
          <c:val>
            <c:numRef>
              <c:f>'4. Stock price data'!$G$43:$G$83</c:f>
              <c:numCache>
                <c:formatCode>_("$"* #,##0_);_("$"* \(#,##0\);_("$"* "-"??_);_(@_)</c:formatCode>
                <c:ptCount val="41"/>
                <c:pt idx="0">
                  <c:v>44.5</c:v>
                </c:pt>
                <c:pt idx="1">
                  <c:v>48</c:v>
                </c:pt>
                <c:pt idx="2">
                  <c:v>50.5</c:v>
                </c:pt>
                <c:pt idx="3">
                  <c:v>40.5</c:v>
                </c:pt>
                <c:pt idx="4">
                  <c:v>47</c:v>
                </c:pt>
                <c:pt idx="5">
                  <c:v>57.5</c:v>
                </c:pt>
                <c:pt idx="6">
                  <c:v>67</c:v>
                </c:pt>
                <c:pt idx="7">
                  <c:v>80.5</c:v>
                </c:pt>
                <c:pt idx="8">
                  <c:v>91</c:v>
                </c:pt>
                <c:pt idx="9">
                  <c:v>97.5</c:v>
                </c:pt>
                <c:pt idx="10">
                  <c:v>103.5</c:v>
                </c:pt>
                <c:pt idx="11">
                  <c:v>123</c:v>
                </c:pt>
                <c:pt idx="12">
                  <c:v>138</c:v>
                </c:pt>
                <c:pt idx="13">
                  <c:v>161</c:v>
                </c:pt>
                <c:pt idx="14">
                  <c:v>172.5</c:v>
                </c:pt>
                <c:pt idx="15">
                  <c:v>170.5</c:v>
                </c:pt>
                <c:pt idx="16">
                  <c:v>169.5</c:v>
                </c:pt>
                <c:pt idx="17">
                  <c:v>200</c:v>
                </c:pt>
                <c:pt idx="18">
                  <c:v>282.5</c:v>
                </c:pt>
                <c:pt idx="19">
                  <c:v>287.5</c:v>
                </c:pt>
                <c:pt idx="20">
                  <c:v>310</c:v>
                </c:pt>
                <c:pt idx="21">
                  <c:v>295</c:v>
                </c:pt>
                <c:pt idx="22">
                  <c:v>360</c:v>
                </c:pt>
                <c:pt idx="23">
                  <c:v>437.5</c:v>
                </c:pt>
                <c:pt idx="24">
                  <c:v>465</c:v>
                </c:pt>
                <c:pt idx="25">
                  <c:v>505</c:v>
                </c:pt>
                <c:pt idx="26">
                  <c:v>490</c:v>
                </c:pt>
                <c:pt idx="27">
                  <c:v>525</c:v>
                </c:pt>
                <c:pt idx="28">
                  <c:v>512.5</c:v>
                </c:pt>
                <c:pt idx="29">
                  <c:v>495</c:v>
                </c:pt>
                <c:pt idx="30">
                  <c:v>490</c:v>
                </c:pt>
                <c:pt idx="31">
                  <c:v>657.5</c:v>
                </c:pt>
                <c:pt idx="32">
                  <c:v>870</c:v>
                </c:pt>
                <c:pt idx="33">
                  <c:v>937.5</c:v>
                </c:pt>
                <c:pt idx="34">
                  <c:v>1075</c:v>
                </c:pt>
                <c:pt idx="35">
                  <c:v>1312.5</c:v>
                </c:pt>
                <c:pt idx="36">
                  <c:v>1300</c:v>
                </c:pt>
                <c:pt idx="37">
                  <c:v>1282.5</c:v>
                </c:pt>
                <c:pt idx="38">
                  <c:v>1267.5</c:v>
                </c:pt>
                <c:pt idx="39">
                  <c:v>1285</c:v>
                </c:pt>
              </c:numCache>
            </c:numRef>
          </c:val>
          <c:smooth val="0"/>
          <c:extLst>
            <c:ext xmlns:c16="http://schemas.microsoft.com/office/drawing/2014/chart" uri="{C3380CC4-5D6E-409C-BE32-E72D297353CC}">
              <c16:uniqueId val="{00000000-8729-414D-8CBE-3EB0F2A611A3}"/>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max val="1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a:solidFill>
                <a:schemeClr val="tx1"/>
              </a:solidFill>
            </a:ln>
          </c:spPr>
          <c:marker>
            <c:symbol val="none"/>
          </c:marker>
          <c:cat>
            <c:strRef>
              <c:f>'4. Stock price data'!$D$3:$D$83</c:f>
              <c:strCache>
                <c:ptCount val="8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strCache>
            </c:strRef>
          </c:cat>
          <c:val>
            <c:numRef>
              <c:f>'4. Stock price data'!$U$3:$U$83</c:f>
              <c:numCache>
                <c:formatCode>_(* #,##0.00_);_(* \(#,##0.00\);_(* "-"??_);_(@_)</c:formatCode>
                <c:ptCount val="81"/>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pt idx="40">
                  <c:v>0.48143028090541584</c:v>
                </c:pt>
                <c:pt idx="41">
                  <c:v>0.51929558389797659</c:v>
                </c:pt>
                <c:pt idx="42">
                  <c:v>0.54634222889266293</c:v>
                </c:pt>
                <c:pt idx="43">
                  <c:v>0.43815564891391778</c:v>
                </c:pt>
                <c:pt idx="44">
                  <c:v>0.44079936277317117</c:v>
                </c:pt>
                <c:pt idx="45">
                  <c:v>0.53927581615866682</c:v>
                </c:pt>
                <c:pt idx="46">
                  <c:v>0.62837355969792497</c:v>
                </c:pt>
                <c:pt idx="47">
                  <c:v>0.75498614262213359</c:v>
                </c:pt>
                <c:pt idx="48">
                  <c:v>0.70922161442197074</c:v>
                </c:pt>
                <c:pt idx="49">
                  <c:v>0.75988030116639727</c:v>
                </c:pt>
                <c:pt idx="50">
                  <c:v>0.80664216585356019</c:v>
                </c:pt>
                <c:pt idx="51">
                  <c:v>0.95861822608683966</c:v>
                </c:pt>
                <c:pt idx="52">
                  <c:v>0.7172034149598786</c:v>
                </c:pt>
                <c:pt idx="53">
                  <c:v>0.8367373174531918</c:v>
                </c:pt>
                <c:pt idx="54">
                  <c:v>0.89650426869984834</c:v>
                </c:pt>
                <c:pt idx="55">
                  <c:v>0.88611001630912534</c:v>
                </c:pt>
                <c:pt idx="56">
                  <c:v>0.58118157555647532</c:v>
                </c:pt>
                <c:pt idx="57">
                  <c:v>0.68575997115808307</c:v>
                </c:pt>
                <c:pt idx="58">
                  <c:v>0.96863595926079238</c:v>
                </c:pt>
                <c:pt idx="59">
                  <c:v>0.98577995853974443</c:v>
                </c:pt>
                <c:pt idx="60">
                  <c:v>0.8431687058213182</c:v>
                </c:pt>
                <c:pt idx="61">
                  <c:v>0.80237022005577052</c:v>
                </c:pt>
                <c:pt idx="62">
                  <c:v>0.97916365837314367</c:v>
                </c:pt>
                <c:pt idx="63">
                  <c:v>1.1899558348284733</c:v>
                </c:pt>
                <c:pt idx="64">
                  <c:v>1.0028065863687401</c:v>
                </c:pt>
                <c:pt idx="65">
                  <c:v>1.0890695185294919</c:v>
                </c:pt>
                <c:pt idx="66">
                  <c:v>1.0567209189692099</c:v>
                </c:pt>
                <c:pt idx="67">
                  <c:v>1.1322009846098677</c:v>
                </c:pt>
                <c:pt idx="68">
                  <c:v>0.81091861636349938</c:v>
                </c:pt>
                <c:pt idx="69">
                  <c:v>0.7832287123901116</c:v>
                </c:pt>
                <c:pt idx="70">
                  <c:v>0.77531731125485792</c:v>
                </c:pt>
                <c:pt idx="71">
                  <c:v>1.0403492492858553</c:v>
                </c:pt>
                <c:pt idx="72">
                  <c:v>1.0050889598391921</c:v>
                </c:pt>
                <c:pt idx="73">
                  <c:v>1.0830699998267157</c:v>
                </c:pt>
                <c:pt idx="74">
                  <c:v>1.2419202664679672</c:v>
                </c:pt>
                <c:pt idx="75">
                  <c:v>1.516297999757402</c:v>
                </c:pt>
                <c:pt idx="76">
                  <c:v>1.2471856003921449</c:v>
                </c:pt>
                <c:pt idx="77">
                  <c:v>1.230396563463789</c:v>
                </c:pt>
                <c:pt idx="78">
                  <c:v>1.2160059603823412</c:v>
                </c:pt>
                <c:pt idx="79">
                  <c:v>1.2327949973106969</c:v>
                </c:pt>
              </c:numCache>
            </c:numRef>
          </c:val>
          <c:smooth val="0"/>
          <c:extLst>
            <c:ext xmlns:c16="http://schemas.microsoft.com/office/drawing/2014/chart" uri="{C3380CC4-5D6E-409C-BE32-E72D297353CC}">
              <c16:uniqueId val="{00000001-E05A-4A7E-97F3-55336958DCC0}"/>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a:solidFill>
                <a:schemeClr val="tx1"/>
              </a:solidFill>
            </a:ln>
          </c:spPr>
          <c:marker>
            <c:symbol val="none"/>
          </c:marker>
          <c:cat>
            <c:numRef>
              <c:f>'5. Stock price data'!$D$83:$D$123</c:f>
              <c:numCache>
                <c:formatCode>General</c:formatCode>
                <c:ptCount val="41"/>
                <c:pt idx="0">
                  <c:v>1985</c:v>
                </c:pt>
                <c:pt idx="4">
                  <c:v>1986</c:v>
                </c:pt>
                <c:pt idx="8">
                  <c:v>1987</c:v>
                </c:pt>
                <c:pt idx="12">
                  <c:v>1988</c:v>
                </c:pt>
                <c:pt idx="16">
                  <c:v>1989</c:v>
                </c:pt>
                <c:pt idx="20">
                  <c:v>1990</c:v>
                </c:pt>
                <c:pt idx="24">
                  <c:v>1991</c:v>
                </c:pt>
                <c:pt idx="28">
                  <c:v>1992</c:v>
                </c:pt>
                <c:pt idx="32">
                  <c:v>1993</c:v>
                </c:pt>
                <c:pt idx="36">
                  <c:v>1994</c:v>
                </c:pt>
                <c:pt idx="40">
                  <c:v>1995</c:v>
                </c:pt>
              </c:numCache>
            </c:numRef>
          </c:cat>
          <c:val>
            <c:numRef>
              <c:f>'5. Stock price data'!$U$83:$U$123</c:f>
              <c:numCache>
                <c:formatCode>_(* #,##0.00_);_(* \(#,##0.00\);_(* "-"??_);_(@_)</c:formatCode>
                <c:ptCount val="41"/>
                <c:pt idx="0">
                  <c:v>1.1643595868791872</c:v>
                </c:pt>
                <c:pt idx="1">
                  <c:v>1.4113999984479384</c:v>
                </c:pt>
                <c:pt idx="2">
                  <c:v>1.5403696250757422</c:v>
                </c:pt>
                <c:pt idx="3">
                  <c:v>1.7456311435115426</c:v>
                </c:pt>
                <c:pt idx="4">
                  <c:v>1.4717107888176919</c:v>
                </c:pt>
                <c:pt idx="5">
                  <c:v>1.5604977285452675</c:v>
                </c:pt>
                <c:pt idx="6">
                  <c:v>1.5134137453564014</c:v>
                </c:pt>
                <c:pt idx="7">
                  <c:v>1.4918896387557772</c:v>
                </c:pt>
                <c:pt idx="8">
                  <c:v>1.4130227364690882</c:v>
                </c:pt>
                <c:pt idx="9">
                  <c:v>1.5009246174313953</c:v>
                </c:pt>
                <c:pt idx="10">
                  <c:v>1.6789259263800673</c:v>
                </c:pt>
                <c:pt idx="11">
                  <c:v>1.4987270704073374</c:v>
                </c:pt>
                <c:pt idx="12">
                  <c:v>1.1920229912599112</c:v>
                </c:pt>
                <c:pt idx="13">
                  <c:v>1.3845805513865119</c:v>
                </c:pt>
                <c:pt idx="14">
                  <c:v>1.6578288986137839</c:v>
                </c:pt>
                <c:pt idx="15">
                  <c:v>1.7696956716397141</c:v>
                </c:pt>
                <c:pt idx="16">
                  <c:v>1.3267653913495412</c:v>
                </c:pt>
                <c:pt idx="17">
                  <c:v>1.6429892670079809</c:v>
                </c:pt>
                <c:pt idx="18">
                  <c:v>2.1104506484161094</c:v>
                </c:pt>
                <c:pt idx="19">
                  <c:v>2.3166836108020483</c:v>
                </c:pt>
                <c:pt idx="20">
                  <c:v>1.7281039658930455</c:v>
                </c:pt>
                <c:pt idx="21">
                  <c:v>1.6018626047482614</c:v>
                </c:pt>
                <c:pt idx="22">
                  <c:v>1.4391515170505396</c:v>
                </c:pt>
                <c:pt idx="23">
                  <c:v>1.3914603361736213</c:v>
                </c:pt>
                <c:pt idx="24">
                  <c:v>1.3411976848868099</c:v>
                </c:pt>
                <c:pt idx="25">
                  <c:v>1.4936373542989028</c:v>
                </c:pt>
                <c:pt idx="26">
                  <c:v>1.5673693012252263</c:v>
                </c:pt>
                <c:pt idx="27">
                  <c:v>1.5628458688984583</c:v>
                </c:pt>
                <c:pt idx="28">
                  <c:v>1.2390638961102156</c:v>
                </c:pt>
                <c:pt idx="29">
                  <c:v>1.2796022597098387</c:v>
                </c:pt>
                <c:pt idx="30">
                  <c:v>1.3395285363353682</c:v>
                </c:pt>
                <c:pt idx="31">
                  <c:v>1.473481389968905</c:v>
                </c:pt>
                <c:pt idx="32">
                  <c:v>1.4781040642017562</c:v>
                </c:pt>
                <c:pt idx="33">
                  <c:v>1.6858213359531233</c:v>
                </c:pt>
                <c:pt idx="34">
                  <c:v>1.9808400697449198</c:v>
                </c:pt>
                <c:pt idx="35">
                  <c:v>2.0470687650859354</c:v>
                </c:pt>
                <c:pt idx="36">
                  <c:v>1.6927976794060919</c:v>
                </c:pt>
                <c:pt idx="37">
                  <c:v>1.6954385494207662</c:v>
                </c:pt>
                <c:pt idx="38">
                  <c:v>1.9106694556167048</c:v>
                </c:pt>
                <c:pt idx="39">
                  <c:v>2.1126960117392724</c:v>
                </c:pt>
              </c:numCache>
            </c:numRef>
          </c:val>
          <c:smooth val="0"/>
          <c:extLst>
            <c:ext xmlns:c16="http://schemas.microsoft.com/office/drawing/2014/chart" uri="{C3380CC4-5D6E-409C-BE32-E72D297353CC}">
              <c16:uniqueId val="{00000000-B50F-4622-B285-C3CC4602D2B0}"/>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'5. Stock price data'!$G$1</c:f>
              <c:strCache>
                <c:ptCount val="1"/>
                <c:pt idx="0">
                  <c:v>Average Share Price</c:v>
                </c:pt>
              </c:strCache>
            </c:strRef>
          </c:tx>
          <c:spPr>
            <a:ln w="28575" cap="rnd">
              <a:solidFill>
                <a:schemeClr val="tx1"/>
              </a:solidFill>
              <a:round/>
            </a:ln>
            <a:effectLst/>
          </c:spPr>
          <c:marker>
            <c:symbol val="none"/>
          </c:marker>
          <c:cat>
            <c:numRef>
              <c:f>'5. Stock price data'!$D$83:$D$122</c:f>
              <c:numCache>
                <c:formatCode>General</c:formatCode>
                <c:ptCount val="40"/>
                <c:pt idx="0">
                  <c:v>1985</c:v>
                </c:pt>
                <c:pt idx="4">
                  <c:v>1986</c:v>
                </c:pt>
                <c:pt idx="8">
                  <c:v>1987</c:v>
                </c:pt>
                <c:pt idx="12">
                  <c:v>1988</c:v>
                </c:pt>
                <c:pt idx="16">
                  <c:v>1989</c:v>
                </c:pt>
                <c:pt idx="20">
                  <c:v>1990</c:v>
                </c:pt>
                <c:pt idx="24">
                  <c:v>1991</c:v>
                </c:pt>
                <c:pt idx="28">
                  <c:v>1992</c:v>
                </c:pt>
                <c:pt idx="32">
                  <c:v>1993</c:v>
                </c:pt>
                <c:pt idx="36">
                  <c:v>1994</c:v>
                </c:pt>
              </c:numCache>
            </c:numRef>
          </c:cat>
          <c:val>
            <c:numRef>
              <c:f>'5. Stock price data'!$G$83:$G$123</c:f>
              <c:numCache>
                <c:formatCode>_("$"* #,##0_);_("$"* \(#,##0\);_("$"* "-"??_);_(@_)</c:formatCode>
                <c:ptCount val="41"/>
                <c:pt idx="0">
                  <c:v>1602.5</c:v>
                </c:pt>
                <c:pt idx="1">
                  <c:v>1942.5</c:v>
                </c:pt>
                <c:pt idx="2">
                  <c:v>2120</c:v>
                </c:pt>
                <c:pt idx="3">
                  <c:v>2402.5</c:v>
                </c:pt>
                <c:pt idx="4">
                  <c:v>2735</c:v>
                </c:pt>
                <c:pt idx="5">
                  <c:v>2900</c:v>
                </c:pt>
                <c:pt idx="6">
                  <c:v>2812.5</c:v>
                </c:pt>
                <c:pt idx="7">
                  <c:v>2772.5</c:v>
                </c:pt>
                <c:pt idx="8">
                  <c:v>3215</c:v>
                </c:pt>
                <c:pt idx="9">
                  <c:v>3415</c:v>
                </c:pt>
                <c:pt idx="10">
                  <c:v>3820</c:v>
                </c:pt>
                <c:pt idx="11">
                  <c:v>3410</c:v>
                </c:pt>
                <c:pt idx="12">
                  <c:v>3250</c:v>
                </c:pt>
                <c:pt idx="13">
                  <c:v>3775</c:v>
                </c:pt>
                <c:pt idx="14">
                  <c:v>4520</c:v>
                </c:pt>
                <c:pt idx="15">
                  <c:v>4825</c:v>
                </c:pt>
                <c:pt idx="16">
                  <c:v>4825</c:v>
                </c:pt>
                <c:pt idx="17">
                  <c:v>5975</c:v>
                </c:pt>
                <c:pt idx="18">
                  <c:v>7675</c:v>
                </c:pt>
                <c:pt idx="19">
                  <c:v>8425</c:v>
                </c:pt>
                <c:pt idx="20">
                  <c:v>7700</c:v>
                </c:pt>
                <c:pt idx="21">
                  <c:v>7137.5</c:v>
                </c:pt>
                <c:pt idx="22">
                  <c:v>6412.5</c:v>
                </c:pt>
                <c:pt idx="23">
                  <c:v>6200</c:v>
                </c:pt>
                <c:pt idx="24">
                  <c:v>7412.5</c:v>
                </c:pt>
                <c:pt idx="25">
                  <c:v>8255</c:v>
                </c:pt>
                <c:pt idx="26">
                  <c:v>8662.5</c:v>
                </c:pt>
                <c:pt idx="27">
                  <c:v>8637.5</c:v>
                </c:pt>
                <c:pt idx="28">
                  <c:v>8787.5</c:v>
                </c:pt>
                <c:pt idx="29">
                  <c:v>9075</c:v>
                </c:pt>
                <c:pt idx="30">
                  <c:v>9500</c:v>
                </c:pt>
                <c:pt idx="31">
                  <c:v>10450</c:v>
                </c:pt>
                <c:pt idx="32">
                  <c:v>12275</c:v>
                </c:pt>
                <c:pt idx="33">
                  <c:v>14000</c:v>
                </c:pt>
                <c:pt idx="34">
                  <c:v>16450</c:v>
                </c:pt>
                <c:pt idx="35">
                  <c:v>17000</c:v>
                </c:pt>
                <c:pt idx="36">
                  <c:v>16025</c:v>
                </c:pt>
                <c:pt idx="37">
                  <c:v>16050</c:v>
                </c:pt>
                <c:pt idx="38">
                  <c:v>18087.5</c:v>
                </c:pt>
                <c:pt idx="39">
                  <c:v>20000</c:v>
                </c:pt>
              </c:numCache>
            </c:numRef>
          </c:val>
          <c:smooth val="0"/>
          <c:extLst>
            <c:ext xmlns:c16="http://schemas.microsoft.com/office/drawing/2014/chart" uri="{C3380CC4-5D6E-409C-BE32-E72D297353CC}">
              <c16:uniqueId val="{00000000-75D3-4E8B-9BA9-79790F319883}"/>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max val="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a:solidFill>
                <a:schemeClr val="tx1"/>
              </a:solidFill>
            </a:ln>
          </c:spPr>
          <c:marker>
            <c:symbol val="none"/>
          </c:marker>
          <c:cat>
            <c:strRef>
              <c:f>'5. Stock price data'!$D$3:$D$123</c:f>
              <c:strCache>
                <c:ptCount val="12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pt idx="84">
                  <c:v>1986</c:v>
                </c:pt>
                <c:pt idx="88">
                  <c:v>1987</c:v>
                </c:pt>
                <c:pt idx="92">
                  <c:v>1988</c:v>
                </c:pt>
                <c:pt idx="96">
                  <c:v>1989</c:v>
                </c:pt>
                <c:pt idx="100">
                  <c:v>1990</c:v>
                </c:pt>
                <c:pt idx="104">
                  <c:v>1991</c:v>
                </c:pt>
                <c:pt idx="108">
                  <c:v>1992</c:v>
                </c:pt>
                <c:pt idx="112">
                  <c:v>1993</c:v>
                </c:pt>
                <c:pt idx="116">
                  <c:v>1994</c:v>
                </c:pt>
                <c:pt idx="120">
                  <c:v>1995</c:v>
                </c:pt>
              </c:strCache>
            </c:strRef>
          </c:cat>
          <c:val>
            <c:numRef>
              <c:f>'5. Stock price data'!$U$3:$U$123</c:f>
              <c:numCache>
                <c:formatCode>_(* #,##0.00_);_(* \(#,##0.00\);_(* "-"??_);_(@_)</c:formatCode>
                <c:ptCount val="121"/>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pt idx="40">
                  <c:v>0.48143028090541584</c:v>
                </c:pt>
                <c:pt idx="41">
                  <c:v>0.51929558389797659</c:v>
                </c:pt>
                <c:pt idx="42">
                  <c:v>0.54634222889266293</c:v>
                </c:pt>
                <c:pt idx="43">
                  <c:v>0.43815564891391778</c:v>
                </c:pt>
                <c:pt idx="44">
                  <c:v>0.44079936277317117</c:v>
                </c:pt>
                <c:pt idx="45">
                  <c:v>0.53927581615866682</c:v>
                </c:pt>
                <c:pt idx="46">
                  <c:v>0.62837355969792497</c:v>
                </c:pt>
                <c:pt idx="47">
                  <c:v>0.75498614262213359</c:v>
                </c:pt>
                <c:pt idx="48">
                  <c:v>0.70922161442197074</c:v>
                </c:pt>
                <c:pt idx="49">
                  <c:v>0.75988030116639727</c:v>
                </c:pt>
                <c:pt idx="50">
                  <c:v>0.80664216585356019</c:v>
                </c:pt>
                <c:pt idx="51">
                  <c:v>0.95861822608683966</c:v>
                </c:pt>
                <c:pt idx="52">
                  <c:v>0.7172034149598786</c:v>
                </c:pt>
                <c:pt idx="53">
                  <c:v>0.8367373174531918</c:v>
                </c:pt>
                <c:pt idx="54">
                  <c:v>0.89650426869984834</c:v>
                </c:pt>
                <c:pt idx="55">
                  <c:v>0.88611001630912534</c:v>
                </c:pt>
                <c:pt idx="56">
                  <c:v>0.58118157555647532</c:v>
                </c:pt>
                <c:pt idx="57">
                  <c:v>0.68575997115808307</c:v>
                </c:pt>
                <c:pt idx="58">
                  <c:v>0.96863595926079238</c:v>
                </c:pt>
                <c:pt idx="59">
                  <c:v>0.98577995853974443</c:v>
                </c:pt>
                <c:pt idx="60">
                  <c:v>0.8431687058213182</c:v>
                </c:pt>
                <c:pt idx="61">
                  <c:v>0.80237022005577052</c:v>
                </c:pt>
                <c:pt idx="62">
                  <c:v>0.97916365837314367</c:v>
                </c:pt>
                <c:pt idx="63">
                  <c:v>1.1899558348284733</c:v>
                </c:pt>
                <c:pt idx="64">
                  <c:v>1.0028065863687401</c:v>
                </c:pt>
                <c:pt idx="65">
                  <c:v>1.0890695185294919</c:v>
                </c:pt>
                <c:pt idx="66">
                  <c:v>1.0567209189692099</c:v>
                </c:pt>
                <c:pt idx="67">
                  <c:v>1.1322009846098677</c:v>
                </c:pt>
                <c:pt idx="68">
                  <c:v>0.81091861636349938</c:v>
                </c:pt>
                <c:pt idx="69">
                  <c:v>0.7832287123901116</c:v>
                </c:pt>
                <c:pt idx="70">
                  <c:v>0.77531731125485792</c:v>
                </c:pt>
                <c:pt idx="71">
                  <c:v>1.0403492492858553</c:v>
                </c:pt>
                <c:pt idx="72">
                  <c:v>1.0050889598391921</c:v>
                </c:pt>
                <c:pt idx="73">
                  <c:v>1.0830699998267157</c:v>
                </c:pt>
                <c:pt idx="74">
                  <c:v>1.2419202664679672</c:v>
                </c:pt>
                <c:pt idx="75">
                  <c:v>1.516297999757402</c:v>
                </c:pt>
                <c:pt idx="76">
                  <c:v>1.2471856003921449</c:v>
                </c:pt>
                <c:pt idx="77">
                  <c:v>1.230396563463789</c:v>
                </c:pt>
                <c:pt idx="78">
                  <c:v>1.2160059603823412</c:v>
                </c:pt>
                <c:pt idx="79">
                  <c:v>1.2327949973106969</c:v>
                </c:pt>
                <c:pt idx="80">
                  <c:v>1.1643595868791872</c:v>
                </c:pt>
                <c:pt idx="81">
                  <c:v>1.4113999984479384</c:v>
                </c:pt>
                <c:pt idx="82">
                  <c:v>1.5403696250757422</c:v>
                </c:pt>
                <c:pt idx="83">
                  <c:v>1.7456311435115426</c:v>
                </c:pt>
                <c:pt idx="84">
                  <c:v>1.4717107888176919</c:v>
                </c:pt>
                <c:pt idx="85">
                  <c:v>1.5604977285452675</c:v>
                </c:pt>
                <c:pt idx="86">
                  <c:v>1.5134137453564014</c:v>
                </c:pt>
                <c:pt idx="87">
                  <c:v>1.4918896387557772</c:v>
                </c:pt>
                <c:pt idx="88">
                  <c:v>1.4130227364690882</c:v>
                </c:pt>
                <c:pt idx="89">
                  <c:v>1.5009246174313953</c:v>
                </c:pt>
                <c:pt idx="90">
                  <c:v>1.6789259263800673</c:v>
                </c:pt>
                <c:pt idx="91">
                  <c:v>1.4987270704073374</c:v>
                </c:pt>
                <c:pt idx="92">
                  <c:v>1.1920229912599112</c:v>
                </c:pt>
                <c:pt idx="93">
                  <c:v>1.3845805513865119</c:v>
                </c:pt>
                <c:pt idx="94">
                  <c:v>1.6578288986137839</c:v>
                </c:pt>
                <c:pt idx="95">
                  <c:v>1.7696956716397141</c:v>
                </c:pt>
                <c:pt idx="96">
                  <c:v>1.3267653913495412</c:v>
                </c:pt>
                <c:pt idx="97">
                  <c:v>1.6429892670079809</c:v>
                </c:pt>
                <c:pt idx="98">
                  <c:v>2.1104506484161094</c:v>
                </c:pt>
                <c:pt idx="99">
                  <c:v>2.3166836108020483</c:v>
                </c:pt>
                <c:pt idx="100">
                  <c:v>1.7281039658930455</c:v>
                </c:pt>
                <c:pt idx="101">
                  <c:v>1.6018626047482614</c:v>
                </c:pt>
                <c:pt idx="102">
                  <c:v>1.4391515170505396</c:v>
                </c:pt>
                <c:pt idx="103">
                  <c:v>1.3914603361736213</c:v>
                </c:pt>
                <c:pt idx="104">
                  <c:v>1.3411976848868099</c:v>
                </c:pt>
                <c:pt idx="105">
                  <c:v>1.4936373542989028</c:v>
                </c:pt>
                <c:pt idx="106">
                  <c:v>1.5673693012252263</c:v>
                </c:pt>
                <c:pt idx="107">
                  <c:v>1.5628458688984583</c:v>
                </c:pt>
                <c:pt idx="108">
                  <c:v>1.2390638961102156</c:v>
                </c:pt>
                <c:pt idx="109">
                  <c:v>1.2796022597098387</c:v>
                </c:pt>
                <c:pt idx="110">
                  <c:v>1.3395285363353682</c:v>
                </c:pt>
                <c:pt idx="111">
                  <c:v>1.473481389968905</c:v>
                </c:pt>
                <c:pt idx="112">
                  <c:v>1.4781040642017562</c:v>
                </c:pt>
                <c:pt idx="113">
                  <c:v>1.6858213359531233</c:v>
                </c:pt>
                <c:pt idx="114">
                  <c:v>1.9808400697449198</c:v>
                </c:pt>
                <c:pt idx="115">
                  <c:v>2.0470687650859354</c:v>
                </c:pt>
                <c:pt idx="116">
                  <c:v>1.6927976794060919</c:v>
                </c:pt>
                <c:pt idx="117">
                  <c:v>1.6954385494207662</c:v>
                </c:pt>
                <c:pt idx="118">
                  <c:v>1.9106694556167048</c:v>
                </c:pt>
                <c:pt idx="119">
                  <c:v>2.1126960117392724</c:v>
                </c:pt>
              </c:numCache>
            </c:numRef>
          </c:val>
          <c:smooth val="0"/>
          <c:extLst>
            <c:ext xmlns:c16="http://schemas.microsoft.com/office/drawing/2014/chart" uri="{C3380CC4-5D6E-409C-BE32-E72D297353CC}">
              <c16:uniqueId val="{00000000-542F-41EC-844F-6B48765FC27A}"/>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spPr>
        <a:ln>
          <a:noFill/>
        </a:ln>
      </c:spPr>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'5. Stock price data'!$G$1</c:f>
              <c:strCache>
                <c:ptCount val="1"/>
                <c:pt idx="0">
                  <c:v>Average Share Price</c:v>
                </c:pt>
              </c:strCache>
            </c:strRef>
          </c:tx>
          <c:spPr>
            <a:ln w="28575" cap="rnd">
              <a:solidFill>
                <a:schemeClr val="tx1"/>
              </a:solidFill>
              <a:round/>
            </a:ln>
            <a:effectLst/>
          </c:spPr>
          <c:marker>
            <c:symbol val="none"/>
          </c:marker>
          <c:cat>
            <c:strRef>
              <c:f>'5. Stock price data'!$D$3:$D$123</c:f>
              <c:strCache>
                <c:ptCount val="12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pt idx="84">
                  <c:v>1986</c:v>
                </c:pt>
                <c:pt idx="88">
                  <c:v>1987</c:v>
                </c:pt>
                <c:pt idx="92">
                  <c:v>1988</c:v>
                </c:pt>
                <c:pt idx="96">
                  <c:v>1989</c:v>
                </c:pt>
                <c:pt idx="100">
                  <c:v>1990</c:v>
                </c:pt>
                <c:pt idx="104">
                  <c:v>1991</c:v>
                </c:pt>
                <c:pt idx="108">
                  <c:v>1992</c:v>
                </c:pt>
                <c:pt idx="112">
                  <c:v>1993</c:v>
                </c:pt>
                <c:pt idx="116">
                  <c:v>1994</c:v>
                </c:pt>
                <c:pt idx="120">
                  <c:v>1995</c:v>
                </c:pt>
              </c:strCache>
            </c:strRef>
          </c:cat>
          <c:val>
            <c:numRef>
              <c:f>'5. Stock price data'!$G$3:$G$123</c:f>
              <c:numCache>
                <c:formatCode>_("$"* #,##0_);_("$"* \(#,##0\);_("$"* "-"??_);_(@_)</c:formatCode>
                <c:ptCount val="121"/>
                <c:pt idx="0">
                  <c:v>14</c:v>
                </c:pt>
                <c:pt idx="1">
                  <c:v>18.5</c:v>
                </c:pt>
                <c:pt idx="2">
                  <c:v>18</c:v>
                </c:pt>
                <c:pt idx="3">
                  <c:v>20</c:v>
                </c:pt>
                <c:pt idx="4">
                  <c:v>23.5</c:v>
                </c:pt>
                <c:pt idx="5">
                  <c:v>24</c:v>
                </c:pt>
                <c:pt idx="6">
                  <c:v>20.5</c:v>
                </c:pt>
                <c:pt idx="7">
                  <c:v>17.5</c:v>
                </c:pt>
                <c:pt idx="8">
                  <c:v>18.5</c:v>
                </c:pt>
                <c:pt idx="9">
                  <c:v>18</c:v>
                </c:pt>
                <c:pt idx="10">
                  <c:v>19.5</c:v>
                </c:pt>
                <c:pt idx="11">
                  <c:v>20</c:v>
                </c:pt>
                <c:pt idx="12">
                  <c:v>22</c:v>
                </c:pt>
                <c:pt idx="13">
                  <c:v>27</c:v>
                </c:pt>
                <c:pt idx="14">
                  <c:v>29.5</c:v>
                </c:pt>
                <c:pt idx="15">
                  <c:v>35.5</c:v>
                </c:pt>
                <c:pt idx="16">
                  <c:v>37</c:v>
                </c:pt>
                <c:pt idx="17">
                  <c:v>40</c:v>
                </c:pt>
                <c:pt idx="18">
                  <c:v>35</c:v>
                </c:pt>
                <c:pt idx="19">
                  <c:v>39</c:v>
                </c:pt>
                <c:pt idx="20">
                  <c:v>43.5</c:v>
                </c:pt>
                <c:pt idx="21">
                  <c:v>39.5</c:v>
                </c:pt>
                <c:pt idx="22">
                  <c:v>39</c:v>
                </c:pt>
                <c:pt idx="23">
                  <c:v>41</c:v>
                </c:pt>
                <c:pt idx="24">
                  <c:v>45.5</c:v>
                </c:pt>
                <c:pt idx="25">
                  <c:v>51.5</c:v>
                </c:pt>
                <c:pt idx="26">
                  <c:v>52</c:v>
                </c:pt>
                <c:pt idx="27">
                  <c:v>72</c:v>
                </c:pt>
                <c:pt idx="28">
                  <c:v>74.5</c:v>
                </c:pt>
                <c:pt idx="29">
                  <c:v>78</c:v>
                </c:pt>
                <c:pt idx="30">
                  <c:v>82</c:v>
                </c:pt>
                <c:pt idx="31">
                  <c:v>80</c:v>
                </c:pt>
                <c:pt idx="32">
                  <c:v>86.5</c:v>
                </c:pt>
                <c:pt idx="33">
                  <c:v>86</c:v>
                </c:pt>
                <c:pt idx="34">
                  <c:v>85.5</c:v>
                </c:pt>
                <c:pt idx="35">
                  <c:v>79</c:v>
                </c:pt>
                <c:pt idx="36">
                  <c:v>74</c:v>
                </c:pt>
                <c:pt idx="37">
                  <c:v>70</c:v>
                </c:pt>
                <c:pt idx="38">
                  <c:v>56.5</c:v>
                </c:pt>
                <c:pt idx="39">
                  <c:v>44.5</c:v>
                </c:pt>
                <c:pt idx="40">
                  <c:v>44.5</c:v>
                </c:pt>
                <c:pt idx="41">
                  <c:v>48</c:v>
                </c:pt>
                <c:pt idx="42">
                  <c:v>50.5</c:v>
                </c:pt>
                <c:pt idx="43">
                  <c:v>40.5</c:v>
                </c:pt>
                <c:pt idx="44">
                  <c:v>47</c:v>
                </c:pt>
                <c:pt idx="45">
                  <c:v>57.5</c:v>
                </c:pt>
                <c:pt idx="46">
                  <c:v>67</c:v>
                </c:pt>
                <c:pt idx="47">
                  <c:v>80.5</c:v>
                </c:pt>
                <c:pt idx="48">
                  <c:v>91</c:v>
                </c:pt>
                <c:pt idx="49">
                  <c:v>97.5</c:v>
                </c:pt>
                <c:pt idx="50">
                  <c:v>103.5</c:v>
                </c:pt>
                <c:pt idx="51">
                  <c:v>123</c:v>
                </c:pt>
                <c:pt idx="52">
                  <c:v>138</c:v>
                </c:pt>
                <c:pt idx="53">
                  <c:v>161</c:v>
                </c:pt>
                <c:pt idx="54">
                  <c:v>172.5</c:v>
                </c:pt>
                <c:pt idx="55">
                  <c:v>170.5</c:v>
                </c:pt>
                <c:pt idx="56">
                  <c:v>169.5</c:v>
                </c:pt>
                <c:pt idx="57">
                  <c:v>200</c:v>
                </c:pt>
                <c:pt idx="58">
                  <c:v>282.5</c:v>
                </c:pt>
                <c:pt idx="59">
                  <c:v>287.5</c:v>
                </c:pt>
                <c:pt idx="60">
                  <c:v>310</c:v>
                </c:pt>
                <c:pt idx="61">
                  <c:v>295</c:v>
                </c:pt>
                <c:pt idx="62">
                  <c:v>360</c:v>
                </c:pt>
                <c:pt idx="63">
                  <c:v>437.5</c:v>
                </c:pt>
                <c:pt idx="64">
                  <c:v>465</c:v>
                </c:pt>
                <c:pt idx="65">
                  <c:v>505</c:v>
                </c:pt>
                <c:pt idx="66">
                  <c:v>490</c:v>
                </c:pt>
                <c:pt idx="67">
                  <c:v>525</c:v>
                </c:pt>
                <c:pt idx="68">
                  <c:v>512.5</c:v>
                </c:pt>
                <c:pt idx="69">
                  <c:v>495</c:v>
                </c:pt>
                <c:pt idx="70">
                  <c:v>490</c:v>
                </c:pt>
                <c:pt idx="71">
                  <c:v>657.5</c:v>
                </c:pt>
                <c:pt idx="72">
                  <c:v>870</c:v>
                </c:pt>
                <c:pt idx="73">
                  <c:v>937.5</c:v>
                </c:pt>
                <c:pt idx="74">
                  <c:v>1075</c:v>
                </c:pt>
                <c:pt idx="75">
                  <c:v>1312.5</c:v>
                </c:pt>
                <c:pt idx="76">
                  <c:v>1300</c:v>
                </c:pt>
                <c:pt idx="77">
                  <c:v>1282.5</c:v>
                </c:pt>
                <c:pt idx="78">
                  <c:v>1267.5</c:v>
                </c:pt>
                <c:pt idx="79">
                  <c:v>1285</c:v>
                </c:pt>
                <c:pt idx="80">
                  <c:v>1602.5</c:v>
                </c:pt>
                <c:pt idx="81">
                  <c:v>1942.5</c:v>
                </c:pt>
                <c:pt idx="82">
                  <c:v>2120</c:v>
                </c:pt>
                <c:pt idx="83">
                  <c:v>2402.5</c:v>
                </c:pt>
                <c:pt idx="84">
                  <c:v>2735</c:v>
                </c:pt>
                <c:pt idx="85">
                  <c:v>2900</c:v>
                </c:pt>
                <c:pt idx="86">
                  <c:v>2812.5</c:v>
                </c:pt>
                <c:pt idx="87">
                  <c:v>2772.5</c:v>
                </c:pt>
                <c:pt idx="88">
                  <c:v>3215</c:v>
                </c:pt>
                <c:pt idx="89">
                  <c:v>3415</c:v>
                </c:pt>
                <c:pt idx="90">
                  <c:v>3820</c:v>
                </c:pt>
                <c:pt idx="91">
                  <c:v>3410</c:v>
                </c:pt>
                <c:pt idx="92">
                  <c:v>3250</c:v>
                </c:pt>
                <c:pt idx="93">
                  <c:v>3775</c:v>
                </c:pt>
                <c:pt idx="94">
                  <c:v>4520</c:v>
                </c:pt>
                <c:pt idx="95">
                  <c:v>4825</c:v>
                </c:pt>
                <c:pt idx="96">
                  <c:v>4825</c:v>
                </c:pt>
                <c:pt idx="97">
                  <c:v>5975</c:v>
                </c:pt>
                <c:pt idx="98">
                  <c:v>7675</c:v>
                </c:pt>
                <c:pt idx="99">
                  <c:v>8425</c:v>
                </c:pt>
                <c:pt idx="100">
                  <c:v>7700</c:v>
                </c:pt>
                <c:pt idx="101">
                  <c:v>7137.5</c:v>
                </c:pt>
                <c:pt idx="102">
                  <c:v>6412.5</c:v>
                </c:pt>
                <c:pt idx="103">
                  <c:v>6200</c:v>
                </c:pt>
                <c:pt idx="104">
                  <c:v>7412.5</c:v>
                </c:pt>
                <c:pt idx="105">
                  <c:v>8255</c:v>
                </c:pt>
                <c:pt idx="106">
                  <c:v>8662.5</c:v>
                </c:pt>
                <c:pt idx="107">
                  <c:v>8637.5</c:v>
                </c:pt>
                <c:pt idx="108">
                  <c:v>8787.5</c:v>
                </c:pt>
                <c:pt idx="109">
                  <c:v>9075</c:v>
                </c:pt>
                <c:pt idx="110">
                  <c:v>9500</c:v>
                </c:pt>
                <c:pt idx="111">
                  <c:v>10450</c:v>
                </c:pt>
                <c:pt idx="112">
                  <c:v>12275</c:v>
                </c:pt>
                <c:pt idx="113">
                  <c:v>14000</c:v>
                </c:pt>
                <c:pt idx="114">
                  <c:v>16450</c:v>
                </c:pt>
                <c:pt idx="115">
                  <c:v>17000</c:v>
                </c:pt>
                <c:pt idx="116">
                  <c:v>16025</c:v>
                </c:pt>
                <c:pt idx="117">
                  <c:v>16050</c:v>
                </c:pt>
                <c:pt idx="118">
                  <c:v>18087.5</c:v>
                </c:pt>
                <c:pt idx="119">
                  <c:v>20000</c:v>
                </c:pt>
              </c:numCache>
            </c:numRef>
          </c:val>
          <c:smooth val="0"/>
          <c:extLst>
            <c:ext xmlns:c16="http://schemas.microsoft.com/office/drawing/2014/chart" uri="{C3380CC4-5D6E-409C-BE32-E72D297353CC}">
              <c16:uniqueId val="{00000000-B42A-4825-BDDF-A6DB84EFC7B3}"/>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tickMarkSkip val="5"/>
        <c:noMultiLvlLbl val="0"/>
      </c:catAx>
      <c:valAx>
        <c:axId val="939733608"/>
        <c:scaling>
          <c:logBase val="10"/>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lineChart>
        <c:grouping val="standard"/>
        <c:varyColors val="0"/>
        <c:ser>
          <c:idx val="0"/>
          <c:order val="0"/>
          <c:tx>
            <c:strRef>
              <c:f>'1. 1940s'!$B$1</c:f>
              <c:strCache>
                <c:ptCount val="1"/>
                <c:pt idx="0">
                  <c:v>Berkshire Fine Spinning</c:v>
                </c:pt>
              </c:strCache>
            </c:strRef>
          </c:tx>
          <c:spPr>
            <a:ln w="19050" cap="rnd">
              <a:solidFill>
                <a:schemeClr val="dk1">
                  <a:tint val="88500"/>
                </a:schemeClr>
              </a:solidFill>
              <a:round/>
            </a:ln>
            <a:effectLst/>
          </c:spPr>
          <c:marker>
            <c:symbol val="none"/>
          </c:marker>
          <c:cat>
            <c:numRef>
              <c:f>'1. 1940s'!$A$2:$A$11</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1940s'!$B$2:$B$11</c:f>
              <c:numCache>
                <c:formatCode>_("$"* #,##0_);_("$"* \(#,##0\);_("$"* "-"??_);_(@_)</c:formatCode>
                <c:ptCount val="10"/>
                <c:pt idx="0">
                  <c:v>18.100000000000001</c:v>
                </c:pt>
                <c:pt idx="1">
                  <c:v>28.7</c:v>
                </c:pt>
                <c:pt idx="2">
                  <c:v>37.799999999999997</c:v>
                </c:pt>
                <c:pt idx="3">
                  <c:v>38.700000000000003</c:v>
                </c:pt>
                <c:pt idx="4">
                  <c:v>31.7</c:v>
                </c:pt>
                <c:pt idx="5">
                  <c:v>36</c:v>
                </c:pt>
                <c:pt idx="6">
                  <c:v>42.8</c:v>
                </c:pt>
                <c:pt idx="7">
                  <c:v>68.400000000000006</c:v>
                </c:pt>
                <c:pt idx="8">
                  <c:v>69.8</c:v>
                </c:pt>
                <c:pt idx="9">
                  <c:v>50.9</c:v>
                </c:pt>
              </c:numCache>
            </c:numRef>
          </c:val>
          <c:smooth val="0"/>
          <c:extLst>
            <c:ext xmlns:c16="http://schemas.microsoft.com/office/drawing/2014/chart" uri="{C3380CC4-5D6E-409C-BE32-E72D297353CC}">
              <c16:uniqueId val="{00000000-9718-4663-94BD-1BC6D00A4627}"/>
            </c:ext>
          </c:extLst>
        </c:ser>
        <c:ser>
          <c:idx val="1"/>
          <c:order val="1"/>
          <c:tx>
            <c:strRef>
              <c:f>'1. 1940s'!$C$1</c:f>
              <c:strCache>
                <c:ptCount val="1"/>
                <c:pt idx="0">
                  <c:v>Hathaway Manufacturing</c:v>
                </c:pt>
              </c:strCache>
            </c:strRef>
          </c:tx>
          <c:spPr>
            <a:ln w="19050" cap="rnd">
              <a:solidFill>
                <a:schemeClr val="dk1">
                  <a:tint val="55000"/>
                </a:schemeClr>
              </a:solidFill>
              <a:round/>
            </a:ln>
            <a:effectLst/>
          </c:spPr>
          <c:marker>
            <c:symbol val="none"/>
          </c:marker>
          <c:cat>
            <c:numRef>
              <c:f>'1. 1940s'!$A$2:$A$11</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1940s'!$C$2:$C$11</c:f>
              <c:numCache>
                <c:formatCode>_("$"* #,##0_);_("$"* \(#,##0\);_("$"* "-"??_);_(@_)</c:formatCode>
                <c:ptCount val="10"/>
                <c:pt idx="0">
                  <c:v>7.3</c:v>
                </c:pt>
                <c:pt idx="1">
                  <c:v>7.8</c:v>
                </c:pt>
                <c:pt idx="2">
                  <c:v>11.9</c:v>
                </c:pt>
                <c:pt idx="3">
                  <c:v>12.4</c:v>
                </c:pt>
                <c:pt idx="4">
                  <c:v>12</c:v>
                </c:pt>
                <c:pt idx="5">
                  <c:v>11.6</c:v>
                </c:pt>
                <c:pt idx="6">
                  <c:v>15</c:v>
                </c:pt>
                <c:pt idx="7">
                  <c:v>20.5</c:v>
                </c:pt>
                <c:pt idx="8">
                  <c:v>27.3</c:v>
                </c:pt>
                <c:pt idx="9">
                  <c:v>22.4</c:v>
                </c:pt>
              </c:numCache>
            </c:numRef>
          </c:val>
          <c:smooth val="0"/>
          <c:extLst>
            <c:ext xmlns:c16="http://schemas.microsoft.com/office/drawing/2014/chart" uri="{C3380CC4-5D6E-409C-BE32-E72D297353CC}">
              <c16:uniqueId val="{00000001-9718-4663-94BD-1BC6D00A4627}"/>
            </c:ext>
          </c:extLst>
        </c:ser>
        <c:dLbls>
          <c:showLegendKey val="0"/>
          <c:showVal val="0"/>
          <c:showCatName val="0"/>
          <c:showSerName val="0"/>
          <c:showPercent val="0"/>
          <c:showBubbleSize val="0"/>
        </c:dLbls>
        <c:smooth val="0"/>
        <c:axId val="736980856"/>
        <c:axId val="742205776"/>
      </c:lineChart>
      <c:catAx>
        <c:axId val="73698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42205776"/>
        <c:crosses val="autoZero"/>
        <c:auto val="1"/>
        <c:lblAlgn val="ctr"/>
        <c:lblOffset val="100"/>
        <c:noMultiLvlLbl val="0"/>
      </c:catAx>
      <c:valAx>
        <c:axId val="742205776"/>
        <c:scaling>
          <c:orientation val="minMax"/>
          <c:max val="7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solidFill>
                      <a:sysClr val="windowText" lastClr="000000"/>
                    </a:solidFill>
                  </a:rPr>
                  <a:t>Revenues</a:t>
                </a:r>
                <a:r>
                  <a:rPr lang="en-US" baseline="0">
                    <a:solidFill>
                      <a:sysClr val="windowText" lastClr="000000"/>
                    </a:solidFill>
                  </a:rPr>
                  <a:t> (millions)</a:t>
                </a:r>
                <a:endParaRPr 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980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numRef>
              <c:f>'6. Stock price data'!$D$123:$D$162</c:f>
              <c:numCache>
                <c:formatCode>General</c:formatCode>
                <c:ptCount val="40"/>
                <c:pt idx="0">
                  <c:v>1995</c:v>
                </c:pt>
                <c:pt idx="4">
                  <c:v>1996</c:v>
                </c:pt>
                <c:pt idx="8">
                  <c:v>1997</c:v>
                </c:pt>
                <c:pt idx="12">
                  <c:v>1998</c:v>
                </c:pt>
                <c:pt idx="16">
                  <c:v>1999</c:v>
                </c:pt>
                <c:pt idx="20">
                  <c:v>2000</c:v>
                </c:pt>
                <c:pt idx="24">
                  <c:v>2001</c:v>
                </c:pt>
                <c:pt idx="28">
                  <c:v>2002</c:v>
                </c:pt>
                <c:pt idx="32">
                  <c:v>2003</c:v>
                </c:pt>
                <c:pt idx="36">
                  <c:v>2004</c:v>
                </c:pt>
              </c:numCache>
            </c:numRef>
          </c:cat>
          <c:val>
            <c:numRef>
              <c:f>'6. Stock price data'!$U$123:$U$162</c:f>
              <c:numCache>
                <c:formatCode>_(* #,##0.00_);_(* \(#,##0.00\);_(* "-"??_);_(@_)</c:formatCode>
                <c:ptCount val="40"/>
                <c:pt idx="0">
                  <c:v>1.8838303729637245</c:v>
                </c:pt>
                <c:pt idx="1">
                  <c:v>1.9045545794869776</c:v>
                </c:pt>
                <c:pt idx="2">
                  <c:v>2.2382143045113558</c:v>
                </c:pt>
                <c:pt idx="3">
                  <c:v>2.5801637121450351</c:v>
                </c:pt>
                <c:pt idx="4">
                  <c:v>2.0475377184683561</c:v>
                </c:pt>
                <c:pt idx="5">
                  <c:v>1.9931783100134441</c:v>
                </c:pt>
                <c:pt idx="6">
                  <c:v>1.9327789672857643</c:v>
                </c:pt>
                <c:pt idx="7">
                  <c:v>2.0384778170592046</c:v>
                </c:pt>
                <c:pt idx="8">
                  <c:v>1.5928665136110201</c:v>
                </c:pt>
                <c:pt idx="9">
                  <c:v>1.8984093145293539</c:v>
                </c:pt>
                <c:pt idx="10">
                  <c:v>2.0129878648737289</c:v>
                </c:pt>
                <c:pt idx="11">
                  <c:v>2.0152345031157757</c:v>
                </c:pt>
                <c:pt idx="12">
                  <c:v>1.784564136037273</c:v>
                </c:pt>
                <c:pt idx="13">
                  <c:v>2.3205530171734678</c:v>
                </c:pt>
                <c:pt idx="14">
                  <c:v>2.0990316009813412</c:v>
                </c:pt>
                <c:pt idx="15">
                  <c:v>1.9936927457291409</c:v>
                </c:pt>
                <c:pt idx="16">
                  <c:v>1.8873953666076204</c:v>
                </c:pt>
                <c:pt idx="17">
                  <c:v>1.9388697856969193</c:v>
                </c:pt>
                <c:pt idx="18">
                  <c:v>1.6762182626515232</c:v>
                </c:pt>
                <c:pt idx="19">
                  <c:v>1.5693098537737487</c:v>
                </c:pt>
                <c:pt idx="20">
                  <c:v>1.2597547809348453</c:v>
                </c:pt>
                <c:pt idx="21">
                  <c:v>1.4357124325229109</c:v>
                </c:pt>
                <c:pt idx="22">
                  <c:v>1.4790643176967819</c:v>
                </c:pt>
                <c:pt idx="23">
                  <c:v>1.591269196970331</c:v>
                </c:pt>
                <c:pt idx="24">
                  <c:v>1.7557297324397947</c:v>
                </c:pt>
                <c:pt idx="25">
                  <c:v>1.6919314136738139</c:v>
                </c:pt>
                <c:pt idx="26">
                  <c:v>1.6574803215401841</c:v>
                </c:pt>
                <c:pt idx="27">
                  <c:v>1.8144241857044974</c:v>
                </c:pt>
                <c:pt idx="28">
                  <c:v>1.8066093108282031</c:v>
                </c:pt>
                <c:pt idx="29">
                  <c:v>1.8204193889512816</c:v>
                </c:pt>
                <c:pt idx="30">
                  <c:v>1.7011505324337839</c:v>
                </c:pt>
                <c:pt idx="31">
                  <c:v>1.7927992327051243</c:v>
                </c:pt>
                <c:pt idx="32">
                  <c:v>1.4489369002986592</c:v>
                </c:pt>
                <c:pt idx="33">
                  <c:v>1.5161754675817076</c:v>
                </c:pt>
                <c:pt idx="34">
                  <c:v>1.5974582194827476</c:v>
                </c:pt>
                <c:pt idx="35">
                  <c:v>1.7335620935798861</c:v>
                </c:pt>
                <c:pt idx="36">
                  <c:v>1.6904303469198023</c:v>
                </c:pt>
                <c:pt idx="37">
                  <c:v>1.7003076527866126</c:v>
                </c:pt>
                <c:pt idx="38">
                  <c:v>1.6382217301952342</c:v>
                </c:pt>
                <c:pt idx="39">
                  <c:v>1.6052973773058667</c:v>
                </c:pt>
              </c:numCache>
            </c:numRef>
          </c:val>
          <c:smooth val="0"/>
          <c:extLst>
            <c:ext xmlns:c16="http://schemas.microsoft.com/office/drawing/2014/chart" uri="{C3380CC4-5D6E-409C-BE32-E72D297353CC}">
              <c16:uniqueId val="{00000000-3087-4E41-A668-53BE5FD14878}"/>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6"/>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'6. Stock price data'!$G$1</c:f>
              <c:strCache>
                <c:ptCount val="1"/>
                <c:pt idx="0">
                  <c:v>Average Share Price</c:v>
                </c:pt>
              </c:strCache>
            </c:strRef>
          </c:tx>
          <c:spPr>
            <a:ln w="28575" cap="rnd">
              <a:solidFill>
                <a:schemeClr val="tx1"/>
              </a:solidFill>
              <a:round/>
            </a:ln>
            <a:effectLst/>
          </c:spPr>
          <c:marker>
            <c:symbol val="none"/>
          </c:marker>
          <c:cat>
            <c:numRef>
              <c:f>'6. Stock price data'!$D$123:$D$162</c:f>
              <c:numCache>
                <c:formatCode>General</c:formatCode>
                <c:ptCount val="40"/>
                <c:pt idx="0">
                  <c:v>1995</c:v>
                </c:pt>
                <c:pt idx="4">
                  <c:v>1996</c:v>
                </c:pt>
                <c:pt idx="8">
                  <c:v>1997</c:v>
                </c:pt>
                <c:pt idx="12">
                  <c:v>1998</c:v>
                </c:pt>
                <c:pt idx="16">
                  <c:v>1999</c:v>
                </c:pt>
                <c:pt idx="20">
                  <c:v>2000</c:v>
                </c:pt>
                <c:pt idx="24">
                  <c:v>2001</c:v>
                </c:pt>
                <c:pt idx="28">
                  <c:v>2002</c:v>
                </c:pt>
                <c:pt idx="32">
                  <c:v>2003</c:v>
                </c:pt>
                <c:pt idx="36">
                  <c:v>2004</c:v>
                </c:pt>
              </c:numCache>
            </c:numRef>
          </c:cat>
          <c:val>
            <c:numRef>
              <c:f>'6. Stock price data'!$G$123:$G$163</c:f>
              <c:numCache>
                <c:formatCode>_("$"* #,##0_);_("$"* \(#,##0\);_("$"* "-"??_);_(@_)</c:formatCode>
                <c:ptCount val="41"/>
                <c:pt idx="0">
                  <c:v>22725</c:v>
                </c:pt>
                <c:pt idx="1">
                  <c:v>22975</c:v>
                </c:pt>
                <c:pt idx="2">
                  <c:v>27000</c:v>
                </c:pt>
                <c:pt idx="3">
                  <c:v>31125</c:v>
                </c:pt>
                <c:pt idx="4">
                  <c:v>33900</c:v>
                </c:pt>
                <c:pt idx="5">
                  <c:v>33000</c:v>
                </c:pt>
                <c:pt idx="6">
                  <c:v>32000</c:v>
                </c:pt>
                <c:pt idx="7">
                  <c:v>33750</c:v>
                </c:pt>
                <c:pt idx="8">
                  <c:v>35450</c:v>
                </c:pt>
                <c:pt idx="9">
                  <c:v>42250</c:v>
                </c:pt>
                <c:pt idx="10">
                  <c:v>44800</c:v>
                </c:pt>
                <c:pt idx="11">
                  <c:v>44850</c:v>
                </c:pt>
                <c:pt idx="12">
                  <c:v>57600</c:v>
                </c:pt>
                <c:pt idx="13">
                  <c:v>74900</c:v>
                </c:pt>
                <c:pt idx="14">
                  <c:v>67750</c:v>
                </c:pt>
                <c:pt idx="15">
                  <c:v>64350</c:v>
                </c:pt>
                <c:pt idx="16">
                  <c:v>71500</c:v>
                </c:pt>
                <c:pt idx="17">
                  <c:v>73450</c:v>
                </c:pt>
                <c:pt idx="18">
                  <c:v>63500</c:v>
                </c:pt>
                <c:pt idx="19">
                  <c:v>59450</c:v>
                </c:pt>
                <c:pt idx="20">
                  <c:v>49400</c:v>
                </c:pt>
                <c:pt idx="21">
                  <c:v>56300</c:v>
                </c:pt>
                <c:pt idx="22">
                  <c:v>58000</c:v>
                </c:pt>
                <c:pt idx="23">
                  <c:v>62400</c:v>
                </c:pt>
                <c:pt idx="24">
                  <c:v>68800</c:v>
                </c:pt>
                <c:pt idx="25">
                  <c:v>66300</c:v>
                </c:pt>
                <c:pt idx="26">
                  <c:v>64950</c:v>
                </c:pt>
                <c:pt idx="27">
                  <c:v>71100</c:v>
                </c:pt>
                <c:pt idx="28">
                  <c:v>71950</c:v>
                </c:pt>
                <c:pt idx="29">
                  <c:v>72500</c:v>
                </c:pt>
                <c:pt idx="30">
                  <c:v>67750</c:v>
                </c:pt>
                <c:pt idx="31">
                  <c:v>71400</c:v>
                </c:pt>
                <c:pt idx="32">
                  <c:v>66802.5</c:v>
                </c:pt>
                <c:pt idx="33">
                  <c:v>69902.5</c:v>
                </c:pt>
                <c:pt idx="34">
                  <c:v>73650</c:v>
                </c:pt>
                <c:pt idx="35">
                  <c:v>79925</c:v>
                </c:pt>
                <c:pt idx="36">
                  <c:v>89850</c:v>
                </c:pt>
                <c:pt idx="37">
                  <c:v>90375</c:v>
                </c:pt>
                <c:pt idx="38">
                  <c:v>87075</c:v>
                </c:pt>
                <c:pt idx="39">
                  <c:v>85325</c:v>
                </c:pt>
              </c:numCache>
            </c:numRef>
          </c:val>
          <c:smooth val="0"/>
          <c:extLst>
            <c:ext xmlns:c16="http://schemas.microsoft.com/office/drawing/2014/chart" uri="{C3380CC4-5D6E-409C-BE32-E72D297353CC}">
              <c16:uniqueId val="{00000000-F15A-459F-9B17-A3E7B3C0143F}"/>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'7. 2005'!$H$11</c:f>
              <c:strCache>
                <c:ptCount val="1"/>
                <c:pt idx="0">
                  <c:v>Per-share investments</c:v>
                </c:pt>
              </c:strCache>
            </c:strRef>
          </c:tx>
          <c:spPr>
            <a:solidFill>
              <a:schemeClr val="tx1">
                <a:lumMod val="65000"/>
                <a:lumOff val="35000"/>
              </a:schemeClr>
            </a:solidFill>
            <a:ln>
              <a:noFill/>
            </a:ln>
            <a:effectLst/>
          </c:spPr>
          <c:invertIfNegative val="0"/>
          <c:cat>
            <c:strRef>
              <c:f>'7. 2005'!$G$12:$G$13</c:f>
              <c:strCache>
                <c:ptCount val="2"/>
                <c:pt idx="0">
                  <c:v>1965-2005</c:v>
                </c:pt>
                <c:pt idx="1">
                  <c:v>1995-2005</c:v>
                </c:pt>
              </c:strCache>
            </c:strRef>
          </c:cat>
          <c:val>
            <c:numRef>
              <c:f>'7. 2005'!$H$12:$H$13</c:f>
              <c:numCache>
                <c:formatCode>0.0%</c:formatCode>
                <c:ptCount val="2"/>
                <c:pt idx="0">
                  <c:v>0.28000000000000003</c:v>
                </c:pt>
                <c:pt idx="1">
                  <c:v>0.13</c:v>
                </c:pt>
              </c:numCache>
            </c:numRef>
          </c:val>
          <c:extLst>
            <c:ext xmlns:c16="http://schemas.microsoft.com/office/drawing/2014/chart" uri="{C3380CC4-5D6E-409C-BE32-E72D297353CC}">
              <c16:uniqueId val="{00000000-8EAA-4AF5-ACBD-6357926CA573}"/>
            </c:ext>
          </c:extLst>
        </c:ser>
        <c:ser>
          <c:idx val="1"/>
          <c:order val="1"/>
          <c:tx>
            <c:strRef>
              <c:f>'7. 2005'!$I$11</c:f>
              <c:strCache>
                <c:ptCount val="1"/>
                <c:pt idx="0">
                  <c:v>Per-share earnings</c:v>
                </c:pt>
              </c:strCache>
            </c:strRef>
          </c:tx>
          <c:spPr>
            <a:solidFill>
              <a:schemeClr val="accent3">
                <a:tint val="77000"/>
              </a:schemeClr>
            </a:solidFill>
            <a:ln>
              <a:noFill/>
            </a:ln>
            <a:effectLst/>
          </c:spPr>
          <c:invertIfNegative val="0"/>
          <c:cat>
            <c:strRef>
              <c:f>'7. 2005'!$G$12:$G$13</c:f>
              <c:strCache>
                <c:ptCount val="2"/>
                <c:pt idx="0">
                  <c:v>1965-2005</c:v>
                </c:pt>
                <c:pt idx="1">
                  <c:v>1995-2005</c:v>
                </c:pt>
              </c:strCache>
            </c:strRef>
          </c:cat>
          <c:val>
            <c:numRef>
              <c:f>'7. 2005'!$I$12:$I$13</c:f>
              <c:numCache>
                <c:formatCode>0.0%</c:formatCode>
                <c:ptCount val="2"/>
                <c:pt idx="0">
                  <c:v>0.17199999999999999</c:v>
                </c:pt>
                <c:pt idx="1">
                  <c:v>0.30199999999999999</c:v>
                </c:pt>
              </c:numCache>
            </c:numRef>
          </c:val>
          <c:extLst>
            <c:ext xmlns:c16="http://schemas.microsoft.com/office/drawing/2014/chart" uri="{C3380CC4-5D6E-409C-BE32-E72D297353CC}">
              <c16:uniqueId val="{00000001-8EAA-4AF5-ACBD-6357926CA573}"/>
            </c:ext>
          </c:extLst>
        </c:ser>
        <c:dLbls>
          <c:showLegendKey val="0"/>
          <c:showVal val="0"/>
          <c:showCatName val="0"/>
          <c:showSerName val="0"/>
          <c:showPercent val="0"/>
          <c:showBubbleSize val="0"/>
        </c:dLbls>
        <c:gapWidth val="219"/>
        <c:overlap val="-27"/>
        <c:axId val="609686240"/>
        <c:axId val="609681648"/>
      </c:barChart>
      <c:catAx>
        <c:axId val="60968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9681648"/>
        <c:crosses val="autoZero"/>
        <c:auto val="1"/>
        <c:lblAlgn val="ctr"/>
        <c:lblOffset val="100"/>
        <c:noMultiLvlLbl val="0"/>
      </c:catAx>
      <c:valAx>
        <c:axId val="609681648"/>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solidFill>
            <a:sysClr val="window" lastClr="FFFFFF"/>
          </a:solid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09686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0590277777777778"/>
          <c:y val="2.3809523809523808E-2"/>
          <c:w val="0.56944444444444442"/>
          <c:h val="0.97619047619047616"/>
        </c:manualLayout>
      </c:layout>
      <c:pieChart>
        <c:varyColors val="1"/>
        <c:ser>
          <c:idx val="0"/>
          <c:order val="0"/>
          <c:dPt>
            <c:idx val="0"/>
            <c:bubble3D val="0"/>
            <c:spPr>
              <a:solidFill>
                <a:schemeClr val="accent3">
                  <a:shade val="53000"/>
                </a:schemeClr>
              </a:solidFill>
              <a:ln w="19050">
                <a:solidFill>
                  <a:schemeClr val="lt1"/>
                </a:solidFill>
              </a:ln>
              <a:effectLst/>
            </c:spPr>
            <c:extLst>
              <c:ext xmlns:c16="http://schemas.microsoft.com/office/drawing/2014/chart" uri="{C3380CC4-5D6E-409C-BE32-E72D297353CC}">
                <c16:uniqueId val="{00000001-9578-42BB-8E9F-E8BC970C9F9C}"/>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9578-42BB-8E9F-E8BC970C9F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78-42BB-8E9F-E8BC970C9F9C}"/>
              </c:ext>
            </c:extLst>
          </c:dPt>
          <c:dPt>
            <c:idx val="3"/>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7-9578-42BB-8E9F-E8BC970C9F9C}"/>
              </c:ext>
            </c:extLst>
          </c:dPt>
          <c:dPt>
            <c:idx val="4"/>
            <c:bubble3D val="0"/>
            <c:spPr>
              <a:solidFill>
                <a:schemeClr val="accent3">
                  <a:tint val="54000"/>
                </a:schemeClr>
              </a:solidFill>
              <a:ln w="19050">
                <a:solidFill>
                  <a:schemeClr val="lt1"/>
                </a:solidFill>
              </a:ln>
              <a:effectLst/>
            </c:spPr>
            <c:extLst>
              <c:ext xmlns:c16="http://schemas.microsoft.com/office/drawing/2014/chart" uri="{C3380CC4-5D6E-409C-BE32-E72D297353CC}">
                <c16:uniqueId val="{00000009-9578-42BB-8E9F-E8BC970C9F9C}"/>
              </c:ext>
            </c:extLst>
          </c:dPt>
          <c:dLbls>
            <c:dLbl>
              <c:idx val="2"/>
              <c:layout>
                <c:manualLayout>
                  <c:x val="-1.2751348789734617E-2"/>
                  <c:y val="5.9386326709161353E-3"/>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9979749927092447"/>
                      <c:h val="0.12142857142857143"/>
                    </c:manualLayout>
                  </c15:layout>
                </c:ext>
                <c:ext xmlns:c16="http://schemas.microsoft.com/office/drawing/2014/chart" uri="{C3380CC4-5D6E-409C-BE32-E72D297353CC}">
                  <c16:uniqueId val="{00000005-9578-42BB-8E9F-E8BC970C9F9C}"/>
                </c:ext>
              </c:extLst>
            </c:dLbl>
            <c:dLbl>
              <c:idx val="3"/>
              <c:layout>
                <c:manualLayout>
                  <c:x val="-9.2592592592594287E-3"/>
                  <c:y val="2.380952380952373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0550925925925926"/>
                      <c:h val="0.12142857142857143"/>
                    </c:manualLayout>
                  </c15:layout>
                </c:ext>
                <c:ext xmlns:c16="http://schemas.microsoft.com/office/drawing/2014/chart" uri="{C3380CC4-5D6E-409C-BE32-E72D297353CC}">
                  <c16:uniqueId val="{00000007-9578-42BB-8E9F-E8BC970C9F9C}"/>
                </c:ext>
              </c:extLst>
            </c:dLbl>
            <c:dLbl>
              <c:idx val="4"/>
              <c:dLblPos val="bestFit"/>
              <c:showLegendKey val="0"/>
              <c:showVal val="1"/>
              <c:showCatName val="1"/>
              <c:showSerName val="0"/>
              <c:showPercent val="0"/>
              <c:showBubbleSize val="0"/>
              <c:extLst>
                <c:ext xmlns:c15="http://schemas.microsoft.com/office/drawing/2012/chart" uri="{CE6537A1-D6FC-4f65-9D91-7224C49458BB}">
                  <c15:layout>
                    <c:manualLayout>
                      <c:w val="0.23148148148148148"/>
                      <c:h val="6.5476190476190479E-2"/>
                    </c:manualLayout>
                  </c15:layout>
                </c:ext>
                <c:ext xmlns:c16="http://schemas.microsoft.com/office/drawing/2014/chart" uri="{C3380CC4-5D6E-409C-BE32-E72D297353CC}">
                  <c16:uniqueId val="{00000009-9578-42BB-8E9F-E8BC970C9F9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2009'!$A$5:$A$9</c:f>
              <c:strCache>
                <c:ptCount val="5"/>
                <c:pt idx="0">
                  <c:v>Coca-Cola</c:v>
                </c:pt>
                <c:pt idx="1">
                  <c:v>Wells Fargo</c:v>
                </c:pt>
                <c:pt idx="2">
                  <c:v>American Express</c:v>
                </c:pt>
                <c:pt idx="3">
                  <c:v>Proctor &amp; Gamble</c:v>
                </c:pt>
                <c:pt idx="4">
                  <c:v>All others</c:v>
                </c:pt>
              </c:strCache>
            </c:strRef>
          </c:cat>
          <c:val>
            <c:numRef>
              <c:f>'7. 2009'!$B$5:$B$9</c:f>
              <c:numCache>
                <c:formatCode>0%</c:formatCode>
                <c:ptCount val="5"/>
                <c:pt idx="0">
                  <c:v>0.19</c:v>
                </c:pt>
                <c:pt idx="1">
                  <c:v>0.15</c:v>
                </c:pt>
                <c:pt idx="2">
                  <c:v>0.1</c:v>
                </c:pt>
                <c:pt idx="3" formatCode="0.0%">
                  <c:v>8.5000000000000006E-2</c:v>
                </c:pt>
                <c:pt idx="4" formatCode="0.0%">
                  <c:v>0.47500000000000009</c:v>
                </c:pt>
              </c:numCache>
            </c:numRef>
          </c:val>
          <c:extLst>
            <c:ext xmlns:c16="http://schemas.microsoft.com/office/drawing/2014/chart" uri="{C3380CC4-5D6E-409C-BE32-E72D297353CC}">
              <c16:uniqueId val="{0000000A-9578-42BB-8E9F-E8BC970C9F9C}"/>
            </c:ext>
          </c:extLst>
        </c:ser>
        <c:dLbls>
          <c:dLblPos val="bestFit"/>
          <c:showLegendKey val="0"/>
          <c:showVal val="1"/>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3148148148148148"/>
          <c:y val="1.984126984126984E-2"/>
          <c:w val="0.53009259259259256"/>
          <c:h val="0.90873015873015872"/>
        </c:manualLayout>
      </c:layout>
      <c:pieChart>
        <c:varyColors val="1"/>
        <c:ser>
          <c:idx val="0"/>
          <c:order val="0"/>
          <c:dPt>
            <c:idx val="0"/>
            <c:bubble3D val="0"/>
            <c:spPr>
              <a:solidFill>
                <a:schemeClr val="accent3">
                  <a:shade val="58000"/>
                </a:schemeClr>
              </a:solidFill>
              <a:ln w="19050">
                <a:solidFill>
                  <a:schemeClr val="lt1"/>
                </a:solidFill>
              </a:ln>
              <a:effectLst/>
            </c:spPr>
            <c:extLst>
              <c:ext xmlns:c16="http://schemas.microsoft.com/office/drawing/2014/chart" uri="{C3380CC4-5D6E-409C-BE32-E72D297353CC}">
                <c16:uniqueId val="{00000001-FB16-4490-A1EE-6D83D624579D}"/>
              </c:ext>
            </c:extLst>
          </c:dPt>
          <c:dPt>
            <c:idx val="1"/>
            <c:bubble3D val="0"/>
            <c:spPr>
              <a:solidFill>
                <a:schemeClr val="accent3">
                  <a:shade val="86000"/>
                </a:schemeClr>
              </a:solidFill>
              <a:ln w="19050">
                <a:solidFill>
                  <a:schemeClr val="lt1"/>
                </a:solidFill>
              </a:ln>
              <a:effectLst/>
            </c:spPr>
            <c:extLst>
              <c:ext xmlns:c16="http://schemas.microsoft.com/office/drawing/2014/chart" uri="{C3380CC4-5D6E-409C-BE32-E72D297353CC}">
                <c16:uniqueId val="{00000003-FB16-4490-A1EE-6D83D624579D}"/>
              </c:ext>
            </c:extLst>
          </c:dPt>
          <c:dPt>
            <c:idx val="2"/>
            <c:bubble3D val="0"/>
            <c:spPr>
              <a:solidFill>
                <a:schemeClr val="accent3">
                  <a:tint val="86000"/>
                </a:schemeClr>
              </a:solidFill>
              <a:ln w="19050">
                <a:solidFill>
                  <a:schemeClr val="lt1"/>
                </a:solidFill>
              </a:ln>
              <a:effectLst/>
            </c:spPr>
            <c:extLst>
              <c:ext xmlns:c16="http://schemas.microsoft.com/office/drawing/2014/chart" uri="{C3380CC4-5D6E-409C-BE32-E72D297353CC}">
                <c16:uniqueId val="{00000005-FB16-4490-A1EE-6D83D624579D}"/>
              </c:ext>
            </c:extLst>
          </c:dPt>
          <c:dPt>
            <c:idx val="3"/>
            <c:bubble3D val="0"/>
            <c:spPr>
              <a:solidFill>
                <a:schemeClr val="accent3">
                  <a:tint val="58000"/>
                </a:schemeClr>
              </a:solidFill>
              <a:ln w="19050">
                <a:solidFill>
                  <a:schemeClr val="lt1"/>
                </a:solidFill>
              </a:ln>
              <a:effectLst/>
            </c:spPr>
            <c:extLst>
              <c:ext xmlns:c16="http://schemas.microsoft.com/office/drawing/2014/chart" uri="{C3380CC4-5D6E-409C-BE32-E72D297353CC}">
                <c16:uniqueId val="{00000007-FB16-4490-A1EE-6D83D624579D}"/>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2010'!$G$36:$G$39</c:f>
              <c:strCache>
                <c:ptCount val="4"/>
                <c:pt idx="0">
                  <c:v>Consumer products</c:v>
                </c:pt>
                <c:pt idx="1">
                  <c:v>Coal</c:v>
                </c:pt>
                <c:pt idx="2">
                  <c:v>Industrial products</c:v>
                </c:pt>
                <c:pt idx="3">
                  <c:v>Agricultural products</c:v>
                </c:pt>
              </c:strCache>
            </c:strRef>
          </c:cat>
          <c:val>
            <c:numRef>
              <c:f>'7. 2010'!$H$36:$H$39</c:f>
              <c:numCache>
                <c:formatCode>0%</c:formatCode>
                <c:ptCount val="4"/>
                <c:pt idx="0">
                  <c:v>0.32</c:v>
                </c:pt>
                <c:pt idx="1">
                  <c:v>0.26</c:v>
                </c:pt>
                <c:pt idx="2">
                  <c:v>0.21</c:v>
                </c:pt>
                <c:pt idx="3">
                  <c:v>0.21</c:v>
                </c:pt>
              </c:numCache>
            </c:numRef>
          </c:val>
          <c:extLst>
            <c:ext xmlns:c16="http://schemas.microsoft.com/office/drawing/2014/chart" uri="{C3380CC4-5D6E-409C-BE32-E72D297353CC}">
              <c16:uniqueId val="{00000008-FB16-4490-A1EE-6D83D624579D}"/>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pieChart>
        <c:varyColors val="1"/>
        <c:ser>
          <c:idx val="0"/>
          <c:order val="0"/>
          <c:dPt>
            <c:idx val="0"/>
            <c:bubble3D val="0"/>
            <c:spPr>
              <a:solidFill>
                <a:schemeClr val="accent3">
                  <a:shade val="58000"/>
                </a:schemeClr>
              </a:solidFill>
              <a:ln w="19050">
                <a:solidFill>
                  <a:schemeClr val="lt1"/>
                </a:solidFill>
              </a:ln>
              <a:effectLst/>
            </c:spPr>
            <c:extLst>
              <c:ext xmlns:c16="http://schemas.microsoft.com/office/drawing/2014/chart" uri="{C3380CC4-5D6E-409C-BE32-E72D297353CC}">
                <c16:uniqueId val="{00000001-58ED-4EAF-9BD0-A2ABF1285B8C}"/>
              </c:ext>
            </c:extLst>
          </c:dPt>
          <c:dPt>
            <c:idx val="1"/>
            <c:bubble3D val="0"/>
            <c:spPr>
              <a:solidFill>
                <a:schemeClr val="accent3">
                  <a:shade val="86000"/>
                </a:schemeClr>
              </a:solidFill>
              <a:ln w="19050">
                <a:solidFill>
                  <a:schemeClr val="lt1"/>
                </a:solidFill>
              </a:ln>
              <a:effectLst/>
            </c:spPr>
            <c:extLst>
              <c:ext xmlns:c16="http://schemas.microsoft.com/office/drawing/2014/chart" uri="{C3380CC4-5D6E-409C-BE32-E72D297353CC}">
                <c16:uniqueId val="{00000003-58ED-4EAF-9BD0-A2ABF1285B8C}"/>
              </c:ext>
            </c:extLst>
          </c:dPt>
          <c:dPt>
            <c:idx val="2"/>
            <c:bubble3D val="0"/>
            <c:spPr>
              <a:solidFill>
                <a:schemeClr val="accent3">
                  <a:tint val="86000"/>
                </a:schemeClr>
              </a:solidFill>
              <a:ln w="19050">
                <a:solidFill>
                  <a:schemeClr val="lt1"/>
                </a:solidFill>
              </a:ln>
              <a:effectLst/>
            </c:spPr>
            <c:extLst>
              <c:ext xmlns:c16="http://schemas.microsoft.com/office/drawing/2014/chart" uri="{C3380CC4-5D6E-409C-BE32-E72D297353CC}">
                <c16:uniqueId val="{00000005-58ED-4EAF-9BD0-A2ABF1285B8C}"/>
              </c:ext>
            </c:extLst>
          </c:dPt>
          <c:dPt>
            <c:idx val="3"/>
            <c:bubble3D val="0"/>
            <c:spPr>
              <a:solidFill>
                <a:schemeClr val="accent3">
                  <a:tint val="58000"/>
                </a:schemeClr>
              </a:solidFill>
              <a:ln w="19050">
                <a:solidFill>
                  <a:schemeClr val="lt1"/>
                </a:solidFill>
              </a:ln>
              <a:effectLst/>
            </c:spPr>
            <c:extLst>
              <c:ext xmlns:c16="http://schemas.microsoft.com/office/drawing/2014/chart" uri="{C3380CC4-5D6E-409C-BE32-E72D297353CC}">
                <c16:uniqueId val="{00000007-58ED-4EAF-9BD0-A2ABF1285B8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2013 Heinz pie chart'!$A$2:$A$5</c:f>
              <c:strCache>
                <c:ptCount val="4"/>
                <c:pt idx="0">
                  <c:v>Ketchup and sauces: $5.4</c:v>
                </c:pt>
                <c:pt idx="1">
                  <c:v>Meals and snacks: $4.2</c:v>
                </c:pt>
                <c:pt idx="2">
                  <c:v>Infant/nutrition: $1.2</c:v>
                </c:pt>
                <c:pt idx="3">
                  <c:v>Other: $0.7</c:v>
                </c:pt>
              </c:strCache>
            </c:strRef>
          </c:cat>
          <c:val>
            <c:numRef>
              <c:f>'7. 2013 Heinz pie chart'!$B$2:$B$5</c:f>
              <c:numCache>
                <c:formatCode>_("$"* #,##0_);_("$"* \(#,##0\);_("$"* "-"??_);_(@_)</c:formatCode>
                <c:ptCount val="4"/>
                <c:pt idx="0">
                  <c:v>5376</c:v>
                </c:pt>
                <c:pt idx="1">
                  <c:v>4241</c:v>
                </c:pt>
                <c:pt idx="2">
                  <c:v>1189</c:v>
                </c:pt>
                <c:pt idx="3">
                  <c:v>723</c:v>
                </c:pt>
              </c:numCache>
            </c:numRef>
          </c:val>
          <c:extLst>
            <c:ext xmlns:c16="http://schemas.microsoft.com/office/drawing/2014/chart" uri="{C3380CC4-5D6E-409C-BE32-E72D297353CC}">
              <c16:uniqueId val="{00000008-58ED-4EAF-9BD0-A2ABF1285B8C}"/>
            </c:ext>
          </c:extLst>
        </c:ser>
        <c:dLbls>
          <c:showLegendKey val="0"/>
          <c:showVal val="1"/>
          <c:showCatName val="0"/>
          <c:showSerName val="0"/>
          <c:showPercent val="0"/>
          <c:showBubbleSize val="0"/>
          <c:showLeaderLines val="1"/>
        </c:dLbls>
        <c:firstSliceAng val="0"/>
      </c:pieChart>
      <c:spPr>
        <a:noFill/>
        <a:ln>
          <a:noFill/>
        </a:ln>
        <a:effectLst/>
      </c:spPr>
    </c:plotArea>
    <c:legend>
      <c:legendPos val="l"/>
      <c:layout>
        <c:manualLayout>
          <c:xMode val="edge"/>
          <c:yMode val="edge"/>
          <c:x val="1.3888888888888888E-2"/>
          <c:y val="0.24353830771153606"/>
          <c:w val="0.40566291192767573"/>
          <c:h val="0.5129233845769278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strRef>
              <c:f>'7. 2013 Float shrink'!$B$6</c:f>
              <c:strCache>
                <c:ptCount val="1"/>
                <c:pt idx="0">
                  <c:v>Beginning Float</c:v>
                </c:pt>
              </c:strCache>
            </c:strRef>
          </c:tx>
          <c:spPr>
            <a:solidFill>
              <a:schemeClr val="bg1">
                <a:lumMod val="50000"/>
              </a:schemeClr>
            </a:solidFill>
            <a:ln>
              <a:noFill/>
            </a:ln>
            <a:effectLst/>
          </c:spPr>
          <c:invertIfNegative val="0"/>
          <c:val>
            <c:numRef>
              <c:f>'7. 2013 Float shrink'!$B$7:$B$21</c:f>
              <c:numCache>
                <c:formatCode>#,##0</c:formatCode>
                <c:ptCount val="15"/>
                <c:pt idx="0">
                  <c:v>77000</c:v>
                </c:pt>
                <c:pt idx="1">
                  <c:v>74690</c:v>
                </c:pt>
                <c:pt idx="2">
                  <c:v>72449.3</c:v>
                </c:pt>
                <c:pt idx="3">
                  <c:v>70275.820999999996</c:v>
                </c:pt>
                <c:pt idx="4">
                  <c:v>68167.546369999996</c:v>
                </c:pt>
                <c:pt idx="5">
                  <c:v>66122.519978900003</c:v>
                </c:pt>
                <c:pt idx="6">
                  <c:v>64138.844379533002</c:v>
                </c:pt>
                <c:pt idx="7">
                  <c:v>62214.679048147009</c:v>
                </c:pt>
                <c:pt idx="8">
                  <c:v>60348.238676702596</c:v>
                </c:pt>
                <c:pt idx="9">
                  <c:v>58537.791516401521</c:v>
                </c:pt>
                <c:pt idx="10">
                  <c:v>56781.657770909478</c:v>
                </c:pt>
                <c:pt idx="11">
                  <c:v>55078.208037782191</c:v>
                </c:pt>
                <c:pt idx="12">
                  <c:v>53425.861796648729</c:v>
                </c:pt>
                <c:pt idx="13">
                  <c:v>51823.085942749269</c:v>
                </c:pt>
                <c:pt idx="14">
                  <c:v>50268.393364466792</c:v>
                </c:pt>
              </c:numCache>
            </c:numRef>
          </c:val>
          <c:extLst>
            <c:ext xmlns:c16="http://schemas.microsoft.com/office/drawing/2014/chart" uri="{C3380CC4-5D6E-409C-BE32-E72D297353CC}">
              <c16:uniqueId val="{00000000-E1B3-4D40-8549-943962C03A72}"/>
            </c:ext>
          </c:extLst>
        </c:ser>
        <c:ser>
          <c:idx val="1"/>
          <c:order val="1"/>
          <c:tx>
            <c:strRef>
              <c:f>'7. 2013 Float shrink'!$I$6</c:f>
              <c:strCache>
                <c:ptCount val="1"/>
                <c:pt idx="0">
                  <c:v>Cumulative underwriting gain</c:v>
                </c:pt>
              </c:strCache>
            </c:strRef>
          </c:tx>
          <c:spPr>
            <a:solidFill>
              <a:schemeClr val="bg2">
                <a:lumMod val="75000"/>
              </a:schemeClr>
            </a:solidFill>
            <a:ln>
              <a:noFill/>
            </a:ln>
            <a:effectLst/>
          </c:spPr>
          <c:invertIfNegative val="0"/>
          <c:val>
            <c:numRef>
              <c:f>'7. 2013 Float shrink'!$I$7:$I$21</c:f>
              <c:numCache>
                <c:formatCode>_(* #,##0.00_);_(* \(#,##0.00\);_(* "-"??_);_(@_)</c:formatCode>
                <c:ptCount val="15"/>
                <c:pt idx="0">
                  <c:v>2310</c:v>
                </c:pt>
                <c:pt idx="1">
                  <c:v>4550.7</c:v>
                </c:pt>
                <c:pt idx="2">
                  <c:v>6724.1790000000001</c:v>
                </c:pt>
                <c:pt idx="3">
                  <c:v>8832.45363</c:v>
                </c:pt>
                <c:pt idx="4">
                  <c:v>10877.4800211</c:v>
                </c:pt>
                <c:pt idx="5">
                  <c:v>12861.155620467</c:v>
                </c:pt>
                <c:pt idx="6">
                  <c:v>14785.320951852989</c:v>
                </c:pt>
                <c:pt idx="7">
                  <c:v>16651.7613232974</c:v>
                </c:pt>
                <c:pt idx="8">
                  <c:v>18462.208483598479</c:v>
                </c:pt>
                <c:pt idx="9">
                  <c:v>20218.342229090526</c:v>
                </c:pt>
                <c:pt idx="10">
                  <c:v>21921.791962217809</c:v>
                </c:pt>
                <c:pt idx="11">
                  <c:v>23574.138203351275</c:v>
                </c:pt>
                <c:pt idx="12">
                  <c:v>25176.914057250735</c:v>
                </c:pt>
                <c:pt idx="13">
                  <c:v>26731.606635533211</c:v>
                </c:pt>
                <c:pt idx="14">
                  <c:v>28239.658436467216</c:v>
                </c:pt>
              </c:numCache>
            </c:numRef>
          </c:val>
          <c:extLst>
            <c:ext xmlns:c16="http://schemas.microsoft.com/office/drawing/2014/chart" uri="{C3380CC4-5D6E-409C-BE32-E72D297353CC}">
              <c16:uniqueId val="{00000001-E1B3-4D40-8549-943962C03A72}"/>
            </c:ext>
          </c:extLst>
        </c:ser>
        <c:dLbls>
          <c:showLegendKey val="0"/>
          <c:showVal val="0"/>
          <c:showCatName val="0"/>
          <c:showSerName val="0"/>
          <c:showPercent val="0"/>
          <c:showBubbleSize val="0"/>
        </c:dLbls>
        <c:gapWidth val="150"/>
        <c:overlap val="100"/>
        <c:axId val="867883160"/>
        <c:axId val="867884144"/>
      </c:barChart>
      <c:catAx>
        <c:axId val="867883160"/>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67884144"/>
        <c:crosses val="autoZero"/>
        <c:auto val="1"/>
        <c:lblAlgn val="ctr"/>
        <c:lblOffset val="100"/>
        <c:noMultiLvlLbl val="0"/>
      </c:catAx>
      <c:valAx>
        <c:axId val="867884144"/>
        <c:scaling>
          <c:orientation val="minMax"/>
          <c:max val="9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Float ($ billions)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67883160"/>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numRef>
              <c:f>'7. Stock price data'!$D$163:$D$202</c:f>
              <c:numCache>
                <c:formatCode>General</c:formatCode>
                <c:ptCount val="40"/>
                <c:pt idx="0">
                  <c:v>2005</c:v>
                </c:pt>
                <c:pt idx="4">
                  <c:v>2006</c:v>
                </c:pt>
                <c:pt idx="8">
                  <c:v>2007</c:v>
                </c:pt>
                <c:pt idx="12">
                  <c:v>2008</c:v>
                </c:pt>
                <c:pt idx="16">
                  <c:v>2009</c:v>
                </c:pt>
                <c:pt idx="20">
                  <c:v>2010</c:v>
                </c:pt>
                <c:pt idx="24">
                  <c:v>2011</c:v>
                </c:pt>
                <c:pt idx="28">
                  <c:v>2012</c:v>
                </c:pt>
                <c:pt idx="32">
                  <c:v>2013</c:v>
                </c:pt>
                <c:pt idx="36">
                  <c:v>2014</c:v>
                </c:pt>
              </c:numCache>
            </c:numRef>
          </c:cat>
          <c:val>
            <c:numRef>
              <c:f>'7. Stock price data'!$U$163:$U$202</c:f>
              <c:numCache>
                <c:formatCode>_(* #,##0.00_);_(* \(#,##0.00\);_(* "-"??_);_(@_)</c:formatCode>
                <c:ptCount val="40"/>
                <c:pt idx="0">
                  <c:v>1.5323253506516936</c:v>
                </c:pt>
                <c:pt idx="1">
                  <c:v>1.4837076624723764</c:v>
                </c:pt>
                <c:pt idx="2">
                  <c:v>1.4520193478554999</c:v>
                </c:pt>
                <c:pt idx="3">
                  <c:v>1.5045438145492267</c:v>
                </c:pt>
                <c:pt idx="4">
                  <c:v>1.3641751249355938</c:v>
                </c:pt>
                <c:pt idx="5">
                  <c:v>1.3769027978569606</c:v>
                </c:pt>
                <c:pt idx="6">
                  <c:v>1.4386127271726787</c:v>
                </c:pt>
                <c:pt idx="7">
                  <c:v>1.6175715221882614</c:v>
                </c:pt>
                <c:pt idx="8">
                  <c:v>1.4466805875576036</c:v>
                </c:pt>
                <c:pt idx="9">
                  <c:v>1.4681953245007682</c:v>
                </c:pt>
                <c:pt idx="10">
                  <c:v>1.5471726190476192</c:v>
                </c:pt>
                <c:pt idx="11">
                  <c:v>1.8207267665130566</c:v>
                </c:pt>
                <c:pt idx="12">
                  <c:v>1.8312695652173914</c:v>
                </c:pt>
                <c:pt idx="13">
                  <c:v>1.7164785869565216</c:v>
                </c:pt>
                <c:pt idx="14">
                  <c:v>1.7370130434782609</c:v>
                </c:pt>
                <c:pt idx="15">
                  <c:v>1.2781857608695653</c:v>
                </c:pt>
                <c:pt idx="16">
                  <c:v>1.1136786565655306</c:v>
                </c:pt>
                <c:pt idx="17">
                  <c:v>1.1575872034247345</c:v>
                </c:pt>
                <c:pt idx="18">
                  <c:v>1.2452688366636298</c:v>
                </c:pt>
                <c:pt idx="19">
                  <c:v>1.3149342261273294</c:v>
                </c:pt>
                <c:pt idx="20">
                  <c:v>1.2340725331114348</c:v>
                </c:pt>
                <c:pt idx="21">
                  <c:v>1.2518355176478746</c:v>
                </c:pt>
                <c:pt idx="22">
                  <c:v>1.3444393592677346</c:v>
                </c:pt>
                <c:pt idx="23">
                  <c:v>1.3578475833853407</c:v>
                </c:pt>
                <c:pt idx="24">
                  <c:v>1.2813054757145341</c:v>
                </c:pt>
                <c:pt idx="25">
                  <c:v>1.2084478827816543</c:v>
                </c:pt>
                <c:pt idx="26">
                  <c:v>1.1069541326264556</c:v>
                </c:pt>
                <c:pt idx="27">
                  <c:v>1.1543346080305927</c:v>
                </c:pt>
                <c:pt idx="28">
                  <c:v>1.1093772457637936</c:v>
                </c:pt>
                <c:pt idx="29">
                  <c:v>1.1330568685690943</c:v>
                </c:pt>
                <c:pt idx="30">
                  <c:v>1.20603010238385</c:v>
                </c:pt>
                <c:pt idx="31">
                  <c:v>1.2255419620592516</c:v>
                </c:pt>
                <c:pt idx="32">
                  <c:v>1.177771371084908</c:v>
                </c:pt>
                <c:pt idx="33">
                  <c:v>1.316105852462659</c:v>
                </c:pt>
                <c:pt idx="34">
                  <c:v>1.3847814922705397</c:v>
                </c:pt>
                <c:pt idx="35">
                  <c:v>1.3823415466734386</c:v>
                </c:pt>
                <c:pt idx="36">
                  <c:v>1.2516437302514825</c:v>
                </c:pt>
                <c:pt idx="37">
                  <c:v>1.3390118004155305</c:v>
                </c:pt>
                <c:pt idx="38">
                  <c:v>1.4178397599878805</c:v>
                </c:pt>
                <c:pt idx="39">
                  <c:v>1.5201254577327621</c:v>
                </c:pt>
              </c:numCache>
            </c:numRef>
          </c:val>
          <c:smooth val="0"/>
          <c:extLst>
            <c:ext xmlns:c16="http://schemas.microsoft.com/office/drawing/2014/chart" uri="{C3380CC4-5D6E-409C-BE32-E72D297353CC}">
              <c16:uniqueId val="{00000000-EEB0-4DEE-95C0-B5E14AAA8A73}"/>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'7. Stock price data'!$G$1</c:f>
              <c:strCache>
                <c:ptCount val="1"/>
                <c:pt idx="0">
                  <c:v>Average Share Price</c:v>
                </c:pt>
              </c:strCache>
            </c:strRef>
          </c:tx>
          <c:spPr>
            <a:ln w="25400" cap="rnd">
              <a:solidFill>
                <a:schemeClr val="tx1"/>
              </a:solidFill>
              <a:round/>
            </a:ln>
            <a:effectLst/>
          </c:spPr>
          <c:marker>
            <c:symbol val="none"/>
          </c:marker>
          <c:cat>
            <c:numRef>
              <c:f>'7. Stock price data'!$D$163:$D$202</c:f>
              <c:numCache>
                <c:formatCode>General</c:formatCode>
                <c:ptCount val="40"/>
                <c:pt idx="0">
                  <c:v>2005</c:v>
                </c:pt>
                <c:pt idx="4">
                  <c:v>2006</c:v>
                </c:pt>
                <c:pt idx="8">
                  <c:v>2007</c:v>
                </c:pt>
                <c:pt idx="12">
                  <c:v>2008</c:v>
                </c:pt>
                <c:pt idx="16">
                  <c:v>2009</c:v>
                </c:pt>
                <c:pt idx="20">
                  <c:v>2010</c:v>
                </c:pt>
                <c:pt idx="24">
                  <c:v>2011</c:v>
                </c:pt>
                <c:pt idx="28">
                  <c:v>2012</c:v>
                </c:pt>
                <c:pt idx="32">
                  <c:v>2013</c:v>
                </c:pt>
                <c:pt idx="36">
                  <c:v>2014</c:v>
                </c:pt>
              </c:numCache>
            </c:numRef>
          </c:cat>
          <c:val>
            <c:numRef>
              <c:f>'7. Stock price data'!$G$163:$G$202</c:f>
              <c:numCache>
                <c:formatCode>_("$"* #,##0_);_("$"* \(#,##0\);_("$"* "-"??_);_(@_)</c:formatCode>
                <c:ptCount val="40"/>
                <c:pt idx="0">
                  <c:v>88250</c:v>
                </c:pt>
                <c:pt idx="1">
                  <c:v>85450</c:v>
                </c:pt>
                <c:pt idx="2">
                  <c:v>83625</c:v>
                </c:pt>
                <c:pt idx="3">
                  <c:v>86650</c:v>
                </c:pt>
                <c:pt idx="4">
                  <c:v>88425</c:v>
                </c:pt>
                <c:pt idx="5">
                  <c:v>89250</c:v>
                </c:pt>
                <c:pt idx="6">
                  <c:v>93250</c:v>
                </c:pt>
                <c:pt idx="7">
                  <c:v>104850</c:v>
                </c:pt>
                <c:pt idx="8">
                  <c:v>107250</c:v>
                </c:pt>
                <c:pt idx="9">
                  <c:v>108845</c:v>
                </c:pt>
                <c:pt idx="10">
                  <c:v>114700</c:v>
                </c:pt>
                <c:pt idx="11">
                  <c:v>134980</c:v>
                </c:pt>
                <c:pt idx="12">
                  <c:v>136000</c:v>
                </c:pt>
                <c:pt idx="13">
                  <c:v>127475</c:v>
                </c:pt>
                <c:pt idx="14">
                  <c:v>129000</c:v>
                </c:pt>
                <c:pt idx="15">
                  <c:v>94925</c:v>
                </c:pt>
                <c:pt idx="16">
                  <c:v>86325</c:v>
                </c:pt>
                <c:pt idx="17">
                  <c:v>89728.5</c:v>
                </c:pt>
                <c:pt idx="18">
                  <c:v>96525</c:v>
                </c:pt>
                <c:pt idx="19">
                  <c:v>101925</c:v>
                </c:pt>
                <c:pt idx="20">
                  <c:v>111228.5</c:v>
                </c:pt>
                <c:pt idx="21">
                  <c:v>112829.5</c:v>
                </c:pt>
                <c:pt idx="22">
                  <c:v>121176</c:v>
                </c:pt>
                <c:pt idx="23">
                  <c:v>122384.5</c:v>
                </c:pt>
                <c:pt idx="24">
                  <c:v>125127.5</c:v>
                </c:pt>
                <c:pt idx="25">
                  <c:v>118012.5</c:v>
                </c:pt>
                <c:pt idx="26">
                  <c:v>108101</c:v>
                </c:pt>
                <c:pt idx="27">
                  <c:v>112728</c:v>
                </c:pt>
                <c:pt idx="28">
                  <c:v>118716.5</c:v>
                </c:pt>
                <c:pt idx="29">
                  <c:v>121250.5</c:v>
                </c:pt>
                <c:pt idx="30">
                  <c:v>129059.5</c:v>
                </c:pt>
                <c:pt idx="31">
                  <c:v>131147.5</c:v>
                </c:pt>
                <c:pt idx="32">
                  <c:v>146742</c:v>
                </c:pt>
                <c:pt idx="33">
                  <c:v>163977.5</c:v>
                </c:pt>
                <c:pt idx="34">
                  <c:v>172534</c:v>
                </c:pt>
                <c:pt idx="35">
                  <c:v>172230</c:v>
                </c:pt>
                <c:pt idx="36">
                  <c:v>175946</c:v>
                </c:pt>
                <c:pt idx="37">
                  <c:v>188227.5</c:v>
                </c:pt>
                <c:pt idx="38">
                  <c:v>199308.5</c:v>
                </c:pt>
                <c:pt idx="39">
                  <c:v>213687</c:v>
                </c:pt>
              </c:numCache>
            </c:numRef>
          </c:val>
          <c:smooth val="0"/>
          <c:extLst>
            <c:ext xmlns:c16="http://schemas.microsoft.com/office/drawing/2014/chart" uri="{C3380CC4-5D6E-409C-BE32-E72D297353CC}">
              <c16:uniqueId val="{00000000-4EB9-47D7-9E29-AB49558824D1}"/>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BRK-Book Value</c:v>
          </c:tx>
          <c:spPr>
            <a:ln w="28575" cap="rnd">
              <a:solidFill>
                <a:schemeClr val="tx1"/>
              </a:solidFill>
              <a:round/>
            </a:ln>
            <a:effectLst/>
          </c:spPr>
          <c:marker>
            <c:symbol val="none"/>
          </c:marker>
          <c:cat>
            <c:numRef>
              <c:f>'8. BV &amp; S&amp;P increase'!$A$11:$A$51</c:f>
              <c:numCache>
                <c:formatCode>General</c:formatCode>
                <c:ptCount val="41"/>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numCache>
            </c:numRef>
          </c:cat>
          <c:val>
            <c:numRef>
              <c:f>'8. BV &amp; S&amp;P increase'!$R$11:$R$51</c:f>
              <c:numCache>
                <c:formatCode>0.0%</c:formatCode>
                <c:ptCount val="41"/>
                <c:pt idx="0">
                  <c:v>0.13500650620225541</c:v>
                </c:pt>
                <c:pt idx="1">
                  <c:v>0.11057931619605466</c:v>
                </c:pt>
                <c:pt idx="2">
                  <c:v>0.10779438736449198</c:v>
                </c:pt>
                <c:pt idx="3">
                  <c:v>0.16479438051702355</c:v>
                </c:pt>
                <c:pt idx="4">
                  <c:v>0.17411819512885818</c:v>
                </c:pt>
                <c:pt idx="5">
                  <c:v>0.16633517120469676</c:v>
                </c:pt>
                <c:pt idx="6">
                  <c:v>0.14821762048558762</c:v>
                </c:pt>
                <c:pt idx="7">
                  <c:v>0.18337627252654265</c:v>
                </c:pt>
                <c:pt idx="8">
                  <c:v>0.19875046628824466</c:v>
                </c:pt>
                <c:pt idx="9">
                  <c:v>0.18936648286784097</c:v>
                </c:pt>
                <c:pt idx="10">
                  <c:v>0.15781404925897524</c:v>
                </c:pt>
                <c:pt idx="11">
                  <c:v>0.18830615314412946</c:v>
                </c:pt>
                <c:pt idx="12">
                  <c:v>0.16229266990097924</c:v>
                </c:pt>
                <c:pt idx="13">
                  <c:v>0.13504605019605043</c:v>
                </c:pt>
                <c:pt idx="14">
                  <c:v>0.12035530216892987</c:v>
                </c:pt>
                <c:pt idx="15">
                  <c:v>0.11571469355730124</c:v>
                </c:pt>
                <c:pt idx="16">
                  <c:v>0.13823578570377149</c:v>
                </c:pt>
                <c:pt idx="17">
                  <c:v>0.10926338428326576</c:v>
                </c:pt>
                <c:pt idx="18">
                  <c:v>0.10402711650847873</c:v>
                </c:pt>
                <c:pt idx="19">
                  <c:v>9.7891858141317734E-2</c:v>
                </c:pt>
                <c:pt idx="20">
                  <c:v>0.10352689208780252</c:v>
                </c:pt>
                <c:pt idx="21">
                  <c:v>9.4057991911275618E-2</c:v>
                </c:pt>
                <c:pt idx="22">
                  <c:v>9.5372266353143553E-2</c:v>
                </c:pt>
                <c:pt idx="23">
                  <c:v>8.2025399585036185E-2</c:v>
                </c:pt>
                <c:pt idx="24">
                  <c:v>9.7317120092254017E-2</c:v>
                </c:pt>
                <c:pt idx="25">
                  <c:v>6.1476372648294531E-2</c:v>
                </c:pt>
                <c:pt idx="26">
                  <c:v>6.7962609785448436E-2</c:v>
                </c:pt>
                <c:pt idx="27">
                  <c:v>6.4780868369052724E-2</c:v>
                </c:pt>
                <c:pt idx="28">
                  <c:v>9.0035706107447488E-2</c:v>
                </c:pt>
                <c:pt idx="29">
                  <c:v>7.9593944043856668E-2</c:v>
                </c:pt>
                <c:pt idx="30">
                  <c:v>6.5889948427892531E-2</c:v>
                </c:pt>
                <c:pt idx="31">
                  <c:v>6.1243008907651886E-2</c:v>
                </c:pt>
                <c:pt idx="32">
                  <c:v>5.5517020953654628E-2</c:v>
                </c:pt>
                <c:pt idx="33">
                  <c:v>5.9316269187131176E-2</c:v>
                </c:pt>
                <c:pt idx="34">
                  <c:v>7.8244218920562103E-2</c:v>
                </c:pt>
                <c:pt idx="35">
                  <c:v>9.2713888242177411E-2</c:v>
                </c:pt>
                <c:pt idx="36">
                  <c:v>7.549133364025562E-2</c:v>
                </c:pt>
                <c:pt idx="37">
                  <c:v>7.2363281939202384E-2</c:v>
                </c:pt>
                <c:pt idx="38">
                  <c:v>3.488358691006499E-2</c:v>
                </c:pt>
                <c:pt idx="39">
                  <c:v>2.9257137429999469E-2</c:v>
                </c:pt>
                <c:pt idx="40">
                  <c:v>2.4358807949999672E-2</c:v>
                </c:pt>
              </c:numCache>
            </c:numRef>
          </c:val>
          <c:smooth val="0"/>
          <c:extLst>
            <c:ext xmlns:c16="http://schemas.microsoft.com/office/drawing/2014/chart" uri="{C3380CC4-5D6E-409C-BE32-E72D297353CC}">
              <c16:uniqueId val="{00000000-C7B6-41B9-86CB-946A9AD39D7D}"/>
            </c:ext>
          </c:extLst>
        </c:ser>
        <c:ser>
          <c:idx val="1"/>
          <c:order val="1"/>
          <c:tx>
            <c:v>BRK-Market Value</c:v>
          </c:tx>
          <c:spPr>
            <a:ln w="28575" cap="rnd">
              <a:solidFill>
                <a:schemeClr val="bg1">
                  <a:lumMod val="65000"/>
                </a:schemeClr>
              </a:solidFill>
              <a:round/>
            </a:ln>
            <a:effectLst/>
          </c:spPr>
          <c:marker>
            <c:symbol val="none"/>
          </c:marker>
          <c:val>
            <c:numRef>
              <c:f>'8. BV &amp; S&amp;P increase'!$S$11:$S$51</c:f>
              <c:numCache>
                <c:formatCode>0.0%</c:formatCode>
                <c:ptCount val="41"/>
                <c:pt idx="0">
                  <c:v>0.11067495503191127</c:v>
                </c:pt>
                <c:pt idx="1">
                  <c:v>4.6370283218001296E-2</c:v>
                </c:pt>
                <c:pt idx="2">
                  <c:v>0.10869413877064438</c:v>
                </c:pt>
                <c:pt idx="3">
                  <c:v>0.17614751452954036</c:v>
                </c:pt>
                <c:pt idx="4">
                  <c:v>0.12835453564643484</c:v>
                </c:pt>
                <c:pt idx="5">
                  <c:v>0.16462583768220074</c:v>
                </c:pt>
                <c:pt idx="6">
                  <c:v>0.17986284167438016</c:v>
                </c:pt>
                <c:pt idx="7">
                  <c:v>0.16088744996383508</c:v>
                </c:pt>
                <c:pt idx="8">
                  <c:v>0.1893023469888202</c:v>
                </c:pt>
                <c:pt idx="9">
                  <c:v>0.22094967576605162</c:v>
                </c:pt>
                <c:pt idx="10">
                  <c:v>0.26743869009574017</c:v>
                </c:pt>
                <c:pt idx="11">
                  <c:v>0.36509964620346991</c:v>
                </c:pt>
                <c:pt idx="12">
                  <c:v>0.26836370349132799</c:v>
                </c:pt>
                <c:pt idx="13">
                  <c:v>0.2070548139788424</c:v>
                </c:pt>
                <c:pt idx="14">
                  <c:v>0.24206815643042479</c:v>
                </c:pt>
                <c:pt idx="15">
                  <c:v>0.21650291204837235</c:v>
                </c:pt>
                <c:pt idx="16">
                  <c:v>0.17855710296758165</c:v>
                </c:pt>
                <c:pt idx="17">
                  <c:v>0.14558171381787277</c:v>
                </c:pt>
                <c:pt idx="18">
                  <c:v>0.15123117472624514</c:v>
                </c:pt>
                <c:pt idx="19">
                  <c:v>0.13797364481951102</c:v>
                </c:pt>
                <c:pt idx="20">
                  <c:v>0.17592279880261819</c:v>
                </c:pt>
                <c:pt idx="21">
                  <c:v>0.1437146408807437</c:v>
                </c:pt>
                <c:pt idx="22">
                  <c:v>0.13017105774726967</c:v>
                </c:pt>
                <c:pt idx="23">
                  <c:v>0.13540959719580825</c:v>
                </c:pt>
                <c:pt idx="24">
                  <c:v>0.11780106524938749</c:v>
                </c:pt>
                <c:pt idx="25">
                  <c:v>2.2924929409037897E-2</c:v>
                </c:pt>
                <c:pt idx="26">
                  <c:v>9.2057876026907293E-2</c:v>
                </c:pt>
                <c:pt idx="27">
                  <c:v>0.1070825460652356</c:v>
                </c:pt>
                <c:pt idx="28">
                  <c:v>0.10648728153398035</c:v>
                </c:pt>
                <c:pt idx="29">
                  <c:v>6.765521175456235E-2</c:v>
                </c:pt>
                <c:pt idx="30">
                  <c:v>3.6411698890287836E-2</c:v>
                </c:pt>
                <c:pt idx="31">
                  <c:v>1.5975810100431032E-2</c:v>
                </c:pt>
                <c:pt idx="32">
                  <c:v>3.9910183019375101E-2</c:v>
                </c:pt>
                <c:pt idx="33">
                  <c:v>5.9778099679874908E-2</c:v>
                </c:pt>
                <c:pt idx="34">
                  <c:v>4.6411653192343305E-2</c:v>
                </c:pt>
                <c:pt idx="35">
                  <c:v>6.800284719760552E-2</c:v>
                </c:pt>
                <c:pt idx="36">
                  <c:v>3.9913258265328766E-2</c:v>
                </c:pt>
                <c:pt idx="37">
                  <c:v>1.3196828560054996E-2</c:v>
                </c:pt>
                <c:pt idx="38">
                  <c:v>-8.1870633704710372E-3</c:v>
                </c:pt>
                <c:pt idx="39">
                  <c:v>3.351337394261078E-3</c:v>
                </c:pt>
                <c:pt idx="40">
                  <c:v>2.209719029869639E-2</c:v>
                </c:pt>
              </c:numCache>
            </c:numRef>
          </c:val>
          <c:smooth val="0"/>
          <c:extLst>
            <c:ext xmlns:c16="http://schemas.microsoft.com/office/drawing/2014/chart" uri="{C3380CC4-5D6E-409C-BE32-E72D297353CC}">
              <c16:uniqueId val="{00000001-C7B6-41B9-86CB-946A9AD39D7D}"/>
            </c:ext>
          </c:extLst>
        </c:ser>
        <c:dLbls>
          <c:showLegendKey val="0"/>
          <c:showVal val="0"/>
          <c:showCatName val="0"/>
          <c:showSerName val="0"/>
          <c:showPercent val="0"/>
          <c:showBubbleSize val="0"/>
        </c:dLbls>
        <c:smooth val="0"/>
        <c:axId val="590212768"/>
        <c:axId val="590217032"/>
      </c:lineChart>
      <c:catAx>
        <c:axId val="59021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6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90217032"/>
        <c:crossesAt val="-5.000000000000001E-2"/>
        <c:auto val="1"/>
        <c:lblAlgn val="ctr"/>
        <c:lblOffset val="100"/>
        <c:noMultiLvlLbl val="0"/>
      </c:catAx>
      <c:valAx>
        <c:axId val="590217032"/>
        <c:scaling>
          <c:orientation val="minMax"/>
          <c:max val="0.4"/>
          <c:min val="-5.000000000000001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9021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lineChart>
        <c:grouping val="standard"/>
        <c:varyColors val="0"/>
        <c:ser>
          <c:idx val="2"/>
          <c:order val="0"/>
          <c:tx>
            <c:strRef>
              <c:f>'1. 1940s'!$B$22</c:f>
              <c:strCache>
                <c:ptCount val="1"/>
                <c:pt idx="0">
                  <c:v>Berkshire Fine Spinning</c:v>
                </c:pt>
              </c:strCache>
            </c:strRef>
          </c:tx>
          <c:spPr>
            <a:ln w="19050" cap="rnd" cmpd="sng" algn="ctr">
              <a:solidFill>
                <a:schemeClr val="tx1">
                  <a:lumMod val="65000"/>
                  <a:lumOff val="35000"/>
                </a:schemeClr>
              </a:solidFill>
              <a:prstDash val="solid"/>
              <a:round/>
            </a:ln>
            <a:effectLst/>
          </c:spPr>
          <c:marker>
            <c:symbol val="none"/>
          </c:marker>
          <c:cat>
            <c:numRef>
              <c:f>'1. 1940s'!$A$44:$A$53</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1940s'!$B$44:$B$53</c:f>
              <c:numCache>
                <c:formatCode>0.0%</c:formatCode>
                <c:ptCount val="10"/>
                <c:pt idx="0">
                  <c:v>4.5103379643572653E-2</c:v>
                </c:pt>
                <c:pt idx="1">
                  <c:v>0.13611659584205754</c:v>
                </c:pt>
                <c:pt idx="2">
                  <c:v>0.13458368679548199</c:v>
                </c:pt>
                <c:pt idx="3">
                  <c:v>0.11913516834872208</c:v>
                </c:pt>
                <c:pt idx="4">
                  <c:v>0.10896904937870588</c:v>
                </c:pt>
                <c:pt idx="5">
                  <c:v>0.12066600719541136</c:v>
                </c:pt>
                <c:pt idx="6">
                  <c:v>0.33002674882504962</c:v>
                </c:pt>
                <c:pt idx="7">
                  <c:v>0.49745961812063472</c:v>
                </c:pt>
                <c:pt idx="8">
                  <c:v>0.38299971143654915</c:v>
                </c:pt>
                <c:pt idx="9">
                  <c:v>8.4777905294458625E-2</c:v>
                </c:pt>
              </c:numCache>
            </c:numRef>
          </c:val>
          <c:smooth val="0"/>
          <c:extLst>
            <c:ext xmlns:c16="http://schemas.microsoft.com/office/drawing/2014/chart" uri="{C3380CC4-5D6E-409C-BE32-E72D297353CC}">
              <c16:uniqueId val="{00000000-07ED-4EF5-B3BA-C382203C6ECC}"/>
            </c:ext>
          </c:extLst>
        </c:ser>
        <c:ser>
          <c:idx val="3"/>
          <c:order val="1"/>
          <c:tx>
            <c:strRef>
              <c:f>'1. 1940s'!$C$22</c:f>
              <c:strCache>
                <c:ptCount val="1"/>
                <c:pt idx="0">
                  <c:v>Hathaway Manufacturing</c:v>
                </c:pt>
              </c:strCache>
            </c:strRef>
          </c:tx>
          <c:spPr>
            <a:ln w="25400" cap="rnd" cmpd="sng" algn="ctr">
              <a:solidFill>
                <a:schemeClr val="bg1">
                  <a:lumMod val="75000"/>
                </a:schemeClr>
              </a:solidFill>
              <a:prstDash val="solid"/>
              <a:round/>
            </a:ln>
            <a:effectLst/>
          </c:spPr>
          <c:marker>
            <c:symbol val="none"/>
          </c:marker>
          <c:cat>
            <c:numRef>
              <c:f>'1. 1940s'!$A$44:$A$53</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1940s'!$C$44:$C$53</c:f>
              <c:numCache>
                <c:formatCode>0.0%</c:formatCode>
                <c:ptCount val="10"/>
                <c:pt idx="0">
                  <c:v>0.10768293942848338</c:v>
                </c:pt>
                <c:pt idx="1">
                  <c:v>0.1101961402642375</c:v>
                </c:pt>
                <c:pt idx="2">
                  <c:v>0.15361057725770275</c:v>
                </c:pt>
                <c:pt idx="3">
                  <c:v>9.3608620701928838E-2</c:v>
                </c:pt>
                <c:pt idx="4">
                  <c:v>9.6738450801493542E-2</c:v>
                </c:pt>
                <c:pt idx="5">
                  <c:v>0.10660038205622688</c:v>
                </c:pt>
                <c:pt idx="6">
                  <c:v>0.27059457708568513</c:v>
                </c:pt>
                <c:pt idx="7">
                  <c:v>0.41178890901894272</c:v>
                </c:pt>
                <c:pt idx="8">
                  <c:v>0.42374393531856519</c:v>
                </c:pt>
                <c:pt idx="9">
                  <c:v>0.15882134692659625</c:v>
                </c:pt>
              </c:numCache>
            </c:numRef>
          </c:val>
          <c:smooth val="0"/>
          <c:extLst>
            <c:ext xmlns:c16="http://schemas.microsoft.com/office/drawing/2014/chart" uri="{C3380CC4-5D6E-409C-BE32-E72D297353CC}">
              <c16:uniqueId val="{00000001-07ED-4EF5-B3BA-C382203C6ECC}"/>
            </c:ext>
          </c:extLst>
        </c:ser>
        <c:dLbls>
          <c:showLegendKey val="0"/>
          <c:showVal val="0"/>
          <c:showCatName val="0"/>
          <c:showSerName val="0"/>
          <c:showPercent val="0"/>
          <c:showBubbleSize val="0"/>
        </c:dLbls>
        <c:smooth val="0"/>
        <c:axId val="809151936"/>
        <c:axId val="809146688"/>
      </c:lineChart>
      <c:catAx>
        <c:axId val="80915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46688"/>
        <c:crosses val="autoZero"/>
        <c:auto val="1"/>
        <c:lblAlgn val="ctr"/>
        <c:lblOffset val="100"/>
        <c:noMultiLvlLbl val="0"/>
      </c:catAx>
      <c:valAx>
        <c:axId val="809146688"/>
        <c:scaling>
          <c:orientation val="minMax"/>
          <c:max val="0.5"/>
          <c:min val="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solidFill>
                      <a:sysClr val="windowText" lastClr="000000"/>
                    </a:solidFill>
                  </a:rPr>
                  <a:t>Return on Equity</a:t>
                </a:r>
              </a:p>
            </c:rich>
          </c:tx>
          <c:layout>
            <c:manualLayout>
              <c:xMode val="edge"/>
              <c:yMode val="edge"/>
              <c:x val="2.7777777777777776E-2"/>
              <c:y val="0.282113225430154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51936"/>
        <c:crosses val="autoZero"/>
        <c:crossBetween val="between"/>
        <c:majorUnit val="0.1"/>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8"/>
          <c:order val="0"/>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7F-481F-4491-A868-CAE7330F09B8}"/>
            </c:ext>
          </c:extLst>
        </c:ser>
        <c:ser>
          <c:idx val="29"/>
          <c:order val="1"/>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80-481F-4491-A868-CAE7330F09B8}"/>
            </c:ext>
          </c:extLst>
        </c:ser>
        <c:ser>
          <c:idx val="30"/>
          <c:order val="2"/>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81-481F-4491-A868-CAE7330F09B8}"/>
            </c:ext>
          </c:extLst>
        </c:ser>
        <c:ser>
          <c:idx val="31"/>
          <c:order val="3"/>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82-481F-4491-A868-CAE7330F09B8}"/>
            </c:ext>
          </c:extLst>
        </c:ser>
        <c:ser>
          <c:idx val="32"/>
          <c:order val="4"/>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83-481F-4491-A868-CAE7330F09B8}"/>
            </c:ext>
          </c:extLst>
        </c:ser>
        <c:ser>
          <c:idx val="33"/>
          <c:order val="5"/>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84-481F-4491-A868-CAE7330F09B8}"/>
            </c:ext>
          </c:extLst>
        </c:ser>
        <c:ser>
          <c:idx val="34"/>
          <c:order val="6"/>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85-481F-4491-A868-CAE7330F09B8}"/>
            </c:ext>
          </c:extLst>
        </c:ser>
        <c:ser>
          <c:idx val="35"/>
          <c:order val="7"/>
          <c:tx>
            <c:strRef>
              <c:f>'8. Float-Cost'!$B$5</c:f>
              <c:strCache>
                <c:ptCount val="1"/>
                <c:pt idx="0">
                  <c:v>GEICO</c:v>
                </c:pt>
              </c:strCache>
            </c:strRef>
          </c:tx>
          <c:spPr>
            <a:ln w="28575" cap="rnd">
              <a:solidFill>
                <a:schemeClr val="accent2"/>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86-481F-4491-A868-CAE7330F09B8}"/>
            </c:ext>
          </c:extLst>
        </c:ser>
        <c:ser>
          <c:idx val="36"/>
          <c:order val="8"/>
          <c:tx>
            <c:strRef>
              <c:f>'8. Float-Cost'!$C$5</c:f>
              <c:strCache>
                <c:ptCount val="1"/>
                <c:pt idx="0">
                  <c:v>General
Reins.</c:v>
                </c:pt>
              </c:strCache>
            </c:strRef>
          </c:tx>
          <c:spPr>
            <a:ln w="28575" cap="rnd">
              <a:solidFill>
                <a:schemeClr val="accent3"/>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87-481F-4491-A868-CAE7330F09B8}"/>
            </c:ext>
          </c:extLst>
        </c:ser>
        <c:ser>
          <c:idx val="37"/>
          <c:order val="9"/>
          <c:tx>
            <c:strRef>
              <c:f>'8. Float-Cost'!$D$5</c:f>
              <c:strCache>
                <c:ptCount val="1"/>
                <c:pt idx="0">
                  <c:v>BH Reins.</c:v>
                </c:pt>
              </c:strCache>
            </c:strRef>
          </c:tx>
          <c:spPr>
            <a:ln w="28575" cap="rnd">
              <a:solidFill>
                <a:schemeClr val="accent4"/>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88-481F-4491-A868-CAE7330F09B8}"/>
            </c:ext>
          </c:extLst>
        </c:ser>
        <c:ser>
          <c:idx val="38"/>
          <c:order val="10"/>
          <c:tx>
            <c:strRef>
              <c:f>'8. Float-Cost'!$E$5</c:f>
              <c:strCache>
                <c:ptCount val="1"/>
                <c:pt idx="0">
                  <c:v>Other Primary</c:v>
                </c:pt>
              </c:strCache>
            </c:strRef>
          </c:tx>
          <c:spPr>
            <a:ln w="28575" cap="rnd">
              <a:solidFill>
                <a:schemeClr val="accent5"/>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89-481F-4491-A868-CAE7330F09B8}"/>
            </c:ext>
          </c:extLst>
        </c:ser>
        <c:ser>
          <c:idx val="39"/>
          <c:order val="11"/>
          <c:tx>
            <c:strRef>
              <c:f>'8. Float-Cost'!$F$5</c:f>
              <c:strCache>
                <c:ptCount val="1"/>
                <c:pt idx="0">
                  <c:v>Total</c:v>
                </c:pt>
              </c:strCache>
            </c:strRef>
          </c:tx>
          <c:spPr>
            <a:ln w="28575" cap="rnd">
              <a:solidFill>
                <a:schemeClr val="accent6"/>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8A-481F-4491-A868-CAE7330F09B8}"/>
            </c:ext>
          </c:extLst>
        </c:ser>
        <c:ser>
          <c:idx val="40"/>
          <c:order val="12"/>
          <c:tx>
            <c:strRef>
              <c:f>'8. Float-Cost'!$G$5</c:f>
              <c:strCache>
                <c:ptCount val="1"/>
              </c:strCache>
            </c:strRef>
          </c:tx>
          <c:spPr>
            <a:ln w="28575" cap="rnd">
              <a:solidFill>
                <a:schemeClr val="accent1">
                  <a:lumMod val="60000"/>
                </a:schemeClr>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8B-481F-4491-A868-CAE7330F09B8}"/>
            </c:ext>
          </c:extLst>
        </c:ser>
        <c:ser>
          <c:idx val="41"/>
          <c:order val="13"/>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8C-481F-4491-A868-CAE7330F09B8}"/>
            </c:ext>
          </c:extLst>
        </c:ser>
        <c:ser>
          <c:idx val="42"/>
          <c:order val="14"/>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8D-481F-4491-A868-CAE7330F09B8}"/>
            </c:ext>
          </c:extLst>
        </c:ser>
        <c:ser>
          <c:idx val="43"/>
          <c:order val="15"/>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8E-481F-4491-A868-CAE7330F09B8}"/>
            </c:ext>
          </c:extLst>
        </c:ser>
        <c:ser>
          <c:idx val="44"/>
          <c:order val="16"/>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8F-481F-4491-A868-CAE7330F09B8}"/>
            </c:ext>
          </c:extLst>
        </c:ser>
        <c:ser>
          <c:idx val="45"/>
          <c:order val="17"/>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90-481F-4491-A868-CAE7330F09B8}"/>
            </c:ext>
          </c:extLst>
        </c:ser>
        <c:ser>
          <c:idx val="46"/>
          <c:order val="18"/>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91-481F-4491-A868-CAE7330F09B8}"/>
            </c:ext>
          </c:extLst>
        </c:ser>
        <c:ser>
          <c:idx val="47"/>
          <c:order val="19"/>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92-481F-4491-A868-CAE7330F09B8}"/>
            </c:ext>
          </c:extLst>
        </c:ser>
        <c:ser>
          <c:idx val="48"/>
          <c:order val="20"/>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93-481F-4491-A868-CAE7330F09B8}"/>
            </c:ext>
          </c:extLst>
        </c:ser>
        <c:ser>
          <c:idx val="49"/>
          <c:order val="21"/>
          <c:tx>
            <c:strRef>
              <c:f>'8. Float-Cost'!$B$5</c:f>
              <c:strCache>
                <c:ptCount val="1"/>
                <c:pt idx="0">
                  <c:v>GEICO</c:v>
                </c:pt>
              </c:strCache>
            </c:strRef>
          </c:tx>
          <c:spPr>
            <a:ln w="28575" cap="rnd">
              <a:solidFill>
                <a:schemeClr val="accent2"/>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94-481F-4491-A868-CAE7330F09B8}"/>
            </c:ext>
          </c:extLst>
        </c:ser>
        <c:ser>
          <c:idx val="50"/>
          <c:order val="22"/>
          <c:tx>
            <c:strRef>
              <c:f>'8. Float-Cost'!$C$5</c:f>
              <c:strCache>
                <c:ptCount val="1"/>
                <c:pt idx="0">
                  <c:v>General
Reins.</c:v>
                </c:pt>
              </c:strCache>
            </c:strRef>
          </c:tx>
          <c:spPr>
            <a:ln w="28575" cap="rnd">
              <a:solidFill>
                <a:schemeClr val="accent3"/>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95-481F-4491-A868-CAE7330F09B8}"/>
            </c:ext>
          </c:extLst>
        </c:ser>
        <c:ser>
          <c:idx val="51"/>
          <c:order val="23"/>
          <c:tx>
            <c:strRef>
              <c:f>'8. Float-Cost'!$D$5</c:f>
              <c:strCache>
                <c:ptCount val="1"/>
                <c:pt idx="0">
                  <c:v>BH Reins.</c:v>
                </c:pt>
              </c:strCache>
            </c:strRef>
          </c:tx>
          <c:spPr>
            <a:ln w="28575" cap="rnd">
              <a:solidFill>
                <a:schemeClr val="accent4"/>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96-481F-4491-A868-CAE7330F09B8}"/>
            </c:ext>
          </c:extLst>
        </c:ser>
        <c:ser>
          <c:idx val="52"/>
          <c:order val="24"/>
          <c:tx>
            <c:strRef>
              <c:f>'8. Float-Cost'!$E$5</c:f>
              <c:strCache>
                <c:ptCount val="1"/>
                <c:pt idx="0">
                  <c:v>Other Primary</c:v>
                </c:pt>
              </c:strCache>
            </c:strRef>
          </c:tx>
          <c:spPr>
            <a:ln w="28575" cap="rnd">
              <a:solidFill>
                <a:schemeClr val="accent5"/>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97-481F-4491-A868-CAE7330F09B8}"/>
            </c:ext>
          </c:extLst>
        </c:ser>
        <c:ser>
          <c:idx val="53"/>
          <c:order val="25"/>
          <c:tx>
            <c:strRef>
              <c:f>'8. Float-Cost'!$F$5</c:f>
              <c:strCache>
                <c:ptCount val="1"/>
                <c:pt idx="0">
                  <c:v>Total</c:v>
                </c:pt>
              </c:strCache>
            </c:strRef>
          </c:tx>
          <c:spPr>
            <a:ln w="28575" cap="rnd">
              <a:solidFill>
                <a:schemeClr val="accent6"/>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98-481F-4491-A868-CAE7330F09B8}"/>
            </c:ext>
          </c:extLst>
        </c:ser>
        <c:ser>
          <c:idx val="54"/>
          <c:order val="26"/>
          <c:tx>
            <c:strRef>
              <c:f>'8. Float-Cost'!$G$5</c:f>
              <c:strCache>
                <c:ptCount val="1"/>
              </c:strCache>
            </c:strRef>
          </c:tx>
          <c:spPr>
            <a:ln w="28575" cap="rnd">
              <a:solidFill>
                <a:schemeClr val="accent1">
                  <a:lumMod val="60000"/>
                </a:schemeClr>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99-481F-4491-A868-CAE7330F09B8}"/>
            </c:ext>
          </c:extLst>
        </c:ser>
        <c:ser>
          <c:idx val="55"/>
          <c:order val="27"/>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9A-481F-4491-A868-CAE7330F09B8}"/>
            </c:ext>
          </c:extLst>
        </c:ser>
        <c:ser>
          <c:idx val="14"/>
          <c:order val="28"/>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48-481F-4491-A868-CAE7330F09B8}"/>
            </c:ext>
          </c:extLst>
        </c:ser>
        <c:ser>
          <c:idx val="15"/>
          <c:order val="29"/>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4A-481F-4491-A868-CAE7330F09B8}"/>
            </c:ext>
          </c:extLst>
        </c:ser>
        <c:ser>
          <c:idx val="16"/>
          <c:order val="30"/>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4C-481F-4491-A868-CAE7330F09B8}"/>
            </c:ext>
          </c:extLst>
        </c:ser>
        <c:ser>
          <c:idx val="17"/>
          <c:order val="31"/>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4E-481F-4491-A868-CAE7330F09B8}"/>
            </c:ext>
          </c:extLst>
        </c:ser>
        <c:ser>
          <c:idx val="18"/>
          <c:order val="32"/>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50-481F-4491-A868-CAE7330F09B8}"/>
            </c:ext>
          </c:extLst>
        </c:ser>
        <c:ser>
          <c:idx val="19"/>
          <c:order val="33"/>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52-481F-4491-A868-CAE7330F09B8}"/>
            </c:ext>
          </c:extLst>
        </c:ser>
        <c:ser>
          <c:idx val="20"/>
          <c:order val="34"/>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54-481F-4491-A868-CAE7330F09B8}"/>
            </c:ext>
          </c:extLst>
        </c:ser>
        <c:ser>
          <c:idx val="21"/>
          <c:order val="35"/>
          <c:tx>
            <c:strRef>
              <c:f>'8. Float-Cost'!$B$5</c:f>
              <c:strCache>
                <c:ptCount val="1"/>
                <c:pt idx="0">
                  <c:v>GEICO</c:v>
                </c:pt>
              </c:strCache>
            </c:strRef>
          </c:tx>
          <c:spPr>
            <a:ln w="28575" cap="rnd">
              <a:solidFill>
                <a:schemeClr val="accent2"/>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56-481F-4491-A868-CAE7330F09B8}"/>
            </c:ext>
          </c:extLst>
        </c:ser>
        <c:ser>
          <c:idx val="22"/>
          <c:order val="36"/>
          <c:tx>
            <c:strRef>
              <c:f>'8. Float-Cost'!$C$5</c:f>
              <c:strCache>
                <c:ptCount val="1"/>
                <c:pt idx="0">
                  <c:v>General
Reins.</c:v>
                </c:pt>
              </c:strCache>
            </c:strRef>
          </c:tx>
          <c:spPr>
            <a:ln w="28575" cap="rnd">
              <a:solidFill>
                <a:schemeClr val="accent3"/>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58-481F-4491-A868-CAE7330F09B8}"/>
            </c:ext>
          </c:extLst>
        </c:ser>
        <c:ser>
          <c:idx val="23"/>
          <c:order val="37"/>
          <c:tx>
            <c:strRef>
              <c:f>'8. Float-Cost'!$D$5</c:f>
              <c:strCache>
                <c:ptCount val="1"/>
                <c:pt idx="0">
                  <c:v>BH Reins.</c:v>
                </c:pt>
              </c:strCache>
            </c:strRef>
          </c:tx>
          <c:spPr>
            <a:ln w="28575" cap="rnd">
              <a:solidFill>
                <a:schemeClr val="accent4"/>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5A-481F-4491-A868-CAE7330F09B8}"/>
            </c:ext>
          </c:extLst>
        </c:ser>
        <c:ser>
          <c:idx val="24"/>
          <c:order val="38"/>
          <c:tx>
            <c:strRef>
              <c:f>'8. Float-Cost'!$E$5</c:f>
              <c:strCache>
                <c:ptCount val="1"/>
                <c:pt idx="0">
                  <c:v>Other Primary</c:v>
                </c:pt>
              </c:strCache>
            </c:strRef>
          </c:tx>
          <c:spPr>
            <a:ln w="28575" cap="rnd">
              <a:solidFill>
                <a:schemeClr val="accent5"/>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5C-481F-4491-A868-CAE7330F09B8}"/>
            </c:ext>
          </c:extLst>
        </c:ser>
        <c:ser>
          <c:idx val="25"/>
          <c:order val="39"/>
          <c:tx>
            <c:strRef>
              <c:f>'8. Float-Cost'!$F$5</c:f>
              <c:strCache>
                <c:ptCount val="1"/>
                <c:pt idx="0">
                  <c:v>Total</c:v>
                </c:pt>
              </c:strCache>
            </c:strRef>
          </c:tx>
          <c:spPr>
            <a:ln w="28575" cap="rnd">
              <a:solidFill>
                <a:schemeClr val="accent6"/>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5E-481F-4491-A868-CAE7330F09B8}"/>
            </c:ext>
          </c:extLst>
        </c:ser>
        <c:ser>
          <c:idx val="26"/>
          <c:order val="40"/>
          <c:tx>
            <c:strRef>
              <c:f>'8. Float-Cost'!$G$5</c:f>
              <c:strCache>
                <c:ptCount val="1"/>
              </c:strCache>
            </c:strRef>
          </c:tx>
          <c:spPr>
            <a:ln w="28575" cap="rnd">
              <a:solidFill>
                <a:schemeClr val="accent1">
                  <a:lumMod val="60000"/>
                </a:schemeClr>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60-481F-4491-A868-CAE7330F09B8}"/>
            </c:ext>
          </c:extLst>
        </c:ser>
        <c:ser>
          <c:idx val="27"/>
          <c:order val="41"/>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62-481F-4491-A868-CAE7330F09B8}"/>
            </c:ext>
          </c:extLst>
        </c:ser>
        <c:ser>
          <c:idx val="0"/>
          <c:order val="42"/>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64-481F-4491-A868-CAE7330F09B8}"/>
            </c:ext>
          </c:extLst>
        </c:ser>
        <c:ser>
          <c:idx val="8"/>
          <c:order val="43"/>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66-481F-4491-A868-CAE7330F09B8}"/>
            </c:ext>
          </c:extLst>
        </c:ser>
        <c:ser>
          <c:idx val="9"/>
          <c:order val="44"/>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68-481F-4491-A868-CAE7330F09B8}"/>
            </c:ext>
          </c:extLst>
        </c:ser>
        <c:ser>
          <c:idx val="10"/>
          <c:order val="45"/>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6A-481F-4491-A868-CAE7330F09B8}"/>
            </c:ext>
          </c:extLst>
        </c:ser>
        <c:ser>
          <c:idx val="11"/>
          <c:order val="46"/>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6C-481F-4491-A868-CAE7330F09B8}"/>
            </c:ext>
          </c:extLst>
        </c:ser>
        <c:ser>
          <c:idx val="12"/>
          <c:order val="47"/>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6E-481F-4491-A868-CAE7330F09B8}"/>
            </c:ext>
          </c:extLst>
        </c:ser>
        <c:ser>
          <c:idx val="13"/>
          <c:order val="48"/>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70-481F-4491-A868-CAE7330F09B8}"/>
            </c:ext>
          </c:extLst>
        </c:ser>
        <c:ser>
          <c:idx val="1"/>
          <c:order val="49"/>
          <c:tx>
            <c:strRef>
              <c:f>'8. Float-Cost'!$B$5</c:f>
              <c:strCache>
                <c:ptCount val="1"/>
                <c:pt idx="0">
                  <c:v>GEICO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72-481F-4491-A868-CAE7330F09B8}"/>
            </c:ext>
          </c:extLst>
        </c:ser>
        <c:ser>
          <c:idx val="2"/>
          <c:order val="50"/>
          <c:tx>
            <c:strRef>
              <c:f>'8. Float-Cost'!$C$5</c:f>
              <c:strCache>
                <c:ptCount val="1"/>
                <c:pt idx="0">
                  <c:v>General
Reins.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74-481F-4491-A868-CAE7330F09B8}"/>
            </c:ext>
          </c:extLst>
        </c:ser>
        <c:ser>
          <c:idx val="3"/>
          <c:order val="51"/>
          <c:tx>
            <c:strRef>
              <c:f>'8. Float-Cost'!$D$5</c:f>
              <c:strCache>
                <c:ptCount val="1"/>
                <c:pt idx="0">
                  <c:v>BH Reins.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76-481F-4491-A868-CAE7330F09B8}"/>
            </c:ext>
          </c:extLst>
        </c:ser>
        <c:ser>
          <c:idx val="4"/>
          <c:order val="52"/>
          <c:tx>
            <c:strRef>
              <c:f>'8. Float-Cost'!$E$5</c:f>
              <c:strCache>
                <c:ptCount val="1"/>
                <c:pt idx="0">
                  <c:v>Other Primary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78-481F-4491-A868-CAE7330F09B8}"/>
            </c:ext>
          </c:extLst>
        </c:ser>
        <c:ser>
          <c:idx val="5"/>
          <c:order val="53"/>
          <c:tx>
            <c:strRef>
              <c:f>'8. Float-Cost'!$F$5</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7A-481F-4491-A868-CAE7330F09B8}"/>
            </c:ext>
          </c:extLst>
        </c:ser>
        <c:ser>
          <c:idx val="6"/>
          <c:order val="54"/>
          <c:tx>
            <c:strRef>
              <c:f>'8. Float-Cost'!$G$5</c:f>
              <c:strCache>
                <c:ptCount val="1"/>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7C-481F-4491-A868-CAE7330F09B8}"/>
            </c:ext>
          </c:extLst>
        </c:ser>
        <c:ser>
          <c:idx val="7"/>
          <c:order val="55"/>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7E-481F-4491-A868-CAE7330F09B8}"/>
            </c:ext>
          </c:extLst>
        </c:ser>
        <c:dLbls>
          <c:showLegendKey val="0"/>
          <c:showVal val="0"/>
          <c:showCatName val="0"/>
          <c:showSerName val="0"/>
          <c:showPercent val="0"/>
          <c:showBubbleSize val="0"/>
        </c:dLbls>
        <c:smooth val="0"/>
        <c:axId val="611049800"/>
        <c:axId val="611045208"/>
      </c:lineChart>
      <c:catAx>
        <c:axId val="611049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34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1045208"/>
        <c:crosses val="autoZero"/>
        <c:auto val="1"/>
        <c:lblAlgn val="ctr"/>
        <c:lblOffset val="100"/>
        <c:tickLblSkip val="5"/>
        <c:noMultiLvlLbl val="0"/>
      </c:catAx>
      <c:valAx>
        <c:axId val="611045208"/>
        <c:scaling>
          <c:logBase val="10"/>
          <c:orientation val="minMax"/>
          <c:max val="100000"/>
          <c:min val="1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1049800"/>
        <c:crosses val="autoZero"/>
        <c:crossBetween val="between"/>
      </c:valAx>
    </c:plotArea>
    <c:plotVisOnly val="1"/>
    <c:dispBlanksAs val="gap"/>
    <c:showDLblsOverMax val="0"/>
    <c:extLst/>
  </c:chart>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3240740740741"/>
          <c:y val="0.15158761404824397"/>
          <c:w val="0.81817366579177597"/>
          <c:h val="0.69737314085739288"/>
        </c:manualLayout>
      </c:layout>
      <c:lineChart>
        <c:grouping val="standard"/>
        <c:varyColors val="0"/>
        <c:ser>
          <c:idx val="14"/>
          <c:order val="0"/>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00-1E8F-43ED-8BDB-E30216F7A9DB}"/>
            </c:ext>
          </c:extLst>
        </c:ser>
        <c:ser>
          <c:idx val="15"/>
          <c:order val="1"/>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01-1E8F-43ED-8BDB-E30216F7A9DB}"/>
            </c:ext>
          </c:extLst>
        </c:ser>
        <c:ser>
          <c:idx val="16"/>
          <c:order val="2"/>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02-1E8F-43ED-8BDB-E30216F7A9DB}"/>
            </c:ext>
          </c:extLst>
        </c:ser>
        <c:ser>
          <c:idx val="17"/>
          <c:order val="3"/>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03-1E8F-43ED-8BDB-E30216F7A9DB}"/>
            </c:ext>
          </c:extLst>
        </c:ser>
        <c:ser>
          <c:idx val="18"/>
          <c:order val="4"/>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04-1E8F-43ED-8BDB-E30216F7A9DB}"/>
            </c:ext>
          </c:extLst>
        </c:ser>
        <c:ser>
          <c:idx val="19"/>
          <c:order val="5"/>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05-1E8F-43ED-8BDB-E30216F7A9DB}"/>
            </c:ext>
          </c:extLst>
        </c:ser>
        <c:ser>
          <c:idx val="20"/>
          <c:order val="6"/>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06-1E8F-43ED-8BDB-E30216F7A9DB}"/>
            </c:ext>
          </c:extLst>
        </c:ser>
        <c:ser>
          <c:idx val="21"/>
          <c:order val="7"/>
          <c:tx>
            <c:strRef>
              <c:f>'8. Float-Cost'!$B$5</c:f>
              <c:strCache>
                <c:ptCount val="1"/>
                <c:pt idx="0">
                  <c:v>GEICO</c:v>
                </c:pt>
              </c:strCache>
            </c:strRef>
          </c:tx>
          <c:spPr>
            <a:ln w="28575" cap="rnd">
              <a:solidFill>
                <a:schemeClr val="accent2"/>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07-1E8F-43ED-8BDB-E30216F7A9DB}"/>
            </c:ext>
          </c:extLst>
        </c:ser>
        <c:ser>
          <c:idx val="22"/>
          <c:order val="8"/>
          <c:tx>
            <c:strRef>
              <c:f>'8. Float-Cost'!$C$5</c:f>
              <c:strCache>
                <c:ptCount val="1"/>
                <c:pt idx="0">
                  <c:v>General
Reins.</c:v>
                </c:pt>
              </c:strCache>
            </c:strRef>
          </c:tx>
          <c:spPr>
            <a:ln w="28575" cap="rnd">
              <a:solidFill>
                <a:schemeClr val="accent3"/>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08-1E8F-43ED-8BDB-E30216F7A9DB}"/>
            </c:ext>
          </c:extLst>
        </c:ser>
        <c:ser>
          <c:idx val="23"/>
          <c:order val="9"/>
          <c:tx>
            <c:strRef>
              <c:f>'8. Float-Cost'!$D$5</c:f>
              <c:strCache>
                <c:ptCount val="1"/>
                <c:pt idx="0">
                  <c:v>BH Reins.</c:v>
                </c:pt>
              </c:strCache>
            </c:strRef>
          </c:tx>
          <c:spPr>
            <a:ln w="28575" cap="rnd">
              <a:solidFill>
                <a:schemeClr val="accent4"/>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09-1E8F-43ED-8BDB-E30216F7A9DB}"/>
            </c:ext>
          </c:extLst>
        </c:ser>
        <c:ser>
          <c:idx val="24"/>
          <c:order val="10"/>
          <c:tx>
            <c:strRef>
              <c:f>'8. Float-Cost'!$E$5</c:f>
              <c:strCache>
                <c:ptCount val="1"/>
                <c:pt idx="0">
                  <c:v>Other Primary</c:v>
                </c:pt>
              </c:strCache>
            </c:strRef>
          </c:tx>
          <c:spPr>
            <a:ln w="28575" cap="rnd">
              <a:solidFill>
                <a:schemeClr val="accent5"/>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0A-1E8F-43ED-8BDB-E30216F7A9DB}"/>
            </c:ext>
          </c:extLst>
        </c:ser>
        <c:ser>
          <c:idx val="25"/>
          <c:order val="11"/>
          <c:tx>
            <c:strRef>
              <c:f>'8. Float-Cost'!$F$5</c:f>
              <c:strCache>
                <c:ptCount val="1"/>
                <c:pt idx="0">
                  <c:v>Total</c:v>
                </c:pt>
              </c:strCache>
            </c:strRef>
          </c:tx>
          <c:spPr>
            <a:ln w="28575" cap="rnd">
              <a:solidFill>
                <a:schemeClr val="accent6"/>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0B-1E8F-43ED-8BDB-E30216F7A9DB}"/>
            </c:ext>
          </c:extLst>
        </c:ser>
        <c:ser>
          <c:idx val="26"/>
          <c:order val="12"/>
          <c:tx>
            <c:strRef>
              <c:f>'8. Float-Cost'!$G$5</c:f>
              <c:strCache>
                <c:ptCount val="1"/>
              </c:strCache>
            </c:strRef>
          </c:tx>
          <c:spPr>
            <a:ln w="28575" cap="rnd">
              <a:solidFill>
                <a:schemeClr val="accent1">
                  <a:lumMod val="60000"/>
                </a:schemeClr>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0C-1E8F-43ED-8BDB-E30216F7A9DB}"/>
            </c:ext>
          </c:extLst>
        </c:ser>
        <c:ser>
          <c:idx val="27"/>
          <c:order val="13"/>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0D-1E8F-43ED-8BDB-E30216F7A9DB}"/>
            </c:ext>
          </c:extLst>
        </c:ser>
        <c:ser>
          <c:idx val="0"/>
          <c:order val="14"/>
          <c:tx>
            <c:strRef>
              <c:f>'8. Float-Cost'!$B$5</c:f>
              <c:strCache>
                <c:ptCount val="1"/>
                <c:pt idx="0">
                  <c:v>GEICO</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0E-1E8F-43ED-8BDB-E30216F7A9DB}"/>
            </c:ext>
          </c:extLst>
        </c:ser>
        <c:ser>
          <c:idx val="8"/>
          <c:order val="15"/>
          <c:tx>
            <c:strRef>
              <c:f>'8. Float-Cost'!$C$5</c:f>
              <c:strCache>
                <c:ptCount val="1"/>
                <c:pt idx="0">
                  <c:v>General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0F-1E8F-43ED-8BDB-E30216F7A9DB}"/>
            </c:ext>
          </c:extLst>
        </c:ser>
        <c:ser>
          <c:idx val="9"/>
          <c:order val="16"/>
          <c:tx>
            <c:strRef>
              <c:f>'8. Float-Cost'!$D$5</c:f>
              <c:strCache>
                <c:ptCount val="1"/>
                <c:pt idx="0">
                  <c:v>BH Reins.</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10-1E8F-43ED-8BDB-E30216F7A9DB}"/>
            </c:ext>
          </c:extLst>
        </c:ser>
        <c:ser>
          <c:idx val="10"/>
          <c:order val="17"/>
          <c:tx>
            <c:strRef>
              <c:f>'8. Float-Cost'!$E$5</c:f>
              <c:strCache>
                <c:ptCount val="1"/>
                <c:pt idx="0">
                  <c:v>Other Primary</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11-1E8F-43ED-8BDB-E30216F7A9DB}"/>
            </c:ext>
          </c:extLst>
        </c:ser>
        <c:ser>
          <c:idx val="11"/>
          <c:order val="18"/>
          <c:tx>
            <c:strRef>
              <c:f>'8. Float-Cost'!$F$5</c:f>
              <c:strCache>
                <c:ptCount val="1"/>
                <c:pt idx="0">
                  <c:v>Total</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12-1E8F-43ED-8BDB-E30216F7A9DB}"/>
            </c:ext>
          </c:extLst>
        </c:ser>
        <c:ser>
          <c:idx val="12"/>
          <c:order val="19"/>
          <c:tx>
            <c:strRef>
              <c:f>'8. Float-Cost'!$G$5</c:f>
              <c:strCache>
                <c:ptCount val="1"/>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13-1E8F-43ED-8BDB-E30216F7A9DB}"/>
            </c:ext>
          </c:extLst>
        </c:ser>
        <c:ser>
          <c:idx val="13"/>
          <c:order val="20"/>
          <c:tx>
            <c:strRef>
              <c:f>'8. Float-Cost'!$H$5</c:f>
              <c:strCache>
                <c:ptCount val="1"/>
                <c:pt idx="0">
                  <c:v>Average
Float</c:v>
                </c:pt>
              </c:strCache>
            </c:strRef>
          </c:tx>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14-1E8F-43ED-8BDB-E30216F7A9DB}"/>
            </c:ext>
          </c:extLst>
        </c:ser>
        <c:ser>
          <c:idx val="1"/>
          <c:order val="21"/>
          <c:tx>
            <c:strRef>
              <c:f>'8. Float-Cost'!$B$5</c:f>
              <c:strCache>
                <c:ptCount val="1"/>
                <c:pt idx="0">
                  <c:v>GEICO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Float-Cost'!$B$6:$B$52</c:f>
            </c:numRef>
          </c:val>
          <c:smooth val="0"/>
          <c:extLst>
            <c:ext xmlns:c16="http://schemas.microsoft.com/office/drawing/2014/chart" uri="{C3380CC4-5D6E-409C-BE32-E72D297353CC}">
              <c16:uniqueId val="{00000015-1E8F-43ED-8BDB-E30216F7A9DB}"/>
            </c:ext>
          </c:extLst>
        </c:ser>
        <c:ser>
          <c:idx val="2"/>
          <c:order val="22"/>
          <c:tx>
            <c:strRef>
              <c:f>'8. Float-Cost'!$C$5</c:f>
              <c:strCache>
                <c:ptCount val="1"/>
                <c:pt idx="0">
                  <c:v>General
Reins.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Float-Cost'!$C$6:$C$52</c:f>
            </c:numRef>
          </c:val>
          <c:smooth val="0"/>
          <c:extLst>
            <c:ext xmlns:c16="http://schemas.microsoft.com/office/drawing/2014/chart" uri="{C3380CC4-5D6E-409C-BE32-E72D297353CC}">
              <c16:uniqueId val="{00000016-1E8F-43ED-8BDB-E30216F7A9DB}"/>
            </c:ext>
          </c:extLst>
        </c:ser>
        <c:ser>
          <c:idx val="3"/>
          <c:order val="23"/>
          <c:tx>
            <c:strRef>
              <c:f>'8. Float-Cost'!$D$5</c:f>
              <c:strCache>
                <c:ptCount val="1"/>
                <c:pt idx="0">
                  <c:v>BH Reins.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Float-Cost'!$D$6:$D$52</c:f>
            </c:numRef>
          </c:val>
          <c:smooth val="0"/>
          <c:extLst>
            <c:ext xmlns:c16="http://schemas.microsoft.com/office/drawing/2014/chart" uri="{C3380CC4-5D6E-409C-BE32-E72D297353CC}">
              <c16:uniqueId val="{00000017-1E8F-43ED-8BDB-E30216F7A9DB}"/>
            </c:ext>
          </c:extLst>
        </c:ser>
        <c:ser>
          <c:idx val="4"/>
          <c:order val="24"/>
          <c:tx>
            <c:strRef>
              <c:f>'8. Float-Cost'!$E$5</c:f>
              <c:strCache>
                <c:ptCount val="1"/>
                <c:pt idx="0">
                  <c:v>Other Primary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Float-Cost'!$E$6:$E$52</c:f>
            </c:numRef>
          </c:val>
          <c:smooth val="0"/>
          <c:extLst>
            <c:ext xmlns:c16="http://schemas.microsoft.com/office/drawing/2014/chart" uri="{C3380CC4-5D6E-409C-BE32-E72D297353CC}">
              <c16:uniqueId val="{00000018-1E8F-43ED-8BDB-E30216F7A9DB}"/>
            </c:ext>
          </c:extLst>
        </c:ser>
        <c:ser>
          <c:idx val="5"/>
          <c:order val="25"/>
          <c:tx>
            <c:strRef>
              <c:f>'8. Float-Cost'!$F$5</c:f>
              <c:strCache>
                <c:ptCount val="1"/>
                <c:pt idx="0">
                  <c:v>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Float-Cost'!$F$6:$F$52</c:f>
            </c:numRef>
          </c:val>
          <c:smooth val="0"/>
          <c:extLst>
            <c:ext xmlns:c16="http://schemas.microsoft.com/office/drawing/2014/chart" uri="{C3380CC4-5D6E-409C-BE32-E72D297353CC}">
              <c16:uniqueId val="{00000019-1E8F-43ED-8BDB-E30216F7A9DB}"/>
            </c:ext>
          </c:extLst>
        </c:ser>
        <c:ser>
          <c:idx val="6"/>
          <c:order val="26"/>
          <c:tx>
            <c:strRef>
              <c:f>'8. Float-Cost'!$G$5</c:f>
              <c:strCache>
                <c:ptCount val="1"/>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Float-Cost'!$G$6:$G$52</c:f>
            </c:numRef>
          </c:val>
          <c:smooth val="0"/>
          <c:extLst>
            <c:ext xmlns:c16="http://schemas.microsoft.com/office/drawing/2014/chart" uri="{C3380CC4-5D6E-409C-BE32-E72D297353CC}">
              <c16:uniqueId val="{0000001A-1E8F-43ED-8BDB-E30216F7A9DB}"/>
            </c:ext>
          </c:extLst>
        </c:ser>
        <c:ser>
          <c:idx val="7"/>
          <c:order val="27"/>
          <c:tx>
            <c:strRef>
              <c:f>'8. Float-Cost'!$H$5</c:f>
              <c:strCache>
                <c:ptCount val="1"/>
                <c:pt idx="0">
                  <c:v>Average
Float</c:v>
                </c:pt>
              </c:strCache>
            </c:strRef>
          </c:tx>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Float-Cost'!$H$6:$H$52</c:f>
              <c:numCache>
                <c:formatCode>_(* #,##0_);_(* \(#,##0\);_(* "-"??_);_(@_)</c:formatCode>
                <c:ptCount val="47"/>
                <c:pt idx="0">
                  <c:v>19.899999999999999</c:v>
                </c:pt>
                <c:pt idx="1">
                  <c:v>23.4</c:v>
                </c:pt>
                <c:pt idx="2">
                  <c:v>32.4</c:v>
                </c:pt>
                <c:pt idx="3">
                  <c:v>52.5</c:v>
                </c:pt>
                <c:pt idx="4">
                  <c:v>69.5</c:v>
                </c:pt>
                <c:pt idx="5">
                  <c:v>73.3</c:v>
                </c:pt>
                <c:pt idx="6">
                  <c:v>79.099999999999994</c:v>
                </c:pt>
                <c:pt idx="7">
                  <c:v>87.6</c:v>
                </c:pt>
                <c:pt idx="8">
                  <c:v>102.6</c:v>
                </c:pt>
                <c:pt idx="9">
                  <c:v>139</c:v>
                </c:pt>
                <c:pt idx="10">
                  <c:v>190.4</c:v>
                </c:pt>
                <c:pt idx="11">
                  <c:v>227.3</c:v>
                </c:pt>
                <c:pt idx="12">
                  <c:v>237</c:v>
                </c:pt>
                <c:pt idx="13">
                  <c:v>228.4</c:v>
                </c:pt>
                <c:pt idx="14">
                  <c:v>220.6</c:v>
                </c:pt>
                <c:pt idx="15">
                  <c:v>231.3</c:v>
                </c:pt>
                <c:pt idx="16">
                  <c:v>253.2</c:v>
                </c:pt>
                <c:pt idx="17">
                  <c:v>390.2</c:v>
                </c:pt>
                <c:pt idx="18">
                  <c:v>797.5</c:v>
                </c:pt>
                <c:pt idx="19">
                  <c:v>1266.7</c:v>
                </c:pt>
                <c:pt idx="20">
                  <c:v>1497.7</c:v>
                </c:pt>
                <c:pt idx="21">
                  <c:v>1541.3</c:v>
                </c:pt>
                <c:pt idx="22">
                  <c:v>1637.3</c:v>
                </c:pt>
                <c:pt idx="23">
                  <c:v>1895</c:v>
                </c:pt>
                <c:pt idx="24">
                  <c:v>2290.4</c:v>
                </c:pt>
                <c:pt idx="25">
                  <c:v>2624.7</c:v>
                </c:pt>
                <c:pt idx="26">
                  <c:v>3056.6</c:v>
                </c:pt>
                <c:pt idx="27">
                  <c:v>3607.2</c:v>
                </c:pt>
                <c:pt idx="28">
                  <c:v>6702</c:v>
                </c:pt>
                <c:pt idx="29">
                  <c:v>7093.1</c:v>
                </c:pt>
                <c:pt idx="30">
                  <c:v>15070</c:v>
                </c:pt>
                <c:pt idx="31">
                  <c:v>24026</c:v>
                </c:pt>
                <c:pt idx="32">
                  <c:v>26584.5</c:v>
                </c:pt>
                <c:pt idx="33">
                  <c:v>31689.5</c:v>
                </c:pt>
                <c:pt idx="34">
                  <c:v>38366</c:v>
                </c:pt>
                <c:pt idx="35">
                  <c:v>42722</c:v>
                </c:pt>
                <c:pt idx="36">
                  <c:v>45157</c:v>
                </c:pt>
                <c:pt idx="37">
                  <c:v>47690.5</c:v>
                </c:pt>
                <c:pt idx="38">
                  <c:v>50087</c:v>
                </c:pt>
                <c:pt idx="39">
                  <c:v>54792.5</c:v>
                </c:pt>
                <c:pt idx="40">
                  <c:v>58593</c:v>
                </c:pt>
                <c:pt idx="41">
                  <c:v>60199.5</c:v>
                </c:pt>
                <c:pt idx="42">
                  <c:v>63871.5</c:v>
                </c:pt>
                <c:pt idx="43">
                  <c:v>68201.5</c:v>
                </c:pt>
                <c:pt idx="44">
                  <c:v>71848</c:v>
                </c:pt>
                <c:pt idx="45">
                  <c:v>75182.5</c:v>
                </c:pt>
                <c:pt idx="46">
                  <c:v>80580.5</c:v>
                </c:pt>
              </c:numCache>
            </c:numRef>
          </c:val>
          <c:smooth val="0"/>
          <c:extLst>
            <c:ext xmlns:c16="http://schemas.microsoft.com/office/drawing/2014/chart" uri="{C3380CC4-5D6E-409C-BE32-E72D297353CC}">
              <c16:uniqueId val="{0000001B-1E8F-43ED-8BDB-E30216F7A9DB}"/>
            </c:ext>
          </c:extLst>
        </c:ser>
        <c:dLbls>
          <c:showLegendKey val="0"/>
          <c:showVal val="0"/>
          <c:showCatName val="0"/>
          <c:showSerName val="0"/>
          <c:showPercent val="0"/>
          <c:showBubbleSize val="0"/>
        </c:dLbls>
        <c:smooth val="0"/>
        <c:axId val="611049800"/>
        <c:axId val="611045208"/>
      </c:lineChart>
      <c:catAx>
        <c:axId val="611049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34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1045208"/>
        <c:crosses val="autoZero"/>
        <c:auto val="1"/>
        <c:lblAlgn val="ctr"/>
        <c:lblOffset val="100"/>
        <c:tickLblSkip val="5"/>
        <c:noMultiLvlLbl val="0"/>
      </c:catAx>
      <c:valAx>
        <c:axId val="611045208"/>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1049800"/>
        <c:crosses val="autoZero"/>
        <c:crossBetween val="between"/>
      </c:valAx>
    </c:plotArea>
    <c:plotVisOnly val="1"/>
    <c:dispBlanksAs val="gap"/>
    <c:showDLblsOverMax val="0"/>
    <c:extLst/>
  </c:chart>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Float-Cost'!$I$6:$I$52</c:f>
              <c:numCache>
                <c:formatCode>0.0%</c:formatCode>
                <c:ptCount val="47"/>
                <c:pt idx="0">
                  <c:v>7.6884422110552767E-3</c:v>
                </c:pt>
                <c:pt idx="1">
                  <c:v>1.4102564102564105E-2</c:v>
                </c:pt>
                <c:pt idx="2">
                  <c:v>-4.3487654320987654E-2</c:v>
                </c:pt>
                <c:pt idx="3">
                  <c:v>-8.1599999999999992E-2</c:v>
                </c:pt>
                <c:pt idx="4">
                  <c:v>-4.7755395683453238E-2</c:v>
                </c:pt>
                <c:pt idx="5">
                  <c:v>9.4024556616643939E-2</c:v>
                </c:pt>
                <c:pt idx="6">
                  <c:v>8.7130214917825549E-2</c:v>
                </c:pt>
                <c:pt idx="7">
                  <c:v>0.12154109589041097</c:v>
                </c:pt>
                <c:pt idx="8">
                  <c:v>-6.910331384015595E-3</c:v>
                </c:pt>
                <c:pt idx="9">
                  <c:v>-4.1733812949640292E-2</c:v>
                </c:pt>
                <c:pt idx="10">
                  <c:v>-1.576155462184874E-2</c:v>
                </c:pt>
                <c:pt idx="11">
                  <c:v>-1.646282446106467E-2</c:v>
                </c:pt>
                <c:pt idx="12">
                  <c:v>-2.8430379746835446E-2</c:v>
                </c:pt>
                <c:pt idx="13">
                  <c:v>-6.4711033274956215E-3</c:v>
                </c:pt>
                <c:pt idx="14">
                  <c:v>9.7728921124206711E-2</c:v>
                </c:pt>
                <c:pt idx="15">
                  <c:v>0.146441850410722</c:v>
                </c:pt>
                <c:pt idx="16">
                  <c:v>0.18981042654028438</c:v>
                </c:pt>
                <c:pt idx="17">
                  <c:v>0.11335212711430036</c:v>
                </c:pt>
                <c:pt idx="18">
                  <c:v>6.9968652037617554E-2</c:v>
                </c:pt>
                <c:pt idx="19">
                  <c:v>4.3735691166021946E-2</c:v>
                </c:pt>
                <c:pt idx="20">
                  <c:v>7.4113640916071309E-3</c:v>
                </c:pt>
                <c:pt idx="21">
                  <c:v>1.5830792188412379E-2</c:v>
                </c:pt>
                <c:pt idx="22">
                  <c:v>1.6246259085079096E-2</c:v>
                </c:pt>
                <c:pt idx="23">
                  <c:v>6.3113456464379949E-2</c:v>
                </c:pt>
                <c:pt idx="24">
                  <c:v>4.758994062172546E-2</c:v>
                </c:pt>
                <c:pt idx="25">
                  <c:v>-1.1772774031317865E-2</c:v>
                </c:pt>
                <c:pt idx="26">
                  <c:v>-4.2498200615062494E-2</c:v>
                </c:pt>
                <c:pt idx="27">
                  <c:v>-5.6830782878687074E-3</c:v>
                </c:pt>
                <c:pt idx="28">
                  <c:v>-3.3139361384661295E-2</c:v>
                </c:pt>
                <c:pt idx="29">
                  <c:v>-6.5133721503996836E-2</c:v>
                </c:pt>
                <c:pt idx="30">
                  <c:v>-1.7584605175846053E-2</c:v>
                </c:pt>
                <c:pt idx="31">
                  <c:v>5.8020477815699661E-2</c:v>
                </c:pt>
                <c:pt idx="32">
                  <c:v>6.0749684966803962E-2</c:v>
                </c:pt>
                <c:pt idx="33">
                  <c:v>0.12833903974502595</c:v>
                </c:pt>
                <c:pt idx="34">
                  <c:v>1.0712610123546891E-2</c:v>
                </c:pt>
                <c:pt idx="35">
                  <c:v>-4.0213473152005991E-2</c:v>
                </c:pt>
                <c:pt idx="36">
                  <c:v>-3.4346834377837324E-2</c:v>
                </c:pt>
                <c:pt idx="37">
                  <c:v>-1.1113324456652792E-3</c:v>
                </c:pt>
                <c:pt idx="38">
                  <c:v>-7.662666959490487E-2</c:v>
                </c:pt>
                <c:pt idx="39">
                  <c:v>-6.1577770680293839E-2</c:v>
                </c:pt>
                <c:pt idx="40">
                  <c:v>-4.7650743262847101E-2</c:v>
                </c:pt>
                <c:pt idx="41">
                  <c:v>-2.5897225060008803E-2</c:v>
                </c:pt>
                <c:pt idx="42">
                  <c:v>-3.1516404029966416E-2</c:v>
                </c:pt>
                <c:pt idx="43">
                  <c:v>-3.6362836594503053E-3</c:v>
                </c:pt>
                <c:pt idx="44">
                  <c:v>-2.2617191849459969E-2</c:v>
                </c:pt>
                <c:pt idx="45">
                  <c:v>-4.1086689056628871E-2</c:v>
                </c:pt>
                <c:pt idx="46">
                  <c:v>-3.3109747395461679E-2</c:v>
                </c:pt>
              </c:numCache>
            </c:numRef>
          </c:val>
          <c:smooth val="0"/>
          <c:extLst>
            <c:ext xmlns:c16="http://schemas.microsoft.com/office/drawing/2014/chart" uri="{C3380CC4-5D6E-409C-BE32-E72D297353CC}">
              <c16:uniqueId val="{00000000-DAF4-4B0D-BA13-341870C4AA06}"/>
            </c:ext>
          </c:extLst>
        </c:ser>
        <c:ser>
          <c:idx val="1"/>
          <c:order val="1"/>
          <c:tx>
            <c:v>0</c:v>
          </c:tx>
          <c:spPr>
            <a:ln w="25400" cap="rnd" cmpd="sng">
              <a:solidFill>
                <a:schemeClr val="bg1">
                  <a:lumMod val="75000"/>
                </a:schemeClr>
              </a:solidFill>
              <a:round/>
            </a:ln>
            <a:effectLst/>
          </c:spPr>
          <c:marker>
            <c:symbol val="none"/>
          </c:marker>
          <c:cat>
            <c:numRef>
              <c:f>'8. Float-Cost'!$A$6:$A$52</c:f>
              <c:numCache>
                <c:formatCode>General</c:formatCode>
                <c:ptCount val="47"/>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numCache>
            </c:numRef>
          </c:cat>
          <c:val>
            <c:numRef>
              <c:f>'8. Float-Cost'!$L$6:$L$52</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1-DAF4-4B0D-BA13-341870C4AA06}"/>
            </c:ext>
          </c:extLst>
        </c:ser>
        <c:dLbls>
          <c:showLegendKey val="0"/>
          <c:showVal val="0"/>
          <c:showCatName val="0"/>
          <c:showSerName val="0"/>
          <c:showPercent val="0"/>
          <c:showBubbleSize val="0"/>
        </c:dLbls>
        <c:smooth val="0"/>
        <c:axId val="776001896"/>
        <c:axId val="775995992"/>
      </c:lineChart>
      <c:catAx>
        <c:axId val="776001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44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5995992"/>
        <c:crossesAt val="-0.1"/>
        <c:auto val="1"/>
        <c:lblAlgn val="ctr"/>
        <c:lblOffset val="100"/>
        <c:tickLblSkip val="5"/>
        <c:noMultiLvlLbl val="0"/>
      </c:catAx>
      <c:valAx>
        <c:axId val="775995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6001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'Part 8'!$A$7</c:f>
              <c:strCache>
                <c:ptCount val="1"/>
                <c:pt idx="0">
                  <c:v>BRK-per share book value</c:v>
                </c:pt>
              </c:strCache>
            </c:strRef>
          </c:tx>
          <c:spPr>
            <a:solidFill>
              <a:schemeClr val="bg1">
                <a:lumMod val="75000"/>
              </a:schemeClr>
            </a:solidFill>
            <a:ln>
              <a:noFill/>
            </a:ln>
            <a:effectLst/>
          </c:spPr>
          <c:invertIfNegative val="0"/>
          <c:cat>
            <c:numRef>
              <c:f>'Part 8'!$B$6:$F$6</c:f>
              <c:numCache>
                <c:formatCode>General</c:formatCode>
                <c:ptCount val="5"/>
                <c:pt idx="0">
                  <c:v>2014</c:v>
                </c:pt>
                <c:pt idx="1">
                  <c:v>2004</c:v>
                </c:pt>
                <c:pt idx="2">
                  <c:v>1994</c:v>
                </c:pt>
                <c:pt idx="3">
                  <c:v>1984</c:v>
                </c:pt>
                <c:pt idx="4">
                  <c:v>1974</c:v>
                </c:pt>
              </c:numCache>
            </c:numRef>
          </c:cat>
          <c:val>
            <c:numRef>
              <c:f>'Part 8'!$B$7:$F$7</c:f>
              <c:numCache>
                <c:formatCode>0.0%</c:formatCode>
                <c:ptCount val="5"/>
                <c:pt idx="0">
                  <c:v>0.10100000000000001</c:v>
                </c:pt>
                <c:pt idx="1">
                  <c:v>0.187</c:v>
                </c:pt>
                <c:pt idx="2">
                  <c:v>0.247</c:v>
                </c:pt>
                <c:pt idx="3">
                  <c:v>0.30399999999999999</c:v>
                </c:pt>
                <c:pt idx="4">
                  <c:v>0.14899999999999999</c:v>
                </c:pt>
              </c:numCache>
            </c:numRef>
          </c:val>
          <c:extLst>
            <c:ext xmlns:c16="http://schemas.microsoft.com/office/drawing/2014/chart" uri="{C3380CC4-5D6E-409C-BE32-E72D297353CC}">
              <c16:uniqueId val="{00000000-4E03-4772-AF29-39B634B0A739}"/>
            </c:ext>
          </c:extLst>
        </c:ser>
        <c:ser>
          <c:idx val="1"/>
          <c:order val="1"/>
          <c:tx>
            <c:strRef>
              <c:f>'Part 8'!$A$8</c:f>
              <c:strCache>
                <c:ptCount val="1"/>
                <c:pt idx="0">
                  <c:v>BRK-per share market value</c:v>
                </c:pt>
              </c:strCache>
            </c:strRef>
          </c:tx>
          <c:spPr>
            <a:solidFill>
              <a:schemeClr val="bg1">
                <a:lumMod val="50000"/>
              </a:schemeClr>
            </a:solidFill>
            <a:ln>
              <a:noFill/>
            </a:ln>
            <a:effectLst/>
          </c:spPr>
          <c:invertIfNegative val="0"/>
          <c:cat>
            <c:numRef>
              <c:f>'Part 8'!$B$6:$F$6</c:f>
              <c:numCache>
                <c:formatCode>General</c:formatCode>
                <c:ptCount val="5"/>
                <c:pt idx="0">
                  <c:v>2014</c:v>
                </c:pt>
                <c:pt idx="1">
                  <c:v>2004</c:v>
                </c:pt>
                <c:pt idx="2">
                  <c:v>1994</c:v>
                </c:pt>
                <c:pt idx="3">
                  <c:v>1984</c:v>
                </c:pt>
                <c:pt idx="4">
                  <c:v>1974</c:v>
                </c:pt>
              </c:numCache>
            </c:numRef>
          </c:cat>
          <c:val>
            <c:numRef>
              <c:f>'Part 8'!$B$8:$F$8</c:f>
              <c:numCache>
                <c:formatCode>0.0%</c:formatCode>
                <c:ptCount val="5"/>
                <c:pt idx="0">
                  <c:v>9.9000000000000005E-2</c:v>
                </c:pt>
                <c:pt idx="1">
                  <c:v>0.157</c:v>
                </c:pt>
                <c:pt idx="2">
                  <c:v>0.31900000000000001</c:v>
                </c:pt>
                <c:pt idx="3">
                  <c:v>0.41399999999999998</c:v>
                </c:pt>
                <c:pt idx="4">
                  <c:v>0.125</c:v>
                </c:pt>
              </c:numCache>
            </c:numRef>
          </c:val>
          <c:extLst>
            <c:ext xmlns:c16="http://schemas.microsoft.com/office/drawing/2014/chart" uri="{C3380CC4-5D6E-409C-BE32-E72D297353CC}">
              <c16:uniqueId val="{00000001-4E03-4772-AF29-39B634B0A739}"/>
            </c:ext>
          </c:extLst>
        </c:ser>
        <c:ser>
          <c:idx val="2"/>
          <c:order val="2"/>
          <c:tx>
            <c:strRef>
              <c:f>'Part 8'!$A$9</c:f>
              <c:strCache>
                <c:ptCount val="1"/>
                <c:pt idx="0">
                  <c:v>S&amp;P 500 with dividends</c:v>
                </c:pt>
              </c:strCache>
            </c:strRef>
          </c:tx>
          <c:spPr>
            <a:solidFill>
              <a:schemeClr val="tx1"/>
            </a:solidFill>
            <a:ln>
              <a:noFill/>
            </a:ln>
            <a:effectLst/>
          </c:spPr>
          <c:invertIfNegative val="0"/>
          <c:cat>
            <c:numRef>
              <c:f>'Part 8'!$B$6:$F$6</c:f>
              <c:numCache>
                <c:formatCode>General</c:formatCode>
                <c:ptCount val="5"/>
                <c:pt idx="0">
                  <c:v>2014</c:v>
                </c:pt>
                <c:pt idx="1">
                  <c:v>2004</c:v>
                </c:pt>
                <c:pt idx="2">
                  <c:v>1994</c:v>
                </c:pt>
                <c:pt idx="3">
                  <c:v>1984</c:v>
                </c:pt>
                <c:pt idx="4">
                  <c:v>1974</c:v>
                </c:pt>
              </c:numCache>
            </c:numRef>
          </c:cat>
          <c:val>
            <c:numRef>
              <c:f>'Part 8'!$B$9:$F$9</c:f>
              <c:numCache>
                <c:formatCode>0.0%</c:formatCode>
                <c:ptCount val="5"/>
                <c:pt idx="0">
                  <c:v>7.6999999999999999E-2</c:v>
                </c:pt>
                <c:pt idx="1">
                  <c:v>0.121</c:v>
                </c:pt>
                <c:pt idx="2">
                  <c:v>0.14399999999999999</c:v>
                </c:pt>
                <c:pt idx="3">
                  <c:v>0.14599999999999999</c:v>
                </c:pt>
                <c:pt idx="4">
                  <c:v>1.4E-2</c:v>
                </c:pt>
              </c:numCache>
            </c:numRef>
          </c:val>
          <c:extLst>
            <c:ext xmlns:c16="http://schemas.microsoft.com/office/drawing/2014/chart" uri="{C3380CC4-5D6E-409C-BE32-E72D297353CC}">
              <c16:uniqueId val="{00000002-4E03-4772-AF29-39B634B0A739}"/>
            </c:ext>
          </c:extLst>
        </c:ser>
        <c:dLbls>
          <c:showLegendKey val="0"/>
          <c:showVal val="0"/>
          <c:showCatName val="0"/>
          <c:showSerName val="0"/>
          <c:showPercent val="0"/>
          <c:showBubbleSize val="0"/>
        </c:dLbls>
        <c:gapWidth val="219"/>
        <c:overlap val="-27"/>
        <c:axId val="722600328"/>
        <c:axId val="722602952"/>
      </c:barChart>
      <c:catAx>
        <c:axId val="72260032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22602952"/>
        <c:crosses val="autoZero"/>
        <c:auto val="1"/>
        <c:lblAlgn val="ctr"/>
        <c:lblOffset val="100"/>
        <c:noMultiLvlLbl val="0"/>
      </c:catAx>
      <c:valAx>
        <c:axId val="722602952"/>
        <c:scaling>
          <c:orientation val="minMax"/>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22600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'Part 8'!$R$53:$R$58</c:f>
              <c:numCache>
                <c:formatCode>General</c:formatCode>
                <c:ptCount val="6"/>
                <c:pt idx="0">
                  <c:v>1964</c:v>
                </c:pt>
                <c:pt idx="1">
                  <c:v>1974</c:v>
                </c:pt>
                <c:pt idx="2">
                  <c:v>1984</c:v>
                </c:pt>
                <c:pt idx="3">
                  <c:v>1994</c:v>
                </c:pt>
                <c:pt idx="4">
                  <c:v>2004</c:v>
                </c:pt>
                <c:pt idx="5">
                  <c:v>2014</c:v>
                </c:pt>
              </c:numCache>
            </c:numRef>
          </c:cat>
          <c:val>
            <c:numRef>
              <c:f>'Part 8'!$S$53:$S$58</c:f>
              <c:numCache>
                <c:formatCode>"$"#,##0</c:formatCode>
                <c:ptCount val="6"/>
                <c:pt idx="0" formatCode="&quot;$&quot;#,##0.00">
                  <c:v>19.46</c:v>
                </c:pt>
                <c:pt idx="1">
                  <c:v>90.02</c:v>
                </c:pt>
                <c:pt idx="2">
                  <c:v>1108.77</c:v>
                </c:pt>
                <c:pt idx="3">
                  <c:v>10083</c:v>
                </c:pt>
                <c:pt idx="4">
                  <c:v>55824</c:v>
                </c:pt>
                <c:pt idx="5">
                  <c:v>146186</c:v>
                </c:pt>
              </c:numCache>
            </c:numRef>
          </c:val>
          <c:smooth val="0"/>
          <c:extLst>
            <c:ext xmlns:c16="http://schemas.microsoft.com/office/drawing/2014/chart" uri="{C3380CC4-5D6E-409C-BE32-E72D297353CC}">
              <c16:uniqueId val="{00000000-A3E3-46E1-B13E-EBE3D8173900}"/>
            </c:ext>
          </c:extLst>
        </c:ser>
        <c:dLbls>
          <c:showLegendKey val="0"/>
          <c:showVal val="0"/>
          <c:showCatName val="0"/>
          <c:showSerName val="0"/>
          <c:showPercent val="0"/>
          <c:showBubbleSize val="0"/>
        </c:dLbls>
        <c:smooth val="0"/>
        <c:axId val="649235016"/>
        <c:axId val="649235344"/>
      </c:lineChart>
      <c:catAx>
        <c:axId val="649235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235344"/>
        <c:crosses val="autoZero"/>
        <c:auto val="1"/>
        <c:lblAlgn val="ctr"/>
        <c:lblOffset val="100"/>
        <c:noMultiLvlLbl val="0"/>
      </c:catAx>
      <c:valAx>
        <c:axId val="64923534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235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2499999999999"/>
          <c:y val="4.6210473690788643E-2"/>
          <c:w val="0.8090104622338874"/>
          <c:h val="0.75648793900762401"/>
        </c:manualLayout>
      </c:layout>
      <c:scatterChart>
        <c:scatterStyle val="lineMarker"/>
        <c:varyColors val="0"/>
        <c:ser>
          <c:idx val="0"/>
          <c:order val="0"/>
          <c:tx>
            <c:strRef>
              <c:f>'Part 8.2'!$E$2</c:f>
              <c:strCache>
                <c:ptCount val="1"/>
                <c:pt idx="0">
                  <c:v>BRK Going-in return</c:v>
                </c:pt>
              </c:strCache>
            </c:strRef>
          </c:tx>
          <c:spPr>
            <a:ln w="25400" cap="rnd">
              <a:noFill/>
              <a:round/>
            </a:ln>
            <a:effectLst/>
          </c:spPr>
          <c:marker>
            <c:symbol val="circle"/>
            <c:size val="5"/>
            <c:spPr>
              <a:solidFill>
                <a:schemeClr val="tx1"/>
              </a:solidFill>
              <a:ln w="9525">
                <a:noFill/>
              </a:ln>
              <a:effectLst/>
            </c:spPr>
          </c:marker>
          <c:xVal>
            <c:numRef>
              <c:f>'Part 8.2'!$E$3:$E$20</c:f>
              <c:numCache>
                <c:formatCode>0.0%</c:formatCode>
                <c:ptCount val="18"/>
                <c:pt idx="0">
                  <c:v>7.0000000000000007E-2</c:v>
                </c:pt>
                <c:pt idx="1">
                  <c:v>7.3999999999999996E-2</c:v>
                </c:pt>
                <c:pt idx="2">
                  <c:v>7.5999999999999998E-2</c:v>
                </c:pt>
                <c:pt idx="3">
                  <c:v>8.1000000000000003E-2</c:v>
                </c:pt>
                <c:pt idx="4">
                  <c:v>8.6999999999999994E-2</c:v>
                </c:pt>
                <c:pt idx="5">
                  <c:v>0.09</c:v>
                </c:pt>
                <c:pt idx="6">
                  <c:v>9.2999999999999999E-2</c:v>
                </c:pt>
                <c:pt idx="7">
                  <c:v>0.112</c:v>
                </c:pt>
                <c:pt idx="8">
                  <c:v>0.114</c:v>
                </c:pt>
                <c:pt idx="9">
                  <c:v>0.114</c:v>
                </c:pt>
                <c:pt idx="10">
                  <c:v>0.12</c:v>
                </c:pt>
                <c:pt idx="11">
                  <c:v>0.13200000000000001</c:v>
                </c:pt>
                <c:pt idx="12">
                  <c:v>0.14599999999999999</c:v>
                </c:pt>
                <c:pt idx="13">
                  <c:v>0.16</c:v>
                </c:pt>
                <c:pt idx="14" formatCode="0.00%">
                  <c:v>0.16900000000000001</c:v>
                </c:pt>
                <c:pt idx="15">
                  <c:v>0.17</c:v>
                </c:pt>
                <c:pt idx="16">
                  <c:v>0.251</c:v>
                </c:pt>
                <c:pt idx="17">
                  <c:v>0.26</c:v>
                </c:pt>
              </c:numCache>
            </c:numRef>
          </c:xVal>
          <c:yVal>
            <c:numRef>
              <c:f>'Part 8.2'!$F$3:$F$20</c:f>
              <c:numCache>
                <c:formatCode>_(* #,##0.00_);_(* \(#,##0.00\);_(* "-"??_);_(@_)</c:formatCode>
                <c:ptCount val="18"/>
                <c:pt idx="0">
                  <c:v>1.2142857142857142</c:v>
                </c:pt>
                <c:pt idx="1">
                  <c:v>6.1486486486486491</c:v>
                </c:pt>
                <c:pt idx="2">
                  <c:v>1.7631578947368423</c:v>
                </c:pt>
                <c:pt idx="3">
                  <c:v>5.5555555555555554</c:v>
                </c:pt>
                <c:pt idx="4">
                  <c:v>3.1379310344827589</c:v>
                </c:pt>
                <c:pt idx="5">
                  <c:v>1.6555555555555554</c:v>
                </c:pt>
                <c:pt idx="6">
                  <c:v>3.4516129032258065</c:v>
                </c:pt>
                <c:pt idx="7">
                  <c:v>1.357142857142857</c:v>
                </c:pt>
                <c:pt idx="8">
                  <c:v>1.7543859649122808</c:v>
                </c:pt>
                <c:pt idx="9">
                  <c:v>2.7192982456140351</c:v>
                </c:pt>
                <c:pt idx="10">
                  <c:v>1.1666666666666667</c:v>
                </c:pt>
                <c:pt idx="11">
                  <c:v>1.3333333333333333</c:v>
                </c:pt>
                <c:pt idx="12">
                  <c:v>2.4383561643835616</c:v>
                </c:pt>
                <c:pt idx="13">
                  <c:v>2.0750000000000002</c:v>
                </c:pt>
                <c:pt idx="14">
                  <c:v>1.0473372781065087</c:v>
                </c:pt>
                <c:pt idx="15">
                  <c:v>3.0882352941176472</c:v>
                </c:pt>
                <c:pt idx="16">
                  <c:v>1.3466135458167332</c:v>
                </c:pt>
                <c:pt idx="17">
                  <c:v>2.0769230769230771</c:v>
                </c:pt>
              </c:numCache>
            </c:numRef>
          </c:yVal>
          <c:smooth val="0"/>
          <c:extLst>
            <c:ext xmlns:c16="http://schemas.microsoft.com/office/drawing/2014/chart" uri="{C3380CC4-5D6E-409C-BE32-E72D297353CC}">
              <c16:uniqueId val="{00000000-66FF-4947-95D0-E2E6679A20AE}"/>
            </c:ext>
          </c:extLst>
        </c:ser>
        <c:dLbls>
          <c:showLegendKey val="0"/>
          <c:showVal val="0"/>
          <c:showCatName val="0"/>
          <c:showSerName val="0"/>
          <c:showPercent val="0"/>
          <c:showBubbleSize val="0"/>
        </c:dLbls>
        <c:axId val="717799384"/>
        <c:axId val="717807584"/>
      </c:scatterChart>
      <c:valAx>
        <c:axId val="71779938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Berkshire Hathaway Going-In</a:t>
                </a:r>
                <a:r>
                  <a:rPr lang="en-US" baseline="0"/>
                  <a:t> Return</a:t>
                </a:r>
                <a:endParaRPr lang="en-US"/>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17807584"/>
        <c:crosses val="autoZero"/>
        <c:crossBetween val="midCat"/>
      </c:valAx>
      <c:valAx>
        <c:axId val="717807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Purchase Multiple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 #,##0.0_);_(* \(#,##0.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177993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'Part 8.2'!$F$2</c:f>
              <c:strCache>
                <c:ptCount val="1"/>
                <c:pt idx="0">
                  <c:v>Purchase Multiple</c:v>
                </c:pt>
              </c:strCache>
            </c:strRef>
          </c:tx>
          <c:spPr>
            <a:ln w="19050">
              <a:noFill/>
            </a:ln>
          </c:spPr>
          <c:marker>
            <c:spPr>
              <a:solidFill>
                <a:schemeClr val="tx1"/>
              </a:solidFill>
            </c:spPr>
          </c:marker>
          <c:xVal>
            <c:numRef>
              <c:f>'Part 8.2'!$D$3:$D$20</c:f>
              <c:numCache>
                <c:formatCode>0.0%</c:formatCode>
                <c:ptCount val="18"/>
                <c:pt idx="0">
                  <c:v>8.5000000000000006E-2</c:v>
                </c:pt>
                <c:pt idx="1">
                  <c:v>0.45500000000000002</c:v>
                </c:pt>
                <c:pt idx="2">
                  <c:v>0.13400000000000001</c:v>
                </c:pt>
                <c:pt idx="3">
                  <c:v>0.45</c:v>
                </c:pt>
                <c:pt idx="4">
                  <c:v>0.27300000000000002</c:v>
                </c:pt>
                <c:pt idx="5">
                  <c:v>0.14899999999999999</c:v>
                </c:pt>
                <c:pt idx="6">
                  <c:v>0.32100000000000001</c:v>
                </c:pt>
                <c:pt idx="7">
                  <c:v>0.152</c:v>
                </c:pt>
                <c:pt idx="8">
                  <c:v>0.2</c:v>
                </c:pt>
                <c:pt idx="9">
                  <c:v>0.31</c:v>
                </c:pt>
                <c:pt idx="10">
                  <c:v>0.14000000000000001</c:v>
                </c:pt>
                <c:pt idx="11">
                  <c:v>0.17599999999999999</c:v>
                </c:pt>
                <c:pt idx="12">
                  <c:v>0.35599999999999998</c:v>
                </c:pt>
                <c:pt idx="13">
                  <c:v>0.33200000000000002</c:v>
                </c:pt>
                <c:pt idx="14" formatCode="0.00%">
                  <c:v>0.17699999999999999</c:v>
                </c:pt>
                <c:pt idx="15">
                  <c:v>0.52500000000000002</c:v>
                </c:pt>
                <c:pt idx="16">
                  <c:v>0.33800000000000002</c:v>
                </c:pt>
                <c:pt idx="17">
                  <c:v>0.54</c:v>
                </c:pt>
              </c:numCache>
            </c:numRef>
          </c:xVal>
          <c:yVal>
            <c:numRef>
              <c:f>'Part 8.2'!$F$3:$F$20</c:f>
              <c:numCache>
                <c:formatCode>_(* #,##0.00_);_(* \(#,##0.00\);_(* "-"??_);_(@_)</c:formatCode>
                <c:ptCount val="18"/>
                <c:pt idx="0">
                  <c:v>1.2142857142857142</c:v>
                </c:pt>
                <c:pt idx="1">
                  <c:v>6.1486486486486491</c:v>
                </c:pt>
                <c:pt idx="2">
                  <c:v>1.7631578947368423</c:v>
                </c:pt>
                <c:pt idx="3">
                  <c:v>5.5555555555555554</c:v>
                </c:pt>
                <c:pt idx="4">
                  <c:v>3.1379310344827589</c:v>
                </c:pt>
                <c:pt idx="5">
                  <c:v>1.6555555555555554</c:v>
                </c:pt>
                <c:pt idx="6">
                  <c:v>3.4516129032258065</c:v>
                </c:pt>
                <c:pt idx="7">
                  <c:v>1.357142857142857</c:v>
                </c:pt>
                <c:pt idx="8">
                  <c:v>1.7543859649122808</c:v>
                </c:pt>
                <c:pt idx="9">
                  <c:v>2.7192982456140351</c:v>
                </c:pt>
                <c:pt idx="10">
                  <c:v>1.1666666666666667</c:v>
                </c:pt>
                <c:pt idx="11">
                  <c:v>1.3333333333333333</c:v>
                </c:pt>
                <c:pt idx="12">
                  <c:v>2.4383561643835616</c:v>
                </c:pt>
                <c:pt idx="13">
                  <c:v>2.0750000000000002</c:v>
                </c:pt>
                <c:pt idx="14">
                  <c:v>1.0473372781065087</c:v>
                </c:pt>
                <c:pt idx="15">
                  <c:v>3.0882352941176472</c:v>
                </c:pt>
                <c:pt idx="16">
                  <c:v>1.3466135458167332</c:v>
                </c:pt>
                <c:pt idx="17">
                  <c:v>2.0769230769230771</c:v>
                </c:pt>
              </c:numCache>
            </c:numRef>
          </c:yVal>
          <c:smooth val="0"/>
          <c:extLst>
            <c:ext xmlns:c16="http://schemas.microsoft.com/office/drawing/2014/chart" uri="{C3380CC4-5D6E-409C-BE32-E72D297353CC}">
              <c16:uniqueId val="{00000000-D5FE-400B-BF53-EA3D7806DAB4}"/>
            </c:ext>
          </c:extLst>
        </c:ser>
        <c:dLbls>
          <c:showLegendKey val="0"/>
          <c:showVal val="0"/>
          <c:showCatName val="0"/>
          <c:showSerName val="0"/>
          <c:showPercent val="0"/>
          <c:showBubbleSize val="0"/>
        </c:dLbls>
        <c:axId val="516150928"/>
        <c:axId val="511072200"/>
      </c:scatterChart>
      <c:valAx>
        <c:axId val="516150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Company-Level Return On Capital</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1072200"/>
        <c:crosses val="autoZero"/>
        <c:crossBetween val="midCat"/>
      </c:valAx>
      <c:valAx>
        <c:axId val="511072200"/>
        <c:scaling>
          <c:orientation val="minMax"/>
          <c:max val="7.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Purchase Multiple</a:t>
                </a:r>
              </a:p>
            </c:rich>
          </c:tx>
          <c:overlay val="0"/>
          <c:spPr>
            <a:noFill/>
            <a:ln>
              <a:noFill/>
            </a:ln>
            <a:effectLst/>
          </c:spPr>
        </c:title>
        <c:numFmt formatCode="_(* #,##0.0_);_(* \(#,##0.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6150928"/>
        <c:crosses val="autoZero"/>
        <c:crossBetween val="midCat"/>
      </c:valAx>
      <c:spPr>
        <a:ln>
          <a:solidFill>
            <a:sysClr val="windowText" lastClr="000000"/>
          </a:solidFill>
        </a:ln>
      </c:spPr>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ubbleChart>
        <c:varyColors val="0"/>
        <c:ser>
          <c:idx val="0"/>
          <c:order val="0"/>
          <c:tx>
            <c:strRef>
              <c:f>'Part 8.2'!$D$2</c:f>
              <c:strCache>
                <c:ptCount val="1"/>
                <c:pt idx="0">
                  <c:v>Company-level ROC</c:v>
                </c:pt>
              </c:strCache>
            </c:strRef>
          </c:tx>
          <c:spPr>
            <a:solidFill>
              <a:schemeClr val="accent3">
                <a:alpha val="75000"/>
              </a:schemeClr>
            </a:solidFill>
            <a:ln>
              <a:solidFill>
                <a:schemeClr val="tx1"/>
              </a:solidFill>
            </a:ln>
            <a:effectLst/>
          </c:spPr>
          <c:invertIfNegative val="0"/>
          <c:xVal>
            <c:numRef>
              <c:f>'Part 8.2'!$B$3:$B$20</c:f>
              <c:numCache>
                <c:formatCode>General</c:formatCode>
                <c:ptCount val="18"/>
                <c:pt idx="0">
                  <c:v>2013</c:v>
                </c:pt>
                <c:pt idx="1">
                  <c:v>2013</c:v>
                </c:pt>
                <c:pt idx="2">
                  <c:v>2000</c:v>
                </c:pt>
                <c:pt idx="3">
                  <c:v>2011</c:v>
                </c:pt>
                <c:pt idx="4">
                  <c:v>1996</c:v>
                </c:pt>
                <c:pt idx="5">
                  <c:v>2010</c:v>
                </c:pt>
                <c:pt idx="6">
                  <c:v>1998</c:v>
                </c:pt>
                <c:pt idx="7">
                  <c:v>2003</c:v>
                </c:pt>
                <c:pt idx="8">
                  <c:v>1983</c:v>
                </c:pt>
                <c:pt idx="9">
                  <c:v>2000</c:v>
                </c:pt>
                <c:pt idx="10">
                  <c:v>2001</c:v>
                </c:pt>
                <c:pt idx="11">
                  <c:v>2008</c:v>
                </c:pt>
                <c:pt idx="12">
                  <c:v>2001</c:v>
                </c:pt>
                <c:pt idx="13">
                  <c:v>2001</c:v>
                </c:pt>
                <c:pt idx="14">
                  <c:v>1969</c:v>
                </c:pt>
                <c:pt idx="15">
                  <c:v>1972</c:v>
                </c:pt>
                <c:pt idx="16">
                  <c:v>1986</c:v>
                </c:pt>
                <c:pt idx="17">
                  <c:v>1986</c:v>
                </c:pt>
              </c:numCache>
            </c:numRef>
          </c:xVal>
          <c:yVal>
            <c:numRef>
              <c:f>'Part 8.2'!$E$3:$E$20</c:f>
              <c:numCache>
                <c:formatCode>0.0%</c:formatCode>
                <c:ptCount val="18"/>
                <c:pt idx="0">
                  <c:v>7.0000000000000007E-2</c:v>
                </c:pt>
                <c:pt idx="1">
                  <c:v>7.3999999999999996E-2</c:v>
                </c:pt>
                <c:pt idx="2">
                  <c:v>7.5999999999999998E-2</c:v>
                </c:pt>
                <c:pt idx="3">
                  <c:v>8.1000000000000003E-2</c:v>
                </c:pt>
                <c:pt idx="4">
                  <c:v>8.6999999999999994E-2</c:v>
                </c:pt>
                <c:pt idx="5">
                  <c:v>0.09</c:v>
                </c:pt>
                <c:pt idx="6">
                  <c:v>9.2999999999999999E-2</c:v>
                </c:pt>
                <c:pt idx="7">
                  <c:v>0.112</c:v>
                </c:pt>
                <c:pt idx="8">
                  <c:v>0.114</c:v>
                </c:pt>
                <c:pt idx="9">
                  <c:v>0.114</c:v>
                </c:pt>
                <c:pt idx="10">
                  <c:v>0.12</c:v>
                </c:pt>
                <c:pt idx="11">
                  <c:v>0.13200000000000001</c:v>
                </c:pt>
                <c:pt idx="12">
                  <c:v>0.14599999999999999</c:v>
                </c:pt>
                <c:pt idx="13">
                  <c:v>0.16</c:v>
                </c:pt>
                <c:pt idx="14" formatCode="0.00%">
                  <c:v>0.16900000000000001</c:v>
                </c:pt>
                <c:pt idx="15">
                  <c:v>0.17</c:v>
                </c:pt>
                <c:pt idx="16">
                  <c:v>0.251</c:v>
                </c:pt>
                <c:pt idx="17">
                  <c:v>0.26</c:v>
                </c:pt>
              </c:numCache>
            </c:numRef>
          </c:yVal>
          <c:bubbleSize>
            <c:numRef>
              <c:f>'Part 8.2'!$D$3:$D$20</c:f>
              <c:numCache>
                <c:formatCode>0.0%</c:formatCode>
                <c:ptCount val="18"/>
                <c:pt idx="0">
                  <c:v>8.5000000000000006E-2</c:v>
                </c:pt>
                <c:pt idx="1">
                  <c:v>0.45500000000000002</c:v>
                </c:pt>
                <c:pt idx="2">
                  <c:v>0.13400000000000001</c:v>
                </c:pt>
                <c:pt idx="3">
                  <c:v>0.45</c:v>
                </c:pt>
                <c:pt idx="4">
                  <c:v>0.27300000000000002</c:v>
                </c:pt>
                <c:pt idx="5">
                  <c:v>0.14899999999999999</c:v>
                </c:pt>
                <c:pt idx="6">
                  <c:v>0.32100000000000001</c:v>
                </c:pt>
                <c:pt idx="7">
                  <c:v>0.152</c:v>
                </c:pt>
                <c:pt idx="8">
                  <c:v>0.2</c:v>
                </c:pt>
                <c:pt idx="9">
                  <c:v>0.31</c:v>
                </c:pt>
                <c:pt idx="10">
                  <c:v>0.14000000000000001</c:v>
                </c:pt>
                <c:pt idx="11">
                  <c:v>0.17599999999999999</c:v>
                </c:pt>
                <c:pt idx="12">
                  <c:v>0.35599999999999998</c:v>
                </c:pt>
                <c:pt idx="13">
                  <c:v>0.33200000000000002</c:v>
                </c:pt>
                <c:pt idx="14" formatCode="0.00%">
                  <c:v>0.17699999999999999</c:v>
                </c:pt>
                <c:pt idx="15">
                  <c:v>0.52500000000000002</c:v>
                </c:pt>
                <c:pt idx="16">
                  <c:v>0.33800000000000002</c:v>
                </c:pt>
                <c:pt idx="17">
                  <c:v>0.54</c:v>
                </c:pt>
              </c:numCache>
            </c:numRef>
          </c:bubbleSize>
          <c:bubble3D val="0"/>
          <c:extLst>
            <c:ext xmlns:c16="http://schemas.microsoft.com/office/drawing/2014/chart" uri="{C3380CC4-5D6E-409C-BE32-E72D297353CC}">
              <c16:uniqueId val="{00000000-8AAB-4D08-AC03-692F4C94A641}"/>
            </c:ext>
          </c:extLst>
        </c:ser>
        <c:dLbls>
          <c:showLegendKey val="0"/>
          <c:showVal val="0"/>
          <c:showCatName val="0"/>
          <c:showSerName val="0"/>
          <c:showPercent val="0"/>
          <c:showBubbleSize val="0"/>
        </c:dLbls>
        <c:bubbleScale val="80"/>
        <c:showNegBubbles val="0"/>
        <c:axId val="702031760"/>
        <c:axId val="702029792"/>
      </c:bubbleChart>
      <c:valAx>
        <c:axId val="702031760"/>
        <c:scaling>
          <c:orientation val="minMax"/>
          <c:max val="2014"/>
          <c:min val="196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02029792"/>
        <c:crosses val="autoZero"/>
        <c:crossBetween val="midCat"/>
      </c:valAx>
      <c:valAx>
        <c:axId val="702029792"/>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latin typeface="Times New Roman" panose="02020603050405020304" pitchFamily="18" charset="0"/>
                    <a:cs typeface="Times New Roman" panose="02020603050405020304" pitchFamily="18" charset="0"/>
                  </a:rPr>
                  <a:t>Berkshire</a:t>
                </a:r>
                <a:r>
                  <a:rPr lang="en-US" sz="1200" baseline="0">
                    <a:solidFill>
                      <a:sysClr val="windowText" lastClr="000000"/>
                    </a:solidFill>
                    <a:latin typeface="Times New Roman" panose="02020603050405020304" pitchFamily="18" charset="0"/>
                    <a:cs typeface="Times New Roman" panose="02020603050405020304" pitchFamily="18" charset="0"/>
                  </a:rPr>
                  <a:t> Going-In Return</a:t>
                </a:r>
                <a:endParaRPr lang="en-US" sz="1200">
                  <a:solidFill>
                    <a:sysClr val="windowText" lastClr="000000"/>
                  </a:solidFill>
                  <a:latin typeface="Times New Roman" panose="02020603050405020304" pitchFamily="18" charset="0"/>
                  <a:cs typeface="Times New Roman" panose="02020603050405020304" pitchFamily="18"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020317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'Part 8.2'!$E$2</c:f>
              <c:strCache>
                <c:ptCount val="1"/>
                <c:pt idx="0">
                  <c:v>BRK Going-in return</c:v>
                </c:pt>
              </c:strCache>
            </c:strRef>
          </c:tx>
          <c:spPr>
            <a:ln w="19050" cap="rnd">
              <a:noFill/>
              <a:round/>
            </a:ln>
            <a:effectLst/>
          </c:spPr>
          <c:marker>
            <c:symbol val="circle"/>
            <c:size val="5"/>
            <c:spPr>
              <a:solidFill>
                <a:schemeClr val="tx1"/>
              </a:solidFill>
              <a:ln w="9525">
                <a:noFill/>
              </a:ln>
              <a:effectLst/>
            </c:spPr>
          </c:marker>
          <c:xVal>
            <c:numRef>
              <c:f>'Part 8.2'!$D$3:$D$20</c:f>
              <c:numCache>
                <c:formatCode>0.0%</c:formatCode>
                <c:ptCount val="18"/>
                <c:pt idx="0">
                  <c:v>8.5000000000000006E-2</c:v>
                </c:pt>
                <c:pt idx="1">
                  <c:v>0.45500000000000002</c:v>
                </c:pt>
                <c:pt idx="2">
                  <c:v>0.13400000000000001</c:v>
                </c:pt>
                <c:pt idx="3">
                  <c:v>0.45</c:v>
                </c:pt>
                <c:pt idx="4">
                  <c:v>0.27300000000000002</c:v>
                </c:pt>
                <c:pt idx="5">
                  <c:v>0.14899999999999999</c:v>
                </c:pt>
                <c:pt idx="6">
                  <c:v>0.32100000000000001</c:v>
                </c:pt>
                <c:pt idx="7">
                  <c:v>0.152</c:v>
                </c:pt>
                <c:pt idx="8">
                  <c:v>0.2</c:v>
                </c:pt>
                <c:pt idx="9">
                  <c:v>0.31</c:v>
                </c:pt>
                <c:pt idx="10">
                  <c:v>0.14000000000000001</c:v>
                </c:pt>
                <c:pt idx="11">
                  <c:v>0.17599999999999999</c:v>
                </c:pt>
                <c:pt idx="12">
                  <c:v>0.35599999999999998</c:v>
                </c:pt>
                <c:pt idx="13">
                  <c:v>0.33200000000000002</c:v>
                </c:pt>
                <c:pt idx="14" formatCode="0.00%">
                  <c:v>0.17699999999999999</c:v>
                </c:pt>
                <c:pt idx="15">
                  <c:v>0.52500000000000002</c:v>
                </c:pt>
                <c:pt idx="16">
                  <c:v>0.33800000000000002</c:v>
                </c:pt>
                <c:pt idx="17">
                  <c:v>0.54</c:v>
                </c:pt>
              </c:numCache>
            </c:numRef>
          </c:xVal>
          <c:yVal>
            <c:numRef>
              <c:f>'Part 8.2'!$E$3:$E$20</c:f>
              <c:numCache>
                <c:formatCode>0.0%</c:formatCode>
                <c:ptCount val="18"/>
                <c:pt idx="0">
                  <c:v>7.0000000000000007E-2</c:v>
                </c:pt>
                <c:pt idx="1">
                  <c:v>7.3999999999999996E-2</c:v>
                </c:pt>
                <c:pt idx="2">
                  <c:v>7.5999999999999998E-2</c:v>
                </c:pt>
                <c:pt idx="3">
                  <c:v>8.1000000000000003E-2</c:v>
                </c:pt>
                <c:pt idx="4">
                  <c:v>8.6999999999999994E-2</c:v>
                </c:pt>
                <c:pt idx="5">
                  <c:v>0.09</c:v>
                </c:pt>
                <c:pt idx="6">
                  <c:v>9.2999999999999999E-2</c:v>
                </c:pt>
                <c:pt idx="7">
                  <c:v>0.112</c:v>
                </c:pt>
                <c:pt idx="8">
                  <c:v>0.114</c:v>
                </c:pt>
                <c:pt idx="9">
                  <c:v>0.114</c:v>
                </c:pt>
                <c:pt idx="10">
                  <c:v>0.12</c:v>
                </c:pt>
                <c:pt idx="11">
                  <c:v>0.13200000000000001</c:v>
                </c:pt>
                <c:pt idx="12">
                  <c:v>0.14599999999999999</c:v>
                </c:pt>
                <c:pt idx="13">
                  <c:v>0.16</c:v>
                </c:pt>
                <c:pt idx="14" formatCode="0.00%">
                  <c:v>0.16900000000000001</c:v>
                </c:pt>
                <c:pt idx="15">
                  <c:v>0.17</c:v>
                </c:pt>
                <c:pt idx="16">
                  <c:v>0.251</c:v>
                </c:pt>
                <c:pt idx="17">
                  <c:v>0.26</c:v>
                </c:pt>
              </c:numCache>
            </c:numRef>
          </c:yVal>
          <c:smooth val="0"/>
          <c:extLst>
            <c:ext xmlns:c16="http://schemas.microsoft.com/office/drawing/2014/chart" uri="{C3380CC4-5D6E-409C-BE32-E72D297353CC}">
              <c16:uniqueId val="{00000000-D1B8-457B-B68E-9392F6A3D88B}"/>
            </c:ext>
          </c:extLst>
        </c:ser>
        <c:dLbls>
          <c:showLegendKey val="0"/>
          <c:showVal val="0"/>
          <c:showCatName val="0"/>
          <c:showSerName val="0"/>
          <c:showPercent val="0"/>
          <c:showBubbleSize val="0"/>
        </c:dLbls>
        <c:axId val="662782288"/>
        <c:axId val="662781960"/>
      </c:scatterChart>
      <c:valAx>
        <c:axId val="662782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Company-Level Return</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62781960"/>
        <c:crosses val="autoZero"/>
        <c:crossBetween val="midCat"/>
      </c:valAx>
      <c:valAx>
        <c:axId val="662781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Going-in Return</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627822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strRef>
              <c:f>'8. Stock price data'!$D$3:$D$203</c:f>
              <c:strCache>
                <c:ptCount val="20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pt idx="84">
                  <c:v>1986</c:v>
                </c:pt>
                <c:pt idx="88">
                  <c:v>1987</c:v>
                </c:pt>
                <c:pt idx="92">
                  <c:v>1988</c:v>
                </c:pt>
                <c:pt idx="96">
                  <c:v>1989</c:v>
                </c:pt>
                <c:pt idx="100">
                  <c:v>1990</c:v>
                </c:pt>
                <c:pt idx="104">
                  <c:v>1991</c:v>
                </c:pt>
                <c:pt idx="108">
                  <c:v>1992</c:v>
                </c:pt>
                <c:pt idx="112">
                  <c:v>1993</c:v>
                </c:pt>
                <c:pt idx="116">
                  <c:v>1994</c:v>
                </c:pt>
                <c:pt idx="120">
                  <c:v>1995</c:v>
                </c:pt>
                <c:pt idx="124">
                  <c:v>1996</c:v>
                </c:pt>
                <c:pt idx="128">
                  <c:v>1997</c:v>
                </c:pt>
                <c:pt idx="132">
                  <c:v>1998</c:v>
                </c:pt>
                <c:pt idx="136">
                  <c:v>1999</c:v>
                </c:pt>
                <c:pt idx="140">
                  <c:v>2000</c:v>
                </c:pt>
                <c:pt idx="144">
                  <c:v>2001</c:v>
                </c:pt>
                <c:pt idx="148">
                  <c:v>2002</c:v>
                </c:pt>
                <c:pt idx="152">
                  <c:v>2003</c:v>
                </c:pt>
                <c:pt idx="156">
                  <c:v>2004</c:v>
                </c:pt>
                <c:pt idx="160">
                  <c:v>2005</c:v>
                </c:pt>
                <c:pt idx="164">
                  <c:v>2006</c:v>
                </c:pt>
                <c:pt idx="168">
                  <c:v>2007</c:v>
                </c:pt>
                <c:pt idx="172">
                  <c:v>2008</c:v>
                </c:pt>
                <c:pt idx="176">
                  <c:v>2009</c:v>
                </c:pt>
                <c:pt idx="180">
                  <c:v>2010</c:v>
                </c:pt>
                <c:pt idx="184">
                  <c:v>2011</c:v>
                </c:pt>
                <c:pt idx="188">
                  <c:v>2012</c:v>
                </c:pt>
                <c:pt idx="192">
                  <c:v>2013</c:v>
                </c:pt>
                <c:pt idx="196">
                  <c:v>2014</c:v>
                </c:pt>
                <c:pt idx="200">
                  <c:v>2015</c:v>
                </c:pt>
              </c:strCache>
            </c:strRef>
          </c:cat>
          <c:val>
            <c:numRef>
              <c:f>'8. Stock price data'!$U$3:$U$203</c:f>
              <c:numCache>
                <c:formatCode>_(* #,##0.00_);_(* \(#,##0.00\);_(* "-"??_);_(@_)</c:formatCode>
                <c:ptCount val="201"/>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pt idx="40">
                  <c:v>0.48143028090541584</c:v>
                </c:pt>
                <c:pt idx="41">
                  <c:v>0.51929558389797659</c:v>
                </c:pt>
                <c:pt idx="42">
                  <c:v>0.54634222889266293</c:v>
                </c:pt>
                <c:pt idx="43">
                  <c:v>0.43815564891391778</c:v>
                </c:pt>
                <c:pt idx="44">
                  <c:v>0.44079936277317117</c:v>
                </c:pt>
                <c:pt idx="45">
                  <c:v>0.53927581615866682</c:v>
                </c:pt>
                <c:pt idx="46">
                  <c:v>0.62837355969792497</c:v>
                </c:pt>
                <c:pt idx="47">
                  <c:v>0.75498614262213359</c:v>
                </c:pt>
                <c:pt idx="48">
                  <c:v>0.70922161442197074</c:v>
                </c:pt>
                <c:pt idx="49">
                  <c:v>0.75988030116639727</c:v>
                </c:pt>
                <c:pt idx="50">
                  <c:v>0.80664216585356019</c:v>
                </c:pt>
                <c:pt idx="51">
                  <c:v>0.95861822608683966</c:v>
                </c:pt>
                <c:pt idx="52">
                  <c:v>0.7172034149598786</c:v>
                </c:pt>
                <c:pt idx="53">
                  <c:v>0.8367373174531918</c:v>
                </c:pt>
                <c:pt idx="54">
                  <c:v>0.89650426869984834</c:v>
                </c:pt>
                <c:pt idx="55">
                  <c:v>0.88611001630912534</c:v>
                </c:pt>
                <c:pt idx="56">
                  <c:v>0.58118157555647532</c:v>
                </c:pt>
                <c:pt idx="57">
                  <c:v>0.68575997115808307</c:v>
                </c:pt>
                <c:pt idx="58">
                  <c:v>0.96863595926079238</c:v>
                </c:pt>
                <c:pt idx="59">
                  <c:v>0.98577995853974443</c:v>
                </c:pt>
                <c:pt idx="60">
                  <c:v>0.8431687058213182</c:v>
                </c:pt>
                <c:pt idx="61">
                  <c:v>0.80237022005577052</c:v>
                </c:pt>
                <c:pt idx="62">
                  <c:v>0.97916365837314367</c:v>
                </c:pt>
                <c:pt idx="63">
                  <c:v>1.1899558348284733</c:v>
                </c:pt>
                <c:pt idx="64">
                  <c:v>1.0028065863687401</c:v>
                </c:pt>
                <c:pt idx="65">
                  <c:v>1.0890695185294919</c:v>
                </c:pt>
                <c:pt idx="66">
                  <c:v>1.0567209189692099</c:v>
                </c:pt>
                <c:pt idx="67">
                  <c:v>1.1322009846098677</c:v>
                </c:pt>
                <c:pt idx="68">
                  <c:v>0.81091861636349938</c:v>
                </c:pt>
                <c:pt idx="69">
                  <c:v>0.7832287123901116</c:v>
                </c:pt>
                <c:pt idx="70">
                  <c:v>0.77531731125485792</c:v>
                </c:pt>
                <c:pt idx="71">
                  <c:v>1.0403492492858553</c:v>
                </c:pt>
                <c:pt idx="72">
                  <c:v>1.0050889598391921</c:v>
                </c:pt>
                <c:pt idx="73">
                  <c:v>1.0830699998267157</c:v>
                </c:pt>
                <c:pt idx="74">
                  <c:v>1.2419202664679672</c:v>
                </c:pt>
                <c:pt idx="75">
                  <c:v>1.516297999757402</c:v>
                </c:pt>
                <c:pt idx="76">
                  <c:v>1.2471856003921449</c:v>
                </c:pt>
                <c:pt idx="77">
                  <c:v>1.230396563463789</c:v>
                </c:pt>
                <c:pt idx="78">
                  <c:v>1.2160059603823412</c:v>
                </c:pt>
                <c:pt idx="79">
                  <c:v>1.2327949973106969</c:v>
                </c:pt>
                <c:pt idx="80">
                  <c:v>1.1643595868791872</c:v>
                </c:pt>
                <c:pt idx="81">
                  <c:v>1.4113999984479384</c:v>
                </c:pt>
                <c:pt idx="82">
                  <c:v>1.5403696250757422</c:v>
                </c:pt>
                <c:pt idx="83">
                  <c:v>1.7456311435115426</c:v>
                </c:pt>
                <c:pt idx="84">
                  <c:v>1.4717107888176919</c:v>
                </c:pt>
                <c:pt idx="85">
                  <c:v>1.5604977285452675</c:v>
                </c:pt>
                <c:pt idx="86">
                  <c:v>1.5134137453564014</c:v>
                </c:pt>
                <c:pt idx="87">
                  <c:v>1.4918896387557772</c:v>
                </c:pt>
                <c:pt idx="88">
                  <c:v>1.4130227364690882</c:v>
                </c:pt>
                <c:pt idx="89">
                  <c:v>1.5009246174313953</c:v>
                </c:pt>
                <c:pt idx="90">
                  <c:v>1.6789259263800673</c:v>
                </c:pt>
                <c:pt idx="91">
                  <c:v>1.4987270704073374</c:v>
                </c:pt>
                <c:pt idx="92">
                  <c:v>1.1920229912599112</c:v>
                </c:pt>
                <c:pt idx="93">
                  <c:v>1.3845805513865119</c:v>
                </c:pt>
                <c:pt idx="94">
                  <c:v>1.6578288986137839</c:v>
                </c:pt>
                <c:pt idx="95">
                  <c:v>1.7696956716397141</c:v>
                </c:pt>
                <c:pt idx="96">
                  <c:v>1.3267653913495412</c:v>
                </c:pt>
                <c:pt idx="97">
                  <c:v>1.6429892670079809</c:v>
                </c:pt>
                <c:pt idx="98">
                  <c:v>2.1104506484161094</c:v>
                </c:pt>
                <c:pt idx="99">
                  <c:v>2.3166836108020483</c:v>
                </c:pt>
                <c:pt idx="100">
                  <c:v>1.7281039658930455</c:v>
                </c:pt>
                <c:pt idx="101">
                  <c:v>1.6018626047482614</c:v>
                </c:pt>
                <c:pt idx="102">
                  <c:v>1.4391515170505396</c:v>
                </c:pt>
                <c:pt idx="103">
                  <c:v>1.3914603361736213</c:v>
                </c:pt>
                <c:pt idx="104">
                  <c:v>1.3411976848868099</c:v>
                </c:pt>
                <c:pt idx="105">
                  <c:v>1.4936373542989028</c:v>
                </c:pt>
                <c:pt idx="106">
                  <c:v>1.5673693012252263</c:v>
                </c:pt>
                <c:pt idx="107">
                  <c:v>1.5628458688984583</c:v>
                </c:pt>
                <c:pt idx="108">
                  <c:v>1.2390638961102156</c:v>
                </c:pt>
                <c:pt idx="109">
                  <c:v>1.2796022597098387</c:v>
                </c:pt>
                <c:pt idx="110">
                  <c:v>1.3395285363353682</c:v>
                </c:pt>
                <c:pt idx="111">
                  <c:v>1.473481389968905</c:v>
                </c:pt>
                <c:pt idx="112">
                  <c:v>1.4781040642017562</c:v>
                </c:pt>
                <c:pt idx="113">
                  <c:v>1.6858213359531233</c:v>
                </c:pt>
                <c:pt idx="114">
                  <c:v>1.9808400697449198</c:v>
                </c:pt>
                <c:pt idx="115">
                  <c:v>2.0470687650859354</c:v>
                </c:pt>
                <c:pt idx="116">
                  <c:v>1.6927976794060919</c:v>
                </c:pt>
                <c:pt idx="117">
                  <c:v>1.6954385494207662</c:v>
                </c:pt>
                <c:pt idx="118">
                  <c:v>1.9106694556167048</c:v>
                </c:pt>
                <c:pt idx="119">
                  <c:v>2.1126960117392724</c:v>
                </c:pt>
                <c:pt idx="120">
                  <c:v>1.8838303729637245</c:v>
                </c:pt>
                <c:pt idx="121">
                  <c:v>1.9045545794869776</c:v>
                </c:pt>
                <c:pt idx="122">
                  <c:v>2.2382143045113558</c:v>
                </c:pt>
                <c:pt idx="123">
                  <c:v>2.5801637121450351</c:v>
                </c:pt>
                <c:pt idx="124">
                  <c:v>2.0475377184683561</c:v>
                </c:pt>
                <c:pt idx="125">
                  <c:v>1.9931783100134441</c:v>
                </c:pt>
                <c:pt idx="126">
                  <c:v>1.9327789672857643</c:v>
                </c:pt>
                <c:pt idx="127">
                  <c:v>2.0384778170592046</c:v>
                </c:pt>
                <c:pt idx="128">
                  <c:v>1.5928665136110201</c:v>
                </c:pt>
                <c:pt idx="129">
                  <c:v>1.8984093145293539</c:v>
                </c:pt>
                <c:pt idx="130">
                  <c:v>2.0129878648737289</c:v>
                </c:pt>
                <c:pt idx="131">
                  <c:v>2.0152345031157757</c:v>
                </c:pt>
                <c:pt idx="132">
                  <c:v>1.784564136037273</c:v>
                </c:pt>
                <c:pt idx="133">
                  <c:v>2.3205530171734678</c:v>
                </c:pt>
                <c:pt idx="134">
                  <c:v>2.0990316009813412</c:v>
                </c:pt>
                <c:pt idx="135">
                  <c:v>1.9936927457291409</c:v>
                </c:pt>
                <c:pt idx="136">
                  <c:v>1.8873953666076204</c:v>
                </c:pt>
                <c:pt idx="137">
                  <c:v>1.9388697856969193</c:v>
                </c:pt>
                <c:pt idx="138">
                  <c:v>1.6762182626515232</c:v>
                </c:pt>
                <c:pt idx="139">
                  <c:v>1.5693098537737487</c:v>
                </c:pt>
                <c:pt idx="140">
                  <c:v>1.2597547809348453</c:v>
                </c:pt>
                <c:pt idx="141">
                  <c:v>1.4357124325229109</c:v>
                </c:pt>
                <c:pt idx="142">
                  <c:v>1.4790643176967819</c:v>
                </c:pt>
                <c:pt idx="143">
                  <c:v>1.591269196970331</c:v>
                </c:pt>
                <c:pt idx="144">
                  <c:v>1.7557297324397947</c:v>
                </c:pt>
                <c:pt idx="145">
                  <c:v>1.6919314136738139</c:v>
                </c:pt>
                <c:pt idx="146">
                  <c:v>1.6574803215401841</c:v>
                </c:pt>
                <c:pt idx="147">
                  <c:v>1.8144241857044974</c:v>
                </c:pt>
                <c:pt idx="148">
                  <c:v>1.8066093108282031</c:v>
                </c:pt>
                <c:pt idx="149">
                  <c:v>1.8204193889512816</c:v>
                </c:pt>
                <c:pt idx="150">
                  <c:v>1.7011505324337839</c:v>
                </c:pt>
                <c:pt idx="151">
                  <c:v>1.7927992327051243</c:v>
                </c:pt>
                <c:pt idx="152">
                  <c:v>1.4489369002986592</c:v>
                </c:pt>
                <c:pt idx="153">
                  <c:v>1.5161754675817076</c:v>
                </c:pt>
                <c:pt idx="154">
                  <c:v>1.5974582194827476</c:v>
                </c:pt>
                <c:pt idx="155">
                  <c:v>1.7335620935798861</c:v>
                </c:pt>
                <c:pt idx="156">
                  <c:v>1.6904303469198023</c:v>
                </c:pt>
                <c:pt idx="157">
                  <c:v>1.7003076527866126</c:v>
                </c:pt>
                <c:pt idx="158">
                  <c:v>1.6382217301952342</c:v>
                </c:pt>
                <c:pt idx="159">
                  <c:v>1.6052973773058667</c:v>
                </c:pt>
                <c:pt idx="160">
                  <c:v>1.5323253506516936</c:v>
                </c:pt>
                <c:pt idx="161">
                  <c:v>1.4837076624723764</c:v>
                </c:pt>
                <c:pt idx="162">
                  <c:v>1.4520193478554999</c:v>
                </c:pt>
                <c:pt idx="163">
                  <c:v>1.5045438145492267</c:v>
                </c:pt>
                <c:pt idx="164">
                  <c:v>1.3641751249355938</c:v>
                </c:pt>
                <c:pt idx="165">
                  <c:v>1.3769027978569606</c:v>
                </c:pt>
                <c:pt idx="166">
                  <c:v>1.4386127271726787</c:v>
                </c:pt>
                <c:pt idx="167">
                  <c:v>1.6175715221882614</c:v>
                </c:pt>
                <c:pt idx="168">
                  <c:v>1.4466805875576036</c:v>
                </c:pt>
                <c:pt idx="169">
                  <c:v>1.4681953245007682</c:v>
                </c:pt>
                <c:pt idx="170">
                  <c:v>1.5471726190476192</c:v>
                </c:pt>
                <c:pt idx="171">
                  <c:v>1.8207267665130566</c:v>
                </c:pt>
                <c:pt idx="172">
                  <c:v>1.8312695652173914</c:v>
                </c:pt>
                <c:pt idx="173">
                  <c:v>1.7164785869565216</c:v>
                </c:pt>
                <c:pt idx="174">
                  <c:v>1.7370130434782609</c:v>
                </c:pt>
                <c:pt idx="175">
                  <c:v>1.2781857608695653</c:v>
                </c:pt>
                <c:pt idx="176">
                  <c:v>1.1136786565655306</c:v>
                </c:pt>
                <c:pt idx="177">
                  <c:v>1.1575872034247345</c:v>
                </c:pt>
                <c:pt idx="178">
                  <c:v>1.2452688366636298</c:v>
                </c:pt>
                <c:pt idx="179">
                  <c:v>1.3149342261273294</c:v>
                </c:pt>
                <c:pt idx="180">
                  <c:v>1.2340725331114348</c:v>
                </c:pt>
                <c:pt idx="181">
                  <c:v>1.2518355176478746</c:v>
                </c:pt>
                <c:pt idx="182">
                  <c:v>1.3444393592677346</c:v>
                </c:pt>
                <c:pt idx="183">
                  <c:v>1.3578475833853407</c:v>
                </c:pt>
                <c:pt idx="184">
                  <c:v>1.2813054757145341</c:v>
                </c:pt>
                <c:pt idx="185">
                  <c:v>1.2084478827816543</c:v>
                </c:pt>
                <c:pt idx="186">
                  <c:v>1.1069541326264556</c:v>
                </c:pt>
                <c:pt idx="187">
                  <c:v>1.1543346080305927</c:v>
                </c:pt>
                <c:pt idx="188">
                  <c:v>1.1093772457637936</c:v>
                </c:pt>
                <c:pt idx="189">
                  <c:v>1.1330568685690943</c:v>
                </c:pt>
                <c:pt idx="190">
                  <c:v>1.20603010238385</c:v>
                </c:pt>
                <c:pt idx="191">
                  <c:v>1.2255419620592516</c:v>
                </c:pt>
                <c:pt idx="192">
                  <c:v>1.177771371084908</c:v>
                </c:pt>
                <c:pt idx="193">
                  <c:v>1.316105852462659</c:v>
                </c:pt>
                <c:pt idx="194">
                  <c:v>1.3847814922705397</c:v>
                </c:pt>
                <c:pt idx="195">
                  <c:v>1.3823415466734386</c:v>
                </c:pt>
                <c:pt idx="196">
                  <c:v>1.2516437302514825</c:v>
                </c:pt>
                <c:pt idx="197">
                  <c:v>1.3390118004155305</c:v>
                </c:pt>
                <c:pt idx="198">
                  <c:v>1.4178397599878805</c:v>
                </c:pt>
                <c:pt idx="199">
                  <c:v>1.5201254577327621</c:v>
                </c:pt>
              </c:numCache>
            </c:numRef>
          </c:val>
          <c:smooth val="0"/>
          <c:extLst>
            <c:ext xmlns:c16="http://schemas.microsoft.com/office/drawing/2014/chart" uri="{C3380CC4-5D6E-409C-BE32-E72D297353CC}">
              <c16:uniqueId val="{00000000-0887-43C2-83F9-E39DBE146E50}"/>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98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tickMarkSkip val="1"/>
        <c:noMultiLvlLbl val="0"/>
      </c:catAx>
      <c:valAx>
        <c:axId val="938285048"/>
        <c:scaling>
          <c:orientation val="minMax"/>
          <c:max val="2.6"/>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midCat"/>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lineChart>
        <c:grouping val="standard"/>
        <c:varyColors val="0"/>
        <c:ser>
          <c:idx val="2"/>
          <c:order val="0"/>
          <c:tx>
            <c:strRef>
              <c:f>'1. 1940s'!$B$22</c:f>
              <c:strCache>
                <c:ptCount val="1"/>
                <c:pt idx="0">
                  <c:v>Berkshire Fine Spinning</c:v>
                </c:pt>
              </c:strCache>
            </c:strRef>
          </c:tx>
          <c:spPr>
            <a:ln w="19050" cap="rnd" cmpd="sng" algn="ctr">
              <a:solidFill>
                <a:schemeClr val="tx1">
                  <a:lumMod val="65000"/>
                  <a:lumOff val="35000"/>
                </a:schemeClr>
              </a:solidFill>
              <a:prstDash val="solid"/>
              <a:round/>
            </a:ln>
            <a:effectLst/>
          </c:spPr>
          <c:marker>
            <c:symbol val="none"/>
          </c:marker>
          <c:cat>
            <c:numRef>
              <c:f>'1. 1940s'!$A$23:$A$32</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1940s'!$B$23:$B$32</c:f>
              <c:numCache>
                <c:formatCode>0.0%</c:formatCode>
                <c:ptCount val="10"/>
                <c:pt idx="0">
                  <c:v>3.2618597490711096E-2</c:v>
                </c:pt>
                <c:pt idx="1">
                  <c:v>6.4413208867209484E-2</c:v>
                </c:pt>
                <c:pt idx="2">
                  <c:v>5.0498958378781593E-2</c:v>
                </c:pt>
                <c:pt idx="3">
                  <c:v>4.4583247596119854E-2</c:v>
                </c:pt>
                <c:pt idx="4">
                  <c:v>5.0544313474081337E-2</c:v>
                </c:pt>
                <c:pt idx="5">
                  <c:v>5.0316973941089187E-2</c:v>
                </c:pt>
                <c:pt idx="6">
                  <c:v>0.13274939452045237</c:v>
                </c:pt>
                <c:pt idx="7">
                  <c:v>0.18762794875403616</c:v>
                </c:pt>
                <c:pt idx="8">
                  <c:v>0.20543313664690521</c:v>
                </c:pt>
                <c:pt idx="9">
                  <c:v>7.0122617963344056E-2</c:v>
                </c:pt>
              </c:numCache>
            </c:numRef>
          </c:val>
          <c:smooth val="0"/>
          <c:extLst>
            <c:ext xmlns:c16="http://schemas.microsoft.com/office/drawing/2014/chart" uri="{C3380CC4-5D6E-409C-BE32-E72D297353CC}">
              <c16:uniqueId val="{00000000-F955-4846-B1EF-36B05CA92296}"/>
            </c:ext>
          </c:extLst>
        </c:ser>
        <c:ser>
          <c:idx val="3"/>
          <c:order val="1"/>
          <c:tx>
            <c:strRef>
              <c:f>'1. 1940s'!$C$22</c:f>
              <c:strCache>
                <c:ptCount val="1"/>
                <c:pt idx="0">
                  <c:v>Hathaway Manufacturing</c:v>
                </c:pt>
              </c:strCache>
            </c:strRef>
          </c:tx>
          <c:spPr>
            <a:ln w="19050" cap="rnd" cmpd="sng" algn="ctr">
              <a:solidFill>
                <a:schemeClr val="bg1">
                  <a:lumMod val="75000"/>
                </a:schemeClr>
              </a:solidFill>
              <a:prstDash val="solid"/>
              <a:round/>
            </a:ln>
            <a:effectLst/>
          </c:spPr>
          <c:marker>
            <c:symbol val="none"/>
          </c:marker>
          <c:cat>
            <c:numRef>
              <c:f>'1. 1940s'!$A$23:$A$32</c:f>
              <c:numCache>
                <c:formatCode>General</c:formatCode>
                <c:ptCount val="10"/>
                <c:pt idx="0">
                  <c:v>1940</c:v>
                </c:pt>
                <c:pt idx="1">
                  <c:v>1941</c:v>
                </c:pt>
                <c:pt idx="2">
                  <c:v>1942</c:v>
                </c:pt>
                <c:pt idx="3">
                  <c:v>1943</c:v>
                </c:pt>
                <c:pt idx="4">
                  <c:v>1944</c:v>
                </c:pt>
                <c:pt idx="5">
                  <c:v>1945</c:v>
                </c:pt>
                <c:pt idx="6">
                  <c:v>1946</c:v>
                </c:pt>
                <c:pt idx="7">
                  <c:v>1947</c:v>
                </c:pt>
                <c:pt idx="8">
                  <c:v>1948</c:v>
                </c:pt>
                <c:pt idx="9">
                  <c:v>1949</c:v>
                </c:pt>
              </c:numCache>
            </c:numRef>
          </c:cat>
          <c:val>
            <c:numRef>
              <c:f>'1. 1940s'!$C$23:$C$32</c:f>
              <c:numCache>
                <c:formatCode>0.0%</c:formatCode>
                <c:ptCount val="10"/>
                <c:pt idx="0">
                  <c:v>3.3563721963940502E-2</c:v>
                </c:pt>
                <c:pt idx="1">
                  <c:v>3.3257848469748011E-2</c:v>
                </c:pt>
                <c:pt idx="2">
                  <c:v>3.1675997421042872E-2</c:v>
                </c:pt>
                <c:pt idx="3">
                  <c:v>2.0134719837892629E-2</c:v>
                </c:pt>
                <c:pt idx="4">
                  <c:v>2.3108872525137599E-2</c:v>
                </c:pt>
                <c:pt idx="5">
                  <c:v>2.8224514359685152E-2</c:v>
                </c:pt>
                <c:pt idx="6">
                  <c:v>6.3445034000687059E-2</c:v>
                </c:pt>
                <c:pt idx="7">
                  <c:v>9.4879111163351376E-2</c:v>
                </c:pt>
                <c:pt idx="8">
                  <c:v>0.10473673901256814</c:v>
                </c:pt>
                <c:pt idx="9">
                  <c:v>5.8450904200403608E-2</c:v>
                </c:pt>
              </c:numCache>
            </c:numRef>
          </c:val>
          <c:smooth val="0"/>
          <c:extLst>
            <c:ext xmlns:c16="http://schemas.microsoft.com/office/drawing/2014/chart" uri="{C3380CC4-5D6E-409C-BE32-E72D297353CC}">
              <c16:uniqueId val="{00000001-F955-4846-B1EF-36B05CA92296}"/>
            </c:ext>
          </c:extLst>
        </c:ser>
        <c:dLbls>
          <c:showLegendKey val="0"/>
          <c:showVal val="0"/>
          <c:showCatName val="0"/>
          <c:showSerName val="0"/>
          <c:showPercent val="0"/>
          <c:showBubbleSize val="0"/>
        </c:dLbls>
        <c:smooth val="0"/>
        <c:axId val="809151936"/>
        <c:axId val="809146688"/>
      </c:lineChart>
      <c:catAx>
        <c:axId val="80915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46688"/>
        <c:crosses val="autoZero"/>
        <c:auto val="1"/>
        <c:lblAlgn val="ctr"/>
        <c:lblOffset val="100"/>
        <c:noMultiLvlLbl val="0"/>
      </c:catAx>
      <c:valAx>
        <c:axId val="809146688"/>
        <c:scaling>
          <c:orientation val="minMax"/>
          <c:max val="0.22000000000000003"/>
          <c:min val="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solidFill>
                      <a:sysClr val="windowText" lastClr="000000"/>
                    </a:solidFill>
                  </a:rPr>
                  <a:t>Profit</a:t>
                </a:r>
                <a:r>
                  <a:rPr lang="en-US" baseline="0">
                    <a:solidFill>
                      <a:sysClr val="windowText" lastClr="000000"/>
                    </a:solidFill>
                  </a:rPr>
                  <a:t> Margin</a:t>
                </a:r>
                <a:endParaRPr lang="en-US">
                  <a:solidFill>
                    <a:sysClr val="windowText" lastClr="000000"/>
                  </a:solidFill>
                </a:endParaRPr>
              </a:p>
            </c:rich>
          </c:tx>
          <c:layout>
            <c:manualLayout>
              <c:xMode val="edge"/>
              <c:yMode val="edge"/>
              <c:x val="2.7777777777777776E-2"/>
              <c:y val="0.282113225430154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51936"/>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'8. Stock price data'!$G$1</c:f>
              <c:strCache>
                <c:ptCount val="1"/>
                <c:pt idx="0">
                  <c:v>Average Share Price</c:v>
                </c:pt>
              </c:strCache>
            </c:strRef>
          </c:tx>
          <c:spPr>
            <a:ln w="25400" cap="rnd">
              <a:solidFill>
                <a:schemeClr val="tx1"/>
              </a:solidFill>
              <a:round/>
            </a:ln>
            <a:effectLst/>
          </c:spPr>
          <c:marker>
            <c:symbol val="none"/>
          </c:marker>
          <c:cat>
            <c:strRef>
              <c:f>'8. Stock price data'!$D$3:$D$203</c:f>
              <c:strCache>
                <c:ptCount val="20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pt idx="84">
                  <c:v>1986</c:v>
                </c:pt>
                <c:pt idx="88">
                  <c:v>1987</c:v>
                </c:pt>
                <c:pt idx="92">
                  <c:v>1988</c:v>
                </c:pt>
                <c:pt idx="96">
                  <c:v>1989</c:v>
                </c:pt>
                <c:pt idx="100">
                  <c:v>1990</c:v>
                </c:pt>
                <c:pt idx="104">
                  <c:v>1991</c:v>
                </c:pt>
                <c:pt idx="108">
                  <c:v>1992</c:v>
                </c:pt>
                <c:pt idx="112">
                  <c:v>1993</c:v>
                </c:pt>
                <c:pt idx="116">
                  <c:v>1994</c:v>
                </c:pt>
                <c:pt idx="120">
                  <c:v>1995</c:v>
                </c:pt>
                <c:pt idx="124">
                  <c:v>1996</c:v>
                </c:pt>
                <c:pt idx="128">
                  <c:v>1997</c:v>
                </c:pt>
                <c:pt idx="132">
                  <c:v>1998</c:v>
                </c:pt>
                <c:pt idx="136">
                  <c:v>1999</c:v>
                </c:pt>
                <c:pt idx="140">
                  <c:v>2000</c:v>
                </c:pt>
                <c:pt idx="144">
                  <c:v>2001</c:v>
                </c:pt>
                <c:pt idx="148">
                  <c:v>2002</c:v>
                </c:pt>
                <c:pt idx="152">
                  <c:v>2003</c:v>
                </c:pt>
                <c:pt idx="156">
                  <c:v>2004</c:v>
                </c:pt>
                <c:pt idx="160">
                  <c:v>2005</c:v>
                </c:pt>
                <c:pt idx="164">
                  <c:v>2006</c:v>
                </c:pt>
                <c:pt idx="168">
                  <c:v>2007</c:v>
                </c:pt>
                <c:pt idx="172">
                  <c:v>2008</c:v>
                </c:pt>
                <c:pt idx="176">
                  <c:v>2009</c:v>
                </c:pt>
                <c:pt idx="180">
                  <c:v>2010</c:v>
                </c:pt>
                <c:pt idx="184">
                  <c:v>2011</c:v>
                </c:pt>
                <c:pt idx="188">
                  <c:v>2012</c:v>
                </c:pt>
                <c:pt idx="192">
                  <c:v>2013</c:v>
                </c:pt>
                <c:pt idx="196">
                  <c:v>2014</c:v>
                </c:pt>
                <c:pt idx="200">
                  <c:v>2015</c:v>
                </c:pt>
              </c:strCache>
            </c:strRef>
          </c:cat>
          <c:val>
            <c:numRef>
              <c:f>'8. Stock price data'!$G$3:$G$203</c:f>
              <c:numCache>
                <c:formatCode>_("$"* #,##0_);_("$"* \(#,##0\);_("$"* "-"??_);_(@_)</c:formatCode>
                <c:ptCount val="201"/>
                <c:pt idx="0">
                  <c:v>14</c:v>
                </c:pt>
                <c:pt idx="1">
                  <c:v>18.5</c:v>
                </c:pt>
                <c:pt idx="2">
                  <c:v>18</c:v>
                </c:pt>
                <c:pt idx="3">
                  <c:v>20</c:v>
                </c:pt>
                <c:pt idx="4">
                  <c:v>23.5</c:v>
                </c:pt>
                <c:pt idx="5">
                  <c:v>24</c:v>
                </c:pt>
                <c:pt idx="6">
                  <c:v>20.5</c:v>
                </c:pt>
                <c:pt idx="7">
                  <c:v>17.5</c:v>
                </c:pt>
                <c:pt idx="8">
                  <c:v>18.5</c:v>
                </c:pt>
                <c:pt idx="9">
                  <c:v>18</c:v>
                </c:pt>
                <c:pt idx="10">
                  <c:v>19.5</c:v>
                </c:pt>
                <c:pt idx="11">
                  <c:v>20</c:v>
                </c:pt>
                <c:pt idx="12">
                  <c:v>22</c:v>
                </c:pt>
                <c:pt idx="13">
                  <c:v>27</c:v>
                </c:pt>
                <c:pt idx="14">
                  <c:v>29.5</c:v>
                </c:pt>
                <c:pt idx="15">
                  <c:v>35.5</c:v>
                </c:pt>
                <c:pt idx="16">
                  <c:v>37</c:v>
                </c:pt>
                <c:pt idx="17">
                  <c:v>40</c:v>
                </c:pt>
                <c:pt idx="18">
                  <c:v>35</c:v>
                </c:pt>
                <c:pt idx="19">
                  <c:v>39</c:v>
                </c:pt>
                <c:pt idx="20">
                  <c:v>43.5</c:v>
                </c:pt>
                <c:pt idx="21">
                  <c:v>39.5</c:v>
                </c:pt>
                <c:pt idx="22">
                  <c:v>39</c:v>
                </c:pt>
                <c:pt idx="23">
                  <c:v>41</c:v>
                </c:pt>
                <c:pt idx="24">
                  <c:v>45.5</c:v>
                </c:pt>
                <c:pt idx="25">
                  <c:v>51.5</c:v>
                </c:pt>
                <c:pt idx="26">
                  <c:v>52</c:v>
                </c:pt>
                <c:pt idx="27">
                  <c:v>72</c:v>
                </c:pt>
                <c:pt idx="28">
                  <c:v>74.5</c:v>
                </c:pt>
                <c:pt idx="29">
                  <c:v>78</c:v>
                </c:pt>
                <c:pt idx="30">
                  <c:v>82</c:v>
                </c:pt>
                <c:pt idx="31">
                  <c:v>80</c:v>
                </c:pt>
                <c:pt idx="32">
                  <c:v>86.5</c:v>
                </c:pt>
                <c:pt idx="33">
                  <c:v>86</c:v>
                </c:pt>
                <c:pt idx="34">
                  <c:v>85.5</c:v>
                </c:pt>
                <c:pt idx="35">
                  <c:v>79</c:v>
                </c:pt>
                <c:pt idx="36">
                  <c:v>74</c:v>
                </c:pt>
                <c:pt idx="37">
                  <c:v>70</c:v>
                </c:pt>
                <c:pt idx="38">
                  <c:v>56.5</c:v>
                </c:pt>
                <c:pt idx="39">
                  <c:v>44.5</c:v>
                </c:pt>
                <c:pt idx="40">
                  <c:v>44.5</c:v>
                </c:pt>
                <c:pt idx="41">
                  <c:v>48</c:v>
                </c:pt>
                <c:pt idx="42">
                  <c:v>50.5</c:v>
                </c:pt>
                <c:pt idx="43">
                  <c:v>40.5</c:v>
                </c:pt>
                <c:pt idx="44">
                  <c:v>47</c:v>
                </c:pt>
                <c:pt idx="45">
                  <c:v>57.5</c:v>
                </c:pt>
                <c:pt idx="46">
                  <c:v>67</c:v>
                </c:pt>
                <c:pt idx="47">
                  <c:v>80.5</c:v>
                </c:pt>
                <c:pt idx="48">
                  <c:v>91</c:v>
                </c:pt>
                <c:pt idx="49">
                  <c:v>97.5</c:v>
                </c:pt>
                <c:pt idx="50">
                  <c:v>103.5</c:v>
                </c:pt>
                <c:pt idx="51">
                  <c:v>123</c:v>
                </c:pt>
                <c:pt idx="52">
                  <c:v>138</c:v>
                </c:pt>
                <c:pt idx="53">
                  <c:v>161</c:v>
                </c:pt>
                <c:pt idx="54">
                  <c:v>172.5</c:v>
                </c:pt>
                <c:pt idx="55">
                  <c:v>170.5</c:v>
                </c:pt>
                <c:pt idx="56">
                  <c:v>169.5</c:v>
                </c:pt>
                <c:pt idx="57">
                  <c:v>200</c:v>
                </c:pt>
                <c:pt idx="58">
                  <c:v>282.5</c:v>
                </c:pt>
                <c:pt idx="59">
                  <c:v>287.5</c:v>
                </c:pt>
                <c:pt idx="60">
                  <c:v>310</c:v>
                </c:pt>
                <c:pt idx="61">
                  <c:v>295</c:v>
                </c:pt>
                <c:pt idx="62">
                  <c:v>360</c:v>
                </c:pt>
                <c:pt idx="63">
                  <c:v>437.5</c:v>
                </c:pt>
                <c:pt idx="64">
                  <c:v>465</c:v>
                </c:pt>
                <c:pt idx="65">
                  <c:v>505</c:v>
                </c:pt>
                <c:pt idx="66">
                  <c:v>490</c:v>
                </c:pt>
                <c:pt idx="67">
                  <c:v>525</c:v>
                </c:pt>
                <c:pt idx="68">
                  <c:v>512.5</c:v>
                </c:pt>
                <c:pt idx="69">
                  <c:v>495</c:v>
                </c:pt>
                <c:pt idx="70">
                  <c:v>490</c:v>
                </c:pt>
                <c:pt idx="71">
                  <c:v>657.5</c:v>
                </c:pt>
                <c:pt idx="72">
                  <c:v>870</c:v>
                </c:pt>
                <c:pt idx="73">
                  <c:v>937.5</c:v>
                </c:pt>
                <c:pt idx="74">
                  <c:v>1075</c:v>
                </c:pt>
                <c:pt idx="75">
                  <c:v>1312.5</c:v>
                </c:pt>
                <c:pt idx="76">
                  <c:v>1300</c:v>
                </c:pt>
                <c:pt idx="77">
                  <c:v>1282.5</c:v>
                </c:pt>
                <c:pt idx="78">
                  <c:v>1267.5</c:v>
                </c:pt>
                <c:pt idx="79">
                  <c:v>1285</c:v>
                </c:pt>
                <c:pt idx="80">
                  <c:v>1602.5</c:v>
                </c:pt>
                <c:pt idx="81">
                  <c:v>1942.5</c:v>
                </c:pt>
                <c:pt idx="82">
                  <c:v>2120</c:v>
                </c:pt>
                <c:pt idx="83">
                  <c:v>2402.5</c:v>
                </c:pt>
                <c:pt idx="84">
                  <c:v>2735</c:v>
                </c:pt>
                <c:pt idx="85">
                  <c:v>2900</c:v>
                </c:pt>
                <c:pt idx="86">
                  <c:v>2812.5</c:v>
                </c:pt>
                <c:pt idx="87">
                  <c:v>2772.5</c:v>
                </c:pt>
                <c:pt idx="88">
                  <c:v>3215</c:v>
                </c:pt>
                <c:pt idx="89">
                  <c:v>3415</c:v>
                </c:pt>
                <c:pt idx="90">
                  <c:v>3820</c:v>
                </c:pt>
                <c:pt idx="91">
                  <c:v>3410</c:v>
                </c:pt>
                <c:pt idx="92">
                  <c:v>3250</c:v>
                </c:pt>
                <c:pt idx="93">
                  <c:v>3775</c:v>
                </c:pt>
                <c:pt idx="94">
                  <c:v>4520</c:v>
                </c:pt>
                <c:pt idx="95">
                  <c:v>4825</c:v>
                </c:pt>
                <c:pt idx="96">
                  <c:v>4825</c:v>
                </c:pt>
                <c:pt idx="97">
                  <c:v>5975</c:v>
                </c:pt>
                <c:pt idx="98">
                  <c:v>7675</c:v>
                </c:pt>
                <c:pt idx="99">
                  <c:v>8425</c:v>
                </c:pt>
                <c:pt idx="100">
                  <c:v>7700</c:v>
                </c:pt>
                <c:pt idx="101">
                  <c:v>7137.5</c:v>
                </c:pt>
                <c:pt idx="102">
                  <c:v>6412.5</c:v>
                </c:pt>
                <c:pt idx="103">
                  <c:v>6200</c:v>
                </c:pt>
                <c:pt idx="104">
                  <c:v>7412.5</c:v>
                </c:pt>
                <c:pt idx="105">
                  <c:v>8255</c:v>
                </c:pt>
                <c:pt idx="106">
                  <c:v>8662.5</c:v>
                </c:pt>
                <c:pt idx="107">
                  <c:v>8637.5</c:v>
                </c:pt>
                <c:pt idx="108">
                  <c:v>8787.5</c:v>
                </c:pt>
                <c:pt idx="109">
                  <c:v>9075</c:v>
                </c:pt>
                <c:pt idx="110">
                  <c:v>9500</c:v>
                </c:pt>
                <c:pt idx="111">
                  <c:v>10450</c:v>
                </c:pt>
                <c:pt idx="112">
                  <c:v>12275</c:v>
                </c:pt>
                <c:pt idx="113">
                  <c:v>14000</c:v>
                </c:pt>
                <c:pt idx="114">
                  <c:v>16450</c:v>
                </c:pt>
                <c:pt idx="115">
                  <c:v>17000</c:v>
                </c:pt>
                <c:pt idx="116">
                  <c:v>16025</c:v>
                </c:pt>
                <c:pt idx="117">
                  <c:v>16050</c:v>
                </c:pt>
                <c:pt idx="118">
                  <c:v>18087.5</c:v>
                </c:pt>
                <c:pt idx="119">
                  <c:v>20000</c:v>
                </c:pt>
                <c:pt idx="120">
                  <c:v>22725</c:v>
                </c:pt>
                <c:pt idx="121">
                  <c:v>22975</c:v>
                </c:pt>
                <c:pt idx="122">
                  <c:v>27000</c:v>
                </c:pt>
                <c:pt idx="123">
                  <c:v>31125</c:v>
                </c:pt>
                <c:pt idx="124">
                  <c:v>33900</c:v>
                </c:pt>
                <c:pt idx="125">
                  <c:v>33000</c:v>
                </c:pt>
                <c:pt idx="126">
                  <c:v>32000</c:v>
                </c:pt>
                <c:pt idx="127">
                  <c:v>33750</c:v>
                </c:pt>
                <c:pt idx="128">
                  <c:v>35450</c:v>
                </c:pt>
                <c:pt idx="129">
                  <c:v>42250</c:v>
                </c:pt>
                <c:pt idx="130">
                  <c:v>44800</c:v>
                </c:pt>
                <c:pt idx="131">
                  <c:v>44850</c:v>
                </c:pt>
                <c:pt idx="132">
                  <c:v>57600</c:v>
                </c:pt>
                <c:pt idx="133">
                  <c:v>74900</c:v>
                </c:pt>
                <c:pt idx="134">
                  <c:v>67750</c:v>
                </c:pt>
                <c:pt idx="135">
                  <c:v>64350</c:v>
                </c:pt>
                <c:pt idx="136">
                  <c:v>71500</c:v>
                </c:pt>
                <c:pt idx="137">
                  <c:v>73450</c:v>
                </c:pt>
                <c:pt idx="138">
                  <c:v>63500</c:v>
                </c:pt>
                <c:pt idx="139">
                  <c:v>59450</c:v>
                </c:pt>
                <c:pt idx="140">
                  <c:v>49400</c:v>
                </c:pt>
                <c:pt idx="141">
                  <c:v>56300</c:v>
                </c:pt>
                <c:pt idx="142">
                  <c:v>58000</c:v>
                </c:pt>
                <c:pt idx="143">
                  <c:v>62400</c:v>
                </c:pt>
                <c:pt idx="144">
                  <c:v>68800</c:v>
                </c:pt>
                <c:pt idx="145">
                  <c:v>66300</c:v>
                </c:pt>
                <c:pt idx="146">
                  <c:v>64950</c:v>
                </c:pt>
                <c:pt idx="147">
                  <c:v>71100</c:v>
                </c:pt>
                <c:pt idx="148">
                  <c:v>71950</c:v>
                </c:pt>
                <c:pt idx="149">
                  <c:v>72500</c:v>
                </c:pt>
                <c:pt idx="150">
                  <c:v>67750</c:v>
                </c:pt>
                <c:pt idx="151">
                  <c:v>71400</c:v>
                </c:pt>
                <c:pt idx="152">
                  <c:v>66802.5</c:v>
                </c:pt>
                <c:pt idx="153">
                  <c:v>69902.5</c:v>
                </c:pt>
                <c:pt idx="154">
                  <c:v>73650</c:v>
                </c:pt>
                <c:pt idx="155">
                  <c:v>79925</c:v>
                </c:pt>
                <c:pt idx="156">
                  <c:v>89850</c:v>
                </c:pt>
                <c:pt idx="157">
                  <c:v>90375</c:v>
                </c:pt>
                <c:pt idx="158">
                  <c:v>87075</c:v>
                </c:pt>
                <c:pt idx="159">
                  <c:v>85325</c:v>
                </c:pt>
                <c:pt idx="160">
                  <c:v>88250</c:v>
                </c:pt>
                <c:pt idx="161">
                  <c:v>85450</c:v>
                </c:pt>
                <c:pt idx="162">
                  <c:v>83625</c:v>
                </c:pt>
                <c:pt idx="163">
                  <c:v>86650</c:v>
                </c:pt>
                <c:pt idx="164">
                  <c:v>88425</c:v>
                </c:pt>
                <c:pt idx="165">
                  <c:v>89250</c:v>
                </c:pt>
                <c:pt idx="166">
                  <c:v>93250</c:v>
                </c:pt>
                <c:pt idx="167">
                  <c:v>104850</c:v>
                </c:pt>
                <c:pt idx="168">
                  <c:v>107250</c:v>
                </c:pt>
                <c:pt idx="169">
                  <c:v>108845</c:v>
                </c:pt>
                <c:pt idx="170">
                  <c:v>114700</c:v>
                </c:pt>
                <c:pt idx="171">
                  <c:v>134980</c:v>
                </c:pt>
                <c:pt idx="172">
                  <c:v>136000</c:v>
                </c:pt>
                <c:pt idx="173">
                  <c:v>127475</c:v>
                </c:pt>
                <c:pt idx="174">
                  <c:v>129000</c:v>
                </c:pt>
                <c:pt idx="175">
                  <c:v>94925</c:v>
                </c:pt>
                <c:pt idx="176">
                  <c:v>86325</c:v>
                </c:pt>
                <c:pt idx="177">
                  <c:v>89728.5</c:v>
                </c:pt>
                <c:pt idx="178">
                  <c:v>96525</c:v>
                </c:pt>
                <c:pt idx="179">
                  <c:v>101925</c:v>
                </c:pt>
                <c:pt idx="180">
                  <c:v>111228.5</c:v>
                </c:pt>
                <c:pt idx="181">
                  <c:v>112829.5</c:v>
                </c:pt>
                <c:pt idx="182">
                  <c:v>121176</c:v>
                </c:pt>
                <c:pt idx="183">
                  <c:v>122384.5</c:v>
                </c:pt>
                <c:pt idx="184">
                  <c:v>125127.5</c:v>
                </c:pt>
                <c:pt idx="185">
                  <c:v>118012.5</c:v>
                </c:pt>
                <c:pt idx="186">
                  <c:v>108101</c:v>
                </c:pt>
                <c:pt idx="187">
                  <c:v>112728</c:v>
                </c:pt>
                <c:pt idx="188">
                  <c:v>118716.5</c:v>
                </c:pt>
                <c:pt idx="189">
                  <c:v>121250.5</c:v>
                </c:pt>
                <c:pt idx="190">
                  <c:v>129059.5</c:v>
                </c:pt>
                <c:pt idx="191">
                  <c:v>131147.5</c:v>
                </c:pt>
                <c:pt idx="192">
                  <c:v>146742</c:v>
                </c:pt>
                <c:pt idx="193">
                  <c:v>163977.5</c:v>
                </c:pt>
                <c:pt idx="194">
                  <c:v>172534</c:v>
                </c:pt>
                <c:pt idx="195">
                  <c:v>172230</c:v>
                </c:pt>
                <c:pt idx="196">
                  <c:v>175946</c:v>
                </c:pt>
                <c:pt idx="197">
                  <c:v>188227.5</c:v>
                </c:pt>
                <c:pt idx="198">
                  <c:v>199308.5</c:v>
                </c:pt>
                <c:pt idx="199">
                  <c:v>213687</c:v>
                </c:pt>
              </c:numCache>
            </c:numRef>
          </c:val>
          <c:smooth val="0"/>
          <c:extLst>
            <c:ext xmlns:c16="http://schemas.microsoft.com/office/drawing/2014/chart" uri="{C3380CC4-5D6E-409C-BE32-E72D297353CC}">
              <c16:uniqueId val="{00000000-8298-4292-8D6A-F1A0AEB5327A}"/>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logBase val="10"/>
          <c:orientation val="minMax"/>
          <c:max val="225000"/>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numRef>
              <c:f>'8. Stock price data'!$D$163:$D$203</c:f>
              <c:numCache>
                <c:formatCode>General</c:formatCode>
                <c:ptCount val="41"/>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'8. Stock price data'!$U$163:$U$203</c:f>
              <c:numCache>
                <c:formatCode>_(* #,##0.00_);_(* \(#,##0.00\);_(* "-"??_);_(@_)</c:formatCode>
                <c:ptCount val="41"/>
                <c:pt idx="0">
                  <c:v>1.5323253506516936</c:v>
                </c:pt>
                <c:pt idx="1">
                  <c:v>1.4837076624723764</c:v>
                </c:pt>
                <c:pt idx="2">
                  <c:v>1.4520193478554999</c:v>
                </c:pt>
                <c:pt idx="3">
                  <c:v>1.5045438145492267</c:v>
                </c:pt>
                <c:pt idx="4">
                  <c:v>1.3641751249355938</c:v>
                </c:pt>
                <c:pt idx="5">
                  <c:v>1.3769027978569606</c:v>
                </c:pt>
                <c:pt idx="6">
                  <c:v>1.4386127271726787</c:v>
                </c:pt>
                <c:pt idx="7">
                  <c:v>1.6175715221882614</c:v>
                </c:pt>
                <c:pt idx="8">
                  <c:v>1.4466805875576036</c:v>
                </c:pt>
                <c:pt idx="9">
                  <c:v>1.4681953245007682</c:v>
                </c:pt>
                <c:pt idx="10">
                  <c:v>1.5471726190476192</c:v>
                </c:pt>
                <c:pt idx="11">
                  <c:v>1.8207267665130566</c:v>
                </c:pt>
                <c:pt idx="12">
                  <c:v>1.8312695652173914</c:v>
                </c:pt>
                <c:pt idx="13">
                  <c:v>1.7164785869565216</c:v>
                </c:pt>
                <c:pt idx="14">
                  <c:v>1.7370130434782609</c:v>
                </c:pt>
                <c:pt idx="15">
                  <c:v>1.2781857608695653</c:v>
                </c:pt>
                <c:pt idx="16">
                  <c:v>1.1136786565655306</c:v>
                </c:pt>
                <c:pt idx="17">
                  <c:v>1.1575872034247345</c:v>
                </c:pt>
                <c:pt idx="18">
                  <c:v>1.2452688366636298</c:v>
                </c:pt>
                <c:pt idx="19">
                  <c:v>1.3149342261273294</c:v>
                </c:pt>
                <c:pt idx="20">
                  <c:v>1.2340725331114348</c:v>
                </c:pt>
                <c:pt idx="21">
                  <c:v>1.2518355176478746</c:v>
                </c:pt>
                <c:pt idx="22">
                  <c:v>1.3444393592677346</c:v>
                </c:pt>
                <c:pt idx="23">
                  <c:v>1.3578475833853407</c:v>
                </c:pt>
                <c:pt idx="24">
                  <c:v>1.2813054757145341</c:v>
                </c:pt>
                <c:pt idx="25">
                  <c:v>1.2084478827816543</c:v>
                </c:pt>
                <c:pt idx="26">
                  <c:v>1.1069541326264556</c:v>
                </c:pt>
                <c:pt idx="27">
                  <c:v>1.1543346080305927</c:v>
                </c:pt>
                <c:pt idx="28">
                  <c:v>1.1093772457637936</c:v>
                </c:pt>
                <c:pt idx="29">
                  <c:v>1.1330568685690943</c:v>
                </c:pt>
                <c:pt idx="30">
                  <c:v>1.20603010238385</c:v>
                </c:pt>
                <c:pt idx="31">
                  <c:v>1.2255419620592516</c:v>
                </c:pt>
                <c:pt idx="32">
                  <c:v>1.177771371084908</c:v>
                </c:pt>
                <c:pt idx="33">
                  <c:v>1.316105852462659</c:v>
                </c:pt>
                <c:pt idx="34">
                  <c:v>1.3847814922705397</c:v>
                </c:pt>
                <c:pt idx="35">
                  <c:v>1.3823415466734386</c:v>
                </c:pt>
                <c:pt idx="36">
                  <c:v>1.2516437302514825</c:v>
                </c:pt>
                <c:pt idx="37">
                  <c:v>1.3390118004155305</c:v>
                </c:pt>
                <c:pt idx="38">
                  <c:v>1.4178397599878805</c:v>
                </c:pt>
                <c:pt idx="39">
                  <c:v>1.5201254577327621</c:v>
                </c:pt>
              </c:numCache>
            </c:numRef>
          </c:val>
          <c:smooth val="0"/>
          <c:extLst>
            <c:ext xmlns:c16="http://schemas.microsoft.com/office/drawing/2014/chart" uri="{C3380CC4-5D6E-409C-BE32-E72D297353CC}">
              <c16:uniqueId val="{00000000-96CB-4473-92F6-5EE237FE3480}"/>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98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tickMarkSkip val="1"/>
        <c:noMultiLvlLbl val="0"/>
      </c:catAx>
      <c:valAx>
        <c:axId val="938285048"/>
        <c:scaling>
          <c:orientation val="minMax"/>
          <c:max val="2.6"/>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midCat"/>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2771999854184893"/>
          <c:y val="3.4722222222222224E-2"/>
          <c:w val="0.52141203703703709"/>
          <c:h val="0.89384920634920639"/>
        </c:manualLayout>
      </c:layout>
      <c:pieChart>
        <c:varyColors val="1"/>
        <c:ser>
          <c:idx val="0"/>
          <c:order val="0"/>
          <c:dPt>
            <c:idx val="0"/>
            <c:bubble3D val="0"/>
            <c:spPr>
              <a:solidFill>
                <a:schemeClr val="accent3">
                  <a:shade val="50000"/>
                </a:schemeClr>
              </a:solidFill>
              <a:ln w="19050">
                <a:solidFill>
                  <a:schemeClr val="lt1"/>
                </a:solidFill>
              </a:ln>
              <a:effectLst/>
            </c:spPr>
            <c:extLst>
              <c:ext xmlns:c16="http://schemas.microsoft.com/office/drawing/2014/chart" uri="{C3380CC4-5D6E-409C-BE32-E72D297353CC}">
                <c16:uniqueId val="{00000003-2253-47DE-BDBC-5FD3710B23F7}"/>
              </c:ext>
            </c:extLst>
          </c:dPt>
          <c:dPt>
            <c:idx val="1"/>
            <c:bubble3D val="0"/>
            <c:spPr>
              <a:solidFill>
                <a:schemeClr val="accent3">
                  <a:shade val="70000"/>
                </a:schemeClr>
              </a:solidFill>
              <a:ln w="19050">
                <a:solidFill>
                  <a:schemeClr val="lt1"/>
                </a:solidFill>
              </a:ln>
              <a:effectLst/>
            </c:spPr>
            <c:extLst>
              <c:ext xmlns:c16="http://schemas.microsoft.com/office/drawing/2014/chart" uri="{C3380CC4-5D6E-409C-BE32-E72D297353CC}">
                <c16:uniqueId val="{00000003-0FC0-41D9-AFA7-34F3E5C1896C}"/>
              </c:ext>
            </c:extLst>
          </c:dPt>
          <c:dPt>
            <c:idx val="2"/>
            <c:bubble3D val="0"/>
            <c:spPr>
              <a:solidFill>
                <a:schemeClr val="accent3">
                  <a:shade val="90000"/>
                </a:schemeClr>
              </a:solidFill>
              <a:ln w="19050">
                <a:solidFill>
                  <a:schemeClr val="lt1"/>
                </a:solidFill>
              </a:ln>
              <a:effectLst/>
            </c:spPr>
            <c:extLst>
              <c:ext xmlns:c16="http://schemas.microsoft.com/office/drawing/2014/chart" uri="{C3380CC4-5D6E-409C-BE32-E72D297353CC}">
                <c16:uniqueId val="{00000005-0FC0-41D9-AFA7-34F3E5C1896C}"/>
              </c:ext>
            </c:extLst>
          </c:dPt>
          <c:dPt>
            <c:idx val="3"/>
            <c:bubble3D val="0"/>
            <c:spPr>
              <a:solidFill>
                <a:schemeClr val="accent3">
                  <a:tint val="90000"/>
                </a:schemeClr>
              </a:solidFill>
              <a:ln w="19050">
                <a:solidFill>
                  <a:schemeClr val="lt1"/>
                </a:solidFill>
              </a:ln>
              <a:effectLst/>
            </c:spPr>
            <c:extLst>
              <c:ext xmlns:c16="http://schemas.microsoft.com/office/drawing/2014/chart" uri="{C3380CC4-5D6E-409C-BE32-E72D297353CC}">
                <c16:uniqueId val="{00000001-2253-47DE-BDBC-5FD3710B23F7}"/>
              </c:ext>
            </c:extLst>
          </c:dPt>
          <c:dPt>
            <c:idx val="4"/>
            <c:bubble3D val="0"/>
            <c:spPr>
              <a:solidFill>
                <a:schemeClr val="accent3">
                  <a:tint val="70000"/>
                </a:schemeClr>
              </a:solidFill>
              <a:ln w="19050">
                <a:solidFill>
                  <a:schemeClr val="lt1"/>
                </a:solidFill>
              </a:ln>
              <a:effectLst/>
            </c:spPr>
            <c:extLst>
              <c:ext xmlns:c16="http://schemas.microsoft.com/office/drawing/2014/chart" uri="{C3380CC4-5D6E-409C-BE32-E72D297353CC}">
                <c16:uniqueId val="{00000009-0FC0-41D9-AFA7-34F3E5C1896C}"/>
              </c:ext>
            </c:extLst>
          </c:dPt>
          <c:dPt>
            <c:idx val="5"/>
            <c:bubble3D val="0"/>
            <c:spPr>
              <a:solidFill>
                <a:schemeClr val="accent3">
                  <a:tint val="50000"/>
                </a:schemeClr>
              </a:solidFill>
              <a:ln w="19050">
                <a:solidFill>
                  <a:schemeClr val="lt1"/>
                </a:solidFill>
              </a:ln>
              <a:effectLst/>
            </c:spPr>
            <c:extLst>
              <c:ext xmlns:c16="http://schemas.microsoft.com/office/drawing/2014/chart" uri="{C3380CC4-5D6E-409C-BE32-E72D297353CC}">
                <c16:uniqueId val="{00000002-2253-47DE-BDBC-5FD3710B23F7}"/>
              </c:ext>
            </c:extLst>
          </c:dPt>
          <c:dLbls>
            <c:dLbl>
              <c:idx val="0"/>
              <c:layout>
                <c:manualLayout>
                  <c:x val="-1.8328047535724702E-3"/>
                  <c:y val="-4.07058492688413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253-47DE-BDBC-5FD3710B23F7}"/>
                </c:ext>
              </c:extLst>
            </c:dLbl>
            <c:dLbl>
              <c:idx val="5"/>
              <c:layout>
                <c:manualLayout>
                  <c:x val="-8.618948673082532E-3"/>
                  <c:y val="0.155078427696537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253-47DE-BDBC-5FD3710B23F7}"/>
                </c:ext>
              </c:extLst>
            </c:dLbl>
            <c:numFmt formatCode="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'9. After Tax Earnings'!$Y$6:$Y$12</c15:sqref>
                  </c15:fullRef>
                </c:ext>
              </c:extLst>
              <c:f>('9. After Tax Earnings'!$Y$6:$Y$10,'9. After Tax Earnings'!$Y$12)</c:f>
              <c:strCache>
                <c:ptCount val="6"/>
                <c:pt idx="0">
                  <c:v>Insurance underwriting (2%)</c:v>
                </c:pt>
                <c:pt idx="1">
                  <c:v>Investment income (23%)</c:v>
                </c:pt>
                <c:pt idx="2">
                  <c:v>BNSF (24%)</c:v>
                </c:pt>
                <c:pt idx="3">
                  <c:v>Utilities and energy (13%)</c:v>
                </c:pt>
                <c:pt idx="4">
                  <c:v>MSR (41%)</c:v>
                </c:pt>
                <c:pt idx="5">
                  <c:v>Other (-2%)</c:v>
                </c:pt>
              </c:strCache>
            </c:strRef>
          </c:cat>
          <c:val>
            <c:numRef>
              <c:extLst>
                <c:ext xmlns:c15="http://schemas.microsoft.com/office/drawing/2012/chart" uri="{02D57815-91ED-43cb-92C2-25804820EDAC}">
                  <c15:fullRef>
                    <c15:sqref>'9. After Tax Earnings'!$V$6:$V$12</c15:sqref>
                  </c15:fullRef>
                </c:ext>
              </c:extLst>
              <c:f>('9. After Tax Earnings'!$V$6:$V$10,'9. After Tax Earnings'!$V$12)</c:f>
              <c:numCache>
                <c:formatCode>"$"#,##0_);\("$"#,##0\)</c:formatCode>
                <c:ptCount val="6"/>
                <c:pt idx="0">
                  <c:v>2204</c:v>
                </c:pt>
                <c:pt idx="1">
                  <c:v>21362</c:v>
                </c:pt>
                <c:pt idx="2">
                  <c:v>22476</c:v>
                </c:pt>
                <c:pt idx="3">
                  <c:v>11963</c:v>
                </c:pt>
                <c:pt idx="4">
                  <c:v>39398</c:v>
                </c:pt>
                <c:pt idx="5">
                  <c:v>-2281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2253-47DE-BDBC-5FD3710B23F7}"/>
            </c:ext>
          </c:extLst>
        </c:ser>
        <c:dLbls>
          <c:dLblPos val="bestFit"/>
          <c:showLegendKey val="0"/>
          <c:showVal val="1"/>
          <c:showCatName val="0"/>
          <c:showSerName val="0"/>
          <c:showPercent val="0"/>
          <c:showBubbleSize val="0"/>
          <c:showLeaderLines val="1"/>
        </c:dLbls>
        <c:firstSliceAng val="27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4979166666666666"/>
          <c:y val="4.621047369078865E-2"/>
          <c:w val="0.45301709682123076"/>
          <c:h val="0.90757905261842264"/>
        </c:manualLayout>
      </c:layout>
      <c:barChart>
        <c:barDir val="col"/>
        <c:grouping val="stacked"/>
        <c:varyColors val="0"/>
        <c:ser>
          <c:idx val="6"/>
          <c:order val="0"/>
          <c:tx>
            <c:strRef>
              <c:f>'9. After Tax Earnings'!$Y$12</c:f>
              <c:strCache>
                <c:ptCount val="1"/>
                <c:pt idx="0">
                  <c:v>Other (-2%)</c:v>
                </c:pt>
              </c:strCache>
            </c:strRef>
          </c:tx>
          <c:spPr>
            <a:pattFill prst="ltDnDiag">
              <a:fgClr>
                <a:schemeClr val="tx1">
                  <a:lumMod val="75000"/>
                  <a:lumOff val="25000"/>
                </a:schemeClr>
              </a:fgClr>
              <a:bgClr>
                <a:schemeClr val="bg1"/>
              </a:bgClr>
            </a:pattFill>
            <a:ln>
              <a:noFill/>
            </a:ln>
            <a:effectLst/>
          </c:spPr>
          <c:invertIfNegative val="0"/>
          <c:dLbls>
            <c:dLbl>
              <c:idx val="0"/>
              <c:layout>
                <c:manualLayout>
                  <c:x val="0.17014790019851897"/>
                  <c:y val="-3.21313193590070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3-44FE-AF60-5C4E10E5727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Earnings'!$V$12</c:f>
              <c:numCache>
                <c:formatCode>"$"#,##0_);\("$"#,##0\)</c:formatCode>
                <c:ptCount val="1"/>
                <c:pt idx="0">
                  <c:v>-2281</c:v>
                </c:pt>
              </c:numCache>
            </c:numRef>
          </c:val>
          <c:extLst>
            <c:ext xmlns:c16="http://schemas.microsoft.com/office/drawing/2014/chart" uri="{C3380CC4-5D6E-409C-BE32-E72D297353CC}">
              <c16:uniqueId val="{0000000C-264B-44DF-BAF9-6E71D4567F65}"/>
            </c:ext>
          </c:extLst>
        </c:ser>
        <c:ser>
          <c:idx val="4"/>
          <c:order val="1"/>
          <c:tx>
            <c:strRef>
              <c:f>'9. After Tax Earnings'!$Y$10</c:f>
              <c:strCache>
                <c:ptCount val="1"/>
                <c:pt idx="0">
                  <c:v>MSR (41%)</c:v>
                </c:pt>
              </c:strCache>
            </c:strRef>
          </c:tx>
          <c:spPr>
            <a:solidFill>
              <a:schemeClr val="tx1">
                <a:lumMod val="85000"/>
                <a:lumOff val="1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Earnings'!$V$10</c:f>
              <c:numCache>
                <c:formatCode>"$"#,##0_);\("$"#,##0\)</c:formatCode>
                <c:ptCount val="1"/>
                <c:pt idx="0">
                  <c:v>39398</c:v>
                </c:pt>
              </c:numCache>
            </c:numRef>
          </c:val>
          <c:extLst>
            <c:ext xmlns:c16="http://schemas.microsoft.com/office/drawing/2014/chart" uri="{C3380CC4-5D6E-409C-BE32-E72D297353CC}">
              <c16:uniqueId val="{0000000A-264B-44DF-BAF9-6E71D4567F65}"/>
            </c:ext>
          </c:extLst>
        </c:ser>
        <c:ser>
          <c:idx val="2"/>
          <c:order val="2"/>
          <c:tx>
            <c:strRef>
              <c:f>'9. After Tax Earnings'!$Y$8</c:f>
              <c:strCache>
                <c:ptCount val="1"/>
                <c:pt idx="0">
                  <c:v>BNSF (24%)</c:v>
                </c:pt>
              </c:strCache>
            </c:strRef>
          </c:tx>
          <c:spPr>
            <a:solidFill>
              <a:schemeClr val="tx1">
                <a:lumMod val="75000"/>
                <a:lumOff val="25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2E43-44FE-AF60-5C4E10E5727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Earnings'!$V$8</c:f>
              <c:numCache>
                <c:formatCode>"$"#,##0_);\("$"#,##0\)</c:formatCode>
                <c:ptCount val="1"/>
                <c:pt idx="0">
                  <c:v>22476</c:v>
                </c:pt>
              </c:numCache>
            </c:numRef>
          </c:val>
          <c:extLst>
            <c:ext xmlns:c16="http://schemas.microsoft.com/office/drawing/2014/chart" uri="{C3380CC4-5D6E-409C-BE32-E72D297353CC}">
              <c16:uniqueId val="{00000008-264B-44DF-BAF9-6E71D4567F65}"/>
            </c:ext>
          </c:extLst>
        </c:ser>
        <c:ser>
          <c:idx val="1"/>
          <c:order val="3"/>
          <c:tx>
            <c:strRef>
              <c:f>'9. After Tax Earnings'!$Y$7</c:f>
              <c:strCache>
                <c:ptCount val="1"/>
                <c:pt idx="0">
                  <c:v>Investment income (23%)</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Earnings'!$V$7</c:f>
              <c:numCache>
                <c:formatCode>"$"#,##0_);\("$"#,##0\)</c:formatCode>
                <c:ptCount val="1"/>
                <c:pt idx="0">
                  <c:v>21362</c:v>
                </c:pt>
              </c:numCache>
            </c:numRef>
          </c:val>
          <c:extLst>
            <c:ext xmlns:c16="http://schemas.microsoft.com/office/drawing/2014/chart" uri="{C3380CC4-5D6E-409C-BE32-E72D297353CC}">
              <c16:uniqueId val="{00000007-264B-44DF-BAF9-6E71D4567F65}"/>
            </c:ext>
          </c:extLst>
        </c:ser>
        <c:ser>
          <c:idx val="3"/>
          <c:order val="4"/>
          <c:tx>
            <c:strRef>
              <c:f>'9. After Tax Earnings'!$Y$9</c:f>
              <c:strCache>
                <c:ptCount val="1"/>
                <c:pt idx="0">
                  <c:v>Utilities and energy (13%)</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Earnings'!$V$9</c:f>
              <c:numCache>
                <c:formatCode>"$"#,##0_);\("$"#,##0\)</c:formatCode>
                <c:ptCount val="1"/>
                <c:pt idx="0">
                  <c:v>11963</c:v>
                </c:pt>
              </c:numCache>
            </c:numRef>
          </c:val>
          <c:extLst>
            <c:ext xmlns:c16="http://schemas.microsoft.com/office/drawing/2014/chart" uri="{C3380CC4-5D6E-409C-BE32-E72D297353CC}">
              <c16:uniqueId val="{00000009-264B-44DF-BAF9-6E71D4567F65}"/>
            </c:ext>
          </c:extLst>
        </c:ser>
        <c:ser>
          <c:idx val="0"/>
          <c:order val="5"/>
          <c:tx>
            <c:strRef>
              <c:f>'9. After Tax Earnings'!$Y$6</c:f>
              <c:strCache>
                <c:ptCount val="1"/>
                <c:pt idx="0">
                  <c:v>Insurance underwriting (2%)</c:v>
                </c:pt>
              </c:strCache>
            </c:strRef>
          </c:tx>
          <c:spPr>
            <a:solidFill>
              <a:schemeClr val="accent3">
                <a:shade val="47000"/>
              </a:schemeClr>
            </a:solidFill>
            <a:ln>
              <a:noFill/>
            </a:ln>
            <a:effectLst/>
          </c:spPr>
          <c:invertIfNegative val="0"/>
          <c:dLbls>
            <c:dLbl>
              <c:idx val="0"/>
              <c:layout>
                <c:manualLayout>
                  <c:x val="0.17793284829246059"/>
                  <c:y val="-9.1181968893260608E-4"/>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0631804132832214E-2"/>
                      <c:h val="4.6359728102947917E-2"/>
                    </c:manualLayout>
                  </c15:layout>
                </c:ext>
                <c:ext xmlns:c16="http://schemas.microsoft.com/office/drawing/2014/chart" uri="{C3380CC4-5D6E-409C-BE32-E72D297353CC}">
                  <c16:uniqueId val="{00000000-2E43-44FE-AF60-5C4E10E5727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 After Tax Earnings'!$V$6</c:f>
              <c:numCache>
                <c:formatCode>"$"#,##0_);\("$"#,##0\)</c:formatCode>
                <c:ptCount val="1"/>
                <c:pt idx="0">
                  <c:v>2204</c:v>
                </c:pt>
              </c:numCache>
            </c:numRef>
          </c:val>
          <c:extLst>
            <c:ext xmlns:c16="http://schemas.microsoft.com/office/drawing/2014/chart" uri="{C3380CC4-5D6E-409C-BE32-E72D297353CC}">
              <c16:uniqueId val="{00000000-264B-44DF-BAF9-6E71D4567F65}"/>
            </c:ext>
          </c:extLst>
        </c:ser>
        <c:dLbls>
          <c:dLblPos val="ctr"/>
          <c:showLegendKey val="0"/>
          <c:showVal val="1"/>
          <c:showCatName val="0"/>
          <c:showSerName val="0"/>
          <c:showPercent val="0"/>
          <c:showBubbleSize val="0"/>
        </c:dLbls>
        <c:gapWidth val="131"/>
        <c:overlap val="100"/>
        <c:axId val="1155080616"/>
        <c:axId val="1155080944"/>
        <c:extLst>
          <c:ext xmlns:c15="http://schemas.microsoft.com/office/drawing/2012/chart" uri="{02D57815-91ED-43cb-92C2-25804820EDAC}">
            <c15:filteredBarSeries>
              <c15:ser>
                <c:idx val="5"/>
                <c:order val="6"/>
                <c:spPr>
                  <a:solidFill>
                    <a:schemeClr val="accent3">
                      <a:tint val="65000"/>
                    </a:schemeClr>
                  </a:solidFill>
                  <a:ln>
                    <a:noFill/>
                  </a:ln>
                  <a:effectLst/>
                </c:spPr>
                <c:invertIfNegative val="0"/>
                <c:dLbls>
                  <c:delete val="1"/>
                </c:dLbls>
                <c:val>
                  <c:numRef>
                    <c:extLst>
                      <c:ext uri="{02D57815-91ED-43cb-92C2-25804820EDAC}">
                        <c15:formulaRef>
                          <c15:sqref>'9. After Tax Earnings'!$V$11</c15:sqref>
                        </c15:formulaRef>
                      </c:ext>
                    </c:extLst>
                    <c:numCache>
                      <c:formatCode>"$"#,##0_);\("$"#,##0\)</c:formatCode>
                      <c:ptCount val="1"/>
                    </c:numCache>
                  </c:numRef>
                </c:val>
                <c:extLst>
                  <c:ext xmlns:c16="http://schemas.microsoft.com/office/drawing/2014/chart" uri="{C3380CC4-5D6E-409C-BE32-E72D297353CC}">
                    <c16:uniqueId val="{0000000B-264B-44DF-BAF9-6E71D4567F65}"/>
                  </c:ext>
                </c:extLst>
              </c15:ser>
            </c15:filteredBarSeries>
          </c:ext>
        </c:extLst>
      </c:barChart>
      <c:catAx>
        <c:axId val="1155080616"/>
        <c:scaling>
          <c:orientation val="minMax"/>
        </c:scaling>
        <c:delete val="1"/>
        <c:axPos val="b"/>
        <c:majorTickMark val="none"/>
        <c:minorTickMark val="none"/>
        <c:tickLblPos val="nextTo"/>
        <c:crossAx val="1155080944"/>
        <c:crosses val="autoZero"/>
        <c:auto val="1"/>
        <c:lblAlgn val="ctr"/>
        <c:lblOffset val="100"/>
        <c:noMultiLvlLbl val="0"/>
      </c:catAx>
      <c:valAx>
        <c:axId val="1155080944"/>
        <c:scaling>
          <c:orientation val="minMax"/>
          <c:max val="100000"/>
          <c:min val="-10000"/>
        </c:scaling>
        <c:delete val="0"/>
        <c:axPos val="l"/>
        <c:majorGridlines>
          <c:spPr>
            <a:ln w="9525" cap="flat" cmpd="sng" algn="ctr">
              <a:solidFill>
                <a:schemeClr val="bg1">
                  <a:lumMod val="85000"/>
                </a:schemeClr>
              </a:solidFill>
              <a:round/>
            </a:ln>
            <a:effectLst/>
          </c:spPr>
        </c:majorGridlines>
        <c:minorGridlines>
          <c:spPr>
            <a:ln w="9525" cap="flat" cmpd="sng" algn="ctr">
              <a:noFill/>
              <a:round/>
            </a:ln>
            <a:effectLst/>
          </c:spPr>
        </c:minorGridlines>
        <c:numFmt formatCode="&quot;$&quot;#,##0_);&quot; &quot;"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155080616"/>
        <c:crosses val="autoZero"/>
        <c:crossBetween val="between"/>
        <c:majorUnit val="10000"/>
        <c:minorUnit val="5000"/>
      </c:valAx>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61901246719160108"/>
          <c:y val="0.11530746156730409"/>
          <c:w val="0.36709864391951008"/>
          <c:h val="0.7019247594050743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40497302420530767"/>
          <c:y val="9.1269841269841265E-2"/>
          <c:w val="0.50462962962962965"/>
          <c:h val="0.86507936507936511"/>
        </c:manualLayout>
      </c:layout>
      <c:pieChart>
        <c:varyColors val="1"/>
        <c:ser>
          <c:idx val="0"/>
          <c:order val="0"/>
          <c:explosion val="1"/>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1-7503-4D4C-B34C-CDD2BB8EFD8F}"/>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3-7503-4D4C-B34C-CDD2BB8EFD8F}"/>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7503-4D4C-B34C-CDD2BB8EFD8F}"/>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7503-4D4C-B34C-CDD2BB8EFD8F}"/>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9-7503-4D4C-B34C-CDD2BB8EFD8F}"/>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B-7503-4D4C-B34C-CDD2BB8EFD8F}"/>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D-7503-4D4C-B34C-CDD2BB8EFD8F}"/>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2015 Kraft pie chart'!$A$2:$A$8</c:f>
              <c:strCache>
                <c:ptCount val="7"/>
                <c:pt idx="0">
                  <c:v>Cheese (22%)</c:v>
                </c:pt>
                <c:pt idx="1">
                  <c:v>Refrigerated meals (19%)</c:v>
                </c:pt>
                <c:pt idx="2">
                  <c:v>Beverages (14%)</c:v>
                </c:pt>
                <c:pt idx="3">
                  <c:v>Meals &amp; desserts (12%)</c:v>
                </c:pt>
                <c:pt idx="4">
                  <c:v>Enhancers &amp; snack nuts (11%)</c:v>
                </c:pt>
                <c:pt idx="5">
                  <c:v>Canada (11%)</c:v>
                </c:pt>
                <c:pt idx="6">
                  <c:v>Other businesses (11%)</c:v>
                </c:pt>
              </c:strCache>
            </c:strRef>
          </c:cat>
          <c:val>
            <c:numRef>
              <c:f>'9. 2015 Kraft pie chart'!$B$2:$B$8</c:f>
              <c:numCache>
                <c:formatCode>_("$"* #,##0_);_("$"* \(#,##0\);_("$"* "-"??_);_(@_)</c:formatCode>
                <c:ptCount val="7"/>
                <c:pt idx="0">
                  <c:v>4066</c:v>
                </c:pt>
                <c:pt idx="1">
                  <c:v>3433</c:v>
                </c:pt>
                <c:pt idx="2">
                  <c:v>2627</c:v>
                </c:pt>
                <c:pt idx="3">
                  <c:v>2155</c:v>
                </c:pt>
                <c:pt idx="4">
                  <c:v>2062</c:v>
                </c:pt>
                <c:pt idx="5">
                  <c:v>1937</c:v>
                </c:pt>
                <c:pt idx="6">
                  <c:v>1925</c:v>
                </c:pt>
              </c:numCache>
            </c:numRef>
          </c:val>
          <c:extLst>
            <c:ext xmlns:c16="http://schemas.microsoft.com/office/drawing/2014/chart" uri="{C3380CC4-5D6E-409C-BE32-E72D297353CC}">
              <c16:uniqueId val="{0000000E-7503-4D4C-B34C-CDD2BB8EFD8F}"/>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tx>
            <c:strRef>
              <c:f>'9. 2016'!$B$1</c:f>
              <c:strCache>
                <c:ptCount val="1"/>
                <c:pt idx="0">
                  <c:v>After-tax operating earnings</c:v>
                </c:pt>
              </c:strCache>
            </c:strRef>
          </c:tx>
          <c:spPr>
            <a:ln w="28575" cap="rnd">
              <a:solidFill>
                <a:schemeClr val="bg1">
                  <a:lumMod val="50000"/>
                </a:schemeClr>
              </a:solidFill>
              <a:round/>
            </a:ln>
            <a:effectLst/>
          </c:spPr>
          <c:marker>
            <c:symbol val="none"/>
          </c:marker>
          <c:cat>
            <c:numRef>
              <c:f>'9. 2016'!$A$2:$A$19</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'9. 2016'!$B$2:$B$19</c:f>
              <c:numCache>
                <c:formatCode>_("$"* #,##0_);_("$"* \(#,##0\);_("$"* "-"??_);_(@_)</c:formatCode>
                <c:ptCount val="18"/>
                <c:pt idx="0">
                  <c:v>0.67</c:v>
                </c:pt>
                <c:pt idx="1">
                  <c:v>0.94</c:v>
                </c:pt>
                <c:pt idx="2">
                  <c:v>-0.13</c:v>
                </c:pt>
                <c:pt idx="3">
                  <c:v>3.72</c:v>
                </c:pt>
                <c:pt idx="4">
                  <c:v>5.42</c:v>
                </c:pt>
                <c:pt idx="5">
                  <c:v>5.05</c:v>
                </c:pt>
                <c:pt idx="6">
                  <c:v>5</c:v>
                </c:pt>
                <c:pt idx="7">
                  <c:v>9.31</c:v>
                </c:pt>
                <c:pt idx="8">
                  <c:v>9.6300000000000008</c:v>
                </c:pt>
                <c:pt idx="9">
                  <c:v>9.64</c:v>
                </c:pt>
                <c:pt idx="10">
                  <c:v>7.57</c:v>
                </c:pt>
                <c:pt idx="11">
                  <c:v>11.09</c:v>
                </c:pt>
                <c:pt idx="12">
                  <c:v>10.78</c:v>
                </c:pt>
                <c:pt idx="13">
                  <c:v>12.6</c:v>
                </c:pt>
                <c:pt idx="14">
                  <c:v>15.14</c:v>
                </c:pt>
                <c:pt idx="15">
                  <c:v>16.55</c:v>
                </c:pt>
                <c:pt idx="16">
                  <c:v>17.36</c:v>
                </c:pt>
                <c:pt idx="17">
                  <c:v>17.57</c:v>
                </c:pt>
              </c:numCache>
            </c:numRef>
          </c:val>
          <c:smooth val="0"/>
          <c:extLst>
            <c:ext xmlns:c16="http://schemas.microsoft.com/office/drawing/2014/chart" uri="{C3380CC4-5D6E-409C-BE32-E72D297353CC}">
              <c16:uniqueId val="{00000000-7933-4353-BC6C-D8C59400655A}"/>
            </c:ext>
          </c:extLst>
        </c:ser>
        <c:ser>
          <c:idx val="1"/>
          <c:order val="1"/>
          <c:tx>
            <c:strRef>
              <c:f>'9. 2016'!$C$1</c:f>
              <c:strCache>
                <c:ptCount val="1"/>
                <c:pt idx="0">
                  <c:v>Capital gains</c:v>
                </c:pt>
              </c:strCache>
            </c:strRef>
          </c:tx>
          <c:spPr>
            <a:ln w="28575" cap="rnd">
              <a:solidFill>
                <a:schemeClr val="accent3">
                  <a:tint val="77000"/>
                </a:schemeClr>
              </a:solidFill>
              <a:round/>
            </a:ln>
            <a:effectLst/>
          </c:spPr>
          <c:marker>
            <c:symbol val="none"/>
          </c:marker>
          <c:cat>
            <c:numRef>
              <c:f>'9. 2016'!$A$2:$A$19</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'9. 2016'!$C$2:$C$19</c:f>
              <c:numCache>
                <c:formatCode>_("$"* #,##0_);_("$"* \(#,##0\);_("$"* "-"??_);_(@_)</c:formatCode>
                <c:ptCount val="18"/>
                <c:pt idx="0">
                  <c:v>0.89</c:v>
                </c:pt>
                <c:pt idx="1">
                  <c:v>2.39</c:v>
                </c:pt>
                <c:pt idx="2">
                  <c:v>0.92</c:v>
                </c:pt>
                <c:pt idx="3">
                  <c:v>0.56999999999999995</c:v>
                </c:pt>
                <c:pt idx="4">
                  <c:v>2.73</c:v>
                </c:pt>
                <c:pt idx="5">
                  <c:v>2.2599999999999998</c:v>
                </c:pt>
                <c:pt idx="6">
                  <c:v>3.53</c:v>
                </c:pt>
                <c:pt idx="7">
                  <c:v>1.71</c:v>
                </c:pt>
                <c:pt idx="8">
                  <c:v>3.58</c:v>
                </c:pt>
                <c:pt idx="9">
                  <c:v>-4.6500000000000004</c:v>
                </c:pt>
                <c:pt idx="10">
                  <c:v>0.49</c:v>
                </c:pt>
                <c:pt idx="11">
                  <c:v>1.87</c:v>
                </c:pt>
                <c:pt idx="12">
                  <c:v>-0.52</c:v>
                </c:pt>
                <c:pt idx="13">
                  <c:v>2.23</c:v>
                </c:pt>
                <c:pt idx="14">
                  <c:v>4.34</c:v>
                </c:pt>
                <c:pt idx="15">
                  <c:v>3.32</c:v>
                </c:pt>
                <c:pt idx="16">
                  <c:v>6.73</c:v>
                </c:pt>
                <c:pt idx="17">
                  <c:v>6.5</c:v>
                </c:pt>
              </c:numCache>
            </c:numRef>
          </c:val>
          <c:smooth val="0"/>
          <c:extLst>
            <c:ext xmlns:c16="http://schemas.microsoft.com/office/drawing/2014/chart" uri="{C3380CC4-5D6E-409C-BE32-E72D297353CC}">
              <c16:uniqueId val="{00000001-7933-4353-BC6C-D8C59400655A}"/>
            </c:ext>
          </c:extLst>
        </c:ser>
        <c:dLbls>
          <c:showLegendKey val="0"/>
          <c:showVal val="0"/>
          <c:showCatName val="0"/>
          <c:showSerName val="0"/>
          <c:showPercent val="0"/>
          <c:showBubbleSize val="0"/>
        </c:dLbls>
        <c:smooth val="0"/>
        <c:axId val="337150096"/>
        <c:axId val="482586880"/>
      </c:lineChart>
      <c:catAx>
        <c:axId val="3371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82586880"/>
        <c:crossesAt val="-10"/>
        <c:auto val="1"/>
        <c:lblAlgn val="ctr"/>
        <c:lblOffset val="100"/>
        <c:noMultiLvlLbl val="0"/>
      </c:catAx>
      <c:valAx>
        <c:axId val="482586880"/>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 billions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quot;$&quot;* #,##0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337150096"/>
        <c:crosses val="autoZero"/>
        <c:crossBetween val="midCat"/>
      </c:valAx>
      <c:spPr>
        <a:noFill/>
        <a:ln>
          <a:noFill/>
        </a:ln>
        <a:effectLst/>
      </c:spPr>
    </c:plotArea>
    <c:legend>
      <c:legendPos val="b"/>
      <c:layout>
        <c:manualLayout>
          <c:xMode val="edge"/>
          <c:yMode val="edge"/>
          <c:x val="7.6498432487605711E-2"/>
          <c:y val="0.90017029121359826"/>
          <c:w val="0.87941036016331287"/>
          <c:h val="7.60201849768778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
          <c:order val="1"/>
          <c:tx>
            <c:strRef>
              <c:f>'9. 2016'!$B$1</c:f>
              <c:strCache>
                <c:ptCount val="1"/>
                <c:pt idx="0">
                  <c:v>After-tax operating earnings</c:v>
                </c:pt>
              </c:strCache>
            </c:strRef>
          </c:tx>
          <c:spPr>
            <a:solidFill>
              <a:schemeClr val="bg1">
                <a:lumMod val="50000"/>
              </a:schemeClr>
            </a:solidFill>
            <a:ln>
              <a:noFill/>
            </a:ln>
            <a:effectLst/>
          </c:spPr>
          <c:invertIfNegative val="0"/>
          <c:cat>
            <c:numRef>
              <c:f>'9. 2016'!$A$2:$A$19</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'9. 2016'!$B$2:$B$19</c:f>
              <c:numCache>
                <c:formatCode>_("$"* #,##0_);_("$"* \(#,##0\);_("$"* "-"??_);_(@_)</c:formatCode>
                <c:ptCount val="18"/>
                <c:pt idx="0">
                  <c:v>0.67</c:v>
                </c:pt>
                <c:pt idx="1">
                  <c:v>0.94</c:v>
                </c:pt>
                <c:pt idx="2">
                  <c:v>-0.13</c:v>
                </c:pt>
                <c:pt idx="3">
                  <c:v>3.72</c:v>
                </c:pt>
                <c:pt idx="4">
                  <c:v>5.42</c:v>
                </c:pt>
                <c:pt idx="5">
                  <c:v>5.05</c:v>
                </c:pt>
                <c:pt idx="6">
                  <c:v>5</c:v>
                </c:pt>
                <c:pt idx="7">
                  <c:v>9.31</c:v>
                </c:pt>
                <c:pt idx="8">
                  <c:v>9.6300000000000008</c:v>
                </c:pt>
                <c:pt idx="9">
                  <c:v>9.64</c:v>
                </c:pt>
                <c:pt idx="10">
                  <c:v>7.57</c:v>
                </c:pt>
                <c:pt idx="11">
                  <c:v>11.09</c:v>
                </c:pt>
                <c:pt idx="12">
                  <c:v>10.78</c:v>
                </c:pt>
                <c:pt idx="13">
                  <c:v>12.6</c:v>
                </c:pt>
                <c:pt idx="14">
                  <c:v>15.14</c:v>
                </c:pt>
                <c:pt idx="15">
                  <c:v>16.55</c:v>
                </c:pt>
                <c:pt idx="16">
                  <c:v>17.36</c:v>
                </c:pt>
                <c:pt idx="17">
                  <c:v>17.57</c:v>
                </c:pt>
              </c:numCache>
            </c:numRef>
          </c:val>
          <c:extLst>
            <c:ext xmlns:c16="http://schemas.microsoft.com/office/drawing/2014/chart" uri="{C3380CC4-5D6E-409C-BE32-E72D297353CC}">
              <c16:uniqueId val="{00000000-9C4B-4921-A706-B94A1D3B2C00}"/>
            </c:ext>
          </c:extLst>
        </c:ser>
        <c:ser>
          <c:idx val="2"/>
          <c:order val="2"/>
          <c:tx>
            <c:strRef>
              <c:f>'9. 2016'!$C$1</c:f>
              <c:strCache>
                <c:ptCount val="1"/>
                <c:pt idx="0">
                  <c:v>Capital gains</c:v>
                </c:pt>
              </c:strCache>
            </c:strRef>
          </c:tx>
          <c:spPr>
            <a:solidFill>
              <a:schemeClr val="accent3">
                <a:tint val="65000"/>
              </a:schemeClr>
            </a:solidFill>
            <a:ln>
              <a:noFill/>
            </a:ln>
            <a:effectLst/>
          </c:spPr>
          <c:invertIfNegative val="0"/>
          <c:cat>
            <c:numRef>
              <c:f>'9. 2016'!$A$2:$A$19</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'9. 2016'!$C$2:$C$19</c:f>
              <c:numCache>
                <c:formatCode>_("$"* #,##0_);_("$"* \(#,##0\);_("$"* "-"??_);_(@_)</c:formatCode>
                <c:ptCount val="18"/>
                <c:pt idx="0">
                  <c:v>0.89</c:v>
                </c:pt>
                <c:pt idx="1">
                  <c:v>2.39</c:v>
                </c:pt>
                <c:pt idx="2">
                  <c:v>0.92</c:v>
                </c:pt>
                <c:pt idx="3">
                  <c:v>0.56999999999999995</c:v>
                </c:pt>
                <c:pt idx="4">
                  <c:v>2.73</c:v>
                </c:pt>
                <c:pt idx="5">
                  <c:v>2.2599999999999998</c:v>
                </c:pt>
                <c:pt idx="6">
                  <c:v>3.53</c:v>
                </c:pt>
                <c:pt idx="7">
                  <c:v>1.71</c:v>
                </c:pt>
                <c:pt idx="8">
                  <c:v>3.58</c:v>
                </c:pt>
                <c:pt idx="9">
                  <c:v>-4.6500000000000004</c:v>
                </c:pt>
                <c:pt idx="10">
                  <c:v>0.49</c:v>
                </c:pt>
                <c:pt idx="11">
                  <c:v>1.87</c:v>
                </c:pt>
                <c:pt idx="12">
                  <c:v>-0.52</c:v>
                </c:pt>
                <c:pt idx="13">
                  <c:v>2.23</c:v>
                </c:pt>
                <c:pt idx="14">
                  <c:v>4.34</c:v>
                </c:pt>
                <c:pt idx="15">
                  <c:v>3.32</c:v>
                </c:pt>
                <c:pt idx="16">
                  <c:v>6.73</c:v>
                </c:pt>
                <c:pt idx="17">
                  <c:v>6.5</c:v>
                </c:pt>
              </c:numCache>
            </c:numRef>
          </c:val>
          <c:extLst>
            <c:ext xmlns:c16="http://schemas.microsoft.com/office/drawing/2014/chart" uri="{C3380CC4-5D6E-409C-BE32-E72D297353CC}">
              <c16:uniqueId val="{00000001-9C4B-4921-A706-B94A1D3B2C00}"/>
            </c:ext>
          </c:extLst>
        </c:ser>
        <c:dLbls>
          <c:showLegendKey val="0"/>
          <c:showVal val="0"/>
          <c:showCatName val="0"/>
          <c:showSerName val="0"/>
          <c:showPercent val="0"/>
          <c:showBubbleSize val="0"/>
        </c:dLbls>
        <c:gapWidth val="219"/>
        <c:overlap val="-27"/>
        <c:axId val="677705280"/>
        <c:axId val="677700688"/>
        <c:extLst>
          <c:ext xmlns:c15="http://schemas.microsoft.com/office/drawing/2012/chart" uri="{02D57815-91ED-43cb-92C2-25804820EDAC}">
            <c15:filteredBarSeries>
              <c15:ser>
                <c:idx val="0"/>
                <c:order val="0"/>
                <c:tx>
                  <c:strRef>
                    <c:extLst>
                      <c:ext uri="{02D57815-91ED-43cb-92C2-25804820EDAC}">
                        <c15:formulaRef>
                          <c15:sqref>'9. 2016'!$A$1</c15:sqref>
                        </c15:formulaRef>
                      </c:ext>
                    </c:extLst>
                    <c:strCache>
                      <c:ptCount val="1"/>
                      <c:pt idx="0">
                        <c:v>Year</c:v>
                      </c:pt>
                    </c:strCache>
                  </c:strRef>
                </c:tx>
                <c:spPr>
                  <a:solidFill>
                    <a:schemeClr val="accent3">
                      <a:shade val="65000"/>
                    </a:schemeClr>
                  </a:solidFill>
                  <a:ln>
                    <a:noFill/>
                  </a:ln>
                  <a:effectLst/>
                </c:spPr>
                <c:invertIfNegative val="0"/>
                <c:cat>
                  <c:numRef>
                    <c:extLst>
                      <c:ext uri="{02D57815-91ED-43cb-92C2-25804820EDAC}">
                        <c15:formulaRef>
                          <c15:sqref>'9. 2016'!$A$2:$A$19</c15:sqref>
                        </c15:formulaRef>
                      </c:ext>
                    </c:extLst>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extLst>
                      <c:ext uri="{02D57815-91ED-43cb-92C2-25804820EDAC}">
                        <c15:formulaRef>
                          <c15:sqref>'9. 2016'!$A$2:$A$19</c15:sqref>
                        </c15:formulaRef>
                      </c:ext>
                    </c:extLst>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val>
                <c:extLst>
                  <c:ext xmlns:c16="http://schemas.microsoft.com/office/drawing/2014/chart" uri="{C3380CC4-5D6E-409C-BE32-E72D297353CC}">
                    <c16:uniqueId val="{00000002-9C4B-4921-A706-B94A1D3B2C00}"/>
                  </c:ext>
                </c:extLst>
              </c15:ser>
            </c15:filteredBarSeries>
          </c:ext>
        </c:extLst>
      </c:barChart>
      <c:catAx>
        <c:axId val="67770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24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77700688"/>
        <c:crosses val="autoZero"/>
        <c:auto val="1"/>
        <c:lblAlgn val="ctr"/>
        <c:lblOffset val="100"/>
        <c:noMultiLvlLbl val="0"/>
      </c:catAx>
      <c:valAx>
        <c:axId val="67770068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_(&quot;$&quot;* #,##0_);_(\(&quot;$&quot;#,##0\);_(&quot;$&quot;* &quot;0&quot;??_);_(@_)"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7770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numRef>
              <c:f>'9. Stock price data'!$D$183:$D$223</c:f>
              <c:numCache>
                <c:formatCode>General</c:formatCode>
                <c:ptCount val="41"/>
                <c:pt idx="0">
                  <c:v>2010</c:v>
                </c:pt>
                <c:pt idx="4">
                  <c:v>2011</c:v>
                </c:pt>
                <c:pt idx="8">
                  <c:v>2012</c:v>
                </c:pt>
                <c:pt idx="12">
                  <c:v>2013</c:v>
                </c:pt>
                <c:pt idx="16">
                  <c:v>2014</c:v>
                </c:pt>
                <c:pt idx="20">
                  <c:v>2015</c:v>
                </c:pt>
                <c:pt idx="24">
                  <c:v>2016</c:v>
                </c:pt>
                <c:pt idx="28">
                  <c:v>2017</c:v>
                </c:pt>
                <c:pt idx="32">
                  <c:v>2018</c:v>
                </c:pt>
                <c:pt idx="36">
                  <c:v>2019</c:v>
                </c:pt>
                <c:pt idx="40">
                  <c:v>2020</c:v>
                </c:pt>
              </c:numCache>
            </c:numRef>
          </c:cat>
          <c:val>
            <c:numRef>
              <c:f>'9. Stock price data'!$U$183:$U$222</c:f>
              <c:numCache>
                <c:formatCode>_(* #,##0.00_);_(* \(#,##0.00\);_(* "-"??_);_(@_)</c:formatCode>
                <c:ptCount val="40"/>
                <c:pt idx="0">
                  <c:v>1.2340725331114348</c:v>
                </c:pt>
                <c:pt idx="1">
                  <c:v>1.2518355176478746</c:v>
                </c:pt>
                <c:pt idx="2">
                  <c:v>1.3444393592677346</c:v>
                </c:pt>
                <c:pt idx="3">
                  <c:v>1.3578475833853407</c:v>
                </c:pt>
                <c:pt idx="4">
                  <c:v>1.2813054757145341</c:v>
                </c:pt>
                <c:pt idx="5">
                  <c:v>1.2084478827816543</c:v>
                </c:pt>
                <c:pt idx="6">
                  <c:v>1.1069541326264556</c:v>
                </c:pt>
                <c:pt idx="7">
                  <c:v>1.1543346080305927</c:v>
                </c:pt>
                <c:pt idx="8">
                  <c:v>1.1093772457637936</c:v>
                </c:pt>
                <c:pt idx="9">
                  <c:v>1.1330568685690943</c:v>
                </c:pt>
                <c:pt idx="10">
                  <c:v>1.20603010238385</c:v>
                </c:pt>
                <c:pt idx="11">
                  <c:v>1.2255419620592516</c:v>
                </c:pt>
                <c:pt idx="12">
                  <c:v>1.177771371084908</c:v>
                </c:pt>
                <c:pt idx="13">
                  <c:v>1.316105852462659</c:v>
                </c:pt>
                <c:pt idx="14">
                  <c:v>1.3847814922705397</c:v>
                </c:pt>
                <c:pt idx="15">
                  <c:v>1.3823415466734386</c:v>
                </c:pt>
                <c:pt idx="16">
                  <c:v>1.2516437302514825</c:v>
                </c:pt>
                <c:pt idx="17">
                  <c:v>1.3390118004155305</c:v>
                </c:pt>
                <c:pt idx="18">
                  <c:v>1.4178397599878805</c:v>
                </c:pt>
                <c:pt idx="19">
                  <c:v>1.5201254577327621</c:v>
                </c:pt>
                <c:pt idx="20">
                  <c:v>1.4698701729424057</c:v>
                </c:pt>
                <c:pt idx="21">
                  <c:v>1.4205956801788235</c:v>
                </c:pt>
                <c:pt idx="22">
                  <c:v>1.3518425045827616</c:v>
                </c:pt>
                <c:pt idx="23">
                  <c:v>1.3281765358566986</c:v>
                </c:pt>
                <c:pt idx="24">
                  <c:v>1.2311344279461662</c:v>
                </c:pt>
                <c:pt idx="25">
                  <c:v>1.3077806075772003</c:v>
                </c:pt>
                <c:pt idx="26">
                  <c:v>1.34125455338194</c:v>
                </c:pt>
                <c:pt idx="27">
                  <c:v>1.420341382066709</c:v>
                </c:pt>
                <c:pt idx="28">
                  <c:v>1.3159527100129131</c:v>
                </c:pt>
                <c:pt idx="29">
                  <c:v>1.3047244267615956</c:v>
                </c:pt>
                <c:pt idx="30">
                  <c:v>1.3779665392803546</c:v>
                </c:pt>
                <c:pt idx="31">
                  <c:v>1.4902780686141068</c:v>
                </c:pt>
                <c:pt idx="32">
                  <c:v>1.4416933166331658</c:v>
                </c:pt>
                <c:pt idx="33">
                  <c:v>1.3781136041802069</c:v>
                </c:pt>
                <c:pt idx="34">
                  <c:v>1.4524423707924976</c:v>
                </c:pt>
                <c:pt idx="35">
                  <c:v>1.4504387093812188</c:v>
                </c:pt>
                <c:pt idx="36">
                  <c:v>1.2680074182863734</c:v>
                </c:pt>
                <c:pt idx="37">
                  <c:v>1.3198753629633844</c:v>
                </c:pt>
                <c:pt idx="38">
                  <c:v>1.3073010598660106</c:v>
                </c:pt>
                <c:pt idx="39">
                  <c:v>1.3606890680470696</c:v>
                </c:pt>
              </c:numCache>
            </c:numRef>
          </c:val>
          <c:smooth val="0"/>
          <c:extLst>
            <c:ext xmlns:c16="http://schemas.microsoft.com/office/drawing/2014/chart" uri="{C3380CC4-5D6E-409C-BE32-E72D297353CC}">
              <c16:uniqueId val="{00000000-2D5D-4739-A41C-AB21B619D836}"/>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'9. Stock price data'!$G$1</c:f>
              <c:strCache>
                <c:ptCount val="1"/>
                <c:pt idx="0">
                  <c:v>Average Share Price</c:v>
                </c:pt>
              </c:strCache>
            </c:strRef>
          </c:tx>
          <c:spPr>
            <a:ln w="25400" cap="rnd">
              <a:solidFill>
                <a:schemeClr val="tx1"/>
              </a:solidFill>
              <a:round/>
            </a:ln>
            <a:effectLst/>
          </c:spPr>
          <c:marker>
            <c:symbol val="none"/>
          </c:marker>
          <c:cat>
            <c:numRef>
              <c:f>'9. Stock price data'!$D$183:$D$222</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'9. Stock price data'!$G$183:$G$222</c:f>
              <c:numCache>
                <c:formatCode>_("$"* #,##0_);_("$"* \(#,##0\);_("$"* "-"??_);_(@_)</c:formatCode>
                <c:ptCount val="40"/>
                <c:pt idx="0">
                  <c:v>111228.5</c:v>
                </c:pt>
                <c:pt idx="1">
                  <c:v>112829.5</c:v>
                </c:pt>
                <c:pt idx="2">
                  <c:v>121176</c:v>
                </c:pt>
                <c:pt idx="3">
                  <c:v>122384.5</c:v>
                </c:pt>
                <c:pt idx="4">
                  <c:v>125127.5</c:v>
                </c:pt>
                <c:pt idx="5">
                  <c:v>118012.5</c:v>
                </c:pt>
                <c:pt idx="6">
                  <c:v>108101</c:v>
                </c:pt>
                <c:pt idx="7">
                  <c:v>112728</c:v>
                </c:pt>
                <c:pt idx="8">
                  <c:v>118716.5</c:v>
                </c:pt>
                <c:pt idx="9">
                  <c:v>121250.5</c:v>
                </c:pt>
                <c:pt idx="10">
                  <c:v>129059.5</c:v>
                </c:pt>
                <c:pt idx="11">
                  <c:v>131147.5</c:v>
                </c:pt>
                <c:pt idx="12">
                  <c:v>146742</c:v>
                </c:pt>
                <c:pt idx="13">
                  <c:v>163977.5</c:v>
                </c:pt>
                <c:pt idx="14">
                  <c:v>172534</c:v>
                </c:pt>
                <c:pt idx="15">
                  <c:v>172230</c:v>
                </c:pt>
                <c:pt idx="16">
                  <c:v>175946</c:v>
                </c:pt>
                <c:pt idx="17">
                  <c:v>188227.5</c:v>
                </c:pt>
                <c:pt idx="18">
                  <c:v>199308.5</c:v>
                </c:pt>
                <c:pt idx="19">
                  <c:v>213687</c:v>
                </c:pt>
                <c:pt idx="20">
                  <c:v>221325.5</c:v>
                </c:pt>
                <c:pt idx="21">
                  <c:v>213906</c:v>
                </c:pt>
                <c:pt idx="22">
                  <c:v>203553.5</c:v>
                </c:pt>
                <c:pt idx="23">
                  <c:v>199990</c:v>
                </c:pt>
                <c:pt idx="24">
                  <c:v>201015</c:v>
                </c:pt>
                <c:pt idx="25">
                  <c:v>213529.5</c:v>
                </c:pt>
                <c:pt idx="26">
                  <c:v>218995</c:v>
                </c:pt>
                <c:pt idx="27">
                  <c:v>231908</c:v>
                </c:pt>
                <c:pt idx="28">
                  <c:v>252214</c:v>
                </c:pt>
                <c:pt idx="29">
                  <c:v>250062</c:v>
                </c:pt>
                <c:pt idx="30">
                  <c:v>264099.5</c:v>
                </c:pt>
                <c:pt idx="31">
                  <c:v>285625</c:v>
                </c:pt>
                <c:pt idx="32">
                  <c:v>305800</c:v>
                </c:pt>
                <c:pt idx="33">
                  <c:v>292314</c:v>
                </c:pt>
                <c:pt idx="34">
                  <c:v>308080</c:v>
                </c:pt>
                <c:pt idx="35">
                  <c:v>307655</c:v>
                </c:pt>
                <c:pt idx="36">
                  <c:v>300305</c:v>
                </c:pt>
                <c:pt idx="37">
                  <c:v>312589</c:v>
                </c:pt>
                <c:pt idx="38">
                  <c:v>309611</c:v>
                </c:pt>
                <c:pt idx="39">
                  <c:v>322255</c:v>
                </c:pt>
              </c:numCache>
            </c:numRef>
          </c:val>
          <c:smooth val="0"/>
          <c:extLst>
            <c:ext xmlns:c16="http://schemas.microsoft.com/office/drawing/2014/chart" uri="{C3380CC4-5D6E-409C-BE32-E72D297353CC}">
              <c16:uniqueId val="{00000000-F69A-4C8C-912C-8F325041DDCD}"/>
            </c:ext>
          </c:extLst>
        </c:ser>
        <c:dLbls>
          <c:showLegendKey val="0"/>
          <c:showVal val="0"/>
          <c:showCatName val="0"/>
          <c:showSerName val="0"/>
          <c:showPercent val="0"/>
          <c:showBubbleSize val="0"/>
        </c:dLbls>
        <c:smooth val="0"/>
        <c:axId val="939732952"/>
        <c:axId val="939733608"/>
      </c:lineChart>
      <c:catAx>
        <c:axId val="939732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3608"/>
        <c:crosses val="autoZero"/>
        <c:auto val="1"/>
        <c:lblAlgn val="ctr"/>
        <c:lblOffset val="100"/>
        <c:noMultiLvlLbl val="0"/>
      </c:catAx>
      <c:valAx>
        <c:axId val="93973360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Stock</a:t>
                </a:r>
                <a:r>
                  <a:rPr lang="en-US" baseline="0"/>
                  <a:t> Price</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97329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5400">
              <a:solidFill>
                <a:schemeClr val="tx1"/>
              </a:solidFill>
            </a:ln>
          </c:spPr>
          <c:marker>
            <c:symbol val="none"/>
          </c:marker>
          <c:cat>
            <c:strRef>
              <c:f>'9. Stock price data'!$D$3:$D$223</c:f>
              <c:strCache>
                <c:ptCount val="221"/>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pt idx="40">
                  <c:v>1975</c:v>
                </c:pt>
                <c:pt idx="44">
                  <c:v>1976</c:v>
                </c:pt>
                <c:pt idx="48">
                  <c:v>1977</c:v>
                </c:pt>
                <c:pt idx="52">
                  <c:v>1978</c:v>
                </c:pt>
                <c:pt idx="56">
                  <c:v>1979</c:v>
                </c:pt>
                <c:pt idx="60">
                  <c:v>1980</c:v>
                </c:pt>
                <c:pt idx="64">
                  <c:v>1981</c:v>
                </c:pt>
                <c:pt idx="68">
                  <c:v>1982</c:v>
                </c:pt>
                <c:pt idx="72">
                  <c:v>1983</c:v>
                </c:pt>
                <c:pt idx="76">
                  <c:v>1984</c:v>
                </c:pt>
                <c:pt idx="80">
                  <c:v>1985</c:v>
                </c:pt>
                <c:pt idx="84">
                  <c:v>1986</c:v>
                </c:pt>
                <c:pt idx="88">
                  <c:v>1987</c:v>
                </c:pt>
                <c:pt idx="92">
                  <c:v>1988</c:v>
                </c:pt>
                <c:pt idx="96">
                  <c:v>1989</c:v>
                </c:pt>
                <c:pt idx="100">
                  <c:v>1990</c:v>
                </c:pt>
                <c:pt idx="104">
                  <c:v>1991</c:v>
                </c:pt>
                <c:pt idx="108">
                  <c:v>1992</c:v>
                </c:pt>
                <c:pt idx="112">
                  <c:v>1993</c:v>
                </c:pt>
                <c:pt idx="116">
                  <c:v>1994</c:v>
                </c:pt>
                <c:pt idx="120">
                  <c:v>1995</c:v>
                </c:pt>
                <c:pt idx="124">
                  <c:v>1996</c:v>
                </c:pt>
                <c:pt idx="128">
                  <c:v>1997</c:v>
                </c:pt>
                <c:pt idx="132">
                  <c:v>1998</c:v>
                </c:pt>
                <c:pt idx="136">
                  <c:v>1999</c:v>
                </c:pt>
                <c:pt idx="140">
                  <c:v>2000</c:v>
                </c:pt>
                <c:pt idx="144">
                  <c:v>2001</c:v>
                </c:pt>
                <c:pt idx="148">
                  <c:v>2002</c:v>
                </c:pt>
                <c:pt idx="152">
                  <c:v>2003</c:v>
                </c:pt>
                <c:pt idx="156">
                  <c:v>2004</c:v>
                </c:pt>
                <c:pt idx="160">
                  <c:v>2005</c:v>
                </c:pt>
                <c:pt idx="164">
                  <c:v>2006</c:v>
                </c:pt>
                <c:pt idx="168">
                  <c:v>2007</c:v>
                </c:pt>
                <c:pt idx="172">
                  <c:v>2008</c:v>
                </c:pt>
                <c:pt idx="176">
                  <c:v>2009</c:v>
                </c:pt>
                <c:pt idx="180">
                  <c:v>2010</c:v>
                </c:pt>
                <c:pt idx="184">
                  <c:v>2011</c:v>
                </c:pt>
                <c:pt idx="188">
                  <c:v>2012</c:v>
                </c:pt>
                <c:pt idx="192">
                  <c:v>2013</c:v>
                </c:pt>
                <c:pt idx="196">
                  <c:v>2014</c:v>
                </c:pt>
                <c:pt idx="200">
                  <c:v>2015</c:v>
                </c:pt>
                <c:pt idx="204">
                  <c:v>2016</c:v>
                </c:pt>
                <c:pt idx="208">
                  <c:v>2017</c:v>
                </c:pt>
                <c:pt idx="212">
                  <c:v>2018</c:v>
                </c:pt>
                <c:pt idx="216">
                  <c:v>2019</c:v>
                </c:pt>
                <c:pt idx="220">
                  <c:v>2020</c:v>
                </c:pt>
              </c:strCache>
            </c:strRef>
          </c:cat>
          <c:val>
            <c:numRef>
              <c:f>'9. Stock price data'!$U$3:$U$222</c:f>
              <c:numCache>
                <c:formatCode>_(* #,##0.00_);_(* \(#,##0.00\);_(* "-"??_);_(@_)</c:formatCode>
                <c:ptCount val="220"/>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pt idx="40">
                  <c:v>0.48143028090541584</c:v>
                </c:pt>
                <c:pt idx="41">
                  <c:v>0.51929558389797659</c:v>
                </c:pt>
                <c:pt idx="42">
                  <c:v>0.54634222889266293</c:v>
                </c:pt>
                <c:pt idx="43">
                  <c:v>0.43815564891391778</c:v>
                </c:pt>
                <c:pt idx="44">
                  <c:v>0.44079936277317117</c:v>
                </c:pt>
                <c:pt idx="45">
                  <c:v>0.53927581615866682</c:v>
                </c:pt>
                <c:pt idx="46">
                  <c:v>0.62837355969792497</c:v>
                </c:pt>
                <c:pt idx="47">
                  <c:v>0.75498614262213359</c:v>
                </c:pt>
                <c:pt idx="48">
                  <c:v>0.70922161442197074</c:v>
                </c:pt>
                <c:pt idx="49">
                  <c:v>0.75988030116639727</c:v>
                </c:pt>
                <c:pt idx="50">
                  <c:v>0.80664216585356019</c:v>
                </c:pt>
                <c:pt idx="51">
                  <c:v>0.95861822608683966</c:v>
                </c:pt>
                <c:pt idx="52">
                  <c:v>0.7172034149598786</c:v>
                </c:pt>
                <c:pt idx="53">
                  <c:v>0.8367373174531918</c:v>
                </c:pt>
                <c:pt idx="54">
                  <c:v>0.89650426869984834</c:v>
                </c:pt>
                <c:pt idx="55">
                  <c:v>0.88611001630912534</c:v>
                </c:pt>
                <c:pt idx="56">
                  <c:v>0.58118157555647532</c:v>
                </c:pt>
                <c:pt idx="57">
                  <c:v>0.68575997115808307</c:v>
                </c:pt>
                <c:pt idx="58">
                  <c:v>0.96863595926079238</c:v>
                </c:pt>
                <c:pt idx="59">
                  <c:v>0.98577995853974443</c:v>
                </c:pt>
                <c:pt idx="60">
                  <c:v>0.8431687058213182</c:v>
                </c:pt>
                <c:pt idx="61">
                  <c:v>0.80237022005577052</c:v>
                </c:pt>
                <c:pt idx="62">
                  <c:v>0.97916365837314367</c:v>
                </c:pt>
                <c:pt idx="63">
                  <c:v>1.1899558348284733</c:v>
                </c:pt>
                <c:pt idx="64">
                  <c:v>1.0028065863687401</c:v>
                </c:pt>
                <c:pt idx="65">
                  <c:v>1.0890695185294919</c:v>
                </c:pt>
                <c:pt idx="66">
                  <c:v>1.0567209189692099</c:v>
                </c:pt>
                <c:pt idx="67">
                  <c:v>1.1322009846098677</c:v>
                </c:pt>
                <c:pt idx="68">
                  <c:v>0.81091861636349938</c:v>
                </c:pt>
                <c:pt idx="69">
                  <c:v>0.7832287123901116</c:v>
                </c:pt>
                <c:pt idx="70">
                  <c:v>0.77531731125485792</c:v>
                </c:pt>
                <c:pt idx="71">
                  <c:v>1.0403492492858553</c:v>
                </c:pt>
                <c:pt idx="72">
                  <c:v>1.0050889598391921</c:v>
                </c:pt>
                <c:pt idx="73">
                  <c:v>1.0830699998267157</c:v>
                </c:pt>
                <c:pt idx="74">
                  <c:v>1.2419202664679672</c:v>
                </c:pt>
                <c:pt idx="75">
                  <c:v>1.516297999757402</c:v>
                </c:pt>
                <c:pt idx="76">
                  <c:v>1.2471856003921449</c:v>
                </c:pt>
                <c:pt idx="77">
                  <c:v>1.230396563463789</c:v>
                </c:pt>
                <c:pt idx="78">
                  <c:v>1.2160059603823412</c:v>
                </c:pt>
                <c:pt idx="79">
                  <c:v>1.2327949973106969</c:v>
                </c:pt>
                <c:pt idx="80">
                  <c:v>1.1643595868791872</c:v>
                </c:pt>
                <c:pt idx="81">
                  <c:v>1.4113999984479384</c:v>
                </c:pt>
                <c:pt idx="82">
                  <c:v>1.5403696250757422</c:v>
                </c:pt>
                <c:pt idx="83">
                  <c:v>1.7456311435115426</c:v>
                </c:pt>
                <c:pt idx="84">
                  <c:v>1.4717107888176919</c:v>
                </c:pt>
                <c:pt idx="85">
                  <c:v>1.5604977285452675</c:v>
                </c:pt>
                <c:pt idx="86">
                  <c:v>1.5134137453564014</c:v>
                </c:pt>
                <c:pt idx="87">
                  <c:v>1.4918896387557772</c:v>
                </c:pt>
                <c:pt idx="88">
                  <c:v>1.4130227364690882</c:v>
                </c:pt>
                <c:pt idx="89">
                  <c:v>1.5009246174313953</c:v>
                </c:pt>
                <c:pt idx="90">
                  <c:v>1.6789259263800673</c:v>
                </c:pt>
                <c:pt idx="91">
                  <c:v>1.4987270704073374</c:v>
                </c:pt>
                <c:pt idx="92">
                  <c:v>1.1920229912599112</c:v>
                </c:pt>
                <c:pt idx="93">
                  <c:v>1.3845805513865119</c:v>
                </c:pt>
                <c:pt idx="94">
                  <c:v>1.6578288986137839</c:v>
                </c:pt>
                <c:pt idx="95">
                  <c:v>1.7696956716397141</c:v>
                </c:pt>
                <c:pt idx="96">
                  <c:v>1.3267653913495412</c:v>
                </c:pt>
                <c:pt idx="97">
                  <c:v>1.6429892670079809</c:v>
                </c:pt>
                <c:pt idx="98">
                  <c:v>2.1104506484161094</c:v>
                </c:pt>
                <c:pt idx="99">
                  <c:v>2.3166836108020483</c:v>
                </c:pt>
                <c:pt idx="100">
                  <c:v>1.7281039658930455</c:v>
                </c:pt>
                <c:pt idx="101">
                  <c:v>1.6018626047482614</c:v>
                </c:pt>
                <c:pt idx="102">
                  <c:v>1.4391515170505396</c:v>
                </c:pt>
                <c:pt idx="103">
                  <c:v>1.3914603361736213</c:v>
                </c:pt>
                <c:pt idx="104">
                  <c:v>1.3411976848868099</c:v>
                </c:pt>
                <c:pt idx="105">
                  <c:v>1.4936373542989028</c:v>
                </c:pt>
                <c:pt idx="106">
                  <c:v>1.5673693012252263</c:v>
                </c:pt>
                <c:pt idx="107">
                  <c:v>1.5628458688984583</c:v>
                </c:pt>
                <c:pt idx="108">
                  <c:v>1.2390638961102156</c:v>
                </c:pt>
                <c:pt idx="109">
                  <c:v>1.2796022597098387</c:v>
                </c:pt>
                <c:pt idx="110">
                  <c:v>1.3395285363353682</c:v>
                </c:pt>
                <c:pt idx="111">
                  <c:v>1.473481389968905</c:v>
                </c:pt>
                <c:pt idx="112">
                  <c:v>1.4781040642017562</c:v>
                </c:pt>
                <c:pt idx="113">
                  <c:v>1.6858213359531233</c:v>
                </c:pt>
                <c:pt idx="114">
                  <c:v>1.9808400697449198</c:v>
                </c:pt>
                <c:pt idx="115">
                  <c:v>2.0470687650859354</c:v>
                </c:pt>
                <c:pt idx="116">
                  <c:v>1.6927976794060919</c:v>
                </c:pt>
                <c:pt idx="117">
                  <c:v>1.6954385494207662</c:v>
                </c:pt>
                <c:pt idx="118">
                  <c:v>1.9106694556167048</c:v>
                </c:pt>
                <c:pt idx="119">
                  <c:v>2.1126960117392724</c:v>
                </c:pt>
                <c:pt idx="120">
                  <c:v>1.8838303729637245</c:v>
                </c:pt>
                <c:pt idx="121">
                  <c:v>1.9045545794869776</c:v>
                </c:pt>
                <c:pt idx="122">
                  <c:v>2.2382143045113558</c:v>
                </c:pt>
                <c:pt idx="123">
                  <c:v>2.5801637121450351</c:v>
                </c:pt>
                <c:pt idx="124">
                  <c:v>2.0475377184683561</c:v>
                </c:pt>
                <c:pt idx="125">
                  <c:v>1.9931783100134441</c:v>
                </c:pt>
                <c:pt idx="126">
                  <c:v>1.9327789672857643</c:v>
                </c:pt>
                <c:pt idx="127">
                  <c:v>2.0384778170592046</c:v>
                </c:pt>
                <c:pt idx="128">
                  <c:v>1.5928665136110201</c:v>
                </c:pt>
                <c:pt idx="129">
                  <c:v>1.8984093145293539</c:v>
                </c:pt>
                <c:pt idx="130">
                  <c:v>2.0129878648737289</c:v>
                </c:pt>
                <c:pt idx="131">
                  <c:v>2.0152345031157757</c:v>
                </c:pt>
                <c:pt idx="132">
                  <c:v>1.784564136037273</c:v>
                </c:pt>
                <c:pt idx="133">
                  <c:v>2.3205530171734678</c:v>
                </c:pt>
                <c:pt idx="134">
                  <c:v>2.0990316009813412</c:v>
                </c:pt>
                <c:pt idx="135">
                  <c:v>1.9936927457291409</c:v>
                </c:pt>
                <c:pt idx="136">
                  <c:v>1.8873953666076204</c:v>
                </c:pt>
                <c:pt idx="137">
                  <c:v>1.9388697856969193</c:v>
                </c:pt>
                <c:pt idx="138">
                  <c:v>1.6762182626515232</c:v>
                </c:pt>
                <c:pt idx="139">
                  <c:v>1.5693098537737487</c:v>
                </c:pt>
                <c:pt idx="140">
                  <c:v>1.2597547809348453</c:v>
                </c:pt>
                <c:pt idx="141">
                  <c:v>1.4357124325229109</c:v>
                </c:pt>
                <c:pt idx="142">
                  <c:v>1.4790643176967819</c:v>
                </c:pt>
                <c:pt idx="143">
                  <c:v>1.591269196970331</c:v>
                </c:pt>
                <c:pt idx="144">
                  <c:v>1.7557297324397947</c:v>
                </c:pt>
                <c:pt idx="145">
                  <c:v>1.6919314136738139</c:v>
                </c:pt>
                <c:pt idx="146">
                  <c:v>1.6574803215401841</c:v>
                </c:pt>
                <c:pt idx="147">
                  <c:v>1.8144241857044974</c:v>
                </c:pt>
                <c:pt idx="148">
                  <c:v>1.8066093108282031</c:v>
                </c:pt>
                <c:pt idx="149">
                  <c:v>1.8204193889512816</c:v>
                </c:pt>
                <c:pt idx="150">
                  <c:v>1.7011505324337839</c:v>
                </c:pt>
                <c:pt idx="151">
                  <c:v>1.7927992327051243</c:v>
                </c:pt>
                <c:pt idx="152">
                  <c:v>1.4489369002986592</c:v>
                </c:pt>
                <c:pt idx="153">
                  <c:v>1.5161754675817076</c:v>
                </c:pt>
                <c:pt idx="154">
                  <c:v>1.5974582194827476</c:v>
                </c:pt>
                <c:pt idx="155">
                  <c:v>1.7335620935798861</c:v>
                </c:pt>
                <c:pt idx="156">
                  <c:v>1.6904303469198023</c:v>
                </c:pt>
                <c:pt idx="157">
                  <c:v>1.7003076527866126</c:v>
                </c:pt>
                <c:pt idx="158">
                  <c:v>1.6382217301952342</c:v>
                </c:pt>
                <c:pt idx="159">
                  <c:v>1.6052973773058667</c:v>
                </c:pt>
                <c:pt idx="160">
                  <c:v>1.5323253506516936</c:v>
                </c:pt>
                <c:pt idx="161">
                  <c:v>1.4837076624723764</c:v>
                </c:pt>
                <c:pt idx="162">
                  <c:v>1.4520193478554999</c:v>
                </c:pt>
                <c:pt idx="163">
                  <c:v>1.5045438145492267</c:v>
                </c:pt>
                <c:pt idx="164">
                  <c:v>1.3641751249355938</c:v>
                </c:pt>
                <c:pt idx="165">
                  <c:v>1.3769027978569606</c:v>
                </c:pt>
                <c:pt idx="166">
                  <c:v>1.4386127271726787</c:v>
                </c:pt>
                <c:pt idx="167">
                  <c:v>1.6175715221882614</c:v>
                </c:pt>
                <c:pt idx="168">
                  <c:v>1.4466805875576036</c:v>
                </c:pt>
                <c:pt idx="169">
                  <c:v>1.4681953245007682</c:v>
                </c:pt>
                <c:pt idx="170">
                  <c:v>1.5471726190476192</c:v>
                </c:pt>
                <c:pt idx="171">
                  <c:v>1.8207267665130566</c:v>
                </c:pt>
                <c:pt idx="172">
                  <c:v>1.8312695652173914</c:v>
                </c:pt>
                <c:pt idx="173">
                  <c:v>1.7164785869565216</c:v>
                </c:pt>
                <c:pt idx="174">
                  <c:v>1.7370130434782609</c:v>
                </c:pt>
                <c:pt idx="175">
                  <c:v>1.2781857608695653</c:v>
                </c:pt>
                <c:pt idx="176">
                  <c:v>1.1136786565655306</c:v>
                </c:pt>
                <c:pt idx="177">
                  <c:v>1.1575872034247345</c:v>
                </c:pt>
                <c:pt idx="178">
                  <c:v>1.2452688366636298</c:v>
                </c:pt>
                <c:pt idx="179">
                  <c:v>1.3149342261273294</c:v>
                </c:pt>
                <c:pt idx="180">
                  <c:v>1.2340725331114348</c:v>
                </c:pt>
                <c:pt idx="181">
                  <c:v>1.2518355176478746</c:v>
                </c:pt>
                <c:pt idx="182">
                  <c:v>1.3444393592677346</c:v>
                </c:pt>
                <c:pt idx="183">
                  <c:v>1.3578475833853407</c:v>
                </c:pt>
                <c:pt idx="184">
                  <c:v>1.2813054757145341</c:v>
                </c:pt>
                <c:pt idx="185">
                  <c:v>1.2084478827816543</c:v>
                </c:pt>
                <c:pt idx="186">
                  <c:v>1.1069541326264556</c:v>
                </c:pt>
                <c:pt idx="187">
                  <c:v>1.1543346080305927</c:v>
                </c:pt>
                <c:pt idx="188">
                  <c:v>1.1093772457637936</c:v>
                </c:pt>
                <c:pt idx="189">
                  <c:v>1.1330568685690943</c:v>
                </c:pt>
                <c:pt idx="190">
                  <c:v>1.20603010238385</c:v>
                </c:pt>
                <c:pt idx="191">
                  <c:v>1.2255419620592516</c:v>
                </c:pt>
                <c:pt idx="192">
                  <c:v>1.177771371084908</c:v>
                </c:pt>
                <c:pt idx="193">
                  <c:v>1.316105852462659</c:v>
                </c:pt>
                <c:pt idx="194">
                  <c:v>1.3847814922705397</c:v>
                </c:pt>
                <c:pt idx="195">
                  <c:v>1.3823415466734386</c:v>
                </c:pt>
                <c:pt idx="196">
                  <c:v>1.2516437302514825</c:v>
                </c:pt>
                <c:pt idx="197">
                  <c:v>1.3390118004155305</c:v>
                </c:pt>
                <c:pt idx="198">
                  <c:v>1.4178397599878805</c:v>
                </c:pt>
                <c:pt idx="199">
                  <c:v>1.5201254577327621</c:v>
                </c:pt>
                <c:pt idx="200">
                  <c:v>1.4698701729424057</c:v>
                </c:pt>
                <c:pt idx="201">
                  <c:v>1.4205956801788235</c:v>
                </c:pt>
                <c:pt idx="202">
                  <c:v>1.3518425045827616</c:v>
                </c:pt>
                <c:pt idx="203">
                  <c:v>1.3281765358566986</c:v>
                </c:pt>
                <c:pt idx="204">
                  <c:v>1.2311344279461662</c:v>
                </c:pt>
                <c:pt idx="205">
                  <c:v>1.3077806075772003</c:v>
                </c:pt>
                <c:pt idx="206">
                  <c:v>1.34125455338194</c:v>
                </c:pt>
                <c:pt idx="207">
                  <c:v>1.420341382066709</c:v>
                </c:pt>
                <c:pt idx="208">
                  <c:v>1.3159527100129131</c:v>
                </c:pt>
                <c:pt idx="209">
                  <c:v>1.3047244267615956</c:v>
                </c:pt>
                <c:pt idx="210">
                  <c:v>1.3779665392803546</c:v>
                </c:pt>
                <c:pt idx="211">
                  <c:v>1.4902780686141068</c:v>
                </c:pt>
                <c:pt idx="212">
                  <c:v>1.4416933166331658</c:v>
                </c:pt>
                <c:pt idx="213">
                  <c:v>1.3781136041802069</c:v>
                </c:pt>
                <c:pt idx="214">
                  <c:v>1.4524423707924976</c:v>
                </c:pt>
                <c:pt idx="215">
                  <c:v>1.4504387093812188</c:v>
                </c:pt>
                <c:pt idx="216">
                  <c:v>1.2680074182863734</c:v>
                </c:pt>
                <c:pt idx="217">
                  <c:v>1.3198753629633844</c:v>
                </c:pt>
                <c:pt idx="218">
                  <c:v>1.3073010598660106</c:v>
                </c:pt>
                <c:pt idx="219">
                  <c:v>1.3606890680470696</c:v>
                </c:pt>
              </c:numCache>
            </c:numRef>
          </c:val>
          <c:smooth val="0"/>
          <c:extLst>
            <c:ext xmlns:c16="http://schemas.microsoft.com/office/drawing/2014/chart" uri="{C3380CC4-5D6E-409C-BE32-E72D297353CC}">
              <c16:uniqueId val="{00000000-BEC3-4DA2-B1A3-440D3C347110}"/>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468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plotArea>
    <c:plotVisOnly val="1"/>
    <c:dispBlanksAs val="gap"/>
    <c:showDLblsOverMax val="0"/>
    <c:extLst/>
  </c:chart>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lineChart>
        <c:grouping val="standard"/>
        <c:varyColors val="0"/>
        <c:ser>
          <c:idx val="2"/>
          <c:order val="0"/>
          <c:tx>
            <c:strRef>
              <c:f>'1. 1950s'!$B$1</c:f>
              <c:strCache>
                <c:ptCount val="1"/>
                <c:pt idx="0">
                  <c:v>Profit Margin</c:v>
                </c:pt>
              </c:strCache>
            </c:strRef>
          </c:tx>
          <c:spPr>
            <a:ln w="19050" cap="rnd" cmpd="sng" algn="ctr">
              <a:solidFill>
                <a:schemeClr val="dk1">
                  <a:tint val="75000"/>
                </a:schemeClr>
              </a:solidFill>
              <a:prstDash val="solid"/>
              <a:round/>
            </a:ln>
            <a:effectLst/>
          </c:spPr>
          <c:marker>
            <c:symbol val="none"/>
          </c:marker>
          <c:cat>
            <c:numRef>
              <c:f>'1. 1950s'!$A$2:$A$7</c:f>
              <c:numCache>
                <c:formatCode>General</c:formatCode>
                <c:ptCount val="6"/>
                <c:pt idx="0">
                  <c:v>1950</c:v>
                </c:pt>
                <c:pt idx="1">
                  <c:v>1951</c:v>
                </c:pt>
                <c:pt idx="2">
                  <c:v>1952</c:v>
                </c:pt>
                <c:pt idx="3">
                  <c:v>1953</c:v>
                </c:pt>
                <c:pt idx="4">
                  <c:v>1954</c:v>
                </c:pt>
                <c:pt idx="5">
                  <c:v>1955</c:v>
                </c:pt>
              </c:numCache>
            </c:numRef>
          </c:cat>
          <c:val>
            <c:numRef>
              <c:f>'1. 1950s'!$B$2:$B$7</c:f>
              <c:numCache>
                <c:formatCode>0.0%</c:formatCode>
                <c:ptCount val="6"/>
                <c:pt idx="0">
                  <c:v>7.8E-2</c:v>
                </c:pt>
                <c:pt idx="1">
                  <c:v>6.7000000000000004E-2</c:v>
                </c:pt>
                <c:pt idx="2">
                  <c:v>1E-3</c:v>
                </c:pt>
                <c:pt idx="3">
                  <c:v>3.4000000000000002E-2</c:v>
                </c:pt>
                <c:pt idx="4">
                  <c:v>0.01</c:v>
                </c:pt>
                <c:pt idx="5">
                  <c:v>5.0000000000000001E-3</c:v>
                </c:pt>
              </c:numCache>
            </c:numRef>
          </c:val>
          <c:smooth val="0"/>
          <c:extLst>
            <c:ext xmlns:c16="http://schemas.microsoft.com/office/drawing/2014/chart" uri="{C3380CC4-5D6E-409C-BE32-E72D297353CC}">
              <c16:uniqueId val="{00000000-9DF4-4CAF-B260-878F738F15B9}"/>
            </c:ext>
          </c:extLst>
        </c:ser>
        <c:ser>
          <c:idx val="0"/>
          <c:order val="1"/>
          <c:tx>
            <c:strRef>
              <c:f>'1. 1950s'!$C$1</c:f>
              <c:strCache>
                <c:ptCount val="1"/>
                <c:pt idx="0">
                  <c:v>Return on Equity</c:v>
                </c:pt>
              </c:strCache>
            </c:strRef>
          </c:tx>
          <c:spPr>
            <a:ln w="19050" cap="rnd" cmpd="sng" algn="ctr">
              <a:solidFill>
                <a:schemeClr val="tx1">
                  <a:lumMod val="65000"/>
                  <a:lumOff val="35000"/>
                </a:schemeClr>
              </a:solidFill>
              <a:prstDash val="solid"/>
              <a:round/>
            </a:ln>
            <a:effectLst/>
          </c:spPr>
          <c:marker>
            <c:symbol val="none"/>
          </c:marker>
          <c:cat>
            <c:numRef>
              <c:f>'1. 1950s'!$A$2:$A$7</c:f>
              <c:numCache>
                <c:formatCode>General</c:formatCode>
                <c:ptCount val="6"/>
                <c:pt idx="0">
                  <c:v>1950</c:v>
                </c:pt>
                <c:pt idx="1">
                  <c:v>1951</c:v>
                </c:pt>
                <c:pt idx="2">
                  <c:v>1952</c:v>
                </c:pt>
                <c:pt idx="3">
                  <c:v>1953</c:v>
                </c:pt>
                <c:pt idx="4">
                  <c:v>1954</c:v>
                </c:pt>
                <c:pt idx="5">
                  <c:v>1955</c:v>
                </c:pt>
              </c:numCache>
            </c:numRef>
          </c:cat>
          <c:val>
            <c:numRef>
              <c:f>'1. 1950s'!$C$2:$C$7</c:f>
              <c:numCache>
                <c:formatCode>0.0%</c:formatCode>
                <c:ptCount val="6"/>
                <c:pt idx="0">
                  <c:v>0.13100000000000001</c:v>
                </c:pt>
                <c:pt idx="1">
                  <c:v>0.109</c:v>
                </c:pt>
                <c:pt idx="2">
                  <c:v>2E-3</c:v>
                </c:pt>
                <c:pt idx="3">
                  <c:v>5.2999999999999999E-2</c:v>
                </c:pt>
                <c:pt idx="4">
                  <c:v>1.2E-2</c:v>
                </c:pt>
                <c:pt idx="5">
                  <c:v>6.0000000000000001E-3</c:v>
                </c:pt>
              </c:numCache>
            </c:numRef>
          </c:val>
          <c:smooth val="0"/>
          <c:extLst>
            <c:ext xmlns:c16="http://schemas.microsoft.com/office/drawing/2014/chart" uri="{C3380CC4-5D6E-409C-BE32-E72D297353CC}">
              <c16:uniqueId val="{00000001-9DF4-4CAF-B260-878F738F15B9}"/>
            </c:ext>
          </c:extLst>
        </c:ser>
        <c:dLbls>
          <c:showLegendKey val="0"/>
          <c:showVal val="0"/>
          <c:showCatName val="0"/>
          <c:showSerName val="0"/>
          <c:showPercent val="0"/>
          <c:showBubbleSize val="0"/>
        </c:dLbls>
        <c:smooth val="0"/>
        <c:axId val="809151936"/>
        <c:axId val="809146688"/>
      </c:lineChart>
      <c:catAx>
        <c:axId val="80915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46688"/>
        <c:crosses val="autoZero"/>
        <c:auto val="1"/>
        <c:lblAlgn val="ctr"/>
        <c:lblOffset val="100"/>
        <c:noMultiLvlLbl val="0"/>
      </c:catAx>
      <c:valAx>
        <c:axId val="809146688"/>
        <c:scaling>
          <c:orientation val="minMax"/>
          <c:max val="0.15000000000000002"/>
          <c:min val="0"/>
        </c:scaling>
        <c:delete val="0"/>
        <c:axPos val="l"/>
        <c:majorGridlines>
          <c:spPr>
            <a:ln w="9525" cap="flat" cmpd="sng" algn="ctr">
              <a:solidFill>
                <a:schemeClr val="tx1">
                  <a:lumMod val="15000"/>
                  <a:lumOff val="85000"/>
                </a:schemeClr>
              </a:solidFill>
              <a:prstDash val="solid"/>
              <a:round/>
            </a:ln>
            <a:effectLst/>
          </c:spPr>
        </c:majorGridlines>
        <c:numFmt formatCode="0.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51936"/>
        <c:crosses val="autoZero"/>
        <c:crossBetween val="between"/>
        <c:majorUnit val="2.5000000000000005E-2"/>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pieChart>
        <c:varyColors val="1"/>
        <c:ser>
          <c:idx val="1"/>
          <c:order val="1"/>
          <c:dPt>
            <c:idx val="0"/>
            <c:bubble3D val="0"/>
            <c:spPr>
              <a:solidFill>
                <a:schemeClr val="accent3">
                  <a:shade val="50000"/>
                </a:schemeClr>
              </a:solidFill>
              <a:ln w="19050">
                <a:solidFill>
                  <a:schemeClr val="lt1"/>
                </a:solidFill>
              </a:ln>
              <a:effectLst/>
            </c:spPr>
            <c:extLst>
              <c:ext xmlns:c16="http://schemas.microsoft.com/office/drawing/2014/chart" uri="{C3380CC4-5D6E-409C-BE32-E72D297353CC}">
                <c16:uniqueId val="{00000001-73AD-41CB-89A4-1D329EF80C84}"/>
              </c:ext>
            </c:extLst>
          </c:dPt>
          <c:dPt>
            <c:idx val="1"/>
            <c:bubble3D val="0"/>
            <c:spPr>
              <a:solidFill>
                <a:schemeClr val="accent3">
                  <a:shade val="70000"/>
                </a:schemeClr>
              </a:solidFill>
              <a:ln w="19050">
                <a:solidFill>
                  <a:schemeClr val="lt1"/>
                </a:solidFill>
              </a:ln>
              <a:effectLst/>
            </c:spPr>
            <c:extLst>
              <c:ext xmlns:c16="http://schemas.microsoft.com/office/drawing/2014/chart" uri="{C3380CC4-5D6E-409C-BE32-E72D297353CC}">
                <c16:uniqueId val="{00000003-73AD-41CB-89A4-1D329EF80C84}"/>
              </c:ext>
            </c:extLst>
          </c:dPt>
          <c:dPt>
            <c:idx val="2"/>
            <c:bubble3D val="0"/>
            <c:spPr>
              <a:solidFill>
                <a:schemeClr val="accent3">
                  <a:shade val="90000"/>
                </a:schemeClr>
              </a:solidFill>
              <a:ln w="19050">
                <a:solidFill>
                  <a:schemeClr val="lt1"/>
                </a:solidFill>
              </a:ln>
              <a:effectLst/>
            </c:spPr>
            <c:extLst>
              <c:ext xmlns:c16="http://schemas.microsoft.com/office/drawing/2014/chart" uri="{C3380CC4-5D6E-409C-BE32-E72D297353CC}">
                <c16:uniqueId val="{00000005-73AD-41CB-89A4-1D329EF80C84}"/>
              </c:ext>
            </c:extLst>
          </c:dPt>
          <c:dPt>
            <c:idx val="3"/>
            <c:bubble3D val="0"/>
            <c:spPr>
              <a:solidFill>
                <a:schemeClr val="accent3">
                  <a:tint val="90000"/>
                </a:schemeClr>
              </a:solidFill>
              <a:ln w="19050">
                <a:solidFill>
                  <a:schemeClr val="lt1"/>
                </a:solidFill>
              </a:ln>
              <a:effectLst/>
            </c:spPr>
            <c:extLst>
              <c:ext xmlns:c16="http://schemas.microsoft.com/office/drawing/2014/chart" uri="{C3380CC4-5D6E-409C-BE32-E72D297353CC}">
                <c16:uniqueId val="{00000007-73AD-41CB-89A4-1D329EF80C84}"/>
              </c:ext>
            </c:extLst>
          </c:dPt>
          <c:dPt>
            <c:idx val="4"/>
            <c:bubble3D val="0"/>
            <c:spPr>
              <a:solidFill>
                <a:schemeClr val="accent3">
                  <a:tint val="70000"/>
                </a:schemeClr>
              </a:solidFill>
              <a:ln w="19050">
                <a:solidFill>
                  <a:schemeClr val="lt1"/>
                </a:solidFill>
              </a:ln>
              <a:effectLst/>
            </c:spPr>
            <c:extLst>
              <c:ext xmlns:c16="http://schemas.microsoft.com/office/drawing/2014/chart" uri="{C3380CC4-5D6E-409C-BE32-E72D297353CC}">
                <c16:uniqueId val="{00000009-73AD-41CB-89A4-1D329EF80C84}"/>
              </c:ext>
            </c:extLst>
          </c:dPt>
          <c:dPt>
            <c:idx val="5"/>
            <c:bubble3D val="0"/>
            <c:spPr>
              <a:solidFill>
                <a:schemeClr val="accent3">
                  <a:tint val="50000"/>
                </a:schemeClr>
              </a:solidFill>
              <a:ln w="19050">
                <a:solidFill>
                  <a:schemeClr val="lt1"/>
                </a:solidFill>
              </a:ln>
              <a:effectLst/>
            </c:spPr>
            <c:extLst>
              <c:ext xmlns:c16="http://schemas.microsoft.com/office/drawing/2014/chart" uri="{C3380CC4-5D6E-409C-BE32-E72D297353CC}">
                <c16:uniqueId val="{0000000B-73AD-41CB-89A4-1D329EF80C8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Equity portfolio ''14-''19'!$A$37:$A$42</c:f>
              <c:strCache>
                <c:ptCount val="6"/>
                <c:pt idx="0">
                  <c:v>IBM</c:v>
                </c:pt>
                <c:pt idx="1">
                  <c:v>Bank of America</c:v>
                </c:pt>
                <c:pt idx="2">
                  <c:v>American Express</c:v>
                </c:pt>
                <c:pt idx="3">
                  <c:v>The Coca-Cola Company</c:v>
                </c:pt>
                <c:pt idx="4">
                  <c:v>Wells Fargo &amp; Company</c:v>
                </c:pt>
                <c:pt idx="5">
                  <c:v>All others</c:v>
                </c:pt>
              </c:strCache>
            </c:strRef>
          </c:cat>
          <c:val>
            <c:numRef>
              <c:f>'9. Equity portfolio ''14-''19'!$C$37:$C$42</c:f>
              <c:numCache>
                <c:formatCode>"$"#,##0_);\(#,##0\)</c:formatCode>
                <c:ptCount val="6"/>
                <c:pt idx="0">
                  <c:v>12349</c:v>
                </c:pt>
                <c:pt idx="1">
                  <c:v>12500</c:v>
                </c:pt>
                <c:pt idx="2">
                  <c:v>14106</c:v>
                </c:pt>
                <c:pt idx="3">
                  <c:v>16888</c:v>
                </c:pt>
                <c:pt idx="4">
                  <c:v>26504</c:v>
                </c:pt>
                <c:pt idx="5">
                  <c:v>35123</c:v>
                </c:pt>
              </c:numCache>
            </c:numRef>
          </c:val>
          <c:extLst>
            <c:ext xmlns:c16="http://schemas.microsoft.com/office/drawing/2014/chart" uri="{C3380CC4-5D6E-409C-BE32-E72D297353CC}">
              <c16:uniqueId val="{00000001-0800-4AD0-9DAE-DFDE278DDA1B}"/>
            </c:ext>
          </c:extLst>
        </c:ser>
        <c:dLbls>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3">
                        <a:shade val="50000"/>
                      </a:schemeClr>
                    </a:solidFill>
                    <a:ln w="19050">
                      <a:solidFill>
                        <a:schemeClr val="lt1"/>
                      </a:solidFill>
                    </a:ln>
                    <a:effectLst/>
                  </c:spPr>
                  <c:extLst>
                    <c:ext xmlns:c16="http://schemas.microsoft.com/office/drawing/2014/chart" uri="{C3380CC4-5D6E-409C-BE32-E72D297353CC}">
                      <c16:uniqueId val="{0000000D-73AD-41CB-89A4-1D329EF80C84}"/>
                    </c:ext>
                  </c:extLst>
                </c:dPt>
                <c:dPt>
                  <c:idx val="1"/>
                  <c:bubble3D val="0"/>
                  <c:spPr>
                    <a:solidFill>
                      <a:schemeClr val="accent3">
                        <a:shade val="70000"/>
                      </a:schemeClr>
                    </a:solidFill>
                    <a:ln w="19050">
                      <a:solidFill>
                        <a:schemeClr val="lt1"/>
                      </a:solidFill>
                    </a:ln>
                    <a:effectLst/>
                  </c:spPr>
                  <c:extLst>
                    <c:ext xmlns:c16="http://schemas.microsoft.com/office/drawing/2014/chart" uri="{C3380CC4-5D6E-409C-BE32-E72D297353CC}">
                      <c16:uniqueId val="{0000000F-73AD-41CB-89A4-1D329EF80C84}"/>
                    </c:ext>
                  </c:extLst>
                </c:dPt>
                <c:dPt>
                  <c:idx val="2"/>
                  <c:bubble3D val="0"/>
                  <c:spPr>
                    <a:solidFill>
                      <a:schemeClr val="accent3">
                        <a:shade val="90000"/>
                      </a:schemeClr>
                    </a:solidFill>
                    <a:ln w="19050">
                      <a:solidFill>
                        <a:schemeClr val="lt1"/>
                      </a:solidFill>
                    </a:ln>
                    <a:effectLst/>
                  </c:spPr>
                  <c:extLst>
                    <c:ext xmlns:c16="http://schemas.microsoft.com/office/drawing/2014/chart" uri="{C3380CC4-5D6E-409C-BE32-E72D297353CC}">
                      <c16:uniqueId val="{00000011-73AD-41CB-89A4-1D329EF80C84}"/>
                    </c:ext>
                  </c:extLst>
                </c:dPt>
                <c:dPt>
                  <c:idx val="3"/>
                  <c:bubble3D val="0"/>
                  <c:spPr>
                    <a:solidFill>
                      <a:schemeClr val="accent3">
                        <a:tint val="90000"/>
                      </a:schemeClr>
                    </a:solidFill>
                    <a:ln w="19050">
                      <a:solidFill>
                        <a:schemeClr val="lt1"/>
                      </a:solidFill>
                    </a:ln>
                    <a:effectLst/>
                  </c:spPr>
                  <c:extLst>
                    <c:ext xmlns:c16="http://schemas.microsoft.com/office/drawing/2014/chart" uri="{C3380CC4-5D6E-409C-BE32-E72D297353CC}">
                      <c16:uniqueId val="{00000013-73AD-41CB-89A4-1D329EF80C84}"/>
                    </c:ext>
                  </c:extLst>
                </c:dPt>
                <c:dPt>
                  <c:idx val="4"/>
                  <c:bubble3D val="0"/>
                  <c:spPr>
                    <a:solidFill>
                      <a:schemeClr val="accent3">
                        <a:tint val="70000"/>
                      </a:schemeClr>
                    </a:solidFill>
                    <a:ln w="19050">
                      <a:solidFill>
                        <a:schemeClr val="lt1"/>
                      </a:solidFill>
                    </a:ln>
                    <a:effectLst/>
                  </c:spPr>
                  <c:extLst>
                    <c:ext xmlns:c16="http://schemas.microsoft.com/office/drawing/2014/chart" uri="{C3380CC4-5D6E-409C-BE32-E72D297353CC}">
                      <c16:uniqueId val="{00000015-73AD-41CB-89A4-1D329EF80C84}"/>
                    </c:ext>
                  </c:extLst>
                </c:dPt>
                <c:dPt>
                  <c:idx val="5"/>
                  <c:bubble3D val="0"/>
                  <c:spPr>
                    <a:solidFill>
                      <a:schemeClr val="accent3">
                        <a:tint val="50000"/>
                      </a:schemeClr>
                    </a:solidFill>
                    <a:ln w="19050">
                      <a:solidFill>
                        <a:schemeClr val="lt1"/>
                      </a:solidFill>
                    </a:ln>
                    <a:effectLst/>
                  </c:spPr>
                  <c:extLst>
                    <c:ext xmlns:c16="http://schemas.microsoft.com/office/drawing/2014/chart" uri="{C3380CC4-5D6E-409C-BE32-E72D297353CC}">
                      <c16:uniqueId val="{00000017-73AD-41CB-89A4-1D329EF80C8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'9. Equity portfolio ''14-''19'!$A$37:$A$42</c15:sqref>
                        </c15:formulaRef>
                      </c:ext>
                    </c:extLst>
                    <c:strCache>
                      <c:ptCount val="6"/>
                      <c:pt idx="0">
                        <c:v>IBM</c:v>
                      </c:pt>
                      <c:pt idx="1">
                        <c:v>Bank of America</c:v>
                      </c:pt>
                      <c:pt idx="2">
                        <c:v>American Express</c:v>
                      </c:pt>
                      <c:pt idx="3">
                        <c:v>The Coca-Cola Company</c:v>
                      </c:pt>
                      <c:pt idx="4">
                        <c:v>Wells Fargo &amp; Company</c:v>
                      </c:pt>
                      <c:pt idx="5">
                        <c:v>All others</c:v>
                      </c:pt>
                    </c:strCache>
                  </c:strRef>
                </c:cat>
                <c:val>
                  <c:numRef>
                    <c:extLst>
                      <c:ext uri="{02D57815-91ED-43cb-92C2-25804820EDAC}">
                        <c15:formulaRef>
                          <c15:sqref>'9. Equity portfolio ''14-''19'!$B$37:$B$42</c15:sqref>
                        </c15:formulaRef>
                      </c:ext>
                    </c:extLst>
                    <c:numCache>
                      <c:formatCode>General</c:formatCode>
                      <c:ptCount val="6"/>
                    </c:numCache>
                  </c:numRef>
                </c:val>
                <c:extLst>
                  <c:ext xmlns:c16="http://schemas.microsoft.com/office/drawing/2014/chart" uri="{C3380CC4-5D6E-409C-BE32-E72D297353CC}">
                    <c16:uniqueId val="{00000000-0800-4AD0-9DAE-DFDE278DDA1B}"/>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3"/>
          <c:order val="0"/>
          <c:tx>
            <c:strRef>
              <c:f>'9. Equity portfolio ''14-''19'!$A$29</c:f>
              <c:strCache>
                <c:ptCount val="1"/>
                <c:pt idx="0">
                  <c:v>BofA</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''14-''19'!$B$29:$F$29</c15:sqref>
                  </c15:fullRef>
                </c:ext>
              </c:extLst>
              <c:f>('9. Equity portfolio ''14-''19'!$C$29,'9. Equity portfolio ''14-''19'!$F$29)</c:f>
              <c:numCache>
                <c:formatCode>General</c:formatCode>
                <c:ptCount val="2"/>
                <c:pt idx="0">
                  <c:v>12500</c:v>
                </c:pt>
                <c:pt idx="1" formatCode="#,##0_);\(#,##0\)">
                  <c:v>33380</c:v>
                </c:pt>
              </c:numCache>
            </c:numRef>
          </c:val>
          <c:extLst>
            <c:ext xmlns:c16="http://schemas.microsoft.com/office/drawing/2014/chart" uri="{C3380CC4-5D6E-409C-BE32-E72D297353CC}">
              <c16:uniqueId val="{00000003-C27D-4AB4-A0B7-DA08E19713BF}"/>
            </c:ext>
          </c:extLst>
        </c:ser>
        <c:ser>
          <c:idx val="1"/>
          <c:order val="1"/>
          <c:tx>
            <c:strRef>
              <c:f>'9. Equity portfolio ''14-''19'!$A$27</c:f>
              <c:strCache>
                <c:ptCount val="1"/>
                <c:pt idx="0">
                  <c:v>AMEX</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''14-''19'!$B$27:$F$27</c15:sqref>
                  </c15:fullRef>
                </c:ext>
              </c:extLst>
              <c:f>('9. Equity portfolio ''14-''19'!$C$27,'9. Equity portfolio ''14-''19'!$F$27)</c:f>
              <c:numCache>
                <c:formatCode>"$"#,##0_);\(#,##0\)</c:formatCode>
                <c:ptCount val="2"/>
                <c:pt idx="0">
                  <c:v>14106</c:v>
                </c:pt>
                <c:pt idx="1">
                  <c:v>18874</c:v>
                </c:pt>
              </c:numCache>
            </c:numRef>
          </c:val>
          <c:extLst>
            <c:ext xmlns:c16="http://schemas.microsoft.com/office/drawing/2014/chart" uri="{C3380CC4-5D6E-409C-BE32-E72D297353CC}">
              <c16:uniqueId val="{00000001-C27D-4AB4-A0B7-DA08E19713BF}"/>
            </c:ext>
          </c:extLst>
        </c:ser>
        <c:ser>
          <c:idx val="2"/>
          <c:order val="2"/>
          <c:tx>
            <c:strRef>
              <c:f>'9. Equity portfolio ''14-''19'!$A$28</c:f>
              <c:strCache>
                <c:ptCount val="1"/>
                <c:pt idx="0">
                  <c:v>Coke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''14-''19'!$B$28:$F$28</c15:sqref>
                  </c15:fullRef>
                </c:ext>
              </c:extLst>
              <c:f>('9. Equity portfolio ''14-''19'!$C$28,'9. Equity portfolio ''14-''19'!$F$28)</c:f>
              <c:numCache>
                <c:formatCode>#,##0_);\(#,##0\)</c:formatCode>
                <c:ptCount val="2"/>
                <c:pt idx="0">
                  <c:v>16888</c:v>
                </c:pt>
                <c:pt idx="1">
                  <c:v>22140</c:v>
                </c:pt>
              </c:numCache>
            </c:numRef>
          </c:val>
          <c:extLst>
            <c:ext xmlns:c16="http://schemas.microsoft.com/office/drawing/2014/chart" uri="{C3380CC4-5D6E-409C-BE32-E72D297353CC}">
              <c16:uniqueId val="{00000002-C27D-4AB4-A0B7-DA08E19713BF}"/>
            </c:ext>
          </c:extLst>
        </c:ser>
        <c:ser>
          <c:idx val="0"/>
          <c:order val="3"/>
          <c:tx>
            <c:strRef>
              <c:f>'9. Equity portfolio ''14-''19'!$A$26</c:f>
              <c:strCache>
                <c:ptCount val="1"/>
                <c:pt idx="0">
                  <c:v>Wells Fargo</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''14-''19'!$B$26:$F$26</c15:sqref>
                  </c15:fullRef>
                </c:ext>
              </c:extLst>
              <c:f>('9. Equity portfolio ''14-''19'!$C$26,'9. Equity portfolio ''14-''19'!$F$26)</c:f>
              <c:numCache>
                <c:formatCode>#,##0_);\(#,##0\)</c:formatCode>
                <c:ptCount val="2"/>
                <c:pt idx="0">
                  <c:v>26504</c:v>
                </c:pt>
                <c:pt idx="1">
                  <c:v>18598</c:v>
                </c:pt>
              </c:numCache>
            </c:numRef>
          </c:val>
          <c:extLst>
            <c:ext xmlns:c16="http://schemas.microsoft.com/office/drawing/2014/chart" uri="{C3380CC4-5D6E-409C-BE32-E72D297353CC}">
              <c16:uniqueId val="{00000000-C27D-4AB4-A0B7-DA08E19713BF}"/>
            </c:ext>
          </c:extLst>
        </c:ser>
        <c:ser>
          <c:idx val="5"/>
          <c:order val="4"/>
          <c:tx>
            <c:strRef>
              <c:f>'9. Equity portfolio ''14-''19'!$A$31</c:f>
              <c:strCache>
                <c:ptCount val="1"/>
                <c:pt idx="0">
                  <c:v>IBM</c:v>
                </c:pt>
              </c:strCache>
            </c:strRef>
          </c:tx>
          <c:spPr>
            <a:solidFill>
              <a:schemeClr val="tx1"/>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C27D-4AB4-A0B7-DA08E19713B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''14-''19'!$B$31:$F$31</c15:sqref>
                  </c15:fullRef>
                </c:ext>
              </c:extLst>
              <c:f>('9. Equity portfolio ''14-''19'!$C$31,'9. Equity portfolio ''14-''19'!$F$31)</c:f>
              <c:numCache>
                <c:formatCode>#,##0_);\(#,##0\)</c:formatCode>
                <c:ptCount val="2"/>
                <c:pt idx="0">
                  <c:v>12349</c:v>
                </c:pt>
                <c:pt idx="1">
                  <c:v>0</c:v>
                </c:pt>
              </c:numCache>
            </c:numRef>
          </c:val>
          <c:extLst>
            <c:ext xmlns:c16="http://schemas.microsoft.com/office/drawing/2014/chart" uri="{C3380CC4-5D6E-409C-BE32-E72D297353CC}">
              <c16:uniqueId val="{00000005-C27D-4AB4-A0B7-DA08E19713BF}"/>
            </c:ext>
          </c:extLst>
        </c:ser>
        <c:ser>
          <c:idx val="4"/>
          <c:order val="5"/>
          <c:tx>
            <c:strRef>
              <c:f>'9. Equity portfolio ''14-''19'!$A$30</c:f>
              <c:strCache>
                <c:ptCount val="1"/>
                <c:pt idx="0">
                  <c:v>Apple</c:v>
                </c:pt>
              </c:strCache>
            </c:strRef>
          </c:tx>
          <c:spPr>
            <a:solidFill>
              <a:schemeClr val="tx1">
                <a:lumMod val="65000"/>
                <a:lumOff val="3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C27D-4AB4-A0B7-DA08E19713B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 Equity portfolio ''14-''19'!$B$25:$F$25</c15:sqref>
                  </c15:fullRef>
                </c:ext>
              </c:extLst>
              <c:f>('9. Equity portfolio ''14-''19'!$C$25,'9. Equity portfolio ''14-''19'!$F$25)</c:f>
              <c:numCache>
                <c:formatCode>General</c:formatCode>
                <c:ptCount val="2"/>
                <c:pt idx="0">
                  <c:v>2014</c:v>
                </c:pt>
                <c:pt idx="1">
                  <c:v>2019</c:v>
                </c:pt>
              </c:numCache>
            </c:numRef>
          </c:cat>
          <c:val>
            <c:numRef>
              <c:extLst>
                <c:ext xmlns:c15="http://schemas.microsoft.com/office/drawing/2012/chart" uri="{02D57815-91ED-43cb-92C2-25804820EDAC}">
                  <c15:fullRef>
                    <c15:sqref>'9. Equity portfolio ''14-''19'!$B$30:$F$30</c15:sqref>
                  </c15:fullRef>
                </c:ext>
              </c:extLst>
              <c:f>('9. Equity portfolio ''14-''19'!$C$30,'9. Equity portfolio ''14-''19'!$F$30)</c:f>
              <c:numCache>
                <c:formatCode>General</c:formatCode>
                <c:ptCount val="2"/>
                <c:pt idx="0">
                  <c:v>0</c:v>
                </c:pt>
                <c:pt idx="1" formatCode="#,##0_);\(#,##0\)">
                  <c:v>73667</c:v>
                </c:pt>
              </c:numCache>
            </c:numRef>
          </c:val>
          <c:extLst>
            <c:ext xmlns:c16="http://schemas.microsoft.com/office/drawing/2014/chart" uri="{C3380CC4-5D6E-409C-BE32-E72D297353CC}">
              <c16:uniqueId val="{00000004-C27D-4AB4-A0B7-DA08E19713BF}"/>
            </c:ext>
          </c:extLst>
        </c:ser>
        <c:dLbls>
          <c:showLegendKey val="0"/>
          <c:showVal val="1"/>
          <c:showCatName val="0"/>
          <c:showSerName val="0"/>
          <c:showPercent val="0"/>
          <c:showBubbleSize val="0"/>
        </c:dLbls>
        <c:gapWidth val="111"/>
        <c:overlap val="100"/>
        <c:axId val="676871664"/>
        <c:axId val="676871336"/>
      </c:barChart>
      <c:catAx>
        <c:axId val="67687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676871336"/>
        <c:crosses val="autoZero"/>
        <c:auto val="1"/>
        <c:lblAlgn val="ctr"/>
        <c:lblOffset val="100"/>
        <c:noMultiLvlLbl val="0"/>
      </c:catAx>
      <c:valAx>
        <c:axId val="676871336"/>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676871664"/>
        <c:crosses val="autoZero"/>
        <c:crossBetween val="between"/>
        <c:majorUnit val="2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pieChart>
        <c:varyColors val="1"/>
        <c:ser>
          <c:idx val="0"/>
          <c:order val="0"/>
          <c:dPt>
            <c:idx val="0"/>
            <c:bubble3D val="0"/>
            <c:spPr>
              <a:solidFill>
                <a:schemeClr val="accent3">
                  <a:shade val="50000"/>
                </a:schemeClr>
              </a:solidFill>
              <a:ln w="19050">
                <a:solidFill>
                  <a:schemeClr val="lt1"/>
                </a:solidFill>
              </a:ln>
              <a:effectLst/>
            </c:spPr>
            <c:extLst>
              <c:ext xmlns:c16="http://schemas.microsoft.com/office/drawing/2014/chart" uri="{C3380CC4-5D6E-409C-BE32-E72D297353CC}">
                <c16:uniqueId val="{00000001-F004-4512-9DCF-F06B6C6E5932}"/>
              </c:ext>
            </c:extLst>
          </c:dPt>
          <c:dPt>
            <c:idx val="1"/>
            <c:bubble3D val="0"/>
            <c:spPr>
              <a:solidFill>
                <a:schemeClr val="accent3">
                  <a:shade val="70000"/>
                </a:schemeClr>
              </a:solidFill>
              <a:ln w="19050">
                <a:solidFill>
                  <a:schemeClr val="lt1"/>
                </a:solidFill>
              </a:ln>
              <a:effectLst/>
            </c:spPr>
            <c:extLst>
              <c:ext xmlns:c16="http://schemas.microsoft.com/office/drawing/2014/chart" uri="{C3380CC4-5D6E-409C-BE32-E72D297353CC}">
                <c16:uniqueId val="{00000003-F004-4512-9DCF-F06B6C6E5932}"/>
              </c:ext>
            </c:extLst>
          </c:dPt>
          <c:dPt>
            <c:idx val="2"/>
            <c:bubble3D val="0"/>
            <c:spPr>
              <a:solidFill>
                <a:schemeClr val="accent3">
                  <a:shade val="90000"/>
                </a:schemeClr>
              </a:solidFill>
              <a:ln w="19050">
                <a:solidFill>
                  <a:schemeClr val="lt1"/>
                </a:solidFill>
              </a:ln>
              <a:effectLst/>
            </c:spPr>
            <c:extLst>
              <c:ext xmlns:c16="http://schemas.microsoft.com/office/drawing/2014/chart" uri="{C3380CC4-5D6E-409C-BE32-E72D297353CC}">
                <c16:uniqueId val="{00000005-F004-4512-9DCF-F06B6C6E5932}"/>
              </c:ext>
            </c:extLst>
          </c:dPt>
          <c:dPt>
            <c:idx val="3"/>
            <c:bubble3D val="0"/>
            <c:spPr>
              <a:solidFill>
                <a:schemeClr val="accent3">
                  <a:tint val="90000"/>
                </a:schemeClr>
              </a:solidFill>
              <a:ln w="19050">
                <a:solidFill>
                  <a:schemeClr val="lt1"/>
                </a:solidFill>
              </a:ln>
              <a:effectLst/>
            </c:spPr>
            <c:extLst>
              <c:ext xmlns:c16="http://schemas.microsoft.com/office/drawing/2014/chart" uri="{C3380CC4-5D6E-409C-BE32-E72D297353CC}">
                <c16:uniqueId val="{00000007-F004-4512-9DCF-F06B6C6E5932}"/>
              </c:ext>
            </c:extLst>
          </c:dPt>
          <c:dPt>
            <c:idx val="4"/>
            <c:bubble3D val="0"/>
            <c:spPr>
              <a:solidFill>
                <a:schemeClr val="accent3">
                  <a:tint val="70000"/>
                </a:schemeClr>
              </a:solidFill>
              <a:ln w="19050">
                <a:solidFill>
                  <a:schemeClr val="lt1"/>
                </a:solidFill>
              </a:ln>
              <a:effectLst/>
            </c:spPr>
            <c:extLst>
              <c:ext xmlns:c16="http://schemas.microsoft.com/office/drawing/2014/chart" uri="{C3380CC4-5D6E-409C-BE32-E72D297353CC}">
                <c16:uniqueId val="{00000009-F004-4512-9DCF-F06B6C6E5932}"/>
              </c:ext>
            </c:extLst>
          </c:dPt>
          <c:dPt>
            <c:idx val="5"/>
            <c:bubble3D val="0"/>
            <c:spPr>
              <a:solidFill>
                <a:schemeClr val="accent3">
                  <a:tint val="50000"/>
                </a:schemeClr>
              </a:solidFill>
              <a:ln w="19050">
                <a:solidFill>
                  <a:schemeClr val="lt1"/>
                </a:solidFill>
              </a:ln>
              <a:effectLst/>
            </c:spPr>
            <c:extLst>
              <c:ext xmlns:c16="http://schemas.microsoft.com/office/drawing/2014/chart" uri="{C3380CC4-5D6E-409C-BE32-E72D297353CC}">
                <c16:uniqueId val="{0000000B-F004-4512-9DCF-F06B6C6E5932}"/>
              </c:ext>
            </c:extLst>
          </c:dPt>
          <c:dLbls>
            <c:spPr>
              <a:noFill/>
              <a:ln>
                <a:noFill/>
              </a:ln>
              <a:effectLst/>
            </c:spPr>
            <c:txPr>
              <a:bodyPr rot="0" spcFirstLastPara="1" vertOverflow="ellipsis" vert="horz" wrap="square" lIns="38100" tIns="19050" rIns="38100" bIns="19050" anchor="ctr" anchorCtr="1">
                <a:spAutoFit/>
              </a:bodyPr>
              <a:lstStyle/>
              <a:p>
                <a:pPr>
                  <a:defRPr lang="en-US"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Equity portfolio ''14-''19'!$A$36,'9. Equity portfolio ''14-''19'!$A$38:$A$42)</c:f>
              <c:strCache>
                <c:ptCount val="6"/>
                <c:pt idx="0">
                  <c:v>Apple, Inc.</c:v>
                </c:pt>
                <c:pt idx="1">
                  <c:v>Bank of America</c:v>
                </c:pt>
                <c:pt idx="2">
                  <c:v>American Express</c:v>
                </c:pt>
                <c:pt idx="3">
                  <c:v>The Coca-Cola Company</c:v>
                </c:pt>
                <c:pt idx="4">
                  <c:v>Wells Fargo &amp; Company</c:v>
                </c:pt>
                <c:pt idx="5">
                  <c:v>All others</c:v>
                </c:pt>
              </c:strCache>
            </c:strRef>
          </c:cat>
          <c:val>
            <c:numRef>
              <c:f>('9. Equity portfolio ''14-''19'!$F$36,'9. Equity portfolio ''14-''19'!$F$38:$F$42)</c:f>
              <c:numCache>
                <c:formatCode>"$"#,##0_);\(#,##0\)</c:formatCode>
                <c:ptCount val="6"/>
                <c:pt idx="0">
                  <c:v>73667</c:v>
                </c:pt>
                <c:pt idx="1">
                  <c:v>33380</c:v>
                </c:pt>
                <c:pt idx="2">
                  <c:v>18874</c:v>
                </c:pt>
                <c:pt idx="3">
                  <c:v>22140</c:v>
                </c:pt>
                <c:pt idx="4">
                  <c:v>18598</c:v>
                </c:pt>
                <c:pt idx="5">
                  <c:v>81368</c:v>
                </c:pt>
              </c:numCache>
            </c:numRef>
          </c:val>
          <c:extLst>
            <c:ext xmlns:c16="http://schemas.microsoft.com/office/drawing/2014/chart" uri="{C3380CC4-5D6E-409C-BE32-E72D297353CC}">
              <c16:uniqueId val="{00000000-EC6A-4B5D-B695-B904D7B4CB91}"/>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strRef>
              <c:f>'10. WGC Float shrink'!$B$6</c:f>
              <c:strCache>
                <c:ptCount val="1"/>
                <c:pt idx="0">
                  <c:v>Beginning Float</c:v>
                </c:pt>
              </c:strCache>
            </c:strRef>
          </c:tx>
          <c:spPr>
            <a:solidFill>
              <a:schemeClr val="bg2">
                <a:lumMod val="50000"/>
              </a:schemeClr>
            </a:solidFill>
            <a:ln>
              <a:noFill/>
            </a:ln>
            <a:effectLst/>
          </c:spPr>
          <c:invertIfNegative val="0"/>
          <c:val>
            <c:numRef>
              <c:f>'10. WGC Float shrink'!$B$7:$B$21</c:f>
              <c:numCache>
                <c:formatCode>#,##0</c:formatCode>
                <c:ptCount val="15"/>
                <c:pt idx="0">
                  <c:v>77000</c:v>
                </c:pt>
                <c:pt idx="1">
                  <c:v>74690</c:v>
                </c:pt>
                <c:pt idx="2">
                  <c:v>72449.3</c:v>
                </c:pt>
                <c:pt idx="3">
                  <c:v>70275.820999999996</c:v>
                </c:pt>
                <c:pt idx="4">
                  <c:v>68167.546369999996</c:v>
                </c:pt>
                <c:pt idx="5">
                  <c:v>66122.519978900003</c:v>
                </c:pt>
                <c:pt idx="6">
                  <c:v>64138.844379533002</c:v>
                </c:pt>
                <c:pt idx="7">
                  <c:v>62214.679048147009</c:v>
                </c:pt>
                <c:pt idx="8">
                  <c:v>60348.238676702596</c:v>
                </c:pt>
                <c:pt idx="9">
                  <c:v>58537.791516401521</c:v>
                </c:pt>
                <c:pt idx="10">
                  <c:v>56781.657770909478</c:v>
                </c:pt>
                <c:pt idx="11">
                  <c:v>55078.208037782191</c:v>
                </c:pt>
                <c:pt idx="12">
                  <c:v>53425.861796648729</c:v>
                </c:pt>
                <c:pt idx="13">
                  <c:v>51823.085942749269</c:v>
                </c:pt>
                <c:pt idx="14">
                  <c:v>50268.393364466792</c:v>
                </c:pt>
              </c:numCache>
            </c:numRef>
          </c:val>
          <c:extLst>
            <c:ext xmlns:c16="http://schemas.microsoft.com/office/drawing/2014/chart" uri="{C3380CC4-5D6E-409C-BE32-E72D297353CC}">
              <c16:uniqueId val="{00000000-0DF5-469A-8BEB-48A5095F14C1}"/>
            </c:ext>
          </c:extLst>
        </c:ser>
        <c:ser>
          <c:idx val="1"/>
          <c:order val="1"/>
          <c:tx>
            <c:strRef>
              <c:f>'10. WGC Float shrink'!$I$6</c:f>
              <c:strCache>
                <c:ptCount val="1"/>
                <c:pt idx="0">
                  <c:v>Cumulative underwriting gain</c:v>
                </c:pt>
              </c:strCache>
            </c:strRef>
          </c:tx>
          <c:spPr>
            <a:solidFill>
              <a:schemeClr val="bg2">
                <a:lumMod val="75000"/>
              </a:schemeClr>
            </a:solidFill>
            <a:ln>
              <a:noFill/>
            </a:ln>
            <a:effectLst/>
          </c:spPr>
          <c:invertIfNegative val="0"/>
          <c:val>
            <c:numRef>
              <c:f>'10. WGC Float shrink'!$I$7:$I$21</c:f>
              <c:numCache>
                <c:formatCode>General</c:formatCode>
                <c:ptCount val="15"/>
                <c:pt idx="0">
                  <c:v>2310</c:v>
                </c:pt>
                <c:pt idx="1">
                  <c:v>4550.7</c:v>
                </c:pt>
                <c:pt idx="2">
                  <c:v>6724.1790000000001</c:v>
                </c:pt>
                <c:pt idx="3">
                  <c:v>8832.45363</c:v>
                </c:pt>
                <c:pt idx="4">
                  <c:v>10877.4800211</c:v>
                </c:pt>
                <c:pt idx="5">
                  <c:v>12861.155620467</c:v>
                </c:pt>
                <c:pt idx="6">
                  <c:v>14785.320951852989</c:v>
                </c:pt>
                <c:pt idx="7">
                  <c:v>16651.7613232974</c:v>
                </c:pt>
                <c:pt idx="8">
                  <c:v>18462.208483598479</c:v>
                </c:pt>
                <c:pt idx="9">
                  <c:v>20218.342229090526</c:v>
                </c:pt>
                <c:pt idx="10">
                  <c:v>21921.791962217809</c:v>
                </c:pt>
                <c:pt idx="11">
                  <c:v>23574.138203351275</c:v>
                </c:pt>
                <c:pt idx="12">
                  <c:v>25176.914057250735</c:v>
                </c:pt>
                <c:pt idx="13">
                  <c:v>26731.606635533211</c:v>
                </c:pt>
                <c:pt idx="14">
                  <c:v>28239.658436467216</c:v>
                </c:pt>
              </c:numCache>
            </c:numRef>
          </c:val>
          <c:extLst>
            <c:ext xmlns:c16="http://schemas.microsoft.com/office/drawing/2014/chart" uri="{C3380CC4-5D6E-409C-BE32-E72D297353CC}">
              <c16:uniqueId val="{00000001-0DF5-469A-8BEB-48A5095F14C1}"/>
            </c:ext>
          </c:extLst>
        </c:ser>
        <c:dLbls>
          <c:showLegendKey val="0"/>
          <c:showVal val="0"/>
          <c:showCatName val="0"/>
          <c:showSerName val="0"/>
          <c:showPercent val="0"/>
          <c:showBubbleSize val="0"/>
        </c:dLbls>
        <c:gapWidth val="150"/>
        <c:overlap val="100"/>
        <c:axId val="867883160"/>
        <c:axId val="867884144"/>
      </c:barChart>
      <c:catAx>
        <c:axId val="867883160"/>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67884144"/>
        <c:crosses val="autoZero"/>
        <c:auto val="1"/>
        <c:lblAlgn val="ctr"/>
        <c:lblOffset val="100"/>
        <c:noMultiLvlLbl val="0"/>
      </c:catAx>
      <c:valAx>
        <c:axId val="867884144"/>
        <c:scaling>
          <c:orientation val="minMax"/>
          <c:max val="9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Float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_(&quot;$&quot;* #,##0_);_(&quot;$&quot;* \(#,##0\);_(&quot;$&quot;* &quot;0&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67883160"/>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Textron!$A$36</c:f>
              <c:strCache>
                <c:ptCount val="1"/>
                <c:pt idx="0">
                  <c:v>NI/SH out</c:v>
                </c:pt>
              </c:strCache>
            </c:strRef>
          </c:tx>
          <c:spPr>
            <a:ln w="28575" cap="rnd">
              <a:solidFill>
                <a:schemeClr val="accent1"/>
              </a:solidFill>
              <a:round/>
            </a:ln>
            <a:effectLst/>
          </c:spPr>
          <c:marker>
            <c:symbol val="none"/>
          </c:marker>
          <c:cat>
            <c:numRef>
              <c:f>Textron!$B$5:$P$5</c:f>
              <c:numCache>
                <c:formatCode>General</c:formatCode>
                <c:ptCount val="15"/>
                <c:pt idx="0">
                  <c:v>1960</c:v>
                </c:pt>
                <c:pt idx="1">
                  <c:v>1959</c:v>
                </c:pt>
                <c:pt idx="2">
                  <c:v>1958</c:v>
                </c:pt>
                <c:pt idx="3">
                  <c:v>1957</c:v>
                </c:pt>
                <c:pt idx="4">
                  <c:v>1956</c:v>
                </c:pt>
                <c:pt idx="5">
                  <c:v>1955</c:v>
                </c:pt>
                <c:pt idx="6">
                  <c:v>1954</c:v>
                </c:pt>
                <c:pt idx="7">
                  <c:v>1953</c:v>
                </c:pt>
                <c:pt idx="8">
                  <c:v>1952</c:v>
                </c:pt>
                <c:pt idx="9">
                  <c:v>1951</c:v>
                </c:pt>
                <c:pt idx="10">
                  <c:v>1950</c:v>
                </c:pt>
                <c:pt idx="11">
                  <c:v>1949</c:v>
                </c:pt>
                <c:pt idx="12">
                  <c:v>1948</c:v>
                </c:pt>
                <c:pt idx="13">
                  <c:v>1947</c:v>
                </c:pt>
                <c:pt idx="14">
                  <c:v>1946</c:v>
                </c:pt>
              </c:numCache>
            </c:numRef>
          </c:cat>
          <c:val>
            <c:numRef>
              <c:f>Textron!$B$36:$P$36</c:f>
              <c:numCache>
                <c:formatCode>_("$"* #,##0.00_);_("$"* \(#,##0.00\);_("$"* "-"??_);_(@_)</c:formatCode>
                <c:ptCount val="15"/>
                <c:pt idx="0">
                  <c:v>3.0323202342935547</c:v>
                </c:pt>
                <c:pt idx="1">
                  <c:v>3.4796265279868801</c:v>
                </c:pt>
                <c:pt idx="2">
                  <c:v>2.4729730723972185</c:v>
                </c:pt>
                <c:pt idx="3">
                  <c:v>2.462057106874219</c:v>
                </c:pt>
                <c:pt idx="4">
                  <c:v>1.8419646438437187</c:v>
                </c:pt>
                <c:pt idx="5">
                  <c:v>1.895323035848129</c:v>
                </c:pt>
                <c:pt idx="6">
                  <c:v>0.96789290851155219</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C35C-4529-B364-7CC6D0B4E6F2}"/>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Textron!$A$10</c:f>
              <c:strCache>
                <c:ptCount val="1"/>
                <c:pt idx="0">
                  <c:v>Pre-tax return on capital</c:v>
                </c:pt>
              </c:strCache>
            </c:strRef>
          </c:tx>
          <c:spPr>
            <a:ln w="28575" cap="rnd">
              <a:solidFill>
                <a:schemeClr val="accent1"/>
              </a:solidFill>
              <a:round/>
            </a:ln>
            <a:effectLst/>
          </c:spPr>
          <c:marker>
            <c:symbol val="none"/>
          </c:marker>
          <c:cat>
            <c:numRef>
              <c:f>Textron!$B$5:$P$5</c:f>
              <c:numCache>
                <c:formatCode>General</c:formatCode>
                <c:ptCount val="15"/>
                <c:pt idx="0">
                  <c:v>1960</c:v>
                </c:pt>
                <c:pt idx="1">
                  <c:v>1959</c:v>
                </c:pt>
                <c:pt idx="2">
                  <c:v>1958</c:v>
                </c:pt>
                <c:pt idx="3">
                  <c:v>1957</c:v>
                </c:pt>
                <c:pt idx="4">
                  <c:v>1956</c:v>
                </c:pt>
                <c:pt idx="5">
                  <c:v>1955</c:v>
                </c:pt>
                <c:pt idx="6">
                  <c:v>1954</c:v>
                </c:pt>
                <c:pt idx="7">
                  <c:v>1953</c:v>
                </c:pt>
                <c:pt idx="8">
                  <c:v>1952</c:v>
                </c:pt>
                <c:pt idx="9">
                  <c:v>1951</c:v>
                </c:pt>
                <c:pt idx="10">
                  <c:v>1950</c:v>
                </c:pt>
                <c:pt idx="11">
                  <c:v>1949</c:v>
                </c:pt>
                <c:pt idx="12">
                  <c:v>1948</c:v>
                </c:pt>
                <c:pt idx="13">
                  <c:v>1947</c:v>
                </c:pt>
                <c:pt idx="14">
                  <c:v>1946</c:v>
                </c:pt>
              </c:numCache>
            </c:numRef>
          </c:cat>
          <c:val>
            <c:numRef>
              <c:f>Textron!$B$10:$N$10</c:f>
              <c:numCache>
                <c:formatCode>0.0%</c:formatCode>
                <c:ptCount val="13"/>
                <c:pt idx="0">
                  <c:v>0.12972055981393441</c:v>
                </c:pt>
                <c:pt idx="1">
                  <c:v>0.14417696293782872</c:v>
                </c:pt>
                <c:pt idx="2">
                  <c:v>0.10716265057659609</c:v>
                </c:pt>
                <c:pt idx="3">
                  <c:v>9.1383188865442277E-2</c:v>
                </c:pt>
                <c:pt idx="4">
                  <c:v>8.729370232228198E-2</c:v>
                </c:pt>
                <c:pt idx="5">
                  <c:v>0.12905338719628046</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AAA1-458C-819F-950E87195FC8}"/>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Litton!$A$36</c:f>
              <c:strCache>
                <c:ptCount val="1"/>
                <c:pt idx="0">
                  <c:v>NI/SH out</c:v>
                </c:pt>
              </c:strCache>
            </c:strRef>
          </c:tx>
          <c:spPr>
            <a:ln w="28575" cap="rnd">
              <a:solidFill>
                <a:schemeClr val="accent1"/>
              </a:solidFill>
              <a:round/>
            </a:ln>
            <a:effectLst/>
          </c:spPr>
          <c:marker>
            <c:symbol val="none"/>
          </c:marker>
          <c:cat>
            <c:numRef>
              <c:f>Litton!$F$5:$T$5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pt idx="14">
                  <c:v>1956</c:v>
                </c:pt>
              </c:numCache>
            </c:numRef>
          </c:cat>
          <c:val>
            <c:numRef>
              <c:f>Litton!$F$36:$T$36</c:f>
              <c:numCache>
                <c:formatCode>_("$"* #,##0.00_);_("$"* \(#,##0.00\);_("$"* "-"??_);_(@_)</c:formatCode>
                <c:ptCount val="15"/>
                <c:pt idx="0">
                  <c:v>2.4078901718252439</c:v>
                </c:pt>
                <c:pt idx="1">
                  <c:v>3.138051450798498</c:v>
                </c:pt>
                <c:pt idx="2">
                  <c:v>2.3835282766918491</c:v>
                </c:pt>
                <c:pt idx="3">
                  <c:v>3.6175159619375354</c:v>
                </c:pt>
                <c:pt idx="4">
                  <c:v>2.7167905877672474</c:v>
                </c:pt>
                <c:pt idx="5">
                  <c:v>1.7730425542116548</c:v>
                </c:pt>
                <c:pt idx="6">
                  <c:v>2.8327262138306009</c:v>
                </c:pt>
                <c:pt idx="7">
                  <c:v>2.2402586555990291</c:v>
                </c:pt>
                <c:pt idx="8">
                  <c:v>3.3753485053446965</c:v>
                </c:pt>
                <c:pt idx="9">
                  <c:v>2.268758989431555</c:v>
                </c:pt>
                <c:pt idx="10">
                  <c:v>1.7926346401987976</c:v>
                </c:pt>
                <c:pt idx="11">
                  <c:v>2.7580558778401563</c:v>
                </c:pt>
                <c:pt idx="12">
                  <c:v>2.1888536581472389</c:v>
                </c:pt>
                <c:pt idx="13">
                  <c:v>1.5129934521845314</c:v>
                </c:pt>
                <c:pt idx="14">
                  <c:v>0.9740828058698896</c:v>
                </c:pt>
              </c:numCache>
            </c:numRef>
          </c:val>
          <c:smooth val="0"/>
          <c:extLst>
            <c:ext xmlns:c16="http://schemas.microsoft.com/office/drawing/2014/chart" uri="{C3380CC4-5D6E-409C-BE32-E72D297353CC}">
              <c16:uniqueId val="{00000000-1734-4669-A837-8405BEFF5147}"/>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Litton!$A$10</c:f>
              <c:strCache>
                <c:ptCount val="1"/>
                <c:pt idx="0">
                  <c:v>Pre-tax return on capital</c:v>
                </c:pt>
              </c:strCache>
            </c:strRef>
          </c:tx>
          <c:spPr>
            <a:ln w="28575" cap="rnd">
              <a:solidFill>
                <a:schemeClr val="accent1"/>
              </a:solidFill>
              <a:round/>
            </a:ln>
            <a:effectLst/>
          </c:spPr>
          <c:marker>
            <c:symbol val="none"/>
          </c:marker>
          <c:cat>
            <c:numRef>
              <c:f>Litton!$F$5:$T$5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pt idx="14">
                  <c:v>1956</c:v>
                </c:pt>
              </c:numCache>
            </c:numRef>
          </c:cat>
          <c:val>
            <c:numRef>
              <c:f>Litton!$F$10:$R$10</c:f>
              <c:numCache>
                <c:formatCode>0.0%</c:formatCode>
                <c:ptCount val="13"/>
                <c:pt idx="0">
                  <c:v>0.12455219846502949</c:v>
                </c:pt>
                <c:pt idx="1">
                  <c:v>0.1541909187540256</c:v>
                </c:pt>
                <c:pt idx="2">
                  <c:v>0.14483274457726314</c:v>
                </c:pt>
                <c:pt idx="3">
                  <c:v>0.25394012774113617</c:v>
                </c:pt>
                <c:pt idx="4">
                  <c:v>0.23137335813513518</c:v>
                </c:pt>
                <c:pt idx="5">
                  <c:v>0.21731455323584276</c:v>
                </c:pt>
                <c:pt idx="6">
                  <c:v>0.22641879169043977</c:v>
                </c:pt>
                <c:pt idx="7">
                  <c:v>0.22106423164833255</c:v>
                </c:pt>
                <c:pt idx="8">
                  <c:v>0.21483618849550506</c:v>
                </c:pt>
                <c:pt idx="9">
                  <c:v>0.2160923747088539</c:v>
                </c:pt>
                <c:pt idx="10">
                  <c:v>0.23658669078717037</c:v>
                </c:pt>
                <c:pt idx="11">
                  <c:v>0.23279511327893623</c:v>
                </c:pt>
                <c:pt idx="12">
                  <c:v>0.28408194133257486</c:v>
                </c:pt>
              </c:numCache>
            </c:numRef>
          </c:val>
          <c:smooth val="0"/>
          <c:extLst>
            <c:ext xmlns:c16="http://schemas.microsoft.com/office/drawing/2014/chart" uri="{C3380CC4-5D6E-409C-BE32-E72D297353CC}">
              <c16:uniqueId val="{00000000-B764-41FF-A696-2E75EE7AC48C}"/>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LTV!$A$36</c:f>
              <c:strCache>
                <c:ptCount val="1"/>
                <c:pt idx="0">
                  <c:v>NI/SH out</c:v>
                </c:pt>
              </c:strCache>
            </c:strRef>
          </c:tx>
          <c:spPr>
            <a:ln w="28575" cap="rnd">
              <a:solidFill>
                <a:schemeClr val="accent1"/>
              </a:solidFill>
              <a:round/>
            </a:ln>
            <a:effectLst/>
          </c:spPr>
          <c:marker>
            <c:symbol val="none"/>
          </c:marker>
          <c:cat>
            <c:numRef>
              <c:f>LTV!$B$5:$P$5</c:f>
              <c:numCache>
                <c:formatCode>General</c:formatCode>
                <c:ptCount val="15"/>
                <c:pt idx="0">
                  <c:v>1969</c:v>
                </c:pt>
                <c:pt idx="1">
                  <c:v>1968</c:v>
                </c:pt>
                <c:pt idx="2">
                  <c:v>1967</c:v>
                </c:pt>
                <c:pt idx="3">
                  <c:v>1966</c:v>
                </c:pt>
                <c:pt idx="4">
                  <c:v>1965</c:v>
                </c:pt>
                <c:pt idx="5">
                  <c:v>1964</c:v>
                </c:pt>
                <c:pt idx="6">
                  <c:v>1963</c:v>
                </c:pt>
                <c:pt idx="7">
                  <c:v>1962</c:v>
                </c:pt>
                <c:pt idx="8">
                  <c:v>1961</c:v>
                </c:pt>
                <c:pt idx="9">
                  <c:v>1960</c:v>
                </c:pt>
                <c:pt idx="10">
                  <c:v>1959</c:v>
                </c:pt>
                <c:pt idx="11">
                  <c:v>1958</c:v>
                </c:pt>
              </c:numCache>
            </c:numRef>
          </c:cat>
          <c:val>
            <c:numRef>
              <c:f>LTV!$B$36:$P$36</c:f>
              <c:numCache>
                <c:formatCode>_("$"* #,##0.00_);_("$"* \(#,##0.00\);_("$"* "-"??_);_(@_)</c:formatCode>
                <c:ptCount val="15"/>
                <c:pt idx="0">
                  <c:v>-15.799425602958049</c:v>
                </c:pt>
                <c:pt idx="1">
                  <c:v>17.536839574987944</c:v>
                </c:pt>
                <c:pt idx="2">
                  <c:v>7.2822853050451508</c:v>
                </c:pt>
                <c:pt idx="3">
                  <c:v>7.0673367457091354</c:v>
                </c:pt>
                <c:pt idx="4">
                  <c:v>3.3909203733402848</c:v>
                </c:pt>
                <c:pt idx="5">
                  <c:v>2.6506187627771514</c:v>
                </c:pt>
                <c:pt idx="6">
                  <c:v>2.1902364197255517</c:v>
                </c:pt>
                <c:pt idx="7">
                  <c:v>3.1075114959045842</c:v>
                </c:pt>
                <c:pt idx="8">
                  <c:v>-4.7415184933617036</c:v>
                </c:pt>
                <c:pt idx="9">
                  <c:v>1.1950861267370074</c:v>
                </c:pt>
                <c:pt idx="10">
                  <c:v>1.158705504029004</c:v>
                </c:pt>
                <c:pt idx="11">
                  <c:v>0</c:v>
                </c:pt>
                <c:pt idx="12">
                  <c:v>0</c:v>
                </c:pt>
                <c:pt idx="13">
                  <c:v>0</c:v>
                </c:pt>
                <c:pt idx="14">
                  <c:v>0</c:v>
                </c:pt>
              </c:numCache>
            </c:numRef>
          </c:val>
          <c:smooth val="0"/>
          <c:extLst>
            <c:ext xmlns:c16="http://schemas.microsoft.com/office/drawing/2014/chart" uri="{C3380CC4-5D6E-409C-BE32-E72D297353CC}">
              <c16:uniqueId val="{00000000-CB96-478F-9A77-02DF897C4C9E}"/>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LTV!$A$10</c:f>
              <c:strCache>
                <c:ptCount val="1"/>
                <c:pt idx="0">
                  <c:v>Pre-tax return on capital</c:v>
                </c:pt>
              </c:strCache>
            </c:strRef>
          </c:tx>
          <c:spPr>
            <a:ln w="28575" cap="rnd">
              <a:solidFill>
                <a:schemeClr val="accent1"/>
              </a:solidFill>
              <a:round/>
            </a:ln>
            <a:effectLst/>
          </c:spPr>
          <c:marker>
            <c:symbol val="none"/>
          </c:marker>
          <c:cat>
            <c:numRef>
              <c:f>LTV!$B$5:$P$5</c:f>
              <c:numCache>
                <c:formatCode>General</c:formatCode>
                <c:ptCount val="15"/>
                <c:pt idx="0">
                  <c:v>1969</c:v>
                </c:pt>
                <c:pt idx="1">
                  <c:v>1968</c:v>
                </c:pt>
                <c:pt idx="2">
                  <c:v>1967</c:v>
                </c:pt>
                <c:pt idx="3">
                  <c:v>1966</c:v>
                </c:pt>
                <c:pt idx="4">
                  <c:v>1965</c:v>
                </c:pt>
                <c:pt idx="5">
                  <c:v>1964</c:v>
                </c:pt>
                <c:pt idx="6">
                  <c:v>1963</c:v>
                </c:pt>
                <c:pt idx="7">
                  <c:v>1962</c:v>
                </c:pt>
                <c:pt idx="8">
                  <c:v>1961</c:v>
                </c:pt>
                <c:pt idx="9">
                  <c:v>1960</c:v>
                </c:pt>
                <c:pt idx="10">
                  <c:v>1959</c:v>
                </c:pt>
                <c:pt idx="11">
                  <c:v>1958</c:v>
                </c:pt>
              </c:numCache>
            </c:numRef>
          </c:cat>
          <c:val>
            <c:numRef>
              <c:f>LTV!$B$10:$N$10</c:f>
              <c:numCache>
                <c:formatCode>0.0%</c:formatCode>
                <c:ptCount val="13"/>
                <c:pt idx="0">
                  <c:v>5.4132047325424329E-2</c:v>
                </c:pt>
                <c:pt idx="1">
                  <c:v>8.32558423368185E-2</c:v>
                </c:pt>
                <c:pt idx="2">
                  <c:v>0.22345967221853366</c:v>
                </c:pt>
                <c:pt idx="3">
                  <c:v>0.20021013654024514</c:v>
                </c:pt>
                <c:pt idx="4">
                  <c:v>0.1344871207726572</c:v>
                </c:pt>
                <c:pt idx="5">
                  <c:v>0.14588610987428194</c:v>
                </c:pt>
                <c:pt idx="6">
                  <c:v>0.14333310727674717</c:v>
                </c:pt>
                <c:pt idx="7">
                  <c:v>0.11333267474071035</c:v>
                </c:pt>
                <c:pt idx="8">
                  <c:v>0.18095658061571129</c:v>
                </c:pt>
                <c:pt idx="9">
                  <c:v>0.15066932444362094</c:v>
                </c:pt>
                <c:pt idx="10">
                  <c:v>0.19316975846675019</c:v>
                </c:pt>
                <c:pt idx="11">
                  <c:v>0</c:v>
                </c:pt>
                <c:pt idx="12">
                  <c:v>0</c:v>
                </c:pt>
              </c:numCache>
            </c:numRef>
          </c:val>
          <c:smooth val="0"/>
          <c:extLst>
            <c:ext xmlns:c16="http://schemas.microsoft.com/office/drawing/2014/chart" uri="{C3380CC4-5D6E-409C-BE32-E72D297353CC}">
              <c16:uniqueId val="{00000000-3C89-4E4D-A7A0-B6C5DCF1422F}"/>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137977544473607"/>
          <c:y val="9.7797775278090235E-2"/>
          <c:w val="0.87308471857684455"/>
          <c:h val="0.68761061117360334"/>
        </c:manualLayout>
      </c:layout>
      <c:barChart>
        <c:barDir val="col"/>
        <c:grouping val="clustered"/>
        <c:varyColors val="0"/>
        <c:ser>
          <c:idx val="0"/>
          <c:order val="0"/>
          <c:tx>
            <c:strRef>
              <c:f>'1. Spindles 1940-50-55'!$B$1</c:f>
              <c:strCache>
                <c:ptCount val="1"/>
                <c:pt idx="0">
                  <c:v>United States</c:v>
                </c:pt>
              </c:strCache>
            </c:strRef>
          </c:tx>
          <c:spPr>
            <a:solidFill>
              <a:schemeClr val="dk1">
                <a:tint val="88500"/>
              </a:schemeClr>
            </a:solidFill>
            <a:ln>
              <a:noFill/>
            </a:ln>
            <a:effectLst/>
          </c:spPr>
          <c:invertIfNegative val="0"/>
          <c:cat>
            <c:numRef>
              <c:f>'1. Spindles 1940-50-55'!$A$2:$A$4</c:f>
              <c:numCache>
                <c:formatCode>General</c:formatCode>
                <c:ptCount val="3"/>
                <c:pt idx="0">
                  <c:v>1940</c:v>
                </c:pt>
                <c:pt idx="1">
                  <c:v>1950</c:v>
                </c:pt>
                <c:pt idx="2">
                  <c:v>1955</c:v>
                </c:pt>
              </c:numCache>
            </c:numRef>
          </c:cat>
          <c:val>
            <c:numRef>
              <c:f>'1. Spindles 1940-50-55'!$B$2:$B$4</c:f>
              <c:numCache>
                <c:formatCode>General</c:formatCode>
                <c:ptCount val="3"/>
                <c:pt idx="0">
                  <c:v>23.6</c:v>
                </c:pt>
                <c:pt idx="1">
                  <c:v>20.5</c:v>
                </c:pt>
                <c:pt idx="2">
                  <c:v>19.100000000000001</c:v>
                </c:pt>
              </c:numCache>
            </c:numRef>
          </c:val>
          <c:extLst>
            <c:ext xmlns:c16="http://schemas.microsoft.com/office/drawing/2014/chart" uri="{C3380CC4-5D6E-409C-BE32-E72D297353CC}">
              <c16:uniqueId val="{00000000-29EC-49C8-ACA3-209A30035DC2}"/>
            </c:ext>
          </c:extLst>
        </c:ser>
        <c:ser>
          <c:idx val="1"/>
          <c:order val="1"/>
          <c:tx>
            <c:strRef>
              <c:f>'1. Spindles 1940-50-55'!$C$1</c:f>
              <c:strCache>
                <c:ptCount val="1"/>
                <c:pt idx="0">
                  <c:v>New England</c:v>
                </c:pt>
              </c:strCache>
            </c:strRef>
          </c:tx>
          <c:spPr>
            <a:solidFill>
              <a:schemeClr val="dk1">
                <a:tint val="55000"/>
              </a:schemeClr>
            </a:solidFill>
            <a:ln>
              <a:noFill/>
            </a:ln>
            <a:effectLst/>
          </c:spPr>
          <c:invertIfNegative val="0"/>
          <c:cat>
            <c:numRef>
              <c:f>'1. Spindles 1940-50-55'!$A$2:$A$4</c:f>
              <c:numCache>
                <c:formatCode>General</c:formatCode>
                <c:ptCount val="3"/>
                <c:pt idx="0">
                  <c:v>1940</c:v>
                </c:pt>
                <c:pt idx="1">
                  <c:v>1950</c:v>
                </c:pt>
                <c:pt idx="2">
                  <c:v>1955</c:v>
                </c:pt>
              </c:numCache>
            </c:numRef>
          </c:cat>
          <c:val>
            <c:numRef>
              <c:f>'1. Spindles 1940-50-55'!$C$2:$C$4</c:f>
              <c:numCache>
                <c:formatCode>General</c:formatCode>
                <c:ptCount val="3"/>
                <c:pt idx="0">
                  <c:v>5.3</c:v>
                </c:pt>
                <c:pt idx="1">
                  <c:v>3.6</c:v>
                </c:pt>
                <c:pt idx="2">
                  <c:v>2.2000000000000002</c:v>
                </c:pt>
              </c:numCache>
            </c:numRef>
          </c:val>
          <c:extLst>
            <c:ext xmlns:c16="http://schemas.microsoft.com/office/drawing/2014/chart" uri="{C3380CC4-5D6E-409C-BE32-E72D297353CC}">
              <c16:uniqueId val="{00000001-29EC-49C8-ACA3-209A30035DC2}"/>
            </c:ext>
          </c:extLst>
        </c:ser>
        <c:ser>
          <c:idx val="2"/>
          <c:order val="2"/>
          <c:tx>
            <c:strRef>
              <c:f>'1. Spindles 1940-50-55'!$D$1</c:f>
              <c:strCache>
                <c:ptCount val="1"/>
                <c:pt idx="0">
                  <c:v>Southern States</c:v>
                </c:pt>
              </c:strCache>
            </c:strRef>
          </c:tx>
          <c:spPr>
            <a:solidFill>
              <a:schemeClr val="dk1">
                <a:tint val="75000"/>
              </a:schemeClr>
            </a:solidFill>
            <a:ln>
              <a:noFill/>
            </a:ln>
            <a:effectLst/>
          </c:spPr>
          <c:invertIfNegative val="0"/>
          <c:cat>
            <c:numRef>
              <c:f>'1. Spindles 1940-50-55'!$A$2:$A$4</c:f>
              <c:numCache>
                <c:formatCode>General</c:formatCode>
                <c:ptCount val="3"/>
                <c:pt idx="0">
                  <c:v>1940</c:v>
                </c:pt>
                <c:pt idx="1">
                  <c:v>1950</c:v>
                </c:pt>
                <c:pt idx="2">
                  <c:v>1955</c:v>
                </c:pt>
              </c:numCache>
            </c:numRef>
          </c:cat>
          <c:val>
            <c:numRef>
              <c:f>'1. Spindles 1940-50-55'!$D$2:$D$4</c:f>
              <c:numCache>
                <c:formatCode>General</c:formatCode>
                <c:ptCount val="3"/>
                <c:pt idx="0">
                  <c:v>17.600000000000001</c:v>
                </c:pt>
                <c:pt idx="1">
                  <c:v>16.600000000000001</c:v>
                </c:pt>
                <c:pt idx="2">
                  <c:v>16.8</c:v>
                </c:pt>
              </c:numCache>
            </c:numRef>
          </c:val>
          <c:extLst>
            <c:ext xmlns:c16="http://schemas.microsoft.com/office/drawing/2014/chart" uri="{C3380CC4-5D6E-409C-BE32-E72D297353CC}">
              <c16:uniqueId val="{00000002-29EC-49C8-ACA3-209A30035DC2}"/>
            </c:ext>
          </c:extLst>
        </c:ser>
        <c:dLbls>
          <c:showLegendKey val="0"/>
          <c:showVal val="0"/>
          <c:showCatName val="0"/>
          <c:showSerName val="0"/>
          <c:showPercent val="0"/>
          <c:showBubbleSize val="0"/>
        </c:dLbls>
        <c:gapWidth val="219"/>
        <c:overlap val="-27"/>
        <c:axId val="816670368"/>
        <c:axId val="797221080"/>
      </c:barChart>
      <c:catAx>
        <c:axId val="81667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97221080"/>
        <c:crosses val="autoZero"/>
        <c:auto val="1"/>
        <c:lblAlgn val="ctr"/>
        <c:lblOffset val="100"/>
        <c:noMultiLvlLbl val="0"/>
      </c:catAx>
      <c:valAx>
        <c:axId val="797221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Millions of Active Spindles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6670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'G&amp;W'!$A$36</c:f>
              <c:strCache>
                <c:ptCount val="1"/>
                <c:pt idx="0">
                  <c:v>NI/SH out</c:v>
                </c:pt>
              </c:strCache>
            </c:strRef>
          </c:tx>
          <c:spPr>
            <a:ln w="28575" cap="rnd">
              <a:solidFill>
                <a:schemeClr val="accent1"/>
              </a:solidFill>
              <a:round/>
            </a:ln>
            <a:effectLst/>
          </c:spPr>
          <c:marker>
            <c:symbol val="none"/>
          </c:marker>
          <c:cat>
            <c:numRef>
              <c:f>'G&amp;W'!$B$5:$P$5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'G&amp;W'!$B$36:$P$36</c:f>
              <c:numCache>
                <c:formatCode>_("$"* #,##0.00_);_("$"* \(#,##0.00\);_("$"* "-"??_);_(@_)</c:formatCode>
                <c:ptCount val="15"/>
                <c:pt idx="0">
                  <c:v>2.9919757097363209</c:v>
                </c:pt>
                <c:pt idx="1">
                  <c:v>4.4175729026752579</c:v>
                </c:pt>
                <c:pt idx="2">
                  <c:v>4.6597726309249641</c:v>
                </c:pt>
                <c:pt idx="3">
                  <c:v>4.0965434403362302</c:v>
                </c:pt>
                <c:pt idx="4">
                  <c:v>3.2256797290480281</c:v>
                </c:pt>
                <c:pt idx="5">
                  <c:v>2.648064324974813</c:v>
                </c:pt>
                <c:pt idx="6">
                  <c:v>1.8959853304138927</c:v>
                </c:pt>
                <c:pt idx="7">
                  <c:v>1.7252090737859309</c:v>
                </c:pt>
                <c:pt idx="8">
                  <c:v>1.3720942514505929</c:v>
                </c:pt>
                <c:pt idx="9">
                  <c:v>0.95807787381207732</c:v>
                </c:pt>
                <c:pt idx="10">
                  <c:v>0.59974634416799499</c:v>
                </c:pt>
                <c:pt idx="11">
                  <c:v>0.77988244749831115</c:v>
                </c:pt>
                <c:pt idx="12">
                  <c:v>0.10050440696368119</c:v>
                </c:pt>
                <c:pt idx="13">
                  <c:v>0</c:v>
                </c:pt>
                <c:pt idx="14">
                  <c:v>0</c:v>
                </c:pt>
              </c:numCache>
            </c:numRef>
          </c:val>
          <c:smooth val="0"/>
          <c:extLst>
            <c:ext xmlns:c16="http://schemas.microsoft.com/office/drawing/2014/chart" uri="{C3380CC4-5D6E-409C-BE32-E72D297353CC}">
              <c16:uniqueId val="{00000000-5664-4E1E-9502-F609FDAA8D92}"/>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'G&amp;W'!$A$10</c:f>
              <c:strCache>
                <c:ptCount val="1"/>
                <c:pt idx="0">
                  <c:v>Pre-tax return on capital</c:v>
                </c:pt>
              </c:strCache>
            </c:strRef>
          </c:tx>
          <c:spPr>
            <a:ln w="28575" cap="rnd">
              <a:solidFill>
                <a:schemeClr val="accent1"/>
              </a:solidFill>
              <a:round/>
            </a:ln>
            <a:effectLst/>
          </c:spPr>
          <c:marker>
            <c:symbol val="none"/>
          </c:marker>
          <c:cat>
            <c:numRef>
              <c:f>'G&amp;W'!$B$5:$P$5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'G&amp;W'!$B$10:$N$10</c:f>
              <c:numCache>
                <c:formatCode>0.0%</c:formatCode>
                <c:ptCount val="13"/>
                <c:pt idx="0">
                  <c:v>9.870860542709281E-2</c:v>
                </c:pt>
                <c:pt idx="1">
                  <c:v>9.4770014302374014E-2</c:v>
                </c:pt>
                <c:pt idx="2">
                  <c:v>0.15562180618630866</c:v>
                </c:pt>
                <c:pt idx="3">
                  <c:v>0.23310627725288005</c:v>
                </c:pt>
                <c:pt idx="4">
                  <c:v>0.24420653255447644</c:v>
                </c:pt>
                <c:pt idx="5">
                  <c:v>0.18579332708734025</c:v>
                </c:pt>
                <c:pt idx="6">
                  <c:v>0.1617857633915121</c:v>
                </c:pt>
                <c:pt idx="7">
                  <c:v>0.18490400788849209</c:v>
                </c:pt>
                <c:pt idx="8">
                  <c:v>0.16291323496680798</c:v>
                </c:pt>
                <c:pt idx="9">
                  <c:v>0.12954931057221947</c:v>
                </c:pt>
                <c:pt idx="10">
                  <c:v>0.13294152045671981</c:v>
                </c:pt>
                <c:pt idx="11">
                  <c:v>0.14928925533620707</c:v>
                </c:pt>
                <c:pt idx="12">
                  <c:v>0</c:v>
                </c:pt>
              </c:numCache>
            </c:numRef>
          </c:val>
          <c:smooth val="0"/>
          <c:extLst>
            <c:ext xmlns:c16="http://schemas.microsoft.com/office/drawing/2014/chart" uri="{C3380CC4-5D6E-409C-BE32-E72D297353CC}">
              <c16:uniqueId val="{00000000-C3F7-40EA-8EB7-C93CACFEC462}"/>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ITT!$A$36</c:f>
              <c:strCache>
                <c:ptCount val="1"/>
                <c:pt idx="0">
                  <c:v>NI/SH out</c:v>
                </c:pt>
              </c:strCache>
            </c:strRef>
          </c:tx>
          <c:spPr>
            <a:ln w="28575" cap="rnd">
              <a:solidFill>
                <a:schemeClr val="accent1"/>
              </a:solidFill>
              <a:round/>
            </a:ln>
            <a:effectLst/>
          </c:spPr>
          <c:marker>
            <c:symbol val="none"/>
          </c:marker>
          <c:cat>
            <c:numRef>
              <c:f>ITT!$F$5:$T$5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ITT!$F$36:$T$36</c:f>
              <c:numCache>
                <c:formatCode>_("$"* #,##0.00_);_("$"* \(#,##0.00\);_("$"* "-"??_);_(@_)</c:formatCode>
                <c:ptCount val="15"/>
                <c:pt idx="0">
                  <c:v>5.2094819008225137</c:v>
                </c:pt>
                <c:pt idx="1">
                  <c:v>3.580077091419652</c:v>
                </c:pt>
                <c:pt idx="2">
                  <c:v>3.2578130731796784</c:v>
                </c:pt>
                <c:pt idx="3">
                  <c:v>2.4581323552492242</c:v>
                </c:pt>
                <c:pt idx="4">
                  <c:v>2.1927282554465326</c:v>
                </c:pt>
                <c:pt idx="5">
                  <c:v>3.7557092480010139</c:v>
                </c:pt>
                <c:pt idx="6">
                  <c:v>3.2625239450255732</c:v>
                </c:pt>
                <c:pt idx="7">
                  <c:v>2.8369176938667851</c:v>
                </c:pt>
                <c:pt idx="8">
                  <c:v>2.4471832182291826</c:v>
                </c:pt>
                <c:pt idx="9">
                  <c:v>2.6674121499402137</c:v>
                </c:pt>
                <c:pt idx="10">
                  <c:v>2.4533382631407572</c:v>
                </c:pt>
                <c:pt idx="11">
                  <c:v>1.8696719796675172</c:v>
                </c:pt>
                <c:pt idx="12">
                  <c:v>1.8063403504006519</c:v>
                </c:pt>
                <c:pt idx="13">
                  <c:v>0</c:v>
                </c:pt>
                <c:pt idx="14">
                  <c:v>0</c:v>
                </c:pt>
              </c:numCache>
            </c:numRef>
          </c:val>
          <c:smooth val="0"/>
          <c:extLst>
            <c:ext xmlns:c16="http://schemas.microsoft.com/office/drawing/2014/chart" uri="{C3380CC4-5D6E-409C-BE32-E72D297353CC}">
              <c16:uniqueId val="{00000000-D912-4128-AA81-F9878472DC0E}"/>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ITT!$A$10</c:f>
              <c:strCache>
                <c:ptCount val="1"/>
                <c:pt idx="0">
                  <c:v>Pre-tax return on capital</c:v>
                </c:pt>
              </c:strCache>
            </c:strRef>
          </c:tx>
          <c:spPr>
            <a:ln w="28575" cap="rnd">
              <a:solidFill>
                <a:schemeClr val="accent1"/>
              </a:solidFill>
              <a:round/>
            </a:ln>
            <a:effectLst/>
          </c:spPr>
          <c:marker>
            <c:symbol val="none"/>
          </c:marker>
          <c:cat>
            <c:numRef>
              <c:f>ITT!$F$5:$T$5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ITT!$F$10:$R$10</c:f>
              <c:numCache>
                <c:formatCode>0.0%</c:formatCode>
                <c:ptCount val="13"/>
                <c:pt idx="0">
                  <c:v>0.14704991223972685</c:v>
                </c:pt>
                <c:pt idx="1">
                  <c:v>0.13407989243632221</c:v>
                </c:pt>
                <c:pt idx="2">
                  <c:v>0.13763580101545969</c:v>
                </c:pt>
                <c:pt idx="3">
                  <c:v>0.11660490776047075</c:v>
                </c:pt>
                <c:pt idx="4">
                  <c:v>0.13372930773277339</c:v>
                </c:pt>
                <c:pt idx="5">
                  <c:v>0.12587628535915357</c:v>
                </c:pt>
                <c:pt idx="6">
                  <c:v>0.16570083275776462</c:v>
                </c:pt>
                <c:pt idx="7">
                  <c:v>0.16192738286534408</c:v>
                </c:pt>
                <c:pt idx="8">
                  <c:v>0.13172500239840271</c:v>
                </c:pt>
                <c:pt idx="9">
                  <c:v>0.15022665090019313</c:v>
                </c:pt>
                <c:pt idx="10">
                  <c:v>0.12052381597485907</c:v>
                </c:pt>
                <c:pt idx="11">
                  <c:v>0.11458725748051189</c:v>
                </c:pt>
                <c:pt idx="12">
                  <c:v>0</c:v>
                </c:pt>
              </c:numCache>
            </c:numRef>
          </c:val>
          <c:smooth val="0"/>
          <c:extLst>
            <c:ext xmlns:c16="http://schemas.microsoft.com/office/drawing/2014/chart" uri="{C3380CC4-5D6E-409C-BE32-E72D297353CC}">
              <c16:uniqueId val="{00000000-B3F8-43AA-B3AF-12A1052AB3EB}"/>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Teledyne!$A$36</c:f>
              <c:strCache>
                <c:ptCount val="1"/>
                <c:pt idx="0">
                  <c:v>NI/SH out</c:v>
                </c:pt>
              </c:strCache>
            </c:strRef>
          </c:tx>
          <c:spPr>
            <a:ln w="28575" cap="rnd">
              <a:solidFill>
                <a:schemeClr val="accent1"/>
              </a:solidFill>
              <a:round/>
            </a:ln>
            <a:effectLst/>
          </c:spPr>
          <c:marker>
            <c:symbol val="none"/>
          </c:marker>
          <c:cat>
            <c:numRef>
              <c:f>Teledyne!$F$5:$T$5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Teledyne!$F$36:$T$36</c:f>
              <c:numCache>
                <c:formatCode>_("$"* #,##0.00_);_("$"* \(#,##0.00\);_("$"* "-"??_);_(@_)</c:formatCode>
                <c:ptCount val="15"/>
                <c:pt idx="0">
                  <c:v>2.2585129418215946</c:v>
                </c:pt>
                <c:pt idx="1">
                  <c:v>2.4096678264301468</c:v>
                </c:pt>
                <c:pt idx="2">
                  <c:v>3.6227758007117434</c:v>
                </c:pt>
                <c:pt idx="3">
                  <c:v>2.5671823777362421</c:v>
                </c:pt>
                <c:pt idx="4">
                  <c:v>4.3903536979837936</c:v>
                </c:pt>
                <c:pt idx="5">
                  <c:v>2.0452546608730486</c:v>
                </c:pt>
                <c:pt idx="6">
                  <c:v>2.4218817198162506</c:v>
                </c:pt>
                <c:pt idx="7">
                  <c:v>1.5071863216792767</c:v>
                </c:pt>
                <c:pt idx="8">
                  <c:v>0.50624487483526937</c:v>
                </c:pt>
                <c:pt idx="9">
                  <c:v>0.25635646232316428</c:v>
                </c:pt>
                <c:pt idx="10">
                  <c:v>0</c:v>
                </c:pt>
                <c:pt idx="11">
                  <c:v>0</c:v>
                </c:pt>
                <c:pt idx="12">
                  <c:v>0</c:v>
                </c:pt>
                <c:pt idx="13">
                  <c:v>0</c:v>
                </c:pt>
                <c:pt idx="14">
                  <c:v>0</c:v>
                </c:pt>
              </c:numCache>
            </c:numRef>
          </c:val>
          <c:smooth val="0"/>
          <c:extLst>
            <c:ext xmlns:c16="http://schemas.microsoft.com/office/drawing/2014/chart" uri="{C3380CC4-5D6E-409C-BE32-E72D297353CC}">
              <c16:uniqueId val="{00000000-BE70-4C12-958F-948BFC804524}"/>
            </c:ext>
          </c:extLst>
        </c:ser>
        <c:dLbls>
          <c:showLegendKey val="0"/>
          <c:showVal val="0"/>
          <c:showCatName val="0"/>
          <c:showSerName val="0"/>
          <c:showPercent val="0"/>
          <c:showBubbleSize val="0"/>
        </c:dLbls>
        <c:smooth val="0"/>
        <c:axId val="1011884448"/>
        <c:axId val="1011887728"/>
      </c:lineChart>
      <c:catAx>
        <c:axId val="10118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7728"/>
        <c:crosses val="autoZero"/>
        <c:auto val="1"/>
        <c:lblAlgn val="ctr"/>
        <c:lblOffset val="100"/>
        <c:noMultiLvlLbl val="0"/>
      </c:catAx>
      <c:valAx>
        <c:axId val="10118877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88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Teledyne!$A$10</c:f>
              <c:strCache>
                <c:ptCount val="1"/>
                <c:pt idx="0">
                  <c:v>Pre-tax return on capital</c:v>
                </c:pt>
              </c:strCache>
            </c:strRef>
          </c:tx>
          <c:spPr>
            <a:ln w="28575" cap="rnd">
              <a:solidFill>
                <a:schemeClr val="accent1"/>
              </a:solidFill>
              <a:round/>
            </a:ln>
            <a:effectLst/>
          </c:spPr>
          <c:marker>
            <c:symbol val="none"/>
          </c:marker>
          <c:cat>
            <c:numRef>
              <c:f>Teledyne!$F$5:$T$5</c:f>
              <c:numCache>
                <c:formatCode>General</c:formatCode>
                <c:ptCount val="15"/>
                <c:pt idx="0">
                  <c:v>1970</c:v>
                </c:pt>
                <c:pt idx="1">
                  <c:v>1969</c:v>
                </c:pt>
                <c:pt idx="2">
                  <c:v>1968</c:v>
                </c:pt>
                <c:pt idx="3">
                  <c:v>1967</c:v>
                </c:pt>
                <c:pt idx="4">
                  <c:v>1966</c:v>
                </c:pt>
                <c:pt idx="5">
                  <c:v>1965</c:v>
                </c:pt>
                <c:pt idx="6">
                  <c:v>1964</c:v>
                </c:pt>
                <c:pt idx="7">
                  <c:v>1963</c:v>
                </c:pt>
                <c:pt idx="8">
                  <c:v>1962</c:v>
                </c:pt>
                <c:pt idx="9">
                  <c:v>1961</c:v>
                </c:pt>
                <c:pt idx="10">
                  <c:v>1960</c:v>
                </c:pt>
                <c:pt idx="11">
                  <c:v>1959</c:v>
                </c:pt>
                <c:pt idx="12">
                  <c:v>1958</c:v>
                </c:pt>
                <c:pt idx="13">
                  <c:v>1957</c:v>
                </c:pt>
              </c:numCache>
            </c:numRef>
          </c:cat>
          <c:val>
            <c:numRef>
              <c:f>Teledyne!$F$10:$R$10</c:f>
              <c:numCache>
                <c:formatCode>0.0%</c:formatCode>
                <c:ptCount val="13"/>
                <c:pt idx="0">
                  <c:v>0.15745026034821075</c:v>
                </c:pt>
                <c:pt idx="1">
                  <c:v>0.21113348959400544</c:v>
                </c:pt>
                <c:pt idx="2">
                  <c:v>0.23573948514414866</c:v>
                </c:pt>
                <c:pt idx="3">
                  <c:v>0.21172393007836041</c:v>
                </c:pt>
                <c:pt idx="4">
                  <c:v>0.27585588010948087</c:v>
                </c:pt>
                <c:pt idx="5">
                  <c:v>0.19692080859859137</c:v>
                </c:pt>
                <c:pt idx="6">
                  <c:v>0.16627172658533643</c:v>
                </c:pt>
                <c:pt idx="7">
                  <c:v>0.16008017925218634</c:v>
                </c:pt>
                <c:pt idx="8">
                  <c:v>9.0639886018258703E-2</c:v>
                </c:pt>
                <c:pt idx="9">
                  <c:v>0</c:v>
                </c:pt>
                <c:pt idx="10">
                  <c:v>0</c:v>
                </c:pt>
                <c:pt idx="11">
                  <c:v>0</c:v>
                </c:pt>
                <c:pt idx="12">
                  <c:v>0</c:v>
                </c:pt>
              </c:numCache>
            </c:numRef>
          </c:val>
          <c:smooth val="0"/>
          <c:extLst>
            <c:ext xmlns:c16="http://schemas.microsoft.com/office/drawing/2014/chart" uri="{C3380CC4-5D6E-409C-BE32-E72D297353CC}">
              <c16:uniqueId val="{00000000-713C-4542-B709-F9C3697CDF94}"/>
            </c:ext>
          </c:extLst>
        </c:ser>
        <c:dLbls>
          <c:showLegendKey val="0"/>
          <c:showVal val="0"/>
          <c:showCatName val="0"/>
          <c:showSerName val="0"/>
          <c:showPercent val="0"/>
          <c:showBubbleSize val="0"/>
        </c:dLbls>
        <c:smooth val="0"/>
        <c:axId val="615433608"/>
        <c:axId val="615434264"/>
      </c:lineChart>
      <c:catAx>
        <c:axId val="61543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4264"/>
        <c:crosses val="autoZero"/>
        <c:auto val="1"/>
        <c:lblAlgn val="ctr"/>
        <c:lblOffset val="100"/>
        <c:noMultiLvlLbl val="0"/>
      </c:catAx>
      <c:valAx>
        <c:axId val="615434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433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Teledyne!$B$31:$O$31</c:f>
              <c:numCache>
                <c:formatCode>General</c:formatCode>
                <c:ptCount val="14"/>
                <c:pt idx="0">
                  <c:v>11.089568999999999</c:v>
                </c:pt>
                <c:pt idx="2">
                  <c:v>18.877134000000002</c:v>
                </c:pt>
                <c:pt idx="4">
                  <c:v>28.390362</c:v>
                </c:pt>
                <c:pt idx="5">
                  <c:v>24.942442</c:v>
                </c:pt>
                <c:pt idx="6">
                  <c:v>11.24</c:v>
                </c:pt>
                <c:pt idx="7">
                  <c:v>8.4703759999999999</c:v>
                </c:pt>
                <c:pt idx="8">
                  <c:v>2.7412369999999999</c:v>
                </c:pt>
                <c:pt idx="9">
                  <c:v>1.8374239999999999</c:v>
                </c:pt>
                <c:pt idx="10">
                  <c:v>1.050996</c:v>
                </c:pt>
                <c:pt idx="11">
                  <c:v>0.84946100000000002</c:v>
                </c:pt>
                <c:pt idx="12">
                  <c:v>0.65485700000000002</c:v>
                </c:pt>
                <c:pt idx="13">
                  <c:v>0.51954999999999996</c:v>
                </c:pt>
              </c:numCache>
            </c:numRef>
          </c:val>
          <c:smooth val="0"/>
          <c:extLst>
            <c:ext xmlns:c16="http://schemas.microsoft.com/office/drawing/2014/chart" uri="{C3380CC4-5D6E-409C-BE32-E72D297353CC}">
              <c16:uniqueId val="{00000000-3C6B-4D7F-BE32-AFC05A7B76C6}"/>
            </c:ext>
          </c:extLst>
        </c:ser>
        <c:dLbls>
          <c:showLegendKey val="0"/>
          <c:showVal val="0"/>
          <c:showCatName val="0"/>
          <c:showSerName val="0"/>
          <c:showPercent val="0"/>
          <c:showBubbleSize val="0"/>
        </c:dLbls>
        <c:smooth val="0"/>
        <c:axId val="632365360"/>
        <c:axId val="632365688"/>
      </c:lineChart>
      <c:catAx>
        <c:axId val="632365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365688"/>
        <c:crosses val="autoZero"/>
        <c:auto val="1"/>
        <c:lblAlgn val="ctr"/>
        <c:lblOffset val="100"/>
        <c:noMultiLvlLbl val="0"/>
      </c:catAx>
      <c:valAx>
        <c:axId val="632365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2365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'Conglomerate Overview'!$B$4:$F$4</c:f>
              <c:numCache>
                <c:formatCode>General</c:formatCode>
                <c:ptCount val="5"/>
                <c:pt idx="0">
                  <c:v>1989</c:v>
                </c:pt>
                <c:pt idx="1">
                  <c:v>1979</c:v>
                </c:pt>
                <c:pt idx="2">
                  <c:v>1969</c:v>
                </c:pt>
                <c:pt idx="3">
                  <c:v>1961</c:v>
                </c:pt>
                <c:pt idx="4">
                  <c:v>1959</c:v>
                </c:pt>
              </c:numCache>
            </c:numRef>
          </c:cat>
          <c:val>
            <c:numRef>
              <c:f>'Conglomerate Overview'!$B$8:$F$8</c:f>
              <c:numCache>
                <c:formatCode>0%</c:formatCode>
                <c:ptCount val="5"/>
                <c:pt idx="0">
                  <c:v>13.555672963650009</c:v>
                </c:pt>
                <c:pt idx="1">
                  <c:v>21.596859265428648</c:v>
                </c:pt>
                <c:pt idx="2">
                  <c:v>14.593599613406941</c:v>
                </c:pt>
                <c:pt idx="4">
                  <c:v>1</c:v>
                </c:pt>
              </c:numCache>
            </c:numRef>
          </c:val>
          <c:smooth val="0"/>
          <c:extLst>
            <c:ext xmlns:c16="http://schemas.microsoft.com/office/drawing/2014/chart" uri="{C3380CC4-5D6E-409C-BE32-E72D297353CC}">
              <c16:uniqueId val="{00000000-6414-4132-A964-EE049B7094F5}"/>
            </c:ext>
          </c:extLst>
        </c:ser>
        <c:ser>
          <c:idx val="1"/>
          <c:order val="1"/>
          <c:spPr>
            <a:ln w="28575" cap="rnd">
              <a:solidFill>
                <a:schemeClr val="accent2"/>
              </a:solidFill>
              <a:round/>
            </a:ln>
            <a:effectLst/>
          </c:spPr>
          <c:marker>
            <c:symbol val="none"/>
          </c:marker>
          <c:cat>
            <c:numRef>
              <c:f>'Conglomerate Overview'!$B$4:$F$4</c:f>
              <c:numCache>
                <c:formatCode>General</c:formatCode>
                <c:ptCount val="5"/>
                <c:pt idx="0">
                  <c:v>1989</c:v>
                </c:pt>
                <c:pt idx="1">
                  <c:v>1979</c:v>
                </c:pt>
                <c:pt idx="2">
                  <c:v>1969</c:v>
                </c:pt>
                <c:pt idx="3">
                  <c:v>1961</c:v>
                </c:pt>
                <c:pt idx="4">
                  <c:v>1959</c:v>
                </c:pt>
              </c:numCache>
            </c:numRef>
          </c:cat>
          <c:val>
            <c:numRef>
              <c:f>'Conglomerate Overview'!$B$12:$E$12</c:f>
              <c:numCache>
                <c:formatCode>0%</c:formatCode>
                <c:ptCount val="4"/>
                <c:pt idx="0">
                  <c:v>21.344565489365799</c:v>
                </c:pt>
                <c:pt idx="1">
                  <c:v>36.333623327879906</c:v>
                </c:pt>
                <c:pt idx="2">
                  <c:v>48.00777980945049</c:v>
                </c:pt>
                <c:pt idx="3">
                  <c:v>1</c:v>
                </c:pt>
              </c:numCache>
            </c:numRef>
          </c:val>
          <c:smooth val="0"/>
          <c:extLst>
            <c:ext xmlns:c16="http://schemas.microsoft.com/office/drawing/2014/chart" uri="{C3380CC4-5D6E-409C-BE32-E72D297353CC}">
              <c16:uniqueId val="{00000001-6414-4132-A964-EE049B7094F5}"/>
            </c:ext>
          </c:extLst>
        </c:ser>
        <c:dLbls>
          <c:showLegendKey val="0"/>
          <c:showVal val="0"/>
          <c:showCatName val="0"/>
          <c:showSerName val="0"/>
          <c:showPercent val="0"/>
          <c:showBubbleSize val="0"/>
        </c:dLbls>
        <c:smooth val="0"/>
        <c:axId val="575950728"/>
        <c:axId val="575952040"/>
      </c:lineChart>
      <c:catAx>
        <c:axId val="57595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952040"/>
        <c:crosses val="autoZero"/>
        <c:auto val="1"/>
        <c:lblAlgn val="ctr"/>
        <c:lblOffset val="100"/>
        <c:noMultiLvlLbl val="0"/>
      </c:catAx>
      <c:valAx>
        <c:axId val="575952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95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2000"/>
              <a:t>Berkshire Hathaway</a:t>
            </a:r>
          </a:p>
          <a:p>
            <a:pPr>
              <a:defRPr/>
            </a:pPr>
            <a:r>
              <a:rPr lang="en-US"/>
              <a:t>Annual Report Length</a:t>
            </a:r>
            <a:r>
              <a:rPr lang="en-US" baseline="0"/>
              <a:t> </a:t>
            </a:r>
            <a:r>
              <a:rPr lang="en-US"/>
              <a:t>1955-2019</a:t>
            </a:r>
          </a:p>
        </c:rich>
      </c:tx>
      <c:overlay val="0"/>
      <c:spPr>
        <a:noFill/>
        <a:ln>
          <a:noFill/>
        </a:ln>
        <a:effectLst/>
      </c:spPr>
      <c:txPr>
        <a:bodyPr rot="0" spcFirstLastPara="1" vertOverflow="ellipsis" vert="horz" wrap="square" anchor="ctr" anchorCtr="1"/>
        <a:lstStyle/>
        <a:p>
          <a:pPr>
            <a:defRPr sz="144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areaChart>
        <c:grouping val="stacked"/>
        <c:varyColors val="0"/>
        <c:ser>
          <c:idx val="1"/>
          <c:order val="0"/>
          <c:tx>
            <c:strRef>
              <c:f>'Pages Calculation'!$D$8:$D$72</c:f>
              <c:strCache>
                <c:ptCount val="65"/>
                <c:pt idx="0">
                  <c:v>2</c:v>
                </c:pt>
                <c:pt idx="1">
                  <c:v>2</c:v>
                </c:pt>
                <c:pt idx="2">
                  <c:v>2</c:v>
                </c:pt>
                <c:pt idx="3">
                  <c:v>2</c:v>
                </c:pt>
                <c:pt idx="4">
                  <c:v>1</c:v>
                </c:pt>
                <c:pt idx="5">
                  <c:v>1</c:v>
                </c:pt>
                <c:pt idx="6">
                  <c:v>1</c:v>
                </c:pt>
                <c:pt idx="7">
                  <c:v>1</c:v>
                </c:pt>
                <c:pt idx="8">
                  <c:v>1</c:v>
                </c:pt>
                <c:pt idx="9">
                  <c:v>1</c:v>
                </c:pt>
                <c:pt idx="10">
                  <c:v>1</c:v>
                </c:pt>
                <c:pt idx="11">
                  <c:v>4</c:v>
                </c:pt>
                <c:pt idx="12">
                  <c:v>3</c:v>
                </c:pt>
                <c:pt idx="13">
                  <c:v>2</c:v>
                </c:pt>
                <c:pt idx="14">
                  <c:v>2</c:v>
                </c:pt>
                <c:pt idx="15">
                  <c:v>2</c:v>
                </c:pt>
                <c:pt idx="16">
                  <c:v>3</c:v>
                </c:pt>
                <c:pt idx="17">
                  <c:v>3</c:v>
                </c:pt>
                <c:pt idx="18">
                  <c:v>4</c:v>
                </c:pt>
                <c:pt idx="19">
                  <c:v>5</c:v>
                </c:pt>
                <c:pt idx="20">
                  <c:v>5</c:v>
                </c:pt>
                <c:pt idx="21">
                  <c:v>5</c:v>
                </c:pt>
                <c:pt idx="22">
                  <c:v>6</c:v>
                </c:pt>
                <c:pt idx="23">
                  <c:v>9</c:v>
                </c:pt>
                <c:pt idx="24">
                  <c:v>12</c:v>
                </c:pt>
                <c:pt idx="25">
                  <c:v>13</c:v>
                </c:pt>
                <c:pt idx="26">
                  <c:v>13</c:v>
                </c:pt>
                <c:pt idx="27">
                  <c:v>15</c:v>
                </c:pt>
                <c:pt idx="28">
                  <c:v>21</c:v>
                </c:pt>
                <c:pt idx="29">
                  <c:v>22</c:v>
                </c:pt>
                <c:pt idx="30">
                  <c:v>22</c:v>
                </c:pt>
                <c:pt idx="31">
                  <c:v>25</c:v>
                </c:pt>
                <c:pt idx="32">
                  <c:v>21</c:v>
                </c:pt>
                <c:pt idx="33">
                  <c:v>21</c:v>
                </c:pt>
                <c:pt idx="34">
                  <c:v>24</c:v>
                </c:pt>
                <c:pt idx="35">
                  <c:v>24</c:v>
                </c:pt>
                <c:pt idx="36">
                  <c:v>14</c:v>
                </c:pt>
                <c:pt idx="37">
                  <c:v>16</c:v>
                </c:pt>
                <c:pt idx="38">
                  <c:v>16</c:v>
                </c:pt>
                <c:pt idx="39">
                  <c:v>15</c:v>
                </c:pt>
                <c:pt idx="40">
                  <c:v>17</c:v>
                </c:pt>
                <c:pt idx="41">
                  <c:v>17</c:v>
                </c:pt>
                <c:pt idx="42">
                  <c:v>17</c:v>
                </c:pt>
                <c:pt idx="43">
                  <c:v>19</c:v>
                </c:pt>
                <c:pt idx="44">
                  <c:v>19</c:v>
                </c:pt>
                <c:pt idx="45">
                  <c:v>21</c:v>
                </c:pt>
                <c:pt idx="46">
                  <c:v>19</c:v>
                </c:pt>
                <c:pt idx="47">
                  <c:v>23</c:v>
                </c:pt>
                <c:pt idx="48">
                  <c:v>23</c:v>
                </c:pt>
                <c:pt idx="49">
                  <c:v>26</c:v>
                </c:pt>
                <c:pt idx="50">
                  <c:v>23</c:v>
                </c:pt>
                <c:pt idx="51">
                  <c:v>24</c:v>
                </c:pt>
                <c:pt idx="52">
                  <c:v>22</c:v>
                </c:pt>
                <c:pt idx="53">
                  <c:v>23</c:v>
                </c:pt>
                <c:pt idx="54">
                  <c:v>20</c:v>
                </c:pt>
                <c:pt idx="55">
                  <c:v>28</c:v>
                </c:pt>
                <c:pt idx="56">
                  <c:v>22</c:v>
                </c:pt>
                <c:pt idx="57">
                  <c:v>24</c:v>
                </c:pt>
                <c:pt idx="58">
                  <c:v>24</c:v>
                </c:pt>
                <c:pt idx="59">
                  <c:v>43</c:v>
                </c:pt>
                <c:pt idx="60">
                  <c:v>28</c:v>
                </c:pt>
                <c:pt idx="61">
                  <c:v>27</c:v>
                </c:pt>
                <c:pt idx="62">
                  <c:v>15</c:v>
                </c:pt>
                <c:pt idx="63">
                  <c:v>13</c:v>
                </c:pt>
                <c:pt idx="64">
                  <c:v>12</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val>
            <c:numRef>
              <c:f>'Pages Calculation'!$D$8:$D$72</c:f>
              <c:numCache>
                <c:formatCode>General</c:formatCode>
                <c:ptCount val="65"/>
                <c:pt idx="0">
                  <c:v>2</c:v>
                </c:pt>
                <c:pt idx="1">
                  <c:v>2</c:v>
                </c:pt>
                <c:pt idx="2">
                  <c:v>2</c:v>
                </c:pt>
                <c:pt idx="3">
                  <c:v>2</c:v>
                </c:pt>
                <c:pt idx="4">
                  <c:v>1</c:v>
                </c:pt>
                <c:pt idx="5">
                  <c:v>1</c:v>
                </c:pt>
                <c:pt idx="6">
                  <c:v>1</c:v>
                </c:pt>
                <c:pt idx="7">
                  <c:v>1</c:v>
                </c:pt>
                <c:pt idx="8">
                  <c:v>1</c:v>
                </c:pt>
                <c:pt idx="9">
                  <c:v>1</c:v>
                </c:pt>
                <c:pt idx="10">
                  <c:v>1</c:v>
                </c:pt>
                <c:pt idx="11">
                  <c:v>4</c:v>
                </c:pt>
                <c:pt idx="12">
                  <c:v>3</c:v>
                </c:pt>
                <c:pt idx="13">
                  <c:v>2</c:v>
                </c:pt>
                <c:pt idx="14">
                  <c:v>2</c:v>
                </c:pt>
                <c:pt idx="15">
                  <c:v>2</c:v>
                </c:pt>
                <c:pt idx="16">
                  <c:v>3</c:v>
                </c:pt>
                <c:pt idx="17">
                  <c:v>3</c:v>
                </c:pt>
                <c:pt idx="18">
                  <c:v>4</c:v>
                </c:pt>
                <c:pt idx="19">
                  <c:v>5</c:v>
                </c:pt>
                <c:pt idx="20">
                  <c:v>5</c:v>
                </c:pt>
                <c:pt idx="21">
                  <c:v>5</c:v>
                </c:pt>
                <c:pt idx="22">
                  <c:v>6</c:v>
                </c:pt>
                <c:pt idx="23">
                  <c:v>9</c:v>
                </c:pt>
                <c:pt idx="24">
                  <c:v>12</c:v>
                </c:pt>
                <c:pt idx="25">
                  <c:v>13</c:v>
                </c:pt>
                <c:pt idx="26">
                  <c:v>13</c:v>
                </c:pt>
                <c:pt idx="27">
                  <c:v>15</c:v>
                </c:pt>
                <c:pt idx="28">
                  <c:v>21</c:v>
                </c:pt>
                <c:pt idx="29">
                  <c:v>22</c:v>
                </c:pt>
                <c:pt idx="30">
                  <c:v>22</c:v>
                </c:pt>
                <c:pt idx="31">
                  <c:v>25</c:v>
                </c:pt>
                <c:pt idx="32">
                  <c:v>21</c:v>
                </c:pt>
                <c:pt idx="33">
                  <c:v>21</c:v>
                </c:pt>
                <c:pt idx="34">
                  <c:v>24</c:v>
                </c:pt>
                <c:pt idx="35">
                  <c:v>24</c:v>
                </c:pt>
                <c:pt idx="36">
                  <c:v>14</c:v>
                </c:pt>
                <c:pt idx="37">
                  <c:v>16</c:v>
                </c:pt>
                <c:pt idx="38">
                  <c:v>16</c:v>
                </c:pt>
                <c:pt idx="39">
                  <c:v>15</c:v>
                </c:pt>
                <c:pt idx="40">
                  <c:v>17</c:v>
                </c:pt>
                <c:pt idx="41">
                  <c:v>17</c:v>
                </c:pt>
                <c:pt idx="42">
                  <c:v>17</c:v>
                </c:pt>
                <c:pt idx="43">
                  <c:v>19</c:v>
                </c:pt>
                <c:pt idx="44">
                  <c:v>19</c:v>
                </c:pt>
                <c:pt idx="45">
                  <c:v>21</c:v>
                </c:pt>
                <c:pt idx="46">
                  <c:v>19</c:v>
                </c:pt>
                <c:pt idx="47">
                  <c:v>23</c:v>
                </c:pt>
                <c:pt idx="48">
                  <c:v>23</c:v>
                </c:pt>
                <c:pt idx="49">
                  <c:v>26</c:v>
                </c:pt>
                <c:pt idx="50">
                  <c:v>23</c:v>
                </c:pt>
                <c:pt idx="51">
                  <c:v>24</c:v>
                </c:pt>
                <c:pt idx="52">
                  <c:v>22</c:v>
                </c:pt>
                <c:pt idx="53">
                  <c:v>23</c:v>
                </c:pt>
                <c:pt idx="54">
                  <c:v>20</c:v>
                </c:pt>
                <c:pt idx="55">
                  <c:v>28</c:v>
                </c:pt>
                <c:pt idx="56">
                  <c:v>22</c:v>
                </c:pt>
                <c:pt idx="57">
                  <c:v>24</c:v>
                </c:pt>
                <c:pt idx="58">
                  <c:v>24</c:v>
                </c:pt>
                <c:pt idx="59">
                  <c:v>43</c:v>
                </c:pt>
                <c:pt idx="60">
                  <c:v>28</c:v>
                </c:pt>
                <c:pt idx="61">
                  <c:v>27</c:v>
                </c:pt>
                <c:pt idx="62">
                  <c:v>15</c:v>
                </c:pt>
                <c:pt idx="63">
                  <c:v>13</c:v>
                </c:pt>
                <c:pt idx="64">
                  <c:v>12</c:v>
                </c:pt>
              </c:numCache>
            </c:numRef>
          </c:val>
          <c:extLst>
            <c:ext xmlns:c16="http://schemas.microsoft.com/office/drawing/2014/chart" uri="{C3380CC4-5D6E-409C-BE32-E72D297353CC}">
              <c16:uniqueId val="{00000001-2C61-4F2C-940B-C74BCFFF14AB}"/>
            </c:ext>
          </c:extLst>
        </c:ser>
        <c:ser>
          <c:idx val="0"/>
          <c:order val="1"/>
          <c:spPr>
            <a:solidFill>
              <a:schemeClr val="accent1">
                <a:lumMod val="60000"/>
                <a:lumOff val="40000"/>
              </a:schemeClr>
            </a:solidFill>
            <a:ln>
              <a:noFill/>
            </a:ln>
            <a:effectLst>
              <a:outerShdw blurRad="57150" dist="19050" dir="5400000" algn="ctr" rotWithShape="0">
                <a:srgbClr val="000000">
                  <a:alpha val="63000"/>
                </a:srgbClr>
              </a:outerShdw>
            </a:effectLst>
          </c:spPr>
          <c:cat>
            <c:numRef>
              <c:f>'Pages Calculation'!$A$8:$A$72</c:f>
              <c:numCache>
                <c:formatCode>General</c:formatCode>
                <c:ptCount val="6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pt idx="55">
                  <c:v>2010</c:v>
                </c:pt>
                <c:pt idx="56">
                  <c:v>2011</c:v>
                </c:pt>
                <c:pt idx="57">
                  <c:v>2012</c:v>
                </c:pt>
                <c:pt idx="58">
                  <c:v>2013</c:v>
                </c:pt>
                <c:pt idx="59">
                  <c:v>2014</c:v>
                </c:pt>
                <c:pt idx="60">
                  <c:v>2015</c:v>
                </c:pt>
                <c:pt idx="61">
                  <c:v>2016</c:v>
                </c:pt>
                <c:pt idx="62">
                  <c:v>2017</c:v>
                </c:pt>
                <c:pt idx="63">
                  <c:v>2018</c:v>
                </c:pt>
                <c:pt idx="64">
                  <c:v>2019</c:v>
                </c:pt>
              </c:numCache>
            </c:numRef>
          </c:cat>
          <c:val>
            <c:numRef>
              <c:f>'Pages Calculation'!$G$8:$G$72</c:f>
              <c:numCache>
                <c:formatCode>General</c:formatCode>
                <c:ptCount val="65"/>
                <c:pt idx="0">
                  <c:v>8</c:v>
                </c:pt>
                <c:pt idx="1">
                  <c:v>8</c:v>
                </c:pt>
                <c:pt idx="2">
                  <c:v>8</c:v>
                </c:pt>
                <c:pt idx="3">
                  <c:v>8</c:v>
                </c:pt>
                <c:pt idx="4">
                  <c:v>13</c:v>
                </c:pt>
                <c:pt idx="5">
                  <c:v>13</c:v>
                </c:pt>
                <c:pt idx="6">
                  <c:v>13</c:v>
                </c:pt>
                <c:pt idx="7">
                  <c:v>13</c:v>
                </c:pt>
                <c:pt idx="8">
                  <c:v>13</c:v>
                </c:pt>
                <c:pt idx="9">
                  <c:v>13</c:v>
                </c:pt>
                <c:pt idx="10">
                  <c:v>13</c:v>
                </c:pt>
                <c:pt idx="11">
                  <c:v>6</c:v>
                </c:pt>
                <c:pt idx="12">
                  <c:v>7</c:v>
                </c:pt>
                <c:pt idx="13">
                  <c:v>8</c:v>
                </c:pt>
                <c:pt idx="14">
                  <c:v>20</c:v>
                </c:pt>
                <c:pt idx="15">
                  <c:v>28</c:v>
                </c:pt>
                <c:pt idx="16">
                  <c:v>23</c:v>
                </c:pt>
                <c:pt idx="17">
                  <c:v>23</c:v>
                </c:pt>
                <c:pt idx="18">
                  <c:v>22</c:v>
                </c:pt>
                <c:pt idx="19">
                  <c:v>15</c:v>
                </c:pt>
                <c:pt idx="20">
                  <c:v>43</c:v>
                </c:pt>
                <c:pt idx="21">
                  <c:v>37</c:v>
                </c:pt>
                <c:pt idx="22">
                  <c:v>40</c:v>
                </c:pt>
                <c:pt idx="23">
                  <c:v>61</c:v>
                </c:pt>
                <c:pt idx="24">
                  <c:v>80</c:v>
                </c:pt>
                <c:pt idx="25">
                  <c:v>43</c:v>
                </c:pt>
                <c:pt idx="26">
                  <c:v>43</c:v>
                </c:pt>
                <c:pt idx="27">
                  <c:v>57</c:v>
                </c:pt>
                <c:pt idx="28">
                  <c:v>38</c:v>
                </c:pt>
                <c:pt idx="29">
                  <c:v>48</c:v>
                </c:pt>
                <c:pt idx="30">
                  <c:v>62</c:v>
                </c:pt>
                <c:pt idx="31">
                  <c:v>40</c:v>
                </c:pt>
                <c:pt idx="32">
                  <c:v>45</c:v>
                </c:pt>
                <c:pt idx="33">
                  <c:v>55</c:v>
                </c:pt>
                <c:pt idx="34">
                  <c:v>50</c:v>
                </c:pt>
                <c:pt idx="35">
                  <c:v>50</c:v>
                </c:pt>
                <c:pt idx="36">
                  <c:v>48</c:v>
                </c:pt>
                <c:pt idx="37">
                  <c:v>46</c:v>
                </c:pt>
                <c:pt idx="38">
                  <c:v>46</c:v>
                </c:pt>
                <c:pt idx="39">
                  <c:v>47</c:v>
                </c:pt>
                <c:pt idx="40">
                  <c:v>49</c:v>
                </c:pt>
                <c:pt idx="41">
                  <c:v>53</c:v>
                </c:pt>
                <c:pt idx="42">
                  <c:v>57</c:v>
                </c:pt>
                <c:pt idx="43">
                  <c:v>53</c:v>
                </c:pt>
                <c:pt idx="44">
                  <c:v>53</c:v>
                </c:pt>
                <c:pt idx="45">
                  <c:v>55</c:v>
                </c:pt>
                <c:pt idx="46">
                  <c:v>53</c:v>
                </c:pt>
                <c:pt idx="47">
                  <c:v>53</c:v>
                </c:pt>
                <c:pt idx="48">
                  <c:v>53</c:v>
                </c:pt>
                <c:pt idx="49">
                  <c:v>54</c:v>
                </c:pt>
                <c:pt idx="50">
                  <c:v>57</c:v>
                </c:pt>
                <c:pt idx="51">
                  <c:v>56</c:v>
                </c:pt>
                <c:pt idx="52">
                  <c:v>54</c:v>
                </c:pt>
                <c:pt idx="53">
                  <c:v>75</c:v>
                </c:pt>
                <c:pt idx="54">
                  <c:v>78</c:v>
                </c:pt>
                <c:pt idx="55">
                  <c:v>80</c:v>
                </c:pt>
                <c:pt idx="56">
                  <c:v>81</c:v>
                </c:pt>
                <c:pt idx="57">
                  <c:v>86</c:v>
                </c:pt>
                <c:pt idx="58">
                  <c:v>114</c:v>
                </c:pt>
                <c:pt idx="59">
                  <c:v>103</c:v>
                </c:pt>
                <c:pt idx="60">
                  <c:v>94</c:v>
                </c:pt>
                <c:pt idx="61">
                  <c:v>95</c:v>
                </c:pt>
                <c:pt idx="62">
                  <c:v>131</c:v>
                </c:pt>
                <c:pt idx="63">
                  <c:v>125</c:v>
                </c:pt>
                <c:pt idx="64">
                  <c:v>130</c:v>
                </c:pt>
              </c:numCache>
            </c:numRef>
          </c:val>
          <c:extLst>
            <c:ext xmlns:c16="http://schemas.microsoft.com/office/drawing/2014/chart" uri="{C3380CC4-5D6E-409C-BE32-E72D297353CC}">
              <c16:uniqueId val="{00000000-2C61-4F2C-940B-C74BCFFF14AB}"/>
            </c:ext>
          </c:extLst>
        </c:ser>
        <c:dLbls>
          <c:showLegendKey val="0"/>
          <c:showVal val="0"/>
          <c:showCatName val="0"/>
          <c:showSerName val="0"/>
          <c:showPercent val="0"/>
          <c:showBubbleSize val="0"/>
        </c:dLbls>
        <c:axId val="564039096"/>
        <c:axId val="564036800"/>
      </c:areaChart>
      <c:catAx>
        <c:axId val="564039096"/>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3360000" spcFirstLastPara="1" vertOverflow="ellipsis" wrap="square" anchor="ctr" anchorCtr="1"/>
          <a:lstStyle/>
          <a:p>
            <a:pPr>
              <a:defRPr sz="1200" b="0" i="0" u="none" strike="noStrike" kern="1200" baseline="0">
                <a:solidFill>
                  <a:schemeClr val="lt1">
                    <a:lumMod val="85000"/>
                  </a:schemeClr>
                </a:solidFill>
                <a:latin typeface="+mn-lt"/>
                <a:ea typeface="+mn-ea"/>
                <a:cs typeface="+mn-cs"/>
              </a:defRPr>
            </a:pPr>
            <a:endParaRPr lang="en-US"/>
          </a:p>
        </c:txPr>
        <c:crossAx val="564036800"/>
        <c:crosses val="autoZero"/>
        <c:auto val="1"/>
        <c:lblAlgn val="ctr"/>
        <c:lblOffset val="100"/>
        <c:noMultiLvlLbl val="0"/>
      </c:catAx>
      <c:valAx>
        <c:axId val="56403680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r>
                  <a:rPr lang="en-US"/>
                  <a:t>Annual Report Length # Pages</a:t>
                </a:r>
              </a:p>
            </c:rich>
          </c:tx>
          <c:overlay val="0"/>
          <c:spPr>
            <a:noFill/>
            <a:ln>
              <a:noFill/>
            </a:ln>
            <a:effectLst/>
          </c:spPr>
          <c:txPr>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en-US"/>
          </a:p>
        </c:txPr>
        <c:crossAx val="564039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200"/>
      </a:pPr>
      <a:endParaRPr lang="en-US"/>
    </a:p>
  </c:txPr>
  <c:printSettings>
    <c:headerFooter/>
    <c:pageMargins b="0.75" l="0.7" r="0.7" t="0.75" header="0.3" footer="0.3"/>
    <c:pageSetup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'1. Concl. - Active Spindle &amp; %'!$B$1</c:f>
              <c:strCache>
                <c:ptCount val="1"/>
                <c:pt idx="0">
                  <c:v>Spindles in Place</c:v>
                </c:pt>
              </c:strCache>
            </c:strRef>
          </c:tx>
          <c:spPr>
            <a:solidFill>
              <a:schemeClr val="dk1">
                <a:tint val="88500"/>
              </a:schemeClr>
            </a:solidFill>
            <a:ln>
              <a:noFill/>
            </a:ln>
            <a:effectLst/>
          </c:spPr>
          <c:invertIfNegative val="0"/>
          <c:cat>
            <c:numRef>
              <c:f>'1. Concl. - Active Spindle &amp; %'!$A$2:$A$7</c:f>
              <c:numCache>
                <c:formatCode>General</c:formatCode>
                <c:ptCount val="6"/>
                <c:pt idx="0">
                  <c:v>1925</c:v>
                </c:pt>
                <c:pt idx="1">
                  <c:v>1935</c:v>
                </c:pt>
                <c:pt idx="2">
                  <c:v>1940</c:v>
                </c:pt>
                <c:pt idx="3">
                  <c:v>1945</c:v>
                </c:pt>
                <c:pt idx="4">
                  <c:v>1950</c:v>
                </c:pt>
                <c:pt idx="5">
                  <c:v>1955</c:v>
                </c:pt>
              </c:numCache>
            </c:numRef>
          </c:cat>
          <c:val>
            <c:numRef>
              <c:f>'1. Concl. - Active Spindle &amp; %'!$B$2:$B$7</c:f>
              <c:numCache>
                <c:formatCode>General</c:formatCode>
                <c:ptCount val="6"/>
                <c:pt idx="0">
                  <c:v>37.9</c:v>
                </c:pt>
                <c:pt idx="1">
                  <c:v>30.1</c:v>
                </c:pt>
                <c:pt idx="2">
                  <c:v>24.8</c:v>
                </c:pt>
                <c:pt idx="3">
                  <c:v>23.1</c:v>
                </c:pt>
                <c:pt idx="4">
                  <c:v>23</c:v>
                </c:pt>
                <c:pt idx="5">
                  <c:v>22.3</c:v>
                </c:pt>
              </c:numCache>
            </c:numRef>
          </c:val>
          <c:extLst>
            <c:ext xmlns:c16="http://schemas.microsoft.com/office/drawing/2014/chart" uri="{C3380CC4-5D6E-409C-BE32-E72D297353CC}">
              <c16:uniqueId val="{00000000-20D2-4429-862A-91D4FBE03A38}"/>
            </c:ext>
          </c:extLst>
        </c:ser>
        <c:dLbls>
          <c:showLegendKey val="0"/>
          <c:showVal val="0"/>
          <c:showCatName val="0"/>
          <c:showSerName val="0"/>
          <c:showPercent val="0"/>
          <c:showBubbleSize val="0"/>
        </c:dLbls>
        <c:gapWidth val="219"/>
        <c:overlap val="-27"/>
        <c:axId val="816651672"/>
        <c:axId val="816655608"/>
      </c:barChart>
      <c:lineChart>
        <c:grouping val="standard"/>
        <c:varyColors val="0"/>
        <c:ser>
          <c:idx val="1"/>
          <c:order val="1"/>
          <c:tx>
            <c:strRef>
              <c:f>'1. Concl. - Active Spindle &amp; %'!$C$1</c:f>
              <c:strCache>
                <c:ptCount val="1"/>
                <c:pt idx="0">
                  <c:v>Active %</c:v>
                </c:pt>
              </c:strCache>
            </c:strRef>
          </c:tx>
          <c:spPr>
            <a:ln w="28575" cap="rnd">
              <a:solidFill>
                <a:schemeClr val="dk1">
                  <a:tint val="55000"/>
                </a:schemeClr>
              </a:solidFill>
              <a:round/>
            </a:ln>
            <a:effectLst/>
          </c:spPr>
          <c:marker>
            <c:symbol val="none"/>
          </c:marker>
          <c:cat>
            <c:numRef>
              <c:f>'1. Concl. - Active Spindle &amp; %'!$A$2:$A$7</c:f>
              <c:numCache>
                <c:formatCode>General</c:formatCode>
                <c:ptCount val="6"/>
                <c:pt idx="0">
                  <c:v>1925</c:v>
                </c:pt>
                <c:pt idx="1">
                  <c:v>1935</c:v>
                </c:pt>
                <c:pt idx="2">
                  <c:v>1940</c:v>
                </c:pt>
                <c:pt idx="3">
                  <c:v>1945</c:v>
                </c:pt>
                <c:pt idx="4">
                  <c:v>1950</c:v>
                </c:pt>
                <c:pt idx="5">
                  <c:v>1955</c:v>
                </c:pt>
              </c:numCache>
            </c:numRef>
          </c:cat>
          <c:val>
            <c:numRef>
              <c:f>'1. Concl. - Active Spindle &amp; %'!$C$2:$C$7</c:f>
              <c:numCache>
                <c:formatCode>0%</c:formatCode>
                <c:ptCount val="6"/>
                <c:pt idx="0">
                  <c:v>0.92</c:v>
                </c:pt>
                <c:pt idx="1">
                  <c:v>0.89</c:v>
                </c:pt>
                <c:pt idx="2">
                  <c:v>0.95</c:v>
                </c:pt>
                <c:pt idx="3">
                  <c:v>0.98</c:v>
                </c:pt>
                <c:pt idx="4">
                  <c:v>0.89</c:v>
                </c:pt>
                <c:pt idx="5">
                  <c:v>0.86</c:v>
                </c:pt>
              </c:numCache>
            </c:numRef>
          </c:val>
          <c:smooth val="0"/>
          <c:extLst>
            <c:ext xmlns:c16="http://schemas.microsoft.com/office/drawing/2014/chart" uri="{C3380CC4-5D6E-409C-BE32-E72D297353CC}">
              <c16:uniqueId val="{00000001-20D2-4429-862A-91D4FBE03A38}"/>
            </c:ext>
          </c:extLst>
        </c:ser>
        <c:dLbls>
          <c:showLegendKey val="0"/>
          <c:showVal val="0"/>
          <c:showCatName val="0"/>
          <c:showSerName val="0"/>
          <c:showPercent val="0"/>
          <c:showBubbleSize val="0"/>
        </c:dLbls>
        <c:marker val="1"/>
        <c:smooth val="0"/>
        <c:axId val="809149312"/>
        <c:axId val="527800480"/>
      </c:lineChart>
      <c:catAx>
        <c:axId val="81665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6655608"/>
        <c:crosses val="autoZero"/>
        <c:auto val="1"/>
        <c:lblAlgn val="ctr"/>
        <c:lblOffset val="100"/>
        <c:noMultiLvlLbl val="0"/>
      </c:catAx>
      <c:valAx>
        <c:axId val="816655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Spindles in Place (in millions)</a:t>
                </a:r>
              </a:p>
            </c:rich>
          </c:tx>
          <c:layout>
            <c:manualLayout>
              <c:xMode val="edge"/>
              <c:yMode val="edge"/>
              <c:x val="2.090188239463522E-2"/>
              <c:y val="0.162488524198537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6651672"/>
        <c:crosses val="autoZero"/>
        <c:crossBetween val="between"/>
      </c:valAx>
      <c:valAx>
        <c:axId val="527800480"/>
        <c:scaling>
          <c:orientation val="minMax"/>
          <c:max val="1.04"/>
          <c:min val="0.8"/>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Active Spindles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9149312"/>
        <c:crosses val="max"/>
        <c:crossBetween val="between"/>
      </c:valAx>
      <c:catAx>
        <c:axId val="809149312"/>
        <c:scaling>
          <c:orientation val="minMax"/>
        </c:scaling>
        <c:delete val="1"/>
        <c:axPos val="b"/>
        <c:numFmt formatCode="General" sourceLinked="1"/>
        <c:majorTickMark val="out"/>
        <c:minorTickMark val="none"/>
        <c:tickLblPos val="nextTo"/>
        <c:crossAx val="527800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baseline="0">
                <a:latin typeface="Times New Roman" panose="02020603050405020304" pitchFamily="18" charset="0"/>
                <a:cs typeface="Times New Roman" panose="02020603050405020304" pitchFamily="18" charset="0"/>
              </a:rPr>
              <a:t>The Beginnings of Today's Berkshire Hathaway, Inc.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123365412580095E-2"/>
          <c:y val="8.6940062775769905E-2"/>
          <c:w val="0.93275484994838953"/>
          <c:h val="0.83792808164523425"/>
        </c:manualLayout>
      </c:layout>
      <c:lineChart>
        <c:grouping val="standard"/>
        <c:varyColors val="0"/>
        <c:ser>
          <c:idx val="0"/>
          <c:order val="0"/>
          <c:tx>
            <c:strRef>
              <c:f>'1. Timeline'!$B$2</c:f>
              <c:strCache>
                <c:ptCount val="1"/>
                <c:pt idx="0">
                  <c:v>Berkshire Hathaway (1955- )</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Timeline'!$B$75:$B$130</c:f>
              <c:numCache>
                <c:formatCode>General</c:formatCode>
                <c:ptCount val="56"/>
                <c:pt idx="45">
                  <c:v>5</c:v>
                </c:pt>
                <c:pt idx="46">
                  <c:v>5</c:v>
                </c:pt>
                <c:pt idx="47">
                  <c:v>5</c:v>
                </c:pt>
                <c:pt idx="48">
                  <c:v>5</c:v>
                </c:pt>
                <c:pt idx="49">
                  <c:v>5</c:v>
                </c:pt>
                <c:pt idx="50">
                  <c:v>5</c:v>
                </c:pt>
                <c:pt idx="51">
                  <c:v>5</c:v>
                </c:pt>
                <c:pt idx="52">
                  <c:v>5</c:v>
                </c:pt>
                <c:pt idx="53">
                  <c:v>5</c:v>
                </c:pt>
                <c:pt idx="54">
                  <c:v>5</c:v>
                </c:pt>
                <c:pt idx="55">
                  <c:v>5</c:v>
                </c:pt>
              </c:numCache>
            </c:numRef>
          </c:val>
          <c:smooth val="0"/>
          <c:extLst>
            <c:ext xmlns:c16="http://schemas.microsoft.com/office/drawing/2014/chart" uri="{C3380CC4-5D6E-409C-BE32-E72D297353CC}">
              <c16:uniqueId val="{00000000-6BE3-4A73-BC5D-C76638A81850}"/>
            </c:ext>
          </c:extLst>
        </c:ser>
        <c:ser>
          <c:idx val="1"/>
          <c:order val="1"/>
          <c:tx>
            <c:strRef>
              <c:f>'1. Timeline'!$C$2</c:f>
              <c:strCache>
                <c:ptCount val="1"/>
                <c:pt idx="0">
                  <c:v>Berkshire Fine Spinning Associates (1929-1955)</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Timeline'!$C$75:$C$130</c:f>
              <c:numCache>
                <c:formatCode>General</c:formatCode>
                <c:ptCount val="56"/>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numCache>
            </c:numRef>
          </c:val>
          <c:smooth val="0"/>
          <c:extLst>
            <c:ext xmlns:c16="http://schemas.microsoft.com/office/drawing/2014/chart" uri="{C3380CC4-5D6E-409C-BE32-E72D297353CC}">
              <c16:uniqueId val="{00000001-6BE3-4A73-BC5D-C76638A81850}"/>
            </c:ext>
          </c:extLst>
        </c:ser>
        <c:ser>
          <c:idx val="2"/>
          <c:order val="2"/>
          <c:tx>
            <c:strRef>
              <c:f>'1. Timeline'!$D$2</c:f>
              <c:strCache>
                <c:ptCount val="1"/>
                <c:pt idx="0">
                  <c:v>Berkshire Cotton Manufacturing (1889-1929)</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Timeline'!$D$75:$D$130</c:f>
              <c:numCache>
                <c:formatCode>General</c:formatCode>
                <c:ptCount val="5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2-6BE3-4A73-BC5D-C76638A81850}"/>
            </c:ext>
          </c:extLst>
        </c:ser>
        <c:ser>
          <c:idx val="3"/>
          <c:order val="3"/>
          <c:tx>
            <c:strRef>
              <c:f>'1. Timeline'!$E$2</c:f>
              <c:strCache>
                <c:ptCount val="1"/>
                <c:pt idx="0">
                  <c:v>Greylock Mills (1880-1929)</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Timeline'!$E$75:$E$130</c:f>
              <c:numCache>
                <c:formatCode>General</c:formatCode>
                <c:ptCount val="56"/>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c:v>
                </c:pt>
              </c:numCache>
            </c:numRef>
          </c:val>
          <c:smooth val="0"/>
          <c:extLst>
            <c:ext xmlns:c16="http://schemas.microsoft.com/office/drawing/2014/chart" uri="{C3380CC4-5D6E-409C-BE32-E72D297353CC}">
              <c16:uniqueId val="{00000003-6BE3-4A73-BC5D-C76638A81850}"/>
            </c:ext>
          </c:extLst>
        </c:ser>
        <c:ser>
          <c:idx val="4"/>
          <c:order val="4"/>
          <c:tx>
            <c:strRef>
              <c:f>'1. Timeline'!$F$2</c:f>
              <c:strCache>
                <c:ptCount val="1"/>
                <c:pt idx="0">
                  <c:v>Parker Mills (1895-1930)</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Timeline'!$F$75:$F$130</c:f>
              <c:numCache>
                <c:formatCode>General</c:formatCode>
                <c:ptCount val="5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5</c:v>
                </c:pt>
              </c:numCache>
            </c:numRef>
          </c:val>
          <c:smooth val="0"/>
          <c:extLst>
            <c:ext xmlns:c16="http://schemas.microsoft.com/office/drawing/2014/chart" uri="{C3380CC4-5D6E-409C-BE32-E72D297353CC}">
              <c16:uniqueId val="{00000004-6BE3-4A73-BC5D-C76638A81850}"/>
            </c:ext>
          </c:extLst>
        </c:ser>
        <c:ser>
          <c:idx val="5"/>
          <c:order val="5"/>
          <c:tx>
            <c:strRef>
              <c:f>'1. Timeline'!$G$2</c:f>
              <c:strCache>
                <c:ptCount val="1"/>
                <c:pt idx="0">
                  <c:v>Hargraves Mills (1888-1921)</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Timeline'!$G$75:$G$130</c:f>
              <c:numCache>
                <c:formatCode>General</c:formatCode>
                <c:ptCount val="56"/>
                <c:pt idx="0">
                  <c:v>3.5</c:v>
                </c:pt>
                <c:pt idx="1">
                  <c:v>3.5</c:v>
                </c:pt>
                <c:pt idx="2">
                  <c:v>3.5</c:v>
                </c:pt>
                <c:pt idx="3">
                  <c:v>3.5</c:v>
                </c:pt>
                <c:pt idx="4">
                  <c:v>3.5</c:v>
                </c:pt>
                <c:pt idx="5">
                  <c:v>3.5</c:v>
                </c:pt>
                <c:pt idx="6">
                  <c:v>3.5</c:v>
                </c:pt>
                <c:pt idx="7">
                  <c:v>3.5</c:v>
                </c:pt>
                <c:pt idx="8">
                  <c:v>3.5</c:v>
                </c:pt>
                <c:pt idx="9">
                  <c:v>3.5</c:v>
                </c:pt>
                <c:pt idx="10">
                  <c:v>3.5</c:v>
                </c:pt>
                <c:pt idx="11">
                  <c:v>3</c:v>
                </c:pt>
              </c:numCache>
            </c:numRef>
          </c:val>
          <c:smooth val="0"/>
          <c:extLst>
            <c:ext xmlns:c16="http://schemas.microsoft.com/office/drawing/2014/chart" uri="{C3380CC4-5D6E-409C-BE32-E72D297353CC}">
              <c16:uniqueId val="{00000005-6BE3-4A73-BC5D-C76638A81850}"/>
            </c:ext>
          </c:extLst>
        </c:ser>
        <c:ser>
          <c:idx val="6"/>
          <c:order val="6"/>
          <c:tx>
            <c:strRef>
              <c:f>'1. Timeline'!$H$2</c:f>
              <c:strCache>
                <c:ptCount val="1"/>
                <c:pt idx="0">
                  <c:v>King Philip (1871-1930)</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Timeline'!$H$75:$H$130</c:f>
              <c:numCache>
                <c:formatCode>General</c:formatCode>
                <c:ptCount val="56"/>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5</c:v>
                </c:pt>
              </c:numCache>
            </c:numRef>
          </c:val>
          <c:smooth val="0"/>
          <c:extLst>
            <c:ext xmlns:c16="http://schemas.microsoft.com/office/drawing/2014/chart" uri="{C3380CC4-5D6E-409C-BE32-E72D297353CC}">
              <c16:uniqueId val="{00000006-6BE3-4A73-BC5D-C76638A81850}"/>
            </c:ext>
          </c:extLst>
        </c:ser>
        <c:ser>
          <c:idx val="7"/>
          <c:order val="7"/>
          <c:tx>
            <c:strRef>
              <c:f>'1. Timeline'!$I$2</c:f>
              <c:strCache>
                <c:ptCount val="1"/>
                <c:pt idx="0">
                  <c:v>Hathaway Manufacturing (1889-1955)</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Timeline'!$I$75:$I$130</c:f>
              <c:numCache>
                <c:formatCode>General</c:formatCode>
                <c:ptCount val="56"/>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5</c:v>
                </c:pt>
              </c:numCache>
            </c:numRef>
          </c:val>
          <c:smooth val="0"/>
          <c:extLst>
            <c:ext xmlns:c16="http://schemas.microsoft.com/office/drawing/2014/chart" uri="{C3380CC4-5D6E-409C-BE32-E72D297353CC}">
              <c16:uniqueId val="{00000007-6BE3-4A73-BC5D-C76638A81850}"/>
            </c:ext>
          </c:extLst>
        </c:ser>
        <c:ser>
          <c:idx val="8"/>
          <c:order val="8"/>
          <c:tx>
            <c:strRef>
              <c:f>'1. Timeline'!$J$2</c:f>
              <c:strCache>
                <c:ptCount val="1"/>
                <c:pt idx="0">
                  <c:v>Valley Falls (1839-1929)</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Timeline'!$J$75:$J$130</c:f>
              <c:numCache>
                <c:formatCode>General</c:formatCode>
                <c:ptCount val="56"/>
                <c:pt idx="0">
                  <c:v>6.5</c:v>
                </c:pt>
                <c:pt idx="1">
                  <c:v>6.5</c:v>
                </c:pt>
                <c:pt idx="2">
                  <c:v>6.5</c:v>
                </c:pt>
                <c:pt idx="3">
                  <c:v>6.5</c:v>
                </c:pt>
                <c:pt idx="4">
                  <c:v>6.5</c:v>
                </c:pt>
                <c:pt idx="5">
                  <c:v>6.5</c:v>
                </c:pt>
                <c:pt idx="6">
                  <c:v>6.5</c:v>
                </c:pt>
                <c:pt idx="7">
                  <c:v>6.5</c:v>
                </c:pt>
                <c:pt idx="8">
                  <c:v>6.5</c:v>
                </c:pt>
                <c:pt idx="9">
                  <c:v>6.5</c:v>
                </c:pt>
                <c:pt idx="10">
                  <c:v>6.5</c:v>
                </c:pt>
                <c:pt idx="11">
                  <c:v>6.5</c:v>
                </c:pt>
                <c:pt idx="12">
                  <c:v>6.5</c:v>
                </c:pt>
                <c:pt idx="13">
                  <c:v>6.5</c:v>
                </c:pt>
                <c:pt idx="14">
                  <c:v>6.5</c:v>
                </c:pt>
                <c:pt idx="15">
                  <c:v>6.5</c:v>
                </c:pt>
                <c:pt idx="16">
                  <c:v>6.5</c:v>
                </c:pt>
                <c:pt idx="17">
                  <c:v>6.5</c:v>
                </c:pt>
                <c:pt idx="18">
                  <c:v>6.5</c:v>
                </c:pt>
                <c:pt idx="19">
                  <c:v>5</c:v>
                </c:pt>
              </c:numCache>
            </c:numRef>
          </c:val>
          <c:smooth val="0"/>
          <c:extLst>
            <c:ext xmlns:c16="http://schemas.microsoft.com/office/drawing/2014/chart" uri="{C3380CC4-5D6E-409C-BE32-E72D297353CC}">
              <c16:uniqueId val="{00000008-6BE3-4A73-BC5D-C76638A81850}"/>
            </c:ext>
          </c:extLst>
        </c:ser>
        <c:ser>
          <c:idx val="9"/>
          <c:order val="9"/>
          <c:tx>
            <c:strRef>
              <c:f>'1. Timeline'!$K$2</c:f>
              <c:strCache>
                <c:ptCount val="1"/>
                <c:pt idx="0">
                  <c:v>Coventry (1864-1929)</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Timeline'!$K$75:$K$130</c:f>
              <c:numCache>
                <c:formatCode>General</c:formatCode>
                <c:ptCount val="56"/>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5</c:v>
                </c:pt>
              </c:numCache>
            </c:numRef>
          </c:val>
          <c:smooth val="0"/>
          <c:extLst>
            <c:ext xmlns:c16="http://schemas.microsoft.com/office/drawing/2014/chart" uri="{C3380CC4-5D6E-409C-BE32-E72D297353CC}">
              <c16:uniqueId val="{00000009-6BE3-4A73-BC5D-C76638A81850}"/>
            </c:ext>
          </c:extLst>
        </c:ser>
        <c:ser>
          <c:idx val="10"/>
          <c:order val="10"/>
          <c:tx>
            <c:strRef>
              <c:f>'1. Timeline'!$L$2</c:f>
              <c:strCache>
                <c:ptCount val="1"/>
                <c:pt idx="0">
                  <c:v>Fort Dummer (Unk. - 1929)</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Timeline'!$L$75:$L$130</c:f>
              <c:numCache>
                <c:formatCode>General</c:formatCode>
                <c:ptCount val="5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5</c:v>
                </c:pt>
              </c:numCache>
            </c:numRef>
          </c:val>
          <c:smooth val="0"/>
          <c:extLst>
            <c:ext xmlns:c16="http://schemas.microsoft.com/office/drawing/2014/chart" uri="{C3380CC4-5D6E-409C-BE32-E72D297353CC}">
              <c16:uniqueId val="{0000000A-6BE3-4A73-BC5D-C76638A81850}"/>
            </c:ext>
          </c:extLst>
        </c:ser>
        <c:ser>
          <c:idx val="11"/>
          <c:order val="11"/>
          <c:tx>
            <c:strRef>
              <c:f>'1. Timeline'!$M$2</c:f>
              <c:strCache>
                <c:ptCount val="1"/>
                <c:pt idx="0">
                  <c:v>Warren Manufacturing Company</c:v>
                </c:pt>
              </c:strCache>
            </c:strRef>
          </c:tx>
          <c:spPr>
            <a:ln w="28575" cap="rnd">
              <a:solidFill>
                <a:schemeClr val="tx1"/>
              </a:solidFill>
              <a:round/>
            </a:ln>
            <a:effectLst/>
          </c:spPr>
          <c:marker>
            <c:symbol val="none"/>
          </c:marker>
          <c:cat>
            <c:numRef>
              <c:f>'1. Timeline'!$A$75:$A$130</c:f>
              <c:numCache>
                <c:formatCode>General</c:formatCode>
                <c:ptCount val="56"/>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numCache>
            </c:numRef>
          </c:cat>
          <c:val>
            <c:numRef>
              <c:f>'1. Timeline'!$M$75:$M$130</c:f>
              <c:numCache>
                <c:formatCode>General</c:formatCode>
                <c:ptCount val="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5</c:v>
                </c:pt>
              </c:numCache>
            </c:numRef>
          </c:val>
          <c:smooth val="0"/>
          <c:extLst>
            <c:ext xmlns:c16="http://schemas.microsoft.com/office/drawing/2014/chart" uri="{C3380CC4-5D6E-409C-BE32-E72D297353CC}">
              <c16:uniqueId val="{00000000-7E3B-4B48-8AB3-C204589051D9}"/>
            </c:ext>
          </c:extLst>
        </c:ser>
        <c:dLbls>
          <c:showLegendKey val="0"/>
          <c:showVal val="0"/>
          <c:showCatName val="0"/>
          <c:showSerName val="0"/>
          <c:showPercent val="0"/>
          <c:showBubbleSize val="0"/>
        </c:dLbls>
        <c:smooth val="0"/>
        <c:axId val="697179464"/>
        <c:axId val="697173888"/>
      </c:lineChart>
      <c:dateAx>
        <c:axId val="697179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7173888"/>
        <c:crosses val="autoZero"/>
        <c:auto val="0"/>
        <c:lblOffset val="100"/>
        <c:baseTimeUnit val="days"/>
        <c:majorUnit val="5"/>
        <c:majorTimeUnit val="days"/>
      </c:dateAx>
      <c:valAx>
        <c:axId val="697173888"/>
        <c:scaling>
          <c:orientation val="minMax"/>
          <c:max val="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7179464"/>
        <c:crossesAt val="1910"/>
        <c:crossBetween val="midCat"/>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solidFill>
              <a:round/>
            </a:ln>
            <a:effectLst/>
          </c:spPr>
          <c:marker>
            <c:symbol val="none"/>
          </c:marker>
          <c:cat>
            <c:strRef>
              <c:f>'3. Stock price data'!$D$3:$D$42</c:f>
              <c:strCache>
                <c:ptCount val="37"/>
                <c:pt idx="0">
                  <c:v>1965</c:v>
                </c:pt>
                <c:pt idx="4">
                  <c:v>1966</c:v>
                </c:pt>
                <c:pt idx="5">
                  <c:v> </c:v>
                </c:pt>
                <c:pt idx="6">
                  <c:v> </c:v>
                </c:pt>
                <c:pt idx="7">
                  <c:v> </c:v>
                </c:pt>
                <c:pt idx="8">
                  <c:v>1967</c:v>
                </c:pt>
                <c:pt idx="12">
                  <c:v>1968</c:v>
                </c:pt>
                <c:pt idx="16">
                  <c:v>1969</c:v>
                </c:pt>
                <c:pt idx="20">
                  <c:v>1970</c:v>
                </c:pt>
                <c:pt idx="24">
                  <c:v>1971</c:v>
                </c:pt>
                <c:pt idx="28">
                  <c:v>1972</c:v>
                </c:pt>
                <c:pt idx="32">
                  <c:v>1973</c:v>
                </c:pt>
                <c:pt idx="36">
                  <c:v>1974</c:v>
                </c:pt>
              </c:strCache>
            </c:strRef>
          </c:cat>
          <c:val>
            <c:numRef>
              <c:f>'3. Stock price data'!$U$3:$U$42</c:f>
              <c:numCache>
                <c:formatCode>_(* #,##0.00_);_(* \(#,##0.00\);_(* "-"??_);_(@_)</c:formatCode>
                <c:ptCount val="40"/>
                <c:pt idx="0">
                  <c:v>0.64670558760031605</c:v>
                </c:pt>
                <c:pt idx="1">
                  <c:v>0.85457524075756064</c:v>
                </c:pt>
                <c:pt idx="2">
                  <c:v>0.83147861262897793</c:v>
                </c:pt>
                <c:pt idx="3">
                  <c:v>0.92386512514330876</c:v>
                </c:pt>
                <c:pt idx="4">
                  <c:v>0.88539625838243474</c:v>
                </c:pt>
                <c:pt idx="5">
                  <c:v>0.90423447664589085</c:v>
                </c:pt>
                <c:pt idx="6">
                  <c:v>0.77236694880169843</c:v>
                </c:pt>
                <c:pt idx="7">
                  <c:v>0.659337639220962</c:v>
                </c:pt>
                <c:pt idx="8">
                  <c:v>0.60709925832092226</c:v>
                </c:pt>
                <c:pt idx="9">
                  <c:v>0.59069117025819473</c:v>
                </c:pt>
                <c:pt idx="10">
                  <c:v>0.63991543444637755</c:v>
                </c:pt>
                <c:pt idx="11">
                  <c:v>0.65632352250910519</c:v>
                </c:pt>
                <c:pt idx="12">
                  <c:v>0.64003477819028887</c:v>
                </c:pt>
                <c:pt idx="13">
                  <c:v>0.78549722777899089</c:v>
                </c:pt>
                <c:pt idx="14">
                  <c:v>0.8582284525733419</c:v>
                </c:pt>
                <c:pt idx="15">
                  <c:v>1.0327833920797844</c:v>
                </c:pt>
                <c:pt idx="16">
                  <c:v>0.90744315160836231</c:v>
                </c:pt>
                <c:pt idx="17">
                  <c:v>0.98101962336039172</c:v>
                </c:pt>
                <c:pt idx="18">
                  <c:v>0.85839217044034277</c:v>
                </c:pt>
                <c:pt idx="19">
                  <c:v>0.95649413277638196</c:v>
                </c:pt>
                <c:pt idx="20">
                  <c:v>0.92231744276842242</c:v>
                </c:pt>
                <c:pt idx="21">
                  <c:v>0.83750664343339509</c:v>
                </c:pt>
                <c:pt idx="22">
                  <c:v>0.82690529351651654</c:v>
                </c:pt>
                <c:pt idx="23">
                  <c:v>0.8693106931840302</c:v>
                </c:pt>
                <c:pt idx="24">
                  <c:v>0.85178471836778813</c:v>
                </c:pt>
                <c:pt idx="25">
                  <c:v>0.96410797793277125</c:v>
                </c:pt>
                <c:pt idx="26">
                  <c:v>0.97346824956318645</c:v>
                </c:pt>
                <c:pt idx="27">
                  <c:v>1.3478791147797966</c:v>
                </c:pt>
                <c:pt idx="28">
                  <c:v>1.1726757322573755</c:v>
                </c:pt>
                <c:pt idx="29">
                  <c:v>1.2277678807526886</c:v>
                </c:pt>
                <c:pt idx="30">
                  <c:v>1.2907303361759035</c:v>
                </c:pt>
                <c:pt idx="31">
                  <c:v>1.2592491084642961</c:v>
                </c:pt>
                <c:pt idx="32">
                  <c:v>1.1339236032877751</c:v>
                </c:pt>
                <c:pt idx="33">
                  <c:v>1.1273691315924701</c:v>
                </c:pt>
                <c:pt idx="34">
                  <c:v>1.1208146598971651</c:v>
                </c:pt>
                <c:pt idx="35">
                  <c:v>1.0356065278581994</c:v>
                </c:pt>
                <c:pt idx="36">
                  <c:v>0.85605378312291514</c:v>
                </c:pt>
                <c:pt idx="37">
                  <c:v>0.80978060565681165</c:v>
                </c:pt>
                <c:pt idx="38">
                  <c:v>0.6536086317087122</c:v>
                </c:pt>
                <c:pt idx="39">
                  <c:v>0.51478909931040162</c:v>
                </c:pt>
              </c:numCache>
            </c:numRef>
          </c:val>
          <c:smooth val="0"/>
          <c:extLst>
            <c:ext xmlns:c16="http://schemas.microsoft.com/office/drawing/2014/chart" uri="{C3380CC4-5D6E-409C-BE32-E72D297353CC}">
              <c16:uniqueId val="{00000000-09BE-4A32-97A6-A050D6AE283D}"/>
            </c:ext>
          </c:extLst>
        </c:ser>
        <c:dLbls>
          <c:showLegendKey val="0"/>
          <c:showVal val="0"/>
          <c:showCatName val="0"/>
          <c:showSerName val="0"/>
          <c:showPercent val="0"/>
          <c:showBubbleSize val="0"/>
        </c:dLbls>
        <c:smooth val="0"/>
        <c:axId val="938287016"/>
        <c:axId val="938285048"/>
      </c:lineChart>
      <c:catAx>
        <c:axId val="93828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5048"/>
        <c:crosses val="autoZero"/>
        <c:auto val="1"/>
        <c:lblAlgn val="ctr"/>
        <c:lblOffset val="100"/>
        <c:noMultiLvlLbl val="0"/>
      </c:catAx>
      <c:valAx>
        <c:axId val="938285048"/>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0\x"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38287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xml><?xml version="1.0" encoding="utf-8"?>
<cs:colorStyle xmlns:cs="http://schemas.microsoft.com/office/drawing/2012/chartStyle" xmlns:a="http://schemas.openxmlformats.org/drawingml/2006/main" meth="withinLinear" id="16">
  <a:schemeClr val="accent3"/>
</cs:colorStyle>
</file>

<file path=xl/charts/colors21.xml><?xml version="1.0" encoding="utf-8"?>
<cs:colorStyle xmlns:cs="http://schemas.microsoft.com/office/drawing/2012/chartStyle" xmlns:a="http://schemas.openxmlformats.org/drawingml/2006/main" meth="withinLinear" id="16">
  <a:schemeClr val="accent3"/>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39.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0.xml><?xml version="1.0" encoding="utf-8"?>
<cs:colorStyle xmlns:cs="http://schemas.microsoft.com/office/drawing/2012/chartStyle" xmlns:a="http://schemas.openxmlformats.org/drawingml/2006/main" meth="withinLinear" id="16">
  <a:schemeClr val="accent3"/>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withinLinearReversed" id="23">
  <a:schemeClr val="accent3"/>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www.brkbook.com" TargetMode="External"/><Relationship Id="rId1" Type="http://schemas.openxmlformats.org/officeDocument/2006/relationships/hyperlink" Target="http://www.watchlistinvesting.com"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2.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10.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image" Target="../media/image11.emf"/><Relationship Id="rId4"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15.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7.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6.emf"/><Relationship Id="rId1" Type="http://schemas.openxmlformats.org/officeDocument/2006/relationships/image" Target="../media/image5.emf"/></Relationships>
</file>

<file path=xl/drawings/_rels/drawing4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4.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7.emf"/></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2.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7.png"/><Relationship Id="rId7" Type="http://schemas.openxmlformats.org/officeDocument/2006/relationships/image" Target="../media/image28.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5.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65.xml.rels><?xml version="1.0" encoding="UTF-8" standalone="yes"?>
<Relationships xmlns="http://schemas.openxmlformats.org/package/2006/relationships"><Relationship Id="rId1" Type="http://schemas.openxmlformats.org/officeDocument/2006/relationships/image" Target="../media/image33.emf"/></Relationships>
</file>

<file path=xl/drawings/_rels/drawing6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s>
</file>

<file path=xl/drawings/_rels/drawing73.xml.rels><?xml version="1.0" encoding="UTF-8" standalone="yes"?>
<Relationships xmlns="http://schemas.openxmlformats.org/package/2006/relationships"><Relationship Id="rId1" Type="http://schemas.openxmlformats.org/officeDocument/2006/relationships/image" Target="../media/image17.emf"/></Relationships>
</file>

<file path=xl/drawings/_rels/drawing7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6.emf"/><Relationship Id="rId1" Type="http://schemas.openxmlformats.org/officeDocument/2006/relationships/image" Target="../media/image5.emf"/></Relationships>
</file>

<file path=xl/drawings/_rels/drawing7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image" Target="../media/image34.png"/></Relationships>
</file>

<file path=xl/drawings/_rels/drawing7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xdr:from>
      <xdr:col>0</xdr:col>
      <xdr:colOff>342900</xdr:colOff>
      <xdr:row>2</xdr:row>
      <xdr:rowOff>60960</xdr:rowOff>
    </xdr:from>
    <xdr:to>
      <xdr:col>13</xdr:col>
      <xdr:colOff>533400</xdr:colOff>
      <xdr:row>26</xdr:row>
      <xdr:rowOff>129540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6BAC90F-FA0E-40D3-AA79-81B16687E6C0}"/>
            </a:ext>
          </a:extLst>
        </xdr:cNvPr>
        <xdr:cNvSpPr txBox="1"/>
      </xdr:nvSpPr>
      <xdr:spPr>
        <a:xfrm>
          <a:off x="342900" y="426720"/>
          <a:ext cx="8115300" cy="44577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Times New Roman" panose="02020603050405020304" pitchFamily="18" charset="0"/>
              <a:cs typeface="Times New Roman" panose="02020603050405020304" pitchFamily="18" charset="0"/>
            </a:rPr>
            <a:t>Welcome!</a:t>
          </a:r>
        </a:p>
        <a:p>
          <a:endParaRPr lang="en-US" sz="1400">
            <a:solidFill>
              <a:schemeClr val="bg1"/>
            </a:solidFill>
            <a:latin typeface="Times New Roman" panose="02020603050405020304" pitchFamily="18" charset="0"/>
            <a:cs typeface="Times New Roman" panose="02020603050405020304" pitchFamily="18" charset="0"/>
          </a:endParaRPr>
        </a:p>
        <a:p>
          <a:r>
            <a:rPr lang="en-US" sz="1400">
              <a:solidFill>
                <a:schemeClr val="bg1"/>
              </a:solidFill>
              <a:latin typeface="Times New Roman" panose="02020603050405020304" pitchFamily="18" charset="0"/>
              <a:cs typeface="Times New Roman" panose="02020603050405020304" pitchFamily="18" charset="0"/>
            </a:rPr>
            <a:t>First, thank</a:t>
          </a:r>
          <a:r>
            <a:rPr lang="en-US" sz="1400" baseline="0">
              <a:solidFill>
                <a:schemeClr val="bg1"/>
              </a:solidFill>
              <a:latin typeface="Times New Roman" panose="02020603050405020304" pitchFamily="18" charset="0"/>
              <a:cs typeface="Times New Roman" panose="02020603050405020304" pitchFamily="18" charset="0"/>
            </a:rPr>
            <a:t> you for purchasing the book and/or exploring The Oracles Classroom!</a:t>
          </a:r>
        </a:p>
        <a:p>
          <a:endParaRPr lang="en-US" sz="1400" baseline="0">
            <a:solidFill>
              <a:schemeClr val="bg1"/>
            </a:solidFill>
            <a:latin typeface="Times New Roman" panose="02020603050405020304" pitchFamily="18" charset="0"/>
            <a:cs typeface="Times New Roman" panose="02020603050405020304" pitchFamily="18" charset="0"/>
          </a:endParaRPr>
        </a:p>
        <a:p>
          <a:r>
            <a:rPr lang="en-US" sz="1400" baseline="0">
              <a:solidFill>
                <a:schemeClr val="bg1"/>
              </a:solidFill>
              <a:latin typeface="Times New Roman" panose="02020603050405020304" pitchFamily="18" charset="0"/>
              <a:cs typeface="Times New Roman" panose="02020603050405020304" pitchFamily="18" charset="0"/>
            </a:rPr>
            <a:t>This Excel workbook contains most of the backup work/calculations that went into the book. I say most because I've deleted some superfluous tabs for cleanliness. But I've given you everything, formulas in all, because that's what I'd want in your shoes. (There are even some extras, like work I've done on the early conglomerates that didn't make it into the book.)</a:t>
          </a:r>
        </a:p>
        <a:p>
          <a:endParaRPr lang="en-US" sz="1400" baseline="0">
            <a:solidFill>
              <a:schemeClr val="bg1"/>
            </a:solidFill>
            <a:latin typeface="Times New Roman" panose="02020603050405020304" pitchFamily="18" charset="0"/>
            <a:cs typeface="Times New Roman" panose="02020603050405020304" pitchFamily="18" charset="0"/>
          </a:endParaRPr>
        </a:p>
        <a:p>
          <a:r>
            <a:rPr lang="en-US" sz="1400" baseline="0">
              <a:solidFill>
                <a:schemeClr val="bg1"/>
              </a:solidFill>
              <a:latin typeface="Times New Roman" panose="02020603050405020304" pitchFamily="18" charset="0"/>
              <a:cs typeface="Times New Roman" panose="02020603050405020304" pitchFamily="18" charset="0"/>
            </a:rPr>
            <a:t>The tabs are organized by chapter with alternating colors for ease of navigation. They also generally follow how the information appears in the book, but not always. Additionally, the table numbers might be off from what was in the final book, but again, the order should be close. </a:t>
          </a:r>
        </a:p>
        <a:p>
          <a:endParaRPr lang="en-US" sz="1400" baseline="0">
            <a:solidFill>
              <a:schemeClr val="bg1"/>
            </a:solidFill>
            <a:latin typeface="Times New Roman" panose="02020603050405020304" pitchFamily="18" charset="0"/>
            <a:cs typeface="Times New Roman" panose="02020603050405020304" pitchFamily="18" charset="0"/>
          </a:endParaRPr>
        </a:p>
        <a:p>
          <a:r>
            <a:rPr lang="en-US" sz="1400" baseline="0">
              <a:solidFill>
                <a:schemeClr val="bg1"/>
              </a:solidFill>
              <a:latin typeface="Times New Roman" panose="02020603050405020304" pitchFamily="18" charset="0"/>
              <a:cs typeface="Times New Roman" panose="02020603050405020304" pitchFamily="18" charset="0"/>
            </a:rPr>
            <a:t>By opening things up like this I'm sure someone will find a mistake or calculation error. Please let me know at brkbook@gmail.com. I plan to keep a compilation of errors at brkbook.com. </a:t>
          </a:r>
        </a:p>
        <a:p>
          <a:endParaRPr lang="en-US" sz="1400" baseline="0">
            <a:solidFill>
              <a:schemeClr val="bg1"/>
            </a:solidFill>
            <a:latin typeface="Times New Roman" panose="02020603050405020304" pitchFamily="18" charset="0"/>
            <a:cs typeface="Times New Roman" panose="02020603050405020304" pitchFamily="18" charset="0"/>
          </a:endParaRPr>
        </a:p>
        <a:p>
          <a:r>
            <a:rPr lang="en-US" sz="1400" baseline="0">
              <a:solidFill>
                <a:schemeClr val="bg1"/>
              </a:solidFill>
              <a:latin typeface="Times New Roman" panose="02020603050405020304" pitchFamily="18" charset="0"/>
              <a:cs typeface="Times New Roman" panose="02020603050405020304" pitchFamily="18" charset="0"/>
            </a:rPr>
            <a:t>Your grateful author and fellow BRK student,</a:t>
          </a:r>
        </a:p>
        <a:p>
          <a:r>
            <a:rPr lang="en-US" sz="1400" baseline="0">
              <a:solidFill>
                <a:schemeClr val="bg1"/>
              </a:solidFill>
              <a:latin typeface="Times New Roman" panose="02020603050405020304" pitchFamily="18" charset="0"/>
              <a:cs typeface="Times New Roman" panose="02020603050405020304" pitchFamily="18" charset="0"/>
            </a:rPr>
            <a:t>Adam Mead</a:t>
          </a:r>
        </a:p>
        <a:p>
          <a:endParaRPr lang="en-US" sz="1400" baseline="0">
            <a:solidFill>
              <a:schemeClr val="bg1"/>
            </a:solidFill>
            <a:latin typeface="Times New Roman" panose="02020603050405020304" pitchFamily="18" charset="0"/>
            <a:cs typeface="Times New Roman" panose="02020603050405020304" pitchFamily="18" charset="0"/>
          </a:endParaRPr>
        </a:p>
        <a:p>
          <a:r>
            <a:rPr lang="en-US" sz="1400" baseline="0">
              <a:solidFill>
                <a:schemeClr val="bg1"/>
              </a:solidFill>
              <a:latin typeface="Times New Roman" panose="02020603050405020304" pitchFamily="18" charset="0"/>
              <a:cs typeface="Times New Roman" panose="02020603050405020304" pitchFamily="18" charset="0"/>
            </a:rPr>
            <a:t>Follow me on Twitter at @BRK_Student. Also checkout my investment newsletter, Watchlist Investing at www.watchlistinvesting.com </a:t>
          </a:r>
        </a:p>
        <a:p>
          <a:endParaRPr lang="en-US" sz="1400"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editAs="oneCell">
    <xdr:from>
      <xdr:col>14</xdr:col>
      <xdr:colOff>22860</xdr:colOff>
      <xdr:row>2</xdr:row>
      <xdr:rowOff>60960</xdr:rowOff>
    </xdr:from>
    <xdr:to>
      <xdr:col>18</xdr:col>
      <xdr:colOff>563880</xdr:colOff>
      <xdr:row>26</xdr:row>
      <xdr:rowOff>140970</xdr:rowOff>
    </xdr:to>
    <xdr:pic>
      <xdr:nvPicPr>
        <xdr:cNvPr id="4" name="Picture 3">
          <a:hlinkClick xmlns:r="http://schemas.openxmlformats.org/officeDocument/2006/relationships" r:id="rId2"/>
          <a:extLst>
            <a:ext uri="{FF2B5EF4-FFF2-40B4-BE49-F238E27FC236}">
              <a16:creationId xmlns:a16="http://schemas.microsoft.com/office/drawing/2014/main" id="{B07E6EAE-61BB-4037-8A66-8416A38213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57260" y="426720"/>
          <a:ext cx="2979420" cy="44691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313763</xdr:colOff>
      <xdr:row>44</xdr:row>
      <xdr:rowOff>174810</xdr:rowOff>
    </xdr:from>
    <xdr:to>
      <xdr:col>10</xdr:col>
      <xdr:colOff>403410</xdr:colOff>
      <xdr:row>61</xdr:row>
      <xdr:rowOff>22410</xdr:rowOff>
    </xdr:to>
    <xdr:graphicFrame macro="">
      <xdr:nvGraphicFramePr>
        <xdr:cNvPr id="8" name="Chart 7">
          <a:extLst>
            <a:ext uri="{FF2B5EF4-FFF2-40B4-BE49-F238E27FC236}">
              <a16:creationId xmlns:a16="http://schemas.microsoft.com/office/drawing/2014/main" id="{D0F069CC-8EDA-464C-89BC-052097F77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537882</xdr:colOff>
      <xdr:row>44</xdr:row>
      <xdr:rowOff>170329</xdr:rowOff>
    </xdr:from>
    <xdr:to>
      <xdr:col>16</xdr:col>
      <xdr:colOff>242046</xdr:colOff>
      <xdr:row>61</xdr:row>
      <xdr:rowOff>17929</xdr:rowOff>
    </xdr:to>
    <xdr:graphicFrame macro="">
      <xdr:nvGraphicFramePr>
        <xdr:cNvPr id="10" name="Chart 9">
          <a:extLst>
            <a:ext uri="{FF2B5EF4-FFF2-40B4-BE49-F238E27FC236}">
              <a16:creationId xmlns:a16="http://schemas.microsoft.com/office/drawing/2014/main" id="{A32B585F-5C71-4FB6-9CE6-A309F60DA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358587</xdr:colOff>
      <xdr:row>44</xdr:row>
      <xdr:rowOff>179293</xdr:rowOff>
    </xdr:from>
    <xdr:to>
      <xdr:col>23</xdr:col>
      <xdr:colOff>233082</xdr:colOff>
      <xdr:row>61</xdr:row>
      <xdr:rowOff>26893</xdr:rowOff>
    </xdr:to>
    <xdr:graphicFrame macro="">
      <xdr:nvGraphicFramePr>
        <xdr:cNvPr id="4" name="Chart 3">
          <a:extLst>
            <a:ext uri="{FF2B5EF4-FFF2-40B4-BE49-F238E27FC236}">
              <a16:creationId xmlns:a16="http://schemas.microsoft.com/office/drawing/2014/main" id="{69A78C1E-DD85-48D3-B516-F665222CC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29</xdr:row>
      <xdr:rowOff>76200</xdr:rowOff>
    </xdr:from>
    <xdr:to>
      <xdr:col>11</xdr:col>
      <xdr:colOff>0</xdr:colOff>
      <xdr:row>51</xdr:row>
      <xdr:rowOff>133350</xdr:rowOff>
    </xdr:to>
    <xdr:cxnSp macro="">
      <xdr:nvCxnSpPr>
        <xdr:cNvPr id="3" name="Straight Arrow Connector 2">
          <a:extLst>
            <a:ext uri="{FF2B5EF4-FFF2-40B4-BE49-F238E27FC236}">
              <a16:creationId xmlns:a16="http://schemas.microsoft.com/office/drawing/2014/main" id="{E7620676-1FA1-4735-BE2A-50B268FC0D39}"/>
            </a:ext>
          </a:extLst>
        </xdr:cNvPr>
        <xdr:cNvCxnSpPr/>
      </xdr:nvCxnSpPr>
      <xdr:spPr>
        <a:xfrm>
          <a:off x="5734050" y="5086350"/>
          <a:ext cx="3695700" cy="382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9</xdr:col>
      <xdr:colOff>485775</xdr:colOff>
      <xdr:row>65</xdr:row>
      <xdr:rowOff>76200</xdr:rowOff>
    </xdr:from>
    <xdr:ext cx="6039960" cy="3792856"/>
    <xdr:pic>
      <xdr:nvPicPr>
        <xdr:cNvPr id="2" name="Picture 1">
          <a:extLst>
            <a:ext uri="{FF2B5EF4-FFF2-40B4-BE49-F238E27FC236}">
              <a16:creationId xmlns:a16="http://schemas.microsoft.com/office/drawing/2014/main" id="{8CF163DA-5F8A-4468-A830-BA663E20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1963400"/>
          <a:ext cx="6039960" cy="37928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21</xdr:col>
      <xdr:colOff>31059</xdr:colOff>
      <xdr:row>63</xdr:row>
      <xdr:rowOff>107673</xdr:rowOff>
    </xdr:from>
    <xdr:to>
      <xdr:col>30</xdr:col>
      <xdr:colOff>31059</xdr:colOff>
      <xdr:row>79</xdr:row>
      <xdr:rowOff>107673</xdr:rowOff>
    </xdr:to>
    <xdr:graphicFrame macro="">
      <xdr:nvGraphicFramePr>
        <xdr:cNvPr id="3" name="Chart 2">
          <a:extLst>
            <a:ext uri="{FF2B5EF4-FFF2-40B4-BE49-F238E27FC236}">
              <a16:creationId xmlns:a16="http://schemas.microsoft.com/office/drawing/2014/main" id="{E641B250-4AA7-48B3-8B06-DAC8F2452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339588</xdr:colOff>
      <xdr:row>63</xdr:row>
      <xdr:rowOff>157369</xdr:rowOff>
    </xdr:from>
    <xdr:to>
      <xdr:col>29</xdr:col>
      <xdr:colOff>496956</xdr:colOff>
      <xdr:row>66</xdr:row>
      <xdr:rowOff>8283</xdr:rowOff>
    </xdr:to>
    <xdr:sp macro="" textlink="">
      <xdr:nvSpPr>
        <xdr:cNvPr id="4" name="TextBox 3">
          <a:extLst>
            <a:ext uri="{FF2B5EF4-FFF2-40B4-BE49-F238E27FC236}">
              <a16:creationId xmlns:a16="http://schemas.microsoft.com/office/drawing/2014/main" id="{FFB59552-E1F7-4E30-ABF1-2048E4F0CDEC}"/>
            </a:ext>
          </a:extLst>
        </xdr:cNvPr>
        <xdr:cNvSpPr txBox="1"/>
      </xdr:nvSpPr>
      <xdr:spPr>
        <a:xfrm>
          <a:off x="17210268" y="11678809"/>
          <a:ext cx="2031888" cy="3995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Times New Roman" panose="02020603050405020304" pitchFamily="18" charset="0"/>
              <a:cs typeface="Times New Roman" panose="02020603050405020304" pitchFamily="18" charset="0"/>
            </a:rPr>
            <a:t>Trading</a:t>
          </a:r>
          <a:r>
            <a:rPr lang="en-US" sz="1200" baseline="0">
              <a:latin typeface="Times New Roman" panose="02020603050405020304" pitchFamily="18" charset="0"/>
              <a:cs typeface="Times New Roman" panose="02020603050405020304" pitchFamily="18" charset="0"/>
            </a:rPr>
            <a:t> stamp revenues peak in 1970 at $126 million. </a:t>
          </a:r>
          <a:endParaRPr lang="en-US" sz="1200">
            <a:latin typeface="Times New Roman" panose="02020603050405020304" pitchFamily="18" charset="0"/>
            <a:cs typeface="Times New Roman" panose="02020603050405020304" pitchFamily="18" charset="0"/>
          </a:endParaRPr>
        </a:p>
      </xdr:txBody>
    </xdr:sp>
    <xdr:clientData/>
  </xdr:twoCellAnchor>
  <xdr:twoCellAnchor>
    <xdr:from>
      <xdr:col>24</xdr:col>
      <xdr:colOff>505239</xdr:colOff>
      <xdr:row>64</xdr:row>
      <xdr:rowOff>182217</xdr:rowOff>
    </xdr:from>
    <xdr:to>
      <xdr:col>26</xdr:col>
      <xdr:colOff>339588</xdr:colOff>
      <xdr:row>64</xdr:row>
      <xdr:rowOff>182217</xdr:rowOff>
    </xdr:to>
    <xdr:cxnSp macro="">
      <xdr:nvCxnSpPr>
        <xdr:cNvPr id="5" name="Straight Arrow Connector 4">
          <a:extLst>
            <a:ext uri="{FF2B5EF4-FFF2-40B4-BE49-F238E27FC236}">
              <a16:creationId xmlns:a16="http://schemas.microsoft.com/office/drawing/2014/main" id="{09B0EF96-AF79-488C-9C46-C0BC19BB6C05}"/>
            </a:ext>
          </a:extLst>
        </xdr:cNvPr>
        <xdr:cNvCxnSpPr>
          <a:stCxn id="4" idx="1"/>
        </xdr:cNvCxnSpPr>
      </xdr:nvCxnSpPr>
      <xdr:spPr>
        <a:xfrm flipH="1">
          <a:off x="16126239" y="11886537"/>
          <a:ext cx="108402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1</xdr:row>
      <xdr:rowOff>123825</xdr:rowOff>
    </xdr:from>
    <xdr:to>
      <xdr:col>9</xdr:col>
      <xdr:colOff>486051</xdr:colOff>
      <xdr:row>11</xdr:row>
      <xdr:rowOff>123575</xdr:rowOff>
    </xdr:to>
    <xdr:pic>
      <xdr:nvPicPr>
        <xdr:cNvPr id="2" name="Picture 1">
          <a:extLst>
            <a:ext uri="{FF2B5EF4-FFF2-40B4-BE49-F238E27FC236}">
              <a16:creationId xmlns:a16="http://schemas.microsoft.com/office/drawing/2014/main" id="{EC8823A4-1AB9-4D3E-AB1E-E59385B2BCA8}"/>
            </a:ext>
          </a:extLst>
        </xdr:cNvPr>
        <xdr:cNvPicPr>
          <a:picLocks noChangeAspect="1"/>
        </xdr:cNvPicPr>
      </xdr:nvPicPr>
      <xdr:blipFill>
        <a:blip xmlns:r="http://schemas.openxmlformats.org/officeDocument/2006/relationships" r:embed="rId1"/>
        <a:stretch>
          <a:fillRect/>
        </a:stretch>
      </xdr:blipFill>
      <xdr:spPr>
        <a:xfrm>
          <a:off x="219075" y="314325"/>
          <a:ext cx="7723809" cy="20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304800</xdr:colOff>
      <xdr:row>9</xdr:row>
      <xdr:rowOff>57150</xdr:rowOff>
    </xdr:from>
    <xdr:to>
      <xdr:col>11</xdr:col>
      <xdr:colOff>152400</xdr:colOff>
      <xdr:row>13</xdr:row>
      <xdr:rowOff>161925</xdr:rowOff>
    </xdr:to>
    <xdr:sp macro="" textlink="">
      <xdr:nvSpPr>
        <xdr:cNvPr id="2" name="TextBox 1">
          <a:extLst>
            <a:ext uri="{FF2B5EF4-FFF2-40B4-BE49-F238E27FC236}">
              <a16:creationId xmlns:a16="http://schemas.microsoft.com/office/drawing/2014/main" id="{0518B1E9-57FD-4018-A8A7-6A4AEDA0F204}"/>
            </a:ext>
          </a:extLst>
        </xdr:cNvPr>
        <xdr:cNvSpPr txBox="1"/>
      </xdr:nvSpPr>
      <xdr:spPr>
        <a:xfrm>
          <a:off x="3870960" y="1703070"/>
          <a:ext cx="2819400" cy="836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Data from 1983</a:t>
          </a:r>
          <a:r>
            <a:rPr lang="en-US" sz="1100" baseline="0"/>
            <a:t> were taken from the 1983 letter. The 1984 letter contains minor revisions to the amounts originally presented in 1983. </a:t>
          </a:r>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330937</xdr:colOff>
      <xdr:row>85</xdr:row>
      <xdr:rowOff>154203</xdr:rowOff>
    </xdr:from>
    <xdr:to>
      <xdr:col>12</xdr:col>
      <xdr:colOff>1092937</xdr:colOff>
      <xdr:row>102</xdr:row>
      <xdr:rowOff>57221</xdr:rowOff>
    </xdr:to>
    <xdr:graphicFrame macro="">
      <xdr:nvGraphicFramePr>
        <xdr:cNvPr id="2" name="Chart 1">
          <a:extLst>
            <a:ext uri="{FF2B5EF4-FFF2-40B4-BE49-F238E27FC236}">
              <a16:creationId xmlns:a16="http://schemas.microsoft.com/office/drawing/2014/main" id="{D1C158CD-3321-4295-BE0E-EA75D6E64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330587</xdr:colOff>
      <xdr:row>85</xdr:row>
      <xdr:rowOff>172894</xdr:rowOff>
    </xdr:from>
    <xdr:to>
      <xdr:col>8</xdr:col>
      <xdr:colOff>164332</xdr:colOff>
      <xdr:row>102</xdr:row>
      <xdr:rowOff>75912</xdr:rowOff>
    </xdr:to>
    <xdr:graphicFrame macro="">
      <xdr:nvGraphicFramePr>
        <xdr:cNvPr id="3" name="Chart 2">
          <a:extLst>
            <a:ext uri="{FF2B5EF4-FFF2-40B4-BE49-F238E27FC236}">
              <a16:creationId xmlns:a16="http://schemas.microsoft.com/office/drawing/2014/main" id="{EE1AB9C0-920B-409E-967A-1408CDC85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1300520</xdr:colOff>
      <xdr:row>85</xdr:row>
      <xdr:rowOff>161477</xdr:rowOff>
    </xdr:from>
    <xdr:to>
      <xdr:col>16</xdr:col>
      <xdr:colOff>859885</xdr:colOff>
      <xdr:row>102</xdr:row>
      <xdr:rowOff>28008</xdr:rowOff>
    </xdr:to>
    <xdr:graphicFrame macro="">
      <xdr:nvGraphicFramePr>
        <xdr:cNvPr id="4" name="Chart 3">
          <a:extLst>
            <a:ext uri="{FF2B5EF4-FFF2-40B4-BE49-F238E27FC236}">
              <a16:creationId xmlns:a16="http://schemas.microsoft.com/office/drawing/2014/main" id="{81308A0E-4146-4DC2-84BB-23E58204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364672</xdr:colOff>
      <xdr:row>1</xdr:row>
      <xdr:rowOff>164566</xdr:rowOff>
    </xdr:from>
    <xdr:to>
      <xdr:col>18</xdr:col>
      <xdr:colOff>557173</xdr:colOff>
      <xdr:row>38</xdr:row>
      <xdr:rowOff>62752</xdr:rowOff>
    </xdr:to>
    <xdr:pic>
      <xdr:nvPicPr>
        <xdr:cNvPr id="2" name="Picture 1">
          <a:extLst>
            <a:ext uri="{FF2B5EF4-FFF2-40B4-BE49-F238E27FC236}">
              <a16:creationId xmlns:a16="http://schemas.microsoft.com/office/drawing/2014/main" id="{7F680F30-DA81-4AEF-8418-692B1AFBA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3272" y="360509"/>
          <a:ext cx="3784787" cy="540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247650</xdr:colOff>
      <xdr:row>11</xdr:row>
      <xdr:rowOff>152400</xdr:rowOff>
    </xdr:from>
    <xdr:to>
      <xdr:col>19</xdr:col>
      <xdr:colOff>342900</xdr:colOff>
      <xdr:row>26</xdr:row>
      <xdr:rowOff>104775</xdr:rowOff>
    </xdr:to>
    <xdr:sp macro="" textlink="">
      <xdr:nvSpPr>
        <xdr:cNvPr id="3" name="TextBox 2">
          <a:extLst>
            <a:ext uri="{FF2B5EF4-FFF2-40B4-BE49-F238E27FC236}">
              <a16:creationId xmlns:a16="http://schemas.microsoft.com/office/drawing/2014/main" id="{39B37FA2-9D61-44AE-B6E7-FC5CA5E1FB77}"/>
            </a:ext>
          </a:extLst>
        </xdr:cNvPr>
        <xdr:cNvSpPr txBox="1"/>
      </xdr:nvSpPr>
      <xdr:spPr>
        <a:xfrm>
          <a:off x="9810750" y="1800225"/>
          <a:ext cx="3838575" cy="22764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Times New Roman" panose="02020603050405020304" pitchFamily="18" charset="0"/>
              <a:cs typeface="Times New Roman" panose="02020603050405020304" pitchFamily="18" charset="0"/>
            </a:rPr>
            <a:t>Capital adjusted for excess cash and ST</a:t>
          </a:r>
          <a:r>
            <a:rPr lang="en-US" sz="1400" baseline="0">
              <a:latin typeface="Times New Roman" panose="02020603050405020304" pitchFamily="18" charset="0"/>
              <a:cs typeface="Times New Roman" panose="02020603050405020304" pitchFamily="18" charset="0"/>
            </a:rPr>
            <a:t> investments on the BS. Used 5% of revenues owing to the large finance organization at Kirby and World Book. Excess cash and investments on the 1986 BS appear to have been removed (to Omaha HQ) signifying they weren't needed. </a:t>
          </a:r>
        </a:p>
        <a:p>
          <a:endParaRPr lang="en-US" sz="1400" baseline="0">
            <a:latin typeface="Times New Roman" panose="02020603050405020304" pitchFamily="18" charset="0"/>
            <a:cs typeface="Times New Roman" panose="02020603050405020304" pitchFamily="18" charset="0"/>
          </a:endParaRPr>
        </a:p>
        <a:p>
          <a:r>
            <a:rPr lang="en-US" sz="1400" baseline="0">
              <a:latin typeface="Times New Roman" panose="02020603050405020304" pitchFamily="18" charset="0"/>
              <a:cs typeface="Times New Roman" panose="02020603050405020304" pitchFamily="18" charset="0"/>
            </a:rPr>
            <a:t>Also confirmed by 1994 Chairman's Letter comment that in 1986 Scott Fetzer distributed $125 million to Berkshire. </a:t>
          </a:r>
          <a:endParaRPr lang="en-US" sz="1400">
            <a:latin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179294</xdr:colOff>
      <xdr:row>36</xdr:row>
      <xdr:rowOff>44823</xdr:rowOff>
    </xdr:from>
    <xdr:to>
      <xdr:col>10</xdr:col>
      <xdr:colOff>537882</xdr:colOff>
      <xdr:row>43</xdr:row>
      <xdr:rowOff>170329</xdr:rowOff>
    </xdr:to>
    <xdr:sp macro="" textlink="">
      <xdr:nvSpPr>
        <xdr:cNvPr id="2" name="TextBox 1">
          <a:extLst>
            <a:ext uri="{FF2B5EF4-FFF2-40B4-BE49-F238E27FC236}">
              <a16:creationId xmlns:a16="http://schemas.microsoft.com/office/drawing/2014/main" id="{C08CDAA8-CC5E-4FB9-8CF2-5112472BD1EA}"/>
            </a:ext>
          </a:extLst>
        </xdr:cNvPr>
        <xdr:cNvSpPr txBox="1"/>
      </xdr:nvSpPr>
      <xdr:spPr>
        <a:xfrm>
          <a:off x="4957482" y="6911788"/>
          <a:ext cx="3496235" cy="1506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a:t>
          </a:r>
          <a:r>
            <a:rPr lang="en-US" sz="1100" baseline="0"/>
            <a:t> the book I mistakenly did not deduct the treasury shares. Doing this reduces the share count and increases Berkshire's ownership, which reduces the implied valuation to $15.4bn and increases the going-in return on a pre-tax basis to 7.2%. </a:t>
          </a:r>
          <a:endParaRPr lang="en-US" sz="1100"/>
        </a:p>
      </xdr:txBody>
    </xdr:sp>
    <xdr:clientData/>
  </xdr:twoCellAnchor>
  <xdr:twoCellAnchor>
    <xdr:from>
      <xdr:col>1</xdr:col>
      <xdr:colOff>394448</xdr:colOff>
      <xdr:row>13</xdr:row>
      <xdr:rowOff>26894</xdr:rowOff>
    </xdr:from>
    <xdr:to>
      <xdr:col>1</xdr:col>
      <xdr:colOff>421342</xdr:colOff>
      <xdr:row>39</xdr:row>
      <xdr:rowOff>0</xdr:rowOff>
    </xdr:to>
    <xdr:cxnSp macro="">
      <xdr:nvCxnSpPr>
        <xdr:cNvPr id="4" name="Straight Arrow Connector 3">
          <a:extLst>
            <a:ext uri="{FF2B5EF4-FFF2-40B4-BE49-F238E27FC236}">
              <a16:creationId xmlns:a16="http://schemas.microsoft.com/office/drawing/2014/main" id="{905FA2B3-B694-42F6-801A-2A2D5D052431}"/>
            </a:ext>
          </a:extLst>
        </xdr:cNvPr>
        <xdr:cNvCxnSpPr/>
      </xdr:nvCxnSpPr>
      <xdr:spPr>
        <a:xfrm flipH="1">
          <a:off x="2483224" y="2321859"/>
          <a:ext cx="26894" cy="513677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416109</xdr:colOff>
      <xdr:row>9</xdr:row>
      <xdr:rowOff>4481</xdr:rowOff>
    </xdr:from>
    <xdr:to>
      <xdr:col>10</xdr:col>
      <xdr:colOff>418725</xdr:colOff>
      <xdr:row>15</xdr:row>
      <xdr:rowOff>19795</xdr:rowOff>
    </xdr:to>
    <xdr:pic>
      <xdr:nvPicPr>
        <xdr:cNvPr id="2" name="Picture 1">
          <a:extLst>
            <a:ext uri="{FF2B5EF4-FFF2-40B4-BE49-F238E27FC236}">
              <a16:creationId xmlns:a16="http://schemas.microsoft.com/office/drawing/2014/main" id="{8710CF9D-BB7C-4603-9898-86DEA9701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509" y="1604681"/>
          <a:ext cx="3463365" cy="1082114"/>
        </a:xfrm>
        <a:prstGeom prst="rect">
          <a:avLst/>
        </a:prstGeom>
        <a:solidFill>
          <a:schemeClr val="accent1">
            <a:lumMod val="20000"/>
            <a:lumOff val="80000"/>
          </a:schemeClr>
        </a:solidFill>
      </xdr:spPr>
    </xdr:pic>
    <xdr:clientData/>
  </xdr:twoCellAnchor>
  <xdr:twoCellAnchor editAs="oneCell">
    <xdr:from>
      <xdr:col>5</xdr:col>
      <xdr:colOff>387350</xdr:colOff>
      <xdr:row>0</xdr:row>
      <xdr:rowOff>69850</xdr:rowOff>
    </xdr:from>
    <xdr:to>
      <xdr:col>9</xdr:col>
      <xdr:colOff>125506</xdr:colOff>
      <xdr:row>8</xdr:row>
      <xdr:rowOff>88153</xdr:rowOff>
    </xdr:to>
    <xdr:pic>
      <xdr:nvPicPr>
        <xdr:cNvPr id="3" name="Picture 2">
          <a:extLst>
            <a:ext uri="{FF2B5EF4-FFF2-40B4-BE49-F238E27FC236}">
              <a16:creationId xmlns:a16="http://schemas.microsoft.com/office/drawing/2014/main" id="{EA0D240B-01C4-4A64-83FB-09D15195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69850"/>
          <a:ext cx="2176556" cy="144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411985</xdr:colOff>
      <xdr:row>15</xdr:row>
      <xdr:rowOff>124225</xdr:rowOff>
    </xdr:from>
    <xdr:to>
      <xdr:col>9</xdr:col>
      <xdr:colOff>156865</xdr:colOff>
      <xdr:row>20</xdr:row>
      <xdr:rowOff>164273</xdr:rowOff>
    </xdr:to>
    <xdr:pic>
      <xdr:nvPicPr>
        <xdr:cNvPr id="4" name="Picture 3">
          <a:extLst>
            <a:ext uri="{FF2B5EF4-FFF2-40B4-BE49-F238E27FC236}">
              <a16:creationId xmlns:a16="http://schemas.microsoft.com/office/drawing/2014/main" id="{8E614177-AA1A-4C98-96CD-99DE3B6651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00211" y="2708399"/>
          <a:ext cx="2130271" cy="901439"/>
        </a:xfrm>
        <a:prstGeom prst="rect">
          <a:avLst/>
        </a:prstGeom>
        <a:solidFill>
          <a:schemeClr val="accent1">
            <a:lumMod val="20000"/>
            <a:lumOff val="80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151804</xdr:colOff>
      <xdr:row>0</xdr:row>
      <xdr:rowOff>48220</xdr:rowOff>
    </xdr:from>
    <xdr:to>
      <xdr:col>13</xdr:col>
      <xdr:colOff>414694</xdr:colOff>
      <xdr:row>17</xdr:row>
      <xdr:rowOff>10120</xdr:rowOff>
    </xdr:to>
    <xdr:graphicFrame macro="">
      <xdr:nvGraphicFramePr>
        <xdr:cNvPr id="2" name="Chart 1">
          <a:extLst>
            <a:ext uri="{FF2B5EF4-FFF2-40B4-BE49-F238E27FC236}">
              <a16:creationId xmlns:a16="http://schemas.microsoft.com/office/drawing/2014/main" id="{2B8BA095-21F6-4D45-8B76-7C919181B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348761</xdr:colOff>
      <xdr:row>57</xdr:row>
      <xdr:rowOff>21370</xdr:rowOff>
    </xdr:from>
    <xdr:ext cx="6030790" cy="5500889"/>
    <xdr:pic>
      <xdr:nvPicPr>
        <xdr:cNvPr id="2" name="Picture 1">
          <a:extLst>
            <a:ext uri="{FF2B5EF4-FFF2-40B4-BE49-F238E27FC236}">
              <a16:creationId xmlns:a16="http://schemas.microsoft.com/office/drawing/2014/main" id="{157BAC8A-659A-49E4-B196-41EA5036E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02361" y="10445530"/>
          <a:ext cx="6030790" cy="55008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18</xdr:col>
      <xdr:colOff>205886</xdr:colOff>
      <xdr:row>40</xdr:row>
      <xdr:rowOff>29308</xdr:rowOff>
    </xdr:from>
    <xdr:ext cx="6030790" cy="5624733"/>
    <xdr:pic>
      <xdr:nvPicPr>
        <xdr:cNvPr id="2" name="Picture 1">
          <a:extLst>
            <a:ext uri="{FF2B5EF4-FFF2-40B4-BE49-F238E27FC236}">
              <a16:creationId xmlns:a16="http://schemas.microsoft.com/office/drawing/2014/main" id="{1D4B0282-D518-49A1-82A6-736C9E0DE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8686" y="7344508"/>
          <a:ext cx="6030790" cy="56247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5</xdr:col>
      <xdr:colOff>416109</xdr:colOff>
      <xdr:row>9</xdr:row>
      <xdr:rowOff>4481</xdr:rowOff>
    </xdr:from>
    <xdr:to>
      <xdr:col>10</xdr:col>
      <xdr:colOff>178527</xdr:colOff>
      <xdr:row>14</xdr:row>
      <xdr:rowOff>168881</xdr:rowOff>
    </xdr:to>
    <xdr:pic>
      <xdr:nvPicPr>
        <xdr:cNvPr id="2" name="Picture 1">
          <a:extLst>
            <a:ext uri="{FF2B5EF4-FFF2-40B4-BE49-F238E27FC236}">
              <a16:creationId xmlns:a16="http://schemas.microsoft.com/office/drawing/2014/main" id="{15989F6B-61DC-444B-B9CE-3B66D53E0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6609" y="1604681"/>
          <a:ext cx="3463365" cy="1082114"/>
        </a:xfrm>
        <a:prstGeom prst="rect">
          <a:avLst/>
        </a:prstGeom>
        <a:solidFill>
          <a:schemeClr val="accent1">
            <a:lumMod val="20000"/>
            <a:lumOff val="80000"/>
          </a:schemeClr>
        </a:solidFill>
      </xdr:spPr>
    </xdr:pic>
    <xdr:clientData/>
  </xdr:twoCellAnchor>
  <xdr:twoCellAnchor editAs="oneCell">
    <xdr:from>
      <xdr:col>5</xdr:col>
      <xdr:colOff>387350</xdr:colOff>
      <xdr:row>0</xdr:row>
      <xdr:rowOff>69850</xdr:rowOff>
    </xdr:from>
    <xdr:to>
      <xdr:col>9</xdr:col>
      <xdr:colOff>108940</xdr:colOff>
      <xdr:row>8</xdr:row>
      <xdr:rowOff>21892</xdr:rowOff>
    </xdr:to>
    <xdr:pic>
      <xdr:nvPicPr>
        <xdr:cNvPr id="3" name="Picture 2">
          <a:extLst>
            <a:ext uri="{FF2B5EF4-FFF2-40B4-BE49-F238E27FC236}">
              <a16:creationId xmlns:a16="http://schemas.microsoft.com/office/drawing/2014/main" id="{6D72F4F7-7607-4591-8FFE-A1827FBBE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69850"/>
          <a:ext cx="2176556" cy="144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425450</xdr:colOff>
      <xdr:row>15</xdr:row>
      <xdr:rowOff>57150</xdr:rowOff>
    </xdr:from>
    <xdr:to>
      <xdr:col>10</xdr:col>
      <xdr:colOff>753717</xdr:colOff>
      <xdr:row>26</xdr:row>
      <xdr:rowOff>35892</xdr:rowOff>
    </xdr:to>
    <xdr:pic>
      <xdr:nvPicPr>
        <xdr:cNvPr id="6" name="Picture 5">
          <a:extLst>
            <a:ext uri="{FF2B5EF4-FFF2-40B4-BE49-F238E27FC236}">
              <a16:creationId xmlns:a16="http://schemas.microsoft.com/office/drawing/2014/main" id="{082C5EF7-6DB2-445F-81EF-B25008ED7E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2724150"/>
          <a:ext cx="4064000" cy="2032000"/>
        </a:xfrm>
        <a:prstGeom prst="rect">
          <a:avLst/>
        </a:prstGeom>
        <a:solidFill>
          <a:schemeClr val="accent1">
            <a:lumMod val="40000"/>
            <a:lumOff val="60000"/>
          </a:schemeClr>
        </a:solidFill>
      </xdr:spPr>
    </xdr:pic>
    <xdr:clientData/>
  </xdr:twoCellAnchor>
  <xdr:twoCellAnchor editAs="oneCell">
    <xdr:from>
      <xdr:col>13</xdr:col>
      <xdr:colOff>466725</xdr:colOff>
      <xdr:row>27</xdr:row>
      <xdr:rowOff>104775</xdr:rowOff>
    </xdr:from>
    <xdr:to>
      <xdr:col>21</xdr:col>
      <xdr:colOff>533400</xdr:colOff>
      <xdr:row>55</xdr:row>
      <xdr:rowOff>86139</xdr:rowOff>
    </xdr:to>
    <xdr:pic>
      <xdr:nvPicPr>
        <xdr:cNvPr id="7" name="Picture 6">
          <a:extLst>
            <a:ext uri="{FF2B5EF4-FFF2-40B4-BE49-F238E27FC236}">
              <a16:creationId xmlns:a16="http://schemas.microsoft.com/office/drawing/2014/main" id="{FB706548-D919-4472-9BDE-CC87919AEC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53775" y="5257800"/>
          <a:ext cx="4714875" cy="5505450"/>
        </a:xfrm>
        <a:prstGeom prst="rect">
          <a:avLst/>
        </a:prstGeom>
        <a:solidFill>
          <a:schemeClr val="accent1">
            <a:lumMod val="40000"/>
            <a:lumOff val="60000"/>
          </a:schemeClr>
        </a:solidFill>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192391</xdr:colOff>
      <xdr:row>67</xdr:row>
      <xdr:rowOff>154201</xdr:rowOff>
    </xdr:from>
    <xdr:to>
      <xdr:col>11</xdr:col>
      <xdr:colOff>1785664</xdr:colOff>
      <xdr:row>84</xdr:row>
      <xdr:rowOff>57220</xdr:rowOff>
    </xdr:to>
    <xdr:graphicFrame macro="">
      <xdr:nvGraphicFramePr>
        <xdr:cNvPr id="2" name="Chart 1">
          <a:extLst>
            <a:ext uri="{FF2B5EF4-FFF2-40B4-BE49-F238E27FC236}">
              <a16:creationId xmlns:a16="http://schemas.microsoft.com/office/drawing/2014/main" id="{85D9CF3F-DC9A-4696-9076-D3FB60742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496840</xdr:colOff>
      <xdr:row>73</xdr:row>
      <xdr:rowOff>186748</xdr:rowOff>
    </xdr:from>
    <xdr:to>
      <xdr:col>15</xdr:col>
      <xdr:colOff>1203422</xdr:colOff>
      <xdr:row>90</xdr:row>
      <xdr:rowOff>181206</xdr:rowOff>
    </xdr:to>
    <xdr:graphicFrame macro="">
      <xdr:nvGraphicFramePr>
        <xdr:cNvPr id="3" name="Chart 2">
          <a:extLst>
            <a:ext uri="{FF2B5EF4-FFF2-40B4-BE49-F238E27FC236}">
              <a16:creationId xmlns:a16="http://schemas.microsoft.com/office/drawing/2014/main" id="{C353A10E-1327-4E2E-9E86-F72BFAC8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748146</xdr:colOff>
      <xdr:row>138</xdr:row>
      <xdr:rowOff>9077</xdr:rowOff>
    </xdr:from>
    <xdr:to>
      <xdr:col>9</xdr:col>
      <xdr:colOff>486719</xdr:colOff>
      <xdr:row>159</xdr:row>
      <xdr:rowOff>27709</xdr:rowOff>
    </xdr:to>
    <xdr:graphicFrame macro="">
      <xdr:nvGraphicFramePr>
        <xdr:cNvPr id="4" name="Chart 3">
          <a:extLst>
            <a:ext uri="{FF2B5EF4-FFF2-40B4-BE49-F238E27FC236}">
              <a16:creationId xmlns:a16="http://schemas.microsoft.com/office/drawing/2014/main" id="{B4344606-BCC9-4B30-AEDD-A9F5F960F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886691</xdr:colOff>
      <xdr:row>130</xdr:row>
      <xdr:rowOff>166256</xdr:rowOff>
    </xdr:from>
    <xdr:to>
      <xdr:col>19</xdr:col>
      <xdr:colOff>762000</xdr:colOff>
      <xdr:row>152</xdr:row>
      <xdr:rowOff>104900</xdr:rowOff>
    </xdr:to>
    <xdr:graphicFrame macro="">
      <xdr:nvGraphicFramePr>
        <xdr:cNvPr id="5" name="Chart 4">
          <a:extLst>
            <a:ext uri="{FF2B5EF4-FFF2-40B4-BE49-F238E27FC236}">
              <a16:creationId xmlns:a16="http://schemas.microsoft.com/office/drawing/2014/main" id="{FFF864B8-412B-4B84-959C-27E48DBB9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207818</xdr:colOff>
      <xdr:row>134</xdr:row>
      <xdr:rowOff>180109</xdr:rowOff>
    </xdr:from>
    <xdr:to>
      <xdr:col>9</xdr:col>
      <xdr:colOff>976688</xdr:colOff>
      <xdr:row>136</xdr:row>
      <xdr:rowOff>83127</xdr:rowOff>
    </xdr:to>
    <xdr:pic>
      <xdr:nvPicPr>
        <xdr:cNvPr id="7" name="Picture 6">
          <a:extLst>
            <a:ext uri="{FF2B5EF4-FFF2-40B4-BE49-F238E27FC236}">
              <a16:creationId xmlns:a16="http://schemas.microsoft.com/office/drawing/2014/main" id="{8732D970-AD5C-475D-AD35-61DEC516C4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72400" y="26198945"/>
          <a:ext cx="2708506" cy="29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99392</xdr:colOff>
      <xdr:row>60</xdr:row>
      <xdr:rowOff>140804</xdr:rowOff>
    </xdr:from>
    <xdr:to>
      <xdr:col>42</xdr:col>
      <xdr:colOff>338285</xdr:colOff>
      <xdr:row>64</xdr:row>
      <xdr:rowOff>117612</xdr:rowOff>
    </xdr:to>
    <xdr:pic>
      <xdr:nvPicPr>
        <xdr:cNvPr id="2" name="Picture 1">
          <a:extLst>
            <a:ext uri="{FF2B5EF4-FFF2-40B4-BE49-F238E27FC236}">
              <a16:creationId xmlns:a16="http://schemas.microsoft.com/office/drawing/2014/main" id="{1477CFBC-94F6-4C60-B52F-FDB5178C3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1517" y="10323029"/>
          <a:ext cx="8807311" cy="77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418353</xdr:colOff>
      <xdr:row>7</xdr:row>
      <xdr:rowOff>164352</xdr:rowOff>
    </xdr:from>
    <xdr:to>
      <xdr:col>18</xdr:col>
      <xdr:colOff>574116</xdr:colOff>
      <xdr:row>32</xdr:row>
      <xdr:rowOff>127861</xdr:rowOff>
    </xdr:to>
    <xdr:pic>
      <xdr:nvPicPr>
        <xdr:cNvPr id="2" name="Picture 1">
          <a:extLst>
            <a:ext uri="{FF2B5EF4-FFF2-40B4-BE49-F238E27FC236}">
              <a16:creationId xmlns:a16="http://schemas.microsoft.com/office/drawing/2014/main" id="{7A35EE81-9DE9-4E73-A352-1A12835F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18824" y="1023470"/>
          <a:ext cx="5056468" cy="4531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388909</xdr:colOff>
      <xdr:row>7</xdr:row>
      <xdr:rowOff>82088</xdr:rowOff>
    </xdr:from>
    <xdr:to>
      <xdr:col>33</xdr:col>
      <xdr:colOff>46009</xdr:colOff>
      <xdr:row>47</xdr:row>
      <xdr:rowOff>40676</xdr:rowOff>
    </xdr:to>
    <xdr:pic>
      <xdr:nvPicPr>
        <xdr:cNvPr id="4" name="Picture 3">
          <a:extLst>
            <a:ext uri="{FF2B5EF4-FFF2-40B4-BE49-F238E27FC236}">
              <a16:creationId xmlns:a16="http://schemas.microsoft.com/office/drawing/2014/main" id="{E57EBCE5-A39F-484E-BCBA-0244334BB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2852" y="1355717"/>
          <a:ext cx="11707586" cy="8166416"/>
        </a:xfrm>
        <a:prstGeom prst="rect">
          <a:avLst/>
        </a:prstGeom>
        <a:solidFill>
          <a:schemeClr val="accent6">
            <a:lumMod val="40000"/>
            <a:lumOff val="60000"/>
          </a:schemeClr>
        </a:solidFill>
      </xdr:spPr>
    </xdr:pic>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205153</xdr:colOff>
      <xdr:row>0</xdr:row>
      <xdr:rowOff>117231</xdr:rowOff>
    </xdr:from>
    <xdr:to>
      <xdr:col>12</xdr:col>
      <xdr:colOff>373673</xdr:colOff>
      <xdr:row>4</xdr:row>
      <xdr:rowOff>183173</xdr:rowOff>
    </xdr:to>
    <xdr:sp macro="" textlink="">
      <xdr:nvSpPr>
        <xdr:cNvPr id="5" name="TextBox 4">
          <a:extLst>
            <a:ext uri="{FF2B5EF4-FFF2-40B4-BE49-F238E27FC236}">
              <a16:creationId xmlns:a16="http://schemas.microsoft.com/office/drawing/2014/main" id="{008A2D36-DDE2-44AD-8D30-18D1C44278A5}"/>
            </a:ext>
          </a:extLst>
        </xdr:cNvPr>
        <xdr:cNvSpPr txBox="1"/>
      </xdr:nvSpPr>
      <xdr:spPr>
        <a:xfrm>
          <a:off x="5627076" y="117231"/>
          <a:ext cx="4425462" cy="827942"/>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Berkshire was buying into a platform in</a:t>
          </a:r>
          <a:r>
            <a:rPr lang="en-US" sz="1100" baseline="0"/>
            <a:t> which it could invest additional equity at almost-certain rates of return ~12%. Plus value of deferred taxes. </a:t>
          </a:r>
        </a:p>
        <a:p>
          <a:endParaRPr lang="en-US" sz="1100" baseline="0"/>
        </a:p>
        <a:p>
          <a:r>
            <a:rPr lang="en-US" sz="1100" baseline="0"/>
            <a:t>Importance of deregulation - PUCHA repeal. </a:t>
          </a:r>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416109</xdr:colOff>
      <xdr:row>9</xdr:row>
      <xdr:rowOff>4481</xdr:rowOff>
    </xdr:from>
    <xdr:to>
      <xdr:col>11</xdr:col>
      <xdr:colOff>332999</xdr:colOff>
      <xdr:row>14</xdr:row>
      <xdr:rowOff>162670</xdr:rowOff>
    </xdr:to>
    <xdr:pic>
      <xdr:nvPicPr>
        <xdr:cNvPr id="2" name="Picture 1">
          <a:extLst>
            <a:ext uri="{FF2B5EF4-FFF2-40B4-BE49-F238E27FC236}">
              <a16:creationId xmlns:a16="http://schemas.microsoft.com/office/drawing/2014/main" id="{B24D0BEA-5613-49FE-A4D4-2038F25827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6609" y="1604681"/>
          <a:ext cx="3463365" cy="1082114"/>
        </a:xfrm>
        <a:prstGeom prst="rect">
          <a:avLst/>
        </a:prstGeom>
        <a:solidFill>
          <a:schemeClr val="accent1">
            <a:lumMod val="20000"/>
            <a:lumOff val="80000"/>
          </a:schemeClr>
        </a:solidFill>
      </xdr:spPr>
    </xdr:pic>
    <xdr:clientData/>
  </xdr:twoCellAnchor>
  <xdr:twoCellAnchor editAs="oneCell">
    <xdr:from>
      <xdr:col>6</xdr:col>
      <xdr:colOff>387350</xdr:colOff>
      <xdr:row>0</xdr:row>
      <xdr:rowOff>69850</xdr:rowOff>
    </xdr:from>
    <xdr:to>
      <xdr:col>10</xdr:col>
      <xdr:colOff>115981</xdr:colOff>
      <xdr:row>8</xdr:row>
      <xdr:rowOff>11953</xdr:rowOff>
    </xdr:to>
    <xdr:pic>
      <xdr:nvPicPr>
        <xdr:cNvPr id="3" name="Picture 2">
          <a:extLst>
            <a:ext uri="{FF2B5EF4-FFF2-40B4-BE49-F238E27FC236}">
              <a16:creationId xmlns:a16="http://schemas.microsoft.com/office/drawing/2014/main" id="{C656B41A-9130-4029-81EA-FF838252A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69850"/>
          <a:ext cx="2176556" cy="144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425450</xdr:colOff>
      <xdr:row>15</xdr:row>
      <xdr:rowOff>57150</xdr:rowOff>
    </xdr:from>
    <xdr:to>
      <xdr:col>12</xdr:col>
      <xdr:colOff>95250</xdr:colOff>
      <xdr:row>26</xdr:row>
      <xdr:rowOff>22225</xdr:rowOff>
    </xdr:to>
    <xdr:pic>
      <xdr:nvPicPr>
        <xdr:cNvPr id="4" name="Picture 3">
          <a:extLst>
            <a:ext uri="{FF2B5EF4-FFF2-40B4-BE49-F238E27FC236}">
              <a16:creationId xmlns:a16="http://schemas.microsoft.com/office/drawing/2014/main" id="{A26DC7AD-983E-4C2A-9139-0C847A9BB3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2724150"/>
          <a:ext cx="4064000" cy="2032000"/>
        </a:xfrm>
        <a:prstGeom prst="rect">
          <a:avLst/>
        </a:prstGeom>
        <a:solidFill>
          <a:schemeClr val="accent1">
            <a:lumMod val="40000"/>
            <a:lumOff val="60000"/>
          </a:schemeClr>
        </a:solidFill>
      </xdr:spPr>
    </xdr:pic>
    <xdr:clientData/>
  </xdr:twoCellAnchor>
  <xdr:twoCellAnchor editAs="oneCell">
    <xdr:from>
      <xdr:col>11</xdr:col>
      <xdr:colOff>723900</xdr:colOff>
      <xdr:row>48</xdr:row>
      <xdr:rowOff>38100</xdr:rowOff>
    </xdr:from>
    <xdr:to>
      <xdr:col>20</xdr:col>
      <xdr:colOff>114300</xdr:colOff>
      <xdr:row>84</xdr:row>
      <xdr:rowOff>9525</xdr:rowOff>
    </xdr:to>
    <xdr:pic>
      <xdr:nvPicPr>
        <xdr:cNvPr id="6" name="Picture 5">
          <a:extLst>
            <a:ext uri="{FF2B5EF4-FFF2-40B4-BE49-F238E27FC236}">
              <a16:creationId xmlns:a16="http://schemas.microsoft.com/office/drawing/2014/main" id="{FD13C419-7C68-4BCD-8C57-5E0B4EC0BC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39375" y="9696450"/>
          <a:ext cx="5019675"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45720</xdr:colOff>
      <xdr:row>1</xdr:row>
      <xdr:rowOff>91440</xdr:rowOff>
    </xdr:from>
    <xdr:to>
      <xdr:col>20</xdr:col>
      <xdr:colOff>556260</xdr:colOff>
      <xdr:row>55</xdr:row>
      <xdr:rowOff>182880</xdr:rowOff>
    </xdr:to>
    <xdr:pic>
      <xdr:nvPicPr>
        <xdr:cNvPr id="3" name="Picture 2">
          <a:extLst>
            <a:ext uri="{FF2B5EF4-FFF2-40B4-BE49-F238E27FC236}">
              <a16:creationId xmlns:a16="http://schemas.microsoft.com/office/drawing/2014/main" id="{132C8F55-2CE2-4E53-A871-4A3E1653C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7220" y="289560"/>
          <a:ext cx="10507980" cy="9829800"/>
        </a:xfrm>
        <a:prstGeom prst="rect">
          <a:avLst/>
        </a:prstGeom>
        <a:solidFill>
          <a:schemeClr val="bg2"/>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62506</xdr:colOff>
      <xdr:row>0</xdr:row>
      <xdr:rowOff>83940</xdr:rowOff>
    </xdr:from>
    <xdr:to>
      <xdr:col>15</xdr:col>
      <xdr:colOff>83937</xdr:colOff>
      <xdr:row>16</xdr:row>
      <xdr:rowOff>45840</xdr:rowOff>
    </xdr:to>
    <xdr:graphicFrame macro="">
      <xdr:nvGraphicFramePr>
        <xdr:cNvPr id="2" name="Chart 1">
          <a:extLst>
            <a:ext uri="{FF2B5EF4-FFF2-40B4-BE49-F238E27FC236}">
              <a16:creationId xmlns:a16="http://schemas.microsoft.com/office/drawing/2014/main" id="{E3D2A3DC-ECA2-4B36-A24A-63F032A46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35330</xdr:colOff>
      <xdr:row>42</xdr:row>
      <xdr:rowOff>162882</xdr:rowOff>
    </xdr:from>
    <xdr:to>
      <xdr:col>15</xdr:col>
      <xdr:colOff>5512</xdr:colOff>
      <xdr:row>58</xdr:row>
      <xdr:rowOff>182761</xdr:rowOff>
    </xdr:to>
    <xdr:graphicFrame macro="">
      <xdr:nvGraphicFramePr>
        <xdr:cNvPr id="3" name="Chart 2">
          <a:extLst>
            <a:ext uri="{FF2B5EF4-FFF2-40B4-BE49-F238E27FC236}">
              <a16:creationId xmlns:a16="http://schemas.microsoft.com/office/drawing/2014/main" id="{6933647C-2038-4A4C-82F6-963EBDE09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65487</xdr:colOff>
      <xdr:row>21</xdr:row>
      <xdr:rowOff>107156</xdr:rowOff>
    </xdr:from>
    <xdr:to>
      <xdr:col>15</xdr:col>
      <xdr:colOff>35669</xdr:colOff>
      <xdr:row>37</xdr:row>
      <xdr:rowOff>127034</xdr:rowOff>
    </xdr:to>
    <xdr:graphicFrame macro="">
      <xdr:nvGraphicFramePr>
        <xdr:cNvPr id="4" name="Chart 3">
          <a:extLst>
            <a:ext uri="{FF2B5EF4-FFF2-40B4-BE49-F238E27FC236}">
              <a16:creationId xmlns:a16="http://schemas.microsoft.com/office/drawing/2014/main" id="{9168C8C8-2C3E-40C0-B347-36F77B35E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358645</xdr:colOff>
      <xdr:row>170</xdr:row>
      <xdr:rowOff>15654</xdr:rowOff>
    </xdr:from>
    <xdr:to>
      <xdr:col>8</xdr:col>
      <xdr:colOff>192390</xdr:colOff>
      <xdr:row>186</xdr:row>
      <xdr:rowOff>112636</xdr:rowOff>
    </xdr:to>
    <xdr:graphicFrame macro="">
      <xdr:nvGraphicFramePr>
        <xdr:cNvPr id="2" name="Chart 1">
          <a:extLst>
            <a:ext uri="{FF2B5EF4-FFF2-40B4-BE49-F238E27FC236}">
              <a16:creationId xmlns:a16="http://schemas.microsoft.com/office/drawing/2014/main" id="{4DD88F09-C543-4570-B927-ACA4D1118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330586</xdr:colOff>
      <xdr:row>170</xdr:row>
      <xdr:rowOff>89767</xdr:rowOff>
    </xdr:from>
    <xdr:to>
      <xdr:col>14</xdr:col>
      <xdr:colOff>205895</xdr:colOff>
      <xdr:row>186</xdr:row>
      <xdr:rowOff>186749</xdr:rowOff>
    </xdr:to>
    <xdr:graphicFrame macro="">
      <xdr:nvGraphicFramePr>
        <xdr:cNvPr id="3" name="Chart 2">
          <a:extLst>
            <a:ext uri="{FF2B5EF4-FFF2-40B4-BE49-F238E27FC236}">
              <a16:creationId xmlns:a16="http://schemas.microsoft.com/office/drawing/2014/main" id="{C15A0C78-3CF8-4926-9824-D8ACC7C2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927648</xdr:colOff>
      <xdr:row>113</xdr:row>
      <xdr:rowOff>134886</xdr:rowOff>
    </xdr:from>
    <xdr:to>
      <xdr:col>20</xdr:col>
      <xdr:colOff>543091</xdr:colOff>
      <xdr:row>124</xdr:row>
      <xdr:rowOff>91437</xdr:rowOff>
    </xdr:to>
    <xdr:pic>
      <xdr:nvPicPr>
        <xdr:cNvPr id="2" name="Picture 1">
          <a:extLst>
            <a:ext uri="{FF2B5EF4-FFF2-40B4-BE49-F238E27FC236}">
              <a16:creationId xmlns:a16="http://schemas.microsoft.com/office/drawing/2014/main" id="{37165265-E066-4E51-B2CB-EB9BDDE14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648" y="9916647"/>
          <a:ext cx="8850552" cy="2143160"/>
        </a:xfrm>
        <a:prstGeom prst="rect">
          <a:avLst/>
        </a:prstGeom>
        <a:solidFill>
          <a:schemeClr val="accent6">
            <a:lumMod val="20000"/>
            <a:lumOff val="80000"/>
          </a:schemeClr>
        </a:solidFill>
      </xdr:spPr>
    </xdr:pic>
    <xdr:clientData/>
  </xdr:twoCellAnchor>
  <xdr:twoCellAnchor editAs="oneCell">
    <xdr:from>
      <xdr:col>26</xdr:col>
      <xdr:colOff>182217</xdr:colOff>
      <xdr:row>95</xdr:row>
      <xdr:rowOff>74544</xdr:rowOff>
    </xdr:from>
    <xdr:to>
      <xdr:col>31</xdr:col>
      <xdr:colOff>320951</xdr:colOff>
      <xdr:row>111</xdr:row>
      <xdr:rowOff>159937</xdr:rowOff>
    </xdr:to>
    <xdr:pic>
      <xdr:nvPicPr>
        <xdr:cNvPr id="3" name="Picture 2">
          <a:extLst>
            <a:ext uri="{FF2B5EF4-FFF2-40B4-BE49-F238E27FC236}">
              <a16:creationId xmlns:a16="http://schemas.microsoft.com/office/drawing/2014/main" id="{11F6C446-BDF8-4EA8-A1B7-D94F70137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8195" y="7578587"/>
          <a:ext cx="3865908" cy="281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22093</xdr:colOff>
      <xdr:row>112</xdr:row>
      <xdr:rowOff>195300</xdr:rowOff>
    </xdr:from>
    <xdr:to>
      <xdr:col>33</xdr:col>
      <xdr:colOff>229998</xdr:colOff>
      <xdr:row>123</xdr:row>
      <xdr:rowOff>153409</xdr:rowOff>
    </xdr:to>
    <xdr:pic>
      <xdr:nvPicPr>
        <xdr:cNvPr id="2" name="Picture 1">
          <a:extLst>
            <a:ext uri="{FF2B5EF4-FFF2-40B4-BE49-F238E27FC236}">
              <a16:creationId xmlns:a16="http://schemas.microsoft.com/office/drawing/2014/main" id="{F5F66346-1D42-44CC-B6B4-03B705B77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2564" y="19110829"/>
          <a:ext cx="9073999" cy="2127569"/>
        </a:xfrm>
        <a:prstGeom prst="rect">
          <a:avLst/>
        </a:prstGeom>
        <a:solidFill>
          <a:schemeClr val="accent6">
            <a:lumMod val="20000"/>
            <a:lumOff val="80000"/>
          </a:schemeClr>
        </a:solid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1082040</xdr:colOff>
      <xdr:row>101</xdr:row>
      <xdr:rowOff>190500</xdr:rowOff>
    </xdr:from>
    <xdr:to>
      <xdr:col>8</xdr:col>
      <xdr:colOff>466581</xdr:colOff>
      <xdr:row>116</xdr:row>
      <xdr:rowOff>99060</xdr:rowOff>
    </xdr:to>
    <xdr:pic>
      <xdr:nvPicPr>
        <xdr:cNvPr id="4" name="Picture 3">
          <a:extLst>
            <a:ext uri="{FF2B5EF4-FFF2-40B4-BE49-F238E27FC236}">
              <a16:creationId xmlns:a16="http://schemas.microsoft.com/office/drawing/2014/main" id="{913CE30F-BC2A-4FE6-991F-665F65511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40" y="16725900"/>
          <a:ext cx="7995141" cy="2880360"/>
        </a:xfrm>
        <a:prstGeom prst="rect">
          <a:avLst/>
        </a:prstGeom>
        <a:solidFill>
          <a:schemeClr val="accent2">
            <a:lumMod val="20000"/>
            <a:lumOff val="80000"/>
          </a:schemeClr>
        </a:solid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12</xdr:col>
      <xdr:colOff>79402</xdr:colOff>
      <xdr:row>1</xdr:row>
      <xdr:rowOff>59184</xdr:rowOff>
    </xdr:from>
    <xdr:to>
      <xdr:col>17</xdr:col>
      <xdr:colOff>313765</xdr:colOff>
      <xdr:row>9</xdr:row>
      <xdr:rowOff>70194</xdr:rowOff>
    </xdr:to>
    <xdr:pic>
      <xdr:nvPicPr>
        <xdr:cNvPr id="3" name="Picture 2">
          <a:extLst>
            <a:ext uri="{FF2B5EF4-FFF2-40B4-BE49-F238E27FC236}">
              <a16:creationId xmlns:a16="http://schemas.microsoft.com/office/drawing/2014/main" id="{0EF3F2DF-2B16-4A33-AF86-94BF112B3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01755" y="238478"/>
          <a:ext cx="3297304" cy="1803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272062</xdr:colOff>
      <xdr:row>10</xdr:row>
      <xdr:rowOff>30868</xdr:rowOff>
    </xdr:from>
    <xdr:to>
      <xdr:col>19</xdr:col>
      <xdr:colOff>22412</xdr:colOff>
      <xdr:row>28</xdr:row>
      <xdr:rowOff>149086</xdr:rowOff>
    </xdr:to>
    <xdr:sp macro="" textlink="">
      <xdr:nvSpPr>
        <xdr:cNvPr id="4" name="TextBox 3">
          <a:extLst>
            <a:ext uri="{FF2B5EF4-FFF2-40B4-BE49-F238E27FC236}">
              <a16:creationId xmlns:a16="http://schemas.microsoft.com/office/drawing/2014/main" id="{B30299A8-868B-47A2-9DD4-45FDFABC26DE}"/>
            </a:ext>
          </a:extLst>
        </xdr:cNvPr>
        <xdr:cNvSpPr txBox="1"/>
      </xdr:nvSpPr>
      <xdr:spPr>
        <a:xfrm>
          <a:off x="7251540" y="2162259"/>
          <a:ext cx="4002089" cy="33153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Times New Roman" panose="02020603050405020304" pitchFamily="18" charset="0"/>
              <a:cs typeface="Times New Roman" panose="02020603050405020304" pitchFamily="18" charset="0"/>
            </a:rPr>
            <a:t>IF</a:t>
          </a:r>
          <a:r>
            <a:rPr lang="en-US" sz="900">
              <a:latin typeface="Times New Roman" panose="02020603050405020304" pitchFamily="18" charset="0"/>
              <a:cs typeface="Times New Roman" panose="02020603050405020304" pitchFamily="18" charset="0"/>
            </a:rPr>
            <a:t> float is stable and doesn't decline,</a:t>
          </a:r>
          <a:r>
            <a:rPr lang="en-US" sz="900" baseline="0">
              <a:latin typeface="Times New Roman" panose="02020603050405020304" pitchFamily="18" charset="0"/>
              <a:cs typeface="Times New Roman" panose="02020603050405020304" pitchFamily="18" charset="0"/>
            </a:rPr>
            <a:t> </a:t>
          </a:r>
          <a:r>
            <a:rPr lang="en-US" sz="900" b="1" baseline="0">
              <a:latin typeface="Times New Roman" panose="02020603050405020304" pitchFamily="18" charset="0"/>
              <a:cs typeface="Times New Roman" panose="02020603050405020304" pitchFamily="18" charset="0"/>
            </a:rPr>
            <a:t>AND IF </a:t>
          </a:r>
          <a:r>
            <a:rPr lang="en-US" sz="900" baseline="0">
              <a:latin typeface="Times New Roman" panose="02020603050405020304" pitchFamily="18" charset="0"/>
              <a:cs typeface="Times New Roman" panose="02020603050405020304" pitchFamily="18" charset="0"/>
            </a:rPr>
            <a:t>it does not cost anything, it functions essentially like equity.</a:t>
          </a:r>
        </a:p>
        <a:p>
          <a:endParaRPr lang="en-US" sz="900" baseline="0">
            <a:latin typeface="Times New Roman" panose="02020603050405020304" pitchFamily="18" charset="0"/>
            <a:cs typeface="Times New Roman" panose="02020603050405020304" pitchFamily="18" charset="0"/>
          </a:endParaRPr>
        </a:p>
        <a:p>
          <a:r>
            <a:rPr lang="en-US" sz="900" baseline="0">
              <a:latin typeface="Times New Roman" panose="02020603050405020304" pitchFamily="18" charset="0"/>
              <a:cs typeface="Times New Roman" panose="02020603050405020304" pitchFamily="18" charset="0"/>
            </a:rPr>
            <a:t>However, float has the upside of 1) the ability to grow without additional capital requirements (i.e. "free"); and 2) the ability to produce a negative cost, i.e. underwriting profit. </a:t>
          </a:r>
        </a:p>
        <a:p>
          <a:endParaRPr lang="en-US" sz="900" baseline="0">
            <a:latin typeface="Times New Roman" panose="02020603050405020304" pitchFamily="18" charset="0"/>
            <a:cs typeface="Times New Roman" panose="02020603050405020304" pitchFamily="18" charset="0"/>
          </a:endParaRPr>
        </a:p>
        <a:p>
          <a:r>
            <a:rPr lang="en-US" sz="900" baseline="0">
              <a:latin typeface="Times New Roman" panose="02020603050405020304" pitchFamily="18" charset="0"/>
              <a:cs typeface="Times New Roman" panose="02020603050405020304" pitchFamily="18" charset="0"/>
            </a:rPr>
            <a:t>Equity is capital "lent" to the business by owners, without repayment terms. Essentially the same with float. </a:t>
          </a:r>
        </a:p>
        <a:p>
          <a:endParaRPr lang="en-US" sz="900" baseline="0">
            <a:latin typeface="Times New Roman" panose="02020603050405020304" pitchFamily="18" charset="0"/>
            <a:cs typeface="Times New Roman" panose="02020603050405020304" pitchFamily="18" charset="0"/>
          </a:endParaRPr>
        </a:p>
        <a:p>
          <a:r>
            <a:rPr lang="en-US" sz="900" baseline="0">
              <a:latin typeface="Times New Roman" panose="02020603050405020304" pitchFamily="18" charset="0"/>
              <a:cs typeface="Times New Roman" panose="02020603050405020304" pitchFamily="18" charset="0"/>
            </a:rPr>
            <a:t>At a zero growth and zero cost (i.e. breakeven underwriting), float and equity should produce the same result.</a:t>
          </a:r>
        </a:p>
        <a:p>
          <a:endParaRPr lang="en-US" sz="900" baseline="0">
            <a:latin typeface="Times New Roman" panose="02020603050405020304" pitchFamily="18" charset="0"/>
            <a:cs typeface="Times New Roman" panose="02020603050405020304" pitchFamily="18" charset="0"/>
          </a:endParaRPr>
        </a:p>
        <a:p>
          <a:r>
            <a:rPr lang="en-US" sz="900" baseline="0">
              <a:latin typeface="Times New Roman" panose="02020603050405020304" pitchFamily="18" charset="0"/>
              <a:cs typeface="Times New Roman" panose="02020603050405020304" pitchFamily="18" charset="0"/>
            </a:rPr>
            <a:t>Model a "modest" decline in float - Buffett's 'worst case' scenario. A 3% annual decline in float is offset by a 2.25% underwriting profit (i.e. 97.5 combined ratio) - very acheivable. </a:t>
          </a:r>
        </a:p>
        <a:p>
          <a:endParaRPr lang="en-US" sz="900" baseline="0">
            <a:latin typeface="Times New Roman" panose="02020603050405020304" pitchFamily="18" charset="0"/>
            <a:cs typeface="Times New Roman" panose="02020603050405020304" pitchFamily="18" charset="0"/>
          </a:endParaRPr>
        </a:p>
        <a:p>
          <a:r>
            <a:rPr lang="en-US" sz="900">
              <a:latin typeface="Times New Roman" panose="02020603050405020304" pitchFamily="18" charset="0"/>
              <a:cs typeface="Times New Roman" panose="02020603050405020304" pitchFamily="18" charset="0"/>
            </a:rPr>
            <a:t>Definition of equity, broadly</a:t>
          </a:r>
          <a:r>
            <a:rPr lang="en-US" sz="900" baseline="0">
              <a:latin typeface="Times New Roman" panose="02020603050405020304" pitchFamily="18" charset="0"/>
              <a:cs typeface="Times New Roman" panose="02020603050405020304" pitchFamily="18" charset="0"/>
            </a:rPr>
            <a:t> defined, as no explicit repayment terms and no explicit interest rate? Sub categories of "owners' equity" as "forever with no repayment terms" and "quasi-equity" as "not legally belonging to owners but functioning as such due to very long repayment window"? No different than a permanent situation of negative working capital providing capital to a company (early Walmart days or current Amazon, etc.).</a:t>
          </a:r>
          <a:endParaRPr lang="en-US" sz="900">
            <a:latin typeface="Times New Roman" panose="02020603050405020304" pitchFamily="18" charset="0"/>
            <a:cs typeface="Times New Roman" panose="02020603050405020304" pitchFamily="18" charset="0"/>
          </a:endParaRPr>
        </a:p>
      </xdr:txBody>
    </xdr:sp>
    <xdr:clientData/>
  </xdr:twoCellAnchor>
  <xdr:twoCellAnchor>
    <xdr:from>
      <xdr:col>6</xdr:col>
      <xdr:colOff>34193</xdr:colOff>
      <xdr:row>19</xdr:row>
      <xdr:rowOff>53730</xdr:rowOff>
    </xdr:from>
    <xdr:to>
      <xdr:col>8</xdr:col>
      <xdr:colOff>14654</xdr:colOff>
      <xdr:row>19</xdr:row>
      <xdr:rowOff>53731</xdr:rowOff>
    </xdr:to>
    <xdr:cxnSp macro="">
      <xdr:nvCxnSpPr>
        <xdr:cNvPr id="6" name="Straight Arrow Connector 5">
          <a:extLst>
            <a:ext uri="{FF2B5EF4-FFF2-40B4-BE49-F238E27FC236}">
              <a16:creationId xmlns:a16="http://schemas.microsoft.com/office/drawing/2014/main" id="{0DF235C1-947D-4802-A2E8-016E2201A1CB}"/>
            </a:ext>
          </a:extLst>
        </xdr:cNvPr>
        <xdr:cNvCxnSpPr/>
      </xdr:nvCxnSpPr>
      <xdr:spPr>
        <a:xfrm>
          <a:off x="3980962" y="3585307"/>
          <a:ext cx="1201615"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editAs="oneCell">
    <xdr:from>
      <xdr:col>13</xdr:col>
      <xdr:colOff>520700</xdr:colOff>
      <xdr:row>1</xdr:row>
      <xdr:rowOff>109168</xdr:rowOff>
    </xdr:from>
    <xdr:to>
      <xdr:col>24</xdr:col>
      <xdr:colOff>241301</xdr:colOff>
      <xdr:row>18</xdr:row>
      <xdr:rowOff>176199</xdr:rowOff>
    </xdr:to>
    <xdr:pic>
      <xdr:nvPicPr>
        <xdr:cNvPr id="2" name="Picture 1">
          <a:extLst>
            <a:ext uri="{FF2B5EF4-FFF2-40B4-BE49-F238E27FC236}">
              <a16:creationId xmlns:a16="http://schemas.microsoft.com/office/drawing/2014/main" id="{C81673BC-E383-48C7-8F26-12D63601D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5650" y="286968"/>
          <a:ext cx="6426200" cy="281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95250</xdr:colOff>
      <xdr:row>22</xdr:row>
      <xdr:rowOff>107950</xdr:rowOff>
    </xdr:from>
    <xdr:to>
      <xdr:col>18</xdr:col>
      <xdr:colOff>95250</xdr:colOff>
      <xdr:row>28</xdr:row>
      <xdr:rowOff>0</xdr:rowOff>
    </xdr:to>
    <xdr:sp macro="" textlink="">
      <xdr:nvSpPr>
        <xdr:cNvPr id="3" name="TextBox 2">
          <a:extLst>
            <a:ext uri="{FF2B5EF4-FFF2-40B4-BE49-F238E27FC236}">
              <a16:creationId xmlns:a16="http://schemas.microsoft.com/office/drawing/2014/main" id="{EA02C726-DCD0-4C84-B869-2E89333DCFF4}"/>
            </a:ext>
          </a:extLst>
        </xdr:cNvPr>
        <xdr:cNvSpPr txBox="1"/>
      </xdr:nvSpPr>
      <xdr:spPr>
        <a:xfrm>
          <a:off x="5245100" y="2425700"/>
          <a:ext cx="3048000" cy="965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The</a:t>
          </a:r>
          <a:r>
            <a:rPr lang="en-US" sz="1100" baseline="0">
              <a:latin typeface="Times New Roman" panose="02020603050405020304" pitchFamily="18" charset="0"/>
              <a:cs typeface="Times New Roman" panose="02020603050405020304" pitchFamily="18" charset="0"/>
            </a:rPr>
            <a:t> estimated price/to value came down closer to 1:1, using 10x pre-tax op. earnings. The estimated 1.79x price/book is also consistent with Buffett's comments that intrinsic value "exceeded by a significant margin" book value. </a:t>
          </a:r>
          <a:endParaRPr lang="en-US"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298450</xdr:colOff>
      <xdr:row>37</xdr:row>
      <xdr:rowOff>146050</xdr:rowOff>
    </xdr:from>
    <xdr:to>
      <xdr:col>8</xdr:col>
      <xdr:colOff>184407</xdr:colOff>
      <xdr:row>64</xdr:row>
      <xdr:rowOff>152400</xdr:rowOff>
    </xdr:to>
    <xdr:pic>
      <xdr:nvPicPr>
        <xdr:cNvPr id="4" name="Picture 3">
          <a:extLst>
            <a:ext uri="{FF2B5EF4-FFF2-40B4-BE49-F238E27FC236}">
              <a16:creationId xmlns:a16="http://schemas.microsoft.com/office/drawing/2014/main" id="{9A1C19E2-5FBA-4CF9-8A2A-3BF58DF88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450" y="5137150"/>
          <a:ext cx="9791700" cy="4806950"/>
        </a:xfrm>
        <a:prstGeom prst="rect">
          <a:avLst/>
        </a:prstGeom>
        <a:solidFill>
          <a:schemeClr val="accent3">
            <a:lumMod val="20000"/>
            <a:lumOff val="80000"/>
          </a:schemeClr>
        </a:solidFill>
      </xdr:spPr>
    </xdr:pic>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480392</xdr:colOff>
      <xdr:row>10</xdr:row>
      <xdr:rowOff>73715</xdr:rowOff>
    </xdr:from>
    <xdr:to>
      <xdr:col>19</xdr:col>
      <xdr:colOff>450574</xdr:colOff>
      <xdr:row>26</xdr:row>
      <xdr:rowOff>176420</xdr:rowOff>
    </xdr:to>
    <xdr:graphicFrame macro="">
      <xdr:nvGraphicFramePr>
        <xdr:cNvPr id="2" name="Chart 1">
          <a:extLst>
            <a:ext uri="{FF2B5EF4-FFF2-40B4-BE49-F238E27FC236}">
              <a16:creationId xmlns:a16="http://schemas.microsoft.com/office/drawing/2014/main" id="{D4B463C2-FD91-48E7-ABE6-E592F4F19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96079</xdr:colOff>
      <xdr:row>41</xdr:row>
      <xdr:rowOff>181744</xdr:rowOff>
    </xdr:from>
    <xdr:to>
      <xdr:col>8</xdr:col>
      <xdr:colOff>570802</xdr:colOff>
      <xdr:row>55</xdr:row>
      <xdr:rowOff>95677</xdr:rowOff>
    </xdr:to>
    <xdr:pic>
      <xdr:nvPicPr>
        <xdr:cNvPr id="2" name="Picture 1">
          <a:extLst>
            <a:ext uri="{FF2B5EF4-FFF2-40B4-BE49-F238E27FC236}">
              <a16:creationId xmlns:a16="http://schemas.microsoft.com/office/drawing/2014/main" id="{0D64B73F-4B9B-4B3D-B566-A09D0277C7A7}"/>
            </a:ext>
          </a:extLst>
        </xdr:cNvPr>
        <xdr:cNvPicPr>
          <a:picLocks noChangeAspect="1"/>
        </xdr:cNvPicPr>
      </xdr:nvPicPr>
      <xdr:blipFill>
        <a:blip xmlns:r="http://schemas.openxmlformats.org/officeDocument/2006/relationships" r:embed="rId1"/>
        <a:stretch>
          <a:fillRect/>
        </a:stretch>
      </xdr:blipFill>
      <xdr:spPr>
        <a:xfrm>
          <a:off x="96079" y="5760673"/>
          <a:ext cx="8922037" cy="2733333"/>
        </a:xfrm>
        <a:prstGeom prst="rect">
          <a:avLst/>
        </a:prstGeom>
        <a:solidFill>
          <a:schemeClr val="accent1">
            <a:lumMod val="60000"/>
            <a:lumOff val="40000"/>
          </a:schemeClr>
        </a:solidFill>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228600</xdr:colOff>
      <xdr:row>10</xdr:row>
      <xdr:rowOff>85725</xdr:rowOff>
    </xdr:from>
    <xdr:to>
      <xdr:col>9</xdr:col>
      <xdr:colOff>228600</xdr:colOff>
      <xdr:row>26</xdr:row>
      <xdr:rowOff>85725</xdr:rowOff>
    </xdr:to>
    <xdr:graphicFrame macro="">
      <xdr:nvGraphicFramePr>
        <xdr:cNvPr id="2" name="Chart 1">
          <a:extLst>
            <a:ext uri="{FF2B5EF4-FFF2-40B4-BE49-F238E27FC236}">
              <a16:creationId xmlns:a16="http://schemas.microsoft.com/office/drawing/2014/main" id="{58E035E3-3E26-4151-B601-2EDE53DDD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463826</xdr:colOff>
      <xdr:row>27</xdr:row>
      <xdr:rowOff>33130</xdr:rowOff>
    </xdr:from>
    <xdr:to>
      <xdr:col>14</xdr:col>
      <xdr:colOff>389283</xdr:colOff>
      <xdr:row>45</xdr:row>
      <xdr:rowOff>107674</xdr:rowOff>
    </xdr:to>
    <xdr:cxnSp macro="">
      <xdr:nvCxnSpPr>
        <xdr:cNvPr id="3" name="Straight Arrow Connector 2">
          <a:extLst>
            <a:ext uri="{FF2B5EF4-FFF2-40B4-BE49-F238E27FC236}">
              <a16:creationId xmlns:a16="http://schemas.microsoft.com/office/drawing/2014/main" id="{F2B38E30-D055-43BF-9DDA-C662783EFCDE}"/>
            </a:ext>
          </a:extLst>
        </xdr:cNvPr>
        <xdr:cNvCxnSpPr/>
      </xdr:nvCxnSpPr>
      <xdr:spPr>
        <a:xfrm>
          <a:off x="7595152" y="4265543"/>
          <a:ext cx="3925957" cy="3843131"/>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65487</xdr:colOff>
      <xdr:row>0</xdr:row>
      <xdr:rowOff>107156</xdr:rowOff>
    </xdr:from>
    <xdr:to>
      <xdr:col>14</xdr:col>
      <xdr:colOff>35669</xdr:colOff>
      <xdr:row>16</xdr:row>
      <xdr:rowOff>127034</xdr:rowOff>
    </xdr:to>
    <xdr:graphicFrame macro="">
      <xdr:nvGraphicFramePr>
        <xdr:cNvPr id="2" name="Chart 1">
          <a:extLst>
            <a:ext uri="{FF2B5EF4-FFF2-40B4-BE49-F238E27FC236}">
              <a16:creationId xmlns:a16="http://schemas.microsoft.com/office/drawing/2014/main" id="{8D199072-DF5E-422C-873C-9914A1DDA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209550</xdr:colOff>
      <xdr:row>26</xdr:row>
      <xdr:rowOff>33337</xdr:rowOff>
    </xdr:from>
    <xdr:to>
      <xdr:col>17</xdr:col>
      <xdr:colOff>209550</xdr:colOff>
      <xdr:row>42</xdr:row>
      <xdr:rowOff>23812</xdr:rowOff>
    </xdr:to>
    <xdr:graphicFrame macro="">
      <xdr:nvGraphicFramePr>
        <xdr:cNvPr id="2" name="Chart 1">
          <a:extLst>
            <a:ext uri="{FF2B5EF4-FFF2-40B4-BE49-F238E27FC236}">
              <a16:creationId xmlns:a16="http://schemas.microsoft.com/office/drawing/2014/main" id="{8CF2F0E4-73A9-4793-877B-3DDE8A525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0.92411</cdr:y>
    </cdr:from>
    <cdr:to>
      <cdr:x>0.63021</cdr:x>
      <cdr:y>1</cdr:y>
    </cdr:to>
    <cdr:sp macro="" textlink="">
      <cdr:nvSpPr>
        <cdr:cNvPr id="2" name="TextBox 1">
          <a:extLst xmlns:a="http://schemas.openxmlformats.org/drawingml/2006/main">
            <a:ext uri="{FF2B5EF4-FFF2-40B4-BE49-F238E27FC236}">
              <a16:creationId xmlns:a16="http://schemas.microsoft.com/office/drawing/2014/main" id="{2A52172A-C991-4E85-A713-F65AE7FAD6B0}"/>
            </a:ext>
          </a:extLst>
        </cdr:cNvPr>
        <cdr:cNvSpPr txBox="1"/>
      </cdr:nvSpPr>
      <cdr:spPr>
        <a:xfrm xmlns:a="http://schemas.openxmlformats.org/drawingml/2006/main">
          <a:off x="0" y="2957512"/>
          <a:ext cx="3457574" cy="2428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Note: Freight</a:t>
          </a:r>
          <a:r>
            <a:rPr lang="en-US" sz="1100" baseline="0">
              <a:latin typeface="Times New Roman" panose="02020603050405020304" pitchFamily="18" charset="0"/>
              <a:cs typeface="Times New Roman" panose="02020603050405020304" pitchFamily="18" charset="0"/>
            </a:rPr>
            <a:t> r</a:t>
          </a:r>
          <a:r>
            <a:rPr lang="en-US" sz="1100">
              <a:latin typeface="Times New Roman" panose="02020603050405020304" pitchFamily="18" charset="0"/>
              <a:cs typeface="Times New Roman" panose="02020603050405020304" pitchFamily="18" charset="0"/>
            </a:rPr>
            <a:t>evenues</a:t>
          </a:r>
          <a:r>
            <a:rPr lang="en-US" sz="1100" baseline="0">
              <a:latin typeface="Times New Roman" panose="02020603050405020304" pitchFamily="18" charset="0"/>
              <a:cs typeface="Times New Roman" panose="02020603050405020304" pitchFamily="18" charset="0"/>
            </a:rPr>
            <a:t> in 2009 were $13.6 billion.</a:t>
          </a:r>
          <a:endParaRPr lang="en-US" sz="1100">
            <a:latin typeface="Times New Roman" panose="02020603050405020304" pitchFamily="18" charset="0"/>
            <a:cs typeface="Times New Roman" panose="02020603050405020304" pitchFamily="18"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2</xdr:col>
      <xdr:colOff>28575</xdr:colOff>
      <xdr:row>8</xdr:row>
      <xdr:rowOff>176212</xdr:rowOff>
    </xdr:from>
    <xdr:to>
      <xdr:col>11</xdr:col>
      <xdr:colOff>28575</xdr:colOff>
      <xdr:row>24</xdr:row>
      <xdr:rowOff>176212</xdr:rowOff>
    </xdr:to>
    <xdr:graphicFrame macro="">
      <xdr:nvGraphicFramePr>
        <xdr:cNvPr id="2" name="Chart 1">
          <a:extLst>
            <a:ext uri="{FF2B5EF4-FFF2-40B4-BE49-F238E27FC236}">
              <a16:creationId xmlns:a16="http://schemas.microsoft.com/office/drawing/2014/main" id="{E02960E6-5432-4B17-908E-9AB13EA862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0.04861</cdr:x>
      <cdr:y>0.87054</cdr:y>
    </cdr:from>
    <cdr:to>
      <cdr:x>0.51215</cdr:x>
      <cdr:y>0.97173</cdr:y>
    </cdr:to>
    <cdr:sp macro="" textlink="">
      <cdr:nvSpPr>
        <cdr:cNvPr id="2" name="TextBox 1">
          <a:extLst xmlns:a="http://schemas.openxmlformats.org/drawingml/2006/main">
            <a:ext uri="{FF2B5EF4-FFF2-40B4-BE49-F238E27FC236}">
              <a16:creationId xmlns:a16="http://schemas.microsoft.com/office/drawing/2014/main" id="{C67AE08B-E90E-44AB-BE20-9059088E8FF8}"/>
            </a:ext>
          </a:extLst>
        </cdr:cNvPr>
        <cdr:cNvSpPr txBox="1"/>
      </cdr:nvSpPr>
      <cdr:spPr>
        <a:xfrm xmlns:a="http://schemas.openxmlformats.org/drawingml/2006/main">
          <a:off x="266700" y="2786063"/>
          <a:ext cx="254317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Note: Total</a:t>
          </a:r>
          <a:r>
            <a:rPr lang="en-US" sz="1200" baseline="0">
              <a:latin typeface="Times New Roman" panose="02020603050405020304" pitchFamily="18" charset="0"/>
              <a:cs typeface="Times New Roman" panose="02020603050405020304" pitchFamily="18" charset="0"/>
            </a:rPr>
            <a:t> revenues = $11.5 billion</a:t>
          </a:r>
          <a:endParaRPr lang="en-US" sz="1200">
            <a:latin typeface="Times New Roman" panose="02020603050405020304" pitchFamily="18" charset="0"/>
            <a:cs typeface="Times New Roman" panose="02020603050405020304" pitchFamily="18" charset="0"/>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6</xdr:col>
      <xdr:colOff>483705</xdr:colOff>
      <xdr:row>29</xdr:row>
      <xdr:rowOff>46383</xdr:rowOff>
    </xdr:from>
    <xdr:to>
      <xdr:col>9</xdr:col>
      <xdr:colOff>642730</xdr:colOff>
      <xdr:row>39</xdr:row>
      <xdr:rowOff>26505</xdr:rowOff>
    </xdr:to>
    <xdr:cxnSp macro="">
      <xdr:nvCxnSpPr>
        <xdr:cNvPr id="3" name="Straight Arrow Connector 2">
          <a:extLst>
            <a:ext uri="{FF2B5EF4-FFF2-40B4-BE49-F238E27FC236}">
              <a16:creationId xmlns:a16="http://schemas.microsoft.com/office/drawing/2014/main" id="{10CF5D7C-0709-4833-B5BA-219B89838AB2}"/>
            </a:ext>
          </a:extLst>
        </xdr:cNvPr>
        <xdr:cNvCxnSpPr/>
      </xdr:nvCxnSpPr>
      <xdr:spPr>
        <a:xfrm>
          <a:off x="5989983" y="4167809"/>
          <a:ext cx="1948069" cy="23588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438150</xdr:colOff>
      <xdr:row>7</xdr:row>
      <xdr:rowOff>80962</xdr:rowOff>
    </xdr:from>
    <xdr:to>
      <xdr:col>19</xdr:col>
      <xdr:colOff>438150</xdr:colOff>
      <xdr:row>23</xdr:row>
      <xdr:rowOff>80962</xdr:rowOff>
    </xdr:to>
    <xdr:graphicFrame macro="">
      <xdr:nvGraphicFramePr>
        <xdr:cNvPr id="2" name="Chart 1">
          <a:extLst>
            <a:ext uri="{FF2B5EF4-FFF2-40B4-BE49-F238E27FC236}">
              <a16:creationId xmlns:a16="http://schemas.microsoft.com/office/drawing/2014/main" id="{3E87B4E6-F11C-400D-AF47-596DAE508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416109</xdr:colOff>
      <xdr:row>9</xdr:row>
      <xdr:rowOff>4481</xdr:rowOff>
    </xdr:from>
    <xdr:to>
      <xdr:col>12</xdr:col>
      <xdr:colOff>332999</xdr:colOff>
      <xdr:row>14</xdr:row>
      <xdr:rowOff>162670</xdr:rowOff>
    </xdr:to>
    <xdr:pic>
      <xdr:nvPicPr>
        <xdr:cNvPr id="2" name="Picture 1">
          <a:extLst>
            <a:ext uri="{FF2B5EF4-FFF2-40B4-BE49-F238E27FC236}">
              <a16:creationId xmlns:a16="http://schemas.microsoft.com/office/drawing/2014/main" id="{9295CA86-63E1-4F55-8469-7030A036A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0209" y="1804706"/>
          <a:ext cx="3298265" cy="1158314"/>
        </a:xfrm>
        <a:prstGeom prst="rect">
          <a:avLst/>
        </a:prstGeom>
        <a:solidFill>
          <a:schemeClr val="accent1">
            <a:lumMod val="20000"/>
            <a:lumOff val="80000"/>
          </a:schemeClr>
        </a:solidFill>
      </xdr:spPr>
    </xdr:pic>
    <xdr:clientData/>
  </xdr:twoCellAnchor>
  <xdr:twoCellAnchor editAs="oneCell">
    <xdr:from>
      <xdr:col>7</xdr:col>
      <xdr:colOff>387350</xdr:colOff>
      <xdr:row>0</xdr:row>
      <xdr:rowOff>69850</xdr:rowOff>
    </xdr:from>
    <xdr:to>
      <xdr:col>11</xdr:col>
      <xdr:colOff>115981</xdr:colOff>
      <xdr:row>8</xdr:row>
      <xdr:rowOff>11953</xdr:rowOff>
    </xdr:to>
    <xdr:pic>
      <xdr:nvPicPr>
        <xdr:cNvPr id="3" name="Picture 2">
          <a:extLst>
            <a:ext uri="{FF2B5EF4-FFF2-40B4-BE49-F238E27FC236}">
              <a16:creationId xmlns:a16="http://schemas.microsoft.com/office/drawing/2014/main" id="{034B323B-5D5C-4DAC-973E-48C3AAF2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1450" y="69850"/>
          <a:ext cx="2062256" cy="1542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425450</xdr:colOff>
      <xdr:row>15</xdr:row>
      <xdr:rowOff>57150</xdr:rowOff>
    </xdr:from>
    <xdr:to>
      <xdr:col>13</xdr:col>
      <xdr:colOff>95250</xdr:colOff>
      <xdr:row>26</xdr:row>
      <xdr:rowOff>22225</xdr:rowOff>
    </xdr:to>
    <xdr:pic>
      <xdr:nvPicPr>
        <xdr:cNvPr id="4" name="Picture 3">
          <a:extLst>
            <a:ext uri="{FF2B5EF4-FFF2-40B4-BE49-F238E27FC236}">
              <a16:creationId xmlns:a16="http://schemas.microsoft.com/office/drawing/2014/main" id="{96BEBD64-EB0A-4257-AE97-3EF147916D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59550" y="3057525"/>
          <a:ext cx="3860800" cy="2174875"/>
        </a:xfrm>
        <a:prstGeom prst="rect">
          <a:avLst/>
        </a:prstGeom>
        <a:solidFill>
          <a:schemeClr val="accent1">
            <a:lumMod val="40000"/>
            <a:lumOff val="60000"/>
          </a:schemeClr>
        </a:solidFill>
      </xdr:spPr>
    </xdr:pic>
    <xdr:clientData/>
  </xdr:twoCellAnchor>
</xdr:wsDr>
</file>

<file path=xl/drawings/drawing47.xml><?xml version="1.0" encoding="utf-8"?>
<xdr:wsDr xmlns:xdr="http://schemas.openxmlformats.org/drawingml/2006/spreadsheetDrawing" xmlns:a="http://schemas.openxmlformats.org/drawingml/2006/main">
  <xdr:twoCellAnchor>
    <xdr:from>
      <xdr:col>3</xdr:col>
      <xdr:colOff>898972</xdr:colOff>
      <xdr:row>206</xdr:row>
      <xdr:rowOff>140345</xdr:rowOff>
    </xdr:from>
    <xdr:to>
      <xdr:col>8</xdr:col>
      <xdr:colOff>732717</xdr:colOff>
      <xdr:row>223</xdr:row>
      <xdr:rowOff>43363</xdr:rowOff>
    </xdr:to>
    <xdr:graphicFrame macro="">
      <xdr:nvGraphicFramePr>
        <xdr:cNvPr id="2" name="Chart 1">
          <a:extLst>
            <a:ext uri="{FF2B5EF4-FFF2-40B4-BE49-F238E27FC236}">
              <a16:creationId xmlns:a16="http://schemas.microsoft.com/office/drawing/2014/main" id="{23611553-4B56-41F3-BA2A-164A41FA2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316730</xdr:colOff>
      <xdr:row>206</xdr:row>
      <xdr:rowOff>186749</xdr:rowOff>
    </xdr:from>
    <xdr:to>
      <xdr:col>14</xdr:col>
      <xdr:colOff>192039</xdr:colOff>
      <xdr:row>223</xdr:row>
      <xdr:rowOff>89767</xdr:rowOff>
    </xdr:to>
    <xdr:graphicFrame macro="">
      <xdr:nvGraphicFramePr>
        <xdr:cNvPr id="3" name="Chart 2">
          <a:extLst>
            <a:ext uri="{FF2B5EF4-FFF2-40B4-BE49-F238E27FC236}">
              <a16:creationId xmlns:a16="http://schemas.microsoft.com/office/drawing/2014/main" id="{6772B499-A80F-497A-B860-6BE781CB1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46</xdr:col>
      <xdr:colOff>495300</xdr:colOff>
      <xdr:row>96</xdr:row>
      <xdr:rowOff>0</xdr:rowOff>
    </xdr:from>
    <xdr:to>
      <xdr:col>54</xdr:col>
      <xdr:colOff>142875</xdr:colOff>
      <xdr:row>107</xdr:row>
      <xdr:rowOff>142875</xdr:rowOff>
    </xdr:to>
    <xdr:sp macro="" textlink="">
      <xdr:nvSpPr>
        <xdr:cNvPr id="3" name="TextBox 2">
          <a:extLst>
            <a:ext uri="{FF2B5EF4-FFF2-40B4-BE49-F238E27FC236}">
              <a16:creationId xmlns:a16="http://schemas.microsoft.com/office/drawing/2014/main" id="{EF30E12D-5569-4AA4-8544-1971D420D36F}"/>
            </a:ext>
          </a:extLst>
        </xdr:cNvPr>
        <xdr:cNvSpPr txBox="1"/>
      </xdr:nvSpPr>
      <xdr:spPr>
        <a:xfrm>
          <a:off x="12201525" y="6696075"/>
          <a:ext cx="5105400" cy="2305050"/>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Times New Roman" panose="02020603050405020304" pitchFamily="18" charset="0"/>
              <a:cs typeface="Times New Roman" panose="02020603050405020304" pitchFamily="18" charset="0"/>
            </a:rPr>
            <a:t>Check total premiums earned / UW</a:t>
          </a:r>
          <a:r>
            <a:rPr lang="en-US" sz="1800" baseline="0">
              <a:latin typeface="Times New Roman" panose="02020603050405020304" pitchFamily="18" charset="0"/>
              <a:cs typeface="Times New Roman" panose="02020603050405020304" pitchFamily="18" charset="0"/>
            </a:rPr>
            <a:t> gain/loss against headline consolidated figures.</a:t>
          </a:r>
        </a:p>
        <a:p>
          <a:endParaRPr lang="en-US" sz="1800" baseline="0">
            <a:latin typeface="Times New Roman" panose="02020603050405020304" pitchFamily="18" charset="0"/>
            <a:cs typeface="Times New Roman" panose="02020603050405020304" pitchFamily="18" charset="0"/>
          </a:endParaRPr>
        </a:p>
        <a:p>
          <a:r>
            <a:rPr lang="en-US" sz="1800" baseline="0">
              <a:latin typeface="Times New Roman" panose="02020603050405020304" pitchFamily="18" charset="0"/>
              <a:cs typeface="Times New Roman" panose="02020603050405020304" pitchFamily="18" charset="0"/>
            </a:rPr>
            <a:t>Why no written premium data for BHRG? No value since most/all flows directly to earned?</a:t>
          </a:r>
        </a:p>
        <a:p>
          <a:endParaRPr lang="en-US" sz="1800" baseline="0">
            <a:latin typeface="Times New Roman" panose="02020603050405020304" pitchFamily="18" charset="0"/>
            <a:cs typeface="Times New Roman" panose="02020603050405020304" pitchFamily="18" charset="0"/>
          </a:endParaRPr>
        </a:p>
        <a:p>
          <a:r>
            <a:rPr lang="en-US" sz="1800" baseline="0">
              <a:latin typeface="Times New Roman" panose="02020603050405020304" pitchFamily="18" charset="0"/>
              <a:cs typeface="Times New Roman" panose="02020603050405020304" pitchFamily="18" charset="0"/>
            </a:rPr>
            <a:t>2006 Medpro and Applied UW acquisitions.</a:t>
          </a:r>
          <a:endParaRPr lang="en-US" sz="1800">
            <a:latin typeface="Times New Roman" panose="02020603050405020304" pitchFamily="18" charset="0"/>
            <a:cs typeface="Times New Roman" panose="02020603050405020304" pitchFamily="18" charset="0"/>
          </a:endParaRPr>
        </a:p>
      </xdr:txBody>
    </xdr:sp>
    <xdr:clientData/>
  </xdr:twoCellAnchor>
  <xdr:twoCellAnchor editAs="oneCell">
    <xdr:from>
      <xdr:col>46</xdr:col>
      <xdr:colOff>457200</xdr:colOff>
      <xdr:row>14</xdr:row>
      <xdr:rowOff>43542</xdr:rowOff>
    </xdr:from>
    <xdr:to>
      <xdr:col>61</xdr:col>
      <xdr:colOff>198120</xdr:colOff>
      <xdr:row>69</xdr:row>
      <xdr:rowOff>4353</xdr:rowOff>
    </xdr:to>
    <xdr:pic>
      <xdr:nvPicPr>
        <xdr:cNvPr id="5" name="Picture 4">
          <a:extLst>
            <a:ext uri="{FF2B5EF4-FFF2-40B4-BE49-F238E27FC236}">
              <a16:creationId xmlns:a16="http://schemas.microsoft.com/office/drawing/2014/main" id="{C49F95DB-7084-4078-A2A7-42112B4D8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8943" y="2133599"/>
          <a:ext cx="9538063" cy="1876697"/>
        </a:xfrm>
        <a:prstGeom prst="rect">
          <a:avLst/>
        </a:prstGeom>
        <a:solidFill>
          <a:schemeClr val="accent6">
            <a:lumMod val="40000"/>
            <a:lumOff val="60000"/>
          </a:schemeClr>
        </a:solid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44</xdr:col>
      <xdr:colOff>0</xdr:colOff>
      <xdr:row>100</xdr:row>
      <xdr:rowOff>0</xdr:rowOff>
    </xdr:from>
    <xdr:to>
      <xdr:col>59</xdr:col>
      <xdr:colOff>288458</xdr:colOff>
      <xdr:row>110</xdr:row>
      <xdr:rowOff>133350</xdr:rowOff>
    </xdr:to>
    <xdr:pic>
      <xdr:nvPicPr>
        <xdr:cNvPr id="2" name="Picture 1">
          <a:extLst>
            <a:ext uri="{FF2B5EF4-FFF2-40B4-BE49-F238E27FC236}">
              <a16:creationId xmlns:a16="http://schemas.microsoft.com/office/drawing/2014/main" id="{0539F104-4569-483B-A8FE-65AE08831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45225" y="15810140"/>
          <a:ext cx="8880007" cy="2133600"/>
        </a:xfrm>
        <a:prstGeom prst="rect">
          <a:avLst/>
        </a:prstGeom>
        <a:solidFill>
          <a:schemeClr val="accent6">
            <a:lumMod val="20000"/>
            <a:lumOff val="80000"/>
          </a:schemeClr>
        </a:solidFill>
      </xdr:spPr>
    </xdr:pic>
    <xdr:clientData/>
  </xdr:twoCellAnchor>
  <xdr:twoCellAnchor>
    <xdr:from>
      <xdr:col>47</xdr:col>
      <xdr:colOff>36285</xdr:colOff>
      <xdr:row>70</xdr:row>
      <xdr:rowOff>11206</xdr:rowOff>
    </xdr:from>
    <xdr:to>
      <xdr:col>51</xdr:col>
      <xdr:colOff>487189</xdr:colOff>
      <xdr:row>92</xdr:row>
      <xdr:rowOff>168087</xdr:rowOff>
    </xdr:to>
    <xdr:sp macro="" textlink="">
      <xdr:nvSpPr>
        <xdr:cNvPr id="3" name="TextBox 2">
          <a:extLst>
            <a:ext uri="{FF2B5EF4-FFF2-40B4-BE49-F238E27FC236}">
              <a16:creationId xmlns:a16="http://schemas.microsoft.com/office/drawing/2014/main" id="{240E65BB-599C-420C-9628-C1AE79621455}"/>
            </a:ext>
          </a:extLst>
        </xdr:cNvPr>
        <xdr:cNvSpPr txBox="1"/>
      </xdr:nvSpPr>
      <xdr:spPr>
        <a:xfrm>
          <a:off x="13270432" y="10600765"/>
          <a:ext cx="3409257" cy="2835087"/>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latin typeface="Times New Roman" panose="02020603050405020304" pitchFamily="18" charset="0"/>
              <a:cs typeface="Times New Roman" panose="02020603050405020304" pitchFamily="18" charset="0"/>
            </a:rPr>
            <a:t>Check total premiums earned / UW</a:t>
          </a:r>
          <a:r>
            <a:rPr lang="en-US" sz="1800" baseline="0">
              <a:latin typeface="Times New Roman" panose="02020603050405020304" pitchFamily="18" charset="0"/>
              <a:cs typeface="Times New Roman" panose="02020603050405020304" pitchFamily="18" charset="0"/>
            </a:rPr>
            <a:t> gain/loss against headline consolidated figures.</a:t>
          </a:r>
        </a:p>
        <a:p>
          <a:endParaRPr lang="en-US" sz="1800" baseline="0">
            <a:latin typeface="Times New Roman" panose="02020603050405020304" pitchFamily="18" charset="0"/>
            <a:cs typeface="Times New Roman" panose="02020603050405020304" pitchFamily="18" charset="0"/>
          </a:endParaRPr>
        </a:p>
        <a:p>
          <a:r>
            <a:rPr lang="en-US" sz="1800" baseline="0">
              <a:latin typeface="Times New Roman" panose="02020603050405020304" pitchFamily="18" charset="0"/>
              <a:cs typeface="Times New Roman" panose="02020603050405020304" pitchFamily="18" charset="0"/>
            </a:rPr>
            <a:t>Why no written premium data for BHRG? No value since most/all flows directly to earned?</a:t>
          </a:r>
        </a:p>
        <a:p>
          <a:endParaRPr lang="en-US" sz="1800" baseline="0">
            <a:latin typeface="Times New Roman" panose="02020603050405020304" pitchFamily="18" charset="0"/>
            <a:cs typeface="Times New Roman" panose="02020603050405020304" pitchFamily="18" charset="0"/>
          </a:endParaRPr>
        </a:p>
        <a:p>
          <a:r>
            <a:rPr lang="en-US" sz="1800" baseline="0">
              <a:latin typeface="Times New Roman" panose="02020603050405020304" pitchFamily="18" charset="0"/>
              <a:cs typeface="Times New Roman" panose="02020603050405020304" pitchFamily="18" charset="0"/>
            </a:rPr>
            <a:t>2006 Medpro and Applied UW acquisitions.</a:t>
          </a:r>
          <a:endParaRPr lang="en-US" sz="18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80961</xdr:colOff>
      <xdr:row>1</xdr:row>
      <xdr:rowOff>147637</xdr:rowOff>
    </xdr:from>
    <xdr:to>
      <xdr:col>14</xdr:col>
      <xdr:colOff>94150</xdr:colOff>
      <xdr:row>18</xdr:row>
      <xdr:rowOff>109537</xdr:rowOff>
    </xdr:to>
    <xdr:graphicFrame macro="">
      <xdr:nvGraphicFramePr>
        <xdr:cNvPr id="2" name="Chart 1">
          <a:extLst>
            <a:ext uri="{FF2B5EF4-FFF2-40B4-BE49-F238E27FC236}">
              <a16:creationId xmlns:a16="http://schemas.microsoft.com/office/drawing/2014/main" id="{C01759EC-1F7A-4CB2-BA64-23B931E12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114300</xdr:colOff>
      <xdr:row>4</xdr:row>
      <xdr:rowOff>19050</xdr:rowOff>
    </xdr:from>
    <xdr:to>
      <xdr:col>0</xdr:col>
      <xdr:colOff>1457325</xdr:colOff>
      <xdr:row>19</xdr:row>
      <xdr:rowOff>161925</xdr:rowOff>
    </xdr:to>
    <xdr:sp macro="" textlink="">
      <xdr:nvSpPr>
        <xdr:cNvPr id="2" name="TextBox 1">
          <a:extLst>
            <a:ext uri="{FF2B5EF4-FFF2-40B4-BE49-F238E27FC236}">
              <a16:creationId xmlns:a16="http://schemas.microsoft.com/office/drawing/2014/main" id="{B93DB3E6-DBDF-4C88-BF81-AFD30639E395}"/>
            </a:ext>
          </a:extLst>
        </xdr:cNvPr>
        <xdr:cNvSpPr txBox="1"/>
      </xdr:nvSpPr>
      <xdr:spPr>
        <a:xfrm>
          <a:off x="114300" y="781050"/>
          <a:ext cx="1343025" cy="300037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Note: Only</a:t>
          </a:r>
          <a:r>
            <a:rPr lang="en-US" sz="1100" b="1" baseline="0">
              <a:latin typeface="Times New Roman" panose="02020603050405020304" pitchFamily="18" charset="0"/>
              <a:cs typeface="Times New Roman" panose="02020603050405020304" pitchFamily="18" charset="0"/>
            </a:rPr>
            <a:t> those companies meeting the minimum threshold (set each year) are reported in this table from the Chairman's letter. </a:t>
          </a:r>
        </a:p>
        <a:p>
          <a:endParaRPr lang="en-US" sz="1100" b="1" baseline="0">
            <a:latin typeface="Times New Roman" panose="02020603050405020304" pitchFamily="18" charset="0"/>
            <a:cs typeface="Times New Roman" panose="02020603050405020304" pitchFamily="18" charset="0"/>
          </a:endParaRPr>
        </a:p>
        <a:p>
          <a:r>
            <a:rPr lang="en-US" sz="1100" b="1" baseline="0">
              <a:latin typeface="Times New Roman" panose="02020603050405020304" pitchFamily="18" charset="0"/>
              <a:cs typeface="Times New Roman" panose="02020603050405020304" pitchFamily="18" charset="0"/>
            </a:rPr>
            <a:t>Companies removed from the list from year-to-year may still have been owned by BRK at the end of the year.</a:t>
          </a:r>
        </a:p>
        <a:p>
          <a:endParaRPr lang="en-US" sz="1100" b="1" baseline="0">
            <a:latin typeface="Times New Roman" panose="02020603050405020304" pitchFamily="18" charset="0"/>
            <a:cs typeface="Times New Roman" panose="02020603050405020304" pitchFamily="18" charset="0"/>
          </a:endParaRPr>
        </a:p>
        <a:p>
          <a:endParaRPr lang="en-US" sz="1100" b="1">
            <a:latin typeface="Times New Roman" panose="02020603050405020304" pitchFamily="18" charset="0"/>
            <a:cs typeface="Times New Roman" panose="02020603050405020304" pitchFamily="18" charset="0"/>
          </a:endParaRPr>
        </a:p>
      </xdr:txBody>
    </xdr:sp>
    <xdr:clientData/>
  </xdr:twoCellAnchor>
  <xdr:twoCellAnchor>
    <xdr:from>
      <xdr:col>1</xdr:col>
      <xdr:colOff>85725</xdr:colOff>
      <xdr:row>0</xdr:row>
      <xdr:rowOff>123825</xdr:rowOff>
    </xdr:from>
    <xdr:to>
      <xdr:col>4</xdr:col>
      <xdr:colOff>533400</xdr:colOff>
      <xdr:row>2</xdr:row>
      <xdr:rowOff>28575</xdr:rowOff>
    </xdr:to>
    <xdr:sp macro="" textlink="">
      <xdr:nvSpPr>
        <xdr:cNvPr id="3" name="TextBox 2">
          <a:extLst>
            <a:ext uri="{FF2B5EF4-FFF2-40B4-BE49-F238E27FC236}">
              <a16:creationId xmlns:a16="http://schemas.microsoft.com/office/drawing/2014/main" id="{94DE7055-B62B-4A31-8328-6088BD54B6A0}"/>
            </a:ext>
          </a:extLst>
        </xdr:cNvPr>
        <xdr:cNvSpPr txBox="1"/>
      </xdr:nvSpPr>
      <xdr:spPr>
        <a:xfrm>
          <a:off x="1695450" y="123825"/>
          <a:ext cx="3562350" cy="2857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a:t>
          </a:r>
          <a:r>
            <a:rPr lang="en-US" sz="1100" baseline="0"/>
            <a:t>column for # shares</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565166</xdr:colOff>
      <xdr:row>17</xdr:row>
      <xdr:rowOff>13056</xdr:rowOff>
    </xdr:from>
    <xdr:to>
      <xdr:col>15</xdr:col>
      <xdr:colOff>601608</xdr:colOff>
      <xdr:row>33</xdr:row>
      <xdr:rowOff>32936</xdr:rowOff>
    </xdr:to>
    <xdr:graphicFrame macro="">
      <xdr:nvGraphicFramePr>
        <xdr:cNvPr id="2" name="Chart 1">
          <a:extLst>
            <a:ext uri="{FF2B5EF4-FFF2-40B4-BE49-F238E27FC236}">
              <a16:creationId xmlns:a16="http://schemas.microsoft.com/office/drawing/2014/main" id="{DEE2114B-58CF-41EF-8822-1015414186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14</xdr:col>
      <xdr:colOff>339587</xdr:colOff>
      <xdr:row>23</xdr:row>
      <xdr:rowOff>182216</xdr:rowOff>
    </xdr:from>
    <xdr:to>
      <xdr:col>30</xdr:col>
      <xdr:colOff>256761</xdr:colOff>
      <xdr:row>35</xdr:row>
      <xdr:rowOff>116783</xdr:rowOff>
    </xdr:to>
    <xdr:pic>
      <xdr:nvPicPr>
        <xdr:cNvPr id="2" name="Picture 1">
          <a:extLst>
            <a:ext uri="{FF2B5EF4-FFF2-40B4-BE49-F238E27FC236}">
              <a16:creationId xmlns:a16="http://schemas.microsoft.com/office/drawing/2014/main" id="{40625619-0582-43DF-BB4A-1604182C4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478" y="4911586"/>
          <a:ext cx="9193696" cy="2319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389283</xdr:colOff>
      <xdr:row>11</xdr:row>
      <xdr:rowOff>99395</xdr:rowOff>
    </xdr:from>
    <xdr:to>
      <xdr:col>35</xdr:col>
      <xdr:colOff>17807</xdr:colOff>
      <xdr:row>22</xdr:row>
      <xdr:rowOff>59224</xdr:rowOff>
    </xdr:to>
    <xdr:pic>
      <xdr:nvPicPr>
        <xdr:cNvPr id="3" name="Picture 2">
          <a:extLst>
            <a:ext uri="{FF2B5EF4-FFF2-40B4-BE49-F238E27FC236}">
              <a16:creationId xmlns:a16="http://schemas.microsoft.com/office/drawing/2014/main" id="{FF340CB9-08A7-4D1D-8609-A668579B8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51174" y="2443373"/>
          <a:ext cx="11803959" cy="214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347871</xdr:colOff>
      <xdr:row>1</xdr:row>
      <xdr:rowOff>190499</xdr:rowOff>
    </xdr:from>
    <xdr:to>
      <xdr:col>27</xdr:col>
      <xdr:colOff>248462</xdr:colOff>
      <xdr:row>10</xdr:row>
      <xdr:rowOff>158396</xdr:rowOff>
    </xdr:to>
    <xdr:pic>
      <xdr:nvPicPr>
        <xdr:cNvPr id="4" name="Picture 3">
          <a:extLst>
            <a:ext uri="{FF2B5EF4-FFF2-40B4-BE49-F238E27FC236}">
              <a16:creationId xmlns:a16="http://schemas.microsoft.com/office/drawing/2014/main" id="{E23E1694-7723-4AC8-8527-CAB95501B0D0}"/>
            </a:ext>
          </a:extLst>
        </xdr:cNvPr>
        <xdr:cNvPicPr>
          <a:picLocks noChangeAspect="1"/>
        </xdr:cNvPicPr>
      </xdr:nvPicPr>
      <xdr:blipFill>
        <a:blip xmlns:r="http://schemas.openxmlformats.org/officeDocument/2006/relationships" r:embed="rId3"/>
        <a:stretch>
          <a:fillRect/>
        </a:stretch>
      </xdr:blipFill>
      <xdr:spPr>
        <a:xfrm>
          <a:off x="5209762" y="389282"/>
          <a:ext cx="7437765" cy="1914310"/>
        </a:xfrm>
        <a:prstGeom prst="rect">
          <a:avLst/>
        </a:prstGeom>
      </xdr:spPr>
    </xdr:pic>
    <xdr:clientData/>
  </xdr:twoCellAnchor>
  <xdr:twoCellAnchor>
    <xdr:from>
      <xdr:col>17</xdr:col>
      <xdr:colOff>136662</xdr:colOff>
      <xdr:row>69</xdr:row>
      <xdr:rowOff>149092</xdr:rowOff>
    </xdr:from>
    <xdr:to>
      <xdr:col>26</xdr:col>
      <xdr:colOff>405018</xdr:colOff>
      <xdr:row>85</xdr:row>
      <xdr:rowOff>168970</xdr:rowOff>
    </xdr:to>
    <xdr:graphicFrame macro="">
      <xdr:nvGraphicFramePr>
        <xdr:cNvPr id="6" name="Chart 5">
          <a:extLst>
            <a:ext uri="{FF2B5EF4-FFF2-40B4-BE49-F238E27FC236}">
              <a16:creationId xmlns:a16="http://schemas.microsoft.com/office/drawing/2014/main" id="{369A4D8A-046E-452A-AECE-371937EDC0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91110</xdr:colOff>
      <xdr:row>69</xdr:row>
      <xdr:rowOff>165653</xdr:rowOff>
    </xdr:from>
    <xdr:to>
      <xdr:col>15</xdr:col>
      <xdr:colOff>276640</xdr:colOff>
      <xdr:row>85</xdr:row>
      <xdr:rowOff>185531</xdr:rowOff>
    </xdr:to>
    <xdr:graphicFrame macro="">
      <xdr:nvGraphicFramePr>
        <xdr:cNvPr id="8" name="Chart 7">
          <a:extLst>
            <a:ext uri="{FF2B5EF4-FFF2-40B4-BE49-F238E27FC236}">
              <a16:creationId xmlns:a16="http://schemas.microsoft.com/office/drawing/2014/main" id="{37BAB2C8-1421-46CC-A9F7-63ADC751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501097</xdr:colOff>
      <xdr:row>69</xdr:row>
      <xdr:rowOff>185531</xdr:rowOff>
    </xdr:from>
    <xdr:to>
      <xdr:col>36</xdr:col>
      <xdr:colOff>189671</xdr:colOff>
      <xdr:row>86</xdr:row>
      <xdr:rowOff>6626</xdr:rowOff>
    </xdr:to>
    <xdr:graphicFrame macro="">
      <xdr:nvGraphicFramePr>
        <xdr:cNvPr id="9" name="Chart 8">
          <a:extLst>
            <a:ext uri="{FF2B5EF4-FFF2-40B4-BE49-F238E27FC236}">
              <a16:creationId xmlns:a16="http://schemas.microsoft.com/office/drawing/2014/main" id="{7A3D8FEE-79C7-438C-9DFB-00A8269C28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364435</xdr:colOff>
      <xdr:row>20</xdr:row>
      <xdr:rowOff>157369</xdr:rowOff>
    </xdr:from>
    <xdr:to>
      <xdr:col>32</xdr:col>
      <xdr:colOff>431938</xdr:colOff>
      <xdr:row>46</xdr:row>
      <xdr:rowOff>1242</xdr:rowOff>
    </xdr:to>
    <xdr:pic>
      <xdr:nvPicPr>
        <xdr:cNvPr id="10" name="Picture 9">
          <a:extLst>
            <a:ext uri="{FF2B5EF4-FFF2-40B4-BE49-F238E27FC236}">
              <a16:creationId xmlns:a16="http://schemas.microsoft.com/office/drawing/2014/main" id="{EB4460AD-27F6-4940-BAFF-4A8F1FF469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26326" y="4290391"/>
          <a:ext cx="10503590" cy="5012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191961</xdr:colOff>
      <xdr:row>51</xdr:row>
      <xdr:rowOff>126968</xdr:rowOff>
    </xdr:from>
    <xdr:to>
      <xdr:col>35</xdr:col>
      <xdr:colOff>340632</xdr:colOff>
      <xdr:row>72</xdr:row>
      <xdr:rowOff>191694</xdr:rowOff>
    </xdr:to>
    <xdr:pic>
      <xdr:nvPicPr>
        <xdr:cNvPr id="11" name="Picture 10">
          <a:extLst>
            <a:ext uri="{FF2B5EF4-FFF2-40B4-BE49-F238E27FC236}">
              <a16:creationId xmlns:a16="http://schemas.microsoft.com/office/drawing/2014/main" id="{ED9ED008-8665-4A4D-95C7-A67D9FC85D3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36196" y="10337768"/>
          <a:ext cx="11982083" cy="463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0.18418</cdr:x>
      <cdr:y>0.70393</cdr:y>
    </cdr:from>
    <cdr:to>
      <cdr:x>0.69142</cdr:x>
      <cdr:y>0.78675</cdr:y>
    </cdr:to>
    <cdr:sp macro="" textlink="">
      <cdr:nvSpPr>
        <cdr:cNvPr id="2" name="TextBox 1">
          <a:extLst xmlns:a="http://schemas.openxmlformats.org/drawingml/2006/main">
            <a:ext uri="{FF2B5EF4-FFF2-40B4-BE49-F238E27FC236}">
              <a16:creationId xmlns:a16="http://schemas.microsoft.com/office/drawing/2014/main" id="{0F42F173-999D-4551-AFAF-62C6BB571A0F}"/>
            </a:ext>
          </a:extLst>
        </cdr:cNvPr>
        <cdr:cNvSpPr txBox="1"/>
      </cdr:nvSpPr>
      <cdr:spPr>
        <a:xfrm xmlns:a="http://schemas.openxmlformats.org/drawingml/2006/main">
          <a:off x="1010478" y="2252870"/>
          <a:ext cx="2782956" cy="2650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1998: General Re adds $14 billion float. </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114300</xdr:colOff>
      <xdr:row>5</xdr:row>
      <xdr:rowOff>0</xdr:rowOff>
    </xdr:from>
    <xdr:to>
      <xdr:col>15</xdr:col>
      <xdr:colOff>114300</xdr:colOff>
      <xdr:row>21</xdr:row>
      <xdr:rowOff>0</xdr:rowOff>
    </xdr:to>
    <xdr:graphicFrame macro="">
      <xdr:nvGraphicFramePr>
        <xdr:cNvPr id="2" name="Chart 1">
          <a:extLst>
            <a:ext uri="{FF2B5EF4-FFF2-40B4-BE49-F238E27FC236}">
              <a16:creationId xmlns:a16="http://schemas.microsoft.com/office/drawing/2014/main" id="{C9EADB26-8024-45F1-AC8C-33CE05435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657225</xdr:colOff>
      <xdr:row>49</xdr:row>
      <xdr:rowOff>38099</xdr:rowOff>
    </xdr:from>
    <xdr:to>
      <xdr:col>31</xdr:col>
      <xdr:colOff>247650</xdr:colOff>
      <xdr:row>71</xdr:row>
      <xdr:rowOff>123824</xdr:rowOff>
    </xdr:to>
    <xdr:graphicFrame macro="">
      <xdr:nvGraphicFramePr>
        <xdr:cNvPr id="3" name="Chart 2">
          <a:extLst>
            <a:ext uri="{FF2B5EF4-FFF2-40B4-BE49-F238E27FC236}">
              <a16:creationId xmlns:a16="http://schemas.microsoft.com/office/drawing/2014/main" id="{38CA4B61-270D-44AA-9E33-52D9A72DF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8</xdr:col>
      <xdr:colOff>400051</xdr:colOff>
      <xdr:row>5</xdr:row>
      <xdr:rowOff>80683</xdr:rowOff>
    </xdr:from>
    <xdr:ext cx="5790639" cy="6641727"/>
    <xdr:pic>
      <xdr:nvPicPr>
        <xdr:cNvPr id="2" name="Picture 1">
          <a:extLst>
            <a:ext uri="{FF2B5EF4-FFF2-40B4-BE49-F238E27FC236}">
              <a16:creationId xmlns:a16="http://schemas.microsoft.com/office/drawing/2014/main" id="{23160D85-A726-45F3-8EB5-B3F220DEE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8686" y="869577"/>
          <a:ext cx="5790639" cy="66417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285750</xdr:colOff>
      <xdr:row>22</xdr:row>
      <xdr:rowOff>228600</xdr:rowOff>
    </xdr:from>
    <xdr:ext cx="5933515" cy="3306857"/>
    <xdr:pic>
      <xdr:nvPicPr>
        <xdr:cNvPr id="3" name="Picture 2">
          <a:extLst>
            <a:ext uri="{FF2B5EF4-FFF2-40B4-BE49-F238E27FC236}">
              <a16:creationId xmlns:a16="http://schemas.microsoft.com/office/drawing/2014/main" id="{AF6A42BC-1C96-48E2-853B-3BB052B65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32870" y="4206240"/>
          <a:ext cx="5933515" cy="3306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171450</xdr:colOff>
      <xdr:row>6</xdr:row>
      <xdr:rowOff>95250</xdr:rowOff>
    </xdr:from>
    <xdr:ext cx="5552515" cy="2879911"/>
    <xdr:pic>
      <xdr:nvPicPr>
        <xdr:cNvPr id="4" name="Picture 3">
          <a:extLst>
            <a:ext uri="{FF2B5EF4-FFF2-40B4-BE49-F238E27FC236}">
              <a16:creationId xmlns:a16="http://schemas.microsoft.com/office/drawing/2014/main" id="{F573459B-2EBF-4E2D-B870-B95449950C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18570" y="1192530"/>
          <a:ext cx="5552515" cy="28799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161925</xdr:colOff>
      <xdr:row>29</xdr:row>
      <xdr:rowOff>4761</xdr:rowOff>
    </xdr:from>
    <xdr:to>
      <xdr:col>5</xdr:col>
      <xdr:colOff>628650</xdr:colOff>
      <xdr:row>45</xdr:row>
      <xdr:rowOff>4761</xdr:rowOff>
    </xdr:to>
    <xdr:graphicFrame macro="">
      <xdr:nvGraphicFramePr>
        <xdr:cNvPr id="2" name="Chart 1">
          <a:extLst>
            <a:ext uri="{FF2B5EF4-FFF2-40B4-BE49-F238E27FC236}">
              <a16:creationId xmlns:a16="http://schemas.microsoft.com/office/drawing/2014/main" id="{F98A3A75-5380-4C24-99AA-3338B57CA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3</xdr:row>
      <xdr:rowOff>195262</xdr:rowOff>
    </xdr:from>
    <xdr:to>
      <xdr:col>17</xdr:col>
      <xdr:colOff>9525</xdr:colOff>
      <xdr:row>19</xdr:row>
      <xdr:rowOff>195262</xdr:rowOff>
    </xdr:to>
    <xdr:graphicFrame macro="">
      <xdr:nvGraphicFramePr>
        <xdr:cNvPr id="3" name="Chart 2">
          <a:extLst>
            <a:ext uri="{FF2B5EF4-FFF2-40B4-BE49-F238E27FC236}">
              <a16:creationId xmlns:a16="http://schemas.microsoft.com/office/drawing/2014/main" id="{AEFDEF68-A892-4815-B459-19BCFCBD3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214312</xdr:colOff>
      <xdr:row>22</xdr:row>
      <xdr:rowOff>4762</xdr:rowOff>
    </xdr:from>
    <xdr:to>
      <xdr:col>17</xdr:col>
      <xdr:colOff>214312</xdr:colOff>
      <xdr:row>38</xdr:row>
      <xdr:rowOff>4762</xdr:rowOff>
    </xdr:to>
    <xdr:graphicFrame macro="">
      <xdr:nvGraphicFramePr>
        <xdr:cNvPr id="4" name="Chart 3">
          <a:extLst>
            <a:ext uri="{FF2B5EF4-FFF2-40B4-BE49-F238E27FC236}">
              <a16:creationId xmlns:a16="http://schemas.microsoft.com/office/drawing/2014/main" id="{56274010-8BB1-4954-819E-4D579651F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1576108</xdr:colOff>
      <xdr:row>39</xdr:row>
      <xdr:rowOff>158282</xdr:rowOff>
    </xdr:from>
    <xdr:to>
      <xdr:col>14</xdr:col>
      <xdr:colOff>615204</xdr:colOff>
      <xdr:row>55</xdr:row>
      <xdr:rowOff>158283</xdr:rowOff>
    </xdr:to>
    <xdr:graphicFrame macro="">
      <xdr:nvGraphicFramePr>
        <xdr:cNvPr id="5" name="Chart 4">
          <a:extLst>
            <a:ext uri="{FF2B5EF4-FFF2-40B4-BE49-F238E27FC236}">
              <a16:creationId xmlns:a16="http://schemas.microsoft.com/office/drawing/2014/main" id="{14F3CCAA-8EA5-48E4-89B3-5530D823E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0.3125</cdr:x>
      <cdr:y>0.04911</cdr:y>
    </cdr:from>
    <cdr:to>
      <cdr:x>0.53646</cdr:x>
      <cdr:y>0.80208</cdr:y>
    </cdr:to>
    <cdr:sp macro="" textlink="">
      <cdr:nvSpPr>
        <cdr:cNvPr id="5" name="Rectangle 4">
          <a:extLst xmlns:a="http://schemas.openxmlformats.org/drawingml/2006/main">
            <a:ext uri="{FF2B5EF4-FFF2-40B4-BE49-F238E27FC236}">
              <a16:creationId xmlns:a16="http://schemas.microsoft.com/office/drawing/2014/main" id="{36A1B611-E060-4FDC-B407-98ADD81690EF}"/>
            </a:ext>
          </a:extLst>
        </cdr:cNvPr>
        <cdr:cNvSpPr/>
      </cdr:nvSpPr>
      <cdr:spPr>
        <a:xfrm xmlns:a="http://schemas.openxmlformats.org/drawingml/2006/main">
          <a:off x="1714500" y="157164"/>
          <a:ext cx="1228725" cy="2409825"/>
        </a:xfrm>
        <a:prstGeom xmlns:a="http://schemas.openxmlformats.org/drawingml/2006/main" prst="rect">
          <a:avLst/>
        </a:prstGeom>
        <a:solidFill xmlns:a="http://schemas.openxmlformats.org/drawingml/2006/main">
          <a:schemeClr val="accent3">
            <a:alpha val="50000"/>
          </a:schemeClr>
        </a:solidFill>
        <a:ln xmlns:a="http://schemas.openxmlformats.org/drawingml/2006/main">
          <a:noFill/>
        </a:ln>
      </cdr:spPr>
      <cdr:style>
        <a:lnRef xmlns:a="http://schemas.openxmlformats.org/drawingml/2006/main" idx="2">
          <a:schemeClr val="accent3">
            <a:shade val="50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0.39583</cdr:x>
      <cdr:y>0.09673</cdr:y>
    </cdr:from>
    <cdr:to>
      <cdr:x>0.61979</cdr:x>
      <cdr:y>0.24554</cdr:y>
    </cdr:to>
    <cdr:sp macro="" textlink="">
      <cdr:nvSpPr>
        <cdr:cNvPr id="2" name="TextBox 1">
          <a:extLst xmlns:a="http://schemas.openxmlformats.org/drawingml/2006/main">
            <a:ext uri="{FF2B5EF4-FFF2-40B4-BE49-F238E27FC236}">
              <a16:creationId xmlns:a16="http://schemas.microsoft.com/office/drawing/2014/main" id="{C334DD06-2BED-4173-B9CD-E8F0B56E723D}"/>
            </a:ext>
          </a:extLst>
        </cdr:cNvPr>
        <cdr:cNvSpPr txBox="1"/>
      </cdr:nvSpPr>
      <cdr:spPr>
        <a:xfrm xmlns:a="http://schemas.openxmlformats.org/drawingml/2006/main">
          <a:off x="2171700" y="309564"/>
          <a:ext cx="1228725"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0.54167</cdr:x>
      <cdr:y>0.05753</cdr:y>
    </cdr:from>
    <cdr:to>
      <cdr:x>0.93576</cdr:x>
      <cdr:y>0.18601</cdr:y>
    </cdr:to>
    <cdr:sp macro="" textlink="">
      <cdr:nvSpPr>
        <cdr:cNvPr id="14" name="TextBox 1">
          <a:extLst xmlns:a="http://schemas.openxmlformats.org/drawingml/2006/main">
            <a:ext uri="{FF2B5EF4-FFF2-40B4-BE49-F238E27FC236}">
              <a16:creationId xmlns:a16="http://schemas.microsoft.com/office/drawing/2014/main" id="{41745AE9-2AEF-4832-819C-7A145BB4CB79}"/>
            </a:ext>
          </a:extLst>
        </cdr:cNvPr>
        <cdr:cNvSpPr txBox="1"/>
      </cdr:nvSpPr>
      <cdr:spPr>
        <a:xfrm xmlns:a="http://schemas.openxmlformats.org/drawingml/2006/main">
          <a:off x="2971800" y="184135"/>
          <a:ext cx="2162175" cy="411179"/>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ysClr val="windowText" lastClr="000000"/>
              </a:solidFill>
              <a:latin typeface="Times New Roman" panose="02020603050405020304" pitchFamily="18" charset="0"/>
              <a:cs typeface="Times New Roman" panose="02020603050405020304" pitchFamily="18" charset="0"/>
            </a:rPr>
            <a:t>Most going-in</a:t>
          </a:r>
          <a:r>
            <a:rPr lang="en-US" sz="1100" baseline="0">
              <a:solidFill>
                <a:sysClr val="windowText" lastClr="000000"/>
              </a:solidFill>
              <a:latin typeface="Times New Roman" panose="02020603050405020304" pitchFamily="18" charset="0"/>
              <a:cs typeface="Times New Roman" panose="02020603050405020304" pitchFamily="18" charset="0"/>
            </a:rPr>
            <a:t> returns fell in a range of 7% to 15% (shaded area).</a:t>
          </a:r>
        </a:p>
        <a:p xmlns:a="http://schemas.openxmlformats.org/drawingml/2006/main">
          <a:endParaRPr lang="en-US" sz="1000" baseline="0">
            <a:solidFill>
              <a:sysClr val="windowText" lastClr="000000"/>
            </a:solidFill>
            <a:latin typeface="Times New Roman" panose="02020603050405020304" pitchFamily="18" charset="0"/>
            <a:cs typeface="Times New Roman" panose="02020603050405020304" pitchFamily="18" charset="0"/>
          </a:endParaRPr>
        </a:p>
        <a:p xmlns:a="http://schemas.openxmlformats.org/drawingml/2006/main">
          <a:endParaRPr lang="en-US" sz="1000">
            <a:solidFill>
              <a:sysClr val="windowText" lastClr="0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0.57442</cdr:x>
      <cdr:y>0.34028</cdr:y>
    </cdr:from>
    <cdr:to>
      <cdr:x>0.76231</cdr:x>
      <cdr:y>0.40923</cdr:y>
    </cdr:to>
    <cdr:sp macro="" textlink="">
      <cdr:nvSpPr>
        <cdr:cNvPr id="16" name="TextBox 1">
          <a:extLst xmlns:a="http://schemas.openxmlformats.org/drawingml/2006/main">
            <a:ext uri="{FF2B5EF4-FFF2-40B4-BE49-F238E27FC236}">
              <a16:creationId xmlns:a16="http://schemas.microsoft.com/office/drawing/2014/main" id="{8AA8A569-030D-4E30-9A5F-C86C691CB37D}"/>
            </a:ext>
          </a:extLst>
        </cdr:cNvPr>
        <cdr:cNvSpPr txBox="1"/>
      </cdr:nvSpPr>
      <cdr:spPr>
        <a:xfrm xmlns:a="http://schemas.openxmlformats.org/drawingml/2006/main">
          <a:off x="3222625" y="1101990"/>
          <a:ext cx="1054100" cy="223290"/>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Johns Manville</a:t>
          </a:r>
        </a:p>
      </cdr:txBody>
    </cdr:sp>
  </cdr:relSizeAnchor>
  <cdr:relSizeAnchor xmlns:cdr="http://schemas.openxmlformats.org/drawingml/2006/chartDrawing">
    <cdr:from>
      <cdr:x>0.55235</cdr:x>
      <cdr:y>0.26701</cdr:y>
    </cdr:from>
    <cdr:to>
      <cdr:x>0.76231</cdr:x>
      <cdr:y>0.32703</cdr:y>
    </cdr:to>
    <cdr:sp macro="" textlink="">
      <cdr:nvSpPr>
        <cdr:cNvPr id="18" name="TextBox 1">
          <a:extLst xmlns:a="http://schemas.openxmlformats.org/drawingml/2006/main">
            <a:ext uri="{FF2B5EF4-FFF2-40B4-BE49-F238E27FC236}">
              <a16:creationId xmlns:a16="http://schemas.microsoft.com/office/drawing/2014/main" id="{8A27940F-F1FF-4112-87C3-3280C2FF4DFD}"/>
            </a:ext>
          </a:extLst>
        </cdr:cNvPr>
        <cdr:cNvSpPr txBox="1"/>
      </cdr:nvSpPr>
      <cdr:spPr>
        <a:xfrm xmlns:a="http://schemas.openxmlformats.org/drawingml/2006/main">
          <a:off x="3098799" y="864715"/>
          <a:ext cx="1177925"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Illinois Nat'l Bank</a:t>
          </a:r>
        </a:p>
      </cdr:txBody>
    </cdr:sp>
  </cdr:relSizeAnchor>
  <cdr:relSizeAnchor xmlns:cdr="http://schemas.openxmlformats.org/drawingml/2006/chartDrawing">
    <cdr:from>
      <cdr:x>0.54513</cdr:x>
      <cdr:y>0.71108</cdr:y>
    </cdr:from>
    <cdr:to>
      <cdr:x>0.64177</cdr:x>
      <cdr:y>0.7711</cdr:y>
    </cdr:to>
    <cdr:sp macro="" textlink="">
      <cdr:nvSpPr>
        <cdr:cNvPr id="19" name="TextBox 1">
          <a:extLst xmlns:a="http://schemas.openxmlformats.org/drawingml/2006/main">
            <a:ext uri="{FF2B5EF4-FFF2-40B4-BE49-F238E27FC236}">
              <a16:creationId xmlns:a16="http://schemas.microsoft.com/office/drawing/2014/main" id="{8A27940F-F1FF-4112-87C3-3280C2FF4DFD}"/>
            </a:ext>
          </a:extLst>
        </cdr:cNvPr>
        <cdr:cNvSpPr txBox="1"/>
      </cdr:nvSpPr>
      <cdr:spPr>
        <a:xfrm xmlns:a="http://schemas.openxmlformats.org/drawingml/2006/main">
          <a:off x="3058318" y="2302821"/>
          <a:ext cx="542131"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See's</a:t>
          </a:r>
        </a:p>
      </cdr:txBody>
    </cdr:sp>
  </cdr:relSizeAnchor>
  <cdr:relSizeAnchor xmlns:cdr="http://schemas.openxmlformats.org/drawingml/2006/chartDrawing">
    <cdr:from>
      <cdr:x>0.59189</cdr:x>
      <cdr:y>0.41029</cdr:y>
    </cdr:from>
    <cdr:to>
      <cdr:x>0.59189</cdr:x>
      <cdr:y>0.45441</cdr:y>
    </cdr:to>
    <cdr:cxnSp macro="">
      <cdr:nvCxnSpPr>
        <cdr:cNvPr id="12" name="Straight Arrow Connector 11">
          <a:extLst xmlns:a="http://schemas.openxmlformats.org/drawingml/2006/main">
            <a:ext uri="{FF2B5EF4-FFF2-40B4-BE49-F238E27FC236}">
              <a16:creationId xmlns:a16="http://schemas.microsoft.com/office/drawing/2014/main" id="{C8EB75F5-0CF2-4121-BDEB-F63904B4C154}"/>
            </a:ext>
          </a:extLst>
        </cdr:cNvPr>
        <cdr:cNvCxnSpPr/>
      </cdr:nvCxnSpPr>
      <cdr:spPr>
        <a:xfrm xmlns:a="http://schemas.openxmlformats.org/drawingml/2006/main">
          <a:off x="3320653" y="1328739"/>
          <a:ext cx="0" cy="1428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0.56381</cdr:x>
      <cdr:y>0.32757</cdr:y>
    </cdr:from>
    <cdr:to>
      <cdr:x>0.56381</cdr:x>
      <cdr:y>0.56569</cdr:y>
    </cdr:to>
    <cdr:cxnSp macro="">
      <cdr:nvCxnSpPr>
        <cdr:cNvPr id="20" name="Straight Arrow Connector 19">
          <a:extLst xmlns:a="http://schemas.openxmlformats.org/drawingml/2006/main">
            <a:ext uri="{FF2B5EF4-FFF2-40B4-BE49-F238E27FC236}">
              <a16:creationId xmlns:a16="http://schemas.microsoft.com/office/drawing/2014/main" id="{6857B554-D474-4DFC-B933-5073AE7682E2}"/>
            </a:ext>
          </a:extLst>
        </cdr:cNvPr>
        <cdr:cNvCxnSpPr/>
      </cdr:nvCxnSpPr>
      <cdr:spPr>
        <a:xfrm xmlns:a="http://schemas.openxmlformats.org/drawingml/2006/main">
          <a:off x="3163094" y="1060849"/>
          <a:ext cx="0" cy="77112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0.74123</cdr:x>
      <cdr:y>0.67929</cdr:y>
    </cdr:from>
    <cdr:to>
      <cdr:x>0.88688</cdr:x>
      <cdr:y>0.73931</cdr:y>
    </cdr:to>
    <cdr:sp macro="" textlink="">
      <cdr:nvSpPr>
        <cdr:cNvPr id="22" name="TextBox 1">
          <a:extLst xmlns:a="http://schemas.openxmlformats.org/drawingml/2006/main">
            <a:ext uri="{FF2B5EF4-FFF2-40B4-BE49-F238E27FC236}">
              <a16:creationId xmlns:a16="http://schemas.microsoft.com/office/drawing/2014/main" id="{62292377-F310-4BA9-B930-1D06C649CCBB}"/>
            </a:ext>
          </a:extLst>
        </cdr:cNvPr>
        <cdr:cNvSpPr txBox="1"/>
      </cdr:nvSpPr>
      <cdr:spPr>
        <a:xfrm xmlns:a="http://schemas.openxmlformats.org/drawingml/2006/main">
          <a:off x="4158456" y="2199879"/>
          <a:ext cx="817166"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Scott Fetzer</a:t>
          </a:r>
        </a:p>
      </cdr:txBody>
    </cdr:sp>
  </cdr:relSizeAnchor>
  <cdr:relSizeAnchor xmlns:cdr="http://schemas.openxmlformats.org/drawingml/2006/chartDrawing">
    <cdr:from>
      <cdr:x>0.7667</cdr:x>
      <cdr:y>0.50098</cdr:y>
    </cdr:from>
    <cdr:to>
      <cdr:x>0.90705</cdr:x>
      <cdr:y>0.561</cdr:y>
    </cdr:to>
    <cdr:sp macro="" textlink="">
      <cdr:nvSpPr>
        <cdr:cNvPr id="23" name="TextBox 1">
          <a:extLst xmlns:a="http://schemas.openxmlformats.org/drawingml/2006/main">
            <a:ext uri="{FF2B5EF4-FFF2-40B4-BE49-F238E27FC236}">
              <a16:creationId xmlns:a16="http://schemas.microsoft.com/office/drawing/2014/main" id="{62292377-F310-4BA9-B930-1D06C649CCBB}"/>
            </a:ext>
          </a:extLst>
        </cdr:cNvPr>
        <cdr:cNvSpPr txBox="1"/>
      </cdr:nvSpPr>
      <cdr:spPr>
        <a:xfrm xmlns:a="http://schemas.openxmlformats.org/drawingml/2006/main">
          <a:off x="4301332" y="1622425"/>
          <a:ext cx="787399"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Fechheimer</a:t>
          </a:r>
        </a:p>
      </cdr:txBody>
    </cdr:sp>
  </cdr:relSizeAnchor>
  <cdr:relSizeAnchor xmlns:cdr="http://schemas.openxmlformats.org/drawingml/2006/chartDrawing">
    <cdr:from>
      <cdr:x>0.21413</cdr:x>
      <cdr:y>0.08922</cdr:y>
    </cdr:from>
    <cdr:to>
      <cdr:x>0.30327</cdr:x>
      <cdr:y>0.14924</cdr:y>
    </cdr:to>
    <cdr:sp macro="" textlink="">
      <cdr:nvSpPr>
        <cdr:cNvPr id="24" name="TextBox 1">
          <a:extLst xmlns:a="http://schemas.openxmlformats.org/drawingml/2006/main">
            <a:ext uri="{FF2B5EF4-FFF2-40B4-BE49-F238E27FC236}">
              <a16:creationId xmlns:a16="http://schemas.microsoft.com/office/drawing/2014/main" id="{62292377-F310-4BA9-B930-1D06C649CCBB}"/>
            </a:ext>
          </a:extLst>
        </cdr:cNvPr>
        <cdr:cNvSpPr txBox="1"/>
      </cdr:nvSpPr>
      <cdr:spPr>
        <a:xfrm xmlns:a="http://schemas.openxmlformats.org/drawingml/2006/main">
          <a:off x="1201340" y="288925"/>
          <a:ext cx="500063"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Heinz</a:t>
          </a:r>
        </a:p>
      </cdr:txBody>
    </cdr:sp>
  </cdr:relSizeAnchor>
  <cdr:relSizeAnchor xmlns:cdr="http://schemas.openxmlformats.org/drawingml/2006/chartDrawing">
    <cdr:from>
      <cdr:x>0.18761</cdr:x>
      <cdr:y>0.16091</cdr:y>
    </cdr:from>
    <cdr:to>
      <cdr:x>0.30299</cdr:x>
      <cdr:y>0.22093</cdr:y>
    </cdr:to>
    <cdr:sp macro="" textlink="">
      <cdr:nvSpPr>
        <cdr:cNvPr id="25" name="TextBox 1">
          <a:extLst xmlns:a="http://schemas.openxmlformats.org/drawingml/2006/main">
            <a:ext uri="{FF2B5EF4-FFF2-40B4-BE49-F238E27FC236}">
              <a16:creationId xmlns:a16="http://schemas.microsoft.com/office/drawing/2014/main" id="{A08BB55A-C014-454A-9E4B-68E3AA9C8582}"/>
            </a:ext>
          </a:extLst>
        </cdr:cNvPr>
        <cdr:cNvSpPr txBox="1"/>
      </cdr:nvSpPr>
      <cdr:spPr>
        <a:xfrm xmlns:a="http://schemas.openxmlformats.org/drawingml/2006/main">
          <a:off x="1052512" y="521097"/>
          <a:ext cx="647303" cy="194376"/>
        </a:xfrm>
        <a:prstGeom xmlns:a="http://schemas.openxmlformats.org/drawingml/2006/main" prst="rect">
          <a:avLst/>
        </a:prstGeom>
        <a:solidFill xmlns:a="http://schemas.openxmlformats.org/drawingml/2006/main">
          <a:schemeClr val="bg1"/>
        </a:solidFill>
        <a:ln xmlns:a="http://schemas.openxmlformats.org/drawingml/2006/main">
          <a:solidFill>
            <a:schemeClr val="lt1">
              <a:shade val="50000"/>
            </a:schemeClr>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aseline="0">
              <a:solidFill>
                <a:sysClr val="windowText" lastClr="000000"/>
              </a:solidFill>
              <a:latin typeface="Times New Roman" panose="02020603050405020304" pitchFamily="18" charset="0"/>
              <a:cs typeface="Times New Roman" panose="02020603050405020304" pitchFamily="18" charset="0"/>
            </a:rPr>
            <a:t>Lubrizol</a:t>
          </a:r>
        </a:p>
      </cdr:txBody>
    </cdr:sp>
  </cdr:relSizeAnchor>
</c:userShapes>
</file>

<file path=xl/drawings/drawing58.xml><?xml version="1.0" encoding="utf-8"?>
<c:userShapes xmlns:c="http://schemas.openxmlformats.org/drawingml/2006/chart">
  <cdr:relSizeAnchor xmlns:cdr="http://schemas.openxmlformats.org/drawingml/2006/chartDrawing">
    <cdr:from>
      <cdr:x>0.15278</cdr:x>
      <cdr:y>0.05208</cdr:y>
    </cdr:from>
    <cdr:to>
      <cdr:x>0.39583</cdr:x>
      <cdr:y>0.48958</cdr:y>
    </cdr:to>
    <cdr:sp macro="" textlink="">
      <cdr:nvSpPr>
        <cdr:cNvPr id="2" name="TextBox 1">
          <a:extLst xmlns:a="http://schemas.openxmlformats.org/drawingml/2006/main">
            <a:ext uri="{FF2B5EF4-FFF2-40B4-BE49-F238E27FC236}">
              <a16:creationId xmlns:a16="http://schemas.microsoft.com/office/drawing/2014/main" id="{82BD3799-CAB4-414C-827F-B8EAF73DF544}"/>
            </a:ext>
          </a:extLst>
        </cdr:cNvPr>
        <cdr:cNvSpPr txBox="1"/>
      </cdr:nvSpPr>
      <cdr:spPr>
        <a:xfrm xmlns:a="http://schemas.openxmlformats.org/drawingml/2006/main">
          <a:off x="838200" y="166688"/>
          <a:ext cx="1333500" cy="1400175"/>
        </a:xfrm>
        <a:prstGeom xmlns:a="http://schemas.openxmlformats.org/drawingml/2006/main" prst="rect">
          <a:avLst/>
        </a:prstGeom>
        <a:solidFill xmlns:a="http://schemas.openxmlformats.org/drawingml/2006/main">
          <a:schemeClr val="lt1"/>
        </a:solidFill>
        <a:ln xmlns:a="http://schemas.openxmlformats.org/drawingml/2006/main" w="3175">
          <a:solidFill>
            <a:schemeClr val="tx1"/>
          </a:solidFill>
        </a:ln>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NV Energy (2013)</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Justin Ind. (2000)</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XTRA (2001)</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BNSF (2010)</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Clayton (2003)</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Marmon (2008)</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Illinois Bank (1969)</a:t>
          </a:r>
          <a:endParaRPr lang="en-US" sz="108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NFM (1983)</a:t>
          </a:r>
          <a:endParaRPr lang="en-US" sz="1080">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0.4103</cdr:x>
      <cdr:y>0.05159</cdr:y>
    </cdr:from>
    <cdr:to>
      <cdr:x>0.67014</cdr:x>
      <cdr:y>0.42113</cdr:y>
    </cdr:to>
    <cdr:sp macro="" textlink="">
      <cdr:nvSpPr>
        <cdr:cNvPr id="3" name="TextBox 1">
          <a:extLst xmlns:a="http://schemas.openxmlformats.org/drawingml/2006/main">
            <a:ext uri="{FF2B5EF4-FFF2-40B4-BE49-F238E27FC236}">
              <a16:creationId xmlns:a16="http://schemas.microsoft.com/office/drawing/2014/main" id="{50EA77A2-B797-49FF-A62F-95B1C6A69862}"/>
            </a:ext>
          </a:extLst>
        </cdr:cNvPr>
        <cdr:cNvSpPr txBox="1"/>
      </cdr:nvSpPr>
      <cdr:spPr>
        <a:xfrm xmlns:a="http://schemas.openxmlformats.org/drawingml/2006/main">
          <a:off x="2251075" y="165101"/>
          <a:ext cx="1425575" cy="1182687"/>
        </a:xfrm>
        <a:prstGeom xmlns:a="http://schemas.openxmlformats.org/drawingml/2006/main" prst="rect">
          <a:avLst/>
        </a:prstGeom>
        <a:solidFill xmlns:a="http://schemas.openxmlformats.org/drawingml/2006/main">
          <a:schemeClr val="lt1"/>
        </a:solidFill>
        <a:ln xmlns:a="http://schemas.openxmlformats.org/drawingml/2006/main" w="3175">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Flight Safety (1996)</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CORT (2000)</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Dairy Queen (1998)</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Johns Manville (2001)</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Scott Fetzer (1986)</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75" baseline="0">
              <a:effectLst/>
              <a:latin typeface="Times New Roman" panose="02020603050405020304" pitchFamily="18" charset="0"/>
              <a:ea typeface="+mn-ea"/>
              <a:cs typeface="Times New Roman" panose="02020603050405020304" pitchFamily="18" charset="0"/>
            </a:rPr>
            <a:t>Shaw (2001)</a:t>
          </a:r>
          <a:endParaRPr lang="en-US" sz="1075">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0.69155</cdr:x>
      <cdr:y>0.24802</cdr:y>
    </cdr:from>
    <cdr:to>
      <cdr:x>0.8941</cdr:x>
      <cdr:y>0.36756</cdr:y>
    </cdr:to>
    <cdr:sp macro="" textlink="">
      <cdr:nvSpPr>
        <cdr:cNvPr id="4" name="TextBox 1">
          <a:extLst xmlns:a="http://schemas.openxmlformats.org/drawingml/2006/main">
            <a:ext uri="{FF2B5EF4-FFF2-40B4-BE49-F238E27FC236}">
              <a16:creationId xmlns:a16="http://schemas.microsoft.com/office/drawing/2014/main" id="{304D3C9E-69AD-425D-BA49-A9E50EA87C5F}"/>
            </a:ext>
          </a:extLst>
        </cdr:cNvPr>
        <cdr:cNvSpPr txBox="1"/>
      </cdr:nvSpPr>
      <cdr:spPr>
        <a:xfrm xmlns:a="http://schemas.openxmlformats.org/drawingml/2006/main">
          <a:off x="3794126" y="793751"/>
          <a:ext cx="1111250" cy="382588"/>
        </a:xfrm>
        <a:prstGeom xmlns:a="http://schemas.openxmlformats.org/drawingml/2006/main" prst="rect">
          <a:avLst/>
        </a:prstGeom>
        <a:solidFill xmlns:a="http://schemas.openxmlformats.org/drawingml/2006/main">
          <a:schemeClr val="lt1"/>
        </a:solidFill>
        <a:ln xmlns:a="http://schemas.openxmlformats.org/drawingml/2006/main" w="3175">
          <a:solidFill>
            <a:schemeClr val="tx1"/>
          </a:solidFill>
        </a:l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80" baseline="0">
              <a:effectLst/>
              <a:latin typeface="Times New Roman" panose="02020603050405020304" pitchFamily="18" charset="0"/>
              <a:ea typeface="+mn-ea"/>
              <a:cs typeface="Times New Roman" panose="02020603050405020304" pitchFamily="18" charset="0"/>
            </a:rPr>
            <a:t>Lubrizol (2011)</a:t>
          </a:r>
          <a:endParaRPr lang="en-US" sz="1080">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80" baseline="0">
              <a:effectLst/>
              <a:latin typeface="Times New Roman" panose="02020603050405020304" pitchFamily="18" charset="0"/>
              <a:ea typeface="+mn-ea"/>
              <a:cs typeface="Times New Roman" panose="02020603050405020304" pitchFamily="18" charset="0"/>
            </a:rPr>
            <a:t>Heinz (2013)</a:t>
          </a:r>
          <a:endParaRPr lang="en-US" sz="1080">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sz="108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0.67766</cdr:x>
      <cdr:y>0.59921</cdr:y>
    </cdr:from>
    <cdr:to>
      <cdr:x>0.93056</cdr:x>
      <cdr:y>0.7247</cdr:y>
    </cdr:to>
    <cdr:sp macro="" textlink="">
      <cdr:nvSpPr>
        <cdr:cNvPr id="5" name="TextBox 1">
          <a:extLst xmlns:a="http://schemas.openxmlformats.org/drawingml/2006/main">
            <a:ext uri="{FF2B5EF4-FFF2-40B4-BE49-F238E27FC236}">
              <a16:creationId xmlns:a16="http://schemas.microsoft.com/office/drawing/2014/main" id="{81861C98-B3A1-4C10-9685-B099C93261CF}"/>
            </a:ext>
          </a:extLst>
        </cdr:cNvPr>
        <cdr:cNvSpPr txBox="1"/>
      </cdr:nvSpPr>
      <cdr:spPr>
        <a:xfrm xmlns:a="http://schemas.openxmlformats.org/drawingml/2006/main">
          <a:off x="3717925" y="1917701"/>
          <a:ext cx="1387475" cy="401638"/>
        </a:xfrm>
        <a:prstGeom xmlns:a="http://schemas.openxmlformats.org/drawingml/2006/main" prst="rect">
          <a:avLst/>
        </a:prstGeom>
        <a:solidFill xmlns:a="http://schemas.openxmlformats.org/drawingml/2006/main">
          <a:schemeClr val="lt1"/>
        </a:solidFill>
        <a:ln xmlns:a="http://schemas.openxmlformats.org/drawingml/2006/main" w="3175">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sz="1080" baseline="0">
              <a:effectLst/>
              <a:latin typeface="Times New Roman" panose="02020603050405020304" pitchFamily="18" charset="0"/>
              <a:ea typeface="+mn-ea"/>
              <a:cs typeface="Times New Roman" panose="02020603050405020304" pitchFamily="18" charset="0"/>
            </a:rPr>
            <a:t>See's (1972)</a:t>
          </a:r>
          <a:endParaRPr lang="en-US" sz="1080">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080" baseline="0">
              <a:effectLst/>
              <a:latin typeface="Times New Roman" panose="02020603050405020304" pitchFamily="18" charset="0"/>
              <a:ea typeface="+mn-ea"/>
              <a:cs typeface="Times New Roman" panose="02020603050405020304" pitchFamily="18" charset="0"/>
            </a:rPr>
            <a:t>Fechheimer (1986)</a:t>
          </a:r>
          <a:endParaRPr lang="en-US" sz="1080">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a:effectLst/>
            <a:latin typeface="Times New Roman" panose="02020603050405020304" pitchFamily="18" charset="0"/>
            <a:cs typeface="Times New Roman" panose="02020603050405020304" pitchFamily="18" charset="0"/>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0.12934</cdr:x>
      <cdr:y>0.27232</cdr:y>
    </cdr:from>
    <cdr:to>
      <cdr:x>0.40712</cdr:x>
      <cdr:y>0.4003</cdr:y>
    </cdr:to>
    <cdr:sp macro="" textlink="">
      <cdr:nvSpPr>
        <cdr:cNvPr id="2" name="TextBox 1">
          <a:extLst xmlns:a="http://schemas.openxmlformats.org/drawingml/2006/main">
            <a:ext uri="{FF2B5EF4-FFF2-40B4-BE49-F238E27FC236}">
              <a16:creationId xmlns:a16="http://schemas.microsoft.com/office/drawing/2014/main" id="{94755150-55BC-43C9-8046-D445B167DC75}"/>
            </a:ext>
          </a:extLst>
        </cdr:cNvPr>
        <cdr:cNvSpPr txBox="1"/>
      </cdr:nvSpPr>
      <cdr:spPr>
        <a:xfrm xmlns:a="http://schemas.openxmlformats.org/drawingml/2006/main">
          <a:off x="709613" y="871538"/>
          <a:ext cx="15240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See's Candies (1972)</a:t>
          </a:r>
        </a:p>
      </cdr:txBody>
    </cdr:sp>
  </cdr:relSizeAnchor>
  <cdr:relSizeAnchor xmlns:cdr="http://schemas.openxmlformats.org/drawingml/2006/chartDrawing">
    <cdr:from>
      <cdr:x>0.30642</cdr:x>
      <cdr:y>0.33482</cdr:y>
    </cdr:from>
    <cdr:to>
      <cdr:x>0.35156</cdr:x>
      <cdr:y>0.40923</cdr:y>
    </cdr:to>
    <cdr:cxnSp macro="">
      <cdr:nvCxnSpPr>
        <cdr:cNvPr id="4" name="Straight Arrow Connector 3">
          <a:extLst xmlns:a="http://schemas.openxmlformats.org/drawingml/2006/main">
            <a:ext uri="{FF2B5EF4-FFF2-40B4-BE49-F238E27FC236}">
              <a16:creationId xmlns:a16="http://schemas.microsoft.com/office/drawing/2014/main" id="{2BE1FA4E-11DD-4DD6-9A55-6E1113BF33E3}"/>
            </a:ext>
          </a:extLst>
        </cdr:cNvPr>
        <cdr:cNvCxnSpPr/>
      </cdr:nvCxnSpPr>
      <cdr:spPr>
        <a:xfrm xmlns:a="http://schemas.openxmlformats.org/drawingml/2006/main" flipH="1">
          <a:off x="1681163" y="1071563"/>
          <a:ext cx="247651" cy="23812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0.55961</cdr:x>
      <cdr:y>0.11111</cdr:y>
    </cdr:from>
    <cdr:to>
      <cdr:x>0.8235</cdr:x>
      <cdr:y>0.23909</cdr:y>
    </cdr:to>
    <cdr:sp macro="" textlink="">
      <cdr:nvSpPr>
        <cdr:cNvPr id="5" name="TextBox 1">
          <a:extLst xmlns:a="http://schemas.openxmlformats.org/drawingml/2006/main">
            <a:ext uri="{FF2B5EF4-FFF2-40B4-BE49-F238E27FC236}">
              <a16:creationId xmlns:a16="http://schemas.microsoft.com/office/drawing/2014/main" id="{E1DA9102-19C1-425D-95AB-9ABF50FAD176}"/>
            </a:ext>
          </a:extLst>
        </cdr:cNvPr>
        <cdr:cNvSpPr txBox="1"/>
      </cdr:nvSpPr>
      <cdr:spPr>
        <a:xfrm xmlns:a="http://schemas.openxmlformats.org/drawingml/2006/main">
          <a:off x="3070225" y="355600"/>
          <a:ext cx="1447800" cy="40957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Times New Roman" panose="02020603050405020304" pitchFamily="18" charset="0"/>
              <a:cs typeface="Times New Roman" panose="02020603050405020304" pitchFamily="18" charset="0"/>
            </a:rPr>
            <a:t>Fechheimer</a:t>
          </a:r>
          <a:r>
            <a:rPr lang="en-US" sz="1200" baseline="0">
              <a:latin typeface="Times New Roman" panose="02020603050405020304" pitchFamily="18" charset="0"/>
              <a:cs typeface="Times New Roman" panose="02020603050405020304" pitchFamily="18" charset="0"/>
            </a:rPr>
            <a:t> (1986)</a:t>
          </a:r>
        </a:p>
        <a:p xmlns:a="http://schemas.openxmlformats.org/drawingml/2006/main">
          <a:r>
            <a:rPr lang="en-US" sz="1200" baseline="0">
              <a:latin typeface="Times New Roman" panose="02020603050405020304" pitchFamily="18" charset="0"/>
              <a:cs typeface="Times New Roman" panose="02020603050405020304" pitchFamily="18" charset="0"/>
            </a:rPr>
            <a:t>Scott Fetzer (1986)</a:t>
          </a:r>
          <a:endParaRPr lang="en-US" sz="1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0.71962</cdr:x>
      <cdr:y>0.26885</cdr:y>
    </cdr:from>
    <cdr:to>
      <cdr:x>0.93113</cdr:x>
      <cdr:y>0.39683</cdr:y>
    </cdr:to>
    <cdr:sp macro="" textlink="">
      <cdr:nvSpPr>
        <cdr:cNvPr id="7" name="TextBox 1">
          <a:extLst xmlns:a="http://schemas.openxmlformats.org/drawingml/2006/main">
            <a:ext uri="{FF2B5EF4-FFF2-40B4-BE49-F238E27FC236}">
              <a16:creationId xmlns:a16="http://schemas.microsoft.com/office/drawing/2014/main" id="{8E83ED11-BA2A-463F-A8B7-549492E86642}"/>
            </a:ext>
          </a:extLst>
        </cdr:cNvPr>
        <cdr:cNvSpPr txBox="1"/>
      </cdr:nvSpPr>
      <cdr:spPr>
        <a:xfrm xmlns:a="http://schemas.openxmlformats.org/drawingml/2006/main">
          <a:off x="3948113" y="860425"/>
          <a:ext cx="1160462" cy="409575"/>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aseline="0">
              <a:latin typeface="Times New Roman" panose="02020603050405020304" pitchFamily="18" charset="0"/>
              <a:cs typeface="Times New Roman" panose="02020603050405020304" pitchFamily="18" charset="0"/>
            </a:rPr>
            <a:t>Heinz (2013)</a:t>
          </a:r>
        </a:p>
        <a:p xmlns:a="http://schemas.openxmlformats.org/drawingml/2006/main">
          <a:r>
            <a:rPr lang="en-US" sz="1200" baseline="0">
              <a:latin typeface="Times New Roman" panose="02020603050405020304" pitchFamily="18" charset="0"/>
              <a:cs typeface="Times New Roman" panose="02020603050405020304" pitchFamily="18" charset="0"/>
            </a:rPr>
            <a:t>Lubrizol (2011)</a:t>
          </a:r>
        </a:p>
      </cdr:txBody>
    </cdr:sp>
  </cdr:relSizeAnchor>
  <cdr:relSizeAnchor xmlns:cdr="http://schemas.openxmlformats.org/drawingml/2006/chartDrawing">
    <cdr:from>
      <cdr:x>0.92969</cdr:x>
      <cdr:y>0.39683</cdr:y>
    </cdr:from>
    <cdr:to>
      <cdr:x>0.93113</cdr:x>
      <cdr:y>0.7247</cdr:y>
    </cdr:to>
    <cdr:cxnSp macro="">
      <cdr:nvCxnSpPr>
        <cdr:cNvPr id="8" name="Straight Arrow Connector 7">
          <a:extLst xmlns:a="http://schemas.openxmlformats.org/drawingml/2006/main">
            <a:ext uri="{FF2B5EF4-FFF2-40B4-BE49-F238E27FC236}">
              <a16:creationId xmlns:a16="http://schemas.microsoft.com/office/drawing/2014/main" id="{80445D18-B3DD-4C81-8D12-A5E3F1F247FA}"/>
            </a:ext>
          </a:extLst>
        </cdr:cNvPr>
        <cdr:cNvCxnSpPr/>
      </cdr:nvCxnSpPr>
      <cdr:spPr>
        <a:xfrm xmlns:a="http://schemas.openxmlformats.org/drawingml/2006/main" flipH="1">
          <a:off x="5100638" y="1270000"/>
          <a:ext cx="7939" cy="1049338"/>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5</xdr:col>
      <xdr:colOff>193127</xdr:colOff>
      <xdr:row>2</xdr:row>
      <xdr:rowOff>11824</xdr:rowOff>
    </xdr:from>
    <xdr:to>
      <xdr:col>14</xdr:col>
      <xdr:colOff>163309</xdr:colOff>
      <xdr:row>18</xdr:row>
      <xdr:rowOff>31702</xdr:rowOff>
    </xdr:to>
    <xdr:graphicFrame macro="">
      <xdr:nvGraphicFramePr>
        <xdr:cNvPr id="2" name="Chart 1">
          <a:extLst>
            <a:ext uri="{FF2B5EF4-FFF2-40B4-BE49-F238E27FC236}">
              <a16:creationId xmlns:a16="http://schemas.microsoft.com/office/drawing/2014/main" id="{46C70FC7-43FA-4039-81D5-F29A6F16D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0.26042</cdr:x>
      <cdr:y>0.35268</cdr:y>
    </cdr:from>
    <cdr:to>
      <cdr:x>0.6441</cdr:x>
      <cdr:y>0.63839</cdr:y>
    </cdr:to>
    <cdr:sp macro="" textlink="">
      <cdr:nvSpPr>
        <cdr:cNvPr id="2" name="Rectangle 1">
          <a:extLst xmlns:a="http://schemas.openxmlformats.org/drawingml/2006/main">
            <a:ext uri="{FF2B5EF4-FFF2-40B4-BE49-F238E27FC236}">
              <a16:creationId xmlns:a16="http://schemas.microsoft.com/office/drawing/2014/main" id="{EDFE8CBB-6C8F-46C8-9A26-0A4A1E5D0136}"/>
            </a:ext>
          </a:extLst>
        </cdr:cNvPr>
        <cdr:cNvSpPr/>
      </cdr:nvSpPr>
      <cdr:spPr>
        <a:xfrm xmlns:a="http://schemas.openxmlformats.org/drawingml/2006/main">
          <a:off x="1428749" y="1128713"/>
          <a:ext cx="2105025" cy="914400"/>
        </a:xfrm>
        <a:prstGeom xmlns:a="http://schemas.openxmlformats.org/drawingml/2006/main" prst="rect">
          <a:avLst/>
        </a:prstGeom>
        <a:solidFill xmlns:a="http://schemas.openxmlformats.org/drawingml/2006/main">
          <a:schemeClr val="bg1">
            <a:lumMod val="65000"/>
            <a:alpha val="5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0.53993</cdr:x>
      <cdr:y>0.08482</cdr:y>
    </cdr:from>
    <cdr:to>
      <cdr:x>0.76563</cdr:x>
      <cdr:y>0.16816</cdr:y>
    </cdr:to>
    <cdr:sp macro="" textlink="">
      <cdr:nvSpPr>
        <cdr:cNvPr id="3" name="TextBox 2">
          <a:extLst xmlns:a="http://schemas.openxmlformats.org/drawingml/2006/main">
            <a:ext uri="{FF2B5EF4-FFF2-40B4-BE49-F238E27FC236}">
              <a16:creationId xmlns:a16="http://schemas.microsoft.com/office/drawing/2014/main" id="{4F760998-73CC-4BDF-8993-3A88D7941739}"/>
            </a:ext>
          </a:extLst>
        </cdr:cNvPr>
        <cdr:cNvSpPr txBox="1"/>
      </cdr:nvSpPr>
      <cdr:spPr>
        <a:xfrm xmlns:a="http://schemas.openxmlformats.org/drawingml/2006/main">
          <a:off x="2962275" y="271464"/>
          <a:ext cx="12382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Scott Fetzer</a:t>
          </a:r>
        </a:p>
      </cdr:txBody>
    </cdr:sp>
  </cdr:relSizeAnchor>
  <cdr:relSizeAnchor xmlns:cdr="http://schemas.openxmlformats.org/drawingml/2006/chartDrawing">
    <cdr:from>
      <cdr:x>0.79514</cdr:x>
      <cdr:y>0.05754</cdr:y>
    </cdr:from>
    <cdr:to>
      <cdr:x>0.97049</cdr:x>
      <cdr:y>0.14087</cdr:y>
    </cdr:to>
    <cdr:sp macro="" textlink="">
      <cdr:nvSpPr>
        <cdr:cNvPr id="4" name="TextBox 1">
          <a:extLst xmlns:a="http://schemas.openxmlformats.org/drawingml/2006/main">
            <a:ext uri="{FF2B5EF4-FFF2-40B4-BE49-F238E27FC236}">
              <a16:creationId xmlns:a16="http://schemas.microsoft.com/office/drawing/2014/main" id="{4C5DE30A-DF49-46C8-9C33-5D72289AD2F7}"/>
            </a:ext>
          </a:extLst>
        </cdr:cNvPr>
        <cdr:cNvSpPr txBox="1"/>
      </cdr:nvSpPr>
      <cdr:spPr>
        <a:xfrm xmlns:a="http://schemas.openxmlformats.org/drawingml/2006/main">
          <a:off x="4362449" y="184150"/>
          <a:ext cx="9620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Fechheimer</a:t>
          </a:r>
        </a:p>
      </cdr:txBody>
    </cdr:sp>
  </cdr:relSizeAnchor>
  <cdr:relSizeAnchor xmlns:cdr="http://schemas.openxmlformats.org/drawingml/2006/chartDrawing">
    <cdr:from>
      <cdr:x>0.84028</cdr:x>
      <cdr:y>0.32242</cdr:y>
    </cdr:from>
    <cdr:to>
      <cdr:x>0.92708</cdr:x>
      <cdr:y>0.40575</cdr:y>
    </cdr:to>
    <cdr:sp macro="" textlink="">
      <cdr:nvSpPr>
        <cdr:cNvPr id="5" name="TextBox 1">
          <a:extLst xmlns:a="http://schemas.openxmlformats.org/drawingml/2006/main">
            <a:ext uri="{FF2B5EF4-FFF2-40B4-BE49-F238E27FC236}">
              <a16:creationId xmlns:a16="http://schemas.microsoft.com/office/drawing/2014/main" id="{4C5DE30A-DF49-46C8-9C33-5D72289AD2F7}"/>
            </a:ext>
          </a:extLst>
        </cdr:cNvPr>
        <cdr:cNvSpPr txBox="1"/>
      </cdr:nvSpPr>
      <cdr:spPr>
        <a:xfrm xmlns:a="http://schemas.openxmlformats.org/drawingml/2006/main">
          <a:off x="4610100" y="1031875"/>
          <a:ext cx="4762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See's</a:t>
          </a:r>
        </a:p>
      </cdr:txBody>
    </cdr:sp>
  </cdr:relSizeAnchor>
  <cdr:relSizeAnchor xmlns:cdr="http://schemas.openxmlformats.org/drawingml/2006/chartDrawing">
    <cdr:from>
      <cdr:x>0.79745</cdr:x>
      <cdr:y>0.54563</cdr:y>
    </cdr:from>
    <cdr:to>
      <cdr:x>0.92187</cdr:x>
      <cdr:y>0.68899</cdr:y>
    </cdr:to>
    <cdr:sp macro="" textlink="">
      <cdr:nvSpPr>
        <cdr:cNvPr id="6" name="TextBox 1">
          <a:extLst xmlns:a="http://schemas.openxmlformats.org/drawingml/2006/main">
            <a:ext uri="{FF2B5EF4-FFF2-40B4-BE49-F238E27FC236}">
              <a16:creationId xmlns:a16="http://schemas.microsoft.com/office/drawing/2014/main" id="{4401ABDD-95C2-4CA8-B321-F2464198F0EF}"/>
            </a:ext>
          </a:extLst>
        </cdr:cNvPr>
        <cdr:cNvSpPr txBox="1"/>
      </cdr:nvSpPr>
      <cdr:spPr>
        <a:xfrm xmlns:a="http://schemas.openxmlformats.org/drawingml/2006/main">
          <a:off x="4375149" y="1746250"/>
          <a:ext cx="682625" cy="4587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Lubrizol</a:t>
          </a:r>
        </a:p>
        <a:p xmlns:a="http://schemas.openxmlformats.org/drawingml/2006/main">
          <a:r>
            <a:rPr lang="en-US" sz="1100">
              <a:latin typeface="Times New Roman" panose="02020603050405020304" pitchFamily="18" charset="0"/>
              <a:cs typeface="Times New Roman" panose="02020603050405020304" pitchFamily="18" charset="0"/>
            </a:rPr>
            <a:t>Heinz</a:t>
          </a: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221089</xdr:colOff>
      <xdr:row>211</xdr:row>
      <xdr:rowOff>34457</xdr:rowOff>
    </xdr:from>
    <xdr:to>
      <xdr:col>12</xdr:col>
      <xdr:colOff>980120</xdr:colOff>
      <xdr:row>227</xdr:row>
      <xdr:rowOff>131439</xdr:rowOff>
    </xdr:to>
    <xdr:graphicFrame macro="">
      <xdr:nvGraphicFramePr>
        <xdr:cNvPr id="2" name="Chart 1">
          <a:extLst>
            <a:ext uri="{FF2B5EF4-FFF2-40B4-BE49-F238E27FC236}">
              <a16:creationId xmlns:a16="http://schemas.microsoft.com/office/drawing/2014/main" id="{577B039B-B634-44BD-AAA9-A3BB7997B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1114357</xdr:colOff>
      <xdr:row>217</xdr:row>
      <xdr:rowOff>61069</xdr:rowOff>
    </xdr:from>
    <xdr:to>
      <xdr:col>16</xdr:col>
      <xdr:colOff>239541</xdr:colOff>
      <xdr:row>233</xdr:row>
      <xdr:rowOff>160029</xdr:rowOff>
    </xdr:to>
    <xdr:graphicFrame macro="">
      <xdr:nvGraphicFramePr>
        <xdr:cNvPr id="3" name="Chart 2">
          <a:extLst>
            <a:ext uri="{FF2B5EF4-FFF2-40B4-BE49-F238E27FC236}">
              <a16:creationId xmlns:a16="http://schemas.microsoft.com/office/drawing/2014/main" id="{6BCC0EF2-338C-43BF-92D8-B1EA601B9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163286</xdr:colOff>
      <xdr:row>209</xdr:row>
      <xdr:rowOff>108858</xdr:rowOff>
    </xdr:from>
    <xdr:to>
      <xdr:col>7</xdr:col>
      <xdr:colOff>965860</xdr:colOff>
      <xdr:row>226</xdr:row>
      <xdr:rowOff>9897</xdr:rowOff>
    </xdr:to>
    <xdr:graphicFrame macro="">
      <xdr:nvGraphicFramePr>
        <xdr:cNvPr id="6" name="Chart 5">
          <a:extLst>
            <a:ext uri="{FF2B5EF4-FFF2-40B4-BE49-F238E27FC236}">
              <a16:creationId xmlns:a16="http://schemas.microsoft.com/office/drawing/2014/main" id="{19355318-46D0-413B-8253-238CABA48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57149</xdr:colOff>
      <xdr:row>32</xdr:row>
      <xdr:rowOff>77028</xdr:rowOff>
    </xdr:from>
    <xdr:to>
      <xdr:col>29</xdr:col>
      <xdr:colOff>471280</xdr:colOff>
      <xdr:row>48</xdr:row>
      <xdr:rowOff>9939</xdr:rowOff>
    </xdr:to>
    <xdr:graphicFrame macro="">
      <xdr:nvGraphicFramePr>
        <xdr:cNvPr id="2" name="Chart 1">
          <a:extLst>
            <a:ext uri="{FF2B5EF4-FFF2-40B4-BE49-F238E27FC236}">
              <a16:creationId xmlns:a16="http://schemas.microsoft.com/office/drawing/2014/main" id="{5797AE46-C962-40FC-A62B-D070E9478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124238</xdr:colOff>
      <xdr:row>8</xdr:row>
      <xdr:rowOff>26918</xdr:rowOff>
    </xdr:from>
    <xdr:to>
      <xdr:col>40</xdr:col>
      <xdr:colOff>124238</xdr:colOff>
      <xdr:row>26</xdr:row>
      <xdr:rowOff>169793</xdr:rowOff>
    </xdr:to>
    <xdr:graphicFrame macro="">
      <xdr:nvGraphicFramePr>
        <xdr:cNvPr id="3" name="Chart 2">
          <a:extLst>
            <a:ext uri="{FF2B5EF4-FFF2-40B4-BE49-F238E27FC236}">
              <a16:creationId xmlns:a16="http://schemas.microsoft.com/office/drawing/2014/main" id="{B80DFDCC-D3EB-4D60-9B57-9A90490EE5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0.91977</cdr:y>
    </cdr:from>
    <cdr:to>
      <cdr:x>0.98883</cdr:x>
      <cdr:y>1</cdr:y>
    </cdr:to>
    <cdr:sp macro="" textlink="">
      <cdr:nvSpPr>
        <cdr:cNvPr id="2" name="TextBox 1">
          <a:extLst xmlns:a="http://schemas.openxmlformats.org/drawingml/2006/main">
            <a:ext uri="{FF2B5EF4-FFF2-40B4-BE49-F238E27FC236}">
              <a16:creationId xmlns:a16="http://schemas.microsoft.com/office/drawing/2014/main" id="{32DD0A41-50F8-441D-809C-F93E5B7B72B3}"/>
            </a:ext>
          </a:extLst>
        </cdr:cNvPr>
        <cdr:cNvSpPr txBox="1"/>
      </cdr:nvSpPr>
      <cdr:spPr>
        <a:xfrm xmlns:a="http://schemas.openxmlformats.org/drawingml/2006/main">
          <a:off x="0" y="2943639"/>
          <a:ext cx="5425110"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Total operating earnings =</a:t>
          </a:r>
          <a:r>
            <a:rPr lang="en-US" sz="1200" baseline="0">
              <a:latin typeface="Times New Roman" panose="02020603050405020304" pitchFamily="18" charset="0"/>
              <a:cs typeface="Times New Roman" panose="02020603050405020304" pitchFamily="18" charset="0"/>
            </a:rPr>
            <a:t> $95.1 billion.    Note: Totals may not add due to rounding. </a:t>
          </a:r>
          <a:endParaRPr lang="en-US" sz="1100">
            <a:latin typeface="Times New Roman" panose="02020603050405020304" pitchFamily="18" charset="0"/>
            <a:cs typeface="Times New Roman" panose="02020603050405020304" pitchFamily="18"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0.61624</cdr:x>
      <cdr:y>0.79218</cdr:y>
    </cdr:from>
    <cdr:to>
      <cdr:x>1</cdr:x>
      <cdr:y>0.98266</cdr:y>
    </cdr:to>
    <cdr:sp macro="" textlink="">
      <cdr:nvSpPr>
        <cdr:cNvPr id="2" name="TextBox 1">
          <a:extLst xmlns:a="http://schemas.openxmlformats.org/drawingml/2006/main">
            <a:ext uri="{FF2B5EF4-FFF2-40B4-BE49-F238E27FC236}">
              <a16:creationId xmlns:a16="http://schemas.microsoft.com/office/drawing/2014/main" id="{1BD27176-652A-44A8-8B40-4CEC7CF254FD}"/>
            </a:ext>
          </a:extLst>
        </cdr:cNvPr>
        <cdr:cNvSpPr txBox="1"/>
      </cdr:nvSpPr>
      <cdr:spPr>
        <a:xfrm xmlns:a="http://schemas.openxmlformats.org/drawingml/2006/main">
          <a:off x="3380962" y="2535307"/>
          <a:ext cx="2105438" cy="609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Times New Roman" panose="02020603050405020304" pitchFamily="18" charset="0"/>
              <a:cs typeface="Times New Roman" panose="02020603050405020304" pitchFamily="18" charset="0"/>
            </a:rPr>
            <a:t>Total operating earnings =</a:t>
          </a:r>
          <a:r>
            <a:rPr lang="en-US" sz="1200" baseline="0">
              <a:latin typeface="Times New Roman" panose="02020603050405020304" pitchFamily="18" charset="0"/>
              <a:cs typeface="Times New Roman" panose="02020603050405020304" pitchFamily="18" charset="0"/>
            </a:rPr>
            <a:t> $95.1 billion. Note: Totals may not add due to rounding. </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0.15117</cdr:x>
      <cdr:y>0.87269</cdr:y>
    </cdr:from>
    <cdr:to>
      <cdr:x>0.60363</cdr:x>
      <cdr:y>0.87269</cdr:y>
    </cdr:to>
    <cdr:cxnSp macro="">
      <cdr:nvCxnSpPr>
        <cdr:cNvPr id="4" name="Straight Connector 3">
          <a:extLst xmlns:a="http://schemas.openxmlformats.org/drawingml/2006/main">
            <a:ext uri="{FF2B5EF4-FFF2-40B4-BE49-F238E27FC236}">
              <a16:creationId xmlns:a16="http://schemas.microsoft.com/office/drawing/2014/main" id="{3AF25822-4012-403C-95C7-636C63B6BD26}"/>
            </a:ext>
          </a:extLst>
        </cdr:cNvPr>
        <cdr:cNvCxnSpPr/>
      </cdr:nvCxnSpPr>
      <cdr:spPr>
        <a:xfrm xmlns:a="http://schemas.openxmlformats.org/drawingml/2006/main">
          <a:off x="832111" y="2793393"/>
          <a:ext cx="2490529"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8</xdr:col>
      <xdr:colOff>236220</xdr:colOff>
      <xdr:row>3</xdr:row>
      <xdr:rowOff>83820</xdr:rowOff>
    </xdr:from>
    <xdr:to>
      <xdr:col>16</xdr:col>
      <xdr:colOff>251460</xdr:colOff>
      <xdr:row>25</xdr:row>
      <xdr:rowOff>152400</xdr:rowOff>
    </xdr:to>
    <xdr:pic>
      <xdr:nvPicPr>
        <xdr:cNvPr id="2" name="Picture 1">
          <a:extLst>
            <a:ext uri="{FF2B5EF4-FFF2-40B4-BE49-F238E27FC236}">
              <a16:creationId xmlns:a16="http://schemas.microsoft.com/office/drawing/2014/main" id="{20129416-6CA5-4425-8FE4-382D995B5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06740" y="548640"/>
          <a:ext cx="5013960" cy="3528060"/>
        </a:xfrm>
        <a:prstGeom prst="rect">
          <a:avLst/>
        </a:prstGeom>
        <a:solidFill>
          <a:schemeClr val="accent4">
            <a:lumMod val="20000"/>
            <a:lumOff val="80000"/>
          </a:schemeClr>
        </a:solidFill>
      </xdr:spPr>
    </xdr:pic>
    <xdr:clientData/>
  </xdr:twoCellAnchor>
</xdr:wsDr>
</file>

<file path=xl/drawings/drawing66.xml><?xml version="1.0" encoding="utf-8"?>
<xdr:wsDr xmlns:xdr="http://schemas.openxmlformats.org/drawingml/2006/spreadsheetDrawing" xmlns:a="http://schemas.openxmlformats.org/drawingml/2006/main">
  <xdr:twoCellAnchor>
    <xdr:from>
      <xdr:col>3</xdr:col>
      <xdr:colOff>180975</xdr:colOff>
      <xdr:row>10</xdr:row>
      <xdr:rowOff>4762</xdr:rowOff>
    </xdr:from>
    <xdr:to>
      <xdr:col>12</xdr:col>
      <xdr:colOff>180975</xdr:colOff>
      <xdr:row>26</xdr:row>
      <xdr:rowOff>4762</xdr:rowOff>
    </xdr:to>
    <xdr:graphicFrame macro="">
      <xdr:nvGraphicFramePr>
        <xdr:cNvPr id="2" name="Chart 1">
          <a:extLst>
            <a:ext uri="{FF2B5EF4-FFF2-40B4-BE49-F238E27FC236}">
              <a16:creationId xmlns:a16="http://schemas.microsoft.com/office/drawing/2014/main" id="{2DAB0DD6-9FB1-4BB0-9BD8-C835B48E5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0.91815</cdr:y>
    </cdr:from>
    <cdr:to>
      <cdr:x>0.48785</cdr:x>
      <cdr:y>0.99554</cdr:y>
    </cdr:to>
    <cdr:sp macro="" textlink="">
      <cdr:nvSpPr>
        <cdr:cNvPr id="2" name="TextBox 1">
          <a:extLst xmlns:a="http://schemas.openxmlformats.org/drawingml/2006/main">
            <a:ext uri="{FF2B5EF4-FFF2-40B4-BE49-F238E27FC236}">
              <a16:creationId xmlns:a16="http://schemas.microsoft.com/office/drawing/2014/main" id="{9F5F7382-5B3C-4288-B64C-2A88B1DB2E4E}"/>
            </a:ext>
          </a:extLst>
        </cdr:cNvPr>
        <cdr:cNvSpPr txBox="1"/>
      </cdr:nvSpPr>
      <cdr:spPr>
        <a:xfrm xmlns:a="http://schemas.openxmlformats.org/drawingml/2006/main">
          <a:off x="0" y="2938463"/>
          <a:ext cx="26765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Times New Roman" panose="02020603050405020304" pitchFamily="18" charset="0"/>
              <a:cs typeface="Times New Roman" panose="02020603050405020304" pitchFamily="18" charset="0"/>
            </a:rPr>
            <a:t>Total product</a:t>
          </a:r>
          <a:r>
            <a:rPr lang="en-US" sz="1200" baseline="0">
              <a:latin typeface="Times New Roman" panose="02020603050405020304" pitchFamily="18" charset="0"/>
              <a:cs typeface="Times New Roman" panose="02020603050405020304" pitchFamily="18" charset="0"/>
            </a:rPr>
            <a:t> revenues = $18,205 billion</a:t>
          </a:r>
          <a:endParaRPr lang="en-US" sz="1200">
            <a:latin typeface="Times New Roman" panose="02020603050405020304" pitchFamily="18" charset="0"/>
            <a:cs typeface="Times New Roman" panose="02020603050405020304" pitchFamily="18" charset="0"/>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7</xdr:col>
      <xdr:colOff>419100</xdr:colOff>
      <xdr:row>3</xdr:row>
      <xdr:rowOff>176211</xdr:rowOff>
    </xdr:from>
    <xdr:to>
      <xdr:col>16</xdr:col>
      <xdr:colOff>419100</xdr:colOff>
      <xdr:row>19</xdr:row>
      <xdr:rowOff>176211</xdr:rowOff>
    </xdr:to>
    <xdr:graphicFrame macro="">
      <xdr:nvGraphicFramePr>
        <xdr:cNvPr id="2" name="Chart 1">
          <a:extLst>
            <a:ext uri="{FF2B5EF4-FFF2-40B4-BE49-F238E27FC236}">
              <a16:creationId xmlns:a16="http://schemas.microsoft.com/office/drawing/2014/main" id="{D425ACF0-68C2-461F-9860-31205354D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434943</xdr:colOff>
      <xdr:row>20</xdr:row>
      <xdr:rowOff>200667</xdr:rowOff>
    </xdr:from>
    <xdr:to>
      <xdr:col>16</xdr:col>
      <xdr:colOff>456375</xdr:colOff>
      <xdr:row>36</xdr:row>
      <xdr:rowOff>162567</xdr:rowOff>
    </xdr:to>
    <xdr:graphicFrame macro="">
      <xdr:nvGraphicFramePr>
        <xdr:cNvPr id="3" name="Chart 2">
          <a:extLst>
            <a:ext uri="{FF2B5EF4-FFF2-40B4-BE49-F238E27FC236}">
              <a16:creationId xmlns:a16="http://schemas.microsoft.com/office/drawing/2014/main" id="{5345E9A5-425B-4506-BFE1-6BD4BA468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635977</xdr:colOff>
      <xdr:row>9</xdr:row>
      <xdr:rowOff>124557</xdr:rowOff>
    </xdr:from>
    <xdr:to>
      <xdr:col>3</xdr:col>
      <xdr:colOff>278423</xdr:colOff>
      <xdr:row>13</xdr:row>
      <xdr:rowOff>87923</xdr:rowOff>
    </xdr:to>
    <xdr:cxnSp macro="">
      <xdr:nvCxnSpPr>
        <xdr:cNvPr id="2" name="Straight Arrow Connector 1">
          <a:extLst>
            <a:ext uri="{FF2B5EF4-FFF2-40B4-BE49-F238E27FC236}">
              <a16:creationId xmlns:a16="http://schemas.microsoft.com/office/drawing/2014/main" id="{BCB73A2E-7E2D-484A-B8B7-9BD1B2F188F2}"/>
            </a:ext>
          </a:extLst>
        </xdr:cNvPr>
        <xdr:cNvCxnSpPr/>
      </xdr:nvCxnSpPr>
      <xdr:spPr>
        <a:xfrm flipH="1">
          <a:off x="1253197" y="1770477"/>
          <a:ext cx="899746" cy="694886"/>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0.21815</cdr:x>
      <cdr:y>0.07287</cdr:y>
    </cdr:from>
    <cdr:to>
      <cdr:x>0.41395</cdr:x>
      <cdr:y>0.1474</cdr:y>
    </cdr:to>
    <cdr:sp macro="" textlink="">
      <cdr:nvSpPr>
        <cdr:cNvPr id="2" name="TextBox 1">
          <a:extLst xmlns:a="http://schemas.openxmlformats.org/drawingml/2006/main">
            <a:ext uri="{FF2B5EF4-FFF2-40B4-BE49-F238E27FC236}">
              <a16:creationId xmlns:a16="http://schemas.microsoft.com/office/drawing/2014/main" id="{2ADE2DB5-300F-447E-BA32-79FD183D9ECF}"/>
            </a:ext>
          </a:extLst>
        </cdr:cNvPr>
        <cdr:cNvSpPr txBox="1"/>
      </cdr:nvSpPr>
      <cdr:spPr>
        <a:xfrm xmlns:a="http://schemas.openxmlformats.org/drawingml/2006/main">
          <a:off x="1192926" y="231228"/>
          <a:ext cx="1070741" cy="2364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0.18571</cdr:x>
      <cdr:y>0.12215</cdr:y>
    </cdr:from>
    <cdr:to>
      <cdr:x>0.40314</cdr:x>
      <cdr:y>0.28818</cdr:y>
    </cdr:to>
    <cdr:sp macro="" textlink="">
      <cdr:nvSpPr>
        <cdr:cNvPr id="3" name="TextBox 2">
          <a:extLst xmlns:a="http://schemas.openxmlformats.org/drawingml/2006/main">
            <a:ext uri="{FF2B5EF4-FFF2-40B4-BE49-F238E27FC236}">
              <a16:creationId xmlns:a16="http://schemas.microsoft.com/office/drawing/2014/main" id="{9458D79F-F8F8-409E-B492-3464879214FE}"/>
            </a:ext>
          </a:extLst>
        </cdr:cNvPr>
        <cdr:cNvSpPr txBox="1"/>
      </cdr:nvSpPr>
      <cdr:spPr>
        <a:xfrm xmlns:a="http://schemas.openxmlformats.org/drawingml/2006/main">
          <a:off x="1015564" y="387569"/>
          <a:ext cx="1188982" cy="5268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latin typeface="Times New Roman" panose="02020603050405020304" pitchFamily="18" charset="0"/>
              <a:cs typeface="Times New Roman" panose="02020603050405020304" pitchFamily="18" charset="0"/>
            </a:rPr>
            <a:t>Start</a:t>
          </a:r>
          <a:r>
            <a:rPr lang="en-US" sz="1050" baseline="0">
              <a:latin typeface="Times New Roman" panose="02020603050405020304" pitchFamily="18" charset="0"/>
              <a:cs typeface="Times New Roman" panose="02020603050405020304" pitchFamily="18" charset="0"/>
            </a:rPr>
            <a:t> of the Great Depression (1929)</a:t>
          </a:r>
          <a:endParaRPr lang="en-US" sz="105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0.23013</cdr:x>
      <cdr:y>0.24678</cdr:y>
    </cdr:from>
    <cdr:to>
      <cdr:x>0.23256</cdr:x>
      <cdr:y>0.80161</cdr:y>
    </cdr:to>
    <cdr:cxnSp macro="">
      <cdr:nvCxnSpPr>
        <cdr:cNvPr id="5" name="Straight Arrow Connector 4">
          <a:extLst xmlns:a="http://schemas.openxmlformats.org/drawingml/2006/main">
            <a:ext uri="{FF2B5EF4-FFF2-40B4-BE49-F238E27FC236}">
              <a16:creationId xmlns:a16="http://schemas.microsoft.com/office/drawing/2014/main" id="{C3D36C69-B50E-455D-93D4-480438DBB8F9}"/>
            </a:ext>
          </a:extLst>
        </cdr:cNvPr>
        <cdr:cNvCxnSpPr/>
      </cdr:nvCxnSpPr>
      <cdr:spPr>
        <a:xfrm xmlns:a="http://schemas.openxmlformats.org/drawingml/2006/main">
          <a:off x="1258466" y="783021"/>
          <a:ext cx="13287" cy="17604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0.37567</cdr:x>
      <cdr:y>0.03257</cdr:y>
    </cdr:from>
    <cdr:to>
      <cdr:x>0.66141</cdr:x>
      <cdr:y>0.17749</cdr:y>
    </cdr:to>
    <cdr:sp macro="" textlink="">
      <cdr:nvSpPr>
        <cdr:cNvPr id="7" name="TextBox 1">
          <a:extLst xmlns:a="http://schemas.openxmlformats.org/drawingml/2006/main">
            <a:ext uri="{FF2B5EF4-FFF2-40B4-BE49-F238E27FC236}">
              <a16:creationId xmlns:a16="http://schemas.microsoft.com/office/drawing/2014/main" id="{2E3624E0-C8E5-418B-B2AC-F50A4858F93C}"/>
            </a:ext>
          </a:extLst>
        </cdr:cNvPr>
        <cdr:cNvSpPr txBox="1"/>
      </cdr:nvSpPr>
      <cdr:spPr>
        <a:xfrm xmlns:a="http://schemas.openxmlformats.org/drawingml/2006/main">
          <a:off x="2054335" y="103352"/>
          <a:ext cx="1562539" cy="459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latin typeface="Times New Roman" panose="02020603050405020304" pitchFamily="18" charset="0"/>
              <a:cs typeface="Times New Roman" panose="02020603050405020304" pitchFamily="18" charset="0"/>
            </a:rPr>
            <a:t>End</a:t>
          </a:r>
          <a:r>
            <a:rPr lang="en-US" sz="1050" baseline="0">
              <a:latin typeface="Times New Roman" panose="02020603050405020304" pitchFamily="18" charset="0"/>
              <a:cs typeface="Times New Roman" panose="02020603050405020304" pitchFamily="18" charset="0"/>
            </a:rPr>
            <a:t> of Great Depression; Start of WWII (1939)</a:t>
          </a:r>
          <a:endParaRPr lang="en-US" sz="105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0.39201</cdr:x>
      <cdr:y>0.15513</cdr:y>
    </cdr:from>
    <cdr:to>
      <cdr:x>0.39201</cdr:x>
      <cdr:y>0.79899</cdr:y>
    </cdr:to>
    <cdr:cxnSp macro="">
      <cdr:nvCxnSpPr>
        <cdr:cNvPr id="8" name="Straight Arrow Connector 7">
          <a:extLst xmlns:a="http://schemas.openxmlformats.org/drawingml/2006/main">
            <a:ext uri="{FF2B5EF4-FFF2-40B4-BE49-F238E27FC236}">
              <a16:creationId xmlns:a16="http://schemas.microsoft.com/office/drawing/2014/main" id="{088C34AF-451E-44ED-80A3-AE63128C04A5}"/>
            </a:ext>
          </a:extLst>
        </cdr:cNvPr>
        <cdr:cNvCxnSpPr/>
      </cdr:nvCxnSpPr>
      <cdr:spPr>
        <a:xfrm xmlns:a="http://schemas.openxmlformats.org/drawingml/2006/main">
          <a:off x="2143674" y="492235"/>
          <a:ext cx="0" cy="204294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0.56667</cdr:x>
      <cdr:y>0.22304</cdr:y>
    </cdr:from>
    <cdr:to>
      <cdr:x>0.85241</cdr:x>
      <cdr:y>0.36796</cdr:y>
    </cdr:to>
    <cdr:sp macro="" textlink="">
      <cdr:nvSpPr>
        <cdr:cNvPr id="11" name="TextBox 1">
          <a:extLst xmlns:a="http://schemas.openxmlformats.org/drawingml/2006/main">
            <a:ext uri="{FF2B5EF4-FFF2-40B4-BE49-F238E27FC236}">
              <a16:creationId xmlns:a16="http://schemas.microsoft.com/office/drawing/2014/main" id="{9332F190-7C55-472F-B41F-E5B4940FC401}"/>
            </a:ext>
          </a:extLst>
        </cdr:cNvPr>
        <cdr:cNvSpPr txBox="1"/>
      </cdr:nvSpPr>
      <cdr:spPr>
        <a:xfrm xmlns:a="http://schemas.openxmlformats.org/drawingml/2006/main">
          <a:off x="3098800" y="707697"/>
          <a:ext cx="1562539" cy="459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a:latin typeface="Times New Roman" panose="02020603050405020304" pitchFamily="18" charset="0"/>
              <a:cs typeface="Times New Roman" panose="02020603050405020304" pitchFamily="18" charset="0"/>
            </a:rPr>
            <a:t>End of WWII (1945)</a:t>
          </a:r>
        </a:p>
      </cdr:txBody>
    </cdr:sp>
  </cdr:relSizeAnchor>
  <cdr:relSizeAnchor xmlns:cdr="http://schemas.openxmlformats.org/drawingml/2006/chartDrawing">
    <cdr:from>
      <cdr:x>0.56908</cdr:x>
      <cdr:y>0.24374</cdr:y>
    </cdr:from>
    <cdr:to>
      <cdr:x>0.57151</cdr:x>
      <cdr:y>0.79858</cdr:y>
    </cdr:to>
    <cdr:cxnSp macro="">
      <cdr:nvCxnSpPr>
        <cdr:cNvPr id="12" name="Straight Arrow Connector 11">
          <a:extLst xmlns:a="http://schemas.openxmlformats.org/drawingml/2006/main">
            <a:ext uri="{FF2B5EF4-FFF2-40B4-BE49-F238E27FC236}">
              <a16:creationId xmlns:a16="http://schemas.microsoft.com/office/drawing/2014/main" id="{10E127E3-7E28-4912-A963-6377357F0CDF}"/>
            </a:ext>
          </a:extLst>
        </cdr:cNvPr>
        <cdr:cNvCxnSpPr/>
      </cdr:nvCxnSpPr>
      <cdr:spPr>
        <a:xfrm xmlns:a="http://schemas.openxmlformats.org/drawingml/2006/main">
          <a:off x="3111938" y="773386"/>
          <a:ext cx="13287" cy="17604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xdr:from>
      <xdr:col>9</xdr:col>
      <xdr:colOff>352425</xdr:colOff>
      <xdr:row>19</xdr:row>
      <xdr:rowOff>180975</xdr:rowOff>
    </xdr:from>
    <xdr:to>
      <xdr:col>15</xdr:col>
      <xdr:colOff>133350</xdr:colOff>
      <xdr:row>28</xdr:row>
      <xdr:rowOff>171450</xdr:rowOff>
    </xdr:to>
    <xdr:sp macro="" textlink="">
      <xdr:nvSpPr>
        <xdr:cNvPr id="2" name="TextBox 1">
          <a:extLst>
            <a:ext uri="{FF2B5EF4-FFF2-40B4-BE49-F238E27FC236}">
              <a16:creationId xmlns:a16="http://schemas.microsoft.com/office/drawing/2014/main" id="{72F2D38B-4CB7-4A8D-964E-31DBB015ACE1}"/>
            </a:ext>
          </a:extLst>
        </xdr:cNvPr>
        <xdr:cNvSpPr txBox="1"/>
      </xdr:nvSpPr>
      <xdr:spPr>
        <a:xfrm>
          <a:off x="5975985" y="3655695"/>
          <a:ext cx="3529965" cy="16363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Logic for using prior FYE share count:</a:t>
          </a:r>
        </a:p>
        <a:p>
          <a:endParaRPr lang="en-US" sz="1100">
            <a:latin typeface="Times New Roman" panose="02020603050405020304" pitchFamily="18" charset="0"/>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3</a:t>
          </a:r>
          <a:r>
            <a:rPr lang="en-US" sz="1100" baseline="0">
              <a:latin typeface="Times New Roman" panose="02020603050405020304" pitchFamily="18" charset="0"/>
              <a:cs typeface="Times New Roman" panose="02020603050405020304" pitchFamily="18" charset="0"/>
            </a:rPr>
            <a:t> business partners with biz worth $1.5MM</a:t>
          </a:r>
        </a:p>
        <a:p>
          <a:r>
            <a:rPr lang="en-US" sz="1100" baseline="0">
              <a:latin typeface="Times New Roman" panose="02020603050405020304" pitchFamily="18" charset="0"/>
              <a:cs typeface="Times New Roman" panose="02020603050405020304" pitchFamily="18" charset="0"/>
            </a:rPr>
            <a:t>Buyout 1/3 at $500M. Valuation based on prior share count of 3 ($500 x 3 = $1.5MM) not 2 ($500M x 2 = $1MM)</a:t>
          </a:r>
        </a:p>
        <a:p>
          <a:endParaRPr lang="en-US" sz="1100" baseline="0">
            <a:latin typeface="Times New Roman" panose="02020603050405020304" pitchFamily="18" charset="0"/>
            <a:cs typeface="Times New Roman" panose="02020603050405020304" pitchFamily="18" charset="0"/>
          </a:endParaRPr>
        </a:p>
        <a:p>
          <a:r>
            <a:rPr lang="en-US" sz="1100" baseline="0">
              <a:latin typeface="Times New Roman" panose="02020603050405020304" pitchFamily="18" charset="0"/>
              <a:cs typeface="Times New Roman" panose="02020603050405020304" pitchFamily="18" charset="0"/>
            </a:rPr>
            <a:t>BUT, the remaining business is only worth $1MM if company resources were used to purchase shares at fair value?</a:t>
          </a:r>
        </a:p>
        <a:p>
          <a:endParaRPr lang="en-US" sz="1100">
            <a:latin typeface="Times New Roman" panose="02020603050405020304" pitchFamily="18" charset="0"/>
            <a:cs typeface="Times New Roman" panose="02020603050405020304" pitchFamily="18" charset="0"/>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12</xdr:col>
      <xdr:colOff>1342316</xdr:colOff>
      <xdr:row>246</xdr:row>
      <xdr:rowOff>154199</xdr:rowOff>
    </xdr:from>
    <xdr:to>
      <xdr:col>16</xdr:col>
      <xdr:colOff>469480</xdr:colOff>
      <xdr:row>263</xdr:row>
      <xdr:rowOff>57218</xdr:rowOff>
    </xdr:to>
    <xdr:graphicFrame macro="">
      <xdr:nvGraphicFramePr>
        <xdr:cNvPr id="2" name="Chart 1">
          <a:extLst>
            <a:ext uri="{FF2B5EF4-FFF2-40B4-BE49-F238E27FC236}">
              <a16:creationId xmlns:a16="http://schemas.microsoft.com/office/drawing/2014/main" id="{0C82F33A-1811-4954-8ED2-588F624F5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898620</xdr:colOff>
      <xdr:row>224</xdr:row>
      <xdr:rowOff>117477</xdr:rowOff>
    </xdr:from>
    <xdr:to>
      <xdr:col>7</xdr:col>
      <xdr:colOff>732365</xdr:colOff>
      <xdr:row>241</xdr:row>
      <xdr:rowOff>20496</xdr:rowOff>
    </xdr:to>
    <xdr:graphicFrame macro="">
      <xdr:nvGraphicFramePr>
        <xdr:cNvPr id="3" name="Chart 2">
          <a:extLst>
            <a:ext uri="{FF2B5EF4-FFF2-40B4-BE49-F238E27FC236}">
              <a16:creationId xmlns:a16="http://schemas.microsoft.com/office/drawing/2014/main" id="{70D53999-F110-4BC5-88CF-F0F3A250B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415636</xdr:colOff>
      <xdr:row>243</xdr:row>
      <xdr:rowOff>41562</xdr:rowOff>
    </xdr:from>
    <xdr:to>
      <xdr:col>12</xdr:col>
      <xdr:colOff>983672</xdr:colOff>
      <xdr:row>269</xdr:row>
      <xdr:rowOff>55418</xdr:rowOff>
    </xdr:to>
    <xdr:graphicFrame macro="">
      <xdr:nvGraphicFramePr>
        <xdr:cNvPr id="4" name="Chart 3">
          <a:extLst>
            <a:ext uri="{FF2B5EF4-FFF2-40B4-BE49-F238E27FC236}">
              <a16:creationId xmlns:a16="http://schemas.microsoft.com/office/drawing/2014/main" id="{0FB895D4-6E76-4FC8-9661-5F12186E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204787</xdr:colOff>
      <xdr:row>20</xdr:row>
      <xdr:rowOff>176212</xdr:rowOff>
    </xdr:from>
    <xdr:to>
      <xdr:col>18</xdr:col>
      <xdr:colOff>209550</xdr:colOff>
      <xdr:row>40</xdr:row>
      <xdr:rowOff>123825</xdr:rowOff>
    </xdr:to>
    <xdr:graphicFrame macro="">
      <xdr:nvGraphicFramePr>
        <xdr:cNvPr id="7" name="Chart 6">
          <a:extLst>
            <a:ext uri="{FF2B5EF4-FFF2-40B4-BE49-F238E27FC236}">
              <a16:creationId xmlns:a16="http://schemas.microsoft.com/office/drawing/2014/main" id="{A446FF2A-75B9-431D-AB65-C07128CB0A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414336</xdr:colOff>
      <xdr:row>3</xdr:row>
      <xdr:rowOff>59056</xdr:rowOff>
    </xdr:from>
    <xdr:to>
      <xdr:col>22</xdr:col>
      <xdr:colOff>77151</xdr:colOff>
      <xdr:row>20</xdr:row>
      <xdr:rowOff>104776</xdr:rowOff>
    </xdr:to>
    <xdr:graphicFrame macro="">
      <xdr:nvGraphicFramePr>
        <xdr:cNvPr id="8" name="Chart 7">
          <a:extLst>
            <a:ext uri="{FF2B5EF4-FFF2-40B4-BE49-F238E27FC236}">
              <a16:creationId xmlns:a16="http://schemas.microsoft.com/office/drawing/2014/main" id="{848D8445-25E0-4FDC-8A4E-5B4959AD17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404812</xdr:colOff>
      <xdr:row>42</xdr:row>
      <xdr:rowOff>166687</xdr:rowOff>
    </xdr:from>
    <xdr:to>
      <xdr:col>17</xdr:col>
      <xdr:colOff>557212</xdr:colOff>
      <xdr:row>58</xdr:row>
      <xdr:rowOff>166687</xdr:rowOff>
    </xdr:to>
    <xdr:graphicFrame macro="">
      <xdr:nvGraphicFramePr>
        <xdr:cNvPr id="11" name="Chart 10">
          <a:extLst>
            <a:ext uri="{FF2B5EF4-FFF2-40B4-BE49-F238E27FC236}">
              <a16:creationId xmlns:a16="http://schemas.microsoft.com/office/drawing/2014/main" id="{789F3924-5D79-4B8D-9C80-F67D6ED553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19</xdr:col>
      <xdr:colOff>28575</xdr:colOff>
      <xdr:row>43</xdr:row>
      <xdr:rowOff>28575</xdr:rowOff>
    </xdr:from>
    <xdr:to>
      <xdr:col>33</xdr:col>
      <xdr:colOff>126532</xdr:colOff>
      <xdr:row>66</xdr:row>
      <xdr:rowOff>123824</xdr:rowOff>
    </xdr:to>
    <xdr:pic>
      <xdr:nvPicPr>
        <xdr:cNvPr id="2" name="Picture 1">
          <a:extLst>
            <a:ext uri="{FF2B5EF4-FFF2-40B4-BE49-F238E27FC236}">
              <a16:creationId xmlns:a16="http://schemas.microsoft.com/office/drawing/2014/main" id="{EDEC3F9F-DD73-4736-8B10-03A529BD3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3648075"/>
          <a:ext cx="8880007" cy="2095499"/>
        </a:xfrm>
        <a:prstGeom prst="rect">
          <a:avLst/>
        </a:prstGeom>
        <a:solidFill>
          <a:schemeClr val="accent6">
            <a:lumMod val="20000"/>
            <a:lumOff val="80000"/>
          </a:schemeClr>
        </a:solidFill>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8</xdr:col>
      <xdr:colOff>416109</xdr:colOff>
      <xdr:row>9</xdr:row>
      <xdr:rowOff>4481</xdr:rowOff>
    </xdr:from>
    <xdr:to>
      <xdr:col>13</xdr:col>
      <xdr:colOff>332999</xdr:colOff>
      <xdr:row>14</xdr:row>
      <xdr:rowOff>162670</xdr:rowOff>
    </xdr:to>
    <xdr:pic>
      <xdr:nvPicPr>
        <xdr:cNvPr id="2" name="Picture 1">
          <a:extLst>
            <a:ext uri="{FF2B5EF4-FFF2-40B4-BE49-F238E27FC236}">
              <a16:creationId xmlns:a16="http://schemas.microsoft.com/office/drawing/2014/main" id="{A3FD828A-A994-4E7D-9633-D37F389B2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2209" y="1804706"/>
          <a:ext cx="3298265" cy="1158314"/>
        </a:xfrm>
        <a:prstGeom prst="rect">
          <a:avLst/>
        </a:prstGeom>
        <a:solidFill>
          <a:schemeClr val="accent1">
            <a:lumMod val="20000"/>
            <a:lumOff val="80000"/>
          </a:schemeClr>
        </a:solidFill>
      </xdr:spPr>
    </xdr:pic>
    <xdr:clientData/>
  </xdr:twoCellAnchor>
  <xdr:twoCellAnchor editAs="oneCell">
    <xdr:from>
      <xdr:col>8</xdr:col>
      <xdr:colOff>387350</xdr:colOff>
      <xdr:row>0</xdr:row>
      <xdr:rowOff>69850</xdr:rowOff>
    </xdr:from>
    <xdr:to>
      <xdr:col>12</xdr:col>
      <xdr:colOff>115981</xdr:colOff>
      <xdr:row>8</xdr:row>
      <xdr:rowOff>11953</xdr:rowOff>
    </xdr:to>
    <xdr:pic>
      <xdr:nvPicPr>
        <xdr:cNvPr id="3" name="Picture 2">
          <a:extLst>
            <a:ext uri="{FF2B5EF4-FFF2-40B4-BE49-F238E27FC236}">
              <a16:creationId xmlns:a16="http://schemas.microsoft.com/office/drawing/2014/main" id="{FED588E4-C151-4846-87F9-513E0C40F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83450" y="69850"/>
          <a:ext cx="2062256" cy="1542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425450</xdr:colOff>
      <xdr:row>15</xdr:row>
      <xdr:rowOff>57150</xdr:rowOff>
    </xdr:from>
    <xdr:to>
      <xdr:col>14</xdr:col>
      <xdr:colOff>95250</xdr:colOff>
      <xdr:row>26</xdr:row>
      <xdr:rowOff>22225</xdr:rowOff>
    </xdr:to>
    <xdr:pic>
      <xdr:nvPicPr>
        <xdr:cNvPr id="4" name="Picture 3">
          <a:extLst>
            <a:ext uri="{FF2B5EF4-FFF2-40B4-BE49-F238E27FC236}">
              <a16:creationId xmlns:a16="http://schemas.microsoft.com/office/drawing/2014/main" id="{10F19207-276B-4D6B-87CF-5278A9EB40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21550" y="3057525"/>
          <a:ext cx="3860800" cy="2174875"/>
        </a:xfrm>
        <a:prstGeom prst="rect">
          <a:avLst/>
        </a:prstGeom>
        <a:solidFill>
          <a:schemeClr val="accent1">
            <a:lumMod val="40000"/>
            <a:lumOff val="60000"/>
          </a:schemeClr>
        </a:solidFill>
      </xdr:spPr>
    </xdr:pic>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438150</xdr:colOff>
      <xdr:row>7</xdr:row>
      <xdr:rowOff>80962</xdr:rowOff>
    </xdr:from>
    <xdr:to>
      <xdr:col>19</xdr:col>
      <xdr:colOff>438150</xdr:colOff>
      <xdr:row>23</xdr:row>
      <xdr:rowOff>80962</xdr:rowOff>
    </xdr:to>
    <xdr:graphicFrame macro="">
      <xdr:nvGraphicFramePr>
        <xdr:cNvPr id="2" name="Chart 1">
          <a:extLst>
            <a:ext uri="{FF2B5EF4-FFF2-40B4-BE49-F238E27FC236}">
              <a16:creationId xmlns:a16="http://schemas.microsoft.com/office/drawing/2014/main" id="{C266FF3A-C62A-4960-9BFA-1A04794A0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16</xdr:col>
      <xdr:colOff>219075</xdr:colOff>
      <xdr:row>9</xdr:row>
      <xdr:rowOff>85731</xdr:rowOff>
    </xdr:from>
    <xdr:to>
      <xdr:col>23</xdr:col>
      <xdr:colOff>523875</xdr:colOff>
      <xdr:row>23</xdr:row>
      <xdr:rowOff>28581</xdr:rowOff>
    </xdr:to>
    <xdr:graphicFrame macro="">
      <xdr:nvGraphicFramePr>
        <xdr:cNvPr id="3" name="Chart 2">
          <a:extLst>
            <a:ext uri="{FF2B5EF4-FFF2-40B4-BE49-F238E27FC236}">
              <a16:creationId xmlns:a16="http://schemas.microsoft.com/office/drawing/2014/main" id="{31E1D845-AED5-496C-9F6A-A11A43B36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352431</xdr:colOff>
      <xdr:row>24</xdr:row>
      <xdr:rowOff>95250</xdr:rowOff>
    </xdr:from>
    <xdr:to>
      <xdr:col>24</xdr:col>
      <xdr:colOff>47631</xdr:colOff>
      <xdr:row>38</xdr:row>
      <xdr:rowOff>38100</xdr:rowOff>
    </xdr:to>
    <xdr:graphicFrame macro="">
      <xdr:nvGraphicFramePr>
        <xdr:cNvPr id="4" name="Chart 3">
          <a:extLst>
            <a:ext uri="{FF2B5EF4-FFF2-40B4-BE49-F238E27FC236}">
              <a16:creationId xmlns:a16="http://schemas.microsoft.com/office/drawing/2014/main" id="{AF7DA98F-45A0-4D40-9FE4-8FC441C59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5</xdr:col>
      <xdr:colOff>38100</xdr:colOff>
      <xdr:row>18</xdr:row>
      <xdr:rowOff>19051</xdr:rowOff>
    </xdr:from>
    <xdr:to>
      <xdr:col>7</xdr:col>
      <xdr:colOff>428625</xdr:colOff>
      <xdr:row>21</xdr:row>
      <xdr:rowOff>16444</xdr:rowOff>
    </xdr:to>
    <xdr:pic>
      <xdr:nvPicPr>
        <xdr:cNvPr id="2" name="Picture 1">
          <a:extLst>
            <a:ext uri="{FF2B5EF4-FFF2-40B4-BE49-F238E27FC236}">
              <a16:creationId xmlns:a16="http://schemas.microsoft.com/office/drawing/2014/main" id="{F7228B3A-170B-483E-ABC6-8866960655B5}"/>
            </a:ext>
          </a:extLst>
        </xdr:cNvPr>
        <xdr:cNvPicPr>
          <a:picLocks noChangeAspect="1"/>
        </xdr:cNvPicPr>
      </xdr:nvPicPr>
      <xdr:blipFill>
        <a:blip xmlns:r="http://schemas.openxmlformats.org/officeDocument/2006/relationships" r:embed="rId1"/>
        <a:stretch>
          <a:fillRect/>
        </a:stretch>
      </xdr:blipFill>
      <xdr:spPr>
        <a:xfrm>
          <a:off x="2152650" y="3524251"/>
          <a:ext cx="1685925" cy="597468"/>
        </a:xfrm>
        <a:prstGeom prst="rect">
          <a:avLst/>
        </a:prstGeom>
      </xdr:spPr>
    </xdr:pic>
    <xdr:clientData/>
  </xdr:twoCellAnchor>
  <xdr:twoCellAnchor>
    <xdr:from>
      <xdr:col>20</xdr:col>
      <xdr:colOff>219075</xdr:colOff>
      <xdr:row>9</xdr:row>
      <xdr:rowOff>85731</xdr:rowOff>
    </xdr:from>
    <xdr:to>
      <xdr:col>27</xdr:col>
      <xdr:colOff>523875</xdr:colOff>
      <xdr:row>23</xdr:row>
      <xdr:rowOff>28581</xdr:rowOff>
    </xdr:to>
    <xdr:graphicFrame macro="">
      <xdr:nvGraphicFramePr>
        <xdr:cNvPr id="3" name="Chart 2">
          <a:extLst>
            <a:ext uri="{FF2B5EF4-FFF2-40B4-BE49-F238E27FC236}">
              <a16:creationId xmlns:a16="http://schemas.microsoft.com/office/drawing/2014/main" id="{DF38C16C-F72F-400A-AB81-FBF7B31DF7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352431</xdr:colOff>
      <xdr:row>24</xdr:row>
      <xdr:rowOff>95250</xdr:rowOff>
    </xdr:from>
    <xdr:to>
      <xdr:col>28</xdr:col>
      <xdr:colOff>47631</xdr:colOff>
      <xdr:row>38</xdr:row>
      <xdr:rowOff>38100</xdr:rowOff>
    </xdr:to>
    <xdr:graphicFrame macro="">
      <xdr:nvGraphicFramePr>
        <xdr:cNvPr id="4" name="Chart 3">
          <a:extLst>
            <a:ext uri="{FF2B5EF4-FFF2-40B4-BE49-F238E27FC236}">
              <a16:creationId xmlns:a16="http://schemas.microsoft.com/office/drawing/2014/main" id="{174BC375-677A-4715-B738-11E659D08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16</xdr:col>
      <xdr:colOff>219075</xdr:colOff>
      <xdr:row>9</xdr:row>
      <xdr:rowOff>85731</xdr:rowOff>
    </xdr:from>
    <xdr:to>
      <xdr:col>23</xdr:col>
      <xdr:colOff>523875</xdr:colOff>
      <xdr:row>23</xdr:row>
      <xdr:rowOff>28581</xdr:rowOff>
    </xdr:to>
    <xdr:graphicFrame macro="">
      <xdr:nvGraphicFramePr>
        <xdr:cNvPr id="2" name="Chart 1">
          <a:extLst>
            <a:ext uri="{FF2B5EF4-FFF2-40B4-BE49-F238E27FC236}">
              <a16:creationId xmlns:a16="http://schemas.microsoft.com/office/drawing/2014/main" id="{76B157BE-8684-4793-80EB-819803527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352431</xdr:colOff>
      <xdr:row>24</xdr:row>
      <xdr:rowOff>95250</xdr:rowOff>
    </xdr:from>
    <xdr:to>
      <xdr:col>24</xdr:col>
      <xdr:colOff>47631</xdr:colOff>
      <xdr:row>38</xdr:row>
      <xdr:rowOff>38100</xdr:rowOff>
    </xdr:to>
    <xdr:graphicFrame macro="">
      <xdr:nvGraphicFramePr>
        <xdr:cNvPr id="3" name="Chart 2">
          <a:extLst>
            <a:ext uri="{FF2B5EF4-FFF2-40B4-BE49-F238E27FC236}">
              <a16:creationId xmlns:a16="http://schemas.microsoft.com/office/drawing/2014/main" id="{ADD5D201-E847-465E-A581-1A6F9B8F9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16</xdr:col>
      <xdr:colOff>219075</xdr:colOff>
      <xdr:row>9</xdr:row>
      <xdr:rowOff>85731</xdr:rowOff>
    </xdr:from>
    <xdr:to>
      <xdr:col>23</xdr:col>
      <xdr:colOff>523875</xdr:colOff>
      <xdr:row>23</xdr:row>
      <xdr:rowOff>28581</xdr:rowOff>
    </xdr:to>
    <xdr:graphicFrame macro="">
      <xdr:nvGraphicFramePr>
        <xdr:cNvPr id="2" name="Chart 1">
          <a:extLst>
            <a:ext uri="{FF2B5EF4-FFF2-40B4-BE49-F238E27FC236}">
              <a16:creationId xmlns:a16="http://schemas.microsoft.com/office/drawing/2014/main" id="{10820C35-20C2-48FC-A205-1E967C4E8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352431</xdr:colOff>
      <xdr:row>24</xdr:row>
      <xdr:rowOff>95250</xdr:rowOff>
    </xdr:from>
    <xdr:to>
      <xdr:col>24</xdr:col>
      <xdr:colOff>47631</xdr:colOff>
      <xdr:row>38</xdr:row>
      <xdr:rowOff>38100</xdr:rowOff>
    </xdr:to>
    <xdr:graphicFrame macro="">
      <xdr:nvGraphicFramePr>
        <xdr:cNvPr id="3" name="Chart 2">
          <a:extLst>
            <a:ext uri="{FF2B5EF4-FFF2-40B4-BE49-F238E27FC236}">
              <a16:creationId xmlns:a16="http://schemas.microsoft.com/office/drawing/2014/main" id="{135DE127-26A2-4488-A19B-2719FD4E2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114983</xdr:colOff>
      <xdr:row>2</xdr:row>
      <xdr:rowOff>156882</xdr:rowOff>
    </xdr:from>
    <xdr:to>
      <xdr:col>10</xdr:col>
      <xdr:colOff>306294</xdr:colOff>
      <xdr:row>26</xdr:row>
      <xdr:rowOff>97117</xdr:rowOff>
    </xdr:to>
    <xdr:graphicFrame macro="">
      <xdr:nvGraphicFramePr>
        <xdr:cNvPr id="7" name="Chart 6">
          <a:extLst>
            <a:ext uri="{FF2B5EF4-FFF2-40B4-BE49-F238E27FC236}">
              <a16:creationId xmlns:a16="http://schemas.microsoft.com/office/drawing/2014/main" id="{E111B527-B9D3-4235-A9F8-0F6165E662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466397</xdr:colOff>
      <xdr:row>22</xdr:row>
      <xdr:rowOff>74706</xdr:rowOff>
    </xdr:from>
    <xdr:to>
      <xdr:col>8</xdr:col>
      <xdr:colOff>358587</xdr:colOff>
      <xdr:row>23</xdr:row>
      <xdr:rowOff>149413</xdr:rowOff>
    </xdr:to>
    <xdr:sp macro="" textlink="">
      <xdr:nvSpPr>
        <xdr:cNvPr id="9" name="TextBox 8">
          <a:extLst>
            <a:ext uri="{FF2B5EF4-FFF2-40B4-BE49-F238E27FC236}">
              <a16:creationId xmlns:a16="http://schemas.microsoft.com/office/drawing/2014/main" id="{CD1D7F66-DDF3-4661-B63E-AEB8938D82D9}"/>
            </a:ext>
          </a:extLst>
        </xdr:cNvPr>
        <xdr:cNvSpPr txBox="1"/>
      </xdr:nvSpPr>
      <xdr:spPr>
        <a:xfrm>
          <a:off x="4815052" y="4377378"/>
          <a:ext cx="2473794" cy="26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Hathaway Manufacturing (1889-1955)</a:t>
          </a:r>
        </a:p>
      </xdr:txBody>
    </xdr:sp>
    <xdr:clientData/>
  </xdr:twoCellAnchor>
  <xdr:twoCellAnchor>
    <xdr:from>
      <xdr:col>8</xdr:col>
      <xdr:colOff>45982</xdr:colOff>
      <xdr:row>4</xdr:row>
      <xdr:rowOff>76252</xdr:rowOff>
    </xdr:from>
    <xdr:to>
      <xdr:col>10</xdr:col>
      <xdr:colOff>64273</xdr:colOff>
      <xdr:row>9</xdr:row>
      <xdr:rowOff>162164</xdr:rowOff>
    </xdr:to>
    <xdr:sp macro="" textlink="">
      <xdr:nvSpPr>
        <xdr:cNvPr id="11" name="TextBox 10">
          <a:extLst>
            <a:ext uri="{FF2B5EF4-FFF2-40B4-BE49-F238E27FC236}">
              <a16:creationId xmlns:a16="http://schemas.microsoft.com/office/drawing/2014/main" id="{406D6EE4-DE4E-4492-B909-ED019ABCD4E0}"/>
            </a:ext>
          </a:extLst>
        </xdr:cNvPr>
        <xdr:cNvSpPr txBox="1"/>
      </xdr:nvSpPr>
      <xdr:spPr>
        <a:xfrm>
          <a:off x="6976241" y="949924"/>
          <a:ext cx="2008687" cy="1038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Times New Roman" panose="02020603050405020304" pitchFamily="18" charset="0"/>
              <a:cs typeface="Times New Roman" panose="02020603050405020304" pitchFamily="18" charset="0"/>
            </a:rPr>
            <a:t>1955</a:t>
          </a:r>
        </a:p>
        <a:p>
          <a:pPr algn="ctr"/>
          <a:r>
            <a:rPr lang="en-US" sz="1100">
              <a:latin typeface="Times New Roman" panose="02020603050405020304" pitchFamily="18" charset="0"/>
              <a:cs typeface="Times New Roman" panose="02020603050405020304" pitchFamily="18" charset="0"/>
            </a:rPr>
            <a:t>Berkshire Fine Spinning Associates and Hathaway Manufacturing merge</a:t>
          </a:r>
          <a:r>
            <a:rPr lang="en-US" sz="1100" baseline="0">
              <a:latin typeface="Times New Roman" panose="02020603050405020304" pitchFamily="18" charset="0"/>
              <a:cs typeface="Times New Roman" panose="02020603050405020304" pitchFamily="18" charset="0"/>
            </a:rPr>
            <a:t> to create Berkshire Hathaway, Inc. </a:t>
          </a:r>
        </a:p>
      </xdr:txBody>
    </xdr:sp>
    <xdr:clientData/>
  </xdr:twoCellAnchor>
  <xdr:twoCellAnchor>
    <xdr:from>
      <xdr:col>5</xdr:col>
      <xdr:colOff>381000</xdr:colOff>
      <xdr:row>13</xdr:row>
      <xdr:rowOff>14941</xdr:rowOff>
    </xdr:from>
    <xdr:to>
      <xdr:col>8</xdr:col>
      <xdr:colOff>179294</xdr:colOff>
      <xdr:row>18</xdr:row>
      <xdr:rowOff>126999</xdr:rowOff>
    </xdr:to>
    <xdr:sp macro="" textlink="">
      <xdr:nvSpPr>
        <xdr:cNvPr id="12" name="TextBox 11">
          <a:extLst>
            <a:ext uri="{FF2B5EF4-FFF2-40B4-BE49-F238E27FC236}">
              <a16:creationId xmlns:a16="http://schemas.microsoft.com/office/drawing/2014/main" id="{D046E50D-8FBC-4E0A-BDB4-373C5B45EFFD}"/>
            </a:ext>
          </a:extLst>
        </xdr:cNvPr>
        <xdr:cNvSpPr txBox="1"/>
      </xdr:nvSpPr>
      <xdr:spPr>
        <a:xfrm>
          <a:off x="4930588" y="2480235"/>
          <a:ext cx="2487706" cy="1008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1929: </a:t>
          </a:r>
          <a:r>
            <a:rPr lang="en-US" sz="1100">
              <a:latin typeface="Times New Roman" panose="02020603050405020304" pitchFamily="18" charset="0"/>
              <a:cs typeface="Times New Roman" panose="02020603050405020304" pitchFamily="18" charset="0"/>
            </a:rPr>
            <a:t>Berkshire</a:t>
          </a:r>
          <a:r>
            <a:rPr lang="en-US" sz="1100" baseline="0">
              <a:latin typeface="Times New Roman" panose="02020603050405020304" pitchFamily="18" charset="0"/>
              <a:cs typeface="Times New Roman" panose="02020603050405020304" pitchFamily="18" charset="0"/>
            </a:rPr>
            <a:t> Fine Spinning Associates, Inc. formed by combination of Berkshire Cotton Manufacturing, Greylock Mills, Valley Falls, Coventry, and Fort Dummer mills.</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612589</xdr:colOff>
      <xdr:row>6</xdr:row>
      <xdr:rowOff>0</xdr:rowOff>
    </xdr:from>
    <xdr:to>
      <xdr:col>3</xdr:col>
      <xdr:colOff>881530</xdr:colOff>
      <xdr:row>7</xdr:row>
      <xdr:rowOff>74706</xdr:rowOff>
    </xdr:to>
    <xdr:sp macro="" textlink="">
      <xdr:nvSpPr>
        <xdr:cNvPr id="19" name="TextBox 18">
          <a:extLst>
            <a:ext uri="{FF2B5EF4-FFF2-40B4-BE49-F238E27FC236}">
              <a16:creationId xmlns:a16="http://schemas.microsoft.com/office/drawing/2014/main" id="{1AA4281E-CC30-494F-A0D5-CB7DCA1E19F7}"/>
            </a:ext>
          </a:extLst>
        </xdr:cNvPr>
        <xdr:cNvSpPr txBox="1"/>
      </xdr:nvSpPr>
      <xdr:spPr>
        <a:xfrm>
          <a:off x="1225177" y="1643529"/>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King</a:t>
          </a:r>
          <a:r>
            <a:rPr lang="en-US" sz="1100" baseline="0">
              <a:latin typeface="Times New Roman" panose="02020603050405020304" pitchFamily="18" charset="0"/>
              <a:cs typeface="Times New Roman" panose="02020603050405020304" pitchFamily="18" charset="0"/>
            </a:rPr>
            <a:t> Philip Mills</a:t>
          </a:r>
          <a:r>
            <a:rPr lang="en-US" sz="1100">
              <a:latin typeface="Times New Roman" panose="02020603050405020304" pitchFamily="18" charset="0"/>
              <a:cs typeface="Times New Roman" panose="02020603050405020304" pitchFamily="18" charset="0"/>
            </a:rPr>
            <a:t> (1871-1930)</a:t>
          </a:r>
        </a:p>
      </xdr:txBody>
    </xdr:sp>
    <xdr:clientData/>
  </xdr:twoCellAnchor>
  <xdr:twoCellAnchor>
    <xdr:from>
      <xdr:col>1</xdr:col>
      <xdr:colOff>627530</xdr:colOff>
      <xdr:row>7</xdr:row>
      <xdr:rowOff>67234</xdr:rowOff>
    </xdr:from>
    <xdr:to>
      <xdr:col>4</xdr:col>
      <xdr:colOff>0</xdr:colOff>
      <xdr:row>8</xdr:row>
      <xdr:rowOff>141941</xdr:rowOff>
    </xdr:to>
    <xdr:sp macro="" textlink="">
      <xdr:nvSpPr>
        <xdr:cNvPr id="20" name="TextBox 19">
          <a:extLst>
            <a:ext uri="{FF2B5EF4-FFF2-40B4-BE49-F238E27FC236}">
              <a16:creationId xmlns:a16="http://schemas.microsoft.com/office/drawing/2014/main" id="{C74BF850-429E-478A-A5A8-24719E8BA808}"/>
            </a:ext>
          </a:extLst>
        </xdr:cNvPr>
        <xdr:cNvSpPr txBox="1"/>
      </xdr:nvSpPr>
      <xdr:spPr>
        <a:xfrm>
          <a:off x="1240118" y="1890058"/>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Valley</a:t>
          </a:r>
          <a:r>
            <a:rPr lang="en-US" sz="1100" baseline="0">
              <a:latin typeface="Times New Roman" panose="02020603050405020304" pitchFamily="18" charset="0"/>
              <a:cs typeface="Times New Roman" panose="02020603050405020304" pitchFamily="18" charset="0"/>
            </a:rPr>
            <a:t> Falls (1839-1929)</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635001</xdr:colOff>
      <xdr:row>8</xdr:row>
      <xdr:rowOff>134469</xdr:rowOff>
    </xdr:from>
    <xdr:to>
      <xdr:col>4</xdr:col>
      <xdr:colOff>7471</xdr:colOff>
      <xdr:row>10</xdr:row>
      <xdr:rowOff>29882</xdr:rowOff>
    </xdr:to>
    <xdr:sp macro="" textlink="">
      <xdr:nvSpPr>
        <xdr:cNvPr id="21" name="TextBox 20">
          <a:extLst>
            <a:ext uri="{FF2B5EF4-FFF2-40B4-BE49-F238E27FC236}">
              <a16:creationId xmlns:a16="http://schemas.microsoft.com/office/drawing/2014/main" id="{9CB196BB-8349-4201-8969-E54AEE1E846B}"/>
            </a:ext>
          </a:extLst>
        </xdr:cNvPr>
        <xdr:cNvSpPr txBox="1"/>
      </xdr:nvSpPr>
      <xdr:spPr>
        <a:xfrm>
          <a:off x="1247589" y="2136587"/>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Coventry Co. (1864-1929)</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620060</xdr:colOff>
      <xdr:row>9</xdr:row>
      <xdr:rowOff>164352</xdr:rowOff>
    </xdr:from>
    <xdr:to>
      <xdr:col>3</xdr:col>
      <xdr:colOff>889001</xdr:colOff>
      <xdr:row>11</xdr:row>
      <xdr:rowOff>59765</xdr:rowOff>
    </xdr:to>
    <xdr:sp macro="" textlink="">
      <xdr:nvSpPr>
        <xdr:cNvPr id="22" name="TextBox 21">
          <a:extLst>
            <a:ext uri="{FF2B5EF4-FFF2-40B4-BE49-F238E27FC236}">
              <a16:creationId xmlns:a16="http://schemas.microsoft.com/office/drawing/2014/main" id="{E82EE29C-E57C-4FF5-85F5-F7D0D586DCC1}"/>
            </a:ext>
          </a:extLst>
        </xdr:cNvPr>
        <xdr:cNvSpPr txBox="1"/>
      </xdr:nvSpPr>
      <xdr:spPr>
        <a:xfrm>
          <a:off x="1232648" y="2345764"/>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Greylock Mills (1880-1929)</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612589</xdr:colOff>
      <xdr:row>11</xdr:row>
      <xdr:rowOff>37352</xdr:rowOff>
    </xdr:from>
    <xdr:to>
      <xdr:col>3</xdr:col>
      <xdr:colOff>881530</xdr:colOff>
      <xdr:row>12</xdr:row>
      <xdr:rowOff>112059</xdr:rowOff>
    </xdr:to>
    <xdr:sp macro="" textlink="">
      <xdr:nvSpPr>
        <xdr:cNvPr id="23" name="TextBox 22">
          <a:extLst>
            <a:ext uri="{FF2B5EF4-FFF2-40B4-BE49-F238E27FC236}">
              <a16:creationId xmlns:a16="http://schemas.microsoft.com/office/drawing/2014/main" id="{DD1AE8A6-1878-4BA9-8C0E-0FA988F7F71F}"/>
            </a:ext>
          </a:extLst>
        </xdr:cNvPr>
        <xdr:cNvSpPr txBox="1"/>
      </xdr:nvSpPr>
      <xdr:spPr>
        <a:xfrm>
          <a:off x="1225177" y="2577352"/>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Berkshire Cotton Mfg. (1889-1929)</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605119</xdr:colOff>
      <xdr:row>12</xdr:row>
      <xdr:rowOff>74705</xdr:rowOff>
    </xdr:from>
    <xdr:to>
      <xdr:col>3</xdr:col>
      <xdr:colOff>874060</xdr:colOff>
      <xdr:row>13</xdr:row>
      <xdr:rowOff>149412</xdr:rowOff>
    </xdr:to>
    <xdr:sp macro="" textlink="">
      <xdr:nvSpPr>
        <xdr:cNvPr id="24" name="TextBox 23">
          <a:extLst>
            <a:ext uri="{FF2B5EF4-FFF2-40B4-BE49-F238E27FC236}">
              <a16:creationId xmlns:a16="http://schemas.microsoft.com/office/drawing/2014/main" id="{FE839772-1403-4E09-9884-7952BF5A2E72}"/>
            </a:ext>
          </a:extLst>
        </xdr:cNvPr>
        <xdr:cNvSpPr txBox="1"/>
      </xdr:nvSpPr>
      <xdr:spPr>
        <a:xfrm>
          <a:off x="1217707" y="2793999"/>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Fort Dummer (1910-1929)</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590177</xdr:colOff>
      <xdr:row>14</xdr:row>
      <xdr:rowOff>89647</xdr:rowOff>
    </xdr:from>
    <xdr:to>
      <xdr:col>3</xdr:col>
      <xdr:colOff>859118</xdr:colOff>
      <xdr:row>15</xdr:row>
      <xdr:rowOff>164354</xdr:rowOff>
    </xdr:to>
    <xdr:sp macro="" textlink="">
      <xdr:nvSpPr>
        <xdr:cNvPr id="25" name="TextBox 24">
          <a:extLst>
            <a:ext uri="{FF2B5EF4-FFF2-40B4-BE49-F238E27FC236}">
              <a16:creationId xmlns:a16="http://schemas.microsoft.com/office/drawing/2014/main" id="{D31F6E14-FC78-4707-A0D5-32480897E8CD}"/>
            </a:ext>
          </a:extLst>
        </xdr:cNvPr>
        <xdr:cNvSpPr txBox="1"/>
      </xdr:nvSpPr>
      <xdr:spPr>
        <a:xfrm>
          <a:off x="1202765" y="3167529"/>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Hargraves Mills (1888-1921)</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597648</xdr:colOff>
      <xdr:row>17</xdr:row>
      <xdr:rowOff>104588</xdr:rowOff>
    </xdr:from>
    <xdr:to>
      <xdr:col>3</xdr:col>
      <xdr:colOff>866589</xdr:colOff>
      <xdr:row>19</xdr:row>
      <xdr:rowOff>1</xdr:rowOff>
    </xdr:to>
    <xdr:sp macro="" textlink="">
      <xdr:nvSpPr>
        <xdr:cNvPr id="26" name="TextBox 25">
          <a:extLst>
            <a:ext uri="{FF2B5EF4-FFF2-40B4-BE49-F238E27FC236}">
              <a16:creationId xmlns:a16="http://schemas.microsoft.com/office/drawing/2014/main" id="{436CFB93-138D-47EF-BEA4-3A3F28DA54B0}"/>
            </a:ext>
          </a:extLst>
        </xdr:cNvPr>
        <xdr:cNvSpPr txBox="1"/>
      </xdr:nvSpPr>
      <xdr:spPr>
        <a:xfrm>
          <a:off x="1210236" y="3720353"/>
          <a:ext cx="2413000" cy="254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Times New Roman" panose="02020603050405020304" pitchFamily="18" charset="0"/>
              <a:cs typeface="Times New Roman" panose="02020603050405020304" pitchFamily="18" charset="0"/>
            </a:rPr>
            <a:t>Parker Mills (1885-1930)</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5</xdr:col>
      <xdr:colOff>112058</xdr:colOff>
      <xdr:row>5</xdr:row>
      <xdr:rowOff>97118</xdr:rowOff>
    </xdr:from>
    <xdr:to>
      <xdr:col>7</xdr:col>
      <xdr:colOff>463176</xdr:colOff>
      <xdr:row>10</xdr:row>
      <xdr:rowOff>67234</xdr:rowOff>
    </xdr:to>
    <xdr:sp macro="" textlink="">
      <xdr:nvSpPr>
        <xdr:cNvPr id="27" name="TextBox 26">
          <a:extLst>
            <a:ext uri="{FF2B5EF4-FFF2-40B4-BE49-F238E27FC236}">
              <a16:creationId xmlns:a16="http://schemas.microsoft.com/office/drawing/2014/main" id="{8ED57217-941D-4EC8-B3D7-3D29A1CD014C}"/>
            </a:ext>
          </a:extLst>
        </xdr:cNvPr>
        <xdr:cNvSpPr txBox="1"/>
      </xdr:nvSpPr>
      <xdr:spPr>
        <a:xfrm>
          <a:off x="4661646" y="1128059"/>
          <a:ext cx="2144059" cy="866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Times New Roman" panose="02020603050405020304" pitchFamily="18" charset="0"/>
              <a:cs typeface="Times New Roman" panose="02020603050405020304" pitchFamily="18" charset="0"/>
            </a:rPr>
            <a:t>1930</a:t>
          </a:r>
        </a:p>
        <a:p>
          <a:pPr algn="ctr"/>
          <a:r>
            <a:rPr lang="en-US" sz="1100" baseline="0">
              <a:latin typeface="Times New Roman" panose="02020603050405020304" pitchFamily="18" charset="0"/>
              <a:cs typeface="Times New Roman" panose="02020603050405020304" pitchFamily="18" charset="0"/>
            </a:rPr>
            <a:t>King Philip and Parker Mills merged into Berkshire Fine Spinning Associates</a:t>
          </a:r>
        </a:p>
      </xdr:txBody>
    </xdr:sp>
    <xdr:clientData/>
  </xdr:twoCellAnchor>
  <xdr:twoCellAnchor>
    <xdr:from>
      <xdr:col>3</xdr:col>
      <xdr:colOff>112060</xdr:colOff>
      <xdr:row>17</xdr:row>
      <xdr:rowOff>97118</xdr:rowOff>
    </xdr:from>
    <xdr:to>
      <xdr:col>5</xdr:col>
      <xdr:colOff>22412</xdr:colOff>
      <xdr:row>20</xdr:row>
      <xdr:rowOff>52293</xdr:rowOff>
    </xdr:to>
    <xdr:sp macro="" textlink="">
      <xdr:nvSpPr>
        <xdr:cNvPr id="28" name="TextBox 27">
          <a:extLst>
            <a:ext uri="{FF2B5EF4-FFF2-40B4-BE49-F238E27FC236}">
              <a16:creationId xmlns:a16="http://schemas.microsoft.com/office/drawing/2014/main" id="{2CEFFDA6-9331-4EAF-9205-11902BDF532F}"/>
            </a:ext>
          </a:extLst>
        </xdr:cNvPr>
        <xdr:cNvSpPr txBox="1"/>
      </xdr:nvSpPr>
      <xdr:spPr>
        <a:xfrm>
          <a:off x="2868707" y="3279589"/>
          <a:ext cx="1703293" cy="493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imes New Roman" panose="02020603050405020304" pitchFamily="18" charset="0"/>
              <a:cs typeface="Times New Roman" panose="02020603050405020304" pitchFamily="18" charset="0"/>
            </a:rPr>
            <a:t>1921:</a:t>
          </a:r>
          <a:r>
            <a:rPr lang="en-US" sz="1100" b="1" baseline="0">
              <a:latin typeface="Times New Roman" panose="02020603050405020304" pitchFamily="18" charset="0"/>
              <a:cs typeface="Times New Roman" panose="02020603050405020304" pitchFamily="18" charset="0"/>
            </a:rPr>
            <a:t> </a:t>
          </a:r>
          <a:r>
            <a:rPr lang="en-US" sz="1100">
              <a:latin typeface="Times New Roman" panose="02020603050405020304" pitchFamily="18" charset="0"/>
              <a:cs typeface="Times New Roman" panose="02020603050405020304" pitchFamily="18" charset="0"/>
            </a:rPr>
            <a:t>Hargraves</a:t>
          </a:r>
          <a:r>
            <a:rPr lang="en-US" sz="1100" baseline="0">
              <a:latin typeface="Times New Roman" panose="02020603050405020304" pitchFamily="18" charset="0"/>
              <a:cs typeface="Times New Roman" panose="02020603050405020304" pitchFamily="18" charset="0"/>
            </a:rPr>
            <a:t> merges into Parker Mills</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518949</xdr:colOff>
      <xdr:row>21</xdr:row>
      <xdr:rowOff>1</xdr:rowOff>
    </xdr:from>
    <xdr:to>
      <xdr:col>5</xdr:col>
      <xdr:colOff>14941</xdr:colOff>
      <xdr:row>23</xdr:row>
      <xdr:rowOff>97118</xdr:rowOff>
    </xdr:to>
    <xdr:sp macro="" textlink="">
      <xdr:nvSpPr>
        <xdr:cNvPr id="16" name="TextBox 15">
          <a:extLst>
            <a:ext uri="{FF2B5EF4-FFF2-40B4-BE49-F238E27FC236}">
              <a16:creationId xmlns:a16="http://schemas.microsoft.com/office/drawing/2014/main" id="{769ED6B8-118A-4045-9475-112E7BC3ABB0}"/>
            </a:ext>
          </a:extLst>
        </xdr:cNvPr>
        <xdr:cNvSpPr txBox="1"/>
      </xdr:nvSpPr>
      <xdr:spPr>
        <a:xfrm>
          <a:off x="1097018" y="4112173"/>
          <a:ext cx="3266578" cy="478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imes New Roman" panose="02020603050405020304" pitchFamily="18" charset="0"/>
              <a:cs typeface="Times New Roman" panose="02020603050405020304" pitchFamily="18" charset="0"/>
            </a:rPr>
            <a:t>1934: </a:t>
          </a:r>
          <a:r>
            <a:rPr lang="en-US" sz="1100" baseline="0">
              <a:latin typeface="Times New Roman" panose="02020603050405020304" pitchFamily="18" charset="0"/>
              <a:cs typeface="Times New Roman" panose="02020603050405020304" pitchFamily="18" charset="0"/>
            </a:rPr>
            <a:t>Purchased Warren Mfg. Co. mill at Warren, R.I.</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20</xdr:col>
      <xdr:colOff>219075</xdr:colOff>
      <xdr:row>9</xdr:row>
      <xdr:rowOff>85731</xdr:rowOff>
    </xdr:from>
    <xdr:to>
      <xdr:col>27</xdr:col>
      <xdr:colOff>523875</xdr:colOff>
      <xdr:row>23</xdr:row>
      <xdr:rowOff>28581</xdr:rowOff>
    </xdr:to>
    <xdr:graphicFrame macro="">
      <xdr:nvGraphicFramePr>
        <xdr:cNvPr id="2" name="Chart 1">
          <a:extLst>
            <a:ext uri="{FF2B5EF4-FFF2-40B4-BE49-F238E27FC236}">
              <a16:creationId xmlns:a16="http://schemas.microsoft.com/office/drawing/2014/main" id="{85F345CE-3383-4BA3-9EA6-1BFE0D0F7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352431</xdr:colOff>
      <xdr:row>24</xdr:row>
      <xdr:rowOff>95250</xdr:rowOff>
    </xdr:from>
    <xdr:to>
      <xdr:col>28</xdr:col>
      <xdr:colOff>47631</xdr:colOff>
      <xdr:row>38</xdr:row>
      <xdr:rowOff>38100</xdr:rowOff>
    </xdr:to>
    <xdr:graphicFrame macro="">
      <xdr:nvGraphicFramePr>
        <xdr:cNvPr id="3" name="Chart 2">
          <a:extLst>
            <a:ext uri="{FF2B5EF4-FFF2-40B4-BE49-F238E27FC236}">
              <a16:creationId xmlns:a16="http://schemas.microsoft.com/office/drawing/2014/main" id="{8AE8B87B-D65B-4F2B-9F2A-9DCC7494E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20</xdr:col>
      <xdr:colOff>219075</xdr:colOff>
      <xdr:row>9</xdr:row>
      <xdr:rowOff>85731</xdr:rowOff>
    </xdr:from>
    <xdr:to>
      <xdr:col>27</xdr:col>
      <xdr:colOff>523875</xdr:colOff>
      <xdr:row>23</xdr:row>
      <xdr:rowOff>28581</xdr:rowOff>
    </xdr:to>
    <xdr:graphicFrame macro="">
      <xdr:nvGraphicFramePr>
        <xdr:cNvPr id="2" name="Chart 1">
          <a:extLst>
            <a:ext uri="{FF2B5EF4-FFF2-40B4-BE49-F238E27FC236}">
              <a16:creationId xmlns:a16="http://schemas.microsoft.com/office/drawing/2014/main" id="{414A0F2C-A649-40CF-90CB-46B01902C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352431</xdr:colOff>
      <xdr:row>24</xdr:row>
      <xdr:rowOff>95250</xdr:rowOff>
    </xdr:from>
    <xdr:to>
      <xdr:col>28</xdr:col>
      <xdr:colOff>47631</xdr:colOff>
      <xdr:row>38</xdr:row>
      <xdr:rowOff>38100</xdr:rowOff>
    </xdr:to>
    <xdr:graphicFrame macro="">
      <xdr:nvGraphicFramePr>
        <xdr:cNvPr id="3" name="Chart 2">
          <a:extLst>
            <a:ext uri="{FF2B5EF4-FFF2-40B4-BE49-F238E27FC236}">
              <a16:creationId xmlns:a16="http://schemas.microsoft.com/office/drawing/2014/main" id="{F5144460-AEDE-402B-9D8A-F75F15290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266700</xdr:colOff>
      <xdr:row>34</xdr:row>
      <xdr:rowOff>133350</xdr:rowOff>
    </xdr:from>
    <xdr:to>
      <xdr:col>11</xdr:col>
      <xdr:colOff>542925</xdr:colOff>
      <xdr:row>48</xdr:row>
      <xdr:rowOff>76200</xdr:rowOff>
    </xdr:to>
    <xdr:graphicFrame macro="">
      <xdr:nvGraphicFramePr>
        <xdr:cNvPr id="5" name="Chart 4">
          <a:extLst>
            <a:ext uri="{FF2B5EF4-FFF2-40B4-BE49-F238E27FC236}">
              <a16:creationId xmlns:a16="http://schemas.microsoft.com/office/drawing/2014/main" id="{DC28B025-E44D-48F4-88E4-8C8A367FAB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200025</xdr:colOff>
      <xdr:row>22</xdr:row>
      <xdr:rowOff>171450</xdr:rowOff>
    </xdr:from>
    <xdr:to>
      <xdr:col>8</xdr:col>
      <xdr:colOff>581025</xdr:colOff>
      <xdr:row>38</xdr:row>
      <xdr:rowOff>114300</xdr:rowOff>
    </xdr:to>
    <xdr:graphicFrame macro="">
      <xdr:nvGraphicFramePr>
        <xdr:cNvPr id="2" name="Chart 1">
          <a:extLst>
            <a:ext uri="{FF2B5EF4-FFF2-40B4-BE49-F238E27FC236}">
              <a16:creationId xmlns:a16="http://schemas.microsoft.com/office/drawing/2014/main" id="{4F8E6424-4BF2-4215-84CB-97F56C7011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247644</xdr:colOff>
      <xdr:row>10</xdr:row>
      <xdr:rowOff>70757</xdr:rowOff>
    </xdr:from>
    <xdr:to>
      <xdr:col>26</xdr:col>
      <xdr:colOff>247644</xdr:colOff>
      <xdr:row>33</xdr:row>
      <xdr:rowOff>42182</xdr:rowOff>
    </xdr:to>
    <xdr:graphicFrame macro="">
      <xdr:nvGraphicFramePr>
        <xdr:cNvPr id="2" name="Chart 1">
          <a:extLst>
            <a:ext uri="{FF2B5EF4-FFF2-40B4-BE49-F238E27FC236}">
              <a16:creationId xmlns:a16="http://schemas.microsoft.com/office/drawing/2014/main" id="{D6438A81-70C8-42ED-8EDC-F7235AA0E3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0.22813</cdr:x>
      <cdr:y>0.18542</cdr:y>
    </cdr:from>
    <cdr:to>
      <cdr:x>0.22831</cdr:x>
      <cdr:y>0.88164</cdr:y>
    </cdr:to>
    <cdr:cxnSp macro="">
      <cdr:nvCxnSpPr>
        <cdr:cNvPr id="3" name="Straight Connector 2">
          <a:extLst xmlns:a="http://schemas.openxmlformats.org/drawingml/2006/main">
            <a:ext uri="{FF2B5EF4-FFF2-40B4-BE49-F238E27FC236}">
              <a16:creationId xmlns:a16="http://schemas.microsoft.com/office/drawing/2014/main" id="{CEA4E564-3401-4F58-BB60-B5A4D6148F85}"/>
            </a:ext>
          </a:extLst>
        </cdr:cNvPr>
        <cdr:cNvCxnSpPr>
          <a:endCxn xmlns:a="http://schemas.openxmlformats.org/drawingml/2006/main" id="11" idx="0"/>
        </cdr:cNvCxnSpPr>
      </cdr:nvCxnSpPr>
      <cdr:spPr>
        <a:xfrm xmlns:a="http://schemas.openxmlformats.org/drawingml/2006/main" flipH="1" flipV="1">
          <a:off x="2085980" y="847726"/>
          <a:ext cx="1693" cy="3183126"/>
        </a:xfrm>
        <a:prstGeom xmlns:a="http://schemas.openxmlformats.org/drawingml/2006/main" prst="line">
          <a:avLst/>
        </a:prstGeom>
        <a:ln xmlns:a="http://schemas.openxmlformats.org/drawingml/2006/main" w="28575">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0.23536</cdr:x>
      <cdr:y>0.24234</cdr:y>
    </cdr:from>
    <cdr:to>
      <cdr:x>0.33353</cdr:x>
      <cdr:y>0.24234</cdr:y>
    </cdr:to>
    <cdr:cxnSp macro="">
      <cdr:nvCxnSpPr>
        <cdr:cNvPr id="7" name="Straight Arrow Connector 6">
          <a:extLst xmlns:a="http://schemas.openxmlformats.org/drawingml/2006/main">
            <a:ext uri="{FF2B5EF4-FFF2-40B4-BE49-F238E27FC236}">
              <a16:creationId xmlns:a16="http://schemas.microsoft.com/office/drawing/2014/main" id="{627A56CA-A4C5-4236-9626-34E78BCCFCE4}"/>
            </a:ext>
          </a:extLst>
        </cdr:cNvPr>
        <cdr:cNvCxnSpPr/>
      </cdr:nvCxnSpPr>
      <cdr:spPr>
        <a:xfrm xmlns:a="http://schemas.openxmlformats.org/drawingml/2006/main">
          <a:off x="2152130" y="1107967"/>
          <a:ext cx="897699" cy="0"/>
        </a:xfrm>
        <a:prstGeom xmlns:a="http://schemas.openxmlformats.org/drawingml/2006/main" prst="straightConnector1">
          <a:avLst/>
        </a:prstGeom>
        <a:ln xmlns:a="http://schemas.openxmlformats.org/drawingml/2006/main" w="9525">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0.10313</cdr:x>
      <cdr:y>0.24082</cdr:y>
    </cdr:from>
    <cdr:to>
      <cdr:x>0.22032</cdr:x>
      <cdr:y>0.24082</cdr:y>
    </cdr:to>
    <cdr:cxnSp macro="">
      <cdr:nvCxnSpPr>
        <cdr:cNvPr id="8" name="Straight Arrow Connector 7">
          <a:extLst xmlns:a="http://schemas.openxmlformats.org/drawingml/2006/main">
            <a:ext uri="{FF2B5EF4-FFF2-40B4-BE49-F238E27FC236}">
              <a16:creationId xmlns:a16="http://schemas.microsoft.com/office/drawing/2014/main" id="{7A6876DC-9F9D-4CBD-B30B-ADCAE7781A01}"/>
            </a:ext>
          </a:extLst>
        </cdr:cNvPr>
        <cdr:cNvCxnSpPr/>
      </cdr:nvCxnSpPr>
      <cdr:spPr>
        <a:xfrm xmlns:a="http://schemas.openxmlformats.org/drawingml/2006/main" flipH="1">
          <a:off x="942980" y="1101025"/>
          <a:ext cx="1071625" cy="0"/>
        </a:xfrm>
        <a:prstGeom xmlns:a="http://schemas.openxmlformats.org/drawingml/2006/main" prst="straightConnector1">
          <a:avLst/>
        </a:prstGeom>
        <a:ln xmlns:a="http://schemas.openxmlformats.org/drawingml/2006/main" w="9525">
          <a:solidFill>
            <a:schemeClr val="bg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0.17708</cdr:x>
      <cdr:y>0.30417</cdr:y>
    </cdr:from>
    <cdr:to>
      <cdr:x>0.36042</cdr:x>
      <cdr:y>0.37292</cdr:y>
    </cdr:to>
    <cdr:sp macro="" textlink="">
      <cdr:nvSpPr>
        <cdr:cNvPr id="10" name="TextBox 9">
          <a:extLst xmlns:a="http://schemas.openxmlformats.org/drawingml/2006/main">
            <a:ext uri="{FF2B5EF4-FFF2-40B4-BE49-F238E27FC236}">
              <a16:creationId xmlns:a16="http://schemas.microsoft.com/office/drawing/2014/main" id="{1A58EE0A-9970-4AB9-9FD1-D9A30BC6EAF2}"/>
            </a:ext>
          </a:extLst>
        </cdr:cNvPr>
        <cdr:cNvSpPr txBox="1"/>
      </cdr:nvSpPr>
      <cdr:spPr>
        <a:xfrm xmlns:a="http://schemas.openxmlformats.org/drawingml/2006/main">
          <a:off x="1619255" y="1390650"/>
          <a:ext cx="16764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0.10729</cdr:x>
      <cdr:y>0.18542</cdr:y>
    </cdr:from>
    <cdr:to>
      <cdr:x>0.34896</cdr:x>
      <cdr:y>0.23125</cdr:y>
    </cdr:to>
    <cdr:sp macro="" textlink="">
      <cdr:nvSpPr>
        <cdr:cNvPr id="11" name="TextBox 10">
          <a:extLst xmlns:a="http://schemas.openxmlformats.org/drawingml/2006/main">
            <a:ext uri="{FF2B5EF4-FFF2-40B4-BE49-F238E27FC236}">
              <a16:creationId xmlns:a16="http://schemas.microsoft.com/office/drawing/2014/main" id="{C95EA739-F9AD-490E-812F-6CED86D32758}"/>
            </a:ext>
          </a:extLst>
        </cdr:cNvPr>
        <cdr:cNvSpPr txBox="1"/>
      </cdr:nvSpPr>
      <cdr:spPr>
        <a:xfrm xmlns:a="http://schemas.openxmlformats.org/drawingml/2006/main">
          <a:off x="981080" y="847726"/>
          <a:ext cx="2209800" cy="20955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US" sz="1200" b="1">
              <a:solidFill>
                <a:schemeClr val="bg1"/>
              </a:solidFill>
            </a:rPr>
            <a:t>Pre-Buffett Era     Buffett Era</a:t>
          </a:r>
        </a:p>
      </cdr:txBody>
    </cdr:sp>
  </cdr:relSizeAnchor>
  <cdr:relSizeAnchor xmlns:cdr="http://schemas.openxmlformats.org/drawingml/2006/chartDrawing">
    <cdr:from>
      <cdr:x>0.67535</cdr:x>
      <cdr:y>0.80694</cdr:y>
    </cdr:from>
    <cdr:to>
      <cdr:x>0.91701</cdr:x>
      <cdr:y>0.85278</cdr:y>
    </cdr:to>
    <cdr:sp macro="" textlink="">
      <cdr:nvSpPr>
        <cdr:cNvPr id="13" name="TextBox 1">
          <a:extLst xmlns:a="http://schemas.openxmlformats.org/drawingml/2006/main">
            <a:ext uri="{FF2B5EF4-FFF2-40B4-BE49-F238E27FC236}">
              <a16:creationId xmlns:a16="http://schemas.microsoft.com/office/drawing/2014/main" id="{36D7FD8A-D846-4F0B-82CF-1ADEA12E9F5C}"/>
            </a:ext>
          </a:extLst>
        </cdr:cNvPr>
        <cdr:cNvSpPr txBox="1"/>
      </cdr:nvSpPr>
      <cdr:spPr>
        <a:xfrm xmlns:a="http://schemas.openxmlformats.org/drawingml/2006/main">
          <a:off x="6175375" y="3689350"/>
          <a:ext cx="2209800" cy="20955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chemeClr val="bg1"/>
              </a:solidFill>
            </a:rPr>
            <a:t>Chairman's Letter</a:t>
          </a:r>
        </a:p>
      </cdr:txBody>
    </cdr:sp>
  </cdr:relSizeAnchor>
  <cdr:relSizeAnchor xmlns:cdr="http://schemas.openxmlformats.org/drawingml/2006/chartDrawing">
    <cdr:from>
      <cdr:x>0.00556</cdr:x>
      <cdr:y>0.01111</cdr:y>
    </cdr:from>
    <cdr:to>
      <cdr:x>0.24722</cdr:x>
      <cdr:y>0.05694</cdr:y>
    </cdr:to>
    <cdr:sp macro="" textlink="">
      <cdr:nvSpPr>
        <cdr:cNvPr id="15" name="TextBox 1">
          <a:extLst xmlns:a="http://schemas.openxmlformats.org/drawingml/2006/main">
            <a:ext uri="{FF2B5EF4-FFF2-40B4-BE49-F238E27FC236}">
              <a16:creationId xmlns:a16="http://schemas.microsoft.com/office/drawing/2014/main" id="{4FC2939A-CAA7-4D04-8A63-0B943DD7BC97}"/>
            </a:ext>
          </a:extLst>
        </cdr:cNvPr>
        <cdr:cNvSpPr txBox="1"/>
      </cdr:nvSpPr>
      <cdr:spPr>
        <a:xfrm xmlns:a="http://schemas.openxmlformats.org/drawingml/2006/main">
          <a:off x="50800" y="50800"/>
          <a:ext cx="2209800" cy="209550"/>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b="0">
              <a:solidFill>
                <a:schemeClr val="bg1"/>
              </a:solidFill>
            </a:rPr>
            <a:t>www.theoraclesclassroom.com</a:t>
          </a:r>
        </a:p>
      </cdr:txBody>
    </cdr:sp>
  </cdr:relSizeAnchor>
</c:userShapes>
</file>

<file path=xl/drawings/drawing9.xml><?xml version="1.0" encoding="utf-8"?>
<c:userShapes xmlns:c="http://schemas.openxmlformats.org/drawingml/2006/chart">
  <cdr:relSizeAnchor xmlns:cdr="http://schemas.openxmlformats.org/drawingml/2006/chartDrawing">
    <cdr:from>
      <cdr:x>0.80866</cdr:x>
      <cdr:y>0.26232</cdr:y>
    </cdr:from>
    <cdr:to>
      <cdr:x>0.86741</cdr:x>
      <cdr:y>0.39965</cdr:y>
    </cdr:to>
    <cdr:cxnSp macro="">
      <cdr:nvCxnSpPr>
        <cdr:cNvPr id="3" name="Straight Arrow Connector 2">
          <a:extLst xmlns:a="http://schemas.openxmlformats.org/drawingml/2006/main">
            <a:ext uri="{FF2B5EF4-FFF2-40B4-BE49-F238E27FC236}">
              <a16:creationId xmlns:a16="http://schemas.microsoft.com/office/drawing/2014/main" id="{792387E7-9FC2-430F-A902-7E8DD89D3ED4}"/>
            </a:ext>
          </a:extLst>
        </cdr:cNvPr>
        <cdr:cNvCxnSpPr/>
      </cdr:nvCxnSpPr>
      <cdr:spPr>
        <a:xfrm xmlns:a="http://schemas.openxmlformats.org/drawingml/2006/main" flipH="1">
          <a:off x="7198723" y="1113118"/>
          <a:ext cx="522941" cy="58270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0.36808</cdr:x>
      <cdr:y>0.40493</cdr:y>
    </cdr:from>
    <cdr:to>
      <cdr:x>0.52333</cdr:x>
      <cdr:y>0.58627</cdr:y>
    </cdr:to>
    <cdr:cxnSp macro="">
      <cdr:nvCxnSpPr>
        <cdr:cNvPr id="4" name="Straight Arrow Connector 3">
          <a:extLst xmlns:a="http://schemas.openxmlformats.org/drawingml/2006/main">
            <a:ext uri="{FF2B5EF4-FFF2-40B4-BE49-F238E27FC236}">
              <a16:creationId xmlns:a16="http://schemas.microsoft.com/office/drawing/2014/main" id="{A6417DA4-2AA3-42E7-A071-5E6B72AA92B8}"/>
            </a:ext>
          </a:extLst>
        </cdr:cNvPr>
        <cdr:cNvCxnSpPr/>
      </cdr:nvCxnSpPr>
      <cdr:spPr>
        <a:xfrm xmlns:a="http://schemas.openxmlformats.org/drawingml/2006/main" flipH="1" flipV="1">
          <a:off x="3276655" y="1718238"/>
          <a:ext cx="1382068" cy="769468"/>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0.38738</cdr:x>
      <cdr:y>0.21655</cdr:y>
    </cdr:from>
    <cdr:to>
      <cdr:x>0.46207</cdr:x>
      <cdr:y>0.39789</cdr:y>
    </cdr:to>
    <cdr:cxnSp macro="">
      <cdr:nvCxnSpPr>
        <cdr:cNvPr id="8" name="Straight Arrow Connector 7">
          <a:extLst xmlns:a="http://schemas.openxmlformats.org/drawingml/2006/main">
            <a:ext uri="{FF2B5EF4-FFF2-40B4-BE49-F238E27FC236}">
              <a16:creationId xmlns:a16="http://schemas.microsoft.com/office/drawing/2014/main" id="{35F203AE-D571-4EBD-87CB-285B4ABB22CC}"/>
            </a:ext>
          </a:extLst>
        </cdr:cNvPr>
        <cdr:cNvCxnSpPr/>
      </cdr:nvCxnSpPr>
      <cdr:spPr>
        <a:xfrm xmlns:a="http://schemas.openxmlformats.org/drawingml/2006/main" flipH="1">
          <a:off x="3448488" y="918883"/>
          <a:ext cx="664882" cy="76947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adam_meadcm_com/Documents/Research/Berkshire%20Book%20Project/BERKSHIRE%20THROUGH%20THE%20AGES%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Unresolved Questions"/>
      <sheetName val="P1. BFSA "/>
      <sheetName val="P1. Timeline"/>
      <sheetName val="P1. Financials"/>
      <sheetName val="P2. Financials"/>
      <sheetName val="P2. Lead Page"/>
      <sheetName val="P3. Lead Page"/>
      <sheetName val="P3. &quot;Summary Table&quot;"/>
      <sheetName val="P3. Financials"/>
      <sheetName val="P3. Insurance"/>
      <sheetName val="P3. Insurance 1970 Acc Change"/>
      <sheetName val="P3. Banking"/>
      <sheetName val="P4. Lead Page "/>
      <sheetName val="P4. Summary Table"/>
      <sheetName val="P4. Financials"/>
      <sheetName val="P4. Insurance "/>
      <sheetName val="P4. Equity Reconciliation"/>
      <sheetName val="P4. Diversifed Merger"/>
      <sheetName val="P4. Insurance Detail"/>
      <sheetName val="P4. Insurance UW Detail"/>
      <sheetName val="P4. Banking"/>
      <sheetName val="P4. Blue Chip summary"/>
      <sheetName val="P4. Blue Chip v. 2.0"/>
      <sheetName val="P4. Wesco"/>
      <sheetName val="P4. Buffalo News"/>
      <sheetName val="P4. See's"/>
      <sheetName val="P5. Lead Page"/>
      <sheetName val="P5. Select Parent Fin'l Data"/>
      <sheetName val="P5. &quot;Summary Table&quot;"/>
      <sheetName val="P5. Equity Reconc."/>
      <sheetName val="P5. '65-'89 equity rec. "/>
      <sheetName val="P5. '65-'94 equity rec."/>
      <sheetName val="P5. 25-year summary"/>
      <sheetName val="P5. Zero Coupon"/>
      <sheetName val="P5. Insurance Detail"/>
      <sheetName val="P5. Insurance"/>
      <sheetName val="P5. Float-Cost"/>
      <sheetName val="P5. Manuf., Pub., Retail"/>
      <sheetName val="P5. Finance"/>
      <sheetName val="P5. 1987 Finance detail"/>
      <sheetName val="P5. Non-Op"/>
      <sheetName val="P5. Scott Fetzer"/>
      <sheetName val="P5. Fechheimer"/>
      <sheetName val="P5. Coke"/>
      <sheetName val="P6. Select Parent Fin'l Data"/>
      <sheetName val="P6. Equity Reconc. - old"/>
      <sheetName val="P6. Equity Reconc."/>
      <sheetName val="P6. '65-'04 equity rec."/>
      <sheetName val="P6. GEICO effect on equity"/>
      <sheetName val="P6. Lead Page"/>
      <sheetName val="P6. &quot;Summary Table&quot;"/>
      <sheetName val="P6. Finance Liab."/>
      <sheetName val="P6. 5 Insurance"/>
      <sheetName val="P6. Insurance Detail"/>
      <sheetName val="P6. Insurance Summary"/>
      <sheetName val="P6. Loss Dev. Table"/>
      <sheetName val="P6. Float Breakdown"/>
      <sheetName val="P6. Float&gt;Equity"/>
      <sheetName val="P6. Manuf., Pub., Ret 94-00"/>
      <sheetName val="P6. Manf., Serv, Ret. 02-04"/>
      <sheetName val="P6. Finance"/>
      <sheetName val="P6. Non-Op"/>
      <sheetName val="P6. BRK Valuation"/>
      <sheetName val="P6. Equity portfolio 94-04"/>
      <sheetName val="P6.  KO O.E."/>
      <sheetName val="P6. '99 Invest. Gain"/>
      <sheetName val="P6. FlightSafety"/>
      <sheetName val="P6. Dairy Queen"/>
      <sheetName val="P6. General Re"/>
      <sheetName val="P6. MidAmer."/>
      <sheetName val="P6. CORT"/>
      <sheetName val="P6. Justin"/>
      <sheetName val="P6.  Shaw"/>
      <sheetName val="P6. Johns Manville"/>
      <sheetName val="P6. XTRA"/>
      <sheetName val="P6. FOL"/>
      <sheetName val="P6. Clayton"/>
      <sheetName val="P6. Mclane"/>
      <sheetName val="P7. Lead Page"/>
      <sheetName val="P7. Pre-tax earnings summary"/>
      <sheetName val="P7. After Tax Earnings summary"/>
      <sheetName val="P7. Select Parent Fin'l Data"/>
      <sheetName val="P7. Equity Reconc. '04-'14"/>
      <sheetName val="P7. '65-'14 equity rec."/>
      <sheetName val="P7. Major Capital Alloc."/>
      <sheetName val="P7. Equity portfolio '04-'14"/>
      <sheetName val="P7. Manf., Serv, Retail"/>
      <sheetName val="P7. Utilities"/>
      <sheetName val="P7. Fin. &amp; Fin'l Prod."/>
      <sheetName val="P7. Insurance Detail"/>
      <sheetName val="P7. Insurance for Yrs"/>
      <sheetName val="P7. Float Breakdown"/>
      <sheetName val="P7. Loss Dev. Table"/>
      <sheetName val="P7. Float shrink scratch"/>
      <sheetName val="P7. Deferred Taxes"/>
      <sheetName val="P7. Marmon"/>
      <sheetName val="P7. BNSF"/>
      <sheetName val="P7. Lubrizol"/>
      <sheetName val="P7. Heinz"/>
      <sheetName val="P7. NV Energy"/>
      <sheetName val="P7. UW gain per sh."/>
      <sheetName val="P7. Equity portfolio"/>
      <sheetName val="P7. Equity portfolio 07-08"/>
      <sheetName val="P8. BV &amp; S&amp;P increase"/>
      <sheetName val="P8. Employees"/>
      <sheetName val="P8. Float-Cost"/>
      <sheetName val="P9. Lead Page"/>
      <sheetName val="P9. Pre-tax earnings summary"/>
      <sheetName val="P9. After Tax Earnings"/>
      <sheetName val="P9. Select Parent Fin'l Data"/>
      <sheetName val="P9. Equity portfolio '14-'19"/>
      <sheetName val="P9. Insurance for Yrs "/>
      <sheetName val="P9. Float Breakdown"/>
      <sheetName val="P9. MSR Breakdown"/>
      <sheetName val="P9. Kraft Heinz"/>
      <sheetName val="P9. Precision Castparts"/>
      <sheetName val="P9. Apple"/>
      <sheetName val="P9. Equity recon. '14-'19"/>
      <sheetName val="P9. '65-'19 equity rec."/>
      <sheetName val="P9. Major Capital Alloc."/>
      <sheetName val="P9. Manf., Serv, Retail"/>
      <sheetName val="P9. Utilities"/>
      <sheetName val="P9. Deferred Taxes"/>
      <sheetName val="P10. WGC Float shrink"/>
      <sheetName val="P10. Textron"/>
      <sheetName val="P10. Litton"/>
      <sheetName val="P10. LTV"/>
      <sheetName val="P10. G&amp;W"/>
      <sheetName val="P10. ITT"/>
      <sheetName val="P10. Teledyne"/>
      <sheetName val="P10. Conglomerate Overview"/>
      <sheetName val="P10. Berkshire shares out"/>
      <sheetName val="P11. Breakup math"/>
      <sheetName val="Pages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8">
          <cell r="B18">
            <v>1551</v>
          </cell>
          <cell r="C18">
            <v>1718</v>
          </cell>
          <cell r="D18">
            <v>-411</v>
          </cell>
          <cell r="E18">
            <v>-4067</v>
          </cell>
          <cell r="F18">
            <v>-1615</v>
          </cell>
          <cell r="G18">
            <v>-1394</v>
          </cell>
          <cell r="H18">
            <v>265</v>
          </cell>
          <cell r="I18">
            <v>462</v>
          </cell>
          <cell r="J18">
            <v>222.1</v>
          </cell>
          <cell r="K18">
            <v>20.5</v>
          </cell>
          <cell r="L18">
            <v>129.9</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ow r="27">
          <cell r="H27">
            <v>85821.5</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persons/person.xml><?xml version="1.0" encoding="utf-8"?>
<personList xmlns="http://schemas.microsoft.com/office/spreadsheetml/2018/threadedcomments" xmlns:x="http://schemas.openxmlformats.org/spreadsheetml/2006/main">
  <person displayName="Adam Mead" id="{3B1D00D9-D96C-46F7-B63D-51A679061034}" userId="Adam Mead"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15505E-2AA8-4AD1-B51B-733422DE57F3}" name="Table13" displayName="Table13" ref="A1:B11" totalsRowShown="0" headerRowDxfId="145" dataDxfId="144">
  <tableColumns count="2">
    <tableColumn id="1" xr3:uid="{FB1B7B27-159F-4164-9B5E-437935831BBD}" name="Revenues" dataDxfId="143"/>
    <tableColumn id="2" xr3:uid="{ECDE9749-1E7F-4271-B36C-704859A9613A}" name="Berkshire Fine Spinning" dataDxfId="142" dataCellStyle="Currency"/>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C1C45C-E679-4C0A-B967-C1D507F764C8}" name="Table2" displayName="Table2" ref="A1:V82" totalsRowShown="0" headerRowDxfId="141">
  <autoFilter ref="A1:V82" xr:uid="{92C477B5-20E4-49F2-9DA9-55514723F8D2}"/>
  <tableColumns count="22">
    <tableColumn id="1" xr3:uid="{B31130CD-D262-42C4-9960-8FD473CB856F}" name="Column1" dataDxfId="140"/>
    <tableColumn id="2" xr3:uid="{C3078129-EFC0-446F-87C4-491801C4B920}" name="Column2" dataDxfId="139"/>
    <tableColumn id="3" xr3:uid="{929309D2-D5A1-43EC-8EC1-647598BA8E9F}" name="Column3" dataDxfId="138">
      <calculatedColumnFormula>CONCATENATE(A2,"-",B2)</calculatedColumnFormula>
    </tableColumn>
    <tableColumn id="4" xr3:uid="{527F7358-012A-42AD-9A0E-9925D7BE23FE}" name="Column4" dataDxfId="137"/>
    <tableColumn id="5" xr3:uid="{8239B51C-869B-47E0-A002-6A283D1C8220}" name="High" dataDxfId="136" dataCellStyle="Currency"/>
    <tableColumn id="6" xr3:uid="{1A5D141B-4EE1-4BE1-A0BB-153D685F625D}" name="Low" dataDxfId="135" dataCellStyle="Currency"/>
    <tableColumn id="7" xr3:uid="{97E51FFB-5364-4373-904D-A771CC2751B6}" name="Average Share Price" dataDxfId="134" dataCellStyle="Currency">
      <calculatedColumnFormula>AVERAGE(E2:F2)</calculatedColumnFormula>
    </tableColumn>
    <tableColumn id="8" xr3:uid="{1DDE8A87-5BB6-46D1-908C-117D59CF3CBA}" name="Column5" dataDxfId="133"/>
    <tableColumn id="9" xr3:uid="{90FB9722-2CBE-4B90-91EC-711308551C55}" name="Column6" dataDxfId="132"/>
    <tableColumn id="10" xr3:uid="{FB9298C8-E770-4220-8B39-82695C5916A5}" name="YE SH Out" dataDxfId="131" dataCellStyle="Comma"/>
    <tableColumn id="11" xr3:uid="{8E1BB2A6-6DED-4D45-B844-2253D5DB101F}" name="Avg." dataDxfId="130"/>
    <tableColumn id="12" xr3:uid="{EE8D3DE8-974D-425E-AE12-3F01EA669881}" name="Market Value-High" dataDxfId="129" dataCellStyle="Currency"/>
    <tableColumn id="13" xr3:uid="{5C8CC42E-C0E1-4ADB-A984-F235E27B179D}" name="Market Value-Low" dataDxfId="128" dataCellStyle="Currency"/>
    <tableColumn id="14" xr3:uid="{51B78F2A-7997-4591-B942-AE8902DA72AE}" name="Average Market Value" dataDxfId="127" dataCellStyle="Currency">
      <calculatedColumnFormula>AVERAGE(L2:M2)</calculatedColumnFormula>
    </tableColumn>
    <tableColumn id="15" xr3:uid="{C8755A87-B294-4310-8881-7353E4573361}" name="Column7" dataDxfId="126"/>
    <tableColumn id="16" xr3:uid="{D335060D-97A6-4025-B3DC-E975475FA3CC}" name="YE BV $" dataDxfId="125" dataCellStyle="Currency"/>
    <tableColumn id="17" xr3:uid="{41DD6CA2-A7AC-4038-B397-F319F196BD6B}" name="Avg. BV" dataDxfId="124" dataCellStyle="Currency"/>
    <tableColumn id="18" xr3:uid="{507D8F2C-FB95-4897-8104-23CA6604C473}" name="Column8" dataDxfId="123"/>
    <tableColumn id="19" xr3:uid="{6D7CD6AB-295A-4425-89FF-A9FF22AD1F2D}" name="Price/Avg. BV - High" dataDxfId="122" dataCellStyle="Comma"/>
    <tableColumn id="20" xr3:uid="{59078E0F-7B17-43C9-B9E5-DCFDD086DA68}" name="Price/Avg. BV - Low" dataDxfId="121" dataCellStyle="Comma"/>
    <tableColumn id="21" xr3:uid="{0718ADA4-C6EA-461E-A74E-F09789C83CF0}" name="Average" dataDxfId="120">
      <calculatedColumnFormula>AVERAGE(S2:T2)</calculatedColumnFormula>
    </tableColumn>
    <tableColumn id="22" xr3:uid="{1C4B1EDC-984B-4F6E-834E-AFE42F056520}" name="Date" dataDxfId="119">
      <calculatedColumnFormula>Table2[[#This Row],[Column3]]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47ABA7-8E54-47F1-80CE-99402A51A79D}" name="Table24" displayName="Table24" ref="A1:V123" totalsRowShown="0" headerRowDxfId="118">
  <autoFilter ref="A1:V123" xr:uid="{92C477B5-20E4-49F2-9DA9-55514723F8D2}"/>
  <tableColumns count="22">
    <tableColumn id="1" xr3:uid="{4F6ABEDF-725C-4083-96B3-3C246D9F595C}" name="Column1" dataDxfId="117"/>
    <tableColumn id="2" xr3:uid="{8230C610-498B-43FE-AF42-374F02E46C5A}" name="Column2" dataDxfId="116"/>
    <tableColumn id="3" xr3:uid="{2A32C7C8-3062-4433-A794-F22379D49F73}" name="Column3" dataDxfId="115">
      <calculatedColumnFormula>CONCATENATE(A2,"-",B2)</calculatedColumnFormula>
    </tableColumn>
    <tableColumn id="4" xr3:uid="{F558637C-9378-4795-8D8D-797448FFD8CB}" name="Column4" dataDxfId="114"/>
    <tableColumn id="5" xr3:uid="{C3EBA4D6-37EE-453F-9A49-2CC58E8C7978}" name="High" dataDxfId="113" dataCellStyle="Currency"/>
    <tableColumn id="6" xr3:uid="{0210A240-5969-4B7D-B413-D1F8452F7BA6}" name="Low" dataDxfId="112" dataCellStyle="Currency"/>
    <tableColumn id="7" xr3:uid="{91746221-EA43-45B0-8414-FED597A60084}" name="Average Share Price" dataDxfId="111" dataCellStyle="Currency">
      <calculatedColumnFormula>AVERAGE(E2:F2)</calculatedColumnFormula>
    </tableColumn>
    <tableColumn id="8" xr3:uid="{00274991-5352-43AE-AB21-79F7FA7ABB5A}" name="Column5" dataDxfId="110"/>
    <tableColumn id="9" xr3:uid="{A04410E8-5C98-45C6-8C68-F1CEA0973A25}" name="Column6" dataDxfId="109"/>
    <tableColumn id="10" xr3:uid="{AB2FF095-3B1C-487A-866B-134F06892285}" name="YE SH Out" dataDxfId="108" dataCellStyle="Comma"/>
    <tableColumn id="11" xr3:uid="{157BD17D-8338-4C23-9ABB-AF89AF01EA92}" name="Avg." dataDxfId="107"/>
    <tableColumn id="12" xr3:uid="{F0DF7D81-DF59-495E-BFE5-67B4A022E584}" name="Market Value-High" dataDxfId="106" dataCellStyle="Currency"/>
    <tableColumn id="13" xr3:uid="{1C6C2F15-E133-44A6-BED9-99FF5683969F}" name="Market Value-Low" dataDxfId="105" dataCellStyle="Currency"/>
    <tableColumn id="14" xr3:uid="{6292FFED-3DDF-496E-8FD4-EB208340BF8F}" name="Average Market Value" dataDxfId="104" dataCellStyle="Currency">
      <calculatedColumnFormula>AVERAGE(L2:M2)</calculatedColumnFormula>
    </tableColumn>
    <tableColumn id="15" xr3:uid="{5B82F33E-3202-49D9-AE80-AC6BACDB18EC}" name="Column7" dataDxfId="103"/>
    <tableColumn id="16" xr3:uid="{22DE983B-065F-4A96-9763-288294DC4FFA}" name="YE BV $" dataDxfId="102" dataCellStyle="Currency"/>
    <tableColumn id="17" xr3:uid="{C5275E0A-EFAD-4B24-BE63-3F0835FF32EE}" name="Avg. BV" dataDxfId="101" dataCellStyle="Currency"/>
    <tableColumn id="18" xr3:uid="{CCC93C2E-84D1-497E-8852-EABF7F67B6C9}" name="Column8" dataDxfId="100"/>
    <tableColumn id="19" xr3:uid="{9C93B1AC-D955-4328-8007-28CABF9142EA}" name="Price/Avg. BV - High" dataDxfId="99" dataCellStyle="Comma"/>
    <tableColumn id="20" xr3:uid="{2B56C629-D837-4D67-983E-5FABA2785322}" name="Price/Avg. BV - Low" dataDxfId="98" dataCellStyle="Comma"/>
    <tableColumn id="21" xr3:uid="{64F0E77D-185A-4F89-BC7D-628EC155ED33}" name="Average" dataDxfId="97">
      <calculatedColumnFormula>AVERAGE(S2:T2)</calculatedColumnFormula>
    </tableColumn>
    <tableColumn id="22" xr3:uid="{6069202B-AB2F-4F9A-80E7-54C1EE2C6E70}" name="Year" dataDxfId="96">
      <calculatedColumnFormula>Table24[[#This Row],[Column3]]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DEEE26-6984-4FA2-B3DD-4F2CF4A3CB3A}" name="Table245" displayName="Table245" ref="A1:V163" totalsRowShown="0" headerRowDxfId="95">
  <autoFilter ref="A1:V163" xr:uid="{92C477B5-20E4-49F2-9DA9-55514723F8D2}"/>
  <tableColumns count="22">
    <tableColumn id="1" xr3:uid="{86EE46DC-6274-4F97-8EDA-0441F09A7415}" name="Column1" dataDxfId="94"/>
    <tableColumn id="2" xr3:uid="{B04C793A-1C75-49D5-9149-D11A83AA08E0}" name="Column2" dataDxfId="93"/>
    <tableColumn id="3" xr3:uid="{0130C01B-E777-468D-B5ED-1892DED5957D}" name="Column3" dataDxfId="92">
      <calculatedColumnFormula>CONCATENATE(A2,"-",B2)</calculatedColumnFormula>
    </tableColumn>
    <tableColumn id="4" xr3:uid="{EDE358D1-802E-4D7C-B519-8EE3272257EC}" name="Column4" dataDxfId="91"/>
    <tableColumn id="5" xr3:uid="{32152C4B-6210-4631-ACC2-685E5CA36C5B}" name="High" dataDxfId="90" dataCellStyle="Currency"/>
    <tableColumn id="6" xr3:uid="{566B6890-4B37-4CBB-BFC4-B5AC7112F18D}" name="Low" dataDxfId="89" dataCellStyle="Currency"/>
    <tableColumn id="7" xr3:uid="{ABCE6F01-5443-438B-A575-4CC38044F80A}" name="Average Share Price" dataDxfId="88" dataCellStyle="Currency">
      <calculatedColumnFormula>AVERAGE(E2:F2)</calculatedColumnFormula>
    </tableColumn>
    <tableColumn id="8" xr3:uid="{72A944A7-4023-4076-B10B-2B2F1154969F}" name="Column5" dataDxfId="87"/>
    <tableColumn id="9" xr3:uid="{3B35D5F3-5DE3-40ED-A2D6-E687AD0EAA1B}" name="Column6" dataDxfId="86"/>
    <tableColumn id="10" xr3:uid="{8F0BB0BE-8611-4C09-A86C-62D35741EB00}" name="YE SH Out" dataDxfId="85" dataCellStyle="Comma"/>
    <tableColumn id="11" xr3:uid="{4A72F787-8D3F-44F5-9B06-C29A7FCE9563}" name="Avg." dataDxfId="84"/>
    <tableColumn id="12" xr3:uid="{E88411F7-F257-4B6C-88D3-81518223078E}" name="Market Value-High" dataDxfId="83" dataCellStyle="Currency"/>
    <tableColumn id="13" xr3:uid="{A781516B-3466-4FFC-8D3A-C74DCB35EAC6}" name="Market Value-Low" dataDxfId="82" dataCellStyle="Currency"/>
    <tableColumn id="14" xr3:uid="{6081CF22-101A-4D8C-B7AD-0BA798C1B9FD}" name="Average Market Value" dataDxfId="81" dataCellStyle="Currency">
      <calculatedColumnFormula>AVERAGE(L2:M2)</calculatedColumnFormula>
    </tableColumn>
    <tableColumn id="15" xr3:uid="{BED042D3-767D-4403-8FCD-569104AB1C13}" name="Column7" dataDxfId="80"/>
    <tableColumn id="16" xr3:uid="{28956477-51FC-4011-9285-18B9C754D02D}" name="YE BV $" dataDxfId="79" dataCellStyle="Currency"/>
    <tableColumn id="17" xr3:uid="{CD73850B-0A5C-4DFC-941A-D25F2056EAE4}" name="Avg. BV" dataDxfId="78" dataCellStyle="Currency"/>
    <tableColumn id="18" xr3:uid="{925ECC73-4D5B-43C2-9F5F-733723B07319}" name="Column8" dataDxfId="77"/>
    <tableColumn id="19" xr3:uid="{4E4419E4-E6F1-4A18-8918-1C73CECCA933}" name="Price/Avg. BV - High" dataDxfId="76" dataCellStyle="Comma"/>
    <tableColumn id="20" xr3:uid="{FBE00DF8-5CE3-41C9-BF82-6FB978FED3DE}" name="Price/Avg. BV - Low" dataDxfId="75" dataCellStyle="Comma"/>
    <tableColumn id="21" xr3:uid="{32C4660A-0F9F-4747-8D24-70C8321E634E}" name="Average" dataDxfId="74">
      <calculatedColumnFormula>AVERAGE(S2:T2)</calculatedColumnFormula>
    </tableColumn>
    <tableColumn id="22" xr3:uid="{A5A50F2D-6BAA-471C-97E0-2F7F515080F7}" name="Year" dataDxfId="73">
      <calculatedColumnFormula>Table245[[#This Row],[Column3]]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900BFF3-CDD9-4373-AA8B-E03C87241358}" name="Table2456" displayName="Table2456" ref="A1:V203" totalsRowShown="0" headerRowDxfId="72">
  <autoFilter ref="A1:V203" xr:uid="{92C477B5-20E4-49F2-9DA9-55514723F8D2}"/>
  <tableColumns count="22">
    <tableColumn id="1" xr3:uid="{193AF65C-239D-40DF-B166-B56402B64108}" name="Column1" dataDxfId="71"/>
    <tableColumn id="2" xr3:uid="{91074BD4-7531-4997-A31B-84654F4A0FB1}" name="Column2" dataDxfId="70"/>
    <tableColumn id="3" xr3:uid="{38CB7029-5D1B-4CDB-8A29-FAFB8882F230}" name="Column3" dataDxfId="69">
      <calculatedColumnFormula>CONCATENATE(A2,"-",B2)</calculatedColumnFormula>
    </tableColumn>
    <tableColumn id="4" xr3:uid="{45794580-33A2-4FC4-A345-201E1A56E718}" name="Column4" dataDxfId="68"/>
    <tableColumn id="5" xr3:uid="{58299603-01C4-4656-A837-4D9B63608263}" name="High" dataDxfId="67" dataCellStyle="Currency"/>
    <tableColumn id="6" xr3:uid="{F6DC32AF-F3B1-444C-B865-5CFB1BCD0C17}" name="Low" dataDxfId="66" dataCellStyle="Currency"/>
    <tableColumn id="7" xr3:uid="{A3CAE93B-5AC6-4133-9CD2-2C790A1D8B02}" name="Average Share Price" dataDxfId="65" dataCellStyle="Currency">
      <calculatedColumnFormula>AVERAGE(E2:F2)</calculatedColumnFormula>
    </tableColumn>
    <tableColumn id="8" xr3:uid="{1B0EF6A8-2ECA-4D20-B904-E4A19DFE6698}" name="Column5" dataDxfId="64"/>
    <tableColumn id="9" xr3:uid="{90264639-1DC1-4213-828F-4378F1ECC4B6}" name="Column6" dataDxfId="63"/>
    <tableColumn id="10" xr3:uid="{9AE554CD-4D5F-47EB-A346-56D4726A4771}" name="YE SH Out" dataDxfId="62" dataCellStyle="Comma"/>
    <tableColumn id="11" xr3:uid="{FF57F57A-A469-410A-822F-CA7646F994CB}" name="Avg." dataDxfId="61"/>
    <tableColumn id="12" xr3:uid="{95AAB3A8-6680-40B6-9937-A62041779562}" name="Market Value-High" dataDxfId="60" dataCellStyle="Currency"/>
    <tableColumn id="13" xr3:uid="{9A54CABA-CB95-4E52-BFBA-9E6413E7B4B2}" name="Market Value-Low" dataDxfId="59" dataCellStyle="Currency"/>
    <tableColumn id="14" xr3:uid="{5C5D7118-783A-4826-8A4B-D5F1D965F5B7}" name="Average Market Value" dataDxfId="58" dataCellStyle="Currency">
      <calculatedColumnFormula>AVERAGE(L2:M2)</calculatedColumnFormula>
    </tableColumn>
    <tableColumn id="15" xr3:uid="{546C9D41-EB87-482A-B0F6-EBA7AC2F1734}" name="Column7" dataDxfId="57"/>
    <tableColumn id="16" xr3:uid="{21527F31-32B3-4D41-A37B-D49B736264FB}" name="YE BV $" dataDxfId="56" dataCellStyle="Currency"/>
    <tableColumn id="17" xr3:uid="{406BF319-F9D7-481C-92C3-D789308EF384}" name="Avg. BV" dataDxfId="55" dataCellStyle="Currency"/>
    <tableColumn id="18" xr3:uid="{6D6C3386-802D-4129-80AA-8B56E96C9C7E}" name="Column8" dataDxfId="54"/>
    <tableColumn id="19" xr3:uid="{C0CC2710-A50F-4574-B57B-A1D5CB4B2935}" name="Price/Avg. BV - High" dataDxfId="53" dataCellStyle="Comma"/>
    <tableColumn id="20" xr3:uid="{7582A7C5-65D2-4EFA-86BE-EA70A8689F38}" name="Price/Avg. BV - Low" dataDxfId="52" dataCellStyle="Comma"/>
    <tableColumn id="21" xr3:uid="{93A91249-F916-473D-8175-A94A9860A851}" name="Average" dataDxfId="51">
      <calculatedColumnFormula>AVERAGE(S2:T2)</calculatedColumnFormula>
    </tableColumn>
    <tableColumn id="22" xr3:uid="{61B2DB61-B254-488B-AA0B-29EDC8E86858}" name="Year" dataDxfId="50">
      <calculatedColumnFormula>Table2456[[#This Row],[Column3]]</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8E2AD81-B4C4-461F-84B4-95ABAE20E3B2}" name="Table24567" displayName="Table24567" ref="A1:V203" totalsRowShown="0" headerRowDxfId="49">
  <autoFilter ref="A1:V203" xr:uid="{92C477B5-20E4-49F2-9DA9-55514723F8D2}"/>
  <tableColumns count="22">
    <tableColumn id="1" xr3:uid="{08CD3BE2-012E-4841-B9D5-3CA067998727}" name="Column1" dataDxfId="48"/>
    <tableColumn id="2" xr3:uid="{A722F99C-7214-43F5-A68A-8202F9B201DF}" name="Column2" dataDxfId="47"/>
    <tableColumn id="3" xr3:uid="{42F2DCF6-FF2B-42FB-8517-B37B17F3F3B4}" name="Column3" dataDxfId="46">
      <calculatedColumnFormula>CONCATENATE(A2,"-",B2)</calculatedColumnFormula>
    </tableColumn>
    <tableColumn id="4" xr3:uid="{9FFD98B0-6F65-4FB3-ADEE-7847C93C1410}" name="Column4" dataDxfId="45"/>
    <tableColumn id="5" xr3:uid="{58A6C7F3-22E3-4F07-AB8B-69A79290B618}" name="High" dataDxfId="44" dataCellStyle="Currency"/>
    <tableColumn id="6" xr3:uid="{D6733489-F4B6-4B46-8516-911ABE0ADD05}" name="Low" dataDxfId="43" dataCellStyle="Currency"/>
    <tableColumn id="7" xr3:uid="{0B6F9531-ABD5-43EF-B92F-B9046A368737}" name="Average Share Price" dataDxfId="42" dataCellStyle="Currency">
      <calculatedColumnFormula>AVERAGE(E2:F2)</calculatedColumnFormula>
    </tableColumn>
    <tableColumn id="8" xr3:uid="{1846A5C6-D226-48B6-B605-DD994EBE2920}" name="Column5" dataDxfId="41"/>
    <tableColumn id="9" xr3:uid="{6B2A96A2-ECFA-499B-93AB-0EFB945B1D93}" name="Column6" dataDxfId="40"/>
    <tableColumn id="10" xr3:uid="{C25C6776-A6E8-458C-AC74-12D82D50A2AF}" name="YE SH Out" dataDxfId="39" dataCellStyle="Comma"/>
    <tableColumn id="11" xr3:uid="{0BB2D22F-3A1A-49E4-BD98-1C58BD469CB9}" name="Avg." dataDxfId="38"/>
    <tableColumn id="12" xr3:uid="{50A9B9F7-1D64-451A-8E02-9F3CE913733B}" name="Market Value-High" dataDxfId="37" dataCellStyle="Currency"/>
    <tableColumn id="13" xr3:uid="{5C189649-04BA-402F-83F3-C5509CB33433}" name="Market Value-Low" dataDxfId="36" dataCellStyle="Currency"/>
    <tableColumn id="14" xr3:uid="{742FAB28-A106-43A1-AF90-D6DDE6964AF6}" name="Average Market Value" dataDxfId="35" dataCellStyle="Currency">
      <calculatedColumnFormula>AVERAGE(L2:M2)</calculatedColumnFormula>
    </tableColumn>
    <tableColumn id="15" xr3:uid="{CE5675CC-B990-4B36-B854-EE6F0F3FDC31}" name="Column7" dataDxfId="34"/>
    <tableColumn id="16" xr3:uid="{F56C0AE1-BDCD-4563-92EB-DD7D129C15AA}" name="YE BV $" dataDxfId="33" dataCellStyle="Currency"/>
    <tableColumn id="17" xr3:uid="{DF227FF5-C414-4BBC-A174-5221026532DA}" name="Avg. BV" dataDxfId="32" dataCellStyle="Currency"/>
    <tableColumn id="18" xr3:uid="{B7BBDFA4-5963-48C2-A451-4D9132C362D1}" name="Column8" dataDxfId="31"/>
    <tableColumn id="19" xr3:uid="{FBB643F9-96B5-43F9-B6E4-D470D8EA887B}" name="Price/Avg. BV - High" dataDxfId="30" dataCellStyle="Comma"/>
    <tableColumn id="20" xr3:uid="{E4AADC4E-F299-4D8B-9C82-9290DFCD97C4}" name="Price/Avg. BV - Low" dataDxfId="29" dataCellStyle="Comma"/>
    <tableColumn id="21" xr3:uid="{802C498D-6F3E-4CFB-87DD-C94D576A1941}" name="Average" dataDxfId="28">
      <calculatedColumnFormula>AVERAGE(S2:T2)</calculatedColumnFormula>
    </tableColumn>
    <tableColumn id="22" xr3:uid="{42A7800D-7B3B-4190-B3E0-AF8E17DE5E87}" name="Year" dataDxfId="27">
      <calculatedColumnFormula>Table24567[[#This Row],[Column3]]</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D6B5DC-8093-4B6F-9A6E-57B19FB31AEB}" name="Table24568" displayName="Table24568" ref="A1:V223" totalsRowShown="0" headerRowDxfId="26">
  <autoFilter ref="A1:V223" xr:uid="{92C477B5-20E4-49F2-9DA9-55514723F8D2}"/>
  <tableColumns count="22">
    <tableColumn id="1" xr3:uid="{61172DB5-F41A-4711-8EB3-521369C3355A}" name="Column1" dataDxfId="25"/>
    <tableColumn id="2" xr3:uid="{F91011C3-40FD-47D0-BB2A-468FEEF64E8B}" name="Column2" dataDxfId="24"/>
    <tableColumn id="3" xr3:uid="{DB333F86-4498-4F49-92D4-F5EFA2600D12}" name="Column3" dataDxfId="23">
      <calculatedColumnFormula>CONCATENATE(A2,"-",B2)</calculatedColumnFormula>
    </tableColumn>
    <tableColumn id="4" xr3:uid="{04E7E43D-5457-4B5D-AEC0-3EF3151D4BA0}" name="Column4" dataDxfId="22"/>
    <tableColumn id="5" xr3:uid="{084733AB-E09F-44AA-89DA-AD4AD5CDA4BC}" name="High" dataDxfId="21" dataCellStyle="Currency"/>
    <tableColumn id="6" xr3:uid="{9BE62F11-3AAE-41F1-88A6-250FD259824F}" name="Low" dataDxfId="20" dataCellStyle="Currency"/>
    <tableColumn id="7" xr3:uid="{93437682-806A-4542-9D58-A4ADBC31553E}" name="Average Share Price" dataDxfId="19" dataCellStyle="Currency">
      <calculatedColumnFormula>AVERAGE(E2:F2)</calculatedColumnFormula>
    </tableColumn>
    <tableColumn id="8" xr3:uid="{816444AA-CD56-4407-95A8-7D890D9345EF}" name="Column5" dataDxfId="18"/>
    <tableColumn id="9" xr3:uid="{B0324393-00BA-490E-86A9-4680E8B1090C}" name="Column6" dataDxfId="17"/>
    <tableColumn id="10" xr3:uid="{E706539D-BD6C-4EB8-9E9D-BFAFF8F807AE}" name="YE SH Out" dataDxfId="16" dataCellStyle="Comma"/>
    <tableColumn id="11" xr3:uid="{79399C51-1B20-4ED1-A4CB-2594CB7D5EEB}" name="Avg." dataDxfId="15"/>
    <tableColumn id="12" xr3:uid="{E1C5B983-9A7D-4CBA-85CC-ABADCA950C91}" name="Market Value-High" dataDxfId="14" dataCellStyle="Currency"/>
    <tableColumn id="13" xr3:uid="{98CB37B4-4B42-4B8D-B2D7-F1A7D64677CD}" name="Market Value-Low" dataDxfId="13" dataCellStyle="Currency"/>
    <tableColumn id="14" xr3:uid="{9814B156-F475-4621-B2D6-24326937FC19}" name="Average Market Value" dataDxfId="12" dataCellStyle="Currency">
      <calculatedColumnFormula>AVERAGE(L2:M2)</calculatedColumnFormula>
    </tableColumn>
    <tableColumn id="15" xr3:uid="{C05B8ADD-6AE2-4522-AB2A-37CE39159E65}" name="Column7" dataDxfId="11"/>
    <tableColumn id="16" xr3:uid="{6DF4BF5E-4822-4968-8559-20CCC184D648}" name="YE BV $" dataDxfId="10" dataCellStyle="Currency"/>
    <tableColumn id="17" xr3:uid="{18A94798-09A6-4652-A384-FDCA904F91E3}" name="Avg. BV" dataDxfId="9" dataCellStyle="Currency"/>
    <tableColumn id="18" xr3:uid="{27AD1B26-578A-4342-8689-FCC6DA204A7B}" name="Column8" dataDxfId="8"/>
    <tableColumn id="19" xr3:uid="{1D70B277-C52A-422D-B30B-B3406039D42E}" name="Price/Avg. BV - High" dataDxfId="7" dataCellStyle="Comma"/>
    <tableColumn id="20" xr3:uid="{EDAAFF02-BBC4-4CB6-8418-B989E5EB2733}" name="Price/Avg. BV - Low" dataDxfId="6" dataCellStyle="Comma"/>
    <tableColumn id="21" xr3:uid="{65B42AEE-62B6-4DFA-899F-D46FD55E69DC}" name="Average" dataDxfId="5">
      <calculatedColumnFormula>AVERAGE(S2:T2)</calculatedColumnFormula>
    </tableColumn>
    <tableColumn id="22" xr3:uid="{207B0EC5-8CC8-479A-8F2C-4C3684F7E83D}" name="Year" dataDxfId="4">
      <calculatedColumnFormula>Table24568[[#This Row],[Column3]]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19-09-21T03:00:01.20" personId="{3B1D00D9-D96C-46F7-B63D-51A679061034}" id="{101AE79B-6E86-42D9-B28D-C8B0622DC640}">
    <text>Investment income changes between the 1983 report and the 1984 report. Why?</text>
  </threadedComment>
</ThreadedComments>
</file>

<file path=xl/threadedComments/threadedComment10.xml><?xml version="1.0" encoding="utf-8"?>
<ThreadedComments xmlns="http://schemas.microsoft.com/office/spreadsheetml/2018/threadedcomments" xmlns:x="http://schemas.openxmlformats.org/spreadsheetml/2006/main">
  <threadedComment ref="Q30" dT="2020-04-14T14:06:28.21" personId="{3B1D00D9-D96C-46F7-B63D-51A679061034}" id="{1FD5034F-A789-4F21-8B11-B01AF9B7617B}">
    <text>Per 2015 S-4 statement</text>
  </threadedComment>
</ThreadedComments>
</file>

<file path=xl/threadedComments/threadedComment11.xml><?xml version="1.0" encoding="utf-8"?>
<ThreadedComments xmlns="http://schemas.microsoft.com/office/spreadsheetml/2018/threadedcomments" xmlns:x="http://schemas.openxmlformats.org/spreadsheetml/2006/main">
  <threadedComment ref="I14" dT="2020-03-11T01:08:23.13" personId="{3B1D00D9-D96C-46F7-B63D-51A679061034}" id="{5CF94F4D-DEE7-487D-8C6F-B7B7765A47FF}">
    <text>2012: $15 related to noncontrolling interests other comprehensive income. Also, 2011 as stated in 2012 shows OCI, net of -$3,112, which is $7 less than as presented in 2011 original.</text>
  </threadedComment>
</ThreadedComments>
</file>

<file path=xl/threadedComments/threadedComment12.xml><?xml version="1.0" encoding="utf-8"?>
<ThreadedComments xmlns="http://schemas.microsoft.com/office/spreadsheetml/2018/threadedcomments" xmlns:x="http://schemas.openxmlformats.org/spreadsheetml/2006/main">
  <threadedComment ref="P45" dT="2019-03-22T20:30:42.34" personId="{3B1D00D9-D96C-46F7-B63D-51A679061034}" id="{47226B23-7293-4E3A-B12D-B1FD45D57A9D}">
    <text>Footnotes disclose a "$4.4 billion" figure.</text>
  </threadedComment>
</ThreadedComments>
</file>

<file path=xl/threadedComments/threadedComment13.xml><?xml version="1.0" encoding="utf-8"?>
<ThreadedComments xmlns="http://schemas.microsoft.com/office/spreadsheetml/2018/threadedcomments" xmlns:x="http://schemas.openxmlformats.org/spreadsheetml/2006/main">
  <threadedComment ref="E95" dT="2019-02-21T16:29:46.63" personId="{3B1D00D9-D96C-46F7-B63D-51A679061034}" id="{DA89024A-201A-4E88-BDF4-4E70B9E71D38}">
    <text>Includes change in equity related to GEICO merger, which restated appreciation related to GEICO stock.</text>
  </threadedComment>
</ThreadedComments>
</file>

<file path=xl/threadedComments/threadedComment14.xml><?xml version="1.0" encoding="utf-8"?>
<ThreadedComments xmlns="http://schemas.microsoft.com/office/spreadsheetml/2018/threadedcomments" xmlns:x="http://schemas.openxmlformats.org/spreadsheetml/2006/main">
  <threadedComment ref="J31" dT="2020-05-27T17:04:52.65" personId="{3B1D00D9-D96C-46F7-B63D-51A679061034}" id="{E6F10EB2-77F3-4724-A028-3830A68E7A4A}">
    <text>Averge shares out per 1967 report</text>
  </threadedComment>
</ThreadedComments>
</file>

<file path=xl/threadedComments/threadedComment2.xml><?xml version="1.0" encoding="utf-8"?>
<ThreadedComments xmlns="http://schemas.microsoft.com/office/spreadsheetml/2018/threadedcomments" xmlns:x="http://schemas.openxmlformats.org/spreadsheetml/2006/main">
  <threadedComment ref="AO46" dT="2019-11-01T18:49:28.95" personId="{3B1D00D9-D96C-46F7-B63D-51A679061034}" id="{1B05EE59-E641-433A-BB16-C8F1EBF2E53C}">
    <text>P. 49 1985ar</text>
  </threadedComment>
</ThreadedComments>
</file>

<file path=xl/threadedComments/threadedComment3.xml><?xml version="1.0" encoding="utf-8"?>
<ThreadedComments xmlns="http://schemas.microsoft.com/office/spreadsheetml/2018/threadedcomments" xmlns:x="http://schemas.openxmlformats.org/spreadsheetml/2006/main">
  <threadedComment ref="B56" dT="2019-05-16T14:09:43.86" personId="{3B1D00D9-D96C-46F7-B63D-51A679061034}" id="{8BFD3ED6-2EE4-4E3F-BF12-3DADF6C6C12D}">
    <text>"Approximately $2bn" for 87.3%</text>
  </threadedComment>
</ThreadedComments>
</file>

<file path=xl/threadedComments/threadedComment4.xml><?xml version="1.0" encoding="utf-8"?>
<ThreadedComments xmlns="http://schemas.microsoft.com/office/spreadsheetml/2018/threadedcomments" xmlns:x="http://schemas.openxmlformats.org/spreadsheetml/2006/main">
  <threadedComment ref="E60" dT="2019-02-21T16:29:46.63" personId="{3B1D00D9-D96C-46F7-B63D-51A679061034}" id="{4CA74815-2EE2-4147-A051-87620C564BD8}">
    <text>Includes change in equity related to GEICO merger, which restated appreciation related to GEICO stock.</text>
  </threadedComment>
</ThreadedComments>
</file>

<file path=xl/threadedComments/threadedComment5.xml><?xml version="1.0" encoding="utf-8"?>
<ThreadedComments xmlns="http://schemas.microsoft.com/office/spreadsheetml/2018/threadedcomments" xmlns:x="http://schemas.openxmlformats.org/spreadsheetml/2006/main">
  <threadedComment ref="S80" dT="2019-12-10T17:08:38.27" personId="{3B1D00D9-D96C-46F7-B63D-51A679061034}" id="{8025741F-F16B-4185-99C0-2D3F2FD87BDA}">
    <text>It appears via 1998 financials that the losses went up. Only way to confirm was via the changed underwriting gain, which was reduced from the original presentation.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E76" dT="2019-02-21T16:29:46.63" personId="{3B1D00D9-D96C-46F7-B63D-51A679061034}" id="{0ADC42A7-8F0D-454B-9195-964866021FC6}">
    <text>Includes change in equity related to GEICO merger, which restated appreciation related to GEICO stock.</text>
  </threadedComment>
</ThreadedComments>
</file>

<file path=xl/threadedComments/threadedComment7.xml><?xml version="1.0" encoding="utf-8"?>
<ThreadedComments xmlns="http://schemas.microsoft.com/office/spreadsheetml/2018/threadedcomments" xmlns:x="http://schemas.openxmlformats.org/spreadsheetml/2006/main">
  <threadedComment ref="D14" dT="2020-03-11T01:08:23.13" personId="{3B1D00D9-D96C-46F7-B63D-51A679061034}" id="{63B2B083-016D-461B-A3EA-0BF5BC8EF70C}">
    <text>2012: $15 related to noncontrolling interests other comprehensive income. Also, 2011 as stated in 2012 shows OCI, net of -$3,112, which is $7 less than as presented in 2011 original.</text>
  </threadedComment>
</ThreadedComments>
</file>

<file path=xl/threadedComments/threadedComment8.xml><?xml version="1.0" encoding="utf-8"?>
<ThreadedComments xmlns="http://schemas.microsoft.com/office/spreadsheetml/2018/threadedcomments" xmlns:x="http://schemas.openxmlformats.org/spreadsheetml/2006/main">
  <threadedComment ref="B72" dT="2019-03-22T20:30:42.34" personId="{3B1D00D9-D96C-46F7-B63D-51A679061034}" id="{B9A92B80-64C3-48AA-AD58-8DF88E0D1D0B}">
    <text>Footnotes disclose a "$4.4 billion" figure.</text>
  </threadedComment>
  <threadedComment ref="F72" dT="2019-03-22T20:30:42.34" personId="{3B1D00D9-D96C-46F7-B63D-51A679061034}" id="{E06A5D55-93DF-4CB7-A14D-6E05E8CF5830}">
    <text>Footnotes confirm actual was $3,342 million.</text>
  </threadedComment>
  <threadedComment ref="J72" dT="2019-03-22T20:30:42.34" personId="{3B1D00D9-D96C-46F7-B63D-51A679061034}" id="{2E3C8D31-7977-4D89-BC92-D01334FEF67F}">
    <text>Footnotes confirm actual was $2,263 million.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L14" dT="2019-03-20T13:08:02.86" personId="{3B1D00D9-D96C-46F7-B63D-51A679061034}" id="{C14E7F0E-90C0-4ED6-BBED-F84D687BA5CB}">
    <text>"Net of losses of $200 million from Hurricanes Katrina, Rita and Wilma."</text>
  </threadedComment>
  <threadedComment ref="AL38" dT="2019-03-20T13:09:57.64" personId="{3B1D00D9-D96C-46F7-B63D-51A679061034}" id="{7EBBBA94-400A-4B6B-A2B0-657D4F168B50}">
    <text>"Includes losses of $685 million related to Hurricanes Katrina, Rita and Wilma."</text>
  </threadedComment>
  <threadedComment ref="AL67" dT="2019-03-20T13:11:57.56" personId="{3B1D00D9-D96C-46F7-B63D-51A679061034}" id="{1AD95582-ACB6-4D17-BB7D-5CF1A1245789}">
    <text>"Includes losses of $2.5 billion from Hurricanes Katrina, Rita and Wilma."</text>
  </threadedComment>
  <threadedComment ref="B72" dT="2019-03-22T20:30:42.34" personId="{3B1D00D9-D96C-46F7-B63D-51A679061034}" id="{BAAA9E48-D15A-471A-A9AE-623795688A5F}">
    <text>Footnotes disclose a "$4.4 billion" figure.</text>
  </threadedComment>
  <threadedComment ref="F72" dT="2019-03-22T20:30:42.34" personId="{3B1D00D9-D96C-46F7-B63D-51A679061034}" id="{CA791AAE-79D4-4A98-95B0-2C0065328A30}">
    <text>Footnotes confirm actual was $3,342 million.</text>
  </threadedComment>
  <threadedComment ref="J72" dT="2019-03-22T20:30:42.34" personId="{3B1D00D9-D96C-46F7-B63D-51A679061034}" id="{65E67393-D109-4C51-ABA6-730C98D2033A}">
    <text>Footnotes confirm actual was $2,263 million.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ec.gov/Archives/edgar/data/1081316/0001081316-99-000013.txt" TargetMode="External"/><Relationship Id="rId1" Type="http://schemas.openxmlformats.org/officeDocument/2006/relationships/hyperlink" Target="https://www.sec.gov/Archives/edgar/data/1081316/000108131600000009/0001081316-00-000009.txt" TargetMode="External"/><Relationship Id="rId4" Type="http://schemas.openxmlformats.org/officeDocument/2006/relationships/drawing" Target="../drawings/drawing27.x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85.bin"/><Relationship Id="rId4" Type="http://schemas.microsoft.com/office/2017/10/relationships/threadedComment" Target="../threadedComments/threadedComment3.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88.bin"/><Relationship Id="rId5" Type="http://schemas.microsoft.com/office/2017/10/relationships/threadedComment" Target="../threadedComments/threadedComment4.xml"/><Relationship Id="rId4" Type="http://schemas.openxmlformats.org/officeDocument/2006/relationships/comments" Target="../comments17.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0.xml"/><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95.bin"/><Relationship Id="rId5" Type="http://schemas.microsoft.com/office/2017/10/relationships/threadedComment" Target="../threadedComments/threadedComment5.xml"/><Relationship Id="rId4" Type="http://schemas.openxmlformats.org/officeDocument/2006/relationships/comments" Target="../comments1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2.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3.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1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0.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6.xml"/><Relationship Id="rId1" Type="http://schemas.openxmlformats.org/officeDocument/2006/relationships/printerSettings" Target="../printerSettings/printerSettings124.bin"/><Relationship Id="rId5" Type="http://schemas.microsoft.com/office/2017/10/relationships/threadedComment" Target="../threadedComments/threadedComment6.xml"/><Relationship Id="rId4" Type="http://schemas.openxmlformats.org/officeDocument/2006/relationships/comments" Target="../comments19.xml"/></Relationships>
</file>

<file path=xl/worksheets/_rels/sheet15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7.xml"/><Relationship Id="rId1" Type="http://schemas.openxmlformats.org/officeDocument/2006/relationships/printerSettings" Target="../printerSettings/printerSettings12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27.bin"/><Relationship Id="rId4" Type="http://schemas.microsoft.com/office/2017/10/relationships/threadedComment" Target="../threadedComments/threadedComment7.xml"/></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8.xml"/><Relationship Id="rId1" Type="http://schemas.openxmlformats.org/officeDocument/2006/relationships/printerSettings" Target="../printerSettings/printerSettings129.bin"/><Relationship Id="rId5" Type="http://schemas.microsoft.com/office/2017/10/relationships/threadedComment" Target="../threadedComments/threadedComment8.xml"/><Relationship Id="rId4" Type="http://schemas.openxmlformats.org/officeDocument/2006/relationships/comments" Target="../comments21.xml"/></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9.xml"/><Relationship Id="rId1" Type="http://schemas.openxmlformats.org/officeDocument/2006/relationships/printerSettings" Target="../printerSettings/printerSettings130.bin"/><Relationship Id="rId5" Type="http://schemas.microsoft.com/office/2017/10/relationships/threadedComment" Target="../threadedComments/threadedComment9.xml"/><Relationship Id="rId4" Type="http://schemas.openxmlformats.org/officeDocument/2006/relationships/comments" Target="../comments22.xml"/></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7.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38.bin"/></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8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1.xml"/><Relationship Id="rId1" Type="http://schemas.openxmlformats.org/officeDocument/2006/relationships/printerSettings" Target="../printerSettings/printerSettings13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42.bin"/></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43.bin"/><Relationship Id="rId4" Type="http://schemas.microsoft.com/office/2017/10/relationships/threadedComment" Target="../threadedComments/threadedComment10.xml"/></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44.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4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51.bin"/></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1.xml"/><Relationship Id="rId1" Type="http://schemas.openxmlformats.org/officeDocument/2006/relationships/printerSettings" Target="../printerSettings/printerSettings153.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55.bin"/></Relationships>
</file>

<file path=xl/worksheets/_rels/sheet21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156.bin"/><Relationship Id="rId4" Type="http://schemas.microsoft.com/office/2017/10/relationships/threadedComment" Target="../threadedComments/threadedComment11.xml"/></Relationships>
</file>

<file path=xl/worksheets/_rels/sheet21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73.xml"/><Relationship Id="rId1" Type="http://schemas.openxmlformats.org/officeDocument/2006/relationships/printerSettings" Target="../printerSettings/printerSettings157.bin"/><Relationship Id="rId5" Type="http://schemas.microsoft.com/office/2017/10/relationships/threadedComment" Target="../threadedComments/threadedComment12.xml"/><Relationship Id="rId4" Type="http://schemas.openxmlformats.org/officeDocument/2006/relationships/comments" Target="../comments25.xm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74.xml"/><Relationship Id="rId1" Type="http://schemas.openxmlformats.org/officeDocument/2006/relationships/printerSettings" Target="../printerSettings/printerSettings159.bin"/><Relationship Id="rId5" Type="http://schemas.microsoft.com/office/2017/10/relationships/threadedComment" Target="../threadedComments/threadedComment13.xml"/><Relationship Id="rId4" Type="http://schemas.openxmlformats.org/officeDocument/2006/relationships/comments" Target="../comments26.xm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63.bin"/></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6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65.bin"/></Relationships>
</file>

<file path=xl/worksheets/_rels/sheet22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80.xml"/><Relationship Id="rId1" Type="http://schemas.openxmlformats.org/officeDocument/2006/relationships/printerSettings" Target="../printerSettings/printerSettings166.bin"/><Relationship Id="rId5" Type="http://schemas.microsoft.com/office/2017/10/relationships/threadedComment" Target="../threadedComments/threadedComment14.xml"/><Relationship Id="rId4" Type="http://schemas.openxmlformats.org/officeDocument/2006/relationships/comments" Target="../comments27.xml"/></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6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6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7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5.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3.bin"/><Relationship Id="rId4" Type="http://schemas.microsoft.com/office/2017/10/relationships/threadedComment" Target="../threadedComments/threadedComment1.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55.bin"/><Relationship Id="rId4" Type="http://schemas.openxmlformats.org/officeDocument/2006/relationships/comments" Target="../comments11.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63.bin"/><Relationship Id="rId4" Type="http://schemas.openxmlformats.org/officeDocument/2006/relationships/comments" Target="../comments12.xml"/></Relationships>
</file>

<file path=xl/worksheets/_rels/sheet8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67.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79AB8-CE01-463F-8A00-2331F004F916}">
  <sheetPr>
    <tabColor rgb="FF00B0F0"/>
  </sheetPr>
  <dimension ref="A1"/>
  <sheetViews>
    <sheetView showGridLines="0" topLeftCell="A3" workbookViewId="0">
      <selection activeCell="U15" sqref="U15"/>
    </sheetView>
  </sheetViews>
  <sheetFormatPr defaultRowHeight="14.4" x14ac:dyDescent="0.3"/>
  <cols>
    <col min="1" max="16384" width="8.88671875" style="2785"/>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9B73-6C51-4B7C-A5FF-0A9AD6721890}">
  <sheetPr codeName="Sheet5">
    <tabColor theme="4"/>
  </sheetPr>
  <dimension ref="A1:AK126"/>
  <sheetViews>
    <sheetView showGridLines="0" zoomScale="70" zoomScaleNormal="70" workbookViewId="0">
      <selection activeCell="Q46" sqref="Q46"/>
    </sheetView>
  </sheetViews>
  <sheetFormatPr defaultColWidth="8.6640625" defaultRowHeight="15.6" outlineLevelRow="1" outlineLevelCol="2" x14ac:dyDescent="0.3"/>
  <cols>
    <col min="1" max="1" width="8.6640625" style="211"/>
    <col min="2" max="2" width="36" style="211" customWidth="1"/>
    <col min="3" max="3" width="9" style="211" customWidth="1" outlineLevel="2"/>
    <col min="4" max="14" width="9" style="211" customWidth="1" outlineLevel="1"/>
    <col min="15" max="25" width="9" style="211" customWidth="1"/>
    <col min="26" max="26" width="10.5546875" style="211" bestFit="1" customWidth="1"/>
    <col min="27" max="28" width="8.88671875" style="211" bestFit="1" customWidth="1"/>
    <col min="29" max="29" width="10.5546875" style="211" bestFit="1" customWidth="1"/>
    <col min="30" max="30" width="11.33203125" style="211" bestFit="1" customWidth="1"/>
    <col min="31" max="31" width="8.88671875" style="211" bestFit="1" customWidth="1"/>
    <col min="32" max="16384" width="8.6640625" style="211"/>
  </cols>
  <sheetData>
    <row r="1" spans="1:30" x14ac:dyDescent="0.3">
      <c r="B1" s="152" t="s">
        <v>2954</v>
      </c>
    </row>
    <row r="2" spans="1:30" x14ac:dyDescent="0.3">
      <c r="B2" s="152" t="s">
        <v>3800</v>
      </c>
    </row>
    <row r="3" spans="1:30" ht="6" customHeight="1" thickBot="1" x14ac:dyDescent="0.35"/>
    <row r="4" spans="1:30" x14ac:dyDescent="0.3">
      <c r="A4" s="211" t="s">
        <v>176</v>
      </c>
      <c r="B4" s="453" t="s">
        <v>653</v>
      </c>
      <c r="C4" s="712">
        <v>1955</v>
      </c>
      <c r="D4" s="712">
        <v>1954</v>
      </c>
      <c r="E4" s="712">
        <v>1953</v>
      </c>
      <c r="F4" s="712">
        <v>1952</v>
      </c>
      <c r="G4" s="712">
        <v>1951</v>
      </c>
      <c r="H4" s="712">
        <v>1950</v>
      </c>
      <c r="I4" s="712">
        <v>1949</v>
      </c>
      <c r="J4" s="712">
        <v>1948</v>
      </c>
      <c r="K4" s="712">
        <v>1947</v>
      </c>
      <c r="L4" s="712">
        <v>1946</v>
      </c>
      <c r="M4" s="713">
        <v>1945</v>
      </c>
      <c r="N4" s="842"/>
      <c r="O4" s="712">
        <v>1944</v>
      </c>
      <c r="P4" s="712">
        <v>1943</v>
      </c>
      <c r="Q4" s="712">
        <v>1942</v>
      </c>
      <c r="R4" s="712">
        <v>1941</v>
      </c>
      <c r="S4" s="712">
        <v>1940</v>
      </c>
      <c r="T4" s="712">
        <v>1939</v>
      </c>
      <c r="U4" s="712">
        <v>1938</v>
      </c>
      <c r="V4" s="712">
        <v>1937</v>
      </c>
      <c r="W4" s="712">
        <v>1936</v>
      </c>
      <c r="X4" s="712">
        <v>1935</v>
      </c>
      <c r="Y4" s="713">
        <v>1934</v>
      </c>
    </row>
    <row r="5" spans="1:30" x14ac:dyDescent="0.3">
      <c r="B5" s="214" t="s">
        <v>1494</v>
      </c>
      <c r="C5" s="1943"/>
      <c r="D5" s="1943"/>
      <c r="E5" s="1943"/>
      <c r="F5" s="1943"/>
      <c r="G5" s="835">
        <f t="shared" ref="G5:Y5" si="0">G76</f>
        <v>60987366</v>
      </c>
      <c r="H5" s="835">
        <f t="shared" si="0"/>
        <v>63466253</v>
      </c>
      <c r="I5" s="835">
        <f t="shared" si="0"/>
        <v>50911790</v>
      </c>
      <c r="J5" s="835">
        <f t="shared" si="0"/>
        <v>69889757</v>
      </c>
      <c r="K5" s="835">
        <f t="shared" si="0"/>
        <v>68444883</v>
      </c>
      <c r="L5" s="835">
        <f t="shared" si="0"/>
        <v>42860655</v>
      </c>
      <c r="M5" s="836">
        <f t="shared" si="0"/>
        <v>36043026</v>
      </c>
      <c r="N5" s="837"/>
      <c r="O5" s="838">
        <f t="shared" si="0"/>
        <v>31695890</v>
      </c>
      <c r="P5" s="838">
        <f t="shared" si="0"/>
        <v>38679237</v>
      </c>
      <c r="Q5" s="838">
        <f t="shared" si="0"/>
        <v>37771888</v>
      </c>
      <c r="R5" s="838">
        <f t="shared" si="0"/>
        <v>28746992</v>
      </c>
      <c r="S5" s="838">
        <f t="shared" si="0"/>
        <v>18163074</v>
      </c>
      <c r="T5" s="838">
        <f t="shared" si="0"/>
        <v>18441984</v>
      </c>
      <c r="U5" s="838">
        <f t="shared" si="0"/>
        <v>14350730</v>
      </c>
      <c r="V5" s="838">
        <f t="shared" si="0"/>
        <v>19388924</v>
      </c>
      <c r="W5" s="838">
        <f t="shared" si="0"/>
        <v>18950664</v>
      </c>
      <c r="X5" s="838">
        <f t="shared" si="0"/>
        <v>16030990</v>
      </c>
      <c r="Y5" s="839">
        <f t="shared" si="0"/>
        <v>16334575</v>
      </c>
    </row>
    <row r="6" spans="1:30" x14ac:dyDescent="0.3">
      <c r="B6" s="214" t="s">
        <v>99</v>
      </c>
      <c r="C6" s="1944"/>
      <c r="D6" s="1944"/>
      <c r="E6" s="1944"/>
      <c r="F6" s="1944"/>
      <c r="G6" s="824">
        <f t="shared" ref="G6:Y6" si="1">G78</f>
        <v>3141206</v>
      </c>
      <c r="H6" s="824">
        <f t="shared" si="1"/>
        <v>4098511</v>
      </c>
      <c r="I6" s="824">
        <f t="shared" si="1"/>
        <v>3570068</v>
      </c>
      <c r="J6" s="824">
        <f t="shared" si="1"/>
        <v>14357672</v>
      </c>
      <c r="K6" s="824">
        <f t="shared" si="1"/>
        <v>12842173</v>
      </c>
      <c r="L6" s="824">
        <f t="shared" si="1"/>
        <v>5689726</v>
      </c>
      <c r="M6" s="820">
        <f t="shared" si="1"/>
        <v>1813576</v>
      </c>
      <c r="N6" s="840"/>
      <c r="O6" s="824">
        <f t="shared" si="1"/>
        <v>1602047</v>
      </c>
      <c r="P6" s="824">
        <f t="shared" si="1"/>
        <v>1724446</v>
      </c>
      <c r="Q6" s="824">
        <f t="shared" si="1"/>
        <v>1907441</v>
      </c>
      <c r="R6" s="824">
        <f t="shared" si="1"/>
        <v>1851686</v>
      </c>
      <c r="S6" s="824">
        <f t="shared" si="1"/>
        <v>592454</v>
      </c>
      <c r="T6" s="824">
        <f t="shared" si="1"/>
        <v>284377</v>
      </c>
      <c r="U6" s="824">
        <f t="shared" si="1"/>
        <v>-517109</v>
      </c>
      <c r="V6" s="824">
        <f t="shared" si="1"/>
        <v>1417900</v>
      </c>
      <c r="W6" s="824">
        <f t="shared" si="1"/>
        <v>72834</v>
      </c>
      <c r="X6" s="824">
        <f t="shared" si="1"/>
        <v>-1228488</v>
      </c>
      <c r="Y6" s="820">
        <f t="shared" si="1"/>
        <v>208527</v>
      </c>
    </row>
    <row r="7" spans="1:30" x14ac:dyDescent="0.3">
      <c r="B7" s="214" t="s">
        <v>95</v>
      </c>
      <c r="C7" s="1944"/>
      <c r="D7" s="1944"/>
      <c r="E7" s="1944"/>
      <c r="F7" s="1944"/>
      <c r="G7" s="824">
        <f t="shared" ref="G7:Y7" si="2">G92</f>
        <v>45192827</v>
      </c>
      <c r="H7" s="824">
        <f t="shared" si="2"/>
        <v>44261723</v>
      </c>
      <c r="I7" s="824">
        <f t="shared" si="2"/>
        <v>41691289</v>
      </c>
      <c r="J7" s="824">
        <f t="shared" si="2"/>
        <v>42530372</v>
      </c>
      <c r="K7" s="824">
        <f t="shared" si="2"/>
        <v>32444473</v>
      </c>
      <c r="L7" s="824">
        <f t="shared" si="2"/>
        <v>19186544</v>
      </c>
      <c r="M7" s="820">
        <f t="shared" si="2"/>
        <v>15293849</v>
      </c>
      <c r="N7" s="840"/>
      <c r="O7" s="824">
        <f t="shared" si="2"/>
        <v>14765586</v>
      </c>
      <c r="P7" s="824">
        <f t="shared" si="2"/>
        <v>14638121</v>
      </c>
      <c r="Q7" s="824">
        <f t="shared" si="2"/>
        <v>14311282</v>
      </c>
      <c r="R7" s="824">
        <f t="shared" si="2"/>
        <v>14034516</v>
      </c>
      <c r="S7" s="824">
        <f t="shared" si="2"/>
        <v>13172835</v>
      </c>
      <c r="T7" s="824">
        <f t="shared" si="2"/>
        <v>13098101</v>
      </c>
      <c r="U7" s="824">
        <f t="shared" si="2"/>
        <v>13093858</v>
      </c>
      <c r="V7" s="824">
        <f t="shared" si="2"/>
        <v>13610949</v>
      </c>
      <c r="W7" s="824">
        <f t="shared" si="2"/>
        <v>13629072</v>
      </c>
      <c r="X7" s="824">
        <f t="shared" si="2"/>
        <v>12634647</v>
      </c>
      <c r="Y7" s="820">
        <f t="shared" si="2"/>
        <v>13824590</v>
      </c>
    </row>
    <row r="8" spans="1:30" x14ac:dyDescent="0.3">
      <c r="B8" s="214"/>
      <c r="C8" s="239"/>
      <c r="D8" s="239"/>
      <c r="E8" s="239"/>
      <c r="F8" s="239"/>
      <c r="G8" s="239"/>
      <c r="H8" s="239"/>
      <c r="I8" s="239"/>
      <c r="J8" s="239"/>
      <c r="K8" s="239"/>
      <c r="L8" s="239"/>
      <c r="M8" s="240"/>
      <c r="N8" s="363"/>
      <c r="O8" s="239"/>
      <c r="P8" s="239"/>
      <c r="Q8" s="239"/>
      <c r="R8" s="239"/>
      <c r="S8" s="239"/>
      <c r="T8" s="239"/>
      <c r="U8" s="239"/>
      <c r="V8" s="239"/>
      <c r="W8" s="239"/>
      <c r="X8" s="239"/>
      <c r="Y8" s="240"/>
    </row>
    <row r="9" spans="1:30" x14ac:dyDescent="0.3">
      <c r="B9" s="221" t="s">
        <v>674</v>
      </c>
      <c r="C9" s="239"/>
      <c r="D9" s="239"/>
      <c r="E9" s="239"/>
      <c r="F9" s="239"/>
      <c r="G9" s="239"/>
      <c r="H9" s="239"/>
      <c r="I9" s="239"/>
      <c r="J9" s="239"/>
      <c r="K9" s="239"/>
      <c r="L9" s="239"/>
      <c r="M9" s="240"/>
      <c r="N9" s="363"/>
      <c r="O9" s="239"/>
      <c r="P9" s="239"/>
      <c r="Q9" s="239"/>
      <c r="R9" s="239"/>
      <c r="S9" s="239"/>
      <c r="T9" s="239"/>
      <c r="U9" s="239"/>
      <c r="V9" s="239"/>
      <c r="W9" s="239"/>
      <c r="X9" s="239"/>
      <c r="Y9" s="240"/>
    </row>
    <row r="10" spans="1:30" x14ac:dyDescent="0.3">
      <c r="B10" s="214" t="s">
        <v>1201</v>
      </c>
      <c r="C10" s="1944"/>
      <c r="D10" s="1944"/>
      <c r="E10" s="1944"/>
      <c r="F10" s="1944"/>
      <c r="G10" s="1765">
        <f t="shared" ref="G10:W10" si="3">G5/H5-1</f>
        <v>-3.905834806412789E-2</v>
      </c>
      <c r="H10" s="1765">
        <f t="shared" si="3"/>
        <v>0.24659244941103031</v>
      </c>
      <c r="I10" s="1765">
        <f t="shared" si="3"/>
        <v>-0.27154146493884646</v>
      </c>
      <c r="J10" s="1765">
        <f t="shared" si="3"/>
        <v>2.1110036816046618E-2</v>
      </c>
      <c r="K10" s="1765">
        <f t="shared" si="3"/>
        <v>0.59691640270079871</v>
      </c>
      <c r="L10" s="1765">
        <f t="shared" si="3"/>
        <v>0.18915251455302329</v>
      </c>
      <c r="M10" s="1762">
        <f>M5/O5-1</f>
        <v>0.13715140985156116</v>
      </c>
      <c r="N10" s="364"/>
      <c r="O10" s="1765">
        <f t="shared" si="3"/>
        <v>-0.180545107443562</v>
      </c>
      <c r="P10" s="1765">
        <f t="shared" si="3"/>
        <v>2.402180690570721E-2</v>
      </c>
      <c r="Q10" s="1765">
        <f t="shared" si="3"/>
        <v>0.31394227263847285</v>
      </c>
      <c r="R10" s="1765">
        <f t="shared" si="3"/>
        <v>0.58271622964262537</v>
      </c>
      <c r="S10" s="1765">
        <f t="shared" si="3"/>
        <v>-1.5123643963686373E-2</v>
      </c>
      <c r="T10" s="1765">
        <f t="shared" si="3"/>
        <v>0.28509030551059067</v>
      </c>
      <c r="U10" s="1765">
        <f t="shared" si="3"/>
        <v>-0.25984907672029656</v>
      </c>
      <c r="V10" s="1765">
        <f t="shared" si="3"/>
        <v>2.3126366442885571E-2</v>
      </c>
      <c r="W10" s="1765">
        <f t="shared" si="3"/>
        <v>0.182126868022499</v>
      </c>
      <c r="X10" s="1765">
        <f>X5/Y5-1</f>
        <v>-1.8585423863185957E-2</v>
      </c>
      <c r="Y10" s="1938"/>
    </row>
    <row r="11" spans="1:30" x14ac:dyDescent="0.3">
      <c r="B11" s="214" t="s">
        <v>2948</v>
      </c>
      <c r="C11" s="1944"/>
      <c r="D11" s="1944"/>
      <c r="E11" s="1944"/>
      <c r="F11" s="1944"/>
      <c r="G11" s="2247">
        <f t="shared" ref="G11:L11" si="4">G5/AVERAGE(G7:I7)*1000</f>
        <v>1395.1041023878768</v>
      </c>
      <c r="H11" s="2247">
        <f t="shared" si="4"/>
        <v>1481.8940245222682</v>
      </c>
      <c r="I11" s="2247">
        <f t="shared" si="4"/>
        <v>1309.166291564954</v>
      </c>
      <c r="J11" s="2247">
        <f t="shared" si="4"/>
        <v>2226.7011269343107</v>
      </c>
      <c r="K11" s="2247">
        <f t="shared" si="4"/>
        <v>3068.1368715777476</v>
      </c>
      <c r="L11" s="2247">
        <f t="shared" si="4"/>
        <v>2486.0885431323245</v>
      </c>
      <c r="M11" s="2247">
        <f>M5/AVERAGE(M7:O7)*1000</f>
        <v>2398.1173298832796</v>
      </c>
      <c r="N11" s="364"/>
      <c r="O11" s="2247">
        <f>O5/AVERAGE(O7:P7)*1000</f>
        <v>2155.9111577325948</v>
      </c>
      <c r="P11" s="2247">
        <f t="shared" ref="P11:X11" si="5">P5/AVERAGE(P7:Q7)*1000</f>
        <v>2672.1958307741265</v>
      </c>
      <c r="Q11" s="2247">
        <f t="shared" si="5"/>
        <v>2665.0784712428981</v>
      </c>
      <c r="R11" s="2247">
        <f t="shared" si="5"/>
        <v>2113.1783097884095</v>
      </c>
      <c r="S11" s="2247">
        <f t="shared" si="5"/>
        <v>1382.7504280776293</v>
      </c>
      <c r="T11" s="2247">
        <f t="shared" si="5"/>
        <v>1408.2172318611219</v>
      </c>
      <c r="U11" s="2247">
        <f t="shared" si="5"/>
        <v>1074.7675502766226</v>
      </c>
      <c r="V11" s="2247">
        <f t="shared" si="5"/>
        <v>1423.5616044495707</v>
      </c>
      <c r="W11" s="2247">
        <f t="shared" si="5"/>
        <v>1443.1059059076897</v>
      </c>
      <c r="X11" s="2247">
        <f t="shared" si="5"/>
        <v>1211.7499835690651</v>
      </c>
      <c r="Y11" s="1938"/>
      <c r="AA11" s="365"/>
    </row>
    <row r="12" spans="1:30" x14ac:dyDescent="0.3">
      <c r="B12" s="214" t="s">
        <v>1477</v>
      </c>
      <c r="C12" s="1944"/>
      <c r="D12" s="1944"/>
      <c r="E12" s="1944"/>
      <c r="F12" s="1944"/>
      <c r="G12" s="1765">
        <f t="shared" ref="G12:W12" si="6">G6/G5</f>
        <v>5.1505847948901416E-2</v>
      </c>
      <c r="H12" s="1765">
        <f t="shared" si="6"/>
        <v>6.4577800110556388E-2</v>
      </c>
      <c r="I12" s="1765">
        <f t="shared" si="6"/>
        <v>7.0122617963344056E-2</v>
      </c>
      <c r="J12" s="1765">
        <f t="shared" si="6"/>
        <v>0.20543313664690521</v>
      </c>
      <c r="K12" s="1765">
        <f t="shared" si="6"/>
        <v>0.18762794875403616</v>
      </c>
      <c r="L12" s="1765">
        <f t="shared" si="6"/>
        <v>0.13274939452045237</v>
      </c>
      <c r="M12" s="1762">
        <f t="shared" si="6"/>
        <v>5.0316973941089187E-2</v>
      </c>
      <c r="N12" s="364"/>
      <c r="O12" s="1765">
        <f t="shared" si="6"/>
        <v>5.0544313474081337E-2</v>
      </c>
      <c r="P12" s="1765">
        <f t="shared" si="6"/>
        <v>4.4583247596119854E-2</v>
      </c>
      <c r="Q12" s="1765">
        <f t="shared" si="6"/>
        <v>5.0498958378781593E-2</v>
      </c>
      <c r="R12" s="1765">
        <f t="shared" si="6"/>
        <v>6.4413208867209484E-2</v>
      </c>
      <c r="S12" s="1765">
        <f t="shared" si="6"/>
        <v>3.2618597490711096E-2</v>
      </c>
      <c r="T12" s="1765">
        <f t="shared" si="6"/>
        <v>1.5420087122947292E-2</v>
      </c>
      <c r="U12" s="1765">
        <f t="shared" si="6"/>
        <v>-3.6033637313223787E-2</v>
      </c>
      <c r="V12" s="1765">
        <f t="shared" si="6"/>
        <v>7.3129380464846835E-2</v>
      </c>
      <c r="W12" s="1765">
        <f t="shared" si="6"/>
        <v>3.8433481803065053E-3</v>
      </c>
      <c r="X12" s="1765">
        <f>X6/X5</f>
        <v>-7.6632073253117869E-2</v>
      </c>
      <c r="Y12" s="1938"/>
    </row>
    <row r="13" spans="1:30" ht="16.2" thickBot="1" x14ac:dyDescent="0.35">
      <c r="B13" s="224" t="s">
        <v>22</v>
      </c>
      <c r="C13" s="1945"/>
      <c r="D13" s="1945"/>
      <c r="E13" s="1945"/>
      <c r="F13" s="1945"/>
      <c r="G13" s="1795">
        <f t="shared" ref="G13:W13" si="7">G6/AVERAGE(G7:H7)</f>
        <v>7.0230211878546139E-2</v>
      </c>
      <c r="H13" s="1795">
        <f t="shared" si="7"/>
        <v>9.5366314795344229E-2</v>
      </c>
      <c r="I13" s="1795">
        <f t="shared" si="7"/>
        <v>8.4777905294458625E-2</v>
      </c>
      <c r="J13" s="1795">
        <f t="shared" si="7"/>
        <v>0.38299971143654915</v>
      </c>
      <c r="K13" s="1795">
        <f t="shared" si="7"/>
        <v>0.49745961812063472</v>
      </c>
      <c r="L13" s="1795">
        <f t="shared" si="7"/>
        <v>0.33002674882504962</v>
      </c>
      <c r="M13" s="1947">
        <f>M6/AVERAGE(M7:O7)</f>
        <v>0.12066600719541136</v>
      </c>
      <c r="N13" s="367"/>
      <c r="O13" s="1795">
        <f t="shared" si="7"/>
        <v>0.10896904937870588</v>
      </c>
      <c r="P13" s="1795">
        <f t="shared" si="7"/>
        <v>0.11913516834872208</v>
      </c>
      <c r="Q13" s="1795">
        <f t="shared" si="7"/>
        <v>0.13458368679548199</v>
      </c>
      <c r="R13" s="1795">
        <f t="shared" si="7"/>
        <v>0.13611659584205754</v>
      </c>
      <c r="S13" s="1795">
        <f t="shared" si="7"/>
        <v>4.5103379643572653E-2</v>
      </c>
      <c r="T13" s="1795">
        <f t="shared" si="7"/>
        <v>2.1714832403334168E-2</v>
      </c>
      <c r="U13" s="1795">
        <f t="shared" si="7"/>
        <v>-3.8727784102689823E-2</v>
      </c>
      <c r="V13" s="1795">
        <f t="shared" si="7"/>
        <v>0.10410417818694045</v>
      </c>
      <c r="W13" s="1795">
        <f t="shared" si="7"/>
        <v>5.5463584574598898E-3</v>
      </c>
      <c r="X13" s="1795">
        <f>X6/AVERAGE(X7:Y7)</f>
        <v>-9.2858913505328974E-2</v>
      </c>
      <c r="Y13" s="1939"/>
    </row>
    <row r="14" spans="1:30" ht="6" customHeight="1" x14ac:dyDescent="0.3">
      <c r="A14" s="220"/>
      <c r="B14" s="220"/>
      <c r="M14" s="522"/>
      <c r="Y14" s="223"/>
    </row>
    <row r="15" spans="1:30" ht="5.0999999999999996" customHeight="1" thickBot="1" x14ac:dyDescent="0.35">
      <c r="A15" s="220"/>
      <c r="B15" s="220"/>
      <c r="C15" s="239"/>
      <c r="D15" s="239"/>
      <c r="E15" s="239"/>
      <c r="F15" s="239"/>
      <c r="G15" s="239"/>
      <c r="H15" s="239"/>
      <c r="I15" s="239"/>
      <c r="J15" s="239"/>
      <c r="K15" s="239"/>
      <c r="L15" s="239"/>
      <c r="M15" s="1948"/>
      <c r="N15" s="239"/>
      <c r="O15" s="239"/>
      <c r="P15" s="239"/>
      <c r="Q15" s="239"/>
      <c r="R15" s="239"/>
      <c r="S15" s="239"/>
      <c r="T15" s="239"/>
      <c r="U15" s="239"/>
      <c r="V15" s="239"/>
      <c r="W15" s="239"/>
      <c r="X15" s="239"/>
      <c r="Y15" s="240"/>
    </row>
    <row r="16" spans="1:30" x14ac:dyDescent="0.3">
      <c r="B16" s="453" t="s">
        <v>673</v>
      </c>
      <c r="C16" s="712">
        <v>1955</v>
      </c>
      <c r="D16" s="712">
        <v>1954</v>
      </c>
      <c r="E16" s="712">
        <v>1953</v>
      </c>
      <c r="F16" s="712">
        <v>1952</v>
      </c>
      <c r="G16" s="712">
        <v>1951</v>
      </c>
      <c r="H16" s="712">
        <v>1950</v>
      </c>
      <c r="I16" s="712">
        <v>1949</v>
      </c>
      <c r="J16" s="712">
        <v>1948</v>
      </c>
      <c r="K16" s="712">
        <v>1947</v>
      </c>
      <c r="L16" s="712">
        <v>1946</v>
      </c>
      <c r="M16" s="713">
        <v>1945</v>
      </c>
      <c r="N16" s="841"/>
      <c r="O16" s="712">
        <v>1944</v>
      </c>
      <c r="P16" s="712">
        <v>1943</v>
      </c>
      <c r="Q16" s="712">
        <v>1942</v>
      </c>
      <c r="R16" s="712">
        <v>1941</v>
      </c>
      <c r="S16" s="712">
        <v>1940</v>
      </c>
      <c r="T16" s="712">
        <v>1939</v>
      </c>
      <c r="U16" s="712">
        <v>1938</v>
      </c>
      <c r="V16" s="712">
        <v>1937</v>
      </c>
      <c r="W16" s="712">
        <v>1936</v>
      </c>
      <c r="X16" s="712">
        <v>1935</v>
      </c>
      <c r="Y16" s="713">
        <v>1934</v>
      </c>
      <c r="AD16" s="211" t="s">
        <v>176</v>
      </c>
    </row>
    <row r="17" spans="1:37" x14ac:dyDescent="0.3">
      <c r="B17" s="214" t="s">
        <v>1494</v>
      </c>
      <c r="C17" s="1946"/>
      <c r="D17" s="1940">
        <f t="shared" ref="D17:W17" si="8">D106</f>
        <v>21226735</v>
      </c>
      <c r="E17" s="1940">
        <f t="shared" si="8"/>
        <v>27462947</v>
      </c>
      <c r="F17" s="1940">
        <f t="shared" si="8"/>
        <v>19748795</v>
      </c>
      <c r="G17" s="1940">
        <f t="shared" si="8"/>
        <v>30861525</v>
      </c>
      <c r="H17" s="1940">
        <f t="shared" si="8"/>
        <v>26158400</v>
      </c>
      <c r="I17" s="1940">
        <f t="shared" si="8"/>
        <v>22446462</v>
      </c>
      <c r="J17" s="1940">
        <f t="shared" si="8"/>
        <v>27287655</v>
      </c>
      <c r="K17" s="1940">
        <f t="shared" si="8"/>
        <v>20537587</v>
      </c>
      <c r="L17" s="1940">
        <f t="shared" si="8"/>
        <v>14997344</v>
      </c>
      <c r="M17" s="836">
        <f t="shared" si="8"/>
        <v>11621564</v>
      </c>
      <c r="N17" s="1940"/>
      <c r="O17" s="1940">
        <f t="shared" si="8"/>
        <v>12044508</v>
      </c>
      <c r="P17" s="1940">
        <f t="shared" si="8"/>
        <v>12408566</v>
      </c>
      <c r="Q17" s="1940">
        <f t="shared" si="8"/>
        <v>11949016</v>
      </c>
      <c r="R17" s="1940">
        <f t="shared" si="8"/>
        <v>7796265</v>
      </c>
      <c r="S17" s="1940">
        <f t="shared" si="8"/>
        <v>7328776</v>
      </c>
      <c r="T17" s="1940">
        <f t="shared" si="8"/>
        <v>7306908</v>
      </c>
      <c r="U17" s="1940">
        <f t="shared" si="8"/>
        <v>3889170</v>
      </c>
      <c r="V17" s="1940">
        <f t="shared" si="8"/>
        <v>8470279</v>
      </c>
      <c r="W17" s="1940">
        <f t="shared" si="8"/>
        <v>6985353</v>
      </c>
      <c r="X17" s="1941" t="s">
        <v>274</v>
      </c>
      <c r="Y17" s="836">
        <f>Y106</f>
        <v>3937125</v>
      </c>
      <c r="AB17" s="2247"/>
      <c r="AC17" s="2247"/>
      <c r="AD17" s="2247" t="s">
        <v>176</v>
      </c>
      <c r="AE17" s="2247"/>
      <c r="AF17" s="2247"/>
      <c r="AG17" s="2247"/>
      <c r="AH17" s="2247"/>
      <c r="AI17" s="2247"/>
      <c r="AJ17" s="2247"/>
      <c r="AK17" s="2247"/>
    </row>
    <row r="18" spans="1:37" x14ac:dyDescent="0.3">
      <c r="B18" s="214" t="s">
        <v>99</v>
      </c>
      <c r="C18" s="1946"/>
      <c r="D18" s="819">
        <f t="shared" ref="D18:Y18" si="9">D107</f>
        <v>-372962</v>
      </c>
      <c r="E18" s="819">
        <f t="shared" si="9"/>
        <v>481819</v>
      </c>
      <c r="F18" s="819">
        <f t="shared" si="9"/>
        <v>-80410</v>
      </c>
      <c r="G18" s="819">
        <f t="shared" si="9"/>
        <v>1836481</v>
      </c>
      <c r="H18" s="819">
        <f t="shared" si="9"/>
        <v>1702083</v>
      </c>
      <c r="I18" s="819">
        <f t="shared" si="9"/>
        <v>1312016</v>
      </c>
      <c r="J18" s="819">
        <f t="shared" si="9"/>
        <v>2858020</v>
      </c>
      <c r="K18" s="819">
        <f t="shared" si="9"/>
        <v>1948588</v>
      </c>
      <c r="L18" s="819">
        <f t="shared" si="9"/>
        <v>951507</v>
      </c>
      <c r="M18" s="820">
        <f t="shared" si="9"/>
        <v>328013</v>
      </c>
      <c r="N18" s="819"/>
      <c r="O18" s="819">
        <f t="shared" si="9"/>
        <v>278335</v>
      </c>
      <c r="P18" s="819">
        <f t="shared" si="9"/>
        <v>249843</v>
      </c>
      <c r="Q18" s="819">
        <f t="shared" si="9"/>
        <v>378497</v>
      </c>
      <c r="R18" s="819">
        <f t="shared" si="9"/>
        <v>259287</v>
      </c>
      <c r="S18" s="819">
        <f t="shared" si="9"/>
        <v>245981</v>
      </c>
      <c r="T18" s="819">
        <f t="shared" si="9"/>
        <v>229981</v>
      </c>
      <c r="U18" s="819">
        <f t="shared" si="9"/>
        <v>-18654</v>
      </c>
      <c r="V18" s="819">
        <f t="shared" si="9"/>
        <v>177259</v>
      </c>
      <c r="W18" s="819">
        <f t="shared" si="9"/>
        <v>253325</v>
      </c>
      <c r="X18" s="819">
        <f t="shared" si="9"/>
        <v>-315</v>
      </c>
      <c r="Y18" s="820">
        <f t="shared" si="9"/>
        <v>54205</v>
      </c>
    </row>
    <row r="19" spans="1:37" x14ac:dyDescent="0.3">
      <c r="B19" s="214" t="s">
        <v>95</v>
      </c>
      <c r="C19" s="1946"/>
      <c r="D19" s="819">
        <f t="shared" ref="D19:Y19" si="10">D119</f>
        <v>11012291</v>
      </c>
      <c r="E19" s="819">
        <f t="shared" si="10"/>
        <v>11489629</v>
      </c>
      <c r="F19" s="819">
        <f t="shared" si="10"/>
        <v>11607810</v>
      </c>
      <c r="G19" s="819">
        <f t="shared" si="10"/>
        <v>10968026</v>
      </c>
      <c r="H19" s="819">
        <f t="shared" si="10"/>
        <v>9731546</v>
      </c>
      <c r="I19" s="819">
        <f t="shared" si="10"/>
        <v>8629463</v>
      </c>
      <c r="J19" s="819">
        <f t="shared" si="10"/>
        <v>7892447</v>
      </c>
      <c r="K19" s="819">
        <f t="shared" si="10"/>
        <v>5596926</v>
      </c>
      <c r="L19" s="819">
        <f t="shared" si="10"/>
        <v>3867088</v>
      </c>
      <c r="M19" s="820">
        <f t="shared" si="10"/>
        <v>3165625</v>
      </c>
      <c r="N19" s="819"/>
      <c r="O19" s="819">
        <f t="shared" si="10"/>
        <v>2988443</v>
      </c>
      <c r="P19" s="819">
        <f t="shared" si="10"/>
        <v>2765939</v>
      </c>
      <c r="Q19" s="819">
        <f t="shared" si="10"/>
        <v>2572095</v>
      </c>
      <c r="R19" s="819">
        <f t="shared" si="10"/>
        <v>2355912</v>
      </c>
      <c r="S19" s="819">
        <f t="shared" si="10"/>
        <v>2350006</v>
      </c>
      <c r="T19" s="819">
        <f t="shared" si="10"/>
        <v>2218610</v>
      </c>
      <c r="U19" s="819">
        <f t="shared" si="10"/>
        <v>2058729</v>
      </c>
      <c r="V19" s="819">
        <f t="shared" si="10"/>
        <v>2193317</v>
      </c>
      <c r="W19" s="819">
        <f t="shared" si="10"/>
        <v>2117630</v>
      </c>
      <c r="X19" s="819">
        <f t="shared" si="10"/>
        <v>1952887</v>
      </c>
      <c r="Y19" s="820">
        <f t="shared" si="10"/>
        <v>2072209</v>
      </c>
    </row>
    <row r="20" spans="1:37" x14ac:dyDescent="0.3">
      <c r="B20" s="214"/>
      <c r="C20" s="423"/>
      <c r="D20" s="423"/>
      <c r="E20" s="423"/>
      <c r="F20" s="423"/>
      <c r="G20" s="423"/>
      <c r="H20" s="423"/>
      <c r="I20" s="423"/>
      <c r="J20" s="423"/>
      <c r="K20" s="423"/>
      <c r="L20" s="423"/>
      <c r="M20" s="240"/>
      <c r="N20" s="423"/>
      <c r="O20" s="423"/>
      <c r="P20" s="423"/>
      <c r="Q20" s="423"/>
      <c r="R20" s="423"/>
      <c r="S20" s="729"/>
      <c r="T20" s="423"/>
      <c r="U20" s="423"/>
      <c r="V20" s="423"/>
      <c r="W20" s="423"/>
      <c r="X20" s="423"/>
      <c r="Y20" s="240"/>
    </row>
    <row r="21" spans="1:37" x14ac:dyDescent="0.3">
      <c r="B21" s="221" t="s">
        <v>674</v>
      </c>
      <c r="C21" s="423"/>
      <c r="D21" s="423"/>
      <c r="E21" s="423"/>
      <c r="F21" s="423"/>
      <c r="G21" s="423"/>
      <c r="H21" s="423"/>
      <c r="I21" s="423"/>
      <c r="J21" s="423"/>
      <c r="K21" s="423"/>
      <c r="L21" s="423"/>
      <c r="M21" s="240"/>
      <c r="N21" s="363"/>
      <c r="O21" s="423"/>
      <c r="P21" s="423"/>
      <c r="Q21" s="423"/>
      <c r="R21" s="423"/>
      <c r="S21" s="423"/>
      <c r="T21" s="423"/>
      <c r="U21" s="423"/>
      <c r="V21" s="423"/>
      <c r="W21" s="423"/>
      <c r="X21" s="423"/>
      <c r="Y21" s="240"/>
    </row>
    <row r="22" spans="1:37" x14ac:dyDescent="0.3">
      <c r="B22" s="214" t="s">
        <v>1201</v>
      </c>
      <c r="C22" s="1946"/>
      <c r="D22" s="1793">
        <f t="shared" ref="D22:F22" si="11">D17/E17-1</f>
        <v>-0.22707730528701087</v>
      </c>
      <c r="E22" s="1793">
        <f t="shared" si="11"/>
        <v>0.39061380707025406</v>
      </c>
      <c r="F22" s="1793">
        <f t="shared" si="11"/>
        <v>-0.3600836316416639</v>
      </c>
      <c r="G22" s="1793">
        <f>G17/H17-1</f>
        <v>0.17979406232797124</v>
      </c>
      <c r="H22" s="1793">
        <f t="shared" ref="H22:V22" si="12">H17/I17-1</f>
        <v>0.16536851108205819</v>
      </c>
      <c r="I22" s="1793">
        <f t="shared" si="12"/>
        <v>-0.17741330282869672</v>
      </c>
      <c r="J22" s="1793">
        <f t="shared" si="12"/>
        <v>0.32866899115266079</v>
      </c>
      <c r="K22" s="1793">
        <f t="shared" si="12"/>
        <v>0.36941494440615608</v>
      </c>
      <c r="L22" s="1793">
        <f t="shared" si="12"/>
        <v>0.29047553324148101</v>
      </c>
      <c r="M22" s="1762">
        <f>M17/O17-1</f>
        <v>-3.5115091459111514E-2</v>
      </c>
      <c r="N22" s="364"/>
      <c r="O22" s="1793">
        <f t="shared" si="12"/>
        <v>-2.9339248386961114E-2</v>
      </c>
      <c r="P22" s="1793">
        <f t="shared" si="12"/>
        <v>3.8459233797996317E-2</v>
      </c>
      <c r="Q22" s="1793">
        <f t="shared" si="12"/>
        <v>0.53265903608971743</v>
      </c>
      <c r="R22" s="1793">
        <f t="shared" si="12"/>
        <v>6.3788141430437983E-2</v>
      </c>
      <c r="S22" s="1793">
        <f t="shared" si="12"/>
        <v>2.9927843624142358E-3</v>
      </c>
      <c r="T22" s="1793">
        <f t="shared" si="12"/>
        <v>0.87878339080060774</v>
      </c>
      <c r="U22" s="1793">
        <f t="shared" si="12"/>
        <v>-0.54084511265803648</v>
      </c>
      <c r="V22" s="1793">
        <f t="shared" si="12"/>
        <v>0.21257708808703013</v>
      </c>
      <c r="W22" s="728"/>
      <c r="X22" s="728"/>
      <c r="Y22" s="1938"/>
    </row>
    <row r="23" spans="1:37" x14ac:dyDescent="0.3">
      <c r="B23" s="214" t="s">
        <v>1202</v>
      </c>
      <c r="C23" s="1946"/>
      <c r="D23" s="2247">
        <f t="shared" ref="D23:F23" si="13">D17/AVERAGE(D19:E19)*1000</f>
        <v>1886.659893911275</v>
      </c>
      <c r="E23" s="2247">
        <f t="shared" si="13"/>
        <v>2378.007968762251</v>
      </c>
      <c r="F23" s="2247">
        <f t="shared" si="13"/>
        <v>1749.5516002153809</v>
      </c>
      <c r="G23" s="2247">
        <f>G17/AVERAGE(G19:H19)*1000</f>
        <v>2981.8515088138056</v>
      </c>
      <c r="H23" s="2247">
        <f t="shared" ref="H23:M23" si="14">H17/AVERAGE(H19:I19)*1000</f>
        <v>2849.3423210020756</v>
      </c>
      <c r="I23" s="2247">
        <f t="shared" si="14"/>
        <v>2717.1751934249733</v>
      </c>
      <c r="J23" s="2247">
        <f t="shared" si="14"/>
        <v>4045.8003496530191</v>
      </c>
      <c r="K23" s="2247">
        <f t="shared" si="14"/>
        <v>4340.1429879541593</v>
      </c>
      <c r="L23" s="2247">
        <f t="shared" si="14"/>
        <v>4265.0237539908139</v>
      </c>
      <c r="M23" s="2247">
        <f t="shared" si="14"/>
        <v>3671.1752023692002</v>
      </c>
      <c r="N23" s="364"/>
      <c r="O23" s="2247">
        <f>O17/AVERAGE(O19:P19)*1000</f>
        <v>4186.2038356160574</v>
      </c>
      <c r="P23" s="2247">
        <f t="shared" ref="P23:W23" si="15">P17/AVERAGE(P19:Q19)*1000</f>
        <v>4649.1146365871773</v>
      </c>
      <c r="Q23" s="2247">
        <f t="shared" si="15"/>
        <v>4849.4314232914039</v>
      </c>
      <c r="R23" s="2247">
        <f t="shared" si="15"/>
        <v>3313.3875260894897</v>
      </c>
      <c r="S23" s="2247">
        <f t="shared" si="15"/>
        <v>3208.3134148284735</v>
      </c>
      <c r="T23" s="2247">
        <f t="shared" si="15"/>
        <v>3416.5671694481075</v>
      </c>
      <c r="U23" s="2247">
        <f t="shared" si="15"/>
        <v>1829.3169923373359</v>
      </c>
      <c r="V23" s="2247">
        <f t="shared" si="15"/>
        <v>3929.6604667141582</v>
      </c>
      <c r="W23" s="2247">
        <f t="shared" si="15"/>
        <v>3432.1699184649028</v>
      </c>
      <c r="X23" s="728"/>
      <c r="Y23" s="1938"/>
      <c r="AA23" s="365"/>
    </row>
    <row r="24" spans="1:37" x14ac:dyDescent="0.3">
      <c r="B24" s="214" t="s">
        <v>1477</v>
      </c>
      <c r="C24" s="1946"/>
      <c r="D24" s="1793">
        <f t="shared" ref="D24:F24" si="16">D18/D17</f>
        <v>-1.7570389416931054E-2</v>
      </c>
      <c r="E24" s="1793">
        <f t="shared" si="16"/>
        <v>1.7544329820102702E-2</v>
      </c>
      <c r="F24" s="1793">
        <f t="shared" si="16"/>
        <v>-4.0716408266934763E-3</v>
      </c>
      <c r="G24" s="1793">
        <f t="shared" ref="G24:W24" si="17">G18/G17</f>
        <v>5.9507137123003484E-2</v>
      </c>
      <c r="H24" s="1793">
        <f t="shared" si="17"/>
        <v>6.5068314575815037E-2</v>
      </c>
      <c r="I24" s="1793">
        <f t="shared" si="17"/>
        <v>5.8450904200403608E-2</v>
      </c>
      <c r="J24" s="1793">
        <f t="shared" si="17"/>
        <v>0.10473673901256814</v>
      </c>
      <c r="K24" s="1793">
        <f t="shared" si="17"/>
        <v>9.4879111163351376E-2</v>
      </c>
      <c r="L24" s="1793">
        <f t="shared" si="17"/>
        <v>6.3445034000687059E-2</v>
      </c>
      <c r="M24" s="1762">
        <f t="shared" si="17"/>
        <v>2.8224514359685152E-2</v>
      </c>
      <c r="N24" s="364"/>
      <c r="O24" s="1793">
        <f t="shared" si="17"/>
        <v>2.3108872525137599E-2</v>
      </c>
      <c r="P24" s="1793">
        <f t="shared" si="17"/>
        <v>2.0134719837892629E-2</v>
      </c>
      <c r="Q24" s="1793">
        <f t="shared" si="17"/>
        <v>3.1675997421042872E-2</v>
      </c>
      <c r="R24" s="1793">
        <f t="shared" si="17"/>
        <v>3.3257848469748011E-2</v>
      </c>
      <c r="S24" s="1793">
        <f t="shared" si="17"/>
        <v>3.3563721963940502E-2</v>
      </c>
      <c r="T24" s="1793">
        <f t="shared" si="17"/>
        <v>3.1474462248600912E-2</v>
      </c>
      <c r="U24" s="1793">
        <f t="shared" si="17"/>
        <v>-4.7963961462214304E-3</v>
      </c>
      <c r="V24" s="1793">
        <f t="shared" si="17"/>
        <v>2.092717370939021E-2</v>
      </c>
      <c r="W24" s="1793">
        <f t="shared" si="17"/>
        <v>3.6265167987931321E-2</v>
      </c>
      <c r="X24" s="728"/>
      <c r="Y24" s="1938"/>
    </row>
    <row r="25" spans="1:37" ht="16.2" thickBot="1" x14ac:dyDescent="0.35">
      <c r="B25" s="224" t="s">
        <v>22</v>
      </c>
      <c r="C25" s="1945"/>
      <c r="D25" s="1795">
        <f t="shared" ref="D25:F25" si="18">D18/AVERAGE(D19:E19)</f>
        <v>-3.3149349033326933E-2</v>
      </c>
      <c r="E25" s="1795">
        <f t="shared" si="18"/>
        <v>4.1720556118797415E-2</v>
      </c>
      <c r="F25" s="1795">
        <f t="shared" si="18"/>
        <v>-7.1235457238438479E-3</v>
      </c>
      <c r="G25" s="1795">
        <f t="shared" ref="G25:W25" si="19">G18/AVERAGE(G19:H19)</f>
        <v>0.17744144661541794</v>
      </c>
      <c r="H25" s="1795">
        <f t="shared" si="19"/>
        <v>0.185401902477146</v>
      </c>
      <c r="I25" s="1795">
        <f t="shared" si="19"/>
        <v>0.15882134692659625</v>
      </c>
      <c r="J25" s="1795">
        <f t="shared" si="19"/>
        <v>0.42374393531856519</v>
      </c>
      <c r="K25" s="1795">
        <f t="shared" si="19"/>
        <v>0.41178890901894272</v>
      </c>
      <c r="L25" s="1795">
        <f t="shared" si="19"/>
        <v>0.27059457708568513</v>
      </c>
      <c r="M25" s="1947">
        <f>M18/AVERAGE(M19:O19)</f>
        <v>0.10660038205622688</v>
      </c>
      <c r="N25" s="367"/>
      <c r="O25" s="1795">
        <f t="shared" si="19"/>
        <v>9.6738450801493542E-2</v>
      </c>
      <c r="P25" s="1795">
        <f t="shared" si="19"/>
        <v>9.3608620701928838E-2</v>
      </c>
      <c r="Q25" s="1795">
        <f t="shared" si="19"/>
        <v>0.15361057725770275</v>
      </c>
      <c r="R25" s="1795">
        <f t="shared" si="19"/>
        <v>0.1101961402642375</v>
      </c>
      <c r="S25" s="1795">
        <f t="shared" si="19"/>
        <v>0.10768293942848338</v>
      </c>
      <c r="T25" s="1795">
        <f t="shared" si="19"/>
        <v>0.10753461439460375</v>
      </c>
      <c r="U25" s="1795">
        <f t="shared" si="19"/>
        <v>-8.7741289722641762E-3</v>
      </c>
      <c r="V25" s="1795">
        <f t="shared" si="19"/>
        <v>8.2236687205850589E-2</v>
      </c>
      <c r="W25" s="1795">
        <f t="shared" si="19"/>
        <v>0.12446821865625424</v>
      </c>
      <c r="X25" s="1795">
        <v>0</v>
      </c>
      <c r="Y25" s="1939"/>
    </row>
    <row r="26" spans="1:37" x14ac:dyDescent="0.3">
      <c r="A26" s="220"/>
      <c r="B26" s="220"/>
      <c r="C26" s="834"/>
      <c r="D26" s="464"/>
      <c r="E26" s="464"/>
      <c r="F26" s="464"/>
      <c r="G26" s="464"/>
      <c r="H26" s="464"/>
      <c r="I26" s="464"/>
      <c r="J26" s="464"/>
      <c r="K26" s="464"/>
      <c r="L26" s="464"/>
      <c r="M26" s="1382"/>
      <c r="N26" s="464"/>
      <c r="O26" s="464"/>
      <c r="P26" s="464"/>
      <c r="Q26" s="464"/>
      <c r="R26" s="464"/>
      <c r="S26" s="464"/>
      <c r="T26" s="464"/>
      <c r="U26" s="464"/>
      <c r="V26" s="464"/>
      <c r="W26" s="464"/>
      <c r="X26" s="464"/>
      <c r="Y26" s="1942"/>
    </row>
    <row r="27" spans="1:37" x14ac:dyDescent="0.3">
      <c r="A27" s="220"/>
      <c r="B27" s="220"/>
      <c r="C27" s="362"/>
      <c r="D27" s="227"/>
      <c r="E27" s="227"/>
      <c r="F27" s="227"/>
      <c r="G27" s="227"/>
      <c r="H27" s="227"/>
      <c r="I27" s="227"/>
      <c r="J27" s="227"/>
      <c r="K27" s="227"/>
      <c r="L27" s="227"/>
      <c r="M27" s="464"/>
      <c r="N27" s="227"/>
      <c r="O27" s="227"/>
      <c r="P27" s="227"/>
      <c r="Q27" s="227"/>
      <c r="R27" s="227"/>
      <c r="S27" s="227"/>
      <c r="T27" s="227"/>
      <c r="U27" s="227"/>
      <c r="V27" s="227"/>
      <c r="W27" s="227"/>
      <c r="X27" s="227"/>
      <c r="Y27" s="220"/>
    </row>
    <row r="28" spans="1:37" s="372" customFormat="1" ht="5.0999999999999996" customHeight="1" x14ac:dyDescent="0.3">
      <c r="B28" s="369"/>
      <c r="C28" s="370"/>
      <c r="D28" s="370"/>
      <c r="E28" s="370"/>
      <c r="F28" s="370"/>
      <c r="G28" s="370"/>
      <c r="H28" s="370"/>
      <c r="I28" s="370"/>
      <c r="J28" s="370"/>
      <c r="K28" s="370"/>
      <c r="L28" s="370"/>
      <c r="M28" s="371"/>
      <c r="N28" s="370"/>
      <c r="O28" s="370"/>
      <c r="P28" s="370"/>
      <c r="Q28" s="370"/>
      <c r="R28" s="370"/>
      <c r="S28" s="370"/>
      <c r="T28" s="370"/>
      <c r="U28" s="370"/>
      <c r="V28" s="370"/>
      <c r="W28" s="370"/>
      <c r="X28" s="370"/>
      <c r="Y28" s="371"/>
    </row>
    <row r="29" spans="1:37" x14ac:dyDescent="0.3">
      <c r="A29" s="220"/>
      <c r="B29" s="220"/>
      <c r="M29" s="220"/>
      <c r="Y29" s="220"/>
    </row>
    <row r="30" spans="1:37" s="309" customFormat="1" hidden="1" outlineLevel="1" x14ac:dyDescent="0.3">
      <c r="B30" s="305" t="s">
        <v>626</v>
      </c>
      <c r="C30" s="309" t="s">
        <v>639</v>
      </c>
      <c r="D30" s="309" t="s">
        <v>639</v>
      </c>
      <c r="E30" s="309" t="s">
        <v>639</v>
      </c>
      <c r="F30" s="309" t="s">
        <v>639</v>
      </c>
      <c r="G30" s="309" t="s">
        <v>639</v>
      </c>
      <c r="H30" s="309" t="s">
        <v>639</v>
      </c>
      <c r="I30" s="309" t="s">
        <v>639</v>
      </c>
      <c r="J30" s="309" t="s">
        <v>639</v>
      </c>
      <c r="K30" s="309" t="s">
        <v>639</v>
      </c>
      <c r="L30" s="309" t="s">
        <v>639</v>
      </c>
      <c r="M30" s="373" t="s">
        <v>675</v>
      </c>
      <c r="O30" s="309" t="s">
        <v>675</v>
      </c>
      <c r="P30" s="309" t="s">
        <v>675</v>
      </c>
      <c r="Q30" s="309" t="s">
        <v>675</v>
      </c>
      <c r="R30" s="309" t="s">
        <v>675</v>
      </c>
      <c r="S30" s="309" t="s">
        <v>675</v>
      </c>
      <c r="T30" s="309" t="s">
        <v>675</v>
      </c>
      <c r="U30" s="309" t="s">
        <v>675</v>
      </c>
      <c r="V30" s="309" t="s">
        <v>675</v>
      </c>
      <c r="W30" s="309" t="s">
        <v>675</v>
      </c>
      <c r="X30" s="309" t="s">
        <v>675</v>
      </c>
      <c r="Y30" s="373" t="s">
        <v>675</v>
      </c>
    </row>
    <row r="31" spans="1:37" collapsed="1" x14ac:dyDescent="0.3">
      <c r="B31" s="152" t="s">
        <v>2953</v>
      </c>
    </row>
    <row r="32" spans="1:37" x14ac:dyDescent="0.3">
      <c r="B32" s="152" t="s">
        <v>3801</v>
      </c>
    </row>
    <row r="33" spans="2:28" ht="6.6" customHeight="1" thickBot="1" x14ac:dyDescent="0.35"/>
    <row r="34" spans="2:28" s="884" customFormat="1" x14ac:dyDescent="0.3">
      <c r="B34" s="803"/>
      <c r="C34" s="712">
        <v>1955</v>
      </c>
      <c r="D34" s="712">
        <v>1954</v>
      </c>
      <c r="E34" s="712">
        <v>1953</v>
      </c>
      <c r="F34" s="712">
        <v>1952</v>
      </c>
      <c r="G34" s="712">
        <v>1951</v>
      </c>
      <c r="H34" s="712">
        <v>1950</v>
      </c>
      <c r="I34" s="712">
        <v>1949</v>
      </c>
      <c r="J34" s="712">
        <v>1948</v>
      </c>
      <c r="K34" s="712">
        <v>1947</v>
      </c>
      <c r="L34" s="712">
        <v>1946</v>
      </c>
      <c r="M34" s="713">
        <v>1945</v>
      </c>
      <c r="N34" s="712"/>
      <c r="O34" s="712">
        <v>1944</v>
      </c>
      <c r="P34" s="712">
        <v>1943</v>
      </c>
      <c r="Q34" s="712">
        <v>1942</v>
      </c>
      <c r="R34" s="712">
        <v>1941</v>
      </c>
      <c r="S34" s="712">
        <v>1940</v>
      </c>
      <c r="T34" s="712">
        <v>1939</v>
      </c>
      <c r="U34" s="712">
        <v>1938</v>
      </c>
      <c r="V34" s="712">
        <v>1937</v>
      </c>
      <c r="W34" s="712">
        <v>1936</v>
      </c>
      <c r="X34" s="712">
        <v>1935</v>
      </c>
      <c r="Y34" s="713">
        <v>1934</v>
      </c>
      <c r="AB34" s="884" t="s">
        <v>176</v>
      </c>
    </row>
    <row r="35" spans="2:28" x14ac:dyDescent="0.3">
      <c r="B35" s="214" t="s">
        <v>1494</v>
      </c>
      <c r="C35" s="1940">
        <f>C50</f>
        <v>65498284</v>
      </c>
      <c r="D35" s="1940">
        <f t="shared" ref="D35:L35" si="20">D50</f>
        <v>66929036</v>
      </c>
      <c r="E35" s="1940">
        <f t="shared" si="20"/>
        <v>86414388</v>
      </c>
      <c r="F35" s="1940">
        <f t="shared" si="20"/>
        <v>68293319</v>
      </c>
      <c r="G35" s="1940">
        <f t="shared" si="20"/>
        <v>91848891</v>
      </c>
      <c r="H35" s="1940">
        <f t="shared" si="20"/>
        <v>89624653</v>
      </c>
      <c r="I35" s="1940">
        <f t="shared" si="20"/>
        <v>73358261</v>
      </c>
      <c r="J35" s="1940">
        <f t="shared" si="20"/>
        <v>97177412</v>
      </c>
      <c r="K35" s="1940">
        <f t="shared" si="20"/>
        <v>88982470</v>
      </c>
      <c r="L35" s="1940">
        <f t="shared" si="20"/>
        <v>57857999</v>
      </c>
      <c r="M35" s="836">
        <f>M5+M17</f>
        <v>47664590</v>
      </c>
      <c r="N35" s="835"/>
      <c r="O35" s="835">
        <f>O5+O17</f>
        <v>43740398</v>
      </c>
      <c r="P35" s="835">
        <f t="shared" ref="P35:W35" si="21">P5+P17</f>
        <v>51087803</v>
      </c>
      <c r="Q35" s="835">
        <f t="shared" si="21"/>
        <v>49720904</v>
      </c>
      <c r="R35" s="835">
        <f t="shared" si="21"/>
        <v>36543257</v>
      </c>
      <c r="S35" s="835">
        <f t="shared" si="21"/>
        <v>25491850</v>
      </c>
      <c r="T35" s="835">
        <f t="shared" si="21"/>
        <v>25748892</v>
      </c>
      <c r="U35" s="835">
        <f t="shared" si="21"/>
        <v>18239900</v>
      </c>
      <c r="V35" s="835">
        <f t="shared" si="21"/>
        <v>27859203</v>
      </c>
      <c r="W35" s="835">
        <f t="shared" si="21"/>
        <v>25936017</v>
      </c>
      <c r="X35" s="1951"/>
      <c r="Y35" s="836">
        <f>Y5+Y17</f>
        <v>20271700</v>
      </c>
      <c r="AB35" s="884"/>
    </row>
    <row r="36" spans="2:28" x14ac:dyDescent="0.3">
      <c r="B36" s="214" t="s">
        <v>99</v>
      </c>
      <c r="C36" s="819">
        <f>C51</f>
        <v>300722</v>
      </c>
      <c r="D36" s="819">
        <f t="shared" ref="D36:L36" si="22">D51</f>
        <v>660335</v>
      </c>
      <c r="E36" s="819">
        <f t="shared" si="22"/>
        <v>2921084</v>
      </c>
      <c r="F36" s="819">
        <f t="shared" si="22"/>
        <v>99110</v>
      </c>
      <c r="G36" s="819">
        <f t="shared" si="22"/>
        <v>6175106</v>
      </c>
      <c r="H36" s="819">
        <f t="shared" si="22"/>
        <v>7008172</v>
      </c>
      <c r="I36" s="819">
        <f t="shared" si="22"/>
        <v>5031141</v>
      </c>
      <c r="J36" s="819">
        <f t="shared" si="22"/>
        <v>17722455</v>
      </c>
      <c r="K36" s="819">
        <f t="shared" si="22"/>
        <v>16193140</v>
      </c>
      <c r="L36" s="819">
        <f t="shared" si="22"/>
        <v>6868290</v>
      </c>
      <c r="M36" s="820">
        <f>M6+M18</f>
        <v>2141589</v>
      </c>
      <c r="N36" s="824"/>
      <c r="O36" s="824">
        <f t="shared" ref="O36:W36" si="23">O6+O18</f>
        <v>1880382</v>
      </c>
      <c r="P36" s="824">
        <f t="shared" si="23"/>
        <v>1974289</v>
      </c>
      <c r="Q36" s="824">
        <f t="shared" si="23"/>
        <v>2285938</v>
      </c>
      <c r="R36" s="824">
        <f t="shared" si="23"/>
        <v>2110973</v>
      </c>
      <c r="S36" s="824">
        <f t="shared" si="23"/>
        <v>838435</v>
      </c>
      <c r="T36" s="824">
        <f t="shared" si="23"/>
        <v>514358</v>
      </c>
      <c r="U36" s="824">
        <f t="shared" si="23"/>
        <v>-535763</v>
      </c>
      <c r="V36" s="824">
        <f t="shared" si="23"/>
        <v>1595159</v>
      </c>
      <c r="W36" s="824">
        <f t="shared" si="23"/>
        <v>326159</v>
      </c>
      <c r="X36" s="824">
        <f>X6+X18</f>
        <v>-1228803</v>
      </c>
      <c r="Y36" s="820">
        <f>Y6+Y18</f>
        <v>262732</v>
      </c>
    </row>
    <row r="37" spans="2:28" x14ac:dyDescent="0.3">
      <c r="B37" s="214" t="s">
        <v>95</v>
      </c>
      <c r="C37" s="819">
        <f>C54</f>
        <v>51399756</v>
      </c>
      <c r="D37" s="819">
        <f t="shared" ref="D37:L37" si="24">D54</f>
        <v>53354318</v>
      </c>
      <c r="E37" s="819">
        <f t="shared" si="24"/>
        <v>55153170</v>
      </c>
      <c r="F37" s="819">
        <f t="shared" si="24"/>
        <v>54990361</v>
      </c>
      <c r="G37" s="819">
        <f t="shared" si="24"/>
        <v>57523574</v>
      </c>
      <c r="H37" s="819">
        <f t="shared" si="24"/>
        <v>55358568</v>
      </c>
      <c r="I37" s="819">
        <f t="shared" si="24"/>
        <v>51670472</v>
      </c>
      <c r="J37" s="819">
        <f t="shared" si="24"/>
        <v>51755861</v>
      </c>
      <c r="K37" s="819">
        <f t="shared" si="24"/>
        <v>38867679</v>
      </c>
      <c r="L37" s="819">
        <f t="shared" si="24"/>
        <v>24877533</v>
      </c>
      <c r="M37" s="820">
        <f>M7+M19</f>
        <v>18459474</v>
      </c>
      <c r="N37" s="824"/>
      <c r="O37" s="824">
        <f t="shared" ref="O37:W37" si="25">O7+O19</f>
        <v>17754029</v>
      </c>
      <c r="P37" s="824">
        <f t="shared" si="25"/>
        <v>17404060</v>
      </c>
      <c r="Q37" s="824">
        <f t="shared" si="25"/>
        <v>16883377</v>
      </c>
      <c r="R37" s="824">
        <f t="shared" si="25"/>
        <v>16390428</v>
      </c>
      <c r="S37" s="824">
        <f t="shared" si="25"/>
        <v>15522841</v>
      </c>
      <c r="T37" s="824">
        <f t="shared" si="25"/>
        <v>15316711</v>
      </c>
      <c r="U37" s="824">
        <f t="shared" si="25"/>
        <v>15152587</v>
      </c>
      <c r="V37" s="824">
        <f t="shared" si="25"/>
        <v>15804266</v>
      </c>
      <c r="W37" s="824">
        <f t="shared" si="25"/>
        <v>15746702</v>
      </c>
      <c r="X37" s="824">
        <f>X7+X19</f>
        <v>14587534</v>
      </c>
      <c r="Y37" s="820">
        <f>Y7+Y19</f>
        <v>15896799</v>
      </c>
    </row>
    <row r="38" spans="2:28" x14ac:dyDescent="0.3">
      <c r="B38" s="214"/>
      <c r="C38" s="220"/>
      <c r="D38" s="220"/>
      <c r="E38" s="220"/>
      <c r="F38" s="220"/>
      <c r="G38" s="220"/>
      <c r="H38" s="220"/>
      <c r="I38" s="220"/>
      <c r="J38" s="220"/>
      <c r="K38" s="220"/>
      <c r="L38" s="220"/>
      <c r="M38" s="223"/>
      <c r="Y38" s="223"/>
    </row>
    <row r="39" spans="2:28" x14ac:dyDescent="0.3">
      <c r="B39" s="221" t="s">
        <v>674</v>
      </c>
      <c r="C39" s="220"/>
      <c r="D39" s="220"/>
      <c r="E39" s="220"/>
      <c r="F39" s="220"/>
      <c r="G39" s="220"/>
      <c r="H39" s="220"/>
      <c r="I39" s="220"/>
      <c r="J39" s="220"/>
      <c r="K39" s="220"/>
      <c r="L39" s="220"/>
      <c r="M39" s="223"/>
      <c r="Y39" s="223"/>
    </row>
    <row r="40" spans="2:28" x14ac:dyDescent="0.3">
      <c r="B40" s="214" t="s">
        <v>1201</v>
      </c>
      <c r="C40" s="1793">
        <f>C35/D35-1</f>
        <v>-2.1377149373554394E-2</v>
      </c>
      <c r="D40" s="1793">
        <f t="shared" ref="D40:V40" si="26">D35/E35-1</f>
        <v>-0.22548735749884619</v>
      </c>
      <c r="E40" s="1793">
        <f t="shared" si="26"/>
        <v>0.26534175326872012</v>
      </c>
      <c r="F40" s="1793">
        <f t="shared" si="26"/>
        <v>-0.2564600589461663</v>
      </c>
      <c r="G40" s="1793">
        <f t="shared" si="26"/>
        <v>2.481725647517985E-2</v>
      </c>
      <c r="H40" s="1793">
        <f t="shared" si="26"/>
        <v>0.22173906221686468</v>
      </c>
      <c r="I40" s="1793">
        <f t="shared" si="26"/>
        <v>-0.24510995415272019</v>
      </c>
      <c r="J40" s="1793">
        <f t="shared" si="26"/>
        <v>9.2096139835183166E-2</v>
      </c>
      <c r="K40" s="1793">
        <f t="shared" si="26"/>
        <v>0.53794585948262741</v>
      </c>
      <c r="L40" s="1793">
        <f t="shared" si="26"/>
        <v>0.21385705824806212</v>
      </c>
      <c r="M40" s="1762">
        <f>M35/O35-1</f>
        <v>8.9715507389759086E-2</v>
      </c>
      <c r="N40" s="227"/>
      <c r="O40" s="1765">
        <f t="shared" si="26"/>
        <v>-0.14381916168914133</v>
      </c>
      <c r="P40" s="1765">
        <f t="shared" si="26"/>
        <v>2.7491434990803976E-2</v>
      </c>
      <c r="Q40" s="1765">
        <f t="shared" si="26"/>
        <v>0.36060406438320491</v>
      </c>
      <c r="R40" s="1765">
        <f t="shared" si="26"/>
        <v>0.43352706845521216</v>
      </c>
      <c r="S40" s="1765">
        <f t="shared" si="26"/>
        <v>-9.9826431366444313E-3</v>
      </c>
      <c r="T40" s="1765">
        <f t="shared" si="26"/>
        <v>0.41167944999698469</v>
      </c>
      <c r="U40" s="1765">
        <f t="shared" si="26"/>
        <v>-0.34528277783108152</v>
      </c>
      <c r="V40" s="1765">
        <f t="shared" si="26"/>
        <v>7.4151169780618309E-2</v>
      </c>
      <c r="W40" s="1949"/>
      <c r="X40" s="1950"/>
      <c r="Y40" s="1279"/>
    </row>
    <row r="41" spans="2:28" x14ac:dyDescent="0.3">
      <c r="B41" s="214" t="s">
        <v>1202</v>
      </c>
      <c r="C41" s="2251">
        <f>C35/C37*1000</f>
        <v>1274.2917301008199</v>
      </c>
      <c r="D41" s="2251">
        <f t="shared" ref="D41:M41" si="27">D35/D37*1000</f>
        <v>1254.4258554668436</v>
      </c>
      <c r="E41" s="2251">
        <f t="shared" si="27"/>
        <v>1566.8072750850042</v>
      </c>
      <c r="F41" s="2251">
        <f t="shared" si="27"/>
        <v>1241.9143602276042</v>
      </c>
      <c r="G41" s="2251">
        <f t="shared" si="27"/>
        <v>1596.71739102998</v>
      </c>
      <c r="H41" s="2251">
        <f t="shared" si="27"/>
        <v>1618.9843097097453</v>
      </c>
      <c r="I41" s="2251">
        <f t="shared" si="27"/>
        <v>1419.7327440709271</v>
      </c>
      <c r="J41" s="2251">
        <f t="shared" si="27"/>
        <v>1877.6117356061375</v>
      </c>
      <c r="K41" s="2251">
        <f t="shared" si="27"/>
        <v>2289.3692726030799</v>
      </c>
      <c r="L41" s="2251">
        <f t="shared" si="27"/>
        <v>2325.7128831866085</v>
      </c>
      <c r="M41" s="2252">
        <f t="shared" si="27"/>
        <v>2582.1207039810561</v>
      </c>
      <c r="N41" s="227"/>
      <c r="O41" s="2247">
        <f>O35/O37*1000</f>
        <v>2463.6885520464116</v>
      </c>
      <c r="P41" s="2247">
        <f t="shared" ref="P41:V41" si="28">P35/P37*1000</f>
        <v>2935.3957065190539</v>
      </c>
      <c r="Q41" s="2247">
        <f t="shared" si="28"/>
        <v>2944.9620179659555</v>
      </c>
      <c r="R41" s="2247">
        <f t="shared" si="28"/>
        <v>2229.5486731646056</v>
      </c>
      <c r="S41" s="2247">
        <f t="shared" si="28"/>
        <v>1642.2154939292363</v>
      </c>
      <c r="T41" s="2247">
        <f t="shared" si="28"/>
        <v>1681.0979850700323</v>
      </c>
      <c r="U41" s="2247">
        <f t="shared" si="28"/>
        <v>1203.7482444416917</v>
      </c>
      <c r="V41" s="2247">
        <f t="shared" si="28"/>
        <v>1762.7647497201074</v>
      </c>
      <c r="W41" s="1949"/>
      <c r="X41" s="1949"/>
      <c r="Y41" s="1279"/>
    </row>
    <row r="42" spans="2:28" x14ac:dyDescent="0.3">
      <c r="B42" s="214" t="s">
        <v>1477</v>
      </c>
      <c r="C42" s="1793">
        <f t="shared" ref="C42:E42" si="29">C36/C35</f>
        <v>4.5912958574609378E-3</v>
      </c>
      <c r="D42" s="1793">
        <f t="shared" si="29"/>
        <v>9.8661961902454416E-3</v>
      </c>
      <c r="E42" s="1793">
        <f t="shared" si="29"/>
        <v>3.3803213418580245E-2</v>
      </c>
      <c r="F42" s="1793">
        <f>F36/F35</f>
        <v>1.4512400546823621E-3</v>
      </c>
      <c r="G42" s="1793">
        <f t="shared" ref="G42:V42" si="30">G36/G35</f>
        <v>6.7231143814245942E-2</v>
      </c>
      <c r="H42" s="1793">
        <f t="shared" si="30"/>
        <v>7.8194690472051256E-2</v>
      </c>
      <c r="I42" s="1793">
        <f t="shared" si="30"/>
        <v>6.8583155208654684E-2</v>
      </c>
      <c r="J42" s="1793">
        <f t="shared" si="30"/>
        <v>0.18237216484011737</v>
      </c>
      <c r="K42" s="1793">
        <f t="shared" si="30"/>
        <v>0.18198123742800126</v>
      </c>
      <c r="L42" s="1793">
        <f t="shared" si="30"/>
        <v>0.11870942857875191</v>
      </c>
      <c r="M42" s="1762">
        <f t="shared" si="30"/>
        <v>4.4930398016640866E-2</v>
      </c>
      <c r="N42" s="227"/>
      <c r="O42" s="1765">
        <f t="shared" si="30"/>
        <v>4.2989595110680061E-2</v>
      </c>
      <c r="P42" s="1765">
        <f t="shared" si="30"/>
        <v>3.864501669801694E-2</v>
      </c>
      <c r="Q42" s="1765">
        <f t="shared" si="30"/>
        <v>4.597539095427549E-2</v>
      </c>
      <c r="R42" s="1765">
        <f t="shared" si="30"/>
        <v>5.7766416387023192E-2</v>
      </c>
      <c r="S42" s="1765">
        <f t="shared" si="30"/>
        <v>3.2890315924501361E-2</v>
      </c>
      <c r="T42" s="1765">
        <f t="shared" si="30"/>
        <v>1.9975927507871017E-2</v>
      </c>
      <c r="U42" s="1765">
        <f t="shared" si="30"/>
        <v>-2.9373132528138859E-2</v>
      </c>
      <c r="V42" s="1765">
        <f t="shared" si="30"/>
        <v>5.7257883508009901E-2</v>
      </c>
      <c r="W42" s="1949"/>
      <c r="X42" s="1949"/>
      <c r="Y42" s="1279"/>
    </row>
    <row r="43" spans="2:28" ht="16.2" thickBot="1" x14ac:dyDescent="0.35">
      <c r="B43" s="224" t="s">
        <v>22</v>
      </c>
      <c r="C43" s="1795">
        <f t="shared" ref="C43:E43" si="31">C36/AVERAGE(C37:D37)</f>
        <v>5.7414855292406098E-3</v>
      </c>
      <c r="D43" s="1795">
        <f t="shared" si="31"/>
        <v>1.2171233749324287E-2</v>
      </c>
      <c r="E43" s="1795">
        <f t="shared" si="31"/>
        <v>5.3041408305677072E-2</v>
      </c>
      <c r="F43" s="1795">
        <f>F36/AVERAGE(F37:G37)</f>
        <v>1.7617373350243238E-3</v>
      </c>
      <c r="G43" s="1795">
        <f t="shared" ref="G43:X43" si="32">G36/AVERAGE(G37:H37)</f>
        <v>0.10940802310430998</v>
      </c>
      <c r="H43" s="1795">
        <f t="shared" si="32"/>
        <v>0.1309583268241965</v>
      </c>
      <c r="I43" s="1795">
        <f t="shared" si="32"/>
        <v>9.7289362468260379E-2</v>
      </c>
      <c r="J43" s="1795">
        <f>J36/AVERAGE(J37:K37)</f>
        <v>0.39112254939500268</v>
      </c>
      <c r="K43" s="1795">
        <f t="shared" si="32"/>
        <v>0.50805823659351856</v>
      </c>
      <c r="L43" s="1795">
        <f t="shared" si="32"/>
        <v>0.31697112816305012</v>
      </c>
      <c r="M43" s="1947">
        <f>M36/AVERAGE(M37:O37)</f>
        <v>0.11827571610512244</v>
      </c>
      <c r="N43" s="232"/>
      <c r="O43" s="1795">
        <f t="shared" si="32"/>
        <v>0.10696724728127288</v>
      </c>
      <c r="P43" s="1795">
        <f t="shared" si="32"/>
        <v>0.11516107196930468</v>
      </c>
      <c r="Q43" s="1795">
        <f t="shared" si="32"/>
        <v>0.13740165875228277</v>
      </c>
      <c r="R43" s="1795">
        <f t="shared" si="32"/>
        <v>0.13229437573443198</v>
      </c>
      <c r="S43" s="1795">
        <f t="shared" si="32"/>
        <v>5.4374006470651715E-2</v>
      </c>
      <c r="T43" s="1795">
        <f t="shared" si="32"/>
        <v>3.3762379428630092E-2</v>
      </c>
      <c r="U43" s="1795">
        <f t="shared" si="32"/>
        <v>-3.4613531291439736E-2</v>
      </c>
      <c r="V43" s="1795">
        <f t="shared" si="32"/>
        <v>0.10111632708067785</v>
      </c>
      <c r="W43" s="1795">
        <f t="shared" si="32"/>
        <v>2.1504349079370252E-2</v>
      </c>
      <c r="X43" s="1795">
        <f t="shared" si="32"/>
        <v>-8.0618657459226681E-2</v>
      </c>
      <c r="Y43" s="1939"/>
    </row>
    <row r="44" spans="2:28" x14ac:dyDescent="0.3">
      <c r="C44" s="350"/>
      <c r="D44" s="350"/>
      <c r="E44" s="350"/>
    </row>
    <row r="46" spans="2:28" x14ac:dyDescent="0.3">
      <c r="R46" s="211" t="s">
        <v>176</v>
      </c>
    </row>
    <row r="48" spans="2:28" s="309" customFormat="1" outlineLevel="1" x14ac:dyDescent="0.3">
      <c r="B48" s="309" t="s">
        <v>626</v>
      </c>
      <c r="C48" s="309" t="s">
        <v>639</v>
      </c>
      <c r="D48" s="309" t="s">
        <v>639</v>
      </c>
      <c r="E48" s="309" t="s">
        <v>639</v>
      </c>
      <c r="F48" s="309" t="s">
        <v>639</v>
      </c>
      <c r="G48" s="309" t="s">
        <v>639</v>
      </c>
      <c r="H48" s="309" t="s">
        <v>639</v>
      </c>
      <c r="I48" s="309" t="s">
        <v>639</v>
      </c>
      <c r="J48" s="309" t="s">
        <v>639</v>
      </c>
      <c r="K48" s="309" t="s">
        <v>639</v>
      </c>
      <c r="L48" s="309" t="s">
        <v>639</v>
      </c>
    </row>
    <row r="49" spans="2:25" x14ac:dyDescent="0.3">
      <c r="C49" s="286">
        <v>1955</v>
      </c>
      <c r="D49" s="286">
        <v>1954</v>
      </c>
      <c r="E49" s="286">
        <v>1953</v>
      </c>
      <c r="F49" s="286">
        <v>1952</v>
      </c>
      <c r="G49" s="286">
        <v>1951</v>
      </c>
      <c r="H49" s="286">
        <v>1950</v>
      </c>
      <c r="I49" s="286">
        <v>1949</v>
      </c>
      <c r="J49" s="286">
        <v>1948</v>
      </c>
      <c r="K49" s="286">
        <v>1947</v>
      </c>
      <c r="L49" s="286">
        <v>1946</v>
      </c>
      <c r="M49" s="286">
        <v>1945</v>
      </c>
      <c r="N49" s="286"/>
      <c r="O49" s="286">
        <v>1944</v>
      </c>
      <c r="P49" s="286">
        <v>1943</v>
      </c>
      <c r="Q49" s="286">
        <v>1942</v>
      </c>
      <c r="R49" s="286">
        <v>1941</v>
      </c>
      <c r="S49" s="286">
        <v>1940</v>
      </c>
      <c r="T49" s="286">
        <v>1939</v>
      </c>
      <c r="U49" s="286">
        <v>1938</v>
      </c>
      <c r="V49" s="286">
        <v>1937</v>
      </c>
      <c r="W49" s="286">
        <v>1936</v>
      </c>
      <c r="X49" s="286">
        <v>1935</v>
      </c>
      <c r="Y49" s="286">
        <v>1934</v>
      </c>
    </row>
    <row r="50" spans="2:25" x14ac:dyDescent="0.3">
      <c r="B50" s="211" t="s">
        <v>1203</v>
      </c>
      <c r="C50" s="250">
        <v>65498284</v>
      </c>
      <c r="D50" s="250">
        <v>66929036</v>
      </c>
      <c r="E50" s="250">
        <v>86414388</v>
      </c>
      <c r="F50" s="250">
        <v>68293319</v>
      </c>
      <c r="G50" s="250">
        <v>91848891</v>
      </c>
      <c r="H50" s="250">
        <v>89624653</v>
      </c>
      <c r="I50" s="250">
        <v>73358261</v>
      </c>
      <c r="J50" s="250">
        <v>97177412</v>
      </c>
      <c r="K50" s="250">
        <v>88982470</v>
      </c>
      <c r="L50" s="250">
        <v>57857999</v>
      </c>
      <c r="M50" s="250"/>
      <c r="N50" s="250"/>
      <c r="O50" s="250"/>
      <c r="P50" s="250"/>
      <c r="Q50" s="250"/>
    </row>
    <row r="51" spans="2:25" x14ac:dyDescent="0.3">
      <c r="B51" s="211" t="s">
        <v>640</v>
      </c>
      <c r="C51" s="239">
        <v>300722</v>
      </c>
      <c r="D51" s="239">
        <v>660335</v>
      </c>
      <c r="E51" s="239">
        <v>2921084</v>
      </c>
      <c r="F51" s="239">
        <v>99110</v>
      </c>
      <c r="G51" s="239">
        <v>6175106</v>
      </c>
      <c r="H51" s="239">
        <v>7008172</v>
      </c>
      <c r="I51" s="239">
        <v>5031141</v>
      </c>
      <c r="J51" s="239">
        <v>17722455</v>
      </c>
      <c r="K51" s="239">
        <v>16193140</v>
      </c>
      <c r="L51" s="239">
        <v>6868290</v>
      </c>
      <c r="M51" s="239"/>
      <c r="N51" s="239"/>
      <c r="O51" s="239"/>
    </row>
    <row r="52" spans="2:25" x14ac:dyDescent="0.3">
      <c r="B52" s="211" t="s">
        <v>641</v>
      </c>
      <c r="C52" s="239">
        <v>1201470</v>
      </c>
      <c r="D52" s="239">
        <v>1161742</v>
      </c>
      <c r="E52" s="239">
        <v>3694344</v>
      </c>
      <c r="F52" s="239">
        <v>2625001</v>
      </c>
      <c r="G52" s="239">
        <v>2759792</v>
      </c>
      <c r="H52" s="239">
        <v>3040214</v>
      </c>
      <c r="I52" s="239">
        <v>2981092</v>
      </c>
      <c r="J52" s="239">
        <v>3181343</v>
      </c>
      <c r="K52" s="239">
        <v>1492009</v>
      </c>
      <c r="L52" s="239">
        <v>999217</v>
      </c>
      <c r="M52" s="239"/>
      <c r="N52" s="239"/>
      <c r="O52" s="239"/>
      <c r="P52" s="239"/>
      <c r="Q52" s="239"/>
    </row>
    <row r="53" spans="2:25" x14ac:dyDescent="0.3">
      <c r="B53" s="211" t="s">
        <v>239</v>
      </c>
      <c r="C53" s="239">
        <v>33022161</v>
      </c>
      <c r="D53" s="239">
        <v>34326925</v>
      </c>
      <c r="E53" s="239">
        <v>35445474</v>
      </c>
      <c r="F53" s="239">
        <v>37565010</v>
      </c>
      <c r="G53" s="239">
        <v>41084781</v>
      </c>
      <c r="H53" s="239">
        <v>40510238</v>
      </c>
      <c r="I53" s="239">
        <v>38597705</v>
      </c>
      <c r="J53" s="239">
        <v>41204632</v>
      </c>
      <c r="K53" s="239">
        <v>30699435</v>
      </c>
      <c r="L53" s="239">
        <v>17702276</v>
      </c>
      <c r="M53" s="239"/>
      <c r="N53" s="239"/>
      <c r="O53" s="239"/>
      <c r="P53" s="239"/>
      <c r="Q53" s="239"/>
    </row>
    <row r="54" spans="2:25" x14ac:dyDescent="0.3">
      <c r="B54" s="211" t="s">
        <v>642</v>
      </c>
      <c r="C54" s="239">
        <v>51399756</v>
      </c>
      <c r="D54" s="239">
        <v>53354318</v>
      </c>
      <c r="E54" s="239">
        <v>55153170</v>
      </c>
      <c r="F54" s="239">
        <v>54990361</v>
      </c>
      <c r="G54" s="239">
        <v>57523574</v>
      </c>
      <c r="H54" s="239">
        <v>55358568</v>
      </c>
      <c r="I54" s="239">
        <v>51670472</v>
      </c>
      <c r="J54" s="239">
        <v>51755861</v>
      </c>
      <c r="K54" s="239">
        <v>38867679</v>
      </c>
      <c r="L54" s="239">
        <v>24877533</v>
      </c>
      <c r="M54" s="239"/>
      <c r="N54" s="239"/>
      <c r="O54" s="239"/>
      <c r="P54" s="239"/>
      <c r="Q54" s="239"/>
    </row>
    <row r="56" spans="2:25" x14ac:dyDescent="0.3">
      <c r="B56" s="211" t="s">
        <v>652</v>
      </c>
      <c r="C56" s="350">
        <f>C51/C50</f>
        <v>4.5912958574609378E-3</v>
      </c>
      <c r="D56" s="350">
        <f t="shared" ref="D56:K56" si="33">D51/D50</f>
        <v>9.8661961902454416E-3</v>
      </c>
      <c r="E56" s="350">
        <f t="shared" si="33"/>
        <v>3.3803213418580245E-2</v>
      </c>
      <c r="F56" s="350">
        <f t="shared" si="33"/>
        <v>1.4512400546823621E-3</v>
      </c>
      <c r="G56" s="350">
        <f t="shared" si="33"/>
        <v>6.7231143814245942E-2</v>
      </c>
      <c r="H56" s="350">
        <f t="shared" si="33"/>
        <v>7.8194690472051256E-2</v>
      </c>
      <c r="I56" s="350">
        <f t="shared" si="33"/>
        <v>6.8583155208654684E-2</v>
      </c>
      <c r="J56" s="350">
        <f t="shared" si="33"/>
        <v>0.18237216484011737</v>
      </c>
      <c r="K56" s="350">
        <f t="shared" si="33"/>
        <v>0.18198123742800126</v>
      </c>
    </row>
    <row r="57" spans="2:25" x14ac:dyDescent="0.3">
      <c r="B57" s="211" t="s">
        <v>22</v>
      </c>
      <c r="C57" s="350">
        <f>C51/AVERAGE(C54:D54)</f>
        <v>5.7414855292406098E-3</v>
      </c>
      <c r="D57" s="350">
        <f t="shared" ref="D57:K57" si="34">D51/AVERAGE(D54:E54)</f>
        <v>1.2171233749324287E-2</v>
      </c>
      <c r="E57" s="350">
        <f t="shared" si="34"/>
        <v>5.3041408305677072E-2</v>
      </c>
      <c r="F57" s="350">
        <f t="shared" si="34"/>
        <v>1.7617373350243238E-3</v>
      </c>
      <c r="G57" s="350">
        <f t="shared" si="34"/>
        <v>0.10940802310430998</v>
      </c>
      <c r="H57" s="350">
        <f t="shared" si="34"/>
        <v>0.1309583268241965</v>
      </c>
      <c r="I57" s="350">
        <f t="shared" si="34"/>
        <v>9.7289362468260379E-2</v>
      </c>
      <c r="J57" s="350">
        <f t="shared" si="34"/>
        <v>0.39112254939500268</v>
      </c>
      <c r="K57" s="350">
        <f t="shared" si="34"/>
        <v>0.50805823659351856</v>
      </c>
    </row>
    <row r="58" spans="2:25" x14ac:dyDescent="0.3">
      <c r="C58" s="350"/>
      <c r="D58" s="350"/>
      <c r="E58" s="350"/>
      <c r="F58" s="350"/>
      <c r="G58" s="350"/>
      <c r="H58" s="350"/>
      <c r="I58" s="350"/>
      <c r="J58" s="350"/>
      <c r="K58" s="350"/>
    </row>
    <row r="59" spans="2:25" s="372" customFormat="1" x14ac:dyDescent="0.3"/>
    <row r="60" spans="2:25" s="321" customFormat="1" hidden="1" outlineLevel="1" x14ac:dyDescent="0.3">
      <c r="B60" s="321" t="s">
        <v>644</v>
      </c>
      <c r="F60" s="374"/>
      <c r="G60" s="374">
        <f>G76+G106</f>
        <v>91848891</v>
      </c>
      <c r="H60" s="374">
        <f>H76+H106</f>
        <v>89624653</v>
      </c>
      <c r="I60" s="374">
        <f>I76+I106</f>
        <v>73358252</v>
      </c>
      <c r="J60" s="374">
        <f t="shared" ref="J60:W60" si="35">J76+J106</f>
        <v>97177412</v>
      </c>
      <c r="K60" s="374">
        <f t="shared" si="35"/>
        <v>88982470</v>
      </c>
      <c r="L60" s="374">
        <f t="shared" si="35"/>
        <v>57857999</v>
      </c>
      <c r="M60" s="374">
        <f t="shared" si="35"/>
        <v>47664590</v>
      </c>
      <c r="N60" s="374"/>
      <c r="O60" s="374">
        <f t="shared" si="35"/>
        <v>43740398</v>
      </c>
      <c r="P60" s="374">
        <f t="shared" si="35"/>
        <v>51087803</v>
      </c>
      <c r="Q60" s="374">
        <f t="shared" si="35"/>
        <v>49720904</v>
      </c>
      <c r="R60" s="374">
        <f t="shared" si="35"/>
        <v>36543257</v>
      </c>
      <c r="S60" s="374">
        <f t="shared" si="35"/>
        <v>25491850</v>
      </c>
      <c r="T60" s="374">
        <f t="shared" si="35"/>
        <v>25748892</v>
      </c>
      <c r="U60" s="374">
        <f t="shared" si="35"/>
        <v>18239900</v>
      </c>
      <c r="V60" s="374">
        <f t="shared" si="35"/>
        <v>27859203</v>
      </c>
      <c r="W60" s="374">
        <f t="shared" si="35"/>
        <v>25936017</v>
      </c>
      <c r="X60" s="374">
        <f t="shared" ref="X60:Y60" si="36">X76+X106</f>
        <v>16030990</v>
      </c>
      <c r="Y60" s="374">
        <f t="shared" si="36"/>
        <v>20271700</v>
      </c>
    </row>
    <row r="61" spans="2:25" s="321" customFormat="1" hidden="1" outlineLevel="1" x14ac:dyDescent="0.3">
      <c r="B61" s="321" t="s">
        <v>649</v>
      </c>
      <c r="F61" s="374"/>
      <c r="G61" s="374">
        <f>G60-G50</f>
        <v>0</v>
      </c>
      <c r="H61" s="374">
        <f>H60-H50</f>
        <v>0</v>
      </c>
      <c r="I61" s="374">
        <f t="shared" ref="I61:L61" si="37">I60-I50</f>
        <v>-9</v>
      </c>
      <c r="J61" s="374">
        <f t="shared" si="37"/>
        <v>0</v>
      </c>
      <c r="K61" s="374">
        <f t="shared" si="37"/>
        <v>0</v>
      </c>
      <c r="L61" s="374">
        <f t="shared" si="37"/>
        <v>0</v>
      </c>
    </row>
    <row r="62" spans="2:25" s="321" customFormat="1" hidden="1" outlineLevel="1" x14ac:dyDescent="0.3">
      <c r="B62" s="321" t="s">
        <v>645</v>
      </c>
      <c r="H62" s="242">
        <f>H78+H107</f>
        <v>5800594</v>
      </c>
      <c r="I62" s="242">
        <f>I78+I107</f>
        <v>4882084</v>
      </c>
      <c r="J62" s="242">
        <f>J78+J107</f>
        <v>17215692</v>
      </c>
      <c r="K62" s="242">
        <f>K78+K107</f>
        <v>14790761</v>
      </c>
      <c r="L62" s="242">
        <f>L78+L107</f>
        <v>6641233</v>
      </c>
      <c r="M62" s="242">
        <f t="shared" ref="M62:Y62" si="38">M78+M107</f>
        <v>2141589</v>
      </c>
      <c r="N62" s="242"/>
      <c r="O62" s="242">
        <f t="shared" si="38"/>
        <v>1880382</v>
      </c>
      <c r="P62" s="242">
        <f t="shared" si="38"/>
        <v>1974289</v>
      </c>
      <c r="Q62" s="242">
        <f t="shared" si="38"/>
        <v>2285938</v>
      </c>
      <c r="R62" s="242">
        <f t="shared" si="38"/>
        <v>2110973</v>
      </c>
      <c r="S62" s="242">
        <f t="shared" si="38"/>
        <v>838435</v>
      </c>
      <c r="T62" s="242">
        <f t="shared" si="38"/>
        <v>514358</v>
      </c>
      <c r="U62" s="242">
        <f t="shared" si="38"/>
        <v>-535763</v>
      </c>
      <c r="V62" s="242">
        <f t="shared" si="38"/>
        <v>1595159</v>
      </c>
      <c r="W62" s="242">
        <f t="shared" si="38"/>
        <v>326159</v>
      </c>
      <c r="X62" s="242">
        <f t="shared" si="38"/>
        <v>-1228803</v>
      </c>
      <c r="Y62" s="242">
        <f t="shared" si="38"/>
        <v>262732</v>
      </c>
    </row>
    <row r="63" spans="2:25" s="321" customFormat="1" hidden="1" outlineLevel="1" x14ac:dyDescent="0.3">
      <c r="B63" s="321" t="s">
        <v>649</v>
      </c>
      <c r="H63" s="242">
        <f>H62-H51</f>
        <v>-1207578</v>
      </c>
      <c r="I63" s="242">
        <f t="shared" ref="I63:L63" si="39">I62-I51</f>
        <v>-149057</v>
      </c>
      <c r="J63" s="242">
        <f t="shared" si="39"/>
        <v>-506763</v>
      </c>
      <c r="K63" s="242">
        <f t="shared" si="39"/>
        <v>-1402379</v>
      </c>
      <c r="L63" s="242">
        <f t="shared" si="39"/>
        <v>-227057</v>
      </c>
    </row>
    <row r="64" spans="2:25" s="321" customFormat="1" hidden="1" outlineLevel="1" x14ac:dyDescent="0.3">
      <c r="H64" s="375">
        <f>H63/H51</f>
        <v>-0.17230998325954328</v>
      </c>
      <c r="I64" s="375">
        <f t="shared" ref="I64:L64" si="40">I63/I51</f>
        <v>-2.9626877879192812E-2</v>
      </c>
      <c r="J64" s="375">
        <f t="shared" si="40"/>
        <v>-2.859440184782526E-2</v>
      </c>
      <c r="K64" s="375">
        <f t="shared" si="40"/>
        <v>-8.6603277684253951E-2</v>
      </c>
      <c r="L64" s="375">
        <f t="shared" si="40"/>
        <v>-3.305873805561501E-2</v>
      </c>
    </row>
    <row r="65" spans="2:31" s="321" customFormat="1" hidden="1" outlineLevel="1" x14ac:dyDescent="0.3">
      <c r="B65" s="321" t="s">
        <v>651</v>
      </c>
      <c r="G65" s="242">
        <f>G84+G111</f>
        <v>34494547</v>
      </c>
      <c r="H65" s="242">
        <f>H84+H111</f>
        <v>33456448</v>
      </c>
      <c r="I65" s="242">
        <f t="shared" ref="I65:J65" si="41">I84+I111</f>
        <v>32831377</v>
      </c>
      <c r="J65" s="242">
        <f t="shared" si="41"/>
        <v>36063813</v>
      </c>
      <c r="K65" s="375"/>
      <c r="L65" s="375"/>
    </row>
    <row r="66" spans="2:31" s="321" customFormat="1" hidden="1" outlineLevel="1" x14ac:dyDescent="0.3">
      <c r="B66" s="321" t="s">
        <v>649</v>
      </c>
      <c r="G66" s="242">
        <f>G65-G53</f>
        <v>-6590234</v>
      </c>
      <c r="H66" s="242">
        <f>H65-H53</f>
        <v>-7053790</v>
      </c>
      <c r="I66" s="242">
        <f t="shared" ref="I66:J66" si="42">I65-I53</f>
        <v>-5766328</v>
      </c>
      <c r="J66" s="242">
        <f t="shared" si="42"/>
        <v>-5140819</v>
      </c>
      <c r="K66" s="375"/>
      <c r="L66" s="375"/>
    </row>
    <row r="67" spans="2:31" s="321" customFormat="1" hidden="1" outlineLevel="1" x14ac:dyDescent="0.3">
      <c r="B67" s="321" t="s">
        <v>647</v>
      </c>
      <c r="F67" s="242"/>
      <c r="G67" s="242">
        <f>G92+G119</f>
        <v>56160853</v>
      </c>
      <c r="H67" s="242">
        <f>H92+H119</f>
        <v>53993269</v>
      </c>
      <c r="I67" s="242">
        <f>I92+I119</f>
        <v>50320752</v>
      </c>
      <c r="J67" s="242">
        <f>J92+J119</f>
        <v>50422819</v>
      </c>
      <c r="K67" s="242">
        <f>K92+K119</f>
        <v>38041399</v>
      </c>
      <c r="L67" s="242">
        <f t="shared" ref="L67:Y67" si="43">L92+L119</f>
        <v>23053632</v>
      </c>
      <c r="M67" s="242">
        <f t="shared" si="43"/>
        <v>18459474</v>
      </c>
      <c r="N67" s="242"/>
      <c r="O67" s="242">
        <f t="shared" si="43"/>
        <v>17754029</v>
      </c>
      <c r="P67" s="242">
        <f t="shared" si="43"/>
        <v>17404060</v>
      </c>
      <c r="Q67" s="242">
        <f t="shared" si="43"/>
        <v>16883377</v>
      </c>
      <c r="R67" s="242">
        <f t="shared" si="43"/>
        <v>16390428</v>
      </c>
      <c r="S67" s="242">
        <f t="shared" si="43"/>
        <v>15522841</v>
      </c>
      <c r="T67" s="242">
        <f t="shared" si="43"/>
        <v>15316711</v>
      </c>
      <c r="U67" s="242">
        <f t="shared" si="43"/>
        <v>15152587</v>
      </c>
      <c r="V67" s="242">
        <f t="shared" si="43"/>
        <v>15804266</v>
      </c>
      <c r="W67" s="242">
        <f t="shared" si="43"/>
        <v>15746702</v>
      </c>
      <c r="X67" s="242">
        <f t="shared" si="43"/>
        <v>14587534</v>
      </c>
      <c r="Y67" s="242">
        <f t="shared" si="43"/>
        <v>15896799</v>
      </c>
    </row>
    <row r="68" spans="2:31" s="321" customFormat="1" hidden="1" outlineLevel="1" x14ac:dyDescent="0.3">
      <c r="B68" s="321" t="s">
        <v>649</v>
      </c>
      <c r="F68" s="242"/>
      <c r="G68" s="242">
        <f>G67-G54</f>
        <v>-1362721</v>
      </c>
      <c r="H68" s="242">
        <f>H67-H54</f>
        <v>-1365299</v>
      </c>
      <c r="I68" s="242">
        <f>I54-I67</f>
        <v>1349720</v>
      </c>
      <c r="J68" s="242">
        <f t="shared" ref="J68:L68" si="44">J54-J67</f>
        <v>1333042</v>
      </c>
      <c r="K68" s="242">
        <f t="shared" si="44"/>
        <v>826280</v>
      </c>
      <c r="L68" s="242">
        <f t="shared" si="44"/>
        <v>1823901</v>
      </c>
    </row>
    <row r="69" spans="2:31" s="321" customFormat="1" hidden="1" outlineLevel="1" x14ac:dyDescent="0.3">
      <c r="F69" s="242"/>
      <c r="G69" s="242"/>
      <c r="H69" s="375">
        <f>H68/H54</f>
        <v>-2.4662830873804394E-2</v>
      </c>
      <c r="I69" s="375">
        <f t="shared" ref="I69:L69" si="45">I68/I54</f>
        <v>2.6121688998699297E-2</v>
      </c>
      <c r="J69" s="375">
        <f t="shared" si="45"/>
        <v>2.5756348638466278E-2</v>
      </c>
      <c r="K69" s="375">
        <f t="shared" si="45"/>
        <v>2.1258794485773128E-2</v>
      </c>
      <c r="L69" s="375">
        <f t="shared" si="45"/>
        <v>7.3315187643405E-2</v>
      </c>
    </row>
    <row r="70" spans="2:31" s="309" customFormat="1" hidden="1" outlineLevel="1" x14ac:dyDescent="0.3">
      <c r="B70" s="309" t="s">
        <v>626</v>
      </c>
    </row>
    <row r="71" spans="2:31" collapsed="1" x14ac:dyDescent="0.3"/>
    <row r="72" spans="2:31" x14ac:dyDescent="0.3">
      <c r="B72" s="152" t="s">
        <v>628</v>
      </c>
      <c r="C72" s="152"/>
    </row>
    <row r="73" spans="2:31" x14ac:dyDescent="0.3">
      <c r="B73" s="152"/>
      <c r="C73" s="152"/>
    </row>
    <row r="74" spans="2:31" x14ac:dyDescent="0.3">
      <c r="B74" s="320" t="s">
        <v>625</v>
      </c>
      <c r="C74" s="320"/>
    </row>
    <row r="75" spans="2:31" x14ac:dyDescent="0.3">
      <c r="C75" s="286">
        <v>1955</v>
      </c>
      <c r="D75" s="286">
        <v>1954</v>
      </c>
      <c r="E75" s="286">
        <v>1953</v>
      </c>
      <c r="F75" s="286">
        <v>1952</v>
      </c>
      <c r="G75" s="286">
        <v>1951</v>
      </c>
      <c r="H75" s="286">
        <v>1950</v>
      </c>
      <c r="I75" s="286">
        <v>1949</v>
      </c>
      <c r="J75" s="286">
        <v>1948</v>
      </c>
      <c r="K75" s="286">
        <v>1947</v>
      </c>
      <c r="L75" s="286">
        <v>1946</v>
      </c>
      <c r="M75" s="286">
        <v>1945</v>
      </c>
      <c r="N75" s="286"/>
      <c r="O75" s="286">
        <v>1944</v>
      </c>
      <c r="P75" s="286">
        <v>1943</v>
      </c>
      <c r="Q75" s="286">
        <v>1942</v>
      </c>
      <c r="R75" s="286">
        <v>1941</v>
      </c>
      <c r="S75" s="286">
        <v>1940</v>
      </c>
      <c r="T75" s="286">
        <v>1939</v>
      </c>
      <c r="U75" s="286">
        <v>1938</v>
      </c>
      <c r="V75" s="286">
        <v>1937</v>
      </c>
      <c r="W75" s="286">
        <v>1936</v>
      </c>
      <c r="X75" s="286">
        <v>1935</v>
      </c>
      <c r="Y75" s="286">
        <v>1934</v>
      </c>
      <c r="Z75" s="286">
        <v>1933</v>
      </c>
      <c r="AA75" s="286">
        <v>1932</v>
      </c>
      <c r="AB75" s="286">
        <v>1931</v>
      </c>
      <c r="AC75" s="286">
        <v>1930</v>
      </c>
      <c r="AD75" s="286">
        <v>1929</v>
      </c>
      <c r="AE75" s="286">
        <v>1928</v>
      </c>
    </row>
    <row r="76" spans="2:31" x14ac:dyDescent="0.3">
      <c r="B76" s="211" t="s">
        <v>975</v>
      </c>
      <c r="C76" s="250"/>
      <c r="D76" s="250"/>
      <c r="E76" s="250"/>
      <c r="F76" s="250"/>
      <c r="G76" s="250">
        <v>60987366</v>
      </c>
      <c r="H76" s="250">
        <v>63466253</v>
      </c>
      <c r="I76" s="250">
        <v>50911790</v>
      </c>
      <c r="J76" s="250">
        <v>69889757</v>
      </c>
      <c r="K76" s="250">
        <v>68444883</v>
      </c>
      <c r="L76" s="250">
        <v>42860655</v>
      </c>
      <c r="M76" s="250">
        <v>36043026</v>
      </c>
      <c r="N76" s="250"/>
      <c r="O76" s="250">
        <v>31695890</v>
      </c>
      <c r="P76" s="250">
        <v>38679237</v>
      </c>
      <c r="Q76" s="250">
        <v>37771888</v>
      </c>
      <c r="R76" s="250">
        <v>28746992</v>
      </c>
      <c r="S76" s="250">
        <v>18163074</v>
      </c>
      <c r="T76" s="250">
        <v>18441984</v>
      </c>
      <c r="U76" s="250">
        <v>14350730</v>
      </c>
      <c r="V76" s="250">
        <v>19388924</v>
      </c>
      <c r="W76" s="250">
        <v>18950664</v>
      </c>
      <c r="X76" s="250">
        <v>16030990</v>
      </c>
      <c r="Y76" s="250">
        <v>16334575</v>
      </c>
      <c r="Z76" s="250">
        <v>12608879</v>
      </c>
      <c r="AA76" s="376" t="s">
        <v>635</v>
      </c>
      <c r="AB76" s="376" t="s">
        <v>635</v>
      </c>
      <c r="AC76" s="376" t="s">
        <v>635</v>
      </c>
      <c r="AD76" s="376" t="s">
        <v>635</v>
      </c>
      <c r="AE76" s="376" t="s">
        <v>635</v>
      </c>
    </row>
    <row r="77" spans="2:31" x14ac:dyDescent="0.3">
      <c r="B77" s="211" t="s">
        <v>251</v>
      </c>
      <c r="C77" s="239"/>
      <c r="D77" s="239"/>
      <c r="E77" s="239"/>
      <c r="F77" s="239"/>
      <c r="G77" s="239">
        <v>8734003</v>
      </c>
      <c r="H77" s="239">
        <v>8932820</v>
      </c>
      <c r="I77" s="239">
        <v>5781965</v>
      </c>
      <c r="J77" s="239">
        <v>23944683</v>
      </c>
      <c r="K77" s="239">
        <v>23505192</v>
      </c>
      <c r="L77" s="239">
        <v>11515407</v>
      </c>
      <c r="M77" s="239">
        <v>6972471</v>
      </c>
      <c r="N77" s="239"/>
      <c r="O77" s="239">
        <v>6179027</v>
      </c>
      <c r="P77" s="239">
        <v>7399965</v>
      </c>
      <c r="Q77" s="239">
        <v>8202569</v>
      </c>
      <c r="R77" s="239">
        <v>3995997</v>
      </c>
      <c r="S77" s="239">
        <v>729233</v>
      </c>
      <c r="T77" s="239">
        <v>378178</v>
      </c>
      <c r="U77" s="239">
        <v>-486525</v>
      </c>
      <c r="V77" s="239">
        <v>1950210</v>
      </c>
      <c r="W77" s="239">
        <v>710783</v>
      </c>
      <c r="X77" s="239">
        <v>-952026</v>
      </c>
      <c r="Y77" s="239">
        <v>426455</v>
      </c>
      <c r="Z77" s="239">
        <v>-55097</v>
      </c>
      <c r="AA77" s="376" t="s">
        <v>635</v>
      </c>
      <c r="AB77" s="376" t="s">
        <v>635</v>
      </c>
      <c r="AC77" s="376" t="s">
        <v>635</v>
      </c>
      <c r="AD77" s="376" t="s">
        <v>635</v>
      </c>
      <c r="AE77" s="376" t="s">
        <v>635</v>
      </c>
    </row>
    <row r="78" spans="2:31" x14ac:dyDescent="0.3">
      <c r="B78" s="211" t="s">
        <v>99</v>
      </c>
      <c r="C78" s="239"/>
      <c r="D78" s="239"/>
      <c r="E78" s="239"/>
      <c r="F78" s="239"/>
      <c r="G78" s="239">
        <v>3141206</v>
      </c>
      <c r="H78" s="239">
        <v>4098511</v>
      </c>
      <c r="I78" s="239">
        <v>3570068</v>
      </c>
      <c r="J78" s="239">
        <v>14357672</v>
      </c>
      <c r="K78" s="239">
        <v>12842173</v>
      </c>
      <c r="L78" s="239">
        <v>5689726</v>
      </c>
      <c r="M78" s="239">
        <v>1813576</v>
      </c>
      <c r="N78" s="239"/>
      <c r="O78" s="239">
        <v>1602047</v>
      </c>
      <c r="P78" s="239">
        <v>1724446</v>
      </c>
      <c r="Q78" s="239">
        <v>1907441</v>
      </c>
      <c r="R78" s="239">
        <v>1851686</v>
      </c>
      <c r="S78" s="239">
        <v>592454</v>
      </c>
      <c r="T78" s="239">
        <v>284377</v>
      </c>
      <c r="U78" s="239">
        <v>-517109</v>
      </c>
      <c r="V78" s="239">
        <v>1417900</v>
      </c>
      <c r="W78" s="239">
        <v>72834</v>
      </c>
      <c r="X78" s="239">
        <v>-1228488</v>
      </c>
      <c r="Y78" s="239">
        <v>208527</v>
      </c>
      <c r="Z78" s="239">
        <v>97591</v>
      </c>
      <c r="AA78" s="239">
        <v>-1353139</v>
      </c>
      <c r="AB78" s="239">
        <v>-1486616</v>
      </c>
      <c r="AC78" s="239">
        <v>-453743</v>
      </c>
      <c r="AD78" s="376" t="s">
        <v>635</v>
      </c>
      <c r="AE78" s="376" t="s">
        <v>635</v>
      </c>
    </row>
    <row r="79" spans="2:31" s="377" customFormat="1" hidden="1" outlineLevel="1" x14ac:dyDescent="0.3">
      <c r="B79" s="377" t="s">
        <v>671</v>
      </c>
      <c r="C79" s="378"/>
      <c r="D79" s="378"/>
      <c r="E79" s="378"/>
      <c r="F79" s="378"/>
      <c r="G79" s="379">
        <f>G78/G76</f>
        <v>5.1505847948901416E-2</v>
      </c>
      <c r="H79" s="379">
        <f t="shared" ref="H79:Y79" si="46">H78/H76</f>
        <v>6.4577800110556388E-2</v>
      </c>
      <c r="I79" s="379">
        <f t="shared" si="46"/>
        <v>7.0122617963344056E-2</v>
      </c>
      <c r="J79" s="379">
        <f t="shared" si="46"/>
        <v>0.20543313664690521</v>
      </c>
      <c r="K79" s="379">
        <f t="shared" si="46"/>
        <v>0.18762794875403616</v>
      </c>
      <c r="L79" s="379">
        <f t="shared" si="46"/>
        <v>0.13274939452045237</v>
      </c>
      <c r="M79" s="379">
        <f t="shared" si="46"/>
        <v>5.0316973941089187E-2</v>
      </c>
      <c r="N79" s="379"/>
      <c r="O79" s="379">
        <f t="shared" si="46"/>
        <v>5.0544313474081337E-2</v>
      </c>
      <c r="P79" s="379">
        <f t="shared" si="46"/>
        <v>4.4583247596119854E-2</v>
      </c>
      <c r="Q79" s="379">
        <f t="shared" si="46"/>
        <v>5.0498958378781593E-2</v>
      </c>
      <c r="R79" s="379">
        <f t="shared" si="46"/>
        <v>6.4413208867209484E-2</v>
      </c>
      <c r="S79" s="379">
        <f t="shared" si="46"/>
        <v>3.2618597490711096E-2</v>
      </c>
      <c r="T79" s="379">
        <f t="shared" si="46"/>
        <v>1.5420087122947292E-2</v>
      </c>
      <c r="U79" s="379">
        <f t="shared" si="46"/>
        <v>-3.6033637313223787E-2</v>
      </c>
      <c r="V79" s="379">
        <f t="shared" si="46"/>
        <v>7.3129380464846835E-2</v>
      </c>
      <c r="W79" s="379">
        <f t="shared" si="46"/>
        <v>3.8433481803065053E-3</v>
      </c>
      <c r="X79" s="379">
        <f t="shared" si="46"/>
        <v>-7.6632073253117869E-2</v>
      </c>
      <c r="Y79" s="379">
        <f t="shared" si="46"/>
        <v>1.276598870800128E-2</v>
      </c>
      <c r="Z79" s="378"/>
      <c r="AA79" s="378"/>
      <c r="AB79" s="378"/>
      <c r="AC79" s="378"/>
      <c r="AD79" s="380"/>
      <c r="AE79" s="380"/>
    </row>
    <row r="80" spans="2:31" collapsed="1" x14ac:dyDescent="0.3">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376"/>
      <c r="AE80" s="376"/>
    </row>
    <row r="81" spans="2:31" x14ac:dyDescent="0.3">
      <c r="B81" s="211" t="s">
        <v>648</v>
      </c>
      <c r="C81" s="239"/>
      <c r="D81" s="239"/>
      <c r="E81" s="239"/>
      <c r="F81" s="239"/>
      <c r="G81" s="239"/>
      <c r="H81" s="239">
        <v>1948629</v>
      </c>
      <c r="I81" s="239">
        <v>1948629</v>
      </c>
      <c r="J81" s="239">
        <v>1948629</v>
      </c>
      <c r="K81" s="239">
        <v>1583094</v>
      </c>
      <c r="L81" s="239">
        <v>473986</v>
      </c>
      <c r="M81" s="239">
        <v>457126</v>
      </c>
      <c r="N81" s="239"/>
      <c r="O81" s="239">
        <v>457126</v>
      </c>
      <c r="P81" s="239">
        <v>457126</v>
      </c>
      <c r="Q81" s="239">
        <v>457126</v>
      </c>
      <c r="R81" s="239">
        <v>473645</v>
      </c>
      <c r="S81" s="239"/>
      <c r="T81" s="239"/>
      <c r="U81" s="239"/>
      <c r="V81" s="239"/>
      <c r="W81" s="239"/>
      <c r="X81" s="239"/>
      <c r="Y81" s="239"/>
      <c r="Z81" s="239"/>
      <c r="AA81" s="239"/>
      <c r="AB81" s="239"/>
      <c r="AC81" s="239"/>
      <c r="AD81" s="376"/>
      <c r="AE81" s="376"/>
    </row>
    <row r="82" spans="2:31" x14ac:dyDescent="0.3">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376"/>
      <c r="AE82" s="376"/>
    </row>
    <row r="83" spans="2:31" x14ac:dyDescent="0.3">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row>
    <row r="84" spans="2:31" x14ac:dyDescent="0.3">
      <c r="B84" s="211" t="s">
        <v>630</v>
      </c>
      <c r="C84" s="239"/>
      <c r="D84" s="239"/>
      <c r="E84" s="239"/>
      <c r="F84" s="239"/>
      <c r="G84" s="239">
        <v>28716612</v>
      </c>
      <c r="H84" s="239">
        <v>28632285</v>
      </c>
      <c r="I84" s="239">
        <v>28389170</v>
      </c>
      <c r="J84" s="239">
        <v>31004330</v>
      </c>
      <c r="K84" s="239">
        <v>22763942</v>
      </c>
      <c r="L84" s="239">
        <v>14959318</v>
      </c>
      <c r="M84" s="239">
        <v>10752167</v>
      </c>
      <c r="N84" s="239"/>
      <c r="O84" s="239">
        <v>8772906</v>
      </c>
      <c r="P84" s="239">
        <v>8606238</v>
      </c>
      <c r="Q84" s="239">
        <v>8157091</v>
      </c>
      <c r="R84" s="239">
        <v>6875746</v>
      </c>
      <c r="S84" s="239">
        <v>5763378</v>
      </c>
      <c r="T84" s="239">
        <v>5399970</v>
      </c>
      <c r="U84" s="239">
        <v>4666132</v>
      </c>
      <c r="V84" s="239">
        <v>4923877</v>
      </c>
      <c r="W84" s="239">
        <v>4343409</v>
      </c>
      <c r="X84" s="239">
        <v>2810466</v>
      </c>
      <c r="Y84" s="239">
        <v>3659604</v>
      </c>
      <c r="Z84" s="239">
        <v>3335867</v>
      </c>
      <c r="AA84" s="239">
        <v>3078641</v>
      </c>
      <c r="AB84" s="239">
        <v>4643837</v>
      </c>
      <c r="AC84" s="239">
        <v>4543526</v>
      </c>
      <c r="AD84" s="239">
        <v>5988794</v>
      </c>
      <c r="AE84" s="239">
        <v>5157737</v>
      </c>
    </row>
    <row r="85" spans="2:31" x14ac:dyDescent="0.3">
      <c r="B85" s="211" t="s">
        <v>629</v>
      </c>
      <c r="C85" s="239"/>
      <c r="D85" s="239"/>
      <c r="E85" s="239"/>
      <c r="F85" s="239"/>
      <c r="G85" s="239">
        <v>8194710</v>
      </c>
      <c r="H85" s="239">
        <v>7107367</v>
      </c>
      <c r="I85" s="239">
        <v>5919525</v>
      </c>
      <c r="J85" s="239">
        <v>5240393</v>
      </c>
      <c r="K85" s="239">
        <v>4926378</v>
      </c>
      <c r="L85" s="239">
        <v>4719891</v>
      </c>
      <c r="M85" s="239">
        <v>5048112</v>
      </c>
      <c r="N85" s="239"/>
      <c r="O85" s="239">
        <v>5503876</v>
      </c>
      <c r="P85" s="239">
        <v>5955501</v>
      </c>
      <c r="Q85" s="239">
        <v>6493181</v>
      </c>
      <c r="R85" s="239">
        <v>6845292</v>
      </c>
      <c r="S85" s="239">
        <v>6782232</v>
      </c>
      <c r="T85" s="239">
        <v>7045101</v>
      </c>
      <c r="U85" s="239">
        <v>7647208</v>
      </c>
      <c r="V85" s="239">
        <v>7934331</v>
      </c>
      <c r="W85" s="239">
        <v>7970948</v>
      </c>
      <c r="X85" s="239">
        <v>8356446</v>
      </c>
      <c r="Y85" s="239">
        <v>8629508</v>
      </c>
      <c r="Z85" s="239">
        <v>8940459</v>
      </c>
      <c r="AA85" s="239">
        <v>9353622</v>
      </c>
      <c r="AB85" s="239">
        <v>9446163</v>
      </c>
      <c r="AC85" s="239">
        <v>9135234</v>
      </c>
      <c r="AD85" s="239">
        <v>6443799</v>
      </c>
      <c r="AE85" s="239">
        <v>6327049</v>
      </c>
    </row>
    <row r="86" spans="2:31" s="381" customFormat="1" hidden="1" outlineLevel="1" x14ac:dyDescent="0.3">
      <c r="B86" s="381" t="s">
        <v>631</v>
      </c>
      <c r="C86" s="382"/>
      <c r="D86" s="382"/>
      <c r="E86" s="382"/>
      <c r="F86" s="382"/>
      <c r="G86" s="382"/>
      <c r="H86" s="382"/>
      <c r="I86" s="382"/>
      <c r="J86" s="382"/>
      <c r="K86" s="382"/>
      <c r="L86" s="382"/>
      <c r="M86" s="382"/>
      <c r="N86" s="382"/>
      <c r="O86" s="382"/>
      <c r="P86" s="382"/>
      <c r="Q86" s="382"/>
      <c r="R86" s="382"/>
      <c r="S86" s="382"/>
      <c r="T86" s="382"/>
      <c r="U86" s="382">
        <f>485300+7636883</f>
        <v>8122183</v>
      </c>
      <c r="V86" s="382">
        <f>485300+7636883</f>
        <v>8122183</v>
      </c>
      <c r="W86" s="382">
        <v>8818000</v>
      </c>
      <c r="X86" s="382">
        <v>8818000</v>
      </c>
      <c r="Y86" s="382">
        <v>8818000</v>
      </c>
      <c r="Z86" s="382">
        <v>8399300</v>
      </c>
      <c r="AA86" s="382">
        <v>8688600</v>
      </c>
      <c r="AB86" s="382">
        <v>8688600</v>
      </c>
      <c r="AC86" s="382">
        <v>8727200</v>
      </c>
      <c r="AD86" s="382">
        <v>6647200</v>
      </c>
      <c r="AE86" s="382">
        <v>6647200</v>
      </c>
    </row>
    <row r="87" spans="2:31" s="381" customFormat="1" hidden="1" outlineLevel="1" x14ac:dyDescent="0.3">
      <c r="B87" s="381" t="s">
        <v>169</v>
      </c>
      <c r="C87" s="382"/>
      <c r="D87" s="382"/>
      <c r="E87" s="382"/>
      <c r="F87" s="382"/>
      <c r="G87" s="382">
        <v>10824812</v>
      </c>
      <c r="H87" s="382">
        <v>10824813</v>
      </c>
      <c r="I87" s="382"/>
      <c r="J87" s="382"/>
      <c r="K87" s="382"/>
      <c r="L87" s="382"/>
      <c r="M87" s="382"/>
      <c r="N87" s="382"/>
      <c r="O87" s="382"/>
      <c r="P87" s="382"/>
      <c r="Q87" s="382"/>
      <c r="R87" s="382"/>
      <c r="S87" s="382"/>
      <c r="T87" s="382"/>
      <c r="U87" s="382">
        <v>5484531</v>
      </c>
      <c r="V87" s="382">
        <v>5484531</v>
      </c>
      <c r="W87" s="382">
        <v>7599452</v>
      </c>
      <c r="X87" s="382">
        <v>7599452</v>
      </c>
      <c r="Y87" s="382">
        <v>7599452</v>
      </c>
      <c r="Z87" s="382">
        <v>7812665</v>
      </c>
      <c r="AA87" s="382">
        <v>7668692</v>
      </c>
      <c r="AB87" s="382">
        <v>7668692</v>
      </c>
      <c r="AC87" s="382">
        <v>7668692</v>
      </c>
      <c r="AD87" s="382">
        <v>4963700</v>
      </c>
      <c r="AE87" s="382">
        <v>4688254</v>
      </c>
    </row>
    <row r="88" spans="2:31" s="381" customFormat="1" hidden="1" outlineLevel="1" x14ac:dyDescent="0.3">
      <c r="B88" s="381" t="s">
        <v>534</v>
      </c>
      <c r="C88" s="382"/>
      <c r="D88" s="382"/>
      <c r="E88" s="382"/>
      <c r="F88" s="382"/>
      <c r="G88" s="382"/>
      <c r="H88" s="382"/>
      <c r="I88" s="382"/>
      <c r="J88" s="382"/>
      <c r="K88" s="382"/>
      <c r="L88" s="382"/>
      <c r="M88" s="382"/>
      <c r="N88" s="382"/>
      <c r="O88" s="382"/>
      <c r="P88" s="382"/>
      <c r="Q88" s="382"/>
      <c r="R88" s="382"/>
      <c r="S88" s="382"/>
      <c r="T88" s="382"/>
      <c r="U88" s="382">
        <v>0</v>
      </c>
      <c r="V88" s="382">
        <v>0</v>
      </c>
      <c r="W88" s="382">
        <v>5966</v>
      </c>
      <c r="X88" s="382">
        <v>5966</v>
      </c>
      <c r="Y88" s="382">
        <v>5966</v>
      </c>
      <c r="Z88" s="382">
        <v>5252</v>
      </c>
      <c r="AA88" s="382">
        <v>4835</v>
      </c>
      <c r="AB88" s="382">
        <v>4223</v>
      </c>
      <c r="AC88" s="382">
        <v>6819</v>
      </c>
      <c r="AD88" s="382">
        <v>0</v>
      </c>
      <c r="AE88" s="382">
        <v>0</v>
      </c>
    </row>
    <row r="89" spans="2:31" s="381" customFormat="1" hidden="1" outlineLevel="1" x14ac:dyDescent="0.3">
      <c r="B89" s="381" t="s">
        <v>632</v>
      </c>
      <c r="C89" s="382"/>
      <c r="D89" s="382"/>
      <c r="E89" s="382"/>
      <c r="F89" s="382"/>
      <c r="G89" s="382">
        <f>4800000+2400000</f>
        <v>7200000</v>
      </c>
      <c r="H89" s="382">
        <f>3600000+2400000</f>
        <v>6000000</v>
      </c>
      <c r="I89" s="382"/>
      <c r="J89" s="382"/>
      <c r="K89" s="382"/>
      <c r="L89" s="382"/>
      <c r="M89" s="382"/>
      <c r="N89" s="382"/>
      <c r="O89" s="382"/>
      <c r="P89" s="382"/>
      <c r="Q89" s="382"/>
      <c r="R89" s="382"/>
      <c r="S89" s="382"/>
      <c r="T89" s="382"/>
      <c r="U89" s="382">
        <v>0</v>
      </c>
      <c r="V89" s="382">
        <v>0</v>
      </c>
      <c r="W89" s="382">
        <v>300000</v>
      </c>
      <c r="X89" s="382">
        <v>170021</v>
      </c>
      <c r="Y89" s="382">
        <v>60000</v>
      </c>
      <c r="Z89" s="382">
        <v>0</v>
      </c>
      <c r="AA89" s="382">
        <v>0</v>
      </c>
      <c r="AB89" s="382">
        <v>0</v>
      </c>
      <c r="AC89" s="382">
        <v>0</v>
      </c>
      <c r="AD89" s="382">
        <v>0</v>
      </c>
      <c r="AE89" s="382">
        <v>0</v>
      </c>
    </row>
    <row r="90" spans="2:31" s="381" customFormat="1" hidden="1" outlineLevel="1" x14ac:dyDescent="0.3">
      <c r="B90" s="381" t="s">
        <v>633</v>
      </c>
      <c r="C90" s="382"/>
      <c r="D90" s="382"/>
      <c r="E90" s="382"/>
      <c r="F90" s="382"/>
      <c r="G90" s="382">
        <v>460289</v>
      </c>
      <c r="H90" s="382">
        <v>460289</v>
      </c>
      <c r="I90" s="382"/>
      <c r="J90" s="382"/>
      <c r="K90" s="382"/>
      <c r="L90" s="382"/>
      <c r="M90" s="382"/>
      <c r="N90" s="382"/>
      <c r="O90" s="382"/>
      <c r="P90" s="382"/>
      <c r="Q90" s="382"/>
      <c r="R90" s="382"/>
      <c r="S90" s="382"/>
      <c r="T90" s="382"/>
      <c r="U90" s="382">
        <v>0</v>
      </c>
      <c r="V90" s="382">
        <v>0</v>
      </c>
      <c r="W90" s="382">
        <v>276067</v>
      </c>
      <c r="X90" s="382">
        <v>276067</v>
      </c>
      <c r="Y90" s="382">
        <v>276067</v>
      </c>
      <c r="Z90" s="382">
        <v>222441</v>
      </c>
      <c r="AA90" s="382">
        <v>0</v>
      </c>
      <c r="AB90" s="382">
        <v>21683</v>
      </c>
      <c r="AC90" s="382">
        <v>15055</v>
      </c>
      <c r="AD90" s="382">
        <v>0</v>
      </c>
      <c r="AE90" s="382">
        <v>0</v>
      </c>
    </row>
    <row r="91" spans="2:31" s="381" customFormat="1" hidden="1" outlineLevel="1" x14ac:dyDescent="0.3">
      <c r="B91" s="381" t="s">
        <v>634</v>
      </c>
      <c r="C91" s="382"/>
      <c r="D91" s="382"/>
      <c r="E91" s="382"/>
      <c r="F91" s="382"/>
      <c r="G91" s="382">
        <v>26707726</v>
      </c>
      <c r="H91" s="382">
        <v>26976621</v>
      </c>
      <c r="I91" s="382"/>
      <c r="J91" s="382"/>
      <c r="K91" s="382"/>
      <c r="L91" s="382"/>
      <c r="M91" s="382"/>
      <c r="N91" s="382"/>
      <c r="O91" s="382"/>
      <c r="P91" s="382"/>
      <c r="Q91" s="382"/>
      <c r="R91" s="382"/>
      <c r="S91" s="382"/>
      <c r="T91" s="382"/>
      <c r="U91" s="382">
        <v>-512856</v>
      </c>
      <c r="V91" s="382">
        <v>4235</v>
      </c>
      <c r="W91" s="382">
        <v>-3370413</v>
      </c>
      <c r="X91" s="382">
        <v>-4234859</v>
      </c>
      <c r="Y91" s="382">
        <v>-2934895</v>
      </c>
      <c r="Z91" s="382">
        <v>-3085275</v>
      </c>
      <c r="AA91" s="382">
        <v>-3075733</v>
      </c>
      <c r="AB91" s="382">
        <v>-1635180</v>
      </c>
      <c r="AC91" s="382">
        <v>-75558</v>
      </c>
      <c r="AD91" s="382">
        <v>1224086</v>
      </c>
      <c r="AE91" s="382">
        <v>1389720</v>
      </c>
    </row>
    <row r="92" spans="2:31" collapsed="1" x14ac:dyDescent="0.3">
      <c r="B92" s="211" t="s">
        <v>676</v>
      </c>
      <c r="C92" s="239"/>
      <c r="D92" s="239"/>
      <c r="E92" s="239"/>
      <c r="F92" s="239"/>
      <c r="G92" s="239">
        <f>SUM(G86:G91)</f>
        <v>45192827</v>
      </c>
      <c r="H92" s="239">
        <f>SUM(H86:H91)</f>
        <v>44261723</v>
      </c>
      <c r="I92" s="239">
        <f>43811689-2120400</f>
        <v>41691289</v>
      </c>
      <c r="J92" s="239">
        <f>45255899-2725527</f>
        <v>42530372</v>
      </c>
      <c r="K92" s="239">
        <f>35417743-2973270</f>
        <v>32444473</v>
      </c>
      <c r="L92" s="239">
        <v>19186544</v>
      </c>
      <c r="M92" s="239">
        <v>15293849</v>
      </c>
      <c r="N92" s="239"/>
      <c r="O92" s="239">
        <v>14765586</v>
      </c>
      <c r="P92" s="239">
        <v>14638121</v>
      </c>
      <c r="Q92" s="239">
        <v>14311282</v>
      </c>
      <c r="R92" s="239">
        <v>14034516</v>
      </c>
      <c r="S92" s="239">
        <v>13172835</v>
      </c>
      <c r="T92" s="239">
        <v>13098101</v>
      </c>
      <c r="U92" s="239">
        <f t="shared" ref="U92:V92" si="47">SUM(U86:U91)</f>
        <v>13093858</v>
      </c>
      <c r="V92" s="239">
        <f t="shared" si="47"/>
        <v>13610949</v>
      </c>
      <c r="W92" s="239">
        <f t="shared" ref="W92:AC92" si="48">SUM(W86:W91)</f>
        <v>13629072</v>
      </c>
      <c r="X92" s="239">
        <f t="shared" si="48"/>
        <v>12634647</v>
      </c>
      <c r="Y92" s="239">
        <f t="shared" si="48"/>
        <v>13824590</v>
      </c>
      <c r="Z92" s="239">
        <f t="shared" si="48"/>
        <v>13354383</v>
      </c>
      <c r="AA92" s="239">
        <f t="shared" si="48"/>
        <v>13286394</v>
      </c>
      <c r="AB92" s="239">
        <f t="shared" si="48"/>
        <v>14748018</v>
      </c>
      <c r="AC92" s="239">
        <f t="shared" si="48"/>
        <v>16342208</v>
      </c>
      <c r="AD92" s="239">
        <f t="shared" ref="AD92:AE92" si="49">SUM(AD86:AD91)</f>
        <v>12834986</v>
      </c>
      <c r="AE92" s="239">
        <f t="shared" si="49"/>
        <v>12725174</v>
      </c>
    </row>
    <row r="93" spans="2:31" s="377" customFormat="1" hidden="1" outlineLevel="1" x14ac:dyDescent="0.3">
      <c r="B93" s="377" t="s">
        <v>672</v>
      </c>
      <c r="C93" s="378"/>
      <c r="D93" s="378"/>
      <c r="E93" s="378"/>
      <c r="F93" s="378"/>
      <c r="G93" s="379">
        <f>G78/AVERAGE(G92:H92)</f>
        <v>7.0230211878546139E-2</v>
      </c>
      <c r="H93" s="379">
        <f t="shared" ref="H93:Y93" si="50">H78/AVERAGE(H92:I92)</f>
        <v>9.5366314795344229E-2</v>
      </c>
      <c r="I93" s="379">
        <f t="shared" si="50"/>
        <v>8.4777905294458625E-2</v>
      </c>
      <c r="J93" s="379">
        <f t="shared" si="50"/>
        <v>0.38299971143654915</v>
      </c>
      <c r="K93" s="379">
        <f t="shared" si="50"/>
        <v>0.49745961812063472</v>
      </c>
      <c r="L93" s="379">
        <f t="shared" si="50"/>
        <v>0.33002674882504962</v>
      </c>
      <c r="M93" s="379">
        <f>M78/AVERAGE(M92:O92)</f>
        <v>0.12066600719541136</v>
      </c>
      <c r="N93" s="379"/>
      <c r="O93" s="379">
        <f t="shared" si="50"/>
        <v>0.10896904937870588</v>
      </c>
      <c r="P93" s="379">
        <f t="shared" si="50"/>
        <v>0.11913516834872208</v>
      </c>
      <c r="Q93" s="379">
        <f t="shared" si="50"/>
        <v>0.13458368679548199</v>
      </c>
      <c r="R93" s="379">
        <f t="shared" si="50"/>
        <v>0.13611659584205754</v>
      </c>
      <c r="S93" s="379">
        <f t="shared" si="50"/>
        <v>4.5103379643572653E-2</v>
      </c>
      <c r="T93" s="379">
        <f t="shared" si="50"/>
        <v>2.1714832403334168E-2</v>
      </c>
      <c r="U93" s="379">
        <f t="shared" si="50"/>
        <v>-3.8727784102689823E-2</v>
      </c>
      <c r="V93" s="379">
        <f t="shared" si="50"/>
        <v>0.10410417818694045</v>
      </c>
      <c r="W93" s="379">
        <f t="shared" si="50"/>
        <v>5.5463584574598898E-3</v>
      </c>
      <c r="X93" s="379">
        <f t="shared" si="50"/>
        <v>-9.2858913505328974E-2</v>
      </c>
      <c r="Y93" s="379">
        <f t="shared" si="50"/>
        <v>1.5344729913083912E-2</v>
      </c>
      <c r="Z93" s="378"/>
      <c r="AA93" s="378"/>
      <c r="AB93" s="378"/>
      <c r="AC93" s="378"/>
      <c r="AD93" s="378"/>
      <c r="AE93" s="378"/>
    </row>
    <row r="94" spans="2:31" collapsed="1" x14ac:dyDescent="0.3">
      <c r="D94" s="239"/>
      <c r="E94" s="239"/>
      <c r="F94" s="239"/>
      <c r="G94" s="239"/>
      <c r="H94" s="239"/>
      <c r="I94" s="239"/>
      <c r="J94" s="239"/>
      <c r="K94" s="239"/>
      <c r="L94" s="239"/>
      <c r="M94" s="239"/>
      <c r="N94" s="239"/>
    </row>
    <row r="95" spans="2:31" x14ac:dyDescent="0.3">
      <c r="B95" s="211" t="s">
        <v>678</v>
      </c>
      <c r="D95" s="239"/>
      <c r="E95" s="239"/>
      <c r="F95" s="239"/>
      <c r="G95" s="239"/>
      <c r="H95" s="239"/>
      <c r="I95" s="239"/>
      <c r="J95" s="239"/>
      <c r="K95" s="239"/>
      <c r="L95" s="239"/>
      <c r="M95" s="239"/>
      <c r="N95" s="239"/>
      <c r="T95" s="230">
        <v>748000</v>
      </c>
      <c r="U95" s="230">
        <v>748000</v>
      </c>
      <c r="V95" s="230">
        <v>745000</v>
      </c>
      <c r="X95" s="230">
        <v>900000</v>
      </c>
      <c r="Z95" s="230">
        <v>900000</v>
      </c>
      <c r="AB95" s="230"/>
      <c r="AC95" s="230">
        <v>900000</v>
      </c>
      <c r="AD95" s="230">
        <v>515384</v>
      </c>
    </row>
    <row r="96" spans="2:31" x14ac:dyDescent="0.3">
      <c r="B96" s="211" t="s">
        <v>679</v>
      </c>
      <c r="D96" s="239"/>
      <c r="E96" s="239"/>
      <c r="F96" s="239"/>
      <c r="G96" s="239"/>
      <c r="H96" s="239"/>
      <c r="I96" s="239"/>
      <c r="J96" s="239"/>
      <c r="K96" s="239"/>
      <c r="L96" s="239"/>
      <c r="M96" s="239"/>
      <c r="N96" s="239"/>
      <c r="T96" s="230">
        <v>15000</v>
      </c>
      <c r="U96" s="230">
        <v>15000</v>
      </c>
      <c r="V96" s="230">
        <v>16000</v>
      </c>
      <c r="X96" s="230">
        <v>20000</v>
      </c>
      <c r="Z96" s="230">
        <v>20000</v>
      </c>
      <c r="AB96" s="230"/>
      <c r="AC96" s="230">
        <v>12000</v>
      </c>
      <c r="AD96" s="230">
        <v>11358</v>
      </c>
    </row>
    <row r="97" spans="2:31" x14ac:dyDescent="0.3">
      <c r="B97" s="211" t="s">
        <v>680</v>
      </c>
      <c r="D97" s="239"/>
      <c r="E97" s="239"/>
      <c r="F97" s="239"/>
      <c r="G97" s="239"/>
      <c r="H97" s="239"/>
      <c r="I97" s="239"/>
      <c r="J97" s="239"/>
      <c r="K97" s="239"/>
      <c r="L97" s="239"/>
      <c r="M97" s="239"/>
      <c r="N97" s="239"/>
      <c r="T97" s="230">
        <v>11000</v>
      </c>
      <c r="U97" s="230"/>
      <c r="V97" s="230">
        <v>4000</v>
      </c>
      <c r="X97" s="230">
        <v>10000</v>
      </c>
      <c r="Z97" s="230">
        <v>12000</v>
      </c>
      <c r="AB97" s="230"/>
      <c r="AC97" s="230">
        <v>8000</v>
      </c>
      <c r="AD97" s="230"/>
    </row>
    <row r="98" spans="2:31" x14ac:dyDescent="0.3">
      <c r="B98" s="211" t="s">
        <v>636</v>
      </c>
      <c r="D98" s="239"/>
      <c r="E98" s="239"/>
      <c r="F98" s="239"/>
      <c r="G98" s="239"/>
      <c r="H98" s="239"/>
      <c r="I98" s="239"/>
      <c r="J98" s="239"/>
      <c r="K98" s="239"/>
      <c r="L98" s="239"/>
      <c r="M98" s="239"/>
      <c r="N98" s="239"/>
    </row>
    <row r="100" spans="2:31" x14ac:dyDescent="0.3">
      <c r="B100" s="211" t="s">
        <v>637</v>
      </c>
    </row>
    <row r="101" spans="2:31" x14ac:dyDescent="0.3">
      <c r="B101" s="211" t="s">
        <v>638</v>
      </c>
    </row>
    <row r="103" spans="2:31" s="372" customFormat="1" x14ac:dyDescent="0.3"/>
    <row r="104" spans="2:31" x14ac:dyDescent="0.3">
      <c r="B104" s="320" t="s">
        <v>643</v>
      </c>
      <c r="C104" s="320"/>
    </row>
    <row r="105" spans="2:31" x14ac:dyDescent="0.3">
      <c r="C105" s="286">
        <v>1955</v>
      </c>
      <c r="D105" s="286">
        <v>1954</v>
      </c>
      <c r="E105" s="286">
        <v>1953</v>
      </c>
      <c r="F105" s="286">
        <v>1952</v>
      </c>
      <c r="G105" s="286">
        <v>1951</v>
      </c>
      <c r="H105" s="286">
        <v>1950</v>
      </c>
      <c r="I105" s="286">
        <v>1949</v>
      </c>
      <c r="J105" s="286">
        <v>1948</v>
      </c>
      <c r="K105" s="286">
        <v>1947</v>
      </c>
      <c r="L105" s="286">
        <v>1946</v>
      </c>
      <c r="M105" s="286">
        <v>1945</v>
      </c>
      <c r="N105" s="286"/>
      <c r="O105" s="286">
        <v>1944</v>
      </c>
      <c r="P105" s="286">
        <v>1943</v>
      </c>
      <c r="Q105" s="286">
        <v>1942</v>
      </c>
      <c r="R105" s="286">
        <v>1941</v>
      </c>
      <c r="S105" s="286">
        <v>1940</v>
      </c>
      <c r="T105" s="286">
        <v>1939</v>
      </c>
      <c r="U105" s="286">
        <v>1938</v>
      </c>
      <c r="V105" s="286">
        <v>1937</v>
      </c>
      <c r="W105" s="286">
        <v>1936</v>
      </c>
      <c r="X105" s="286">
        <v>1935</v>
      </c>
      <c r="Y105" s="286">
        <v>1934</v>
      </c>
      <c r="Z105" s="286">
        <v>1933</v>
      </c>
      <c r="AA105" s="286">
        <v>1932</v>
      </c>
      <c r="AB105" s="286">
        <v>1931</v>
      </c>
      <c r="AC105" s="286">
        <v>1930</v>
      </c>
      <c r="AD105" s="286">
        <v>1929</v>
      </c>
      <c r="AE105" s="286">
        <v>1928</v>
      </c>
    </row>
    <row r="106" spans="2:31" x14ac:dyDescent="0.3">
      <c r="B106" s="211" t="s">
        <v>627</v>
      </c>
      <c r="C106" s="250">
        <v>21226735</v>
      </c>
      <c r="D106" s="250">
        <v>21226735</v>
      </c>
      <c r="E106" s="250">
        <v>27462947</v>
      </c>
      <c r="F106" s="250">
        <v>19748795</v>
      </c>
      <c r="G106" s="250">
        <v>30861525</v>
      </c>
      <c r="H106" s="250">
        <v>26158400</v>
      </c>
      <c r="I106" s="250">
        <v>22446462</v>
      </c>
      <c r="J106" s="250">
        <v>27287655</v>
      </c>
      <c r="K106" s="250">
        <v>20537587</v>
      </c>
      <c r="L106" s="250">
        <v>14997344</v>
      </c>
      <c r="M106" s="250">
        <v>11621564</v>
      </c>
      <c r="N106" s="250"/>
      <c r="O106" s="250">
        <v>12044508</v>
      </c>
      <c r="P106" s="250">
        <v>12408566</v>
      </c>
      <c r="Q106" s="250">
        <v>11949016</v>
      </c>
      <c r="R106" s="250">
        <v>7796265</v>
      </c>
      <c r="S106" s="250">
        <v>7328776</v>
      </c>
      <c r="T106" s="250">
        <v>7306908</v>
      </c>
      <c r="U106" s="250">
        <v>3889170</v>
      </c>
      <c r="V106" s="250">
        <v>8470279</v>
      </c>
      <c r="W106" s="250">
        <v>6985353</v>
      </c>
      <c r="X106" s="383"/>
      <c r="Y106" s="250">
        <v>3937125</v>
      </c>
      <c r="Z106" s="250"/>
      <c r="AA106" s="250"/>
      <c r="AB106" s="250">
        <v>2110819</v>
      </c>
      <c r="AC106" s="250"/>
      <c r="AD106" s="250"/>
      <c r="AE106" s="250"/>
    </row>
    <row r="107" spans="2:31" x14ac:dyDescent="0.3">
      <c r="B107" s="211" t="s">
        <v>99</v>
      </c>
      <c r="C107" s="239">
        <v>-372962</v>
      </c>
      <c r="D107" s="239">
        <v>-372962</v>
      </c>
      <c r="E107" s="239">
        <v>481819</v>
      </c>
      <c r="F107" s="239">
        <v>-80410</v>
      </c>
      <c r="G107" s="239">
        <v>1836481</v>
      </c>
      <c r="H107" s="239">
        <v>1702083</v>
      </c>
      <c r="I107" s="239">
        <v>1312016</v>
      </c>
      <c r="J107" s="239">
        <v>2858020</v>
      </c>
      <c r="K107" s="239">
        <v>1948588</v>
      </c>
      <c r="L107" s="239">
        <v>951507</v>
      </c>
      <c r="M107" s="239">
        <v>328013</v>
      </c>
      <c r="N107" s="239"/>
      <c r="O107" s="239">
        <v>278335</v>
      </c>
      <c r="P107" s="239">
        <v>249843</v>
      </c>
      <c r="Q107" s="239">
        <v>378497</v>
      </c>
      <c r="R107" s="239">
        <v>259287</v>
      </c>
      <c r="S107" s="239">
        <v>245981</v>
      </c>
      <c r="T107" s="239">
        <v>229981</v>
      </c>
      <c r="U107" s="239">
        <v>-18654</v>
      </c>
      <c r="V107" s="239">
        <v>177259</v>
      </c>
      <c r="W107" s="239">
        <v>253325</v>
      </c>
      <c r="X107" s="239">
        <v>-315</v>
      </c>
      <c r="Y107" s="239">
        <v>54205</v>
      </c>
      <c r="Z107" s="239"/>
      <c r="AA107" s="239"/>
      <c r="AB107" s="239">
        <v>-12841</v>
      </c>
      <c r="AC107" s="239">
        <v>-27881</v>
      </c>
      <c r="AD107" s="239">
        <v>52000</v>
      </c>
      <c r="AE107" s="239">
        <v>-100187</v>
      </c>
    </row>
    <row r="108" spans="2:31" x14ac:dyDescent="0.3">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row>
    <row r="109" spans="2:31" x14ac:dyDescent="0.3">
      <c r="B109" s="211" t="s">
        <v>646</v>
      </c>
      <c r="C109" s="239"/>
      <c r="D109" s="239">
        <v>100000</v>
      </c>
      <c r="E109" s="239">
        <v>100000</v>
      </c>
      <c r="F109" s="239">
        <v>100000</v>
      </c>
      <c r="G109" s="239">
        <v>100000</v>
      </c>
      <c r="H109" s="239">
        <v>100000</v>
      </c>
      <c r="I109" s="239">
        <v>100000</v>
      </c>
      <c r="J109" s="239">
        <v>25000</v>
      </c>
      <c r="K109" s="239">
        <v>12500</v>
      </c>
      <c r="L109" s="239">
        <v>12500</v>
      </c>
      <c r="M109" s="239">
        <v>12500</v>
      </c>
      <c r="N109" s="239"/>
      <c r="O109" s="239">
        <v>12500</v>
      </c>
      <c r="P109" s="239">
        <v>12500</v>
      </c>
      <c r="Q109" s="239">
        <v>12500</v>
      </c>
      <c r="R109" s="239">
        <v>12500</v>
      </c>
      <c r="S109" s="239">
        <v>12500</v>
      </c>
      <c r="T109" s="239">
        <v>12500</v>
      </c>
      <c r="U109" s="239">
        <v>12500</v>
      </c>
      <c r="V109" s="239">
        <v>12500</v>
      </c>
      <c r="W109" s="239">
        <v>12500</v>
      </c>
      <c r="X109" s="239">
        <v>12500</v>
      </c>
      <c r="Y109" s="239">
        <v>15000</v>
      </c>
      <c r="Z109" s="239"/>
      <c r="AA109" s="239"/>
      <c r="AB109" s="239">
        <v>16000</v>
      </c>
      <c r="AC109" s="239">
        <v>16000</v>
      </c>
      <c r="AD109" s="239">
        <v>16000</v>
      </c>
      <c r="AE109" s="239"/>
    </row>
    <row r="110" spans="2:31" x14ac:dyDescent="0.3">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row>
    <row r="111" spans="2:31" x14ac:dyDescent="0.3">
      <c r="B111" s="211" t="s">
        <v>239</v>
      </c>
      <c r="C111" s="239"/>
      <c r="D111" s="239">
        <v>4575496</v>
      </c>
      <c r="E111" s="239">
        <v>4779209</v>
      </c>
      <c r="F111" s="239">
        <v>5153195</v>
      </c>
      <c r="G111" s="239">
        <v>5777935</v>
      </c>
      <c r="H111" s="239">
        <v>4824163</v>
      </c>
      <c r="I111" s="239">
        <v>4442207</v>
      </c>
      <c r="J111" s="239">
        <v>5059483</v>
      </c>
      <c r="K111" s="239">
        <v>3973594</v>
      </c>
      <c r="L111" s="239">
        <v>2749758</v>
      </c>
      <c r="M111" s="239">
        <v>2408465</v>
      </c>
      <c r="N111" s="239"/>
      <c r="O111" s="384" t="s">
        <v>650</v>
      </c>
      <c r="P111" s="384" t="s">
        <v>650</v>
      </c>
      <c r="Q111" s="384" t="s">
        <v>650</v>
      </c>
      <c r="R111" s="384" t="s">
        <v>650</v>
      </c>
      <c r="S111" s="384" t="s">
        <v>650</v>
      </c>
      <c r="T111" s="384" t="s">
        <v>650</v>
      </c>
      <c r="U111" s="384" t="s">
        <v>650</v>
      </c>
      <c r="V111" s="384" t="s">
        <v>650</v>
      </c>
      <c r="W111" s="384" t="s">
        <v>650</v>
      </c>
      <c r="X111" s="239">
        <v>788643</v>
      </c>
      <c r="Y111" s="239">
        <v>930705</v>
      </c>
      <c r="Z111" s="239">
        <v>1005360</v>
      </c>
      <c r="AA111" s="239"/>
      <c r="AB111" s="239">
        <v>1996451</v>
      </c>
      <c r="AC111" s="239">
        <v>1105670</v>
      </c>
      <c r="AD111" s="239">
        <v>1169389</v>
      </c>
      <c r="AE111" s="239"/>
    </row>
    <row r="112" spans="2:31" x14ac:dyDescent="0.3">
      <c r="B112" s="211" t="s">
        <v>629</v>
      </c>
      <c r="C112" s="239"/>
      <c r="D112" s="239">
        <v>6105983</v>
      </c>
      <c r="E112" s="239">
        <v>6415460</v>
      </c>
      <c r="F112" s="239">
        <v>6255812</v>
      </c>
      <c r="G112" s="239">
        <v>6236446</v>
      </c>
      <c r="H112" s="239">
        <v>5934693</v>
      </c>
      <c r="I112" s="239">
        <v>5278853</v>
      </c>
      <c r="J112" s="239">
        <v>3904320</v>
      </c>
      <c r="K112" s="239">
        <v>2221622</v>
      </c>
      <c r="L112" s="239">
        <v>1809512</v>
      </c>
      <c r="M112" s="239">
        <v>1249768</v>
      </c>
      <c r="N112" s="239"/>
      <c r="O112" s="239">
        <v>2916556</v>
      </c>
      <c r="P112" s="239">
        <v>2889311</v>
      </c>
      <c r="Q112" s="239">
        <v>2870951</v>
      </c>
      <c r="R112" s="239">
        <v>2581473</v>
      </c>
      <c r="S112" s="239">
        <v>2676882</v>
      </c>
      <c r="T112" s="239">
        <v>2191140</v>
      </c>
      <c r="U112" s="239">
        <f>773983+1412890</f>
        <v>2186873</v>
      </c>
      <c r="V112" s="239">
        <f>773985+1391278</f>
        <v>2165263</v>
      </c>
      <c r="W112" s="239">
        <f>731011+1118468</f>
        <v>1849479</v>
      </c>
      <c r="X112" s="239">
        <f>731011+1025026</f>
        <v>1756037</v>
      </c>
      <c r="Y112" s="239">
        <f>729505+1236686</f>
        <v>1966191</v>
      </c>
      <c r="Z112" s="239">
        <f>692577+1326369</f>
        <v>2018946</v>
      </c>
      <c r="AA112" s="239"/>
      <c r="AB112" s="239">
        <f>686517+1448234</f>
        <v>2134751</v>
      </c>
      <c r="AC112" s="239">
        <f>686517+1459650</f>
        <v>2146167</v>
      </c>
      <c r="AD112" s="239">
        <f>686517+1488567</f>
        <v>2175084</v>
      </c>
      <c r="AE112" s="239"/>
    </row>
    <row r="113" spans="2:31" s="381" customFormat="1" hidden="1" outlineLevel="1" x14ac:dyDescent="0.3">
      <c r="B113" s="381" t="s">
        <v>631</v>
      </c>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row>
    <row r="114" spans="2:31" s="381" customFormat="1" hidden="1" outlineLevel="1" x14ac:dyDescent="0.3">
      <c r="B114" s="381" t="s">
        <v>169</v>
      </c>
      <c r="C114" s="382"/>
      <c r="D114" s="382">
        <v>2500000</v>
      </c>
      <c r="E114" s="382">
        <v>2500000</v>
      </c>
      <c r="F114" s="382">
        <v>2500000</v>
      </c>
      <c r="G114" s="382">
        <v>2500000</v>
      </c>
      <c r="H114" s="382">
        <v>2500000</v>
      </c>
      <c r="I114" s="382">
        <v>2500000</v>
      </c>
      <c r="J114" s="382">
        <v>2500000</v>
      </c>
      <c r="K114" s="382">
        <v>1250000</v>
      </c>
      <c r="L114" s="382">
        <v>1250000</v>
      </c>
      <c r="M114" s="382">
        <v>1250000</v>
      </c>
      <c r="N114" s="382"/>
      <c r="O114" s="382">
        <v>1250000</v>
      </c>
      <c r="P114" s="382">
        <v>1250000</v>
      </c>
      <c r="Q114" s="382">
        <v>1250000</v>
      </c>
      <c r="R114" s="382">
        <v>1250000</v>
      </c>
      <c r="S114" s="382">
        <v>1250000</v>
      </c>
      <c r="T114" s="382">
        <v>1250000</v>
      </c>
      <c r="U114" s="382">
        <v>1250000</v>
      </c>
      <c r="V114" s="382">
        <v>1250000</v>
      </c>
      <c r="W114" s="382">
        <v>1250000</v>
      </c>
      <c r="X114" s="382">
        <v>1250000</v>
      </c>
      <c r="Y114" s="382">
        <v>1500000</v>
      </c>
      <c r="Z114" s="382">
        <v>1500000</v>
      </c>
      <c r="AA114" s="382"/>
      <c r="AB114" s="382">
        <v>1600000</v>
      </c>
      <c r="AC114" s="382">
        <v>1600000</v>
      </c>
      <c r="AD114" s="382">
        <v>1600000</v>
      </c>
      <c r="AE114" s="382"/>
    </row>
    <row r="115" spans="2:31" s="381" customFormat="1" hidden="1" outlineLevel="1" x14ac:dyDescent="0.3">
      <c r="B115" s="381" t="s">
        <v>534</v>
      </c>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row>
    <row r="116" spans="2:31" s="381" customFormat="1" hidden="1" outlineLevel="1" x14ac:dyDescent="0.3">
      <c r="B116" s="381" t="s">
        <v>632</v>
      </c>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row>
    <row r="117" spans="2:31" s="381" customFormat="1" hidden="1" outlineLevel="1" x14ac:dyDescent="0.3">
      <c r="B117" s="381" t="s">
        <v>633</v>
      </c>
      <c r="C117" s="382"/>
      <c r="D117" s="382">
        <v>215088</v>
      </c>
      <c r="E117" s="382">
        <v>215088</v>
      </c>
      <c r="F117" s="382">
        <v>215088</v>
      </c>
      <c r="G117" s="382">
        <v>215087</v>
      </c>
      <c r="H117" s="382">
        <v>215088</v>
      </c>
      <c r="I117" s="382">
        <v>215088</v>
      </c>
      <c r="J117" s="382">
        <v>215088</v>
      </c>
      <c r="K117" s="382">
        <v>215088</v>
      </c>
      <c r="L117" s="382">
        <v>215088</v>
      </c>
      <c r="M117" s="382">
        <v>215088</v>
      </c>
      <c r="N117" s="382"/>
      <c r="O117" s="382">
        <v>207582</v>
      </c>
      <c r="P117" s="382">
        <v>97353</v>
      </c>
      <c r="Q117" s="382">
        <v>0</v>
      </c>
      <c r="R117" s="382">
        <v>0</v>
      </c>
      <c r="S117" s="382">
        <v>0</v>
      </c>
      <c r="T117" s="382">
        <v>0</v>
      </c>
      <c r="U117" s="382">
        <v>0</v>
      </c>
      <c r="V117" s="382">
        <v>0</v>
      </c>
      <c r="W117" s="382">
        <v>0</v>
      </c>
      <c r="X117" s="382">
        <v>0</v>
      </c>
      <c r="Y117" s="382">
        <v>0</v>
      </c>
      <c r="Z117" s="382">
        <v>0</v>
      </c>
      <c r="AA117" s="382"/>
      <c r="AB117" s="382">
        <v>0</v>
      </c>
      <c r="AC117" s="382"/>
      <c r="AD117" s="382"/>
      <c r="AE117" s="382"/>
    </row>
    <row r="118" spans="2:31" s="381" customFormat="1" hidden="1" outlineLevel="1" x14ac:dyDescent="0.3">
      <c r="B118" s="381" t="s">
        <v>634</v>
      </c>
      <c r="C118" s="382"/>
      <c r="D118" s="382">
        <v>8297203</v>
      </c>
      <c r="E118" s="382">
        <v>8774541</v>
      </c>
      <c r="F118" s="382">
        <v>8892722</v>
      </c>
      <c r="G118" s="382">
        <v>8252939</v>
      </c>
      <c r="H118" s="382">
        <v>7016458</v>
      </c>
      <c r="I118" s="382">
        <v>5914375</v>
      </c>
      <c r="J118" s="382">
        <v>5177359</v>
      </c>
      <c r="K118" s="382">
        <v>4131838</v>
      </c>
      <c r="L118" s="382">
        <v>2402000</v>
      </c>
      <c r="M118" s="382">
        <v>1700537</v>
      </c>
      <c r="N118" s="382"/>
      <c r="O118" s="382">
        <v>1530861</v>
      </c>
      <c r="P118" s="382">
        <v>1418586</v>
      </c>
      <c r="Q118" s="382">
        <v>1322095</v>
      </c>
      <c r="R118" s="382">
        <v>1105912</v>
      </c>
      <c r="S118" s="382">
        <v>1100006</v>
      </c>
      <c r="T118" s="382">
        <v>968610</v>
      </c>
      <c r="U118" s="382">
        <v>808729</v>
      </c>
      <c r="V118" s="382">
        <v>943317</v>
      </c>
      <c r="W118" s="382">
        <v>867630</v>
      </c>
      <c r="X118" s="382">
        <v>702887</v>
      </c>
      <c r="Y118" s="382">
        <v>572209</v>
      </c>
      <c r="Z118" s="382">
        <v>616321</v>
      </c>
      <c r="AA118" s="382"/>
      <c r="AB118" s="382">
        <v>689473</v>
      </c>
      <c r="AC118" s="382">
        <v>740338</v>
      </c>
      <c r="AD118" s="382">
        <v>825877</v>
      </c>
      <c r="AE118" s="382"/>
    </row>
    <row r="119" spans="2:31" collapsed="1" x14ac:dyDescent="0.3">
      <c r="B119" s="211" t="s">
        <v>676</v>
      </c>
      <c r="C119" s="239"/>
      <c r="D119" s="239">
        <f>SUM(D113:D118)</f>
        <v>11012291</v>
      </c>
      <c r="E119" s="239">
        <f t="shared" ref="E119" si="51">SUM(E113:E118)</f>
        <v>11489629</v>
      </c>
      <c r="F119" s="239">
        <f t="shared" ref="F119:G119" si="52">SUM(F113:F118)</f>
        <v>11607810</v>
      </c>
      <c r="G119" s="239">
        <f t="shared" si="52"/>
        <v>10968026</v>
      </c>
      <c r="H119" s="239">
        <f>SUM(H113:H118)</f>
        <v>9731546</v>
      </c>
      <c r="I119" s="239">
        <f>SUM(I113:I118)</f>
        <v>8629463</v>
      </c>
      <c r="J119" s="239">
        <f t="shared" ref="J119:K119" si="53">SUM(J113:J118)</f>
        <v>7892447</v>
      </c>
      <c r="K119" s="239">
        <f t="shared" si="53"/>
        <v>5596926</v>
      </c>
      <c r="L119" s="239">
        <f t="shared" ref="L119" si="54">SUM(L113:L118)</f>
        <v>3867088</v>
      </c>
      <c r="M119" s="239">
        <f t="shared" ref="M119" si="55">SUM(M113:M118)</f>
        <v>3165625</v>
      </c>
      <c r="N119" s="239"/>
      <c r="O119" s="239">
        <f t="shared" ref="O119" si="56">SUM(O113:O118)</f>
        <v>2988443</v>
      </c>
      <c r="P119" s="239">
        <f t="shared" ref="P119" si="57">SUM(P113:P118)</f>
        <v>2765939</v>
      </c>
      <c r="Q119" s="239">
        <f t="shared" ref="Q119" si="58">SUM(Q113:Q118)</f>
        <v>2572095</v>
      </c>
      <c r="R119" s="239">
        <f t="shared" ref="R119:S119" si="59">SUM(R113:R118)</f>
        <v>2355912</v>
      </c>
      <c r="S119" s="239">
        <f t="shared" si="59"/>
        <v>2350006</v>
      </c>
      <c r="T119" s="239">
        <f t="shared" ref="T119" si="60">SUM(T113:T118)</f>
        <v>2218610</v>
      </c>
      <c r="U119" s="239">
        <f t="shared" ref="U119" si="61">SUM(U113:U118)</f>
        <v>2058729</v>
      </c>
      <c r="V119" s="239">
        <f t="shared" ref="V119" si="62">SUM(V113:V118)</f>
        <v>2193317</v>
      </c>
      <c r="W119" s="239">
        <f t="shared" ref="W119" si="63">SUM(W113:W118)</f>
        <v>2117630</v>
      </c>
      <c r="X119" s="239">
        <f t="shared" ref="X119" si="64">SUM(X113:X118)</f>
        <v>1952887</v>
      </c>
      <c r="Y119" s="239">
        <f t="shared" ref="Y119:AB119" si="65">SUM(Y113:Y118)</f>
        <v>2072209</v>
      </c>
      <c r="Z119" s="239">
        <f t="shared" si="65"/>
        <v>2116321</v>
      </c>
      <c r="AA119" s="239"/>
      <c r="AB119" s="239">
        <f t="shared" si="65"/>
        <v>2289473</v>
      </c>
      <c r="AC119" s="239">
        <f t="shared" ref="AC119" si="66">SUM(AC113:AC118)</f>
        <v>2340338</v>
      </c>
      <c r="AD119" s="239">
        <f t="shared" ref="AD119" si="67">SUM(AD113:AD118)</f>
        <v>2425877</v>
      </c>
      <c r="AE119" s="239"/>
    </row>
    <row r="120" spans="2:31" x14ac:dyDescent="0.3">
      <c r="D120" s="239"/>
      <c r="E120" s="239"/>
      <c r="F120" s="239"/>
      <c r="G120" s="239"/>
      <c r="H120" s="239"/>
      <c r="I120" s="239"/>
      <c r="J120" s="239"/>
      <c r="K120" s="239"/>
      <c r="L120" s="239"/>
      <c r="M120" s="239"/>
      <c r="N120" s="239"/>
    </row>
    <row r="121" spans="2:31" x14ac:dyDescent="0.3">
      <c r="B121" s="211" t="s">
        <v>678</v>
      </c>
      <c r="D121" s="239"/>
      <c r="E121" s="239"/>
      <c r="F121" s="239"/>
      <c r="G121" s="239"/>
      <c r="H121" s="239"/>
      <c r="I121" s="239"/>
      <c r="J121" s="239"/>
      <c r="K121" s="239"/>
      <c r="L121" s="239"/>
      <c r="M121" s="239"/>
      <c r="N121" s="239"/>
      <c r="Y121" s="230">
        <v>79336</v>
      </c>
      <c r="AD121" s="230">
        <v>70386</v>
      </c>
    </row>
    <row r="122" spans="2:31" x14ac:dyDescent="0.3">
      <c r="B122" s="211" t="s">
        <v>679</v>
      </c>
      <c r="D122" s="239"/>
      <c r="E122" s="239"/>
      <c r="F122" s="239"/>
      <c r="G122" s="239"/>
      <c r="H122" s="239"/>
      <c r="I122" s="239"/>
      <c r="J122" s="239"/>
      <c r="K122" s="239"/>
      <c r="L122" s="239"/>
      <c r="M122" s="239"/>
      <c r="N122" s="239"/>
      <c r="Y122" s="230">
        <v>3226</v>
      </c>
      <c r="AD122" s="230">
        <v>3374</v>
      </c>
    </row>
    <row r="123" spans="2:31" x14ac:dyDescent="0.3">
      <c r="B123" s="211" t="s">
        <v>680</v>
      </c>
      <c r="D123" s="239"/>
      <c r="E123" s="239"/>
      <c r="F123" s="239"/>
      <c r="G123" s="239"/>
      <c r="H123" s="239"/>
      <c r="I123" s="239"/>
      <c r="J123" s="239"/>
      <c r="K123" s="239"/>
      <c r="L123" s="239"/>
      <c r="M123" s="239"/>
      <c r="N123" s="239"/>
    </row>
    <row r="124" spans="2:31" x14ac:dyDescent="0.3">
      <c r="B124" s="211" t="s">
        <v>636</v>
      </c>
      <c r="D124" s="239"/>
      <c r="E124" s="239"/>
      <c r="F124" s="239"/>
      <c r="G124" s="239"/>
      <c r="H124" s="239"/>
      <c r="I124" s="239"/>
      <c r="J124" s="239"/>
      <c r="K124" s="239"/>
      <c r="L124" s="239"/>
      <c r="M124" s="239"/>
      <c r="N124" s="239"/>
    </row>
    <row r="126" spans="2:31" x14ac:dyDescent="0.3">
      <c r="B126" s="211" t="s">
        <v>677</v>
      </c>
    </row>
  </sheetData>
  <pageMargins left="0.7" right="0.7" top="0.75" bottom="0.75" header="0.3" footer="0.3"/>
  <pageSetup orientation="portrait" r:id="rId1"/>
  <ignoredErrors>
    <ignoredError sqref="U92:W92 X92:AE92" formulaRange="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A60B-E23F-43CB-90D0-C4E8F518FE07}">
  <sheetPr>
    <tabColor theme="9" tint="0.59999389629810485"/>
  </sheetPr>
  <dimension ref="A1:H26"/>
  <sheetViews>
    <sheetView showGridLines="0" zoomScale="115" zoomScaleNormal="115" workbookViewId="0">
      <selection activeCell="K22" sqref="K22"/>
    </sheetView>
  </sheetViews>
  <sheetFormatPr defaultColWidth="9.109375" defaultRowHeight="15.6" x14ac:dyDescent="0.3"/>
  <cols>
    <col min="1" max="1" width="43.5546875" style="211" customWidth="1"/>
    <col min="2" max="2" width="9.88671875" style="211" bestFit="1" customWidth="1"/>
    <col min="3" max="3" width="11.33203125" style="211" bestFit="1" customWidth="1"/>
    <col min="4" max="16384" width="9.109375" style="211"/>
  </cols>
  <sheetData>
    <row r="1" spans="1:8" x14ac:dyDescent="0.3">
      <c r="A1" s="459" t="s">
        <v>1673</v>
      </c>
    </row>
    <row r="2" spans="1:8" x14ac:dyDescent="0.3">
      <c r="A2" s="152" t="s">
        <v>1711</v>
      </c>
    </row>
    <row r="3" spans="1:8" ht="8.25" customHeight="1" thickBot="1" x14ac:dyDescent="0.35"/>
    <row r="4" spans="1:8" x14ac:dyDescent="0.3">
      <c r="A4" s="453" t="s">
        <v>1712</v>
      </c>
      <c r="B4" s="1330">
        <v>22000</v>
      </c>
    </row>
    <row r="5" spans="1:8" x14ac:dyDescent="0.3">
      <c r="A5" s="214" t="s">
        <v>1710</v>
      </c>
      <c r="B5" s="260">
        <v>272200</v>
      </c>
    </row>
    <row r="6" spans="1:8" x14ac:dyDescent="0.3">
      <c r="A6" s="214" t="s">
        <v>1713</v>
      </c>
      <c r="B6" s="1325">
        <f>B4*1000000/B5</f>
        <v>80822.924320352686</v>
      </c>
      <c r="C6" s="1329"/>
    </row>
    <row r="7" spans="1:8" ht="4.5" customHeight="1" x14ac:dyDescent="0.3">
      <c r="A7" s="214"/>
      <c r="B7" s="223"/>
      <c r="C7" s="211" t="s">
        <v>176</v>
      </c>
    </row>
    <row r="8" spans="1:8" ht="4.5" customHeight="1" x14ac:dyDescent="0.3">
      <c r="A8" s="1155"/>
      <c r="B8" s="1279"/>
    </row>
    <row r="9" spans="1:8" ht="4.5" customHeight="1" x14ac:dyDescent="0.3">
      <c r="A9" s="214"/>
      <c r="B9" s="223"/>
    </row>
    <row r="10" spans="1:8" ht="18.600000000000001" x14ac:dyDescent="0.3">
      <c r="A10" s="214" t="s">
        <v>1714</v>
      </c>
      <c r="B10" s="1325">
        <v>52392</v>
      </c>
    </row>
    <row r="11" spans="1:8" x14ac:dyDescent="0.3">
      <c r="A11" s="214" t="s">
        <v>1716</v>
      </c>
      <c r="B11" s="2709">
        <f>B6/B10</f>
        <v>1.5426577401197261</v>
      </c>
    </row>
    <row r="12" spans="1:8" ht="4.5" customHeight="1" x14ac:dyDescent="0.3">
      <c r="A12" s="214"/>
      <c r="B12" s="223"/>
    </row>
    <row r="13" spans="1:8" ht="4.5" customHeight="1" x14ac:dyDescent="0.3">
      <c r="A13" s="1155"/>
      <c r="B13" s="1279"/>
      <c r="H13" s="211" t="s">
        <v>176</v>
      </c>
    </row>
    <row r="14" spans="1:8" ht="4.5" customHeight="1" x14ac:dyDescent="0.3">
      <c r="A14" s="214"/>
      <c r="B14" s="223"/>
    </row>
    <row r="15" spans="1:8" x14ac:dyDescent="0.3">
      <c r="A15" s="214" t="s">
        <v>1715</v>
      </c>
      <c r="B15" s="1325">
        <v>14000</v>
      </c>
    </row>
    <row r="16" spans="1:8" ht="18.600000000000001" x14ac:dyDescent="0.3">
      <c r="A16" s="214" t="s">
        <v>1717</v>
      </c>
      <c r="B16" s="1325">
        <f>B4/B11</f>
        <v>14261.102399999998</v>
      </c>
    </row>
    <row r="17" spans="1:4" ht="18.600000000000001" x14ac:dyDescent="0.3">
      <c r="A17" s="214" t="s">
        <v>3753</v>
      </c>
      <c r="B17" s="2709">
        <f>B16/B15</f>
        <v>1.0186501714285712</v>
      </c>
    </row>
    <row r="18" spans="1:4" ht="4.5" customHeight="1" x14ac:dyDescent="0.3">
      <c r="A18" s="214"/>
      <c r="B18" s="223"/>
    </row>
    <row r="19" spans="1:4" ht="4.5" customHeight="1" x14ac:dyDescent="0.3">
      <c r="A19" s="1155"/>
      <c r="B19" s="1279"/>
    </row>
    <row r="20" spans="1:4" ht="4.5" customHeight="1" x14ac:dyDescent="0.3">
      <c r="A20" s="214"/>
      <c r="B20" s="223"/>
    </row>
    <row r="21" spans="1:4" x14ac:dyDescent="0.3">
      <c r="A21" s="6" t="s">
        <v>1398</v>
      </c>
      <c r="B21" s="30"/>
    </row>
    <row r="22" spans="1:4" ht="45" customHeight="1" x14ac:dyDescent="0.3">
      <c r="A22" s="2799" t="s">
        <v>3752</v>
      </c>
      <c r="B22" s="2801"/>
      <c r="C22" s="211" t="s">
        <v>176</v>
      </c>
      <c r="D22" s="211" t="s">
        <v>176</v>
      </c>
    </row>
    <row r="23" spans="1:4" x14ac:dyDescent="0.3">
      <c r="A23" s="2915" t="s">
        <v>1718</v>
      </c>
      <c r="B23" s="2916"/>
      <c r="D23" s="211" t="s">
        <v>176</v>
      </c>
    </row>
    <row r="24" spans="1:4" ht="28.8" customHeight="1" thickBot="1" x14ac:dyDescent="0.35">
      <c r="A24" s="2912" t="s">
        <v>3754</v>
      </c>
      <c r="B24" s="2914"/>
    </row>
    <row r="25" spans="1:4" ht="33.75" customHeight="1" x14ac:dyDescent="0.3">
      <c r="A25" s="2805" t="s">
        <v>2197</v>
      </c>
      <c r="B25" s="2805"/>
    </row>
    <row r="26" spans="1:4" x14ac:dyDescent="0.3">
      <c r="A26" s="2782"/>
    </row>
  </sheetData>
  <mergeCells count="4">
    <mergeCell ref="A23:B23"/>
    <mergeCell ref="A25:B25"/>
    <mergeCell ref="A22:B22"/>
    <mergeCell ref="A24:B24"/>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C17E7-108E-4F50-8BAE-6B2EBDB216A0}">
  <sheetPr>
    <tabColor theme="9" tint="0.59999389629810485"/>
  </sheetPr>
  <dimension ref="A1:F14"/>
  <sheetViews>
    <sheetView showGridLines="0" zoomScaleNormal="100" workbookViewId="0">
      <selection activeCell="M23" sqref="M23"/>
    </sheetView>
  </sheetViews>
  <sheetFormatPr defaultColWidth="9.109375" defaultRowHeight="15.6" x14ac:dyDescent="0.3"/>
  <cols>
    <col min="1" max="1" width="49.88671875" style="211" customWidth="1"/>
    <col min="2" max="2" width="9.109375" style="211"/>
    <col min="3" max="3" width="7.109375" style="211" bestFit="1" customWidth="1"/>
    <col min="4" max="4" width="1.88671875" style="211" customWidth="1"/>
    <col min="5" max="5" width="9.109375" style="211"/>
    <col min="6" max="6" width="7.109375" style="211" bestFit="1" customWidth="1"/>
    <col min="7" max="16384" width="9.109375" style="211"/>
  </cols>
  <sheetData>
    <row r="1" spans="1:6" x14ac:dyDescent="0.3">
      <c r="A1" s="459" t="s">
        <v>1673</v>
      </c>
    </row>
    <row r="2" spans="1:6" x14ac:dyDescent="0.3">
      <c r="A2" s="152" t="s">
        <v>3093</v>
      </c>
    </row>
    <row r="3" spans="1:6" ht="8.25" customHeight="1" thickBot="1" x14ac:dyDescent="0.35"/>
    <row r="4" spans="1:6" x14ac:dyDescent="0.3">
      <c r="A4" s="212" t="s">
        <v>3092</v>
      </c>
      <c r="B4" s="712">
        <v>1998</v>
      </c>
      <c r="C4" s="712"/>
      <c r="D4" s="712"/>
      <c r="E4" s="712">
        <v>1997</v>
      </c>
      <c r="F4" s="389"/>
    </row>
    <row r="5" spans="1:6" x14ac:dyDescent="0.3">
      <c r="A5" s="214" t="s">
        <v>3091</v>
      </c>
      <c r="B5" s="2168">
        <v>2528</v>
      </c>
      <c r="C5" s="2445">
        <f t="shared" ref="C5:C11" si="0">B5/$B$11</f>
        <v>0.11898710345476796</v>
      </c>
      <c r="D5" s="2445"/>
      <c r="E5" s="2168">
        <v>6490</v>
      </c>
      <c r="F5" s="1953">
        <f t="shared" ref="F5:F11" si="1">E5/$E$11</f>
        <v>0.63021946008933771</v>
      </c>
    </row>
    <row r="6" spans="1:6" x14ac:dyDescent="0.3">
      <c r="A6" s="214" t="s">
        <v>3090</v>
      </c>
      <c r="B6" s="1622">
        <v>9647</v>
      </c>
      <c r="C6" s="2445">
        <f t="shared" si="0"/>
        <v>0.45406194107126047</v>
      </c>
      <c r="D6" s="2445"/>
      <c r="E6" s="1622">
        <v>2209</v>
      </c>
      <c r="F6" s="1953">
        <f t="shared" si="1"/>
        <v>0.2145076713925034</v>
      </c>
    </row>
    <row r="7" spans="1:6" x14ac:dyDescent="0.3">
      <c r="A7" s="214" t="s">
        <v>3089</v>
      </c>
      <c r="B7" s="1622">
        <v>2864</v>
      </c>
      <c r="C7" s="2445">
        <f t="shared" si="0"/>
        <v>0.13480184505318649</v>
      </c>
      <c r="D7" s="2445"/>
      <c r="E7" s="1622">
        <v>0</v>
      </c>
      <c r="F7" s="1953">
        <f t="shared" si="1"/>
        <v>0</v>
      </c>
    </row>
    <row r="8" spans="1:6" x14ac:dyDescent="0.3">
      <c r="A8" s="214" t="s">
        <v>3088</v>
      </c>
      <c r="B8" s="1622">
        <v>4609</v>
      </c>
      <c r="C8" s="2445">
        <f t="shared" si="0"/>
        <v>0.21693495246163985</v>
      </c>
      <c r="D8" s="2445"/>
      <c r="E8" s="1622">
        <v>35</v>
      </c>
      <c r="F8" s="1953">
        <f t="shared" si="1"/>
        <v>3.3987181977082927E-3</v>
      </c>
    </row>
    <row r="9" spans="1:6" x14ac:dyDescent="0.3">
      <c r="A9" s="214" t="s">
        <v>3087</v>
      </c>
      <c r="B9" s="1622">
        <v>355</v>
      </c>
      <c r="C9" s="2445">
        <f t="shared" si="0"/>
        <v>1.6709027581662431E-2</v>
      </c>
      <c r="D9" s="2445"/>
      <c r="E9" s="1622">
        <v>1280</v>
      </c>
      <c r="F9" s="1953">
        <f t="shared" si="1"/>
        <v>0.12429597980190328</v>
      </c>
    </row>
    <row r="10" spans="1:6" x14ac:dyDescent="0.3">
      <c r="A10" s="214" t="s">
        <v>3755</v>
      </c>
      <c r="B10" s="1622">
        <v>1243</v>
      </c>
      <c r="C10" s="2445">
        <f t="shared" si="0"/>
        <v>5.8505130377482818E-2</v>
      </c>
      <c r="D10" s="2445"/>
      <c r="E10" s="1622">
        <v>284</v>
      </c>
      <c r="F10" s="1953">
        <f t="shared" si="1"/>
        <v>2.7578170518547291E-2</v>
      </c>
    </row>
    <row r="11" spans="1:6" x14ac:dyDescent="0.3">
      <c r="A11" s="214" t="s">
        <v>3</v>
      </c>
      <c r="B11" s="1345">
        <f>SUM(B5:B10)</f>
        <v>21246</v>
      </c>
      <c r="C11" s="2447">
        <f t="shared" si="0"/>
        <v>1</v>
      </c>
      <c r="D11" s="2445"/>
      <c r="E11" s="1345">
        <f>SUM(E5:E10)</f>
        <v>10298</v>
      </c>
      <c r="F11" s="2446">
        <f t="shared" si="1"/>
        <v>1</v>
      </c>
    </row>
    <row r="12" spans="1:6" ht="9.75" customHeight="1" x14ac:dyDescent="0.3">
      <c r="A12" s="214"/>
      <c r="B12" s="2168"/>
      <c r="C12" s="2445"/>
      <c r="D12" s="2445"/>
      <c r="E12" s="2168"/>
      <c r="F12" s="1953"/>
    </row>
    <row r="13" spans="1:6" ht="16.2" thickBot="1" x14ac:dyDescent="0.35">
      <c r="A13" s="224" t="s">
        <v>2899</v>
      </c>
      <c r="B13" s="520"/>
      <c r="C13" s="2444"/>
      <c r="D13" s="2444"/>
      <c r="E13" s="520"/>
      <c r="F13" s="2443"/>
    </row>
    <row r="14" spans="1:6" x14ac:dyDescent="0.3">
      <c r="A14" s="12" t="s">
        <v>2197</v>
      </c>
    </row>
  </sheetData>
  <pageMargins left="0.7" right="0.7" top="0.75" bottom="0.75" header="0.3" footer="0.3"/>
  <ignoredErrors>
    <ignoredError sqref="B11:E11" formulaRange="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EAF11-5789-4A7D-9076-4D60DDC22FB9}">
  <sheetPr codeName="Sheet66">
    <tabColor theme="9" tint="0.59999389629810485"/>
  </sheetPr>
  <dimension ref="A1:E36"/>
  <sheetViews>
    <sheetView topLeftCell="A17" workbookViewId="0">
      <selection activeCell="T36" sqref="T36"/>
    </sheetView>
  </sheetViews>
  <sheetFormatPr defaultColWidth="8.6640625" defaultRowHeight="13.8" x14ac:dyDescent="0.25"/>
  <cols>
    <col min="1" max="1" width="20.5546875" style="1" customWidth="1"/>
    <col min="2" max="2" width="7.88671875" style="1" bestFit="1" customWidth="1"/>
    <col min="3" max="3" width="11.109375" style="1" bestFit="1" customWidth="1"/>
    <col min="4" max="4" width="13.88671875" style="1" bestFit="1" customWidth="1"/>
    <col min="5" max="5" width="11.109375" style="1" bestFit="1" customWidth="1"/>
    <col min="6" max="16384" width="8.6640625" style="1"/>
  </cols>
  <sheetData>
    <row r="1" spans="1:5" x14ac:dyDescent="0.25">
      <c r="A1" s="1" t="s">
        <v>1049</v>
      </c>
      <c r="C1" s="14">
        <f>C7-C4</f>
        <v>428</v>
      </c>
      <c r="D1" s="14">
        <f t="shared" ref="D1:E1" si="0">D7-D4</f>
        <v>-681</v>
      </c>
      <c r="E1" s="14">
        <f t="shared" si="0"/>
        <v>-253</v>
      </c>
    </row>
    <row r="3" spans="1:5" x14ac:dyDescent="0.25">
      <c r="C3" s="1" t="s">
        <v>1017</v>
      </c>
      <c r="D3" s="1" t="s">
        <v>1050</v>
      </c>
      <c r="E3" s="1" t="s">
        <v>1051</v>
      </c>
    </row>
    <row r="4" spans="1:5" x14ac:dyDescent="0.25">
      <c r="A4" s="196">
        <v>36160</v>
      </c>
      <c r="C4" s="13">
        <v>10897</v>
      </c>
      <c r="D4" s="13">
        <v>28864</v>
      </c>
      <c r="E4" s="13">
        <v>39761</v>
      </c>
    </row>
    <row r="5" spans="1:5" x14ac:dyDescent="0.25">
      <c r="C5" s="13"/>
      <c r="D5" s="13"/>
      <c r="E5" s="13"/>
    </row>
    <row r="6" spans="1:5" x14ac:dyDescent="0.25">
      <c r="C6" s="13"/>
      <c r="D6" s="13"/>
      <c r="E6" s="13"/>
    </row>
    <row r="7" spans="1:5" x14ac:dyDescent="0.25">
      <c r="A7" s="196">
        <v>36525</v>
      </c>
      <c r="C7" s="13">
        <v>11325</v>
      </c>
      <c r="D7" s="13">
        <v>28183</v>
      </c>
      <c r="E7" s="13">
        <v>39508</v>
      </c>
    </row>
    <row r="8" spans="1:5" x14ac:dyDescent="0.25">
      <c r="C8" s="13"/>
      <c r="D8" s="13"/>
      <c r="E8" s="13"/>
    </row>
    <row r="9" spans="1:5" x14ac:dyDescent="0.25">
      <c r="C9" s="13"/>
      <c r="D9" s="13"/>
      <c r="E9" s="13"/>
    </row>
    <row r="10" spans="1:5" x14ac:dyDescent="0.25">
      <c r="A10" s="1" t="s">
        <v>1052</v>
      </c>
      <c r="B10" s="13">
        <v>1507</v>
      </c>
      <c r="C10" s="13"/>
      <c r="D10" s="13"/>
      <c r="E10" s="13"/>
    </row>
    <row r="11" spans="1:5" x14ac:dyDescent="0.25">
      <c r="A11" s="1" t="s">
        <v>1053</v>
      </c>
      <c r="B11" s="13">
        <v>-77</v>
      </c>
      <c r="C11" s="13"/>
      <c r="D11" s="13"/>
      <c r="E11" s="13"/>
    </row>
    <row r="12" spans="1:5" x14ac:dyDescent="0.25">
      <c r="A12" s="1" t="s">
        <v>1054</v>
      </c>
      <c r="B12" s="13">
        <f>B10+B11</f>
        <v>1430</v>
      </c>
      <c r="C12" s="13"/>
      <c r="D12" s="13"/>
      <c r="E12" s="13"/>
    </row>
    <row r="13" spans="1:5" x14ac:dyDescent="0.25">
      <c r="C13" s="13"/>
      <c r="D13" s="13"/>
      <c r="E13" s="13"/>
    </row>
    <row r="14" spans="1:5" x14ac:dyDescent="0.25">
      <c r="C14" s="13"/>
      <c r="D14" s="13"/>
      <c r="E14" s="13"/>
    </row>
    <row r="15" spans="1:5" x14ac:dyDescent="0.25">
      <c r="A15" s="1" t="s">
        <v>1055</v>
      </c>
      <c r="C15" s="13"/>
      <c r="D15" s="13">
        <f>D7-D4</f>
        <v>-681</v>
      </c>
      <c r="E15" s="13"/>
    </row>
    <row r="16" spans="1:5" x14ac:dyDescent="0.25">
      <c r="A16" s="1" t="s">
        <v>1056</v>
      </c>
      <c r="C16" s="13"/>
      <c r="D16" s="13">
        <f>B12</f>
        <v>1430</v>
      </c>
      <c r="E16" s="13"/>
    </row>
    <row r="17" spans="1:5" x14ac:dyDescent="0.25">
      <c r="A17" s="1" t="s">
        <v>1057</v>
      </c>
      <c r="D17" s="197">
        <f>D15+D16</f>
        <v>749</v>
      </c>
    </row>
    <row r="20" spans="1:5" x14ac:dyDescent="0.25">
      <c r="A20" s="1" t="s">
        <v>1058</v>
      </c>
      <c r="E20" s="14">
        <f>E7-E4</f>
        <v>-253</v>
      </c>
    </row>
    <row r="21" spans="1:5" x14ac:dyDescent="0.25">
      <c r="A21" s="1" t="s">
        <v>1059</v>
      </c>
      <c r="E21" s="14">
        <f>-C7+C4</f>
        <v>-428</v>
      </c>
    </row>
    <row r="22" spans="1:5" x14ac:dyDescent="0.25">
      <c r="E22" s="197">
        <f>E20+E21</f>
        <v>-681</v>
      </c>
    </row>
    <row r="24" spans="1:5" x14ac:dyDescent="0.25">
      <c r="E24" s="14">
        <f>B12</f>
        <v>1430</v>
      </c>
    </row>
    <row r="25" spans="1:5" x14ac:dyDescent="0.25">
      <c r="E25" s="14">
        <f>E22+E24</f>
        <v>749</v>
      </c>
    </row>
    <row r="27" spans="1:5" x14ac:dyDescent="0.25">
      <c r="A27" s="1" t="s">
        <v>1060</v>
      </c>
      <c r="E27" s="14">
        <f>AVERAGE(E4,E7)</f>
        <v>39634.5</v>
      </c>
    </row>
    <row r="29" spans="1:5" x14ac:dyDescent="0.25">
      <c r="A29" s="1" t="s">
        <v>1061</v>
      </c>
      <c r="E29" s="29">
        <f>E25/E27</f>
        <v>1.8897677528415899E-2</v>
      </c>
    </row>
    <row r="32" spans="1:5" x14ac:dyDescent="0.25">
      <c r="A32" s="1" t="s">
        <v>1062</v>
      </c>
      <c r="E32" s="14">
        <v>476</v>
      </c>
    </row>
    <row r="33" spans="1:5" x14ac:dyDescent="0.25">
      <c r="A33" s="1" t="s">
        <v>1063</v>
      </c>
      <c r="E33" s="14">
        <v>707</v>
      </c>
    </row>
    <row r="34" spans="1:5" x14ac:dyDescent="0.25">
      <c r="A34" s="1" t="s">
        <v>1064</v>
      </c>
      <c r="E34" s="197">
        <f>E32+E33</f>
        <v>1183</v>
      </c>
    </row>
    <row r="36" spans="1:5" x14ac:dyDescent="0.25">
      <c r="A36" s="1" t="s">
        <v>1065</v>
      </c>
      <c r="E36" s="29">
        <f>E34/E27</f>
        <v>2.9847733666376514E-2</v>
      </c>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8001-E7C3-41C4-9562-C028F942339F}">
  <sheetPr codeName="Sheet67">
    <tabColor theme="9" tint="0.59999389629810485"/>
  </sheetPr>
  <dimension ref="A1:M91"/>
  <sheetViews>
    <sheetView showGridLines="0" zoomScale="85" zoomScaleNormal="85" workbookViewId="0">
      <selection activeCell="Q32" sqref="Q32"/>
    </sheetView>
  </sheetViews>
  <sheetFormatPr defaultColWidth="9.109375" defaultRowHeight="15.6" x14ac:dyDescent="0.3"/>
  <cols>
    <col min="1" max="1" width="42.6640625" style="211" customWidth="1"/>
    <col min="2" max="4" width="9.88671875" style="211" customWidth="1"/>
    <col min="5" max="5" width="11.5546875" style="211" bestFit="1" customWidth="1"/>
    <col min="6" max="16384" width="9.109375" style="211"/>
  </cols>
  <sheetData>
    <row r="1" spans="1:5" x14ac:dyDescent="0.3">
      <c r="A1" s="152" t="s">
        <v>1125</v>
      </c>
      <c r="B1" s="152"/>
    </row>
    <row r="3" spans="1:5" x14ac:dyDescent="0.3">
      <c r="A3" s="211" t="s">
        <v>1126</v>
      </c>
    </row>
    <row r="4" spans="1:5" x14ac:dyDescent="0.3">
      <c r="A4" s="211" t="s">
        <v>1127</v>
      </c>
    </row>
    <row r="6" spans="1:5" x14ac:dyDescent="0.3">
      <c r="A6" s="211" t="s">
        <v>1128</v>
      </c>
    </row>
    <row r="7" spans="1:5" x14ac:dyDescent="0.3">
      <c r="A7" s="211" t="s">
        <v>1142</v>
      </c>
    </row>
    <row r="9" spans="1:5" x14ac:dyDescent="0.3">
      <c r="A9" s="220"/>
      <c r="B9" s="220"/>
      <c r="C9" s="220"/>
      <c r="D9" s="220"/>
    </row>
    <row r="10" spans="1:5" x14ac:dyDescent="0.3">
      <c r="A10" s="1113" t="s">
        <v>1673</v>
      </c>
      <c r="B10" s="220"/>
      <c r="C10" s="220"/>
      <c r="D10" s="220"/>
    </row>
    <row r="11" spans="1:5" x14ac:dyDescent="0.3">
      <c r="A11" s="441" t="s">
        <v>1720</v>
      </c>
      <c r="B11" s="220"/>
      <c r="C11" s="220"/>
      <c r="D11" s="220"/>
    </row>
    <row r="12" spans="1:5" ht="8.25" customHeight="1" thickBot="1" x14ac:dyDescent="0.35">
      <c r="A12" s="218"/>
      <c r="B12" s="220"/>
      <c r="C12" s="220"/>
      <c r="D12" s="218"/>
    </row>
    <row r="13" spans="1:5" x14ac:dyDescent="0.3">
      <c r="A13" s="212" t="s">
        <v>1250</v>
      </c>
      <c r="B13" s="712">
        <v>1999</v>
      </c>
      <c r="C13" s="712">
        <v>1998</v>
      </c>
      <c r="D13" s="713">
        <v>1997</v>
      </c>
      <c r="E13" s="1332">
        <v>1996</v>
      </c>
    </row>
    <row r="14" spans="1:5" x14ac:dyDescent="0.3">
      <c r="A14" s="214" t="s">
        <v>975</v>
      </c>
      <c r="B14" s="1346">
        <v>4410616</v>
      </c>
      <c r="C14" s="1346">
        <v>2682711</v>
      </c>
      <c r="D14" s="1347">
        <v>2270911</v>
      </c>
      <c r="E14" s="1348">
        <v>576195</v>
      </c>
    </row>
    <row r="15" spans="1:5" x14ac:dyDescent="0.3">
      <c r="A15" s="214" t="s">
        <v>1835</v>
      </c>
      <c r="B15" s="1351">
        <f>B17+B16</f>
        <v>783242</v>
      </c>
      <c r="C15" s="1351">
        <f>C17+C16</f>
        <v>619345</v>
      </c>
      <c r="D15" s="1352">
        <f>D17+D16</f>
        <v>448165</v>
      </c>
      <c r="E15" s="1353">
        <f>E17+E16</f>
        <v>266442</v>
      </c>
    </row>
    <row r="16" spans="1:5" x14ac:dyDescent="0.3">
      <c r="A16" s="214" t="s">
        <v>293</v>
      </c>
      <c r="B16" s="1351">
        <f>496578-70405</f>
        <v>426173</v>
      </c>
      <c r="C16" s="1351">
        <f>406084-58792</f>
        <v>347292</v>
      </c>
      <c r="D16" s="1352">
        <f>296364-45059</f>
        <v>251305</v>
      </c>
      <c r="E16" s="1353">
        <f>165900-39862</f>
        <v>126038</v>
      </c>
    </row>
    <row r="17" spans="1:13" x14ac:dyDescent="0.3">
      <c r="A17" s="214" t="s">
        <v>1129</v>
      </c>
      <c r="B17" s="1351">
        <v>357069</v>
      </c>
      <c r="C17" s="1351">
        <v>272053</v>
      </c>
      <c r="D17" s="1352">
        <v>196860</v>
      </c>
      <c r="E17" s="1353">
        <v>140404</v>
      </c>
    </row>
    <row r="18" spans="1:13" ht="4.5" customHeight="1" x14ac:dyDescent="0.3">
      <c r="A18" s="214"/>
      <c r="B18" s="220"/>
      <c r="C18" s="220"/>
      <c r="D18" s="223"/>
    </row>
    <row r="19" spans="1:13" ht="4.5" customHeight="1" x14ac:dyDescent="0.3">
      <c r="A19" s="1155"/>
      <c r="B19" s="684"/>
      <c r="C19" s="684"/>
      <c r="D19" s="1279"/>
      <c r="E19" s="612"/>
    </row>
    <row r="20" spans="1:13" ht="4.5" customHeight="1" x14ac:dyDescent="0.3">
      <c r="A20" s="214"/>
      <c r="B20" s="215"/>
      <c r="C20" s="215"/>
      <c r="D20" s="260"/>
      <c r="E20" s="612"/>
    </row>
    <row r="21" spans="1:13" x14ac:dyDescent="0.3">
      <c r="A21" s="214" t="s">
        <v>1141</v>
      </c>
      <c r="B21" s="1349">
        <v>994588</v>
      </c>
      <c r="C21" s="1349">
        <v>827053</v>
      </c>
      <c r="D21" s="1350">
        <v>765326</v>
      </c>
      <c r="E21" s="612"/>
    </row>
    <row r="22" spans="1:13" x14ac:dyDescent="0.3">
      <c r="A22" s="214" t="s">
        <v>1910</v>
      </c>
      <c r="B22" s="1351">
        <f>29127+450000+101598+146606+3642703+1856318</f>
        <v>6226352</v>
      </c>
      <c r="C22" s="1351">
        <f>66033+553930+58468+2712319+2645991</f>
        <v>6036741</v>
      </c>
      <c r="D22" s="1352">
        <f>654736+134454+56181+553930+2189007+1303845</f>
        <v>4892153</v>
      </c>
      <c r="E22" s="612"/>
    </row>
    <row r="23" spans="1:13" x14ac:dyDescent="0.3">
      <c r="A23" s="214" t="s">
        <v>257</v>
      </c>
      <c r="B23" s="1354">
        <f>B21+B22</f>
        <v>7220940</v>
      </c>
      <c r="C23" s="1354">
        <f>C21+C22</f>
        <v>6863794</v>
      </c>
      <c r="D23" s="1355">
        <f>D21+D22</f>
        <v>5657479</v>
      </c>
      <c r="E23" s="612"/>
      <c r="M23" s="211" t="s">
        <v>176</v>
      </c>
    </row>
    <row r="24" spans="1:13" ht="4.5" customHeight="1" x14ac:dyDescent="0.3">
      <c r="A24" s="214"/>
      <c r="B24" s="220"/>
      <c r="C24" s="220"/>
      <c r="D24" s="223"/>
      <c r="E24" s="612"/>
    </row>
    <row r="25" spans="1:13" ht="4.5" customHeight="1" x14ac:dyDescent="0.3">
      <c r="A25" s="1155"/>
      <c r="B25" s="684"/>
      <c r="C25" s="684"/>
      <c r="D25" s="1279"/>
      <c r="E25" s="612"/>
    </row>
    <row r="26" spans="1:13" ht="4.5" customHeight="1" x14ac:dyDescent="0.3">
      <c r="A26" s="214"/>
      <c r="B26" s="215"/>
      <c r="C26" s="215"/>
      <c r="D26" s="260"/>
      <c r="E26" s="612"/>
    </row>
    <row r="27" spans="1:13" ht="18.600000000000001" x14ac:dyDescent="0.3">
      <c r="A27" s="214" t="s">
        <v>1723</v>
      </c>
      <c r="B27" s="1349">
        <f>1.24/0.76*1000000</f>
        <v>1631578.9473684211</v>
      </c>
      <c r="C27" s="441"/>
      <c r="D27" s="1333"/>
    </row>
    <row r="28" spans="1:13" ht="18.600000000000001" x14ac:dyDescent="0.3">
      <c r="A28" s="214" t="s">
        <v>1724</v>
      </c>
      <c r="B28" s="1351">
        <f>B22+B27</f>
        <v>7857930.9473684207</v>
      </c>
      <c r="C28" s="441"/>
      <c r="D28" s="1333"/>
    </row>
    <row r="29" spans="1:13" ht="4.5" customHeight="1" x14ac:dyDescent="0.3">
      <c r="A29" s="214"/>
      <c r="B29" s="220"/>
      <c r="C29" s="220"/>
      <c r="D29" s="223"/>
      <c r="E29" s="612"/>
    </row>
    <row r="30" spans="1:13" ht="4.5" customHeight="1" x14ac:dyDescent="0.3">
      <c r="A30" s="1155"/>
      <c r="B30" s="684"/>
      <c r="C30" s="684"/>
      <c r="D30" s="1279"/>
      <c r="E30" s="612"/>
    </row>
    <row r="31" spans="1:13" ht="4.5" customHeight="1" x14ac:dyDescent="0.3">
      <c r="A31" s="214"/>
      <c r="B31" s="215"/>
      <c r="C31" s="215"/>
      <c r="D31" s="260"/>
      <c r="E31" s="612"/>
    </row>
    <row r="32" spans="1:13" x14ac:dyDescent="0.3">
      <c r="A32" s="214" t="s">
        <v>1719</v>
      </c>
      <c r="B32" s="464">
        <f>B15/(AVERAGE(B23:C23))</f>
        <v>0.11121857182393363</v>
      </c>
      <c r="C32" s="462"/>
      <c r="D32" s="216"/>
      <c r="G32" s="211" t="s">
        <v>176</v>
      </c>
      <c r="K32" s="211" t="s">
        <v>176</v>
      </c>
    </row>
    <row r="33" spans="1:6" ht="18.600000000000001" x14ac:dyDescent="0.3">
      <c r="A33" s="214" t="s">
        <v>1726</v>
      </c>
      <c r="B33" s="2711">
        <f>B28/B23</f>
        <v>1.0882144080089879</v>
      </c>
      <c r="C33" s="441"/>
      <c r="D33" s="1333"/>
      <c r="F33" s="211" t="s">
        <v>176</v>
      </c>
    </row>
    <row r="34" spans="1:6" x14ac:dyDescent="0.3">
      <c r="A34" s="214" t="s">
        <v>1721</v>
      </c>
      <c r="B34" s="464">
        <f>B32/B33</f>
        <v>0.10220281132595981</v>
      </c>
      <c r="C34" s="441"/>
      <c r="D34" s="1333"/>
    </row>
    <row r="35" spans="1:6" ht="4.5" customHeight="1" x14ac:dyDescent="0.3">
      <c r="A35" s="214"/>
      <c r="B35" s="462"/>
      <c r="C35" s="441"/>
      <c r="D35" s="1333"/>
    </row>
    <row r="36" spans="1:6" ht="4.5" customHeight="1" x14ac:dyDescent="0.3">
      <c r="A36" s="1155"/>
      <c r="B36" s="684"/>
      <c r="C36" s="684"/>
      <c r="D36" s="1279"/>
    </row>
    <row r="37" spans="1:6" s="1" customFormat="1" ht="13.8" x14ac:dyDescent="0.25">
      <c r="A37" s="6" t="s">
        <v>1398</v>
      </c>
      <c r="B37" s="205"/>
      <c r="C37" s="205"/>
      <c r="D37" s="8"/>
    </row>
    <row r="38" spans="1:6" s="1" customFormat="1" ht="13.8" x14ac:dyDescent="0.25">
      <c r="A38" s="6" t="s">
        <v>1722</v>
      </c>
      <c r="B38" s="205"/>
      <c r="C38" s="205"/>
      <c r="D38" s="8"/>
    </row>
    <row r="39" spans="1:6" s="1" customFormat="1" ht="30" customHeight="1" x14ac:dyDescent="0.25">
      <c r="A39" s="2799" t="s">
        <v>1725</v>
      </c>
      <c r="B39" s="2800"/>
      <c r="C39" s="2800"/>
      <c r="D39" s="2801"/>
    </row>
    <row r="40" spans="1:6" s="1" customFormat="1" ht="14.4" thickBot="1" x14ac:dyDescent="0.3">
      <c r="A40" s="9" t="s">
        <v>1727</v>
      </c>
      <c r="B40" s="25"/>
      <c r="C40" s="188"/>
      <c r="D40" s="1331"/>
    </row>
    <row r="41" spans="1:6" s="1" customFormat="1" ht="30" customHeight="1" x14ac:dyDescent="0.25">
      <c r="A41" s="2811" t="s">
        <v>2198</v>
      </c>
      <c r="B41" s="2811"/>
      <c r="C41" s="2811"/>
      <c r="D41" s="2811"/>
    </row>
    <row r="42" spans="1:6" s="1" customFormat="1" ht="13.8" x14ac:dyDescent="0.25">
      <c r="C42" s="10"/>
      <c r="D42" s="10"/>
    </row>
    <row r="43" spans="1:6" s="1" customFormat="1" ht="13.8" x14ac:dyDescent="0.25">
      <c r="C43" s="10"/>
      <c r="D43" s="10"/>
    </row>
    <row r="44" spans="1:6" x14ac:dyDescent="0.3">
      <c r="B44" s="152">
        <f t="shared" ref="B44:D45" si="0">B13</f>
        <v>1999</v>
      </c>
      <c r="C44" s="152">
        <f t="shared" si="0"/>
        <v>1998</v>
      </c>
      <c r="D44" s="152">
        <f t="shared" si="0"/>
        <v>1997</v>
      </c>
    </row>
    <row r="45" spans="1:6" x14ac:dyDescent="0.3">
      <c r="A45" s="211" t="s">
        <v>975</v>
      </c>
      <c r="B45" s="277">
        <f t="shared" si="0"/>
        <v>4410616</v>
      </c>
      <c r="C45" s="277">
        <f t="shared" si="0"/>
        <v>2682711</v>
      </c>
      <c r="D45" s="277">
        <f t="shared" si="0"/>
        <v>2270911</v>
      </c>
    </row>
    <row r="46" spans="1:6" x14ac:dyDescent="0.3">
      <c r="A46" s="211" t="s">
        <v>1143</v>
      </c>
      <c r="B46" s="604">
        <f>B14/(AVERAGE(B23:C23))</f>
        <v>0.62629737984402123</v>
      </c>
      <c r="C46" s="604">
        <f>C14/(AVERAGE(C23:D23))</f>
        <v>0.42850451387810168</v>
      </c>
      <c r="D46" s="152"/>
    </row>
    <row r="47" spans="1:6" x14ac:dyDescent="0.3">
      <c r="A47" s="211" t="s">
        <v>570</v>
      </c>
      <c r="B47" s="227">
        <f>B15/B14</f>
        <v>0.17758109071385947</v>
      </c>
      <c r="C47" s="227">
        <f>C15/C14</f>
        <v>0.23086534479487356</v>
      </c>
      <c r="D47" s="152"/>
    </row>
    <row r="48" spans="1:6" x14ac:dyDescent="0.3">
      <c r="A48" s="211" t="s">
        <v>1144</v>
      </c>
      <c r="B48" s="350">
        <f>B46*B47</f>
        <v>0.11121857182393363</v>
      </c>
      <c r="C48" s="350">
        <f>C46*C47</f>
        <v>9.8926842342627622E-2</v>
      </c>
      <c r="D48" s="152"/>
    </row>
    <row r="49" spans="1:5" x14ac:dyDescent="0.3">
      <c r="A49" s="211" t="s">
        <v>1145</v>
      </c>
      <c r="B49" s="227">
        <f>B21/B23</f>
        <v>0.13773663816622211</v>
      </c>
      <c r="C49" s="227">
        <f>C21/C23</f>
        <v>0.12049502068389581</v>
      </c>
      <c r="D49" s="152"/>
    </row>
    <row r="50" spans="1:5" x14ac:dyDescent="0.3">
      <c r="A50" s="211" t="s">
        <v>22</v>
      </c>
      <c r="B50" s="350">
        <f>B69/AVERAGE(B21:C21)</f>
        <v>0.18360368480946576</v>
      </c>
      <c r="C50" s="350">
        <f>C69/AVERAGE(C21:D21)</f>
        <v>0.15951353289637707</v>
      </c>
      <c r="D50" s="152"/>
    </row>
    <row r="51" spans="1:5" x14ac:dyDescent="0.3">
      <c r="C51" s="152"/>
      <c r="D51" s="152"/>
    </row>
    <row r="52" spans="1:5" x14ac:dyDescent="0.3">
      <c r="A52" s="1334" t="s">
        <v>1146</v>
      </c>
      <c r="C52" s="152"/>
      <c r="D52" s="152"/>
    </row>
    <row r="53" spans="1:5" x14ac:dyDescent="0.3">
      <c r="A53" s="1334" t="s">
        <v>1147</v>
      </c>
      <c r="C53" s="152"/>
      <c r="D53" s="152"/>
    </row>
    <row r="54" spans="1:5" x14ac:dyDescent="0.3">
      <c r="C54" s="152"/>
      <c r="D54" s="152"/>
    </row>
    <row r="55" spans="1:5" x14ac:dyDescent="0.3">
      <c r="C55" s="152"/>
      <c r="D55" s="152"/>
    </row>
    <row r="56" spans="1:5" x14ac:dyDescent="0.3">
      <c r="B56" s="152">
        <f>B13</f>
        <v>1999</v>
      </c>
      <c r="C56" s="152">
        <f>C13</f>
        <v>1998</v>
      </c>
      <c r="D56" s="152">
        <f>D13</f>
        <v>1997</v>
      </c>
      <c r="E56" s="152">
        <v>1996</v>
      </c>
    </row>
    <row r="57" spans="1:5" x14ac:dyDescent="0.3">
      <c r="A57" s="211" t="s">
        <v>1130</v>
      </c>
      <c r="B57" s="230">
        <v>150065</v>
      </c>
      <c r="C57" s="230">
        <v>58933</v>
      </c>
      <c r="D57" s="230">
        <v>43460</v>
      </c>
      <c r="E57" s="230">
        <v>29569</v>
      </c>
    </row>
    <row r="58" spans="1:5" x14ac:dyDescent="0.3">
      <c r="A58" s="211" t="s">
        <v>974</v>
      </c>
      <c r="B58" s="230">
        <v>-56590</v>
      </c>
      <c r="C58" s="230">
        <v>34332</v>
      </c>
      <c r="D58" s="230">
        <v>55584</v>
      </c>
      <c r="E58" s="230">
        <v>12252</v>
      </c>
    </row>
    <row r="59" spans="1:5" x14ac:dyDescent="0.3">
      <c r="A59" s="211" t="s">
        <v>1148</v>
      </c>
      <c r="B59" s="472">
        <f>SUM(B57:B58)</f>
        <v>93475</v>
      </c>
      <c r="C59" s="472">
        <f>SUM(C57:C58)</f>
        <v>93265</v>
      </c>
      <c r="D59" s="472">
        <f t="shared" ref="D59:E59" si="1">SUM(D57:D58)</f>
        <v>99044</v>
      </c>
      <c r="E59" s="472">
        <f t="shared" si="1"/>
        <v>41821</v>
      </c>
    </row>
    <row r="60" spans="1:5" x14ac:dyDescent="0.3">
      <c r="C60" s="152"/>
      <c r="D60" s="152"/>
    </row>
    <row r="61" spans="1:5" x14ac:dyDescent="0.3">
      <c r="C61" s="152"/>
      <c r="D61" s="152"/>
    </row>
    <row r="62" spans="1:5" x14ac:dyDescent="0.3">
      <c r="C62" s="152"/>
      <c r="D62" s="152"/>
    </row>
    <row r="63" spans="1:5" x14ac:dyDescent="0.3">
      <c r="A63" s="211" t="s">
        <v>1149</v>
      </c>
      <c r="B63" s="230">
        <v>902868</v>
      </c>
      <c r="C63" s="230">
        <v>543391</v>
      </c>
      <c r="D63" s="230">
        <v>509059</v>
      </c>
    </row>
    <row r="64" spans="1:5" s="320" customFormat="1" ht="16.2" x14ac:dyDescent="0.35">
      <c r="A64" s="320" t="s">
        <v>32</v>
      </c>
      <c r="B64" s="1335">
        <f>B63-C63</f>
        <v>359477</v>
      </c>
      <c r="C64" s="1335">
        <f>C63-D63</f>
        <v>34332</v>
      </c>
      <c r="D64" s="1263"/>
    </row>
    <row r="65" spans="1:4" x14ac:dyDescent="0.3">
      <c r="C65" s="152"/>
      <c r="D65" s="152"/>
    </row>
    <row r="66" spans="1:4" x14ac:dyDescent="0.3">
      <c r="A66" s="211" t="s">
        <v>1131</v>
      </c>
      <c r="B66" s="230">
        <v>4398783</v>
      </c>
      <c r="C66" s="230">
        <v>2682711</v>
      </c>
      <c r="D66" s="230">
        <v>2270911</v>
      </c>
    </row>
    <row r="67" spans="1:4" x14ac:dyDescent="0.3">
      <c r="A67" s="211" t="s">
        <v>293</v>
      </c>
      <c r="B67" s="230">
        <f>496578-70405</f>
        <v>426173</v>
      </c>
      <c r="C67" s="230">
        <v>406084</v>
      </c>
      <c r="D67" s="230">
        <v>296364</v>
      </c>
    </row>
    <row r="68" spans="1:4" x14ac:dyDescent="0.3">
      <c r="A68" s="211" t="s">
        <v>1129</v>
      </c>
      <c r="B68" s="230">
        <v>357069</v>
      </c>
      <c r="C68" s="230">
        <v>272053</v>
      </c>
      <c r="D68" s="230">
        <v>196860</v>
      </c>
    </row>
    <row r="69" spans="1:4" x14ac:dyDescent="0.3">
      <c r="A69" s="211" t="s">
        <v>1139</v>
      </c>
      <c r="B69" s="230">
        <v>167230</v>
      </c>
      <c r="C69" s="230">
        <v>127003</v>
      </c>
      <c r="D69" s="230">
        <v>-84027</v>
      </c>
    </row>
    <row r="70" spans="1:4" x14ac:dyDescent="0.3">
      <c r="B70" s="230"/>
      <c r="C70" s="230"/>
      <c r="D70" s="230"/>
    </row>
    <row r="71" spans="1:4" x14ac:dyDescent="0.3">
      <c r="A71" s="211" t="s">
        <v>1150</v>
      </c>
      <c r="B71" s="227"/>
      <c r="C71" s="227">
        <f>C57/C68</f>
        <v>0.21662323150268514</v>
      </c>
      <c r="D71" s="227">
        <f>D57/D68</f>
        <v>0.22076602661790104</v>
      </c>
    </row>
    <row r="72" spans="1:4" x14ac:dyDescent="0.3">
      <c r="A72" s="211" t="s">
        <v>1151</v>
      </c>
      <c r="B72" s="227"/>
      <c r="C72" s="227">
        <f>C58/C68</f>
        <v>0.12619599857380731</v>
      </c>
      <c r="D72" s="227">
        <f>D58/D68</f>
        <v>0.28235294117647058</v>
      </c>
    </row>
    <row r="73" spans="1:4" x14ac:dyDescent="0.3">
      <c r="A73" s="211" t="s">
        <v>1152</v>
      </c>
      <c r="B73" s="227"/>
      <c r="C73" s="227">
        <f>C59/C68</f>
        <v>0.34281923007649245</v>
      </c>
      <c r="D73" s="227">
        <f>D59/D68</f>
        <v>0.5031189677943716</v>
      </c>
    </row>
    <row r="74" spans="1:4" x14ac:dyDescent="0.3">
      <c r="B74" s="230"/>
      <c r="C74" s="230"/>
      <c r="D74" s="230"/>
    </row>
    <row r="75" spans="1:4" x14ac:dyDescent="0.3">
      <c r="A75" s="211" t="s">
        <v>1130</v>
      </c>
      <c r="B75" s="230"/>
      <c r="C75" s="230">
        <v>58933</v>
      </c>
      <c r="D75" s="230"/>
    </row>
    <row r="76" spans="1:4" x14ac:dyDescent="0.3">
      <c r="A76" s="211" t="s">
        <v>1140</v>
      </c>
      <c r="B76" s="230"/>
      <c r="C76" s="230">
        <v>93265</v>
      </c>
      <c r="D76" s="230"/>
    </row>
    <row r="77" spans="1:4" x14ac:dyDescent="0.3">
      <c r="D77" s="230"/>
    </row>
    <row r="78" spans="1:4" x14ac:dyDescent="0.3">
      <c r="A78" s="211" t="s">
        <v>95</v>
      </c>
      <c r="B78" s="230">
        <v>994588</v>
      </c>
      <c r="C78" s="230">
        <v>827053</v>
      </c>
      <c r="D78" s="230">
        <v>765326</v>
      </c>
    </row>
    <row r="79" spans="1:4" x14ac:dyDescent="0.3">
      <c r="A79" s="211" t="s">
        <v>1136</v>
      </c>
      <c r="B79" s="230"/>
      <c r="C79" s="230"/>
      <c r="D79" s="230">
        <v>654736</v>
      </c>
    </row>
    <row r="80" spans="1:4" x14ac:dyDescent="0.3">
      <c r="A80" s="211" t="s">
        <v>534</v>
      </c>
      <c r="B80" s="230"/>
      <c r="C80" s="230"/>
      <c r="D80" s="230">
        <v>134454</v>
      </c>
    </row>
    <row r="81" spans="1:4" x14ac:dyDescent="0.3">
      <c r="A81" s="211" t="s">
        <v>1132</v>
      </c>
      <c r="B81" s="230">
        <v>146606</v>
      </c>
      <c r="C81" s="230">
        <v>66033</v>
      </c>
      <c r="D81" s="230">
        <v>56181</v>
      </c>
    </row>
    <row r="82" spans="1:4" x14ac:dyDescent="0.3">
      <c r="A82" s="211" t="s">
        <v>1133</v>
      </c>
      <c r="B82" s="230">
        <v>450000</v>
      </c>
      <c r="C82" s="230">
        <v>553930</v>
      </c>
      <c r="D82" s="230">
        <v>553930</v>
      </c>
    </row>
    <row r="83" spans="1:4" x14ac:dyDescent="0.3">
      <c r="A83" s="211" t="s">
        <v>1134</v>
      </c>
      <c r="B83" s="230">
        <f>3642703+614725</f>
        <v>4257428</v>
      </c>
      <c r="C83" s="230">
        <v>3093810</v>
      </c>
      <c r="D83" s="230">
        <v>2189007</v>
      </c>
    </row>
    <row r="84" spans="1:4" x14ac:dyDescent="0.3">
      <c r="A84" s="211" t="s">
        <v>1135</v>
      </c>
      <c r="B84" s="230">
        <v>1856318</v>
      </c>
      <c r="C84" s="230">
        <v>2645991</v>
      </c>
      <c r="D84" s="230">
        <v>1303845</v>
      </c>
    </row>
    <row r="85" spans="1:4" x14ac:dyDescent="0.3">
      <c r="A85" s="211" t="s">
        <v>257</v>
      </c>
      <c r="B85" s="472">
        <f>SUM(B78:B84)</f>
        <v>7704940</v>
      </c>
      <c r="C85" s="472">
        <f>SUM(C78:C84)</f>
        <v>7186817</v>
      </c>
      <c r="D85" s="472">
        <f>SUM(D78:D84)</f>
        <v>5657479</v>
      </c>
    </row>
    <row r="86" spans="1:4" x14ac:dyDescent="0.3">
      <c r="C86" s="230"/>
      <c r="D86" s="230"/>
    </row>
    <row r="87" spans="1:4" x14ac:dyDescent="0.3">
      <c r="A87" s="211" t="s">
        <v>1137</v>
      </c>
      <c r="B87" s="230">
        <f>AVERAGE(B85:C85)</f>
        <v>7445878.5</v>
      </c>
      <c r="C87" s="230">
        <f>AVERAGE(C85:D85)</f>
        <v>6422148</v>
      </c>
      <c r="D87" s="230"/>
    </row>
    <row r="88" spans="1:4" x14ac:dyDescent="0.3">
      <c r="C88" s="230"/>
      <c r="D88" s="230"/>
    </row>
    <row r="89" spans="1:4" x14ac:dyDescent="0.3">
      <c r="A89" s="211" t="s">
        <v>1138</v>
      </c>
      <c r="B89" s="350">
        <f>(B67+B68)/B87</f>
        <v>0.10519134847553582</v>
      </c>
      <c r="C89" s="350">
        <f>(C67+C68)/C87</f>
        <v>0.10559348678977812</v>
      </c>
      <c r="D89" s="230"/>
    </row>
    <row r="90" spans="1:4" x14ac:dyDescent="0.3">
      <c r="C90" s="230"/>
      <c r="D90" s="230"/>
    </row>
    <row r="91" spans="1:4" x14ac:dyDescent="0.3">
      <c r="C91" s="230"/>
      <c r="D91" s="230"/>
    </row>
  </sheetData>
  <mergeCells count="2">
    <mergeCell ref="A41:D41"/>
    <mergeCell ref="A39:D39"/>
  </mergeCells>
  <hyperlinks>
    <hyperlink ref="A52" r:id="rId1" xr:uid="{0E763FB9-4EDD-4855-B42E-F308BC048C17}"/>
    <hyperlink ref="A53" r:id="rId2" xr:uid="{5B9D4975-F0ED-451C-B39F-6DEB82172EEB}"/>
  </hyperlinks>
  <pageMargins left="0.7" right="0.7" top="0.75" bottom="0.75" header="0.3" footer="0.3"/>
  <pageSetup orientation="portrait" r:id="rId3"/>
  <ignoredErrors>
    <ignoredError sqref="E59" formulaRange="1"/>
  </ignoredErrors>
  <drawing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463A7-5263-4123-82BB-8BCC627A204F}">
  <sheetPr>
    <tabColor theme="9" tint="0.59999389629810485"/>
  </sheetPr>
  <dimension ref="A1:J32"/>
  <sheetViews>
    <sheetView showGridLines="0" zoomScale="115" zoomScaleNormal="115" workbookViewId="0">
      <selection activeCell="N24" sqref="N24"/>
    </sheetView>
  </sheetViews>
  <sheetFormatPr defaultColWidth="9.109375" defaultRowHeight="15.6" x14ac:dyDescent="0.3"/>
  <cols>
    <col min="1" max="1" width="27.88671875" style="211" customWidth="1"/>
    <col min="2" max="2" width="10.33203125" style="211" bestFit="1" customWidth="1"/>
    <col min="3" max="16384" width="9.109375" style="211"/>
  </cols>
  <sheetData>
    <row r="1" spans="1:10" x14ac:dyDescent="0.3">
      <c r="A1" s="459" t="s">
        <v>1673</v>
      </c>
    </row>
    <row r="2" spans="1:10" x14ac:dyDescent="0.3">
      <c r="A2" s="152" t="s">
        <v>1728</v>
      </c>
    </row>
    <row r="3" spans="1:10" ht="6.6" customHeight="1" thickBot="1" x14ac:dyDescent="0.35"/>
    <row r="4" spans="1:10" x14ac:dyDescent="0.3">
      <c r="A4" s="1336" t="s">
        <v>1250</v>
      </c>
      <c r="B4" s="1337">
        <v>1998</v>
      </c>
      <c r="C4" s="1337">
        <v>1997</v>
      </c>
      <c r="D4" s="1338">
        <v>1996</v>
      </c>
    </row>
    <row r="5" spans="1:10" x14ac:dyDescent="0.3">
      <c r="A5" s="734" t="s">
        <v>3758</v>
      </c>
      <c r="B5" s="1339">
        <v>318.964</v>
      </c>
      <c r="C5" s="1339">
        <v>287.21800000000002</v>
      </c>
      <c r="D5" s="1340">
        <v>234.149</v>
      </c>
    </row>
    <row r="6" spans="1:10" ht="18.600000000000001" x14ac:dyDescent="0.3">
      <c r="A6" s="734" t="s">
        <v>1737</v>
      </c>
      <c r="B6" s="1341">
        <f>B5/B32</f>
        <v>1.810783039166151</v>
      </c>
      <c r="C6" s="1341">
        <f>C5/C32</f>
        <v>1.8889210412090442</v>
      </c>
      <c r="D6" s="1342">
        <f>D5/D32</f>
        <v>1.8730196821892384</v>
      </c>
    </row>
    <row r="7" spans="1:10" ht="18.600000000000001" x14ac:dyDescent="0.3">
      <c r="A7" s="734" t="s">
        <v>1985</v>
      </c>
      <c r="B7" s="1824">
        <f>(52.647+1.935)/B5</f>
        <v>0.1711227599352905</v>
      </c>
      <c r="C7" s="1824">
        <f>(46.308+1.546)/C5</f>
        <v>0.16661212041028067</v>
      </c>
      <c r="D7" s="1837">
        <f>(35.448+0.961)/D5</f>
        <v>0.15549500531712712</v>
      </c>
      <c r="I7" s="211" t="s">
        <v>176</v>
      </c>
    </row>
    <row r="8" spans="1:10" x14ac:dyDescent="0.3">
      <c r="A8" s="734" t="s">
        <v>1563</v>
      </c>
      <c r="B8" s="1824">
        <f>B6*B7</f>
        <v>0.30986619130612497</v>
      </c>
      <c r="C8" s="1824">
        <f t="shared" ref="C8:D8" si="0">C6*C7</f>
        <v>0.31471713996343403</v>
      </c>
      <c r="D8" s="1837">
        <f t="shared" si="0"/>
        <v>0.29124520544109939</v>
      </c>
      <c r="F8" s="211" t="s">
        <v>176</v>
      </c>
    </row>
    <row r="9" spans="1:10" ht="4.5" customHeight="1" x14ac:dyDescent="0.3">
      <c r="A9" s="734"/>
      <c r="B9" s="397"/>
      <c r="C9" s="397"/>
      <c r="D9" s="1281"/>
      <c r="G9" s="211" t="s">
        <v>176</v>
      </c>
    </row>
    <row r="10" spans="1:10" ht="4.5" customHeight="1" x14ac:dyDescent="0.3">
      <c r="A10" s="1155"/>
      <c r="B10" s="684"/>
      <c r="C10" s="684"/>
      <c r="D10" s="1279"/>
    </row>
    <row r="11" spans="1:10" ht="4.5" customHeight="1" x14ac:dyDescent="0.3">
      <c r="A11" s="734"/>
      <c r="B11" s="397"/>
      <c r="C11" s="397"/>
      <c r="D11" s="1281"/>
    </row>
    <row r="12" spans="1:10" x14ac:dyDescent="0.3">
      <c r="A12" s="734" t="s">
        <v>1730</v>
      </c>
      <c r="B12" s="1339">
        <v>386</v>
      </c>
      <c r="C12" s="397"/>
      <c r="D12" s="1281"/>
      <c r="F12" s="211" t="s">
        <v>176</v>
      </c>
    </row>
    <row r="13" spans="1:10" x14ac:dyDescent="0.3">
      <c r="A13" s="734" t="s">
        <v>1731</v>
      </c>
      <c r="B13" s="1344">
        <f>B28</f>
        <v>90.8</v>
      </c>
      <c r="C13" s="397"/>
      <c r="D13" s="1281"/>
      <c r="J13" s="211" t="s">
        <v>176</v>
      </c>
    </row>
    <row r="14" spans="1:10" x14ac:dyDescent="0.3">
      <c r="A14" s="734" t="s">
        <v>1708</v>
      </c>
      <c r="B14" s="1343">
        <f>B12+B13</f>
        <v>476.8</v>
      </c>
      <c r="C14" s="397"/>
      <c r="D14" s="1281"/>
    </row>
    <row r="15" spans="1:10" ht="4.5" customHeight="1" x14ac:dyDescent="0.3">
      <c r="A15" s="734"/>
      <c r="B15" s="397"/>
      <c r="C15" s="397"/>
      <c r="D15" s="1281"/>
    </row>
    <row r="16" spans="1:10" ht="4.5" customHeight="1" x14ac:dyDescent="0.3">
      <c r="A16" s="1155"/>
      <c r="B16" s="684"/>
      <c r="C16" s="684"/>
      <c r="D16" s="1279"/>
    </row>
    <row r="17" spans="1:5" ht="4.5" customHeight="1" x14ac:dyDescent="0.3">
      <c r="A17" s="734"/>
      <c r="B17" s="397"/>
      <c r="C17" s="397"/>
      <c r="D17" s="1281"/>
    </row>
    <row r="18" spans="1:5" x14ac:dyDescent="0.3">
      <c r="A18" s="734" t="s">
        <v>1705</v>
      </c>
      <c r="B18" s="2692">
        <f>B14/B32</f>
        <v>2.706830090776454</v>
      </c>
      <c r="C18" s="397"/>
      <c r="D18" s="1281"/>
    </row>
    <row r="19" spans="1:5" x14ac:dyDescent="0.3">
      <c r="A19" s="734" t="s">
        <v>1706</v>
      </c>
      <c r="B19" s="827">
        <f>B8/B18</f>
        <v>0.11447567114093958</v>
      </c>
      <c r="C19" s="397"/>
      <c r="D19" s="1281"/>
    </row>
    <row r="20" spans="1:5" ht="4.5" customHeight="1" x14ac:dyDescent="0.3">
      <c r="A20" s="734"/>
      <c r="B20" s="397"/>
      <c r="C20" s="397"/>
      <c r="D20" s="1281"/>
    </row>
    <row r="21" spans="1:5" ht="4.5" customHeight="1" x14ac:dyDescent="0.3">
      <c r="A21" s="1155"/>
      <c r="B21" s="684"/>
      <c r="C21" s="684"/>
      <c r="D21" s="1279"/>
    </row>
    <row r="22" spans="1:5" x14ac:dyDescent="0.3">
      <c r="A22" s="1175" t="s">
        <v>1398</v>
      </c>
      <c r="B22" s="827"/>
      <c r="C22" s="397"/>
      <c r="D22" s="1281"/>
    </row>
    <row r="23" spans="1:5" ht="30" customHeight="1" thickBot="1" x14ac:dyDescent="0.35">
      <c r="A23" s="2918" t="s">
        <v>1911</v>
      </c>
      <c r="B23" s="2919"/>
      <c r="C23" s="2919"/>
      <c r="D23" s="2920"/>
    </row>
    <row r="24" spans="1:5" ht="45" customHeight="1" x14ac:dyDescent="0.3">
      <c r="A24" s="2917" t="s">
        <v>1912</v>
      </c>
      <c r="B24" s="2917"/>
      <c r="C24" s="2917"/>
      <c r="D24" s="2917"/>
    </row>
    <row r="26" spans="1:5" x14ac:dyDescent="0.3">
      <c r="A26" s="211" t="s">
        <v>1155</v>
      </c>
    </row>
    <row r="27" spans="1:5" x14ac:dyDescent="0.3">
      <c r="A27" s="211" t="s">
        <v>746</v>
      </c>
      <c r="B27" s="211">
        <v>175.66200000000001</v>
      </c>
      <c r="C27" s="211">
        <v>149.33199999999999</v>
      </c>
      <c r="D27" s="211">
        <v>125.152</v>
      </c>
      <c r="E27" s="211">
        <v>75.421000000000006</v>
      </c>
    </row>
    <row r="28" spans="1:5" x14ac:dyDescent="0.3">
      <c r="A28" s="211" t="s">
        <v>333</v>
      </c>
      <c r="B28" s="211">
        <v>90.8</v>
      </c>
      <c r="C28" s="211">
        <v>63.131999999999998</v>
      </c>
      <c r="D28" s="211">
        <v>65.599999999999994</v>
      </c>
      <c r="E28" s="211">
        <v>53.8</v>
      </c>
    </row>
    <row r="29" spans="1:5" x14ac:dyDescent="0.3">
      <c r="A29" s="211" t="s">
        <v>1735</v>
      </c>
      <c r="B29" s="211">
        <f>-72.722</f>
        <v>-72.721999999999994</v>
      </c>
      <c r="C29" s="211">
        <f>-53.91</f>
        <v>-53.91</v>
      </c>
      <c r="D29" s="211">
        <f>-45.198</f>
        <v>-45.198</v>
      </c>
      <c r="E29" s="211">
        <f>-24.752</f>
        <v>-24.751999999999999</v>
      </c>
    </row>
    <row r="30" spans="1:5" x14ac:dyDescent="0.3">
      <c r="A30" s="211" t="s">
        <v>1701</v>
      </c>
      <c r="B30" s="211">
        <f>SUM(B27:B29)</f>
        <v>193.74</v>
      </c>
      <c r="C30" s="211">
        <f>SUM(C27:C29)</f>
        <v>158.554</v>
      </c>
      <c r="D30" s="211">
        <f t="shared" ref="D30:E30" si="1">SUM(D27:D29)</f>
        <v>145.554</v>
      </c>
      <c r="E30" s="211">
        <f t="shared" si="1"/>
        <v>104.46900000000001</v>
      </c>
    </row>
    <row r="32" spans="1:5" x14ac:dyDescent="0.3">
      <c r="A32" s="211" t="s">
        <v>1702</v>
      </c>
      <c r="B32" s="211">
        <f>AVERAGE(B30:C30)</f>
        <v>176.14699999999999</v>
      </c>
      <c r="C32" s="211">
        <f t="shared" ref="C32:D32" si="2">AVERAGE(C30:D30)</f>
        <v>152.054</v>
      </c>
      <c r="D32" s="211">
        <f t="shared" si="2"/>
        <v>125.01150000000001</v>
      </c>
    </row>
  </sheetData>
  <mergeCells count="2">
    <mergeCell ref="A24:D24"/>
    <mergeCell ref="A23:D23"/>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9A4D-F840-439D-B95C-87E65C708ABE}">
  <sheetPr codeName="Sheet68">
    <tabColor theme="9" tint="0.59999389629810485"/>
  </sheetPr>
  <dimension ref="A1:O63"/>
  <sheetViews>
    <sheetView showGridLines="0" topLeftCell="A23" zoomScale="85" zoomScaleNormal="85" workbookViewId="0">
      <selection activeCell="R66" sqref="R66"/>
    </sheetView>
  </sheetViews>
  <sheetFormatPr defaultColWidth="9.109375" defaultRowHeight="15.6" x14ac:dyDescent="0.3"/>
  <cols>
    <col min="1" max="1" width="29.6640625" style="211" customWidth="1"/>
    <col min="2" max="6" width="9.109375" style="211" customWidth="1"/>
    <col min="7" max="7" width="9.88671875" style="211" bestFit="1" customWidth="1"/>
    <col min="8" max="9" width="9.109375" style="211"/>
    <col min="10" max="10" width="26.5546875" style="211" customWidth="1"/>
    <col min="11" max="11" width="12" style="211" bestFit="1" customWidth="1"/>
    <col min="12" max="16384" width="9.109375" style="211"/>
  </cols>
  <sheetData>
    <row r="1" spans="1:8" s="321" customFormat="1" x14ac:dyDescent="0.3">
      <c r="A1" s="321" t="s">
        <v>1117</v>
      </c>
    </row>
    <row r="2" spans="1:8" s="321" customFormat="1" x14ac:dyDescent="0.3">
      <c r="A2" s="321" t="s">
        <v>1101</v>
      </c>
      <c r="B2" s="2727">
        <v>1999</v>
      </c>
      <c r="C2" s="2727">
        <v>1998</v>
      </c>
      <c r="D2" s="2727">
        <v>1997</v>
      </c>
      <c r="E2" s="2727">
        <v>1996</v>
      </c>
      <c r="F2" s="2727">
        <v>1995</v>
      </c>
      <c r="G2" s="33"/>
      <c r="H2" s="321" t="s">
        <v>3096</v>
      </c>
    </row>
    <row r="3" spans="1:8" s="321" customFormat="1" x14ac:dyDescent="0.3">
      <c r="A3" s="321" t="s">
        <v>627</v>
      </c>
      <c r="B3" s="2728">
        <v>509811</v>
      </c>
      <c r="C3" s="2728">
        <v>454811</v>
      </c>
      <c r="D3" s="2728">
        <v>439787</v>
      </c>
      <c r="E3" s="2728">
        <v>447772</v>
      </c>
      <c r="F3" s="2728">
        <v>461448</v>
      </c>
      <c r="G3" s="33"/>
      <c r="H3" s="2729">
        <f>B3/F3-1</f>
        <v>0.10480704218026737</v>
      </c>
    </row>
    <row r="4" spans="1:8" s="2730" customFormat="1" x14ac:dyDescent="0.3">
      <c r="A4" s="2730" t="s">
        <v>1122</v>
      </c>
      <c r="B4" s="2731">
        <v>346377</v>
      </c>
      <c r="C4" s="2731">
        <v>292726</v>
      </c>
      <c r="D4" s="2731">
        <v>265313</v>
      </c>
      <c r="E4" s="2731">
        <v>261315</v>
      </c>
      <c r="F4" s="2731">
        <v>240094</v>
      </c>
      <c r="G4" s="33"/>
      <c r="H4" s="2729">
        <f t="shared" ref="H4:H14" si="0">B4/F4-1</f>
        <v>0.44267245328912841</v>
      </c>
    </row>
    <row r="5" spans="1:8" s="2730" customFormat="1" x14ac:dyDescent="0.3">
      <c r="A5" s="2730" t="s">
        <v>1124</v>
      </c>
      <c r="B5" s="2732">
        <f>B4/B3</f>
        <v>0.67942237417395857</v>
      </c>
      <c r="C5" s="2732">
        <f t="shared" ref="C5:F5" si="1">C4/C3</f>
        <v>0.64362119649700644</v>
      </c>
      <c r="D5" s="2732">
        <f t="shared" si="1"/>
        <v>0.60327613139997316</v>
      </c>
      <c r="E5" s="2732">
        <f t="shared" si="1"/>
        <v>0.5835894160420928</v>
      </c>
      <c r="F5" s="2732">
        <f t="shared" si="1"/>
        <v>0.52030564657339506</v>
      </c>
      <c r="G5" s="33"/>
      <c r="H5" s="2729"/>
    </row>
    <row r="6" spans="1:8" s="2730" customFormat="1" ht="14.25" customHeight="1" x14ac:dyDescent="0.3">
      <c r="A6" s="2730" t="s">
        <v>1123</v>
      </c>
      <c r="B6" s="2731">
        <v>163434</v>
      </c>
      <c r="C6" s="2731">
        <v>162085</v>
      </c>
      <c r="D6" s="2731">
        <v>174474</v>
      </c>
      <c r="E6" s="2731">
        <v>186457</v>
      </c>
      <c r="F6" s="2731">
        <v>221354</v>
      </c>
      <c r="G6" s="33"/>
      <c r="H6" s="2729">
        <f t="shared" si="0"/>
        <v>-0.26166231466338985</v>
      </c>
    </row>
    <row r="7" spans="1:8" s="321" customFormat="1" x14ac:dyDescent="0.3">
      <c r="A7" s="321" t="s">
        <v>1118</v>
      </c>
      <c r="B7" s="2728">
        <v>28326</v>
      </c>
      <c r="C7" s="2728">
        <v>26542</v>
      </c>
      <c r="D7" s="2728">
        <v>26323</v>
      </c>
      <c r="E7" s="2728">
        <v>23365</v>
      </c>
      <c r="F7" s="2728">
        <v>25651</v>
      </c>
      <c r="G7" s="33"/>
      <c r="H7" s="2729">
        <f t="shared" si="0"/>
        <v>0.1042844333554247</v>
      </c>
    </row>
    <row r="8" spans="1:8" s="321" customFormat="1" x14ac:dyDescent="0.3">
      <c r="A8" s="321" t="s">
        <v>1119</v>
      </c>
      <c r="B8" s="2728">
        <v>15410</v>
      </c>
      <c r="C8" s="2728">
        <v>14539</v>
      </c>
      <c r="D8" s="2728">
        <v>14424</v>
      </c>
      <c r="E8" s="2728">
        <v>13257</v>
      </c>
      <c r="F8" s="2728">
        <v>14553</v>
      </c>
      <c r="G8" s="33"/>
      <c r="H8" s="2729">
        <f t="shared" si="0"/>
        <v>5.8888201745344704E-2</v>
      </c>
    </row>
    <row r="9" spans="1:8" s="321" customFormat="1" x14ac:dyDescent="0.3">
      <c r="A9" s="321" t="s">
        <v>1120</v>
      </c>
      <c r="B9" s="2728">
        <v>1249</v>
      </c>
      <c r="C9" s="2728">
        <v>1800</v>
      </c>
      <c r="D9" s="2728">
        <v>1766</v>
      </c>
      <c r="E9" s="2728">
        <v>3367</v>
      </c>
      <c r="F9" s="2728">
        <v>5032</v>
      </c>
      <c r="G9" s="33"/>
      <c r="H9" s="2729">
        <f t="shared" si="0"/>
        <v>-0.75178855325914151</v>
      </c>
    </row>
    <row r="10" spans="1:8" s="321" customFormat="1" x14ac:dyDescent="0.3">
      <c r="A10" s="321" t="s">
        <v>1097</v>
      </c>
      <c r="B10" s="2728">
        <f>B7+B8+B9</f>
        <v>44985</v>
      </c>
      <c r="C10" s="2728">
        <f t="shared" ref="C10:F10" si="2">C7+C8+C9</f>
        <v>42881</v>
      </c>
      <c r="D10" s="2728">
        <f t="shared" si="2"/>
        <v>42513</v>
      </c>
      <c r="E10" s="2728">
        <f t="shared" si="2"/>
        <v>39989</v>
      </c>
      <c r="F10" s="2728">
        <f t="shared" si="2"/>
        <v>45236</v>
      </c>
      <c r="G10" s="33"/>
      <c r="H10" s="2729">
        <f t="shared" si="0"/>
        <v>-5.5486780440356931E-3</v>
      </c>
    </row>
    <row r="11" spans="1:8" s="321" customFormat="1" x14ac:dyDescent="0.3">
      <c r="A11" s="321" t="s">
        <v>1098</v>
      </c>
      <c r="B11" s="2733">
        <f>B10/B3</f>
        <v>8.8238582533527135E-2</v>
      </c>
      <c r="C11" s="2733">
        <f t="shared" ref="C11:F11" si="3">C10/C3</f>
        <v>9.4283119801412019E-2</v>
      </c>
      <c r="D11" s="2733">
        <f t="shared" si="3"/>
        <v>9.6667250282523126E-2</v>
      </c>
      <c r="E11" s="2733">
        <f t="shared" si="3"/>
        <v>8.9306611400444866E-2</v>
      </c>
      <c r="F11" s="2733">
        <f t="shared" si="3"/>
        <v>9.8030547320608175E-2</v>
      </c>
      <c r="G11" s="33"/>
      <c r="H11" s="2729">
        <f t="shared" si="0"/>
        <v>-9.9886872558780038E-2</v>
      </c>
    </row>
    <row r="12" spans="1:8" s="321" customFormat="1" x14ac:dyDescent="0.3">
      <c r="B12" s="2733"/>
      <c r="C12" s="2733"/>
      <c r="D12" s="2733"/>
      <c r="E12" s="2733"/>
      <c r="F12" s="2733"/>
      <c r="G12" s="33"/>
      <c r="H12" s="2729" t="e">
        <f t="shared" si="0"/>
        <v>#DIV/0!</v>
      </c>
    </row>
    <row r="13" spans="1:8" s="321" customFormat="1" x14ac:dyDescent="0.3">
      <c r="A13" s="321" t="s">
        <v>251</v>
      </c>
      <c r="B13" s="2731"/>
      <c r="C13" s="2731"/>
      <c r="D13" s="2731"/>
      <c r="E13" s="2731"/>
      <c r="F13" s="2731"/>
      <c r="G13" s="33"/>
      <c r="H13" s="2729" t="e">
        <f t="shared" si="0"/>
        <v>#DIV/0!</v>
      </c>
    </row>
    <row r="14" spans="1:8" s="321" customFormat="1" x14ac:dyDescent="0.3">
      <c r="A14" s="2730" t="s">
        <v>1122</v>
      </c>
      <c r="B14" s="2731">
        <v>67107</v>
      </c>
      <c r="C14" s="2731">
        <v>48932</v>
      </c>
      <c r="D14" s="2731">
        <v>43245</v>
      </c>
      <c r="E14" s="2731">
        <v>44233</v>
      </c>
      <c r="F14" s="2731">
        <v>42107</v>
      </c>
      <c r="G14" s="2734">
        <f>SUM(B14:F14)</f>
        <v>245624</v>
      </c>
      <c r="H14" s="2729">
        <f t="shared" si="0"/>
        <v>0.59372550882276109</v>
      </c>
    </row>
    <row r="15" spans="1:8" s="321" customFormat="1" x14ac:dyDescent="0.3">
      <c r="A15" s="2730" t="s">
        <v>3094</v>
      </c>
      <c r="B15" s="2732">
        <f>B14/B4</f>
        <v>0.1937397690955231</v>
      </c>
      <c r="C15" s="2732">
        <f t="shared" ref="C15:F15" si="4">C14/C4</f>
        <v>0.16715973299262793</v>
      </c>
      <c r="D15" s="2732">
        <f t="shared" si="4"/>
        <v>0.16299615925341013</v>
      </c>
      <c r="E15" s="2732">
        <f t="shared" si="4"/>
        <v>0.16927080343646556</v>
      </c>
      <c r="F15" s="2732">
        <f t="shared" si="4"/>
        <v>0.17537714395195214</v>
      </c>
      <c r="G15" s="2734"/>
    </row>
    <row r="16" spans="1:8" s="321" customFormat="1" x14ac:dyDescent="0.3">
      <c r="A16" s="2730" t="s">
        <v>1124</v>
      </c>
      <c r="B16" s="2732">
        <f>B14/(B14+B17)</f>
        <v>1.3197309681606324</v>
      </c>
      <c r="C16" s="2732">
        <f t="shared" ref="C16:F16" si="5">C14/(C14+C17)</f>
        <v>1.0108246570814741</v>
      </c>
      <c r="D16" s="2732">
        <f t="shared" si="5"/>
        <v>0.90018734388009991</v>
      </c>
      <c r="E16" s="2732">
        <f t="shared" si="5"/>
        <v>0.96528020251396651</v>
      </c>
      <c r="F16" s="2732">
        <f t="shared" si="5"/>
        <v>0.8201437447653922</v>
      </c>
      <c r="G16" s="33"/>
    </row>
    <row r="17" spans="1:7" s="321" customFormat="1" x14ac:dyDescent="0.3">
      <c r="A17" s="2730" t="s">
        <v>1123</v>
      </c>
      <c r="B17" s="2728">
        <v>-16258</v>
      </c>
      <c r="C17" s="2728">
        <v>-524</v>
      </c>
      <c r="D17" s="2728">
        <v>4795</v>
      </c>
      <c r="E17" s="2728">
        <v>1591</v>
      </c>
      <c r="F17" s="2728">
        <v>9234</v>
      </c>
      <c r="G17" s="2734">
        <f>SUM(B17:F17)</f>
        <v>-1162</v>
      </c>
    </row>
    <row r="18" spans="1:7" s="321" customFormat="1" x14ac:dyDescent="0.3">
      <c r="A18" s="2730" t="s">
        <v>3098</v>
      </c>
      <c r="B18" s="2732">
        <f>B17/B6</f>
        <v>-9.9477464909382377E-2</v>
      </c>
      <c r="C18" s="2732">
        <f t="shared" ref="C18:F18" si="6">C17/C6</f>
        <v>-3.2328716414227101E-3</v>
      </c>
      <c r="D18" s="2732">
        <f t="shared" si="6"/>
        <v>2.7482604858030422E-2</v>
      </c>
      <c r="E18" s="2732">
        <f t="shared" si="6"/>
        <v>8.5327984468268822E-3</v>
      </c>
      <c r="F18" s="2732">
        <f t="shared" si="6"/>
        <v>4.1715984350858805E-2</v>
      </c>
      <c r="G18" s="2734"/>
    </row>
    <row r="19" spans="1:7" s="321" customFormat="1" x14ac:dyDescent="0.3">
      <c r="A19" s="2730"/>
      <c r="B19" s="2728"/>
      <c r="C19" s="2728"/>
      <c r="D19" s="2728"/>
      <c r="E19" s="2728"/>
      <c r="F19" s="2728"/>
      <c r="G19" s="33"/>
    </row>
    <row r="20" spans="1:7" s="321" customFormat="1" x14ac:dyDescent="0.3">
      <c r="A20" s="321" t="s">
        <v>333</v>
      </c>
      <c r="B20" s="2728">
        <v>39750</v>
      </c>
      <c r="C20" s="2728">
        <v>30750</v>
      </c>
      <c r="D20" s="2728">
        <v>23750</v>
      </c>
      <c r="E20" s="2728">
        <v>32890</v>
      </c>
      <c r="F20" s="2728">
        <v>57137</v>
      </c>
      <c r="G20" s="33">
        <v>65323</v>
      </c>
    </row>
    <row r="21" spans="1:7" s="321" customFormat="1" x14ac:dyDescent="0.3">
      <c r="A21" s="321" t="s">
        <v>746</v>
      </c>
      <c r="B21" s="2728">
        <v>308180</v>
      </c>
      <c r="C21" s="2728">
        <v>292568</v>
      </c>
      <c r="D21" s="2728">
        <v>272980</v>
      </c>
      <c r="E21" s="2728">
        <v>252856</v>
      </c>
      <c r="F21" s="2728">
        <v>236489</v>
      </c>
      <c r="G21" s="33">
        <v>221900</v>
      </c>
    </row>
    <row r="22" spans="1:7" s="321" customFormat="1" x14ac:dyDescent="0.3">
      <c r="A22" s="321" t="s">
        <v>1099</v>
      </c>
      <c r="B22" s="2735">
        <f>B20+B21</f>
        <v>347930</v>
      </c>
      <c r="C22" s="2735">
        <f t="shared" ref="C22:G22" si="7">C20+C21</f>
        <v>323318</v>
      </c>
      <c r="D22" s="2735">
        <f t="shared" si="7"/>
        <v>296730</v>
      </c>
      <c r="E22" s="2735">
        <f t="shared" si="7"/>
        <v>285746</v>
      </c>
      <c r="F22" s="2735">
        <f t="shared" si="7"/>
        <v>293626</v>
      </c>
      <c r="G22" s="2735">
        <f t="shared" si="7"/>
        <v>287223</v>
      </c>
    </row>
    <row r="23" spans="1:7" x14ac:dyDescent="0.3">
      <c r="B23" s="230"/>
      <c r="C23" s="230"/>
      <c r="D23" s="230"/>
      <c r="E23" s="230"/>
      <c r="F23" s="230"/>
    </row>
    <row r="24" spans="1:7" x14ac:dyDescent="0.3">
      <c r="A24" s="459" t="s">
        <v>1673</v>
      </c>
      <c r="B24" s="230"/>
      <c r="C24" s="230"/>
      <c r="D24" s="230"/>
      <c r="E24" s="230"/>
      <c r="F24" s="230"/>
    </row>
    <row r="25" spans="1:7" x14ac:dyDescent="0.3">
      <c r="A25" s="152" t="s">
        <v>1729</v>
      </c>
      <c r="B25" s="230"/>
      <c r="C25" s="230"/>
      <c r="D25" s="230"/>
      <c r="E25" s="230"/>
      <c r="F25" s="230"/>
    </row>
    <row r="26" spans="1:7" ht="8.25" customHeight="1" thickBot="1" x14ac:dyDescent="0.35">
      <c r="B26" s="230"/>
      <c r="C26" s="230"/>
      <c r="D26" s="230"/>
      <c r="E26" s="230"/>
      <c r="F26" s="230"/>
    </row>
    <row r="27" spans="1:7" x14ac:dyDescent="0.3">
      <c r="A27" s="212" t="s">
        <v>1250</v>
      </c>
      <c r="B27" s="712">
        <f>B2</f>
        <v>1999</v>
      </c>
      <c r="C27" s="712">
        <f t="shared" ref="C27:F27" si="8">C2</f>
        <v>1998</v>
      </c>
      <c r="D27" s="712">
        <f t="shared" si="8"/>
        <v>1997</v>
      </c>
      <c r="E27" s="712">
        <f t="shared" si="8"/>
        <v>1996</v>
      </c>
      <c r="F27" s="713">
        <f t="shared" si="8"/>
        <v>1995</v>
      </c>
    </row>
    <row r="28" spans="1:7" x14ac:dyDescent="0.3">
      <c r="A28" s="214" t="s">
        <v>3759</v>
      </c>
      <c r="B28" s="1346">
        <f>B3</f>
        <v>509811</v>
      </c>
      <c r="C28" s="1346">
        <f t="shared" ref="C28:F28" si="9">C3</f>
        <v>454811</v>
      </c>
      <c r="D28" s="1346">
        <f t="shared" si="9"/>
        <v>439787</v>
      </c>
      <c r="E28" s="1346">
        <f t="shared" si="9"/>
        <v>447772</v>
      </c>
      <c r="F28" s="1347">
        <f t="shared" si="9"/>
        <v>461448</v>
      </c>
    </row>
    <row r="29" spans="1:7" x14ac:dyDescent="0.3">
      <c r="A29" s="214" t="s">
        <v>1703</v>
      </c>
      <c r="B29" s="1357">
        <f>B28/(AVERAGE(B22:C22))</f>
        <v>1.5189944700021452</v>
      </c>
      <c r="C29" s="1357">
        <f t="shared" ref="C29:F29" si="10">C28/(AVERAGE(C22:D22))</f>
        <v>1.4670186824245866</v>
      </c>
      <c r="D29" s="1357">
        <f t="shared" si="10"/>
        <v>1.5100605003467955</v>
      </c>
      <c r="E29" s="1357">
        <f t="shared" si="10"/>
        <v>1.5457150155685813</v>
      </c>
      <c r="F29" s="1358">
        <f t="shared" si="10"/>
        <v>1.5888742168790857</v>
      </c>
    </row>
    <row r="30" spans="1:7" x14ac:dyDescent="0.3">
      <c r="A30" s="214" t="s">
        <v>1993</v>
      </c>
      <c r="B30" s="910">
        <f>B11</f>
        <v>8.8238582533527135E-2</v>
      </c>
      <c r="C30" s="910">
        <f t="shared" ref="C30:F30" si="11">C11</f>
        <v>9.4283119801412019E-2</v>
      </c>
      <c r="D30" s="910">
        <f t="shared" si="11"/>
        <v>9.6667250282523126E-2</v>
      </c>
      <c r="E30" s="910">
        <f t="shared" si="11"/>
        <v>8.9306611400444866E-2</v>
      </c>
      <c r="F30" s="912">
        <f t="shared" si="11"/>
        <v>9.8030547320608175E-2</v>
      </c>
    </row>
    <row r="31" spans="1:7" x14ac:dyDescent="0.3">
      <c r="A31" s="214" t="s">
        <v>1563</v>
      </c>
      <c r="B31" s="917">
        <f>B29*B30</f>
        <v>0.13403391890925559</v>
      </c>
      <c r="C31" s="917">
        <f t="shared" ref="C31:F31" si="12">C29*C30</f>
        <v>0.13831509818594689</v>
      </c>
      <c r="D31" s="917">
        <f t="shared" si="12"/>
        <v>0.14597339632877579</v>
      </c>
      <c r="E31" s="917">
        <f t="shared" si="12"/>
        <v>0.13804257023121588</v>
      </c>
      <c r="F31" s="918">
        <f t="shared" si="12"/>
        <v>0.15575820910425947</v>
      </c>
    </row>
    <row r="32" spans="1:7" ht="4.5" customHeight="1" x14ac:dyDescent="0.3">
      <c r="A32" s="214"/>
      <c r="B32" s="220"/>
      <c r="C32" s="220"/>
      <c r="D32" s="220"/>
      <c r="E32" s="220"/>
      <c r="F32" s="223"/>
    </row>
    <row r="33" spans="1:10" ht="4.5" customHeight="1" x14ac:dyDescent="0.3">
      <c r="A33" s="1155"/>
      <c r="B33" s="684"/>
      <c r="C33" s="684"/>
      <c r="D33" s="684"/>
      <c r="E33" s="684"/>
      <c r="F33" s="1279"/>
    </row>
    <row r="34" spans="1:10" ht="4.5" customHeight="1" x14ac:dyDescent="0.3">
      <c r="A34" s="214"/>
      <c r="B34" s="220"/>
      <c r="C34" s="220"/>
      <c r="D34" s="220"/>
      <c r="E34" s="220"/>
      <c r="F34" s="223"/>
    </row>
    <row r="35" spans="1:10" x14ac:dyDescent="0.3">
      <c r="A35" s="214" t="s">
        <v>1730</v>
      </c>
      <c r="B35" s="1346">
        <v>570000</v>
      </c>
      <c r="C35" s="220"/>
      <c r="D35" s="220"/>
      <c r="E35" s="220"/>
      <c r="F35" s="223"/>
    </row>
    <row r="36" spans="1:10" x14ac:dyDescent="0.3">
      <c r="A36" s="214" t="s">
        <v>1731</v>
      </c>
      <c r="B36" s="1359">
        <f>B20</f>
        <v>39750</v>
      </c>
      <c r="C36" s="220"/>
      <c r="D36" s="220"/>
      <c r="E36" s="220"/>
      <c r="F36" s="223"/>
    </row>
    <row r="37" spans="1:10" x14ac:dyDescent="0.3">
      <c r="A37" s="214" t="s">
        <v>1708</v>
      </c>
      <c r="B37" s="1360">
        <f>B35+B36</f>
        <v>609750</v>
      </c>
      <c r="C37" s="220"/>
      <c r="D37" s="220"/>
      <c r="E37" s="220"/>
      <c r="F37" s="223"/>
    </row>
    <row r="38" spans="1:10" ht="4.5" customHeight="1" x14ac:dyDescent="0.3">
      <c r="A38" s="214"/>
      <c r="B38" s="220"/>
      <c r="C38" s="220"/>
      <c r="D38" s="220"/>
      <c r="E38" s="220"/>
      <c r="F38" s="223"/>
    </row>
    <row r="39" spans="1:10" ht="4.5" customHeight="1" x14ac:dyDescent="0.3">
      <c r="A39" s="1155"/>
      <c r="B39" s="684"/>
      <c r="C39" s="684"/>
      <c r="D39" s="684"/>
      <c r="E39" s="684"/>
      <c r="F39" s="1279"/>
    </row>
    <row r="40" spans="1:10" ht="4.5" customHeight="1" x14ac:dyDescent="0.3">
      <c r="A40" s="214"/>
      <c r="B40" s="220"/>
      <c r="C40" s="220"/>
      <c r="D40" s="220"/>
      <c r="E40" s="220"/>
      <c r="F40" s="223"/>
      <c r="J40" s="211" t="s">
        <v>176</v>
      </c>
    </row>
    <row r="41" spans="1:10" x14ac:dyDescent="0.3">
      <c r="A41" s="214" t="s">
        <v>1705</v>
      </c>
      <c r="B41" s="2692">
        <f>B37/B22</f>
        <v>1.7525076883281119</v>
      </c>
      <c r="C41" s="220"/>
      <c r="D41" s="220"/>
      <c r="E41" s="220"/>
      <c r="F41" s="223"/>
    </row>
    <row r="42" spans="1:10" ht="16.2" thickBot="1" x14ac:dyDescent="0.35">
      <c r="A42" s="224" t="s">
        <v>1706</v>
      </c>
      <c r="B42" s="232">
        <f>B31/B41</f>
        <v>7.6481215918158749E-2</v>
      </c>
      <c r="C42" s="218"/>
      <c r="D42" s="218"/>
      <c r="E42" s="218"/>
      <c r="F42" s="219"/>
    </row>
    <row r="43" spans="1:10" ht="33.75" customHeight="1" x14ac:dyDescent="0.3">
      <c r="A43" s="2811" t="s">
        <v>1913</v>
      </c>
      <c r="B43" s="2811"/>
      <c r="C43" s="2811"/>
      <c r="D43" s="2811"/>
      <c r="E43" s="2811"/>
      <c r="F43" s="2811"/>
    </row>
    <row r="45" spans="1:10" x14ac:dyDescent="0.3">
      <c r="A45" s="211" t="s">
        <v>1738</v>
      </c>
    </row>
    <row r="49" spans="10:15" x14ac:dyDescent="0.3">
      <c r="J49" s="459" t="s">
        <v>1673</v>
      </c>
      <c r="K49" s="230"/>
      <c r="L49" s="230"/>
      <c r="M49" s="230"/>
      <c r="N49" s="230"/>
      <c r="O49" s="230"/>
    </row>
    <row r="50" spans="10:15" x14ac:dyDescent="0.3">
      <c r="J50" s="152" t="s">
        <v>3097</v>
      </c>
      <c r="K50" s="230"/>
      <c r="L50" s="230"/>
      <c r="M50" s="230"/>
      <c r="N50" s="230"/>
      <c r="O50" s="230"/>
    </row>
    <row r="51" spans="10:15" ht="5.4" customHeight="1" thickBot="1" x14ac:dyDescent="0.35">
      <c r="K51" s="230"/>
      <c r="L51" s="230"/>
      <c r="M51" s="230"/>
      <c r="N51" s="230"/>
      <c r="O51" s="230"/>
    </row>
    <row r="52" spans="10:15" x14ac:dyDescent="0.3">
      <c r="J52" s="212" t="s">
        <v>1250</v>
      </c>
      <c r="K52" s="712">
        <v>1999</v>
      </c>
      <c r="L52" s="712">
        <v>1998</v>
      </c>
      <c r="M52" s="712">
        <v>1997</v>
      </c>
      <c r="N52" s="712">
        <v>1996</v>
      </c>
      <c r="O52" s="713">
        <v>1995</v>
      </c>
    </row>
    <row r="53" spans="10:15" x14ac:dyDescent="0.3">
      <c r="J53" s="214" t="s">
        <v>3759</v>
      </c>
      <c r="K53" s="1346">
        <f>B4</f>
        <v>346377</v>
      </c>
      <c r="L53" s="1346">
        <f t="shared" ref="L53:O53" si="13">C4</f>
        <v>292726</v>
      </c>
      <c r="M53" s="1346">
        <f t="shared" si="13"/>
        <v>265313</v>
      </c>
      <c r="N53" s="1346">
        <f t="shared" si="13"/>
        <v>261315</v>
      </c>
      <c r="O53" s="1347">
        <f t="shared" si="13"/>
        <v>240094</v>
      </c>
    </row>
    <row r="54" spans="10:15" x14ac:dyDescent="0.3">
      <c r="J54" s="214" t="s">
        <v>461</v>
      </c>
      <c r="K54" s="1380">
        <v>255.32</v>
      </c>
      <c r="L54" s="1380">
        <v>196.834</v>
      </c>
      <c r="M54" s="1380">
        <v>181.21</v>
      </c>
      <c r="N54" s="1380">
        <v>171.58699999999999</v>
      </c>
      <c r="O54" s="1381">
        <v>150.44</v>
      </c>
    </row>
    <row r="55" spans="10:15" x14ac:dyDescent="0.3">
      <c r="J55" s="214" t="s">
        <v>251</v>
      </c>
      <c r="K55" s="1380">
        <f>B14/1000</f>
        <v>67.106999999999999</v>
      </c>
      <c r="L55" s="1380">
        <f t="shared" ref="L55:O55" si="14">C14/1000</f>
        <v>48.932000000000002</v>
      </c>
      <c r="M55" s="1380">
        <f t="shared" si="14"/>
        <v>43.244999999999997</v>
      </c>
      <c r="N55" s="1380">
        <f t="shared" si="14"/>
        <v>44.232999999999997</v>
      </c>
      <c r="O55" s="1381">
        <f t="shared" si="14"/>
        <v>42.106999999999999</v>
      </c>
    </row>
    <row r="56" spans="10:15" x14ac:dyDescent="0.3">
      <c r="J56" s="214" t="s">
        <v>1993</v>
      </c>
      <c r="K56" s="910">
        <f>K55/K53*1000</f>
        <v>0.1937397690955231</v>
      </c>
      <c r="L56" s="910">
        <f t="shared" ref="L56:O56" si="15">L55/L53*1000</f>
        <v>0.1671597329926279</v>
      </c>
      <c r="M56" s="910">
        <f t="shared" si="15"/>
        <v>0.16299615925341013</v>
      </c>
      <c r="N56" s="910">
        <f t="shared" si="15"/>
        <v>0.16927080343646556</v>
      </c>
      <c r="O56" s="912">
        <f t="shared" si="15"/>
        <v>0.17537714395195214</v>
      </c>
    </row>
    <row r="57" spans="10:15" x14ac:dyDescent="0.3">
      <c r="J57" s="214" t="s">
        <v>3095</v>
      </c>
      <c r="K57" s="917">
        <f>K53*K56/K54/1000</f>
        <v>0.26283487388375376</v>
      </c>
      <c r="L57" s="917">
        <f>L53*L56/L54/1000</f>
        <v>0.24859526301350371</v>
      </c>
      <c r="M57" s="917">
        <f>M53*M56/M54/1000</f>
        <v>0.23864577010098778</v>
      </c>
      <c r="N57" s="917">
        <f>N53*N56/N54/1000</f>
        <v>0.25778759463129497</v>
      </c>
      <c r="O57" s="918">
        <f>O53*O56/O54/1000</f>
        <v>0.27989231587343788</v>
      </c>
    </row>
    <row r="58" spans="10:15" ht="2.4" customHeight="1" thickBot="1" x14ac:dyDescent="0.35">
      <c r="J58" s="224"/>
      <c r="K58" s="218"/>
      <c r="L58" s="218"/>
      <c r="M58" s="218"/>
      <c r="N58" s="218"/>
      <c r="O58" s="219"/>
    </row>
    <row r="59" spans="10:15" ht="15.6" customHeight="1" x14ac:dyDescent="0.3">
      <c r="J59" s="2811" t="s">
        <v>1913</v>
      </c>
      <c r="K59" s="2811"/>
      <c r="L59" s="2811"/>
      <c r="M59" s="2811"/>
      <c r="N59" s="2811"/>
      <c r="O59" s="2811"/>
    </row>
    <row r="60" spans="10:15" x14ac:dyDescent="0.3">
      <c r="J60" s="2812"/>
      <c r="K60" s="2812"/>
      <c r="L60" s="2812"/>
      <c r="M60" s="2812"/>
      <c r="N60" s="2812"/>
      <c r="O60" s="2812"/>
    </row>
    <row r="63" spans="10:15" x14ac:dyDescent="0.3">
      <c r="J63" s="211" t="s">
        <v>3083</v>
      </c>
      <c r="K63" s="604">
        <f>K53/K54/1000</f>
        <v>1.3566387278709071</v>
      </c>
      <c r="L63" s="604">
        <f t="shared" ref="L63:O63" si="16">L53/L54/1000</f>
        <v>1.4871719316784702</v>
      </c>
      <c r="M63" s="604">
        <f t="shared" si="16"/>
        <v>1.4641189779813475</v>
      </c>
      <c r="N63" s="604">
        <f t="shared" si="16"/>
        <v>1.5229300588039887</v>
      </c>
      <c r="O63" s="604">
        <f t="shared" si="16"/>
        <v>1.595945227333156</v>
      </c>
    </row>
  </sheetData>
  <mergeCells count="2">
    <mergeCell ref="A43:F43"/>
    <mergeCell ref="J59:O60"/>
  </mergeCell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22A9-DD2B-473E-96E8-92DBAD9B9D2B}">
  <sheetPr codeName="Sheet69">
    <tabColor theme="9" tint="0.59999389629810485"/>
  </sheetPr>
  <dimension ref="A1:H69"/>
  <sheetViews>
    <sheetView showGridLines="0" zoomScaleNormal="100" workbookViewId="0">
      <pane xSplit="1" ySplit="3" topLeftCell="B26" activePane="bottomRight" state="frozen"/>
      <selection activeCell="K47" sqref="K47"/>
      <selection pane="topRight" activeCell="K47" sqref="K47"/>
      <selection pane="bottomLeft" activeCell="K47" sqref="K47"/>
      <selection pane="bottomRight" activeCell="O70" sqref="O70"/>
    </sheetView>
  </sheetViews>
  <sheetFormatPr defaultColWidth="9.109375" defaultRowHeight="15.6" x14ac:dyDescent="0.3"/>
  <cols>
    <col min="1" max="1" width="29" style="211" customWidth="1"/>
    <col min="2" max="6" width="9.6640625" style="211" customWidth="1"/>
    <col min="7" max="7" width="12.109375" style="211" bestFit="1" customWidth="1"/>
    <col min="8" max="16384" width="9.109375" style="211"/>
  </cols>
  <sheetData>
    <row r="1" spans="1:7" x14ac:dyDescent="0.3">
      <c r="A1" s="152" t="s">
        <v>982</v>
      </c>
    </row>
    <row r="3" spans="1:7" x14ac:dyDescent="0.3">
      <c r="A3" s="320" t="s">
        <v>1101</v>
      </c>
      <c r="B3" s="152">
        <v>1999</v>
      </c>
      <c r="C3" s="152">
        <v>1998</v>
      </c>
      <c r="D3" s="152">
        <v>1997</v>
      </c>
      <c r="E3" s="152">
        <v>1996</v>
      </c>
      <c r="F3" s="152">
        <v>1995</v>
      </c>
      <c r="G3" s="152">
        <v>1994</v>
      </c>
    </row>
    <row r="4" spans="1:7" x14ac:dyDescent="0.3">
      <c r="A4" s="211" t="s">
        <v>627</v>
      </c>
      <c r="B4" s="230">
        <v>4107736</v>
      </c>
      <c r="C4" s="230">
        <v>3542202</v>
      </c>
      <c r="D4" s="230">
        <v>3575774</v>
      </c>
      <c r="E4" s="230">
        <v>3201554</v>
      </c>
      <c r="F4" s="230">
        <v>2869828</v>
      </c>
    </row>
    <row r="5" spans="1:7" x14ac:dyDescent="0.3">
      <c r="A5" s="211" t="s">
        <v>1094</v>
      </c>
      <c r="B5" s="230">
        <v>3028248</v>
      </c>
      <c r="C5" s="230">
        <v>2642453</v>
      </c>
      <c r="D5" s="230">
        <v>2680472</v>
      </c>
      <c r="E5" s="230">
        <v>2485068</v>
      </c>
      <c r="F5" s="230">
        <v>2319894</v>
      </c>
    </row>
    <row r="6" spans="1:7" x14ac:dyDescent="0.3">
      <c r="A6" s="211" t="s">
        <v>1095</v>
      </c>
      <c r="B6" s="472">
        <f>B4-B5</f>
        <v>1079488</v>
      </c>
      <c r="C6" s="472">
        <f>C4-C5</f>
        <v>899749</v>
      </c>
      <c r="D6" s="472">
        <f>D4-D5</f>
        <v>895302</v>
      </c>
      <c r="E6" s="472">
        <f>E4-E5</f>
        <v>716486</v>
      </c>
      <c r="F6" s="472">
        <f>F4-F5</f>
        <v>549934</v>
      </c>
    </row>
    <row r="7" spans="1:7" s="320" customFormat="1" x14ac:dyDescent="0.3">
      <c r="A7" s="320" t="s">
        <v>1096</v>
      </c>
      <c r="B7" s="1273">
        <f>B6/$B$4</f>
        <v>0.26279390885879716</v>
      </c>
      <c r="C7" s="1273">
        <f>C6/$B$4</f>
        <v>0.21903768888750397</v>
      </c>
      <c r="D7" s="1273">
        <f>D6/$B$4</f>
        <v>0.21795509740645455</v>
      </c>
      <c r="E7" s="1273">
        <f>E6/$B$4</f>
        <v>0.17442357541964723</v>
      </c>
      <c r="F7" s="1273">
        <f>F6/$B$4</f>
        <v>0.13387763965357072</v>
      </c>
    </row>
    <row r="8" spans="1:7" x14ac:dyDescent="0.3">
      <c r="B8" s="230"/>
      <c r="C8" s="230"/>
      <c r="D8" s="230"/>
      <c r="E8" s="230"/>
      <c r="F8" s="230"/>
    </row>
    <row r="9" spans="1:7" x14ac:dyDescent="0.3">
      <c r="A9" s="211" t="s">
        <v>532</v>
      </c>
      <c r="B9" s="230">
        <v>382387</v>
      </c>
      <c r="C9" s="230">
        <v>57092</v>
      </c>
      <c r="D9" s="230">
        <v>30283</v>
      </c>
      <c r="E9" s="230">
        <v>73618</v>
      </c>
      <c r="F9" s="230">
        <v>106755</v>
      </c>
    </row>
    <row r="10" spans="1:7" x14ac:dyDescent="0.3">
      <c r="A10" s="211" t="s">
        <v>293</v>
      </c>
      <c r="B10" s="503">
        <v>62812</v>
      </c>
      <c r="C10" s="503">
        <v>62553</v>
      </c>
      <c r="D10" s="503">
        <v>60769</v>
      </c>
      <c r="E10" s="503">
        <v>42442</v>
      </c>
      <c r="F10" s="503">
        <v>41901</v>
      </c>
    </row>
    <row r="11" spans="1:7" x14ac:dyDescent="0.3">
      <c r="A11" s="211" t="s">
        <v>1097</v>
      </c>
      <c r="B11" s="230">
        <f>SUM(B9:B10)</f>
        <v>445199</v>
      </c>
      <c r="C11" s="230">
        <f>SUM(C9:C10)</f>
        <v>119645</v>
      </c>
      <c r="D11" s="230">
        <f>SUM(D9:D10)</f>
        <v>91052</v>
      </c>
      <c r="E11" s="230">
        <f>SUM(E9:E10)</f>
        <v>116060</v>
      </c>
      <c r="F11" s="230">
        <f>SUM(F9:F10)</f>
        <v>148656</v>
      </c>
    </row>
    <row r="12" spans="1:7" s="320" customFormat="1" x14ac:dyDescent="0.3">
      <c r="A12" s="320" t="s">
        <v>1098</v>
      </c>
      <c r="B12" s="1273">
        <f>B11/B4</f>
        <v>0.10838062621356387</v>
      </c>
      <c r="C12" s="1273">
        <f>C11/C4</f>
        <v>3.3777012152327847E-2</v>
      </c>
      <c r="D12" s="1273">
        <f>D11/D4</f>
        <v>2.546357795543007E-2</v>
      </c>
      <c r="E12" s="1273">
        <f>E11/E4</f>
        <v>3.6251145537448376E-2</v>
      </c>
      <c r="F12" s="1273">
        <f>F11/F4</f>
        <v>5.1799620046915705E-2</v>
      </c>
    </row>
    <row r="13" spans="1:7" x14ac:dyDescent="0.3">
      <c r="B13" s="227"/>
      <c r="C13" s="227"/>
      <c r="D13" s="227"/>
      <c r="E13" s="227"/>
      <c r="F13" s="227"/>
    </row>
    <row r="14" spans="1:7" x14ac:dyDescent="0.3">
      <c r="A14" s="211" t="s">
        <v>1104</v>
      </c>
      <c r="B14" s="230">
        <v>0</v>
      </c>
      <c r="C14" s="230">
        <f>132303+22247</f>
        <v>154550</v>
      </c>
      <c r="D14" s="230">
        <f>47952+3953+36787</f>
        <v>88692</v>
      </c>
      <c r="E14" s="230">
        <f>29139+19963</f>
        <v>49102</v>
      </c>
      <c r="F14" s="230">
        <v>6967</v>
      </c>
    </row>
    <row r="15" spans="1:7" x14ac:dyDescent="0.3">
      <c r="A15" s="211" t="s">
        <v>1739</v>
      </c>
      <c r="B15" s="230">
        <f>35335-23271</f>
        <v>12064</v>
      </c>
      <c r="C15" s="230">
        <f>23271-17858</f>
        <v>5413</v>
      </c>
      <c r="D15" s="230">
        <f>17858-11485</f>
        <v>6373</v>
      </c>
      <c r="E15" s="230">
        <f>11485-6210</f>
        <v>5275</v>
      </c>
      <c r="F15" s="230">
        <f>6210-1135</f>
        <v>5075</v>
      </c>
    </row>
    <row r="16" spans="1:7" x14ac:dyDescent="0.3">
      <c r="A16" s="211" t="s">
        <v>1103</v>
      </c>
      <c r="B16" s="503">
        <v>2925</v>
      </c>
      <c r="C16" s="503">
        <v>1947</v>
      </c>
      <c r="D16" s="503">
        <v>4262</v>
      </c>
      <c r="E16" s="503">
        <v>3868</v>
      </c>
      <c r="F16" s="503">
        <v>1229</v>
      </c>
    </row>
    <row r="17" spans="1:8" x14ac:dyDescent="0.3">
      <c r="A17" s="211" t="s">
        <v>1105</v>
      </c>
      <c r="B17" s="230">
        <f>B11+B14+B16+B15</f>
        <v>460188</v>
      </c>
      <c r="C17" s="230">
        <f t="shared" ref="C17:F17" si="0">C11+C14+C16+C15</f>
        <v>281555</v>
      </c>
      <c r="D17" s="230">
        <f t="shared" si="0"/>
        <v>190379</v>
      </c>
      <c r="E17" s="230">
        <f t="shared" si="0"/>
        <v>174305</v>
      </c>
      <c r="F17" s="230">
        <f t="shared" si="0"/>
        <v>161927</v>
      </c>
    </row>
    <row r="18" spans="1:8" s="320" customFormat="1" x14ac:dyDescent="0.3">
      <c r="A18" s="320" t="s">
        <v>1106</v>
      </c>
      <c r="B18" s="1273">
        <f>B17/B4</f>
        <v>0.1120295948912004</v>
      </c>
      <c r="C18" s="1273">
        <f>C17/C4</f>
        <v>7.9485867830236673E-2</v>
      </c>
      <c r="D18" s="1273">
        <f>D17/D4</f>
        <v>5.3241340196556047E-2</v>
      </c>
      <c r="E18" s="1273">
        <f>E17/E4</f>
        <v>5.4443873194080124E-2</v>
      </c>
      <c r="F18" s="1273">
        <f>F17/F4</f>
        <v>5.6423938995647127E-2</v>
      </c>
    </row>
    <row r="19" spans="1:8" x14ac:dyDescent="0.3">
      <c r="B19" s="230"/>
      <c r="C19" s="230"/>
      <c r="D19" s="230"/>
      <c r="E19" s="230"/>
      <c r="F19" s="230"/>
    </row>
    <row r="20" spans="1:8" x14ac:dyDescent="0.3">
      <c r="A20" s="211" t="s">
        <v>746</v>
      </c>
      <c r="B20" s="230">
        <v>868585</v>
      </c>
      <c r="C20" s="230">
        <v>797368</v>
      </c>
      <c r="D20" s="230">
        <v>637534</v>
      </c>
      <c r="E20" s="230">
        <v>671711</v>
      </c>
      <c r="F20" s="230">
        <v>710189</v>
      </c>
      <c r="G20" s="230">
        <v>713020</v>
      </c>
    </row>
    <row r="21" spans="1:8" x14ac:dyDescent="0.3">
      <c r="A21" s="211" t="s">
        <v>333</v>
      </c>
      <c r="B21" s="230">
        <v>823821</v>
      </c>
      <c r="C21" s="230">
        <v>927434</v>
      </c>
      <c r="D21" s="230">
        <v>930424</v>
      </c>
      <c r="E21" s="230">
        <v>825280</v>
      </c>
      <c r="F21" s="230">
        <v>627130</v>
      </c>
      <c r="G21" s="230">
        <v>612060</v>
      </c>
    </row>
    <row r="22" spans="1:8" ht="18.600000000000001" x14ac:dyDescent="0.3">
      <c r="A22" s="211" t="s">
        <v>1734</v>
      </c>
      <c r="B22" s="472">
        <v>1692406</v>
      </c>
      <c r="C22" s="472">
        <v>1724802</v>
      </c>
      <c r="D22" s="472">
        <v>1567958</v>
      </c>
      <c r="E22" s="472">
        <v>1496991</v>
      </c>
      <c r="F22" s="472">
        <v>1337319</v>
      </c>
      <c r="G22" s="472">
        <f>G20+G21</f>
        <v>1325080</v>
      </c>
    </row>
    <row r="23" spans="1:8" x14ac:dyDescent="0.3">
      <c r="A23" s="211" t="s">
        <v>1107</v>
      </c>
      <c r="B23" s="230">
        <v>418923</v>
      </c>
      <c r="C23" s="230">
        <v>416028</v>
      </c>
      <c r="D23" s="230">
        <v>236209</v>
      </c>
      <c r="E23" s="230">
        <v>212398</v>
      </c>
      <c r="F23" s="230">
        <v>104280</v>
      </c>
      <c r="G23" s="646">
        <v>106960</v>
      </c>
      <c r="H23" s="320"/>
    </row>
    <row r="24" spans="1:8" x14ac:dyDescent="0.3">
      <c r="A24" s="211" t="s">
        <v>1100</v>
      </c>
      <c r="B24" s="472">
        <f t="shared" ref="B24:G24" si="1">B22-B23</f>
        <v>1273483</v>
      </c>
      <c r="C24" s="472">
        <f t="shared" si="1"/>
        <v>1308774</v>
      </c>
      <c r="D24" s="472">
        <f t="shared" si="1"/>
        <v>1331749</v>
      </c>
      <c r="E24" s="472">
        <f t="shared" si="1"/>
        <v>1284593</v>
      </c>
      <c r="F24" s="472">
        <f t="shared" si="1"/>
        <v>1233039</v>
      </c>
      <c r="G24" s="472">
        <f t="shared" si="1"/>
        <v>1218120</v>
      </c>
    </row>
    <row r="25" spans="1:8" x14ac:dyDescent="0.3">
      <c r="B25" s="230"/>
      <c r="C25" s="230"/>
      <c r="D25" s="230"/>
      <c r="E25" s="230"/>
      <c r="F25" s="230"/>
    </row>
    <row r="26" spans="1:8" x14ac:dyDescent="0.3">
      <c r="A26" s="459" t="s">
        <v>1673</v>
      </c>
      <c r="B26" s="230"/>
      <c r="C26" s="230"/>
      <c r="D26" s="230"/>
      <c r="E26" s="230"/>
      <c r="F26" s="230"/>
    </row>
    <row r="27" spans="1:8" x14ac:dyDescent="0.3">
      <c r="A27" s="152" t="s">
        <v>1733</v>
      </c>
      <c r="B27" s="230"/>
      <c r="C27" s="230"/>
      <c r="D27" s="230"/>
      <c r="E27" s="230"/>
      <c r="F27" s="230"/>
    </row>
    <row r="28" spans="1:8" ht="8.25" customHeight="1" thickBot="1" x14ac:dyDescent="0.35">
      <c r="B28" s="230"/>
      <c r="C28" s="230"/>
      <c r="D28" s="230"/>
      <c r="E28" s="230"/>
      <c r="F28" s="230"/>
    </row>
    <row r="29" spans="1:8" x14ac:dyDescent="0.3">
      <c r="A29" s="212" t="s">
        <v>1250</v>
      </c>
      <c r="B29" s="712">
        <f>B3</f>
        <v>1999</v>
      </c>
      <c r="C29" s="712">
        <f t="shared" ref="C29:F29" si="2">C3</f>
        <v>1998</v>
      </c>
      <c r="D29" s="712">
        <f t="shared" si="2"/>
        <v>1997</v>
      </c>
      <c r="E29" s="712">
        <f t="shared" si="2"/>
        <v>1996</v>
      </c>
      <c r="F29" s="713">
        <f t="shared" si="2"/>
        <v>1995</v>
      </c>
    </row>
    <row r="30" spans="1:8" x14ac:dyDescent="0.3">
      <c r="A30" s="214" t="s">
        <v>975</v>
      </c>
      <c r="B30" s="1346">
        <f>B4</f>
        <v>4107736</v>
      </c>
      <c r="C30" s="1346">
        <f t="shared" ref="C30:F30" si="3">C4</f>
        <v>3542202</v>
      </c>
      <c r="D30" s="1346">
        <f t="shared" si="3"/>
        <v>3575774</v>
      </c>
      <c r="E30" s="1346">
        <f t="shared" si="3"/>
        <v>3201554</v>
      </c>
      <c r="F30" s="1347">
        <f t="shared" si="3"/>
        <v>2869828</v>
      </c>
    </row>
    <row r="31" spans="1:8" ht="18.600000000000001" x14ac:dyDescent="0.3">
      <c r="A31" s="214" t="s">
        <v>1737</v>
      </c>
      <c r="B31" s="1361">
        <f>B4/AVERAGE(B24:C24)</f>
        <v>3.1815082697035963</v>
      </c>
      <c r="C31" s="1361">
        <f t="shared" ref="C31:D31" si="4">C4/AVERAGE(C24:D24)</f>
        <v>2.6829548540194499</v>
      </c>
      <c r="D31" s="1361">
        <f t="shared" si="4"/>
        <v>2.7334148211510576</v>
      </c>
      <c r="E31" s="1361">
        <f>E4/AVERAGE(E24:F24)</f>
        <v>2.5433057730438762</v>
      </c>
      <c r="F31" s="1362">
        <f>F4/AVERAGE(F24:G24)</f>
        <v>2.3416090102682037</v>
      </c>
    </row>
    <row r="32" spans="1:8" ht="18.600000000000001" x14ac:dyDescent="0.3">
      <c r="A32" s="214" t="s">
        <v>2199</v>
      </c>
      <c r="B32" s="917">
        <f>B18</f>
        <v>0.1120295948912004</v>
      </c>
      <c r="C32" s="917">
        <f t="shared" ref="C32:F32" si="5">C18</f>
        <v>7.9485867830236673E-2</v>
      </c>
      <c r="D32" s="917">
        <f t="shared" si="5"/>
        <v>5.3241340196556047E-2</v>
      </c>
      <c r="E32" s="917">
        <f t="shared" si="5"/>
        <v>5.4443873194080124E-2</v>
      </c>
      <c r="F32" s="918">
        <f t="shared" si="5"/>
        <v>5.6423938995647127E-2</v>
      </c>
    </row>
    <row r="33" spans="1:8" x14ac:dyDescent="0.3">
      <c r="A33" s="214" t="s">
        <v>1563</v>
      </c>
      <c r="B33" s="917">
        <f>B31*B32</f>
        <v>0.35642308259789784</v>
      </c>
      <c r="C33" s="917">
        <f t="shared" ref="C33:F33" si="6">C31*C32</f>
        <v>0.21325699492108191</v>
      </c>
      <c r="D33" s="917">
        <f t="shared" si="6"/>
        <v>0.14553066839121187</v>
      </c>
      <c r="E33" s="917">
        <f t="shared" si="6"/>
        <v>0.13846741700137272</v>
      </c>
      <c r="F33" s="918">
        <f t="shared" si="6"/>
        <v>0.13212280394703077</v>
      </c>
    </row>
    <row r="34" spans="1:8" ht="4.5" customHeight="1" x14ac:dyDescent="0.3">
      <c r="A34" s="214"/>
      <c r="B34" s="215"/>
      <c r="C34" s="215"/>
      <c r="D34" s="215"/>
      <c r="E34" s="215"/>
      <c r="F34" s="260"/>
    </row>
    <row r="35" spans="1:8" ht="4.5" customHeight="1" x14ac:dyDescent="0.3">
      <c r="A35" s="1155"/>
      <c r="B35" s="686"/>
      <c r="C35" s="686"/>
      <c r="D35" s="686"/>
      <c r="E35" s="686"/>
      <c r="F35" s="1156"/>
    </row>
    <row r="36" spans="1:8" ht="4.5" customHeight="1" x14ac:dyDescent="0.3">
      <c r="A36" s="214"/>
      <c r="B36" s="215"/>
      <c r="C36" s="215"/>
      <c r="D36" s="215"/>
      <c r="E36" s="215"/>
      <c r="F36" s="260"/>
    </row>
    <row r="37" spans="1:8" x14ac:dyDescent="0.3">
      <c r="A37" s="214" t="s">
        <v>1730</v>
      </c>
      <c r="B37" s="1346">
        <f>B56</f>
        <v>2290950.7445589919</v>
      </c>
      <c r="C37" s="215"/>
      <c r="D37" s="215"/>
      <c r="E37" s="215"/>
      <c r="F37" s="260"/>
      <c r="H37" s="211" t="s">
        <v>176</v>
      </c>
    </row>
    <row r="38" spans="1:8" x14ac:dyDescent="0.3">
      <c r="A38" s="214" t="s">
        <v>1731</v>
      </c>
      <c r="B38" s="1359">
        <f>B57</f>
        <v>823821</v>
      </c>
      <c r="C38" s="215"/>
      <c r="D38" s="215"/>
      <c r="E38" s="215"/>
      <c r="F38" s="260"/>
    </row>
    <row r="39" spans="1:8" x14ac:dyDescent="0.3">
      <c r="A39" s="214" t="s">
        <v>1708</v>
      </c>
      <c r="B39" s="1360">
        <f>B58</f>
        <v>3114771.7445589919</v>
      </c>
      <c r="C39" s="215"/>
      <c r="D39" s="215"/>
      <c r="E39" s="215"/>
      <c r="F39" s="260"/>
    </row>
    <row r="40" spans="1:8" ht="4.5" customHeight="1" x14ac:dyDescent="0.3">
      <c r="A40" s="214"/>
      <c r="B40" s="215"/>
      <c r="C40" s="215"/>
      <c r="D40" s="215"/>
      <c r="E40" s="215"/>
      <c r="F40" s="260"/>
    </row>
    <row r="41" spans="1:8" ht="4.5" customHeight="1" x14ac:dyDescent="0.3">
      <c r="A41" s="1155"/>
      <c r="B41" s="686"/>
      <c r="C41" s="686"/>
      <c r="D41" s="686"/>
      <c r="E41" s="686"/>
      <c r="F41" s="1156"/>
    </row>
    <row r="42" spans="1:8" ht="4.5" customHeight="1" x14ac:dyDescent="0.3">
      <c r="A42" s="214"/>
      <c r="B42" s="215"/>
      <c r="C42" s="215"/>
      <c r="D42" s="215"/>
      <c r="E42" s="215"/>
      <c r="F42" s="260"/>
    </row>
    <row r="43" spans="1:8" x14ac:dyDescent="0.3">
      <c r="A43" s="214" t="s">
        <v>1705</v>
      </c>
      <c r="B43" s="2711">
        <f>B39/B24</f>
        <v>2.4458683347630017</v>
      </c>
      <c r="C43" s="215"/>
      <c r="D43" s="215"/>
      <c r="E43" s="215"/>
      <c r="F43" s="260"/>
    </row>
    <row r="44" spans="1:8" x14ac:dyDescent="0.3">
      <c r="A44" s="214" t="s">
        <v>1706</v>
      </c>
      <c r="B44" s="464">
        <f>B33/B43</f>
        <v>0.145724558240554</v>
      </c>
      <c r="C44" s="215"/>
      <c r="D44" s="215"/>
      <c r="E44" s="215"/>
      <c r="F44" s="260"/>
    </row>
    <row r="45" spans="1:8" ht="4.5" customHeight="1" x14ac:dyDescent="0.3">
      <c r="A45" s="734"/>
      <c r="B45" s="397"/>
      <c r="C45" s="397"/>
      <c r="D45" s="397"/>
      <c r="E45" s="220"/>
      <c r="F45" s="223"/>
    </row>
    <row r="46" spans="1:8" ht="4.5" customHeight="1" x14ac:dyDescent="0.3">
      <c r="A46" s="1155"/>
      <c r="B46" s="684"/>
      <c r="C46" s="684"/>
      <c r="D46" s="684"/>
      <c r="E46" s="684"/>
      <c r="F46" s="1279"/>
    </row>
    <row r="47" spans="1:8" x14ac:dyDescent="0.3">
      <c r="A47" s="1175" t="s">
        <v>1398</v>
      </c>
      <c r="B47" s="827"/>
      <c r="C47" s="397"/>
      <c r="D47" s="397"/>
      <c r="E47" s="220"/>
      <c r="F47" s="223"/>
    </row>
    <row r="48" spans="1:8" x14ac:dyDescent="0.3">
      <c r="A48" s="1175" t="s">
        <v>1911</v>
      </c>
      <c r="B48" s="827"/>
      <c r="C48" s="397"/>
      <c r="D48" s="397"/>
      <c r="E48" s="220"/>
      <c r="F48" s="223"/>
    </row>
    <row r="49" spans="1:6" ht="31.5" customHeight="1" thickBot="1" x14ac:dyDescent="0.35">
      <c r="A49" s="2918" t="s">
        <v>1740</v>
      </c>
      <c r="B49" s="2919"/>
      <c r="C49" s="2919"/>
      <c r="D49" s="2919"/>
      <c r="E49" s="2919"/>
      <c r="F49" s="2920"/>
    </row>
    <row r="50" spans="1:6" ht="30" customHeight="1" x14ac:dyDescent="0.3">
      <c r="A50" s="2811" t="s">
        <v>1914</v>
      </c>
      <c r="B50" s="2811"/>
      <c r="C50" s="2811"/>
      <c r="D50" s="2811"/>
      <c r="E50" s="2811"/>
      <c r="F50" s="2811"/>
    </row>
    <row r="51" spans="1:6" x14ac:dyDescent="0.3">
      <c r="B51" s="350"/>
    </row>
    <row r="52" spans="1:6" x14ac:dyDescent="0.3">
      <c r="A52" s="211" t="s">
        <v>1102</v>
      </c>
    </row>
    <row r="53" spans="1:6" x14ac:dyDescent="0.3">
      <c r="A53" s="211" t="s">
        <v>1108</v>
      </c>
    </row>
    <row r="56" spans="1:6" x14ac:dyDescent="0.3">
      <c r="A56" s="211" t="s">
        <v>1116</v>
      </c>
      <c r="B56" s="252">
        <f>2000/0.873*1000</f>
        <v>2290950.7445589919</v>
      </c>
    </row>
    <row r="57" spans="1:6" x14ac:dyDescent="0.3">
      <c r="A57" s="211" t="s">
        <v>333</v>
      </c>
      <c r="B57" s="278">
        <f>B21</f>
        <v>823821</v>
      </c>
    </row>
    <row r="58" spans="1:6" x14ac:dyDescent="0.3">
      <c r="A58" s="211" t="s">
        <v>1109</v>
      </c>
      <c r="B58" s="277">
        <f>B56+B57</f>
        <v>3114771.7445589919</v>
      </c>
    </row>
    <row r="60" spans="1:6" x14ac:dyDescent="0.3">
      <c r="A60" s="211" t="s">
        <v>1110</v>
      </c>
      <c r="B60" s="348">
        <f>B58/B24</f>
        <v>2.4458683347630017</v>
      </c>
    </row>
    <row r="62" spans="1:6" x14ac:dyDescent="0.3">
      <c r="A62" s="211" t="s">
        <v>1112</v>
      </c>
      <c r="B62" s="1363">
        <f>AVERAGE(B31:F31)</f>
        <v>2.6965585456372372</v>
      </c>
    </row>
    <row r="63" spans="1:6" x14ac:dyDescent="0.3">
      <c r="A63" s="211" t="s">
        <v>1113</v>
      </c>
      <c r="B63" s="227">
        <f>AVERAGE(B32:F32)</f>
        <v>7.1124923021544079E-2</v>
      </c>
    </row>
    <row r="64" spans="1:6" x14ac:dyDescent="0.3">
      <c r="A64" s="211" t="s">
        <v>1114</v>
      </c>
      <c r="B64" s="226">
        <f>B62*B63</f>
        <v>0.19179251898153535</v>
      </c>
    </row>
    <row r="65" spans="1:6" x14ac:dyDescent="0.3">
      <c r="A65" s="211" t="s">
        <v>1115</v>
      </c>
      <c r="B65" s="227">
        <f>B64/B43</f>
        <v>7.8414899222332649E-2</v>
      </c>
    </row>
    <row r="66" spans="1:6" x14ac:dyDescent="0.3">
      <c r="B66" s="227"/>
    </row>
    <row r="67" spans="1:6" x14ac:dyDescent="0.3">
      <c r="A67" s="211" t="s">
        <v>1111</v>
      </c>
    </row>
    <row r="68" spans="1:6" x14ac:dyDescent="0.3">
      <c r="A68" s="211" t="s">
        <v>239</v>
      </c>
      <c r="B68" s="230">
        <v>581957</v>
      </c>
      <c r="C68" s="230">
        <v>627560</v>
      </c>
      <c r="D68" s="230">
        <v>740959</v>
      </c>
      <c r="E68" s="230">
        <v>670344</v>
      </c>
      <c r="F68" s="230">
        <v>641445</v>
      </c>
    </row>
    <row r="69" spans="1:6" x14ac:dyDescent="0.3">
      <c r="A69" s="211" t="s">
        <v>317</v>
      </c>
      <c r="B69" s="230">
        <v>753805</v>
      </c>
      <c r="C69" s="230">
        <v>716428</v>
      </c>
      <c r="D69" s="230">
        <v>624379</v>
      </c>
      <c r="E69" s="230">
        <v>655141</v>
      </c>
      <c r="F69" s="230">
        <v>631990</v>
      </c>
    </row>
  </sheetData>
  <mergeCells count="2">
    <mergeCell ref="A50:F50"/>
    <mergeCell ref="A49:F49"/>
  </mergeCells>
  <pageMargins left="0.7" right="0.7" top="0.75" bottom="0.75" header="0.3" footer="0.3"/>
  <pageSetup orientation="portrait" horizontalDpi="1200" verticalDpi="1200" r:id="rId1"/>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31D2C-57F0-41B1-9B82-DE070680902A}">
  <sheetPr>
    <tabColor theme="9" tint="0.59999389629810485"/>
  </sheetPr>
  <dimension ref="A1:N34"/>
  <sheetViews>
    <sheetView showGridLines="0" zoomScale="115" zoomScaleNormal="115" workbookViewId="0">
      <selection activeCell="L26" sqref="L26"/>
    </sheetView>
  </sheetViews>
  <sheetFormatPr defaultColWidth="9.109375" defaultRowHeight="15.6" outlineLevelRow="1" x14ac:dyDescent="0.3"/>
  <cols>
    <col min="1" max="1" width="27.88671875" style="211" customWidth="1"/>
    <col min="2" max="4" width="9.5546875" style="211" customWidth="1"/>
    <col min="5" max="16384" width="9.109375" style="211"/>
  </cols>
  <sheetData>
    <row r="1" spans="1:14" x14ac:dyDescent="0.3">
      <c r="A1" s="459" t="s">
        <v>1673</v>
      </c>
    </row>
    <row r="2" spans="1:14" x14ac:dyDescent="0.3">
      <c r="A2" s="152" t="s">
        <v>1742</v>
      </c>
    </row>
    <row r="3" spans="1:14" ht="6.6" customHeight="1" thickBot="1" x14ac:dyDescent="0.35"/>
    <row r="4" spans="1:14" x14ac:dyDescent="0.3">
      <c r="A4" s="1336" t="s">
        <v>1250</v>
      </c>
      <c r="B4" s="1337">
        <v>1999</v>
      </c>
      <c r="C4" s="1337">
        <v>1998</v>
      </c>
      <c r="D4" s="1337">
        <v>1997</v>
      </c>
      <c r="E4" s="1337">
        <v>1996</v>
      </c>
      <c r="F4" s="1338">
        <v>1995</v>
      </c>
      <c r="G4" s="2736"/>
      <c r="H4" s="2736">
        <v>1994</v>
      </c>
      <c r="I4" s="2430">
        <v>1993</v>
      </c>
    </row>
    <row r="5" spans="1:14" x14ac:dyDescent="0.3">
      <c r="A5" s="734" t="s">
        <v>3758</v>
      </c>
      <c r="B5" s="1339">
        <v>2161.7860000000001</v>
      </c>
      <c r="C5" s="1339">
        <v>1781.1790000000001</v>
      </c>
      <c r="D5" s="1339">
        <v>1647.645</v>
      </c>
      <c r="E5" s="1339">
        <v>1552.4290000000001</v>
      </c>
      <c r="F5" s="1340">
        <v>1391.5219999999999</v>
      </c>
      <c r="G5" s="2737"/>
      <c r="H5" s="2737">
        <v>1277.818</v>
      </c>
      <c r="I5" s="2738">
        <v>1165.81</v>
      </c>
    </row>
    <row r="6" spans="1:14" ht="18.600000000000001" x14ac:dyDescent="0.3">
      <c r="A6" s="734" t="s">
        <v>1737</v>
      </c>
      <c r="B6" s="1341">
        <f>B5/B34</f>
        <v>1.9429208262275339</v>
      </c>
      <c r="C6" s="1341">
        <f>C5/C34</f>
        <v>1.7113285579158288</v>
      </c>
      <c r="D6" s="1341">
        <f>D5/D34</f>
        <v>1.7710176301516223</v>
      </c>
      <c r="E6" s="1341">
        <f>E5/E34</f>
        <v>1.2220530643250456</v>
      </c>
      <c r="F6" s="1342">
        <f t="shared" ref="F6:I6" si="0">F5/F34</f>
        <v>0.8832556357832525</v>
      </c>
      <c r="G6" s="2739"/>
      <c r="H6" s="2739">
        <f t="shared" si="0"/>
        <v>0.92598929380723483</v>
      </c>
      <c r="I6" s="2740">
        <f t="shared" si="0"/>
        <v>0.9422064964653416</v>
      </c>
    </row>
    <row r="7" spans="1:14" s="309" customFormat="1" hidden="1" outlineLevel="1" x14ac:dyDescent="0.3">
      <c r="A7" s="734" t="s">
        <v>1744</v>
      </c>
      <c r="B7" s="1341">
        <v>352.18900000000002</v>
      </c>
      <c r="C7" s="1341">
        <v>279.73700000000002</v>
      </c>
      <c r="D7" s="1341">
        <v>215.422</v>
      </c>
      <c r="E7" s="1341"/>
      <c r="F7" s="1342"/>
      <c r="G7" s="2739"/>
      <c r="H7" s="2739"/>
      <c r="I7" s="2740"/>
    </row>
    <row r="8" spans="1:14" s="309" customFormat="1" hidden="1" outlineLevel="1" x14ac:dyDescent="0.3">
      <c r="A8" s="734" t="s">
        <v>1739</v>
      </c>
      <c r="B8" s="1341">
        <v>17.344999999999999</v>
      </c>
      <c r="C8" s="1341">
        <v>13.425000000000001</v>
      </c>
      <c r="D8" s="1341">
        <v>10.516</v>
      </c>
      <c r="E8" s="1341"/>
      <c r="F8" s="1342"/>
      <c r="G8" s="2739"/>
      <c r="H8" s="2739"/>
      <c r="I8" s="2740"/>
    </row>
    <row r="9" spans="1:14" ht="18.600000000000001" collapsed="1" x14ac:dyDescent="0.3">
      <c r="A9" s="734" t="s">
        <v>1985</v>
      </c>
      <c r="B9" s="1824">
        <f>(B7+B8)/B5</f>
        <v>0.17093921414978169</v>
      </c>
      <c r="C9" s="1824">
        <f t="shared" ref="C9:D9" si="1">(C7+C8)/C5</f>
        <v>0.16458873588785855</v>
      </c>
      <c r="D9" s="1824">
        <f t="shared" si="1"/>
        <v>0.13712784003835776</v>
      </c>
      <c r="E9" s="1824">
        <f>187.427/E5</f>
        <v>0.12073144729968326</v>
      </c>
      <c r="F9" s="1837">
        <f>201.283/F5</f>
        <v>0.14464952763951988</v>
      </c>
      <c r="G9" s="2741"/>
      <c r="H9" s="2741">
        <f>142.299/H5</f>
        <v>0.11136092933422444</v>
      </c>
      <c r="I9" s="2742">
        <f>52.451/I5</f>
        <v>4.4991036275207799E-2</v>
      </c>
      <c r="N9" s="211" t="s">
        <v>176</v>
      </c>
    </row>
    <row r="10" spans="1:14" x14ac:dyDescent="0.3">
      <c r="A10" s="734" t="s">
        <v>1563</v>
      </c>
      <c r="B10" s="1824">
        <f>B6*B9</f>
        <v>0.33212135919057922</v>
      </c>
      <c r="C10" s="1824">
        <f t="shared" ref="C10:D10" si="2">C6*C9</f>
        <v>0.2816654040361582</v>
      </c>
      <c r="D10" s="1824">
        <f t="shared" si="2"/>
        <v>0.2428558222925431</v>
      </c>
      <c r="E10" s="1824">
        <f>E6*E9</f>
        <v>0.14754023513297568</v>
      </c>
      <c r="F10" s="1837">
        <f t="shared" ref="F10:I10" si="3">F6*F9</f>
        <v>0.1277625105009913</v>
      </c>
      <c r="G10" s="2741"/>
      <c r="H10" s="2741">
        <f t="shared" si="3"/>
        <v>0.10311902831191587</v>
      </c>
      <c r="I10" s="2742">
        <f t="shared" si="3"/>
        <v>4.2390846661208632E-2</v>
      </c>
    </row>
    <row r="11" spans="1:14" ht="4.5" customHeight="1" x14ac:dyDescent="0.3">
      <c r="A11" s="734"/>
      <c r="B11" s="397"/>
      <c r="C11" s="397"/>
      <c r="D11" s="397"/>
      <c r="E11" s="397"/>
      <c r="F11" s="1281"/>
      <c r="G11" s="1579"/>
      <c r="H11" s="1579"/>
      <c r="I11" s="1569"/>
    </row>
    <row r="12" spans="1:14" ht="4.5" customHeight="1" x14ac:dyDescent="0.3">
      <c r="A12" s="1155"/>
      <c r="B12" s="684"/>
      <c r="C12" s="684"/>
      <c r="D12" s="684"/>
      <c r="E12" s="684"/>
      <c r="F12" s="1279"/>
      <c r="G12" s="1579"/>
      <c r="H12" s="1579"/>
      <c r="I12" s="1569"/>
    </row>
    <row r="13" spans="1:14" ht="4.5" customHeight="1" x14ac:dyDescent="0.3">
      <c r="A13" s="734"/>
      <c r="B13" s="397"/>
      <c r="C13" s="397"/>
      <c r="D13" s="397"/>
      <c r="E13" s="397"/>
      <c r="F13" s="1281"/>
      <c r="G13" s="1579"/>
      <c r="H13" s="1579"/>
      <c r="I13" s="1569"/>
    </row>
    <row r="14" spans="1:14" x14ac:dyDescent="0.3">
      <c r="A14" s="734" t="s">
        <v>1730</v>
      </c>
      <c r="B14" s="1339">
        <v>1800</v>
      </c>
      <c r="C14" s="397"/>
      <c r="D14" s="397"/>
      <c r="E14" s="397"/>
      <c r="F14" s="1281" t="s">
        <v>176</v>
      </c>
      <c r="G14" s="1579"/>
      <c r="H14" s="1579"/>
      <c r="I14" s="1569"/>
    </row>
    <row r="15" spans="1:14" x14ac:dyDescent="0.3">
      <c r="A15" s="734" t="s">
        <v>1731</v>
      </c>
      <c r="B15" s="1344">
        <f>B30</f>
        <v>513.24400000000003</v>
      </c>
      <c r="C15" s="397"/>
      <c r="D15" s="397"/>
      <c r="E15" s="397"/>
      <c r="F15" s="1281"/>
      <c r="G15" s="1579"/>
      <c r="H15" s="1579"/>
      <c r="I15" s="1569"/>
      <c r="K15" s="211" t="s">
        <v>176</v>
      </c>
    </row>
    <row r="16" spans="1:14" x14ac:dyDescent="0.3">
      <c r="A16" s="734" t="s">
        <v>1708</v>
      </c>
      <c r="B16" s="1343">
        <f>B14+B15</f>
        <v>2313.2440000000001</v>
      </c>
      <c r="C16" s="397"/>
      <c r="D16" s="397"/>
      <c r="E16" s="397"/>
      <c r="F16" s="1281"/>
      <c r="G16" s="1579"/>
      <c r="H16" s="1579"/>
      <c r="I16" s="1569"/>
    </row>
    <row r="17" spans="1:12" ht="4.5" customHeight="1" x14ac:dyDescent="0.3">
      <c r="A17" s="734"/>
      <c r="B17" s="397"/>
      <c r="C17" s="397"/>
      <c r="D17" s="397"/>
      <c r="E17" s="397"/>
      <c r="F17" s="1281"/>
      <c r="G17" s="1579"/>
      <c r="H17" s="1579"/>
      <c r="I17" s="1569"/>
    </row>
    <row r="18" spans="1:12" ht="4.5" customHeight="1" x14ac:dyDescent="0.3">
      <c r="A18" s="1155"/>
      <c r="B18" s="684"/>
      <c r="C18" s="684"/>
      <c r="D18" s="684"/>
      <c r="E18" s="684"/>
      <c r="F18" s="1279"/>
      <c r="G18" s="1579"/>
      <c r="H18" s="1579"/>
      <c r="I18" s="1569"/>
    </row>
    <row r="19" spans="1:12" ht="4.5" customHeight="1" x14ac:dyDescent="0.3">
      <c r="A19" s="734"/>
      <c r="B19" s="397"/>
      <c r="C19" s="397"/>
      <c r="D19" s="397"/>
      <c r="E19" s="397" t="s">
        <v>176</v>
      </c>
      <c r="F19" s="1281"/>
      <c r="G19" s="1579"/>
      <c r="H19" s="1579"/>
      <c r="I19" s="1569"/>
    </row>
    <row r="20" spans="1:12" x14ac:dyDescent="0.3">
      <c r="A20" s="734" t="s">
        <v>1705</v>
      </c>
      <c r="B20" s="2711">
        <f>B16/B34</f>
        <v>2.0790448008016917</v>
      </c>
      <c r="C20" s="397"/>
      <c r="D20" s="397"/>
      <c r="E20" s="397"/>
      <c r="F20" s="1281"/>
      <c r="G20" s="1579"/>
      <c r="H20" s="1579"/>
      <c r="I20" s="1569"/>
    </row>
    <row r="21" spans="1:12" x14ac:dyDescent="0.3">
      <c r="A21" s="734" t="s">
        <v>1706</v>
      </c>
      <c r="B21" s="827">
        <f>B10/B20</f>
        <v>0.15974709109804239</v>
      </c>
      <c r="C21" s="397"/>
      <c r="D21" s="397"/>
      <c r="E21" s="397"/>
      <c r="F21" s="1281"/>
      <c r="G21" s="1579"/>
      <c r="H21" s="1579"/>
      <c r="I21" s="1569"/>
    </row>
    <row r="22" spans="1:12" ht="4.5" customHeight="1" x14ac:dyDescent="0.3">
      <c r="A22" s="734"/>
      <c r="B22" s="397"/>
      <c r="C22" s="397"/>
      <c r="D22" s="397"/>
      <c r="E22" s="397"/>
      <c r="F22" s="1281"/>
      <c r="G22" s="1579"/>
      <c r="H22" s="1579"/>
      <c r="I22" s="1569"/>
    </row>
    <row r="23" spans="1:12" ht="4.5" customHeight="1" x14ac:dyDescent="0.3">
      <c r="A23" s="1155"/>
      <c r="B23" s="684"/>
      <c r="C23" s="684"/>
      <c r="D23" s="684"/>
      <c r="E23" s="684"/>
      <c r="F23" s="1279"/>
      <c r="G23" s="1579"/>
      <c r="H23" s="1579"/>
      <c r="I23" s="1569"/>
    </row>
    <row r="24" spans="1:12" x14ac:dyDescent="0.3">
      <c r="A24" s="1175" t="s">
        <v>1398</v>
      </c>
      <c r="B24" s="827"/>
      <c r="C24" s="397"/>
      <c r="D24" s="397"/>
      <c r="E24" s="220"/>
      <c r="F24" s="223"/>
      <c r="G24" s="1579"/>
      <c r="H24" s="1579"/>
      <c r="I24" s="1569"/>
    </row>
    <row r="25" spans="1:12" ht="30" customHeight="1" thickBot="1" x14ac:dyDescent="0.35">
      <c r="A25" s="2918" t="s">
        <v>1741</v>
      </c>
      <c r="B25" s="2919"/>
      <c r="C25" s="2919"/>
      <c r="D25" s="2919"/>
      <c r="E25" s="218"/>
      <c r="F25" s="219"/>
      <c r="G25" s="2743"/>
      <c r="H25" s="2743"/>
      <c r="I25" s="2744"/>
    </row>
    <row r="26" spans="1:12" ht="31.5" customHeight="1" x14ac:dyDescent="0.3">
      <c r="A26" s="2921" t="s">
        <v>1915</v>
      </c>
      <c r="B26" s="2921"/>
      <c r="C26" s="2921"/>
      <c r="D26" s="2921"/>
      <c r="E26" s="2921"/>
      <c r="F26" s="2921"/>
      <c r="G26" s="2708"/>
      <c r="H26" s="2450"/>
      <c r="I26" s="2450"/>
    </row>
    <row r="28" spans="1:12" x14ac:dyDescent="0.3">
      <c r="A28" s="211" t="s">
        <v>1155</v>
      </c>
    </row>
    <row r="29" spans="1:12" x14ac:dyDescent="0.3">
      <c r="A29" s="211" t="s">
        <v>746</v>
      </c>
      <c r="B29" s="211">
        <v>868.3</v>
      </c>
      <c r="C29" s="211">
        <v>790.10799999999995</v>
      </c>
      <c r="D29" s="211">
        <v>693.08299999999997</v>
      </c>
      <c r="E29" s="211">
        <v>580.46199999999999</v>
      </c>
      <c r="F29" s="211">
        <v>1181.307</v>
      </c>
      <c r="H29" s="211">
        <v>1080.7809999999999</v>
      </c>
      <c r="I29" s="211">
        <v>883.11400000000003</v>
      </c>
    </row>
    <row r="30" spans="1:12" x14ac:dyDescent="0.3">
      <c r="A30" s="211" t="s">
        <v>333</v>
      </c>
      <c r="B30" s="211">
        <f>503.148+10.096</f>
        <v>513.24400000000003</v>
      </c>
      <c r="C30" s="211">
        <f>587.276+4.641</f>
        <v>591.91699999999992</v>
      </c>
      <c r="D30" s="211">
        <f>456.294+1.767</f>
        <v>458.06099999999998</v>
      </c>
      <c r="E30" s="211">
        <f>428.16+31.748</f>
        <v>459.90800000000002</v>
      </c>
      <c r="F30" s="211">
        <v>447.00700000000001</v>
      </c>
      <c r="H30" s="211">
        <v>441.798</v>
      </c>
      <c r="I30" s="211">
        <v>354.20499999999998</v>
      </c>
    </row>
    <row r="31" spans="1:12" x14ac:dyDescent="0.3">
      <c r="A31" s="211" t="s">
        <v>1735</v>
      </c>
      <c r="B31" s="211">
        <f>-289.582</f>
        <v>-289.58199999999999</v>
      </c>
      <c r="C31" s="211">
        <f>-248.692</f>
        <v>-248.69200000000001</v>
      </c>
      <c r="D31" s="211">
        <f>-202.844</f>
        <v>-202.84399999999999</v>
      </c>
      <c r="E31" s="211">
        <f>-127.994</f>
        <v>-127.994</v>
      </c>
      <c r="L31" s="211" t="s">
        <v>1743</v>
      </c>
    </row>
    <row r="32" spans="1:12" x14ac:dyDescent="0.3">
      <c r="A32" s="211" t="s">
        <v>1701</v>
      </c>
      <c r="B32" s="211">
        <f>SUM(B29:B31)</f>
        <v>1091.962</v>
      </c>
      <c r="C32" s="211">
        <f>SUM(C29:C31)</f>
        <v>1133.3329999999999</v>
      </c>
      <c r="D32" s="211">
        <f t="shared" ref="D32:I32" si="4">SUM(D29:D31)</f>
        <v>948.3</v>
      </c>
      <c r="E32" s="211">
        <f t="shared" si="4"/>
        <v>912.37599999999986</v>
      </c>
      <c r="F32" s="211">
        <f t="shared" si="4"/>
        <v>1628.3140000000001</v>
      </c>
      <c r="H32" s="211">
        <f t="shared" si="4"/>
        <v>1522.579</v>
      </c>
      <c r="I32" s="211">
        <f t="shared" si="4"/>
        <v>1237.319</v>
      </c>
    </row>
    <row r="34" spans="1:9" x14ac:dyDescent="0.3">
      <c r="A34" s="211" t="s">
        <v>1702</v>
      </c>
      <c r="B34" s="211">
        <f>AVERAGE(B32:C32)</f>
        <v>1112.6475</v>
      </c>
      <c r="C34" s="211">
        <f t="shared" ref="C34:I34" si="5">AVERAGE(C32:D32)</f>
        <v>1040.8164999999999</v>
      </c>
      <c r="D34" s="211">
        <f t="shared" si="5"/>
        <v>930.33799999999997</v>
      </c>
      <c r="E34" s="211">
        <f t="shared" si="5"/>
        <v>1270.345</v>
      </c>
      <c r="F34" s="211">
        <f>AVERAGE(F32:H32)</f>
        <v>1575.4465</v>
      </c>
      <c r="H34" s="211">
        <f t="shared" si="5"/>
        <v>1379.9490000000001</v>
      </c>
      <c r="I34" s="211">
        <f t="shared" si="5"/>
        <v>1237.319</v>
      </c>
    </row>
  </sheetData>
  <mergeCells count="2">
    <mergeCell ref="A25:D25"/>
    <mergeCell ref="A26:F26"/>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D781-4300-4391-87D5-1C2B2C205CAA}">
  <sheetPr>
    <tabColor theme="9" tint="0.59999389629810485"/>
  </sheetPr>
  <dimension ref="A1:K51"/>
  <sheetViews>
    <sheetView showGridLines="0" zoomScale="115" zoomScaleNormal="115" workbookViewId="0">
      <selection activeCell="F21" sqref="F21"/>
    </sheetView>
  </sheetViews>
  <sheetFormatPr defaultColWidth="9.109375" defaultRowHeight="15.6" outlineLevelRow="1" x14ac:dyDescent="0.3"/>
  <cols>
    <col min="1" max="1" width="30.88671875" style="211" customWidth="1"/>
    <col min="2" max="5" width="9.109375" style="211"/>
    <col min="6" max="6" width="51" style="211" customWidth="1"/>
    <col min="7" max="8" width="10.33203125" style="211" bestFit="1" customWidth="1"/>
    <col min="9" max="9" width="2.88671875" style="211" customWidth="1"/>
    <col min="10" max="16384" width="9.109375" style="211"/>
  </cols>
  <sheetData>
    <row r="1" spans="1:2" x14ac:dyDescent="0.3">
      <c r="A1" s="459" t="s">
        <v>1673</v>
      </c>
    </row>
    <row r="2" spans="1:2" ht="47.25" customHeight="1" x14ac:dyDescent="0.3">
      <c r="A2" s="2794" t="s">
        <v>3109</v>
      </c>
      <c r="B2" s="2794"/>
    </row>
    <row r="3" spans="1:2" ht="8.25" customHeight="1" thickBot="1" x14ac:dyDescent="0.35"/>
    <row r="4" spans="1:2" x14ac:dyDescent="0.3">
      <c r="A4" s="803" t="s">
        <v>3760</v>
      </c>
      <c r="B4" s="389"/>
    </row>
    <row r="5" spans="1:2" x14ac:dyDescent="0.3">
      <c r="A5" s="221" t="s">
        <v>1250</v>
      </c>
      <c r="B5" s="223"/>
    </row>
    <row r="6" spans="1:2" x14ac:dyDescent="0.3">
      <c r="A6" s="214" t="s">
        <v>3108</v>
      </c>
      <c r="B6" s="2456">
        <v>404</v>
      </c>
    </row>
    <row r="7" spans="1:2" x14ac:dyDescent="0.3">
      <c r="A7" s="214" t="s">
        <v>3107</v>
      </c>
      <c r="B7" s="2455">
        <v>-643</v>
      </c>
    </row>
    <row r="8" spans="1:2" x14ac:dyDescent="0.3">
      <c r="A8" s="214" t="s">
        <v>3106</v>
      </c>
      <c r="B8" s="2454">
        <f>B6+B7</f>
        <v>-239</v>
      </c>
    </row>
    <row r="9" spans="1:2" ht="4.5" customHeight="1" x14ac:dyDescent="0.3">
      <c r="A9" s="214"/>
      <c r="B9" s="223"/>
    </row>
    <row r="10" spans="1:2" ht="4.5" customHeight="1" x14ac:dyDescent="0.3">
      <c r="A10" s="1155"/>
      <c r="B10" s="1279"/>
    </row>
    <row r="11" spans="1:2" ht="4.5" customHeight="1" x14ac:dyDescent="0.3">
      <c r="A11" s="214"/>
      <c r="B11" s="223"/>
    </row>
    <row r="12" spans="1:2" x14ac:dyDescent="0.3">
      <c r="A12" s="2415" t="s">
        <v>3761</v>
      </c>
      <c r="B12" s="223"/>
    </row>
    <row r="13" spans="1:2" x14ac:dyDescent="0.3">
      <c r="A13" s="214" t="s">
        <v>3105</v>
      </c>
      <c r="B13" s="223"/>
    </row>
    <row r="14" spans="1:2" x14ac:dyDescent="0.3">
      <c r="A14" s="214" t="s">
        <v>3104</v>
      </c>
      <c r="B14" s="1154">
        <f>RATE(5,0,B6,B7,0)</f>
        <v>9.7402440195432635E-2</v>
      </c>
    </row>
    <row r="15" spans="1:2" x14ac:dyDescent="0.3">
      <c r="A15" s="214" t="s">
        <v>3103</v>
      </c>
      <c r="B15" s="1154">
        <f>RATE(10,0,B6,B7,0)</f>
        <v>4.7569778198633048E-2</v>
      </c>
    </row>
    <row r="16" spans="1:2" ht="16.2" thickBot="1" x14ac:dyDescent="0.35">
      <c r="A16" s="224" t="s">
        <v>3102</v>
      </c>
      <c r="B16" s="2453">
        <f>RATE(15,0,B6,B7,0)</f>
        <v>3.1466926743837366E-2</v>
      </c>
    </row>
    <row r="17" spans="1:10" ht="38.25" customHeight="1" x14ac:dyDescent="0.3">
      <c r="A17" s="2805" t="s">
        <v>3762</v>
      </c>
      <c r="B17" s="2805"/>
    </row>
    <row r="22" spans="1:10" s="1" customFormat="1" x14ac:dyDescent="0.3">
      <c r="F22" s="459" t="s">
        <v>1673</v>
      </c>
      <c r="G22" s="211"/>
      <c r="H22" s="211"/>
    </row>
    <row r="23" spans="1:10" s="1" customFormat="1" x14ac:dyDescent="0.3">
      <c r="F23" s="152" t="s">
        <v>1698</v>
      </c>
      <c r="G23" s="211"/>
      <c r="H23" s="211"/>
    </row>
    <row r="24" spans="1:10" s="1" customFormat="1" ht="6.6" customHeight="1" thickBot="1" x14ac:dyDescent="0.35">
      <c r="F24" s="211"/>
      <c r="G24" s="211"/>
      <c r="H24" s="211"/>
    </row>
    <row r="25" spans="1:10" s="1" customFormat="1" x14ac:dyDescent="0.3">
      <c r="F25" s="212" t="s">
        <v>1692</v>
      </c>
      <c r="G25" s="712">
        <v>2000</v>
      </c>
      <c r="H25" s="713">
        <v>1999</v>
      </c>
    </row>
    <row r="26" spans="1:10" s="1" customFormat="1" x14ac:dyDescent="0.3">
      <c r="F26" s="214" t="s">
        <v>394</v>
      </c>
      <c r="G26" s="1160">
        <v>50507.46</v>
      </c>
      <c r="H26" s="1161">
        <v>47339</v>
      </c>
    </row>
    <row r="27" spans="1:10" s="1" customFormat="1" ht="31.2" x14ac:dyDescent="0.3">
      <c r="F27" s="282" t="s">
        <v>3101</v>
      </c>
      <c r="G27" s="813">
        <f>8458.75130222837/10</f>
        <v>845.8751302228369</v>
      </c>
      <c r="H27" s="1205">
        <f>5504.5437147581/10</f>
        <v>550.45437147580992</v>
      </c>
      <c r="J27" s="1" t="s">
        <v>3100</v>
      </c>
    </row>
    <row r="28" spans="1:10" s="1" customFormat="1" x14ac:dyDescent="0.3">
      <c r="F28" s="282" t="s">
        <v>1693</v>
      </c>
      <c r="G28" s="2452">
        <f>G26+(G27*10)</f>
        <v>58966.211302228367</v>
      </c>
      <c r="H28" s="2451">
        <f>H26+(H27*10)</f>
        <v>52843.543714758096</v>
      </c>
    </row>
    <row r="29" spans="1:10" s="1" customFormat="1" ht="34.200000000000003" hidden="1" outlineLevel="1" x14ac:dyDescent="0.3">
      <c r="F29" s="1307" t="s">
        <v>1690</v>
      </c>
      <c r="G29" s="2426"/>
      <c r="H29" s="1309"/>
    </row>
    <row r="30" spans="1:10" s="1" customFormat="1" hidden="1" outlineLevel="1" x14ac:dyDescent="0.3">
      <c r="F30" s="1307" t="s">
        <v>941</v>
      </c>
      <c r="G30" s="2426"/>
      <c r="H30" s="1309"/>
    </row>
    <row r="31" spans="1:10" s="1" customFormat="1" hidden="1" outlineLevel="1" x14ac:dyDescent="0.3">
      <c r="F31" s="1307" t="s">
        <v>942</v>
      </c>
      <c r="G31" s="2425">
        <f>G28/H28-1</f>
        <v>0.11586406128475324</v>
      </c>
      <c r="H31" s="1311" t="e">
        <f>H28/#REF!-1</f>
        <v>#REF!</v>
      </c>
    </row>
    <row r="32" spans="1:10" s="1" customFormat="1" hidden="1" outlineLevel="1" x14ac:dyDescent="0.3">
      <c r="F32" s="1307" t="s">
        <v>936</v>
      </c>
      <c r="G32" s="2424">
        <f>G38/G28</f>
        <v>1.2040793944873456</v>
      </c>
      <c r="H32" s="1312">
        <f>H38/H28</f>
        <v>1.0616244872376424</v>
      </c>
    </row>
    <row r="33" spans="4:11" s="1" customFormat="1" hidden="1" outlineLevel="1" x14ac:dyDescent="0.3">
      <c r="F33" s="214"/>
      <c r="G33" s="286"/>
      <c r="H33" s="1107"/>
    </row>
    <row r="34" spans="4:11" s="1" customFormat="1" hidden="1" outlineLevel="1" x14ac:dyDescent="0.3">
      <c r="F34" s="214"/>
      <c r="G34" s="211"/>
      <c r="H34" s="223"/>
    </row>
    <row r="35" spans="4:11" s="1" customFormat="1" ht="4.5" customHeight="1" collapsed="1" x14ac:dyDescent="0.3">
      <c r="F35" s="214"/>
      <c r="G35" s="460"/>
      <c r="H35" s="461"/>
    </row>
    <row r="36" spans="4:11" s="1" customFormat="1" ht="4.5" customHeight="1" x14ac:dyDescent="0.3">
      <c r="D36" s="1" t="s">
        <v>176</v>
      </c>
      <c r="F36" s="1155"/>
      <c r="G36" s="1653"/>
      <c r="H36" s="1324"/>
    </row>
    <row r="37" spans="4:11" s="1" customFormat="1" ht="4.5" customHeight="1" x14ac:dyDescent="0.3">
      <c r="F37" s="214"/>
      <c r="G37" s="460"/>
      <c r="H37" s="461"/>
    </row>
    <row r="38" spans="4:11" s="1" customFormat="1" x14ac:dyDescent="0.3">
      <c r="F38" s="214" t="s">
        <v>927</v>
      </c>
      <c r="G38" s="1321">
        <v>71000</v>
      </c>
      <c r="H38" s="1318">
        <v>56100</v>
      </c>
      <c r="K38" s="1" t="s">
        <v>176</v>
      </c>
    </row>
    <row r="39" spans="4:11" s="1" customFormat="1" x14ac:dyDescent="0.3">
      <c r="F39" s="214" t="s">
        <v>1691</v>
      </c>
      <c r="G39" s="1321">
        <v>40442</v>
      </c>
      <c r="H39" s="1318">
        <v>37987</v>
      </c>
    </row>
    <row r="40" spans="4:11" s="1" customFormat="1" ht="4.5" customHeight="1" collapsed="1" x14ac:dyDescent="0.3">
      <c r="F40" s="214"/>
      <c r="G40" s="460"/>
      <c r="H40" s="461"/>
    </row>
    <row r="41" spans="4:11" s="1" customFormat="1" ht="4.5" customHeight="1" x14ac:dyDescent="0.3">
      <c r="F41" s="1155"/>
      <c r="G41" s="1653"/>
      <c r="H41" s="1324"/>
    </row>
    <row r="42" spans="4:11" s="1" customFormat="1" ht="4.5" customHeight="1" x14ac:dyDescent="0.3">
      <c r="F42" s="214"/>
      <c r="G42" s="460"/>
      <c r="H42" s="461"/>
    </row>
    <row r="43" spans="4:11" s="1" customFormat="1" x14ac:dyDescent="0.3">
      <c r="F43" s="214" t="s">
        <v>1694</v>
      </c>
      <c r="G43" s="2711">
        <f>G38/G28</f>
        <v>1.2040793944873456</v>
      </c>
      <c r="H43" s="2709">
        <f>H38/H28</f>
        <v>1.0616244872376424</v>
      </c>
    </row>
    <row r="44" spans="4:11" s="1" customFormat="1" x14ac:dyDescent="0.3">
      <c r="F44" s="214" t="s">
        <v>1695</v>
      </c>
      <c r="G44" s="2711">
        <f>G38/G39</f>
        <v>1.7556006132238762</v>
      </c>
      <c r="H44" s="2709">
        <f>H38/H39</f>
        <v>1.4768210177165872</v>
      </c>
    </row>
    <row r="45" spans="4:11" s="1" customFormat="1" x14ac:dyDescent="0.3">
      <c r="F45" s="214" t="s">
        <v>1696</v>
      </c>
      <c r="G45" s="2711">
        <f>G28/G39</f>
        <v>1.4580438974884617</v>
      </c>
      <c r="H45" s="2709">
        <f>H28/H39</f>
        <v>1.3910954725237079</v>
      </c>
    </row>
    <row r="46" spans="4:11" s="1" customFormat="1" ht="4.5" customHeight="1" collapsed="1" x14ac:dyDescent="0.3">
      <c r="F46" s="214"/>
      <c r="G46" s="460"/>
      <c r="H46" s="461"/>
    </row>
    <row r="47" spans="4:11" s="1" customFormat="1" ht="4.5" customHeight="1" x14ac:dyDescent="0.3">
      <c r="F47" s="1155"/>
      <c r="G47" s="1653"/>
      <c r="H47" s="1324"/>
    </row>
    <row r="48" spans="4:11" s="1" customFormat="1" ht="4.5" customHeight="1" x14ac:dyDescent="0.3">
      <c r="F48" s="214"/>
      <c r="G48" s="460"/>
      <c r="H48" s="461"/>
    </row>
    <row r="49" spans="6:8" s="1" customFormat="1" x14ac:dyDescent="0.3">
      <c r="F49" s="214" t="s">
        <v>937</v>
      </c>
      <c r="G49" s="508">
        <f>G28/H28-1</f>
        <v>0.11586406128475324</v>
      </c>
      <c r="H49" s="2717"/>
    </row>
    <row r="50" spans="6:8" s="1" customFormat="1" ht="16.2" thickBot="1" x14ac:dyDescent="0.35">
      <c r="F50" s="224" t="s">
        <v>928</v>
      </c>
      <c r="G50" s="1314">
        <f>G38/H38-1</f>
        <v>0.26559714795008915</v>
      </c>
      <c r="H50" s="2718"/>
    </row>
    <row r="51" spans="6:8" s="1" customFormat="1" ht="30" customHeight="1" x14ac:dyDescent="0.25">
      <c r="F51" s="2809" t="s">
        <v>3099</v>
      </c>
      <c r="G51" s="2809"/>
      <c r="H51" s="2809"/>
    </row>
  </sheetData>
  <mergeCells count="3">
    <mergeCell ref="A2:B2"/>
    <mergeCell ref="A17:B17"/>
    <mergeCell ref="F51:H51"/>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D954-FB75-4033-9C29-25DBAFF43C2A}">
  <sheetPr>
    <tabColor theme="9" tint="0.59999389629810485"/>
  </sheetPr>
  <dimension ref="B1:K34"/>
  <sheetViews>
    <sheetView showGridLines="0" zoomScale="115" zoomScaleNormal="115" workbookViewId="0">
      <selection activeCell="O23" sqref="O23"/>
    </sheetView>
  </sheetViews>
  <sheetFormatPr defaultColWidth="9.109375" defaultRowHeight="15.6" x14ac:dyDescent="0.3"/>
  <cols>
    <col min="1" max="1" width="2.109375" style="211" customWidth="1"/>
    <col min="2" max="2" width="27.88671875" style="211" customWidth="1"/>
    <col min="3" max="3" width="10.33203125" style="211" bestFit="1" customWidth="1"/>
    <col min="4" max="5" width="9.109375" style="211"/>
    <col min="6" max="6" width="1.33203125" style="211" customWidth="1"/>
    <col min="7" max="16384" width="9.109375" style="211"/>
  </cols>
  <sheetData>
    <row r="1" spans="2:11" x14ac:dyDescent="0.3">
      <c r="B1" s="459" t="s">
        <v>1673</v>
      </c>
    </row>
    <row r="2" spans="2:11" x14ac:dyDescent="0.3">
      <c r="B2" s="152" t="s">
        <v>1745</v>
      </c>
    </row>
    <row r="3" spans="2:11" ht="8.25" customHeight="1" thickBot="1" x14ac:dyDescent="0.35"/>
    <row r="4" spans="2:11" x14ac:dyDescent="0.3">
      <c r="B4" s="1336" t="s">
        <v>1250</v>
      </c>
      <c r="C4" s="1337">
        <v>2000</v>
      </c>
      <c r="D4" s="1337">
        <v>1999</v>
      </c>
      <c r="E4" s="1338">
        <v>1998</v>
      </c>
    </row>
    <row r="5" spans="2:11" x14ac:dyDescent="0.3">
      <c r="B5" s="734" t="s">
        <v>975</v>
      </c>
      <c r="C5" s="1339">
        <v>477</v>
      </c>
      <c r="D5" s="1339">
        <v>464</v>
      </c>
      <c r="E5" s="1340">
        <v>461</v>
      </c>
    </row>
    <row r="6" spans="2:11" ht="18.600000000000001" x14ac:dyDescent="0.3">
      <c r="B6" s="734" t="s">
        <v>1541</v>
      </c>
      <c r="C6" s="1341">
        <f>C5/C34</f>
        <v>0.40804106073567153</v>
      </c>
      <c r="D6" s="1341">
        <f>D5/D34</f>
        <v>0.38682784493538974</v>
      </c>
      <c r="E6" s="1342">
        <f>E5/E34</f>
        <v>0.37449228269699431</v>
      </c>
      <c r="G6" s="211" t="s">
        <v>176</v>
      </c>
    </row>
    <row r="7" spans="2:11" ht="18.600000000000001" x14ac:dyDescent="0.3">
      <c r="B7" s="734" t="s">
        <v>1985</v>
      </c>
      <c r="C7" s="1824">
        <f>164/C5</f>
        <v>0.34381551362683438</v>
      </c>
      <c r="D7" s="1824">
        <f>(116+25+13)/D5</f>
        <v>0.33189655172413796</v>
      </c>
      <c r="E7" s="1837">
        <f>160/E5</f>
        <v>0.34707158351409978</v>
      </c>
      <c r="J7" s="211" t="s">
        <v>176</v>
      </c>
    </row>
    <row r="8" spans="2:11" x14ac:dyDescent="0.3">
      <c r="B8" s="734" t="s">
        <v>1563</v>
      </c>
      <c r="C8" s="1824">
        <f>C6*C7</f>
        <v>0.14029084687767324</v>
      </c>
      <c r="D8" s="1824">
        <f t="shared" ref="D8:E8" si="0">D6*D7</f>
        <v>0.12838682784493541</v>
      </c>
      <c r="E8" s="1837">
        <f t="shared" si="0"/>
        <v>0.12997562956945571</v>
      </c>
      <c r="G8" s="211" t="s">
        <v>176</v>
      </c>
    </row>
    <row r="9" spans="2:11" ht="4.5" customHeight="1" x14ac:dyDescent="0.3">
      <c r="B9" s="734"/>
      <c r="C9" s="397"/>
      <c r="D9" s="397"/>
      <c r="E9" s="1281"/>
    </row>
    <row r="10" spans="2:11" ht="4.5" customHeight="1" x14ac:dyDescent="0.3">
      <c r="B10" s="1155"/>
      <c r="C10" s="684"/>
      <c r="D10" s="684"/>
      <c r="E10" s="1279"/>
      <c r="I10" s="211" t="s">
        <v>176</v>
      </c>
    </row>
    <row r="11" spans="2:11" ht="4.5" customHeight="1" x14ac:dyDescent="0.3">
      <c r="B11" s="734"/>
      <c r="C11" s="397"/>
      <c r="D11" s="397"/>
      <c r="E11" s="1281"/>
    </row>
    <row r="12" spans="2:11" x14ac:dyDescent="0.3">
      <c r="B12" s="734" t="s">
        <v>1730</v>
      </c>
      <c r="C12" s="1339">
        <v>578</v>
      </c>
      <c r="D12" s="397"/>
      <c r="E12" s="1281"/>
      <c r="G12" s="211" t="s">
        <v>176</v>
      </c>
    </row>
    <row r="13" spans="2:11" x14ac:dyDescent="0.3">
      <c r="B13" s="734" t="s">
        <v>1731</v>
      </c>
      <c r="C13" s="1344">
        <f>C30</f>
        <v>788</v>
      </c>
      <c r="D13" s="397"/>
      <c r="E13" s="1281"/>
      <c r="K13" s="211" t="s">
        <v>176</v>
      </c>
    </row>
    <row r="14" spans="2:11" x14ac:dyDescent="0.3">
      <c r="B14" s="734" t="s">
        <v>1708</v>
      </c>
      <c r="C14" s="1343">
        <f>C12+C13</f>
        <v>1366</v>
      </c>
      <c r="D14" s="397"/>
      <c r="E14" s="1281"/>
    </row>
    <row r="15" spans="2:11" ht="4.5" customHeight="1" x14ac:dyDescent="0.3">
      <c r="B15" s="734"/>
      <c r="C15" s="397"/>
      <c r="D15" s="397"/>
      <c r="E15" s="1281"/>
    </row>
    <row r="16" spans="2:11" ht="4.5" customHeight="1" x14ac:dyDescent="0.3">
      <c r="B16" s="1155"/>
      <c r="C16" s="684"/>
      <c r="D16" s="684"/>
      <c r="E16" s="1279"/>
    </row>
    <row r="17" spans="2:10" ht="4.5" customHeight="1" x14ac:dyDescent="0.3">
      <c r="B17" s="734"/>
      <c r="C17" s="397"/>
      <c r="D17" s="397"/>
      <c r="E17" s="1281"/>
    </row>
    <row r="18" spans="2:10" x14ac:dyDescent="0.3">
      <c r="B18" s="734" t="s">
        <v>1705</v>
      </c>
      <c r="C18" s="2692">
        <f>C14/C34</f>
        <v>1.1685201026518393</v>
      </c>
      <c r="D18" s="397"/>
      <c r="E18" s="1281"/>
      <c r="F18" s="211" t="s">
        <v>176</v>
      </c>
      <c r="J18" s="211" t="s">
        <v>176</v>
      </c>
    </row>
    <row r="19" spans="2:10" x14ac:dyDescent="0.3">
      <c r="B19" s="734" t="s">
        <v>1706</v>
      </c>
      <c r="C19" s="827">
        <f>C8/C18</f>
        <v>0.12005856515373353</v>
      </c>
      <c r="D19" s="397"/>
      <c r="E19" s="1281"/>
    </row>
    <row r="20" spans="2:10" ht="4.5" customHeight="1" x14ac:dyDescent="0.3">
      <c r="B20" s="734"/>
      <c r="C20" s="397"/>
      <c r="D20" s="397"/>
      <c r="E20" s="1281"/>
    </row>
    <row r="21" spans="2:10" ht="4.5" customHeight="1" x14ac:dyDescent="0.3">
      <c r="B21" s="1155"/>
      <c r="C21" s="684"/>
      <c r="D21" s="684"/>
      <c r="E21" s="1279"/>
    </row>
    <row r="22" spans="2:10" x14ac:dyDescent="0.3">
      <c r="B22" s="1175" t="s">
        <v>1398</v>
      </c>
      <c r="C22" s="827"/>
      <c r="D22" s="397"/>
      <c r="E22" s="1281"/>
    </row>
    <row r="23" spans="2:10" ht="30" customHeight="1" thickBot="1" x14ac:dyDescent="0.35">
      <c r="B23" s="2918" t="s">
        <v>3110</v>
      </c>
      <c r="C23" s="2919"/>
      <c r="D23" s="2919"/>
      <c r="E23" s="2920"/>
    </row>
    <row r="24" spans="2:10" ht="45" customHeight="1" x14ac:dyDescent="0.3">
      <c r="B24" s="2917" t="s">
        <v>1942</v>
      </c>
      <c r="C24" s="2917"/>
      <c r="D24" s="2917"/>
      <c r="E24" s="2917"/>
    </row>
    <row r="25" spans="2:10" ht="6" customHeight="1" x14ac:dyDescent="0.3">
      <c r="B25" s="1915"/>
      <c r="C25" s="1915"/>
      <c r="D25" s="1915"/>
      <c r="E25" s="1915"/>
    </row>
    <row r="26" spans="2:10" ht="20.25" customHeight="1" x14ac:dyDescent="0.3">
      <c r="B26" s="1916" t="s">
        <v>2591</v>
      </c>
      <c r="C26" s="1915"/>
      <c r="D26" s="1915"/>
      <c r="E26" s="1915"/>
    </row>
    <row r="28" spans="2:10" x14ac:dyDescent="0.3">
      <c r="B28" s="211" t="s">
        <v>1155</v>
      </c>
    </row>
    <row r="29" spans="2:10" x14ac:dyDescent="0.3">
      <c r="B29" s="211" t="s">
        <v>746</v>
      </c>
      <c r="C29" s="211">
        <v>361</v>
      </c>
      <c r="D29" s="211">
        <v>337</v>
      </c>
      <c r="E29" s="211">
        <v>408</v>
      </c>
      <c r="F29" s="211">
        <v>360</v>
      </c>
    </row>
    <row r="30" spans="2:10" x14ac:dyDescent="0.3">
      <c r="B30" s="211" t="s">
        <v>333</v>
      </c>
      <c r="C30" s="211">
        <f>788</f>
        <v>788</v>
      </c>
      <c r="D30" s="211">
        <v>852</v>
      </c>
      <c r="E30" s="211">
        <v>802</v>
      </c>
      <c r="F30" s="211">
        <v>892</v>
      </c>
    </row>
    <row r="31" spans="2:10" x14ac:dyDescent="0.3">
      <c r="B31" s="211" t="s">
        <v>1735</v>
      </c>
    </row>
    <row r="32" spans="2:10" x14ac:dyDescent="0.3">
      <c r="B32" s="211" t="s">
        <v>1701</v>
      </c>
      <c r="C32" s="211">
        <f>SUM(C29:C31)</f>
        <v>1149</v>
      </c>
      <c r="D32" s="211">
        <f>SUM(D29:D31)</f>
        <v>1189</v>
      </c>
      <c r="E32" s="211">
        <f t="shared" ref="E32:F32" si="1">SUM(E29:E31)</f>
        <v>1210</v>
      </c>
      <c r="F32" s="211">
        <f t="shared" si="1"/>
        <v>1252</v>
      </c>
    </row>
    <row r="34" spans="2:5" x14ac:dyDescent="0.3">
      <c r="B34" s="211" t="s">
        <v>1702</v>
      </c>
      <c r="C34" s="211">
        <f>AVERAGE(C32:D32)</f>
        <v>1169</v>
      </c>
      <c r="D34" s="211">
        <f t="shared" ref="D34:E34" si="2">AVERAGE(D32:E32)</f>
        <v>1199.5</v>
      </c>
      <c r="E34" s="211">
        <f t="shared" si="2"/>
        <v>1231</v>
      </c>
    </row>
  </sheetData>
  <mergeCells count="2">
    <mergeCell ref="B23:E23"/>
    <mergeCell ref="B24:E24"/>
  </mergeCells>
  <pageMargins left="0.7" right="0.7" top="0.75" bottom="0.75" header="0.3" footer="0.3"/>
  <pageSetup orientation="portrait" r:id="rId1"/>
  <ignoredErrors>
    <ignoredError sqref="E6"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59999389629810485"/>
  </sheetPr>
  <dimension ref="A1:D23"/>
  <sheetViews>
    <sheetView showGridLines="0" zoomScaleNormal="100" workbookViewId="0">
      <selection activeCell="E11" sqref="E11"/>
    </sheetView>
  </sheetViews>
  <sheetFormatPr defaultColWidth="9.109375" defaultRowHeight="13.8" x14ac:dyDescent="0.25"/>
  <cols>
    <col min="1" max="1" width="26.6640625" style="1" customWidth="1"/>
    <col min="2" max="3" width="31.33203125" style="1" customWidth="1"/>
    <col min="4" max="16384" width="9.109375" style="1"/>
  </cols>
  <sheetData>
    <row r="1" spans="1:4" x14ac:dyDescent="0.25">
      <c r="A1" s="205"/>
    </row>
    <row r="2" spans="1:4" x14ac:dyDescent="0.25">
      <c r="A2" s="10" t="s">
        <v>1288</v>
      </c>
    </row>
    <row r="3" spans="1:4" x14ac:dyDescent="0.25">
      <c r="A3" s="457" t="s">
        <v>1289</v>
      </c>
      <c r="B3" s="205"/>
      <c r="C3" s="205"/>
    </row>
    <row r="4" spans="1:4" ht="8.25" customHeight="1" thickBot="1" x14ac:dyDescent="0.35">
      <c r="A4" s="2798"/>
      <c r="B4" s="2798"/>
      <c r="C4" s="2798"/>
      <c r="D4" s="205"/>
    </row>
    <row r="5" spans="1:4" ht="15.6" x14ac:dyDescent="0.3">
      <c r="A5" s="453"/>
      <c r="B5" s="455" t="s">
        <v>52</v>
      </c>
      <c r="C5" s="456">
        <v>1964</v>
      </c>
    </row>
    <row r="6" spans="1:4" ht="15.6" x14ac:dyDescent="0.3">
      <c r="A6" s="214" t="s">
        <v>45</v>
      </c>
      <c r="B6" s="220" t="s">
        <v>1245</v>
      </c>
      <c r="C6" s="223" t="s">
        <v>1245</v>
      </c>
    </row>
    <row r="7" spans="1:4" ht="48.75" customHeight="1" x14ac:dyDescent="0.25">
      <c r="A7" s="454" t="s">
        <v>1241</v>
      </c>
      <c r="B7" s="408" t="s">
        <v>50</v>
      </c>
      <c r="C7" s="406" t="s">
        <v>51</v>
      </c>
    </row>
    <row r="8" spans="1:4" ht="15.6" x14ac:dyDescent="0.3">
      <c r="A8" s="214" t="s">
        <v>1242</v>
      </c>
      <c r="B8" s="220" t="s">
        <v>46</v>
      </c>
      <c r="C8" s="223" t="s">
        <v>1247</v>
      </c>
    </row>
    <row r="9" spans="1:4" ht="15.6" x14ac:dyDescent="0.3">
      <c r="A9" s="214" t="s">
        <v>1243</v>
      </c>
      <c r="B9" s="220" t="s">
        <v>47</v>
      </c>
      <c r="C9" s="223" t="s">
        <v>48</v>
      </c>
    </row>
    <row r="10" spans="1:4" ht="15.6" x14ac:dyDescent="0.3">
      <c r="A10" s="214" t="s">
        <v>1244</v>
      </c>
      <c r="B10" s="409">
        <v>23.25</v>
      </c>
      <c r="C10" s="407">
        <v>19.46</v>
      </c>
    </row>
    <row r="11" spans="1:4" ht="15.6" x14ac:dyDescent="0.3">
      <c r="A11" s="214"/>
      <c r="B11" s="220"/>
      <c r="C11" s="223"/>
    </row>
    <row r="12" spans="1:4" x14ac:dyDescent="0.25">
      <c r="A12" s="2799" t="s">
        <v>1240</v>
      </c>
      <c r="B12" s="2800"/>
      <c r="C12" s="2801"/>
    </row>
    <row r="13" spans="1:4" x14ac:dyDescent="0.25">
      <c r="A13" s="2799"/>
      <c r="B13" s="2800"/>
      <c r="C13" s="2801"/>
    </row>
    <row r="14" spans="1:4" x14ac:dyDescent="0.25">
      <c r="A14" s="420"/>
      <c r="B14" s="421"/>
      <c r="C14" s="422"/>
    </row>
    <row r="15" spans="1:4" ht="15.6" x14ac:dyDescent="0.3">
      <c r="A15" s="221" t="s">
        <v>1248</v>
      </c>
      <c r="B15" s="220"/>
      <c r="C15" s="223"/>
    </row>
    <row r="16" spans="1:4" ht="15.6" x14ac:dyDescent="0.3">
      <c r="A16" s="214" t="s">
        <v>56</v>
      </c>
      <c r="B16" s="220"/>
      <c r="C16" s="223"/>
    </row>
    <row r="17" spans="1:3" ht="15.6" x14ac:dyDescent="0.3">
      <c r="A17" s="214" t="s">
        <v>53</v>
      </c>
      <c r="B17" s="220"/>
      <c r="C17" s="223"/>
    </row>
    <row r="18" spans="1:3" ht="15.6" x14ac:dyDescent="0.3">
      <c r="A18" s="214" t="s">
        <v>54</v>
      </c>
      <c r="B18" s="220"/>
      <c r="C18" s="223"/>
    </row>
    <row r="19" spans="1:3" ht="15.6" x14ac:dyDescent="0.3">
      <c r="A19" s="214" t="s">
        <v>1246</v>
      </c>
      <c r="B19" s="220"/>
      <c r="C19" s="223"/>
    </row>
    <row r="20" spans="1:3" ht="15.6" x14ac:dyDescent="0.3">
      <c r="A20" s="214" t="s">
        <v>55</v>
      </c>
      <c r="B20" s="220"/>
      <c r="C20" s="223"/>
    </row>
    <row r="21" spans="1:3" ht="15.6" x14ac:dyDescent="0.3">
      <c r="A21" s="214"/>
      <c r="B21" s="220"/>
      <c r="C21" s="223"/>
    </row>
    <row r="22" spans="1:3" ht="15.6" x14ac:dyDescent="0.3">
      <c r="A22" s="221" t="s">
        <v>1249</v>
      </c>
      <c r="B22" s="220"/>
      <c r="C22" s="223"/>
    </row>
    <row r="23" spans="1:3" ht="16.2" thickBot="1" x14ac:dyDescent="0.35">
      <c r="A23" s="224" t="s">
        <v>2955</v>
      </c>
      <c r="B23" s="218"/>
      <c r="C23" s="219"/>
    </row>
  </sheetData>
  <mergeCells count="2">
    <mergeCell ref="A4:C4"/>
    <mergeCell ref="A12:C13"/>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9F3BA-7836-4B9F-BF48-5544B9F6564F}">
  <sheetPr>
    <tabColor theme="9" tint="0.59999389629810485"/>
  </sheetPr>
  <dimension ref="A1:B19"/>
  <sheetViews>
    <sheetView showGridLines="0" workbookViewId="0">
      <selection activeCell="M30" sqref="M30"/>
    </sheetView>
  </sheetViews>
  <sheetFormatPr defaultColWidth="9.109375" defaultRowHeight="15.6" outlineLevelRow="1" x14ac:dyDescent="0.3"/>
  <cols>
    <col min="1" max="1" width="39.6640625" style="211" customWidth="1"/>
    <col min="2" max="16384" width="9.109375" style="211"/>
  </cols>
  <sheetData>
    <row r="1" spans="1:2" x14ac:dyDescent="0.3">
      <c r="A1" s="459" t="s">
        <v>1673</v>
      </c>
    </row>
    <row r="2" spans="1:2" x14ac:dyDescent="0.3">
      <c r="A2" s="152" t="s">
        <v>3123</v>
      </c>
    </row>
    <row r="3" spans="1:2" ht="8.25" customHeight="1" thickBot="1" x14ac:dyDescent="0.35"/>
    <row r="4" spans="1:2" hidden="1" outlineLevel="1" x14ac:dyDescent="0.3">
      <c r="A4" s="211" t="s">
        <v>3122</v>
      </c>
      <c r="B4" s="211">
        <v>70000</v>
      </c>
    </row>
    <row r="5" spans="1:2" ht="16.2" hidden="1" outlineLevel="1" thickBot="1" x14ac:dyDescent="0.35">
      <c r="A5" s="211" t="s">
        <v>3121</v>
      </c>
      <c r="B5" s="211">
        <v>40000</v>
      </c>
    </row>
    <row r="6" spans="1:2" collapsed="1" x14ac:dyDescent="0.3">
      <c r="A6" s="453" t="s">
        <v>3120</v>
      </c>
      <c r="B6" s="2461">
        <f>B4/B5</f>
        <v>1.75</v>
      </c>
    </row>
    <row r="7" spans="1:2" x14ac:dyDescent="0.3">
      <c r="A7" s="214" t="s">
        <v>3119</v>
      </c>
      <c r="B7" s="2460">
        <f>10000/B13</f>
        <v>2.2401433691756272</v>
      </c>
    </row>
    <row r="8" spans="1:2" ht="4.5" customHeight="1" x14ac:dyDescent="0.3">
      <c r="A8" s="214"/>
      <c r="B8" s="2460"/>
    </row>
    <row r="9" spans="1:2" ht="4.5" customHeight="1" x14ac:dyDescent="0.3">
      <c r="A9" s="1155"/>
      <c r="B9" s="2459"/>
    </row>
    <row r="10" spans="1:2" ht="4.5" customHeight="1" x14ac:dyDescent="0.3">
      <c r="A10" s="214"/>
      <c r="B10" s="223"/>
    </row>
    <row r="11" spans="1:2" hidden="1" outlineLevel="1" x14ac:dyDescent="0.3">
      <c r="A11" s="214" t="s">
        <v>3118</v>
      </c>
      <c r="B11" s="223">
        <v>0.1116</v>
      </c>
    </row>
    <row r="12" spans="1:2" hidden="1" outlineLevel="1" x14ac:dyDescent="0.3">
      <c r="A12" s="214" t="s">
        <v>3117</v>
      </c>
      <c r="B12" s="223">
        <f>B4*B11</f>
        <v>7812</v>
      </c>
    </row>
    <row r="13" spans="1:2" hidden="1" outlineLevel="1" x14ac:dyDescent="0.3">
      <c r="A13" s="214" t="s">
        <v>3116</v>
      </c>
      <c r="B13" s="223">
        <f>B11*B5</f>
        <v>4464</v>
      </c>
    </row>
    <row r="14" spans="1:2" hidden="1" outlineLevel="1" x14ac:dyDescent="0.3">
      <c r="A14" s="214"/>
      <c r="B14" s="223"/>
    </row>
    <row r="15" spans="1:2" hidden="1" outlineLevel="1" x14ac:dyDescent="0.3">
      <c r="A15" s="214" t="s">
        <v>3115</v>
      </c>
      <c r="B15" s="2458">
        <v>7.4999999999999997E-3</v>
      </c>
    </row>
    <row r="16" spans="1:2" collapsed="1" x14ac:dyDescent="0.3">
      <c r="A16" s="214" t="s">
        <v>3114</v>
      </c>
      <c r="B16" s="223"/>
    </row>
    <row r="17" spans="1:2" x14ac:dyDescent="0.3">
      <c r="A17" s="214" t="s">
        <v>3113</v>
      </c>
      <c r="B17" s="351">
        <f>(((B12*(1.15^5))/10000)^(1/5)-1)-0.0075</f>
        <v>8.7087003509948524E-2</v>
      </c>
    </row>
    <row r="18" spans="1:2" ht="16.2" thickBot="1" x14ac:dyDescent="0.35">
      <c r="A18" s="224" t="s">
        <v>3112</v>
      </c>
      <c r="B18" s="2457">
        <f>(((B12*(1.1^5))/10000)^(1/5)-1)-0.0075</f>
        <v>3.9496264226907503E-2</v>
      </c>
    </row>
    <row r="19" spans="1:2" ht="30" customHeight="1" x14ac:dyDescent="0.3">
      <c r="A19" s="2805" t="s">
        <v>3111</v>
      </c>
      <c r="B19" s="2805"/>
    </row>
  </sheetData>
  <mergeCells count="1">
    <mergeCell ref="A19:B19"/>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8B17-7AB6-49EC-8A9B-3565BFA30CB2}">
  <sheetPr>
    <tabColor theme="9" tint="0.59999389629810485"/>
  </sheetPr>
  <dimension ref="A1:O39"/>
  <sheetViews>
    <sheetView showGridLines="0" zoomScaleNormal="100" workbookViewId="0">
      <selection activeCell="P27" sqref="P27"/>
    </sheetView>
  </sheetViews>
  <sheetFormatPr defaultColWidth="9.109375" defaultRowHeight="15.6" outlineLevelRow="1" x14ac:dyDescent="0.3"/>
  <cols>
    <col min="1" max="1" width="26.33203125" style="211" customWidth="1"/>
    <col min="2" max="12" width="7.88671875" style="211" customWidth="1"/>
    <col min="13" max="13" width="9.33203125" style="211" customWidth="1"/>
    <col min="14" max="16384" width="9.109375" style="211"/>
  </cols>
  <sheetData>
    <row r="1" spans="1:12" s="309" customFormat="1" x14ac:dyDescent="0.3">
      <c r="A1" s="309" t="s">
        <v>556</v>
      </c>
      <c r="B1" s="309">
        <v>2002</v>
      </c>
      <c r="C1" s="309">
        <v>2002</v>
      </c>
      <c r="D1" s="309">
        <v>2002</v>
      </c>
      <c r="E1" s="309">
        <v>2002</v>
      </c>
      <c r="F1" s="309">
        <v>2002</v>
      </c>
      <c r="G1" s="309">
        <v>2002</v>
      </c>
      <c r="H1" s="309">
        <v>2002</v>
      </c>
      <c r="I1" s="309">
        <v>2002</v>
      </c>
      <c r="J1" s="309">
        <v>2002</v>
      </c>
      <c r="K1" s="309">
        <v>2002</v>
      </c>
      <c r="L1" s="309">
        <v>2002</v>
      </c>
    </row>
    <row r="2" spans="1:12" x14ac:dyDescent="0.3">
      <c r="A2" s="459" t="s">
        <v>1673</v>
      </c>
    </row>
    <row r="3" spans="1:12" x14ac:dyDescent="0.3">
      <c r="A3" s="152" t="s">
        <v>1763</v>
      </c>
    </row>
    <row r="4" spans="1:12" ht="7.8" customHeight="1" thickBot="1" x14ac:dyDescent="0.35"/>
    <row r="5" spans="1:12" x14ac:dyDescent="0.3">
      <c r="A5" s="212" t="s">
        <v>1250</v>
      </c>
      <c r="B5" s="712">
        <v>2002</v>
      </c>
      <c r="C5" s="712">
        <v>2001</v>
      </c>
      <c r="D5" s="712">
        <v>2000</v>
      </c>
      <c r="E5" s="712">
        <v>1999</v>
      </c>
      <c r="F5" s="712">
        <v>1998</v>
      </c>
      <c r="G5" s="712">
        <v>1997</v>
      </c>
      <c r="H5" s="712">
        <v>1996</v>
      </c>
      <c r="I5" s="712">
        <v>1995</v>
      </c>
      <c r="J5" s="712">
        <v>1994</v>
      </c>
      <c r="K5" s="713">
        <v>1993</v>
      </c>
      <c r="L5" s="1332">
        <v>1992</v>
      </c>
    </row>
    <row r="6" spans="1:12" x14ac:dyDescent="0.3">
      <c r="A6" s="214" t="s">
        <v>289</v>
      </c>
      <c r="B6" s="1339">
        <v>1198.848</v>
      </c>
      <c r="C6" s="1339">
        <v>1150.9559999999999</v>
      </c>
      <c r="D6" s="1339">
        <v>1293.345</v>
      </c>
      <c r="E6" s="1339">
        <v>1344.2829999999999</v>
      </c>
      <c r="F6" s="1339">
        <v>1127.779</v>
      </c>
      <c r="G6" s="1339">
        <v>1021.703</v>
      </c>
      <c r="H6" s="1339">
        <v>928.74099999999999</v>
      </c>
      <c r="I6" s="1339">
        <v>758.09199999999998</v>
      </c>
      <c r="J6" s="1339">
        <v>628.23599999999999</v>
      </c>
      <c r="K6" s="1340">
        <v>476.24099999999999</v>
      </c>
      <c r="L6" s="1339">
        <v>371.17899999999997</v>
      </c>
    </row>
    <row r="7" spans="1:12" x14ac:dyDescent="0.3">
      <c r="A7" s="214" t="s">
        <v>1703</v>
      </c>
      <c r="B7" s="1341">
        <f t="shared" ref="B7:H7" si="0">B6/B28</f>
        <v>0.90677249793794656</v>
      </c>
      <c r="C7" s="1341">
        <f t="shared" si="0"/>
        <v>0.94926789760051189</v>
      </c>
      <c r="D7" s="1341">
        <f t="shared" si="0"/>
        <v>1.1866426832440378</v>
      </c>
      <c r="E7" s="1341">
        <f t="shared" si="0"/>
        <v>1.2373425746310727</v>
      </c>
      <c r="F7" s="1341">
        <f t="shared" si="0"/>
        <v>1.1834347529987796</v>
      </c>
      <c r="G7" s="1341">
        <f t="shared" si="0"/>
        <v>1.4016947327191247</v>
      </c>
      <c r="H7" s="1341">
        <f t="shared" si="0"/>
        <v>1.4586756902567375</v>
      </c>
      <c r="I7" s="1341">
        <f t="shared" ref="I7:K7" si="1">I6/I28</f>
        <v>1.346811659344193</v>
      </c>
      <c r="J7" s="1341">
        <f t="shared" si="1"/>
        <v>1.2336470620578064</v>
      </c>
      <c r="K7" s="1342">
        <f t="shared" si="1"/>
        <v>0.98037463884991904</v>
      </c>
      <c r="L7" s="1341"/>
    </row>
    <row r="8" spans="1:12" hidden="1" outlineLevel="1" x14ac:dyDescent="0.3">
      <c r="A8" s="214" t="s">
        <v>979</v>
      </c>
      <c r="B8" s="1380">
        <v>201.36699999999999</v>
      </c>
      <c r="C8" s="1380">
        <v>170.85499999999999</v>
      </c>
      <c r="D8" s="1380">
        <v>227.017</v>
      </c>
      <c r="E8" s="1380">
        <v>251.285</v>
      </c>
      <c r="F8" s="1380">
        <v>216.601</v>
      </c>
      <c r="G8" s="1380">
        <v>187.548</v>
      </c>
      <c r="H8" s="1380">
        <v>167.70400000000001</v>
      </c>
      <c r="I8" s="1380">
        <v>131.898</v>
      </c>
      <c r="J8" s="1380">
        <v>108.64400000000001</v>
      </c>
      <c r="K8" s="1381">
        <v>83.525999999999996</v>
      </c>
      <c r="L8" s="1379">
        <v>60.46</v>
      </c>
    </row>
    <row r="9" spans="1:12" collapsed="1" x14ac:dyDescent="0.3">
      <c r="A9" s="214" t="s">
        <v>1993</v>
      </c>
      <c r="B9" s="917">
        <f t="shared" ref="B9:H9" si="2">B8/B6</f>
        <v>0.16796708173179586</v>
      </c>
      <c r="C9" s="917">
        <f t="shared" si="2"/>
        <v>0.14844616127810273</v>
      </c>
      <c r="D9" s="917">
        <f t="shared" si="2"/>
        <v>0.17552702488508479</v>
      </c>
      <c r="E9" s="917">
        <f t="shared" si="2"/>
        <v>0.18692864523318381</v>
      </c>
      <c r="F9" s="917">
        <f t="shared" si="2"/>
        <v>0.19205979185638322</v>
      </c>
      <c r="G9" s="917">
        <f t="shared" si="2"/>
        <v>0.18356410816059071</v>
      </c>
      <c r="H9" s="917">
        <f t="shared" si="2"/>
        <v>0.18057133258895647</v>
      </c>
      <c r="I9" s="917">
        <f t="shared" ref="I9:L9" si="3">I8/I6</f>
        <v>0.17398679843607373</v>
      </c>
      <c r="J9" s="917">
        <f t="shared" si="3"/>
        <v>0.17293501168350747</v>
      </c>
      <c r="K9" s="918">
        <f t="shared" si="3"/>
        <v>0.17538599154629694</v>
      </c>
      <c r="L9" s="227">
        <f t="shared" si="3"/>
        <v>0.16288637018796862</v>
      </c>
    </row>
    <row r="10" spans="1:12" x14ac:dyDescent="0.3">
      <c r="A10" s="214" t="s">
        <v>1563</v>
      </c>
      <c r="B10" s="917">
        <f t="shared" ref="B10:H10" si="4">B9*B7</f>
        <v>0.15230793027328776</v>
      </c>
      <c r="C10" s="917">
        <f t="shared" si="4"/>
        <v>0.1409151754233311</v>
      </c>
      <c r="D10" s="917">
        <f t="shared" si="4"/>
        <v>0.20828785979148001</v>
      </c>
      <c r="E10" s="917">
        <f t="shared" si="4"/>
        <v>0.23129477116512603</v>
      </c>
      <c r="F10" s="917">
        <f t="shared" si="4"/>
        <v>0.2272902323365559</v>
      </c>
      <c r="G10" s="917">
        <f t="shared" si="4"/>
        <v>0.25730084352498367</v>
      </c>
      <c r="H10" s="917">
        <f t="shared" si="4"/>
        <v>0.26339501320477499</v>
      </c>
      <c r="I10" s="917">
        <f t="shared" ref="I10:K10" si="5">I9*I7</f>
        <v>0.2343274487056721</v>
      </c>
      <c r="J10" s="917">
        <f t="shared" si="5"/>
        <v>0.21334076909029143</v>
      </c>
      <c r="K10" s="918">
        <f t="shared" si="5"/>
        <v>0.17194397812153581</v>
      </c>
      <c r="L10" s="227"/>
    </row>
    <row r="11" spans="1:12" ht="4.5" customHeight="1" x14ac:dyDescent="0.3">
      <c r="A11" s="214"/>
      <c r="B11" s="220"/>
      <c r="C11" s="220"/>
      <c r="D11" s="220"/>
      <c r="E11" s="220"/>
      <c r="F11" s="220"/>
      <c r="G11" s="220"/>
      <c r="H11" s="220"/>
      <c r="I11" s="220"/>
      <c r="J11" s="220"/>
      <c r="K11" s="223"/>
    </row>
    <row r="12" spans="1:12" ht="4.5" customHeight="1" x14ac:dyDescent="0.3">
      <c r="A12" s="1155"/>
      <c r="B12" s="684"/>
      <c r="C12" s="684"/>
      <c r="D12" s="684"/>
      <c r="E12" s="684"/>
      <c r="F12" s="684"/>
      <c r="G12" s="684"/>
      <c r="H12" s="684"/>
      <c r="I12" s="684"/>
      <c r="J12" s="684"/>
      <c r="K12" s="1279"/>
    </row>
    <row r="13" spans="1:12" ht="4.5" customHeight="1" x14ac:dyDescent="0.3">
      <c r="A13" s="214"/>
      <c r="B13" s="220"/>
      <c r="C13" s="220"/>
      <c r="D13" s="220"/>
      <c r="E13" s="220"/>
      <c r="F13" s="220"/>
      <c r="G13" s="220"/>
      <c r="H13" s="220"/>
      <c r="I13" s="220"/>
      <c r="J13" s="220"/>
      <c r="K13" s="223"/>
    </row>
    <row r="14" spans="1:12" x14ac:dyDescent="0.3">
      <c r="A14" s="214" t="s">
        <v>1730</v>
      </c>
      <c r="B14" s="1339">
        <v>1700</v>
      </c>
      <c r="C14" s="220"/>
      <c r="D14" s="220"/>
      <c r="E14" s="220"/>
      <c r="F14" s="220"/>
      <c r="G14" s="220"/>
      <c r="H14" s="220"/>
      <c r="I14" s="220"/>
      <c r="J14" s="220"/>
      <c r="K14" s="223"/>
    </row>
    <row r="15" spans="1:12" x14ac:dyDescent="0.3">
      <c r="A15" s="214" t="s">
        <v>1731</v>
      </c>
      <c r="B15" s="1380">
        <f>B26</f>
        <v>92.912000000000006</v>
      </c>
      <c r="C15" s="220"/>
      <c r="D15" s="220"/>
      <c r="E15" s="220"/>
      <c r="F15" s="220"/>
      <c r="G15" s="220"/>
      <c r="H15" s="220"/>
      <c r="I15" s="220"/>
      <c r="J15" s="220"/>
      <c r="K15" s="223"/>
    </row>
    <row r="16" spans="1:12" x14ac:dyDescent="0.3">
      <c r="A16" s="214" t="s">
        <v>1708</v>
      </c>
      <c r="B16" s="1345">
        <f>B14+B15</f>
        <v>1792.912</v>
      </c>
      <c r="C16" s="220"/>
      <c r="D16" s="220"/>
      <c r="E16" s="220"/>
      <c r="F16" s="220"/>
      <c r="G16" s="220"/>
      <c r="H16" s="220"/>
      <c r="I16" s="220"/>
      <c r="J16" s="220"/>
      <c r="K16" s="223"/>
    </row>
    <row r="17" spans="1:15" ht="4.5" customHeight="1" x14ac:dyDescent="0.3">
      <c r="A17" s="214"/>
      <c r="B17" s="220"/>
      <c r="C17" s="220"/>
      <c r="D17" s="220"/>
      <c r="E17" s="220"/>
      <c r="F17" s="220"/>
      <c r="G17" s="220"/>
      <c r="H17" s="220"/>
      <c r="I17" s="220"/>
      <c r="J17" s="220"/>
      <c r="K17" s="223"/>
      <c r="O17" s="211" t="s">
        <v>176</v>
      </c>
    </row>
    <row r="18" spans="1:15" ht="4.5" customHeight="1" x14ac:dyDescent="0.3">
      <c r="A18" s="1155"/>
      <c r="B18" s="684"/>
      <c r="C18" s="684"/>
      <c r="D18" s="684"/>
      <c r="E18" s="684"/>
      <c r="F18" s="684"/>
      <c r="G18" s="684"/>
      <c r="H18" s="684"/>
      <c r="I18" s="684"/>
      <c r="J18" s="684"/>
      <c r="K18" s="1279"/>
    </row>
    <row r="19" spans="1:15" ht="4.5" customHeight="1" x14ac:dyDescent="0.3">
      <c r="A19" s="214"/>
      <c r="B19" s="220"/>
      <c r="C19" s="220"/>
      <c r="D19" s="220"/>
      <c r="E19" s="220"/>
      <c r="F19" s="220"/>
      <c r="G19" s="220"/>
      <c r="H19" s="220"/>
      <c r="I19" s="220"/>
      <c r="J19" s="220"/>
      <c r="K19" s="223"/>
    </row>
    <row r="20" spans="1:15" x14ac:dyDescent="0.3">
      <c r="A20" s="214" t="s">
        <v>1705</v>
      </c>
      <c r="B20" s="2711">
        <f>B16/B28</f>
        <v>1.3561046044393614</v>
      </c>
      <c r="C20" s="220"/>
      <c r="D20" s="220"/>
      <c r="E20" s="220"/>
      <c r="F20" s="220"/>
      <c r="G20" s="220"/>
      <c r="H20" s="220"/>
      <c r="I20" s="220"/>
      <c r="J20" s="220"/>
      <c r="K20" s="223"/>
      <c r="M20" s="211" t="s">
        <v>176</v>
      </c>
    </row>
    <row r="21" spans="1:15" ht="16.2" thickBot="1" x14ac:dyDescent="0.35">
      <c r="A21" s="224" t="s">
        <v>1706</v>
      </c>
      <c r="B21" s="232">
        <f>B10/B20</f>
        <v>0.11231281847631117</v>
      </c>
      <c r="C21" s="218"/>
      <c r="D21" s="218"/>
      <c r="E21" s="218"/>
      <c r="F21" s="218"/>
      <c r="G21" s="218"/>
      <c r="H21" s="218"/>
      <c r="I21" s="218"/>
      <c r="J21" s="218"/>
      <c r="K21" s="219"/>
    </row>
    <row r="22" spans="1:15" x14ac:dyDescent="0.3">
      <c r="A22" s="495" t="s">
        <v>1943</v>
      </c>
      <c r="B22" s="1382"/>
      <c r="C22" s="522"/>
      <c r="D22" s="522"/>
      <c r="E22" s="522"/>
      <c r="F22" s="522"/>
      <c r="G22" s="522"/>
      <c r="H22" s="522"/>
      <c r="I22" s="522"/>
      <c r="J22" s="522"/>
      <c r="K22" s="522"/>
    </row>
    <row r="25" spans="1:15" x14ac:dyDescent="0.3">
      <c r="A25" s="211" t="s">
        <v>1766</v>
      </c>
      <c r="B25" s="1379">
        <v>1261.9570000000001</v>
      </c>
      <c r="C25" s="1379">
        <v>1147.4780000000001</v>
      </c>
      <c r="D25" s="1379">
        <v>1036.375</v>
      </c>
      <c r="E25" s="1379">
        <v>947.76800000000003</v>
      </c>
      <c r="F25" s="1379">
        <v>881.01900000000001</v>
      </c>
      <c r="G25" s="1379">
        <v>754.52599999999995</v>
      </c>
      <c r="H25" s="1379">
        <v>650.18899999999996</v>
      </c>
      <c r="I25" s="1379">
        <v>544.18700000000001</v>
      </c>
      <c r="J25" s="1379">
        <v>462.154</v>
      </c>
      <c r="K25" s="1379">
        <v>348.63</v>
      </c>
      <c r="L25" s="1379">
        <v>292.95</v>
      </c>
    </row>
    <row r="26" spans="1:15" x14ac:dyDescent="0.3">
      <c r="A26" s="211" t="s">
        <v>23</v>
      </c>
      <c r="B26" s="1379">
        <v>92.912000000000006</v>
      </c>
      <c r="C26" s="1379">
        <v>141.86199999999999</v>
      </c>
      <c r="D26" s="1379">
        <v>99.218999999999994</v>
      </c>
      <c r="E26" s="1379">
        <v>96.477000000000004</v>
      </c>
      <c r="F26" s="1379">
        <v>247.59100000000001</v>
      </c>
      <c r="G26" s="1379">
        <v>22.806000000000001</v>
      </c>
      <c r="H26" s="1379">
        <v>30.29</v>
      </c>
      <c r="I26" s="1379">
        <v>48.737000000000002</v>
      </c>
      <c r="J26" s="1379">
        <v>70.680000000000007</v>
      </c>
      <c r="K26" s="1379">
        <v>137.03800000000001</v>
      </c>
      <c r="L26" s="1379">
        <v>192.93100000000001</v>
      </c>
    </row>
    <row r="27" spans="1:15" x14ac:dyDescent="0.3">
      <c r="A27" s="211" t="s">
        <v>257</v>
      </c>
      <c r="B27" s="1379">
        <f>B25+B26</f>
        <v>1354.8690000000001</v>
      </c>
      <c r="C27" s="1379">
        <f t="shared" ref="C27:L27" si="6">C25+C26</f>
        <v>1289.3400000000001</v>
      </c>
      <c r="D27" s="1379">
        <f t="shared" si="6"/>
        <v>1135.5940000000001</v>
      </c>
      <c r="E27" s="1379">
        <f t="shared" si="6"/>
        <v>1044.2450000000001</v>
      </c>
      <c r="F27" s="1379">
        <f t="shared" si="6"/>
        <v>1128.6100000000001</v>
      </c>
      <c r="G27" s="1379">
        <f t="shared" si="6"/>
        <v>777.33199999999999</v>
      </c>
      <c r="H27" s="1379">
        <f t="shared" si="6"/>
        <v>680.47899999999993</v>
      </c>
      <c r="I27" s="1379">
        <f t="shared" si="6"/>
        <v>592.92399999999998</v>
      </c>
      <c r="J27" s="1379">
        <f t="shared" si="6"/>
        <v>532.83400000000006</v>
      </c>
      <c r="K27" s="1379">
        <f t="shared" si="6"/>
        <v>485.66800000000001</v>
      </c>
      <c r="L27" s="1379">
        <f t="shared" si="6"/>
        <v>485.88099999999997</v>
      </c>
    </row>
    <row r="28" spans="1:15" x14ac:dyDescent="0.3">
      <c r="A28" s="211" t="s">
        <v>1767</v>
      </c>
      <c r="B28" s="1379">
        <f>AVERAGE(B27:C27)</f>
        <v>1322.1045000000001</v>
      </c>
      <c r="C28" s="1379">
        <f t="shared" ref="C28:K28" si="7">AVERAGE(C27:D27)</f>
        <v>1212.4670000000001</v>
      </c>
      <c r="D28" s="1379">
        <f t="shared" si="7"/>
        <v>1089.9195</v>
      </c>
      <c r="E28" s="1379">
        <f t="shared" si="7"/>
        <v>1086.4275000000002</v>
      </c>
      <c r="F28" s="1379">
        <f t="shared" si="7"/>
        <v>952.971</v>
      </c>
      <c r="G28" s="1379">
        <f t="shared" si="7"/>
        <v>728.90549999999996</v>
      </c>
      <c r="H28" s="1379">
        <f t="shared" si="7"/>
        <v>636.7014999999999</v>
      </c>
      <c r="I28" s="1379">
        <f t="shared" si="7"/>
        <v>562.87900000000002</v>
      </c>
      <c r="J28" s="1379">
        <f t="shared" si="7"/>
        <v>509.25100000000003</v>
      </c>
      <c r="K28" s="1379">
        <f t="shared" si="7"/>
        <v>485.77449999999999</v>
      </c>
      <c r="L28" s="1379"/>
    </row>
    <row r="32" spans="1:15" x14ac:dyDescent="0.3">
      <c r="H32" s="211" t="s">
        <v>176</v>
      </c>
    </row>
    <row r="34" spans="1:12" x14ac:dyDescent="0.3">
      <c r="A34" s="211" t="s">
        <v>282</v>
      </c>
      <c r="B34" s="1379">
        <v>1828.403</v>
      </c>
      <c r="C34" s="1379">
        <v>1654.17</v>
      </c>
      <c r="D34" s="1379">
        <v>1506.3779999999999</v>
      </c>
      <c r="E34" s="1379">
        <v>1417.2449999999999</v>
      </c>
      <c r="F34" s="1379">
        <v>1457.7570000000001</v>
      </c>
      <c r="G34" s="1379">
        <v>1045.761</v>
      </c>
      <c r="H34" s="1379">
        <v>886.35</v>
      </c>
      <c r="I34" s="1379">
        <v>761.15099999999995</v>
      </c>
      <c r="J34" s="1379">
        <v>701.14800000000002</v>
      </c>
      <c r="K34" s="1379">
        <v>587.03200000000004</v>
      </c>
      <c r="L34" s="1379">
        <v>554.78</v>
      </c>
    </row>
    <row r="35" spans="1:12" x14ac:dyDescent="0.3">
      <c r="A35" s="211" t="s">
        <v>1768</v>
      </c>
      <c r="B35" s="348">
        <f>B34/B25</f>
        <v>1.4488631546082789</v>
      </c>
      <c r="C35" s="348">
        <f t="shared" ref="C35:L35" si="8">C34/C25</f>
        <v>1.4415701216058172</v>
      </c>
      <c r="D35" s="348">
        <f t="shared" si="8"/>
        <v>1.4535066940055481</v>
      </c>
      <c r="E35" s="348">
        <f t="shared" si="8"/>
        <v>1.4953501278793966</v>
      </c>
      <c r="F35" s="348">
        <f t="shared" si="8"/>
        <v>1.6546260636830761</v>
      </c>
      <c r="G35" s="348">
        <f t="shared" si="8"/>
        <v>1.3859840482634131</v>
      </c>
      <c r="H35" s="348">
        <f t="shared" si="8"/>
        <v>1.3632190024746651</v>
      </c>
      <c r="I35" s="348">
        <f t="shared" si="8"/>
        <v>1.398693831348415</v>
      </c>
      <c r="J35" s="348">
        <f t="shared" si="8"/>
        <v>1.5171306534185576</v>
      </c>
      <c r="K35" s="348">
        <f t="shared" si="8"/>
        <v>1.6838252588704359</v>
      </c>
      <c r="L35" s="348">
        <f t="shared" si="8"/>
        <v>1.8937702679638164</v>
      </c>
    </row>
    <row r="38" spans="1:12" x14ac:dyDescent="0.3">
      <c r="A38" s="211" t="s">
        <v>1764</v>
      </c>
      <c r="B38" s="1379">
        <v>197.04599999999999</v>
      </c>
      <c r="C38" s="1379">
        <v>169.351</v>
      </c>
      <c r="D38" s="1379">
        <v>228.62799999999999</v>
      </c>
      <c r="E38" s="1379">
        <v>245.96799999999999</v>
      </c>
      <c r="F38" s="1379">
        <v>222.1</v>
      </c>
      <c r="G38" s="1379">
        <v>192.7</v>
      </c>
      <c r="H38" s="1379">
        <v>172.3</v>
      </c>
      <c r="I38" s="1379">
        <v>135.80000000000001</v>
      </c>
      <c r="J38" s="1379">
        <v>108.285</v>
      </c>
      <c r="K38" s="1379">
        <v>83.355999999999995</v>
      </c>
      <c r="L38" s="1379">
        <v>60.143000000000001</v>
      </c>
    </row>
    <row r="39" spans="1:12" x14ac:dyDescent="0.3">
      <c r="A39" s="211" t="s">
        <v>1765</v>
      </c>
      <c r="B39" s="227">
        <f t="shared" ref="B39:H39" si="9">B38/B6</f>
        <v>0.16436278827674566</v>
      </c>
      <c r="C39" s="227">
        <f t="shared" si="9"/>
        <v>0.14713942148961387</v>
      </c>
      <c r="D39" s="227">
        <f t="shared" si="9"/>
        <v>0.1767726322056373</v>
      </c>
      <c r="E39" s="227">
        <f t="shared" si="9"/>
        <v>0.18297337688567067</v>
      </c>
      <c r="F39" s="227">
        <f t="shared" si="9"/>
        <v>0.19693574716322967</v>
      </c>
      <c r="G39" s="227">
        <f t="shared" si="9"/>
        <v>0.18860666945286447</v>
      </c>
      <c r="H39" s="227">
        <f t="shared" si="9"/>
        <v>0.18551996735365406</v>
      </c>
      <c r="I39" s="227">
        <f t="shared" ref="I39:L39" si="10">I38/I6</f>
        <v>0.17913393097407704</v>
      </c>
      <c r="J39" s="227">
        <f t="shared" si="10"/>
        <v>0.17236357037801081</v>
      </c>
      <c r="K39" s="227">
        <f t="shared" si="10"/>
        <v>0.17502902941997853</v>
      </c>
      <c r="L39" s="227">
        <f t="shared" si="10"/>
        <v>0.16203233480342369</v>
      </c>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5B450-E30E-4B37-B9FF-D3D7423139EB}">
  <sheetPr codeName="Sheet54">
    <tabColor theme="9" tint="0.59999389629810485"/>
  </sheetPr>
  <dimension ref="A1:M95"/>
  <sheetViews>
    <sheetView showGridLines="0" topLeftCell="A69" workbookViewId="0">
      <selection activeCell="J89" sqref="J89"/>
    </sheetView>
  </sheetViews>
  <sheetFormatPr defaultColWidth="8.6640625" defaultRowHeight="15.6" outlineLevelRow="1" x14ac:dyDescent="0.3"/>
  <cols>
    <col min="1" max="1" width="42.44140625" style="211" customWidth="1"/>
    <col min="2" max="2" width="11.109375" style="211" customWidth="1"/>
    <col min="3" max="3" width="8.88671875" style="211" bestFit="1" customWidth="1"/>
    <col min="4" max="6" width="9.88671875" style="211" bestFit="1" customWidth="1"/>
    <col min="7" max="9" width="8.6640625" style="211"/>
    <col min="10" max="10" width="8.88671875" style="211" bestFit="1" customWidth="1"/>
    <col min="11" max="11" width="15.6640625" style="211" bestFit="1" customWidth="1"/>
    <col min="12" max="12" width="12.109375" style="211" bestFit="1" customWidth="1"/>
    <col min="13" max="13" width="11.33203125" style="211" bestFit="1" customWidth="1"/>
    <col min="14" max="16384" width="8.6640625" style="211"/>
  </cols>
  <sheetData>
    <row r="1" spans="1:2" x14ac:dyDescent="0.3">
      <c r="A1" s="211" t="s">
        <v>783</v>
      </c>
      <c r="B1" s="252">
        <v>22.138999999999999</v>
      </c>
    </row>
    <row r="2" spans="1:2" x14ac:dyDescent="0.3">
      <c r="A2" s="211" t="s">
        <v>778</v>
      </c>
      <c r="B2" s="230">
        <v>64.438000000000002</v>
      </c>
    </row>
    <row r="3" spans="1:2" x14ac:dyDescent="0.3">
      <c r="A3" s="211" t="s">
        <v>1</v>
      </c>
      <c r="B3" s="230">
        <v>-0.10199999999999999</v>
      </c>
    </row>
    <row r="4" spans="1:2" x14ac:dyDescent="0.3">
      <c r="A4" s="211" t="s">
        <v>779</v>
      </c>
      <c r="B4" s="230">
        <v>-2.4550000000000001</v>
      </c>
    </row>
    <row r="5" spans="1:2" x14ac:dyDescent="0.3">
      <c r="A5" s="211" t="s">
        <v>780</v>
      </c>
      <c r="B5" s="230">
        <v>-0.3</v>
      </c>
    </row>
    <row r="6" spans="1:2" x14ac:dyDescent="0.3">
      <c r="A6" s="211" t="s">
        <v>781</v>
      </c>
      <c r="B6" s="230">
        <v>4.4779999999999998</v>
      </c>
    </row>
    <row r="7" spans="1:2" x14ac:dyDescent="0.3">
      <c r="A7" s="211" t="s">
        <v>782</v>
      </c>
      <c r="B7" s="277">
        <f>SUM(B1:B6)</f>
        <v>88.197999999999993</v>
      </c>
    </row>
    <row r="9" spans="1:2" x14ac:dyDescent="0.3">
      <c r="A9" s="211" t="s">
        <v>782</v>
      </c>
      <c r="B9" s="252">
        <v>88</v>
      </c>
    </row>
    <row r="10" spans="1:2" x14ac:dyDescent="0.3">
      <c r="A10" s="211" t="s">
        <v>493</v>
      </c>
      <c r="B10" s="230">
        <v>565</v>
      </c>
    </row>
    <row r="11" spans="1:2" x14ac:dyDescent="0.3">
      <c r="A11" s="211" t="s">
        <v>784</v>
      </c>
      <c r="B11" s="230">
        <v>486</v>
      </c>
    </row>
    <row r="12" spans="1:2" x14ac:dyDescent="0.3">
      <c r="A12" s="211" t="s">
        <v>785</v>
      </c>
      <c r="B12" s="230">
        <v>133</v>
      </c>
    </row>
    <row r="13" spans="1:2" x14ac:dyDescent="0.3">
      <c r="A13" s="211" t="s">
        <v>786</v>
      </c>
      <c r="B13" s="252">
        <f>SUM(B9:B12)</f>
        <v>1272</v>
      </c>
    </row>
    <row r="16" spans="1:2" x14ac:dyDescent="0.3">
      <c r="A16" s="211" t="s">
        <v>786</v>
      </c>
      <c r="B16" s="252">
        <v>1271.761</v>
      </c>
    </row>
    <row r="17" spans="1:13" x14ac:dyDescent="0.3">
      <c r="A17" s="211" t="s">
        <v>809</v>
      </c>
      <c r="B17" s="230">
        <v>4223.68</v>
      </c>
    </row>
    <row r="18" spans="1:13" x14ac:dyDescent="0.3">
      <c r="A18" s="211" t="s">
        <v>810</v>
      </c>
      <c r="B18" s="230">
        <v>433.03199999999998</v>
      </c>
    </row>
    <row r="19" spans="1:13" x14ac:dyDescent="0.3">
      <c r="A19" s="211" t="s">
        <v>720</v>
      </c>
      <c r="B19" s="230">
        <v>70.355000000000004</v>
      </c>
    </row>
    <row r="20" spans="1:13" x14ac:dyDescent="0.3">
      <c r="A20" s="211" t="s">
        <v>816</v>
      </c>
      <c r="B20" s="230">
        <v>171.77500000000001</v>
      </c>
    </row>
    <row r="21" spans="1:13" x14ac:dyDescent="0.3">
      <c r="A21" s="211" t="s">
        <v>719</v>
      </c>
      <c r="B21" s="230">
        <v>-1.355</v>
      </c>
    </row>
    <row r="22" spans="1:13" x14ac:dyDescent="0.3">
      <c r="A22" s="211" t="s">
        <v>784</v>
      </c>
      <c r="B22" s="230">
        <v>5705.634</v>
      </c>
    </row>
    <row r="23" spans="1:13" x14ac:dyDescent="0.3">
      <c r="A23" s="211" t="s">
        <v>788</v>
      </c>
      <c r="B23" s="252">
        <f>SUM(B16:B22)</f>
        <v>11874.882000000001</v>
      </c>
    </row>
    <row r="25" spans="1:13" ht="16.2" thickBot="1" x14ac:dyDescent="0.35">
      <c r="J25" s="211" t="s">
        <v>814</v>
      </c>
    </row>
    <row r="26" spans="1:13" x14ac:dyDescent="0.3">
      <c r="A26" s="225" t="s">
        <v>811</v>
      </c>
      <c r="B26" s="389"/>
    </row>
    <row r="27" spans="1:13" x14ac:dyDescent="0.3">
      <c r="A27" s="213" t="s">
        <v>789</v>
      </c>
      <c r="B27" s="1395">
        <f>B1</f>
        <v>22.138999999999999</v>
      </c>
    </row>
    <row r="28" spans="1:13" x14ac:dyDescent="0.3">
      <c r="A28" s="214" t="s">
        <v>812</v>
      </c>
      <c r="B28" s="1152">
        <f>B2+B10+B17-B29</f>
        <v>3292.0180000000005</v>
      </c>
      <c r="J28" s="211" t="s">
        <v>793</v>
      </c>
    </row>
    <row r="29" spans="1:13" x14ac:dyDescent="0.3">
      <c r="A29" s="214" t="s">
        <v>815</v>
      </c>
      <c r="B29" s="260">
        <v>1561.1</v>
      </c>
      <c r="J29" s="211" t="s">
        <v>792</v>
      </c>
      <c r="K29" s="230">
        <f>SUM('3. Financials'!C86:L86)</f>
        <v>7312528</v>
      </c>
      <c r="L29" s="1018">
        <v>7.3129999999999997</v>
      </c>
      <c r="M29" s="320">
        <f>L29</f>
        <v>7.3129999999999997</v>
      </c>
    </row>
    <row r="30" spans="1:13" x14ac:dyDescent="0.3">
      <c r="A30" s="214" t="s">
        <v>784</v>
      </c>
      <c r="B30" s="1152">
        <f>B11+B22+B20</f>
        <v>6363.4089999999997</v>
      </c>
      <c r="J30" s="211" t="s">
        <v>794</v>
      </c>
      <c r="K30" s="230">
        <f>SUM('4. Financials'!B144:D144,'4. Financials'!G144:J145,'4. Financials'!K141,'4. Financials'!N141:O141)</f>
        <v>199471557</v>
      </c>
      <c r="L30" s="211">
        <v>199.5</v>
      </c>
      <c r="M30" s="320">
        <f>L30</f>
        <v>199.5</v>
      </c>
    </row>
    <row r="31" spans="1:13" x14ac:dyDescent="0.3">
      <c r="A31" s="214" t="s">
        <v>790</v>
      </c>
      <c r="B31" s="1152">
        <f>B18+B12</f>
        <v>566.03199999999993</v>
      </c>
      <c r="J31" s="211">
        <v>1985</v>
      </c>
      <c r="K31" s="230">
        <v>325237000</v>
      </c>
      <c r="L31" s="1043">
        <f>K31/1000000</f>
        <v>325.23700000000002</v>
      </c>
      <c r="M31" s="320"/>
    </row>
    <row r="32" spans="1:13" x14ac:dyDescent="0.3">
      <c r="A32" s="214" t="s">
        <v>791</v>
      </c>
      <c r="B32" s="1152">
        <f>B21+B3+B4+B19</f>
        <v>66.442999999999998</v>
      </c>
      <c r="C32" s="211" t="s">
        <v>817</v>
      </c>
      <c r="J32" s="211">
        <v>1986</v>
      </c>
      <c r="K32" s="230">
        <v>150897000</v>
      </c>
      <c r="L32" s="1043">
        <f t="shared" ref="L32:L36" si="0">K32/1000000</f>
        <v>150.89699999999999</v>
      </c>
      <c r="M32" s="320"/>
    </row>
    <row r="33" spans="1:13" x14ac:dyDescent="0.3">
      <c r="A33" s="214" t="s">
        <v>279</v>
      </c>
      <c r="B33" s="1152">
        <f>B6</f>
        <v>4.4779999999999998</v>
      </c>
      <c r="J33" s="211">
        <v>1987</v>
      </c>
      <c r="K33" s="230">
        <v>19806000</v>
      </c>
      <c r="L33" s="1043">
        <f t="shared" si="0"/>
        <v>19.806000000000001</v>
      </c>
      <c r="M33" s="320"/>
    </row>
    <row r="34" spans="1:13" ht="16.2" thickBot="1" x14ac:dyDescent="0.35">
      <c r="A34" s="213" t="s">
        <v>813</v>
      </c>
      <c r="B34" s="1396">
        <f>SUM(B27:B33)-1</f>
        <v>11874.618999999999</v>
      </c>
      <c r="J34" s="211">
        <v>1988</v>
      </c>
      <c r="K34" s="230">
        <v>85829000</v>
      </c>
      <c r="L34" s="1043">
        <f t="shared" si="0"/>
        <v>85.828999999999994</v>
      </c>
      <c r="M34" s="320"/>
    </row>
    <row r="35" spans="1:13" ht="16.8" thickTop="1" thickBot="1" x14ac:dyDescent="0.35">
      <c r="A35" s="217" t="s">
        <v>797</v>
      </c>
      <c r="B35" s="219"/>
      <c r="J35" s="211">
        <v>1989</v>
      </c>
      <c r="K35" s="230">
        <v>147575000</v>
      </c>
      <c r="L35" s="1043">
        <f t="shared" si="0"/>
        <v>147.57499999999999</v>
      </c>
      <c r="M35" s="320"/>
    </row>
    <row r="36" spans="1:13" ht="16.2" thickBot="1" x14ac:dyDescent="0.35">
      <c r="A36" s="320"/>
      <c r="J36" s="211">
        <v>1990</v>
      </c>
      <c r="K36" s="230">
        <v>23348000</v>
      </c>
      <c r="L36" s="1043">
        <f t="shared" si="0"/>
        <v>23.347999999999999</v>
      </c>
      <c r="M36" s="320"/>
    </row>
    <row r="37" spans="1:13" x14ac:dyDescent="0.3">
      <c r="A37" s="453" t="s">
        <v>724</v>
      </c>
      <c r="B37" s="1397">
        <v>11651.5</v>
      </c>
      <c r="J37" s="211">
        <v>1991</v>
      </c>
      <c r="K37" s="230">
        <v>124155000</v>
      </c>
      <c r="L37" s="1043">
        <f>K37/1000000</f>
        <v>124.155</v>
      </c>
      <c r="M37" s="320"/>
    </row>
    <row r="38" spans="1:13" x14ac:dyDescent="0.3">
      <c r="A38" s="214" t="s">
        <v>990</v>
      </c>
      <c r="B38" s="1152">
        <v>33440.1</v>
      </c>
      <c r="J38" s="211">
        <v>1992</v>
      </c>
      <c r="K38" s="230">
        <v>59559000</v>
      </c>
      <c r="L38" s="1043">
        <f>K38/1000000</f>
        <v>59.558999999999997</v>
      </c>
      <c r="M38" s="320"/>
    </row>
    <row r="39" spans="1:13" x14ac:dyDescent="0.3">
      <c r="A39" s="214" t="s">
        <v>2071</v>
      </c>
      <c r="B39" s="1398">
        <v>15000</v>
      </c>
      <c r="J39" s="211">
        <v>1993</v>
      </c>
      <c r="K39" s="230">
        <v>356702000</v>
      </c>
      <c r="L39" s="1043">
        <f>K39/1000000</f>
        <v>356.702</v>
      </c>
      <c r="M39" s="320"/>
    </row>
    <row r="40" spans="1:13" x14ac:dyDescent="0.3">
      <c r="A40" s="214" t="s">
        <v>995</v>
      </c>
      <c r="B40" s="1152">
        <v>158</v>
      </c>
      <c r="J40" s="211">
        <v>1994</v>
      </c>
      <c r="K40" s="230">
        <v>61139000</v>
      </c>
      <c r="L40" s="1043">
        <f>K40/1000000</f>
        <v>61.139000000000003</v>
      </c>
      <c r="M40" s="1399">
        <f>SUM(L31:L40)</f>
        <v>1354.2469999999998</v>
      </c>
    </row>
    <row r="41" spans="1:13" x14ac:dyDescent="0.3">
      <c r="A41" s="214" t="s">
        <v>994</v>
      </c>
      <c r="B41" s="1152">
        <v>25085.3</v>
      </c>
      <c r="J41" s="152" t="s">
        <v>3</v>
      </c>
      <c r="K41" s="1400">
        <f>SUM(K29:K40)</f>
        <v>1561031085</v>
      </c>
      <c r="L41" s="1401">
        <f>SUM(L29:L40)</f>
        <v>1561.0599999999997</v>
      </c>
    </row>
    <row r="42" spans="1:13" x14ac:dyDescent="0.3">
      <c r="A42" s="214" t="s">
        <v>993</v>
      </c>
      <c r="B42" s="1402">
        <v>565</v>
      </c>
    </row>
    <row r="43" spans="1:13" x14ac:dyDescent="0.3">
      <c r="A43" s="214" t="s">
        <v>279</v>
      </c>
      <c r="B43" s="1398">
        <v>0.3</v>
      </c>
    </row>
    <row r="44" spans="1:13" x14ac:dyDescent="0.3">
      <c r="A44" s="214" t="s">
        <v>991</v>
      </c>
      <c r="B44" s="1403">
        <v>85900.200000000012</v>
      </c>
    </row>
    <row r="45" spans="1:13" x14ac:dyDescent="0.3">
      <c r="A45" s="214"/>
      <c r="B45" s="223"/>
    </row>
    <row r="46" spans="1:13" x14ac:dyDescent="0.3">
      <c r="A46" s="1404" t="s">
        <v>992</v>
      </c>
      <c r="B46" s="1405">
        <v>85900</v>
      </c>
    </row>
    <row r="47" spans="1:13" ht="16.2" thickBot="1" x14ac:dyDescent="0.35">
      <c r="A47" s="1406" t="s">
        <v>649</v>
      </c>
      <c r="B47" s="1407">
        <v>0.20000000001164153</v>
      </c>
    </row>
    <row r="48" spans="1:13" x14ac:dyDescent="0.3">
      <c r="A48" s="152"/>
    </row>
    <row r="49" spans="1:10" x14ac:dyDescent="0.3">
      <c r="A49" s="459" t="s">
        <v>1673</v>
      </c>
      <c r="G49" s="1303"/>
    </row>
    <row r="50" spans="1:10" x14ac:dyDescent="0.3">
      <c r="A50" s="152" t="s">
        <v>1781</v>
      </c>
    </row>
    <row r="51" spans="1:10" ht="8.25" customHeight="1" thickBot="1" x14ac:dyDescent="0.35"/>
    <row r="52" spans="1:10" x14ac:dyDescent="0.3">
      <c r="A52" s="212" t="s">
        <v>1250</v>
      </c>
      <c r="B52" s="470" t="s">
        <v>1579</v>
      </c>
      <c r="C52" s="470" t="s">
        <v>1580</v>
      </c>
      <c r="D52" s="470" t="s">
        <v>1584</v>
      </c>
      <c r="E52" s="470" t="s">
        <v>1782</v>
      </c>
      <c r="F52" s="1408" t="s">
        <v>1783</v>
      </c>
      <c r="G52" s="320"/>
      <c r="J52" s="277"/>
    </row>
    <row r="53" spans="1:10" x14ac:dyDescent="0.3">
      <c r="A53" s="214" t="s">
        <v>798</v>
      </c>
      <c r="B53" s="1417">
        <f>B27</f>
        <v>22.138999999999999</v>
      </c>
      <c r="C53" s="1417">
        <f>B61</f>
        <v>88.49803</v>
      </c>
      <c r="D53" s="1417">
        <f>C61</f>
        <v>1272.49803</v>
      </c>
      <c r="E53" s="1417">
        <f>D61</f>
        <v>11874.619041</v>
      </c>
      <c r="F53" s="1418">
        <f>B53</f>
        <v>22.138999999999999</v>
      </c>
      <c r="G53" s="320"/>
    </row>
    <row r="54" spans="1:10" x14ac:dyDescent="0.3">
      <c r="A54" s="214" t="s">
        <v>799</v>
      </c>
      <c r="B54" s="922">
        <f>B2-L29</f>
        <v>57.125</v>
      </c>
      <c r="C54" s="926">
        <f>B10-C55</f>
        <v>365.53</v>
      </c>
      <c r="D54" s="922">
        <f>B17-D55</f>
        <v>2869.4330000000004</v>
      </c>
      <c r="E54" s="922">
        <f>'6. Equity Reconc.'!B36-E55</f>
        <v>19344.099999999999</v>
      </c>
      <c r="F54" s="1423">
        <f>SUM(B54:E54)</f>
        <v>22636.187999999998</v>
      </c>
      <c r="G54" s="1335"/>
    </row>
    <row r="55" spans="1:10" x14ac:dyDescent="0.3">
      <c r="A55" s="214" t="s">
        <v>800</v>
      </c>
      <c r="B55" s="922">
        <f>L29</f>
        <v>7.3129999999999997</v>
      </c>
      <c r="C55" s="922">
        <v>199.47</v>
      </c>
      <c r="D55" s="922">
        <f>M40</f>
        <v>1354.2469999999998</v>
      </c>
      <c r="E55" s="922">
        <f>SUM('6. Select Parent Fin''l Data'!B33:T33)</f>
        <v>14096</v>
      </c>
      <c r="F55" s="1423">
        <f t="shared" ref="F55:F60" si="1">SUM(B55:E55)</f>
        <v>15657.029999999999</v>
      </c>
      <c r="G55" s="1335"/>
    </row>
    <row r="56" spans="1:10" x14ac:dyDescent="0.3">
      <c r="A56" s="214" t="s">
        <v>784</v>
      </c>
      <c r="B56" s="922">
        <v>1.0000000000000001E-5</v>
      </c>
      <c r="C56" s="926">
        <f>B11</f>
        <v>486</v>
      </c>
      <c r="D56" s="922">
        <f>B22+B20</f>
        <v>5877.4089999999997</v>
      </c>
      <c r="E56" s="922">
        <f>'6. Equity Reconc.'!B37</f>
        <v>15000.040000000003</v>
      </c>
      <c r="F56" s="1423">
        <f t="shared" si="1"/>
        <v>21363.449010000004</v>
      </c>
      <c r="G56" s="1335"/>
    </row>
    <row r="57" spans="1:10" x14ac:dyDescent="0.3">
      <c r="A57" s="214" t="s">
        <v>790</v>
      </c>
      <c r="B57" s="922">
        <v>1.0000000000000001E-5</v>
      </c>
      <c r="C57" s="926">
        <f>B12</f>
        <v>133</v>
      </c>
      <c r="D57" s="922">
        <f>B18</f>
        <v>433.03199999999998</v>
      </c>
      <c r="E57" s="922">
        <f>'6. Equity Reconc.'!B39</f>
        <v>25085.3</v>
      </c>
      <c r="F57" s="1423">
        <f t="shared" si="1"/>
        <v>25651.332009999998</v>
      </c>
      <c r="G57" s="1335"/>
    </row>
    <row r="58" spans="1:10" x14ac:dyDescent="0.3">
      <c r="A58" s="214" t="s">
        <v>791</v>
      </c>
      <c r="B58" s="922">
        <f>B3+B4</f>
        <v>-2.5569999999999999</v>
      </c>
      <c r="C58" s="926">
        <v>0</v>
      </c>
      <c r="D58" s="922">
        <f>B21+B19</f>
        <v>69</v>
      </c>
      <c r="E58" s="922">
        <v>1.0000000000000001E-5</v>
      </c>
      <c r="F58" s="1423">
        <f t="shared" si="1"/>
        <v>66.443010000000001</v>
      </c>
      <c r="G58" s="1335"/>
    </row>
    <row r="59" spans="1:10" x14ac:dyDescent="0.3">
      <c r="A59" s="214" t="s">
        <v>996</v>
      </c>
      <c r="B59" s="922">
        <v>1.0000000000000001E-5</v>
      </c>
      <c r="C59" s="926">
        <v>0</v>
      </c>
      <c r="D59" s="922">
        <v>1.0000000000000001E-5</v>
      </c>
      <c r="E59" s="922">
        <v>565</v>
      </c>
      <c r="F59" s="1423">
        <f t="shared" si="1"/>
        <v>565.00001999999995</v>
      </c>
      <c r="G59" s="1335"/>
    </row>
    <row r="60" spans="1:10" x14ac:dyDescent="0.3">
      <c r="A60" s="214" t="s">
        <v>279</v>
      </c>
      <c r="B60" s="922">
        <f>B6</f>
        <v>4.4779999999999998</v>
      </c>
      <c r="C60" s="926">
        <v>0</v>
      </c>
      <c r="D60" s="922">
        <v>9.9999999999999995E-7</v>
      </c>
      <c r="E60" s="922">
        <f>'6. Equity Reconc.'!B41-65</f>
        <v>-64.7</v>
      </c>
      <c r="F60" s="1423">
        <f t="shared" si="1"/>
        <v>-60.221999000000004</v>
      </c>
      <c r="G60" s="1335"/>
      <c r="H60" s="211" t="s">
        <v>1001</v>
      </c>
    </row>
    <row r="61" spans="1:10" ht="16.2" thickBot="1" x14ac:dyDescent="0.35">
      <c r="A61" s="214" t="s">
        <v>801</v>
      </c>
      <c r="B61" s="1419">
        <f>SUM(B53:B60)</f>
        <v>88.49803</v>
      </c>
      <c r="C61" s="1419">
        <f>SUM(C53:C60)</f>
        <v>1272.49803</v>
      </c>
      <c r="D61" s="1419">
        <f>SUM(D53:D60)-1</f>
        <v>11874.619041</v>
      </c>
      <c r="E61" s="1419">
        <f>SUM(E53:E60)</f>
        <v>85900.359051000007</v>
      </c>
      <c r="F61" s="1420">
        <f>SUM(F53:F60)-2</f>
        <v>85899.359051000007</v>
      </c>
    </row>
    <row r="62" spans="1:10" ht="6.6" customHeight="1" thickTop="1" x14ac:dyDescent="0.3">
      <c r="A62" s="221"/>
      <c r="B62" s="1417"/>
      <c r="C62" s="1417"/>
      <c r="D62" s="1421"/>
      <c r="E62" s="1421"/>
      <c r="F62" s="1422"/>
    </row>
    <row r="63" spans="1:10" ht="6.6" customHeight="1" x14ac:dyDescent="0.3">
      <c r="A63" s="221"/>
      <c r="B63" s="1417"/>
      <c r="C63" s="1417"/>
      <c r="D63" s="1417"/>
      <c r="E63" s="1417"/>
      <c r="F63" s="1422"/>
    </row>
    <row r="64" spans="1:10" x14ac:dyDescent="0.3">
      <c r="A64" s="214" t="s">
        <v>803</v>
      </c>
      <c r="B64" s="1417">
        <f>B61-B53</f>
        <v>66.359030000000004</v>
      </c>
      <c r="C64" s="1417">
        <f>C61-C53</f>
        <v>1184</v>
      </c>
      <c r="D64" s="1417">
        <f>D61-D53</f>
        <v>10602.121010999999</v>
      </c>
      <c r="E64" s="1417">
        <f>E61-E53</f>
        <v>74025.740010000009</v>
      </c>
      <c r="F64" s="1422">
        <f>F61-F53</f>
        <v>85877.220051000011</v>
      </c>
    </row>
    <row r="65" spans="1:10" ht="9" customHeight="1" x14ac:dyDescent="0.3">
      <c r="A65" s="221"/>
      <c r="B65" s="1417"/>
      <c r="C65" s="1417"/>
      <c r="D65" s="1417"/>
      <c r="E65" s="1417"/>
      <c r="F65" s="1422"/>
      <c r="J65" s="211" t="s">
        <v>176</v>
      </c>
    </row>
    <row r="66" spans="1:10" ht="16.2" thickBot="1" x14ac:dyDescent="0.35">
      <c r="A66" s="9" t="s">
        <v>1945</v>
      </c>
      <c r="B66" s="218"/>
      <c r="C66" s="218"/>
      <c r="D66" s="218"/>
      <c r="E66" s="218"/>
      <c r="F66" s="219"/>
    </row>
    <row r="67" spans="1:10" x14ac:dyDescent="0.3">
      <c r="A67" s="12" t="s">
        <v>1893</v>
      </c>
      <c r="B67" s="277"/>
      <c r="C67" s="277"/>
      <c r="D67" s="277"/>
      <c r="E67" s="277"/>
      <c r="F67" s="277"/>
    </row>
    <row r="68" spans="1:10" x14ac:dyDescent="0.3">
      <c r="B68" s="277"/>
      <c r="C68" s="277"/>
      <c r="D68" s="277"/>
      <c r="E68" s="277"/>
      <c r="F68" s="277"/>
    </row>
    <row r="69" spans="1:10" s="309" customFormat="1" outlineLevel="1" x14ac:dyDescent="0.3">
      <c r="A69" s="309" t="s">
        <v>997</v>
      </c>
      <c r="E69" s="1409" t="e">
        <f>#REF!</f>
        <v>#REF!</v>
      </c>
    </row>
    <row r="70" spans="1:10" x14ac:dyDescent="0.3">
      <c r="E70" s="1303" t="e">
        <f>E61-E69</f>
        <v>#REF!</v>
      </c>
    </row>
    <row r="71" spans="1:10" x14ac:dyDescent="0.3">
      <c r="B71" s="277"/>
      <c r="C71" s="277"/>
      <c r="D71" s="277"/>
      <c r="E71" s="277"/>
      <c r="F71" s="277"/>
    </row>
    <row r="72" spans="1:10" s="309" customFormat="1" outlineLevel="1" x14ac:dyDescent="0.3">
      <c r="A72" s="309" t="s">
        <v>1010</v>
      </c>
      <c r="B72" s="1410"/>
      <c r="C72" s="1411">
        <f>C61/B61</f>
        <v>14.378828884665568</v>
      </c>
      <c r="D72" s="1411">
        <f>D61/C61</f>
        <v>9.331738644027606</v>
      </c>
      <c r="E72" s="1411">
        <f>E61/D61</f>
        <v>7.2339465168868324</v>
      </c>
      <c r="F72" s="1411"/>
    </row>
    <row r="73" spans="1:10" s="309" customFormat="1" outlineLevel="1" x14ac:dyDescent="0.3">
      <c r="A73" s="309" t="s">
        <v>1011</v>
      </c>
      <c r="C73" s="1412">
        <f>C72^0.1-1</f>
        <v>0.30548639895935081</v>
      </c>
      <c r="D73" s="1412">
        <f>D72^0.1-1</f>
        <v>0.25024825392353667</v>
      </c>
      <c r="E73" s="1412">
        <f>E72^0.1-1</f>
        <v>0.21881426722358244</v>
      </c>
      <c r="F73" s="1412"/>
    </row>
    <row r="74" spans="1:10" s="309" customFormat="1" outlineLevel="1" x14ac:dyDescent="0.3">
      <c r="C74" s="1412"/>
      <c r="D74" s="1412"/>
      <c r="E74" s="1412"/>
    </row>
    <row r="75" spans="1:10" x14ac:dyDescent="0.3">
      <c r="D75" s="227"/>
      <c r="E75" s="227"/>
    </row>
    <row r="76" spans="1:10" x14ac:dyDescent="0.3">
      <c r="A76" s="459" t="s">
        <v>1673</v>
      </c>
      <c r="D76" s="227"/>
      <c r="E76" s="227"/>
    </row>
    <row r="77" spans="1:10" x14ac:dyDescent="0.3">
      <c r="A77" s="152" t="s">
        <v>1352</v>
      </c>
      <c r="D77" s="227"/>
      <c r="E77" s="227"/>
    </row>
    <row r="78" spans="1:10" ht="8.25" customHeight="1" thickBot="1" x14ac:dyDescent="0.35">
      <c r="A78" s="1413"/>
      <c r="D78" s="227"/>
      <c r="E78" s="227"/>
    </row>
    <row r="79" spans="1:10" x14ac:dyDescent="0.3">
      <c r="A79" s="212"/>
      <c r="B79" s="470" t="s">
        <v>1579</v>
      </c>
      <c r="C79" s="470" t="s">
        <v>1580</v>
      </c>
      <c r="D79" s="470" t="s">
        <v>1584</v>
      </c>
      <c r="E79" s="1424" t="s">
        <v>1782</v>
      </c>
      <c r="F79" s="1425" t="s">
        <v>1783</v>
      </c>
    </row>
    <row r="80" spans="1:10" x14ac:dyDescent="0.3">
      <c r="A80" s="214" t="s">
        <v>799</v>
      </c>
      <c r="B80" s="1867">
        <f t="shared" ref="B80:F86" si="2">B54/B$64</f>
        <v>0.86084742347801035</v>
      </c>
      <c r="C80" s="1867">
        <f t="shared" si="2"/>
        <v>0.30872466216216216</v>
      </c>
      <c r="D80" s="1867">
        <f t="shared" si="2"/>
        <v>0.27064707118725423</v>
      </c>
      <c r="E80" s="1875">
        <f t="shared" si="2"/>
        <v>0.2613158611772991</v>
      </c>
      <c r="F80" s="1869">
        <f t="shared" si="2"/>
        <v>0.263587805783152</v>
      </c>
      <c r="J80" s="211" t="s">
        <v>176</v>
      </c>
    </row>
    <row r="81" spans="1:8" x14ac:dyDescent="0.3">
      <c r="A81" s="214" t="s">
        <v>800</v>
      </c>
      <c r="B81" s="1867">
        <f t="shared" si="2"/>
        <v>0.11020353974432717</v>
      </c>
      <c r="C81" s="1867">
        <f t="shared" si="2"/>
        <v>0.16847128378378379</v>
      </c>
      <c r="D81" s="1867">
        <f t="shared" si="2"/>
        <v>0.1277335920420952</v>
      </c>
      <c r="E81" s="1875">
        <f>E55/E$64</f>
        <v>0.19042025109233351</v>
      </c>
      <c r="F81" s="1869">
        <f t="shared" si="2"/>
        <v>0.18231878012238564</v>
      </c>
      <c r="H81" s="211" t="s">
        <v>176</v>
      </c>
    </row>
    <row r="82" spans="1:8" x14ac:dyDescent="0.3">
      <c r="A82" s="214" t="s">
        <v>784</v>
      </c>
      <c r="B82" s="1867">
        <f t="shared" si="2"/>
        <v>1.5069539141847009E-7</v>
      </c>
      <c r="C82" s="1867">
        <f t="shared" si="2"/>
        <v>0.41047297297297297</v>
      </c>
      <c r="D82" s="1867">
        <f t="shared" si="2"/>
        <v>0.55436162197186978</v>
      </c>
      <c r="E82" s="1875">
        <f>E56/E$64</f>
        <v>0.20263275987479049</v>
      </c>
      <c r="F82" s="1869">
        <f t="shared" si="2"/>
        <v>0.24876735643413778</v>
      </c>
    </row>
    <row r="83" spans="1:8" x14ac:dyDescent="0.3">
      <c r="A83" s="214" t="s">
        <v>790</v>
      </c>
      <c r="B83" s="1867">
        <f t="shared" si="2"/>
        <v>1.5069539141847009E-7</v>
      </c>
      <c r="C83" s="1867">
        <f t="shared" si="2"/>
        <v>0.11233108108108109</v>
      </c>
      <c r="D83" s="1867">
        <f t="shared" si="2"/>
        <v>4.0843902795555442E-2</v>
      </c>
      <c r="E83" s="1875">
        <f>E57/E$64</f>
        <v>0.33887266775869135</v>
      </c>
      <c r="F83" s="1869">
        <f t="shared" si="2"/>
        <v>0.2986977453947206</v>
      </c>
    </row>
    <row r="84" spans="1:8" x14ac:dyDescent="0.3">
      <c r="A84" s="214" t="s">
        <v>791</v>
      </c>
      <c r="B84" s="1867">
        <f t="shared" si="2"/>
        <v>-3.8532811585702799E-2</v>
      </c>
      <c r="C84" s="1867">
        <f t="shared" si="2"/>
        <v>0</v>
      </c>
      <c r="D84" s="1867">
        <f t="shared" si="2"/>
        <v>6.5081317151927014E-3</v>
      </c>
      <c r="E84" s="1875">
        <f>E58/E$64</f>
        <v>1.3508814634813672E-10</v>
      </c>
      <c r="F84" s="1869">
        <f t="shared" si="2"/>
        <v>7.7369772752938911E-4</v>
      </c>
    </row>
    <row r="85" spans="1:8" x14ac:dyDescent="0.3">
      <c r="A85" s="214" t="s">
        <v>996</v>
      </c>
      <c r="B85" s="1867">
        <f t="shared" si="2"/>
        <v>1.5069539141847009E-7</v>
      </c>
      <c r="C85" s="1867">
        <f t="shared" si="2"/>
        <v>0</v>
      </c>
      <c r="D85" s="1867">
        <f t="shared" si="2"/>
        <v>9.4320749495546398E-10</v>
      </c>
      <c r="E85" s="1875">
        <f t="shared" si="2"/>
        <v>7.6324802686697241E-3</v>
      </c>
      <c r="F85" s="1869">
        <f t="shared" si="2"/>
        <v>6.5791605697583444E-3</v>
      </c>
    </row>
    <row r="86" spans="1:8" x14ac:dyDescent="0.3">
      <c r="A86" s="214" t="s">
        <v>279</v>
      </c>
      <c r="B86" s="1867">
        <f t="shared" si="2"/>
        <v>6.7481396277190908E-2</v>
      </c>
      <c r="C86" s="1867">
        <f t="shared" si="2"/>
        <v>0</v>
      </c>
      <c r="D86" s="1867">
        <f t="shared" si="2"/>
        <v>9.4320749495546395E-11</v>
      </c>
      <c r="E86" s="1875">
        <f>E60/E$64</f>
        <v>-8.7402030687244454E-4</v>
      </c>
      <c r="F86" s="1869">
        <f t="shared" si="2"/>
        <v>-7.0125696854457899E-4</v>
      </c>
    </row>
    <row r="87" spans="1:8" ht="16.2" thickBot="1" x14ac:dyDescent="0.35">
      <c r="A87" s="214" t="s">
        <v>3</v>
      </c>
      <c r="B87" s="1414">
        <f>SUM(B80:B86)</f>
        <v>0.99999999999999978</v>
      </c>
      <c r="C87" s="1414">
        <f t="shared" ref="C87:D87" si="3">SUM(C80:C86)</f>
        <v>1</v>
      </c>
      <c r="D87" s="1414">
        <f t="shared" si="3"/>
        <v>1.0000943207494957</v>
      </c>
      <c r="E87" s="1415">
        <f t="shared" ref="E87" si="4">SUM(E80:E86)</f>
        <v>1</v>
      </c>
      <c r="F87" s="1416">
        <f>SUM(F80:F86)</f>
        <v>1.0000232890631393</v>
      </c>
    </row>
    <row r="88" spans="1:8" ht="9.75" customHeight="1" thickTop="1" x14ac:dyDescent="0.3">
      <c r="A88" s="214"/>
      <c r="B88" s="508"/>
      <c r="C88" s="508"/>
      <c r="D88" s="508"/>
      <c r="E88" s="508"/>
      <c r="F88" s="1610"/>
    </row>
    <row r="89" spans="1:8" ht="16.2" thickBot="1" x14ac:dyDescent="0.35">
      <c r="A89" s="9" t="s">
        <v>1945</v>
      </c>
      <c r="B89" s="218"/>
      <c r="C89" s="218"/>
      <c r="D89" s="218"/>
      <c r="E89" s="218"/>
      <c r="F89" s="219"/>
    </row>
    <row r="90" spans="1:8" x14ac:dyDescent="0.3">
      <c r="A90" s="12" t="s">
        <v>1893</v>
      </c>
      <c r="B90" s="277"/>
      <c r="C90" s="277"/>
      <c r="D90" s="277"/>
      <c r="E90" s="277"/>
      <c r="F90" s="277"/>
    </row>
    <row r="92" spans="1:8" x14ac:dyDescent="0.3">
      <c r="A92" s="211" t="s">
        <v>998</v>
      </c>
    </row>
    <row r="93" spans="1:8" x14ac:dyDescent="0.3">
      <c r="A93" s="211" t="s">
        <v>999</v>
      </c>
    </row>
    <row r="94" spans="1:8" x14ac:dyDescent="0.3">
      <c r="A94" s="211" t="s">
        <v>1002</v>
      </c>
    </row>
    <row r="95" spans="1:8" x14ac:dyDescent="0.3">
      <c r="A95" s="211" t="s">
        <v>1000</v>
      </c>
    </row>
  </sheetData>
  <pageMargins left="0.7" right="0.7" top="0.75" bottom="0.75" header="0.3" footer="0.3"/>
  <pageSetup orientation="portrait" r:id="rId1"/>
  <ignoredErrors>
    <ignoredError sqref="D61" formula="1"/>
  </ignoredErrors>
  <drawing r:id="rId2"/>
  <legacy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46F0-D55B-4F4E-9928-CEEF9B76B167}">
  <sheetPr codeName="Sheet64">
    <tabColor theme="9" tint="0.59999389629810485"/>
  </sheetPr>
  <dimension ref="A1:J26"/>
  <sheetViews>
    <sheetView showGridLines="0" workbookViewId="0">
      <selection activeCell="Q22" sqref="Q22"/>
    </sheetView>
  </sheetViews>
  <sheetFormatPr defaultColWidth="8.6640625" defaultRowHeight="15.6" x14ac:dyDescent="0.3"/>
  <cols>
    <col min="1" max="1" width="25.5546875" style="211" customWidth="1"/>
    <col min="2" max="2" width="8" style="211" bestFit="1" customWidth="1"/>
    <col min="3" max="3" width="9.109375" style="211" bestFit="1" customWidth="1"/>
    <col min="4" max="4" width="1.6640625" style="211" customWidth="1"/>
    <col min="5" max="5" width="8.5546875" style="211" customWidth="1"/>
    <col min="6" max="6" width="9.109375" style="211" bestFit="1" customWidth="1"/>
    <col min="7" max="7" width="1.44140625" style="211" customWidth="1"/>
    <col min="8" max="8" width="8" style="211" bestFit="1" customWidth="1"/>
    <col min="9" max="9" width="9.109375" style="211" bestFit="1" customWidth="1"/>
    <col min="10" max="16384" width="8.6640625" style="211"/>
  </cols>
  <sheetData>
    <row r="1" spans="1:9" x14ac:dyDescent="0.3">
      <c r="A1" s="459" t="s">
        <v>1673</v>
      </c>
    </row>
    <row r="2" spans="1:9" x14ac:dyDescent="0.3">
      <c r="A2" s="152" t="s">
        <v>1784</v>
      </c>
    </row>
    <row r="3" spans="1:9" ht="8.25" customHeight="1" thickBot="1" x14ac:dyDescent="0.35"/>
    <row r="4" spans="1:9" ht="16.2" x14ac:dyDescent="0.35">
      <c r="A4" s="1426"/>
      <c r="B4" s="2865">
        <v>2004</v>
      </c>
      <c r="C4" s="2865"/>
      <c r="D4" s="885"/>
      <c r="E4" s="2865">
        <v>1994</v>
      </c>
      <c r="F4" s="2865"/>
      <c r="G4" s="885"/>
      <c r="H4" s="2865" t="s">
        <v>32</v>
      </c>
      <c r="I4" s="2922"/>
    </row>
    <row r="5" spans="1:9" x14ac:dyDescent="0.3">
      <c r="A5" s="221" t="s">
        <v>1250</v>
      </c>
      <c r="B5" s="1435" t="s">
        <v>1017</v>
      </c>
      <c r="C5" s="1435" t="s">
        <v>1018</v>
      </c>
      <c r="D5" s="1435"/>
      <c r="E5" s="1435" t="s">
        <v>1017</v>
      </c>
      <c r="F5" s="1435" t="s">
        <v>1018</v>
      </c>
      <c r="G5" s="1435"/>
      <c r="H5" s="1435" t="s">
        <v>1017</v>
      </c>
      <c r="I5" s="1436" t="s">
        <v>1018</v>
      </c>
    </row>
    <row r="6" spans="1:9" x14ac:dyDescent="0.3">
      <c r="A6" s="214" t="s">
        <v>1019</v>
      </c>
      <c r="B6" s="1429">
        <v>1470</v>
      </c>
      <c r="C6" s="1429">
        <v>8546</v>
      </c>
      <c r="D6" s="1429"/>
      <c r="E6" s="1429">
        <v>724</v>
      </c>
      <c r="F6" s="1429">
        <v>819</v>
      </c>
      <c r="G6" s="1429"/>
      <c r="H6" s="1429">
        <f>B6-E6</f>
        <v>746</v>
      </c>
      <c r="I6" s="1430">
        <f>C6-F6</f>
        <v>7727</v>
      </c>
    </row>
    <row r="7" spans="1:9" x14ac:dyDescent="0.3">
      <c r="A7" s="214" t="s">
        <v>1012</v>
      </c>
      <c r="B7" s="1223">
        <v>1299</v>
      </c>
      <c r="C7" s="1223">
        <v>8328</v>
      </c>
      <c r="D7" s="1223"/>
      <c r="E7" s="1223">
        <v>1299</v>
      </c>
      <c r="F7" s="1223">
        <v>5150</v>
      </c>
      <c r="G7" s="1223"/>
      <c r="H7" s="1223">
        <f>B7-E7+0.000000000000001</f>
        <v>1.0000000000000001E-15</v>
      </c>
      <c r="I7" s="923">
        <f>C7-F7</f>
        <v>3178</v>
      </c>
    </row>
    <row r="8" spans="1:9" x14ac:dyDescent="0.3">
      <c r="A8" s="214" t="s">
        <v>1013</v>
      </c>
      <c r="B8" s="1223">
        <v>600</v>
      </c>
      <c r="C8" s="1223">
        <v>4299</v>
      </c>
      <c r="D8" s="1223"/>
      <c r="E8" s="1223">
        <v>600</v>
      </c>
      <c r="F8" s="1223">
        <v>1797</v>
      </c>
      <c r="G8" s="1223"/>
      <c r="H8" s="1223">
        <f>B8-E8+0.000000000000001</f>
        <v>1.0000000000000001E-15</v>
      </c>
      <c r="I8" s="923">
        <f>C8-F8</f>
        <v>2502</v>
      </c>
    </row>
    <row r="9" spans="1:9" x14ac:dyDescent="0.3">
      <c r="A9" s="214" t="s">
        <v>1014</v>
      </c>
      <c r="B9" s="1223">
        <v>463</v>
      </c>
      <c r="C9" s="1223">
        <v>3508</v>
      </c>
      <c r="D9" s="1223"/>
      <c r="E9" s="1223">
        <v>424</v>
      </c>
      <c r="F9" s="1223">
        <v>985</v>
      </c>
      <c r="G9" s="1223"/>
      <c r="H9" s="1223">
        <f>B9-E9</f>
        <v>39</v>
      </c>
      <c r="I9" s="923">
        <f>C9-F9</f>
        <v>2523</v>
      </c>
    </row>
    <row r="10" spans="1:9" x14ac:dyDescent="0.3">
      <c r="A10" s="214" t="s">
        <v>498</v>
      </c>
      <c r="B10" s="1223">
        <v>11</v>
      </c>
      <c r="C10" s="1223">
        <v>1698</v>
      </c>
      <c r="D10" s="1223"/>
      <c r="E10" s="1223">
        <v>10</v>
      </c>
      <c r="F10" s="1223">
        <v>419</v>
      </c>
      <c r="G10" s="1223"/>
      <c r="H10" s="1223">
        <f>B10-E10</f>
        <v>1</v>
      </c>
      <c r="I10" s="923">
        <f>C10-F10</f>
        <v>1279</v>
      </c>
    </row>
    <row r="11" spans="1:9" x14ac:dyDescent="0.3">
      <c r="A11" s="214" t="s">
        <v>1015</v>
      </c>
      <c r="B11" s="1232">
        <f>B12-SUM(B6:B10)</f>
        <v>5213</v>
      </c>
      <c r="C11" s="1232">
        <f>C12-SUM(C6:C10)</f>
        <v>11338</v>
      </c>
      <c r="D11" s="1224"/>
      <c r="E11" s="1232">
        <f>E12-SUM(E6:E10)</f>
        <v>2526</v>
      </c>
      <c r="F11" s="1232">
        <f>F12-SUM(F6:F10)</f>
        <v>6066</v>
      </c>
      <c r="G11" s="1224"/>
      <c r="H11" s="1232">
        <f>H12-SUM(H6:H10)</f>
        <v>2687</v>
      </c>
      <c r="I11" s="1241">
        <f>I12-SUM(I6:I10)</f>
        <v>5272</v>
      </c>
    </row>
    <row r="12" spans="1:9" ht="16.2" thickBot="1" x14ac:dyDescent="0.35">
      <c r="A12" s="224" t="s">
        <v>1016</v>
      </c>
      <c r="B12" s="1432">
        <v>9056</v>
      </c>
      <c r="C12" s="1432">
        <v>37717</v>
      </c>
      <c r="D12" s="1433"/>
      <c r="E12" s="1432">
        <v>5583</v>
      </c>
      <c r="F12" s="1432">
        <v>15236</v>
      </c>
      <c r="G12" s="1433"/>
      <c r="H12" s="1432">
        <f>B12-E12</f>
        <v>3473</v>
      </c>
      <c r="I12" s="1434">
        <f>C12-F12</f>
        <v>22481</v>
      </c>
    </row>
    <row r="13" spans="1:9" x14ac:dyDescent="0.3">
      <c r="A13" s="12" t="s">
        <v>1946</v>
      </c>
    </row>
    <row r="15" spans="1:9" x14ac:dyDescent="0.3">
      <c r="A15" s="211" t="s">
        <v>1022</v>
      </c>
      <c r="C15" s="226">
        <f>SUM(F6:F9)/F12</f>
        <v>0.57436334996061955</v>
      </c>
      <c r="F15" s="226">
        <f>SUM(C6:C9)/C12</f>
        <v>0.65437335949306674</v>
      </c>
    </row>
    <row r="25" spans="5:10" x14ac:dyDescent="0.3">
      <c r="J25" s="211" t="s">
        <v>176</v>
      </c>
    </row>
    <row r="26" spans="5:10" x14ac:dyDescent="0.3">
      <c r="E26" s="211" t="s">
        <v>176</v>
      </c>
    </row>
  </sheetData>
  <mergeCells count="3">
    <mergeCell ref="E4:F4"/>
    <mergeCell ref="B4:C4"/>
    <mergeCell ref="H4:I4"/>
  </mergeCells>
  <pageMargins left="0.7" right="0.7" top="0.75" bottom="0.75" header="0.3" footer="0.3"/>
  <pageSetup orientation="portrait" r:id="rId1"/>
  <ignoredErrors>
    <ignoredError sqref="H11:I11" formula="1"/>
    <ignoredError sqref="C15 F15" formulaRange="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AD87-C567-4C8B-9F0B-FA3F490C7D08}">
  <sheetPr>
    <tabColor theme="9" tint="0.59999389629810485"/>
  </sheetPr>
  <dimension ref="A1:J23"/>
  <sheetViews>
    <sheetView showGridLines="0" workbookViewId="0">
      <selection activeCell="C20" sqref="C20"/>
    </sheetView>
  </sheetViews>
  <sheetFormatPr defaultColWidth="9.109375" defaultRowHeight="15.6" outlineLevelRow="1" x14ac:dyDescent="0.3"/>
  <cols>
    <col min="1" max="1" width="33.109375" style="211" customWidth="1"/>
    <col min="2" max="2" width="10.33203125" style="211" bestFit="1" customWidth="1"/>
    <col min="3" max="3" width="11.33203125" style="211" bestFit="1" customWidth="1"/>
    <col min="4" max="16384" width="9.109375" style="211"/>
  </cols>
  <sheetData>
    <row r="1" spans="1:7" x14ac:dyDescent="0.3">
      <c r="A1" s="459" t="s">
        <v>1673</v>
      </c>
    </row>
    <row r="2" spans="1:7" x14ac:dyDescent="0.3">
      <c r="A2" s="152" t="s">
        <v>3131</v>
      </c>
    </row>
    <row r="3" spans="1:7" ht="8.25" customHeight="1" thickBot="1" x14ac:dyDescent="0.35"/>
    <row r="4" spans="1:7" x14ac:dyDescent="0.3">
      <c r="A4" s="212" t="s">
        <v>1250</v>
      </c>
      <c r="B4" s="712">
        <v>2004</v>
      </c>
      <c r="C4" s="713">
        <v>1994</v>
      </c>
    </row>
    <row r="5" spans="1:7" x14ac:dyDescent="0.3">
      <c r="A5" s="214" t="s">
        <v>3130</v>
      </c>
      <c r="B5" s="1297">
        <v>114759</v>
      </c>
      <c r="C5" s="1473">
        <v>18494.195</v>
      </c>
    </row>
    <row r="6" spans="1:7" s="658" customFormat="1" hidden="1" outlineLevel="1" x14ac:dyDescent="0.3">
      <c r="A6" s="1404" t="s">
        <v>3129</v>
      </c>
      <c r="B6" s="658">
        <v>188874</v>
      </c>
      <c r="C6" s="1569">
        <v>21338.182000000001</v>
      </c>
    </row>
    <row r="7" spans="1:7" collapsed="1" x14ac:dyDescent="0.3">
      <c r="A7" s="214" t="s">
        <v>3128</v>
      </c>
      <c r="B7" s="508">
        <f>B5/B6</f>
        <v>0.60759553988373205</v>
      </c>
      <c r="C7" s="216">
        <f>C5/C6</f>
        <v>0.86671840178324466</v>
      </c>
    </row>
    <row r="8" spans="1:7" ht="4.5" customHeight="1" x14ac:dyDescent="0.3">
      <c r="A8" s="214"/>
      <c r="C8" s="223"/>
    </row>
    <row r="9" spans="1:7" ht="4.5" customHeight="1" x14ac:dyDescent="0.3">
      <c r="A9" s="1155"/>
      <c r="B9" s="597"/>
      <c r="C9" s="1279"/>
    </row>
    <row r="10" spans="1:7" ht="4.5" customHeight="1" x14ac:dyDescent="0.3">
      <c r="A10" s="214"/>
      <c r="C10" s="223"/>
    </row>
    <row r="11" spans="1:7" x14ac:dyDescent="0.3">
      <c r="A11" s="214" t="s">
        <v>3127</v>
      </c>
      <c r="B11" s="1297">
        <v>1551</v>
      </c>
      <c r="C11" s="1473">
        <v>130</v>
      </c>
    </row>
    <row r="12" spans="1:7" x14ac:dyDescent="0.3">
      <c r="A12" s="214" t="s">
        <v>108</v>
      </c>
      <c r="B12" s="1297">
        <v>2824</v>
      </c>
      <c r="C12" s="1473">
        <v>419</v>
      </c>
      <c r="G12" s="211" t="s">
        <v>176</v>
      </c>
    </row>
    <row r="13" spans="1:7" x14ac:dyDescent="0.3">
      <c r="A13" s="214" t="s">
        <v>3126</v>
      </c>
      <c r="B13" s="1297">
        <v>3302</v>
      </c>
      <c r="C13" s="1473">
        <v>333</v>
      </c>
    </row>
    <row r="14" spans="1:7" ht="4.5" customHeight="1" x14ac:dyDescent="0.3">
      <c r="A14" s="214"/>
      <c r="C14" s="223"/>
    </row>
    <row r="15" spans="1:7" ht="4.5" customHeight="1" x14ac:dyDescent="0.3">
      <c r="A15" s="1155"/>
      <c r="B15" s="597"/>
      <c r="C15" s="1279"/>
    </row>
    <row r="16" spans="1:7" ht="4.5" customHeight="1" x14ac:dyDescent="0.3">
      <c r="A16" s="214"/>
      <c r="C16" s="223"/>
    </row>
    <row r="17" spans="1:10" ht="16.2" thickBot="1" x14ac:dyDescent="0.35">
      <c r="A17" s="224" t="s">
        <v>3125</v>
      </c>
      <c r="B17" s="2475">
        <v>46094</v>
      </c>
      <c r="C17" s="2474">
        <v>3057</v>
      </c>
      <c r="J17" s="211" t="s">
        <v>176</v>
      </c>
    </row>
    <row r="18" spans="1:10" ht="31.5" customHeight="1" x14ac:dyDescent="0.3">
      <c r="A18" s="2805" t="s">
        <v>1946</v>
      </c>
      <c r="B18" s="2805"/>
      <c r="C18" s="2805"/>
    </row>
    <row r="23" spans="1:10" x14ac:dyDescent="0.3">
      <c r="A23" s="211" t="s">
        <v>176</v>
      </c>
    </row>
  </sheetData>
  <mergeCells count="1">
    <mergeCell ref="A18:C18"/>
  </mergeCells>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DEFCF-30DE-4061-AB89-29E1FBFCD25B}">
  <sheetPr>
    <tabColor theme="9" tint="0.59999389629810485"/>
  </sheetPr>
  <dimension ref="A1:W177"/>
  <sheetViews>
    <sheetView zoomScale="55" zoomScaleNormal="55" workbookViewId="0">
      <pane xSplit="3" ySplit="1" topLeftCell="D139" activePane="bottomRight" state="frozen"/>
      <selection pane="topRight" activeCell="D1" sqref="D1"/>
      <selection pane="bottomLeft" activeCell="A2" sqref="A2"/>
      <selection pane="bottomRight" activeCell="Q176" sqref="Q176"/>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6" width="23.109375" style="211" bestFit="1" customWidth="1"/>
    <col min="17" max="17" width="19.5546875" style="211" bestFit="1" customWidth="1"/>
    <col min="18" max="18" width="14.109375" style="211" customWidth="1"/>
    <col min="19" max="19" width="9.44140625" style="211" customWidth="1"/>
    <col min="20" max="20" width="17.5546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156</v>
      </c>
    </row>
    <row r="2" spans="1:22" x14ac:dyDescent="0.3">
      <c r="I2" s="2230">
        <v>23653</v>
      </c>
      <c r="J2" s="230">
        <v>1137778</v>
      </c>
      <c r="P2" s="252">
        <f>'3. Financials'!M58</f>
        <v>22138753</v>
      </c>
      <c r="V2" s="2088"/>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Table245[[#This Row],[Column3]]</f>
        <v>1965-Q1</v>
      </c>
    </row>
    <row r="4" spans="1:22" x14ac:dyDescent="0.3">
      <c r="A4" s="211">
        <v>1965</v>
      </c>
      <c r="B4" s="211" t="s">
        <v>2907</v>
      </c>
      <c r="C4" s="2088" t="str">
        <f t="shared" ref="C4:C67" si="0">CONCATENATE(A4,"-",B4)</f>
        <v>1965-Q2</v>
      </c>
      <c r="D4" s="2228"/>
      <c r="E4" s="252">
        <v>21</v>
      </c>
      <c r="F4" s="252">
        <v>16</v>
      </c>
      <c r="G4" s="252">
        <f t="shared" ref="G4:G82" si="1">AVERAGE(E4:F4)</f>
        <v>18.5</v>
      </c>
      <c r="I4" s="460"/>
      <c r="J4" s="230"/>
      <c r="L4" s="252">
        <f>K3*E4</f>
        <v>22630912.5</v>
      </c>
      <c r="M4" s="252">
        <f>K3*F4</f>
        <v>17242600</v>
      </c>
      <c r="N4" s="252">
        <f t="shared" ref="N4:N67" si="2">AVERAGE(L4:M4)</f>
        <v>19936756.25</v>
      </c>
      <c r="P4" s="252"/>
      <c r="S4" s="348">
        <f>L4/Q3</f>
        <v>0.97005838140047418</v>
      </c>
      <c r="T4" s="348">
        <f>M4/Q3</f>
        <v>0.73909210011464699</v>
      </c>
      <c r="U4" s="1043">
        <f t="shared" ref="U4:U67" si="3">AVERAGE(S4:T4)</f>
        <v>0.85457524075756064</v>
      </c>
      <c r="V4" s="2088" t="str">
        <f>Table245[[#This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Table245[[#This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Table245[[#This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Table245[[#This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Table245[[#This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Table245[[#This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Table245[[#This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Table245[[#This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Table245[[#This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Table245[[#This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Table245[[#This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Table245[[#This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Table245[[#This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Table245[[#This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Table245[[#This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Table245[[#This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Table245[[#This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Table245[[#This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Table245[[#This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Table245[[#This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Table245[[#This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Table245[[#This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Table245[[#This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Table245[[#This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30" t="str">
        <f>Table245[[#This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Table245[[#This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Table245[[#This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Table245[[#This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Table245[[#This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Table245[[#This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Table245[[#This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Table245[[#This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Table245[[#This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Table245[[#This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Table245[[#This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c r="V39" s="2088" t="str">
        <f>Table245[[#This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c r="V40" s="2088" t="str">
        <f>Table245[[#This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c r="V41" s="2088" t="str">
        <f>Table245[[#This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c r="V42" s="2088" t="str">
        <f>Table245[[#This Row],[Column3]]</f>
        <v>1974-Q4</v>
      </c>
    </row>
    <row r="43" spans="1:22" x14ac:dyDescent="0.3">
      <c r="A43" s="211">
        <f t="shared" si="6"/>
        <v>1975</v>
      </c>
      <c r="B43" s="211" t="str">
        <f t="shared" si="7"/>
        <v>Q1</v>
      </c>
      <c r="C43" s="2088" t="str">
        <f t="shared" si="0"/>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si="2"/>
        <v>43590820.5</v>
      </c>
      <c r="P43" s="252">
        <f>'4. Financials'!O84</f>
        <v>92890192</v>
      </c>
      <c r="Q43" s="252">
        <f>AVERAGE(P39,P43)</f>
        <v>90544409.5</v>
      </c>
      <c r="S43" s="348">
        <f>L43/Q43</f>
        <v>0.55175155789160013</v>
      </c>
      <c r="T43" s="348">
        <f>M43/Q43</f>
        <v>0.4111090039192315</v>
      </c>
      <c r="U43" s="1043">
        <f t="shared" si="3"/>
        <v>0.48143028090541584</v>
      </c>
      <c r="V43" s="2088" t="str">
        <f>Table245[[#This Row],[Column3]]</f>
        <v>1975-Q1</v>
      </c>
    </row>
    <row r="44" spans="1:22" x14ac:dyDescent="0.3">
      <c r="A44" s="211">
        <f t="shared" si="6"/>
        <v>1975</v>
      </c>
      <c r="B44" s="211" t="str">
        <f t="shared" si="7"/>
        <v>Q2</v>
      </c>
      <c r="C44" s="2088" t="str">
        <f t="shared" si="0"/>
        <v>1975-Q2</v>
      </c>
      <c r="E44" s="252">
        <v>51</v>
      </c>
      <c r="F44" s="252">
        <v>45</v>
      </c>
      <c r="G44" s="252">
        <f t="shared" si="1"/>
        <v>48</v>
      </c>
      <c r="J44" s="230"/>
      <c r="L44" s="252">
        <f>K43*E44</f>
        <v>49958019</v>
      </c>
      <c r="M44" s="252">
        <f>K43*F44</f>
        <v>44080605</v>
      </c>
      <c r="N44" s="252">
        <f t="shared" si="2"/>
        <v>47019312</v>
      </c>
      <c r="P44" s="252"/>
      <c r="Q44" s="252"/>
      <c r="S44" s="348">
        <f>L44/Q43</f>
        <v>0.55175155789160013</v>
      </c>
      <c r="T44" s="348">
        <f>M44/Q43</f>
        <v>0.48683960990435304</v>
      </c>
      <c r="U44" s="1043">
        <f t="shared" si="3"/>
        <v>0.51929558389797659</v>
      </c>
      <c r="V44" s="2088" t="str">
        <f>Table245[[#This Row],[Column3]]</f>
        <v>1975-Q2</v>
      </c>
    </row>
    <row r="45" spans="1:22" x14ac:dyDescent="0.3">
      <c r="A45" s="211">
        <f t="shared" si="6"/>
        <v>1975</v>
      </c>
      <c r="B45" s="211" t="str">
        <f t="shared" si="7"/>
        <v>Q3</v>
      </c>
      <c r="C45" s="2088" t="str">
        <f t="shared" si="0"/>
        <v>1975-Q3</v>
      </c>
      <c r="E45" s="252">
        <v>60</v>
      </c>
      <c r="F45" s="252">
        <v>41</v>
      </c>
      <c r="G45" s="252">
        <f t="shared" si="1"/>
        <v>50.5</v>
      </c>
      <c r="J45" s="230"/>
      <c r="L45" s="252">
        <f>K43*E45</f>
        <v>58774140</v>
      </c>
      <c r="M45" s="252">
        <f>K43*F45</f>
        <v>40162329</v>
      </c>
      <c r="N45" s="252">
        <f t="shared" si="2"/>
        <v>49468234.5</v>
      </c>
      <c r="P45" s="252"/>
      <c r="Q45" s="252"/>
      <c r="S45" s="348">
        <f>L45/Q43</f>
        <v>0.64911947987247076</v>
      </c>
      <c r="T45" s="348">
        <f>M45/Q43</f>
        <v>0.44356497791285504</v>
      </c>
      <c r="U45" s="1043">
        <f t="shared" si="3"/>
        <v>0.54634222889266293</v>
      </c>
      <c r="V45" s="2088" t="str">
        <f>Table245[[#This Row],[Column3]]</f>
        <v>1975-Q3</v>
      </c>
    </row>
    <row r="46" spans="1:22" x14ac:dyDescent="0.3">
      <c r="A46" s="211">
        <f t="shared" si="6"/>
        <v>1975</v>
      </c>
      <c r="B46" s="211" t="str">
        <f t="shared" si="7"/>
        <v>Q4</v>
      </c>
      <c r="C46" s="2088" t="str">
        <f t="shared" si="0"/>
        <v>1975-Q4</v>
      </c>
      <c r="E46" s="252">
        <v>43</v>
      </c>
      <c r="F46" s="252">
        <v>38</v>
      </c>
      <c r="G46" s="252">
        <f t="shared" si="1"/>
        <v>40.5</v>
      </c>
      <c r="J46" s="230"/>
      <c r="L46" s="252">
        <f>K43*E46</f>
        <v>42121467</v>
      </c>
      <c r="M46" s="252">
        <f>K43*F46</f>
        <v>37223622</v>
      </c>
      <c r="N46" s="252">
        <f t="shared" si="2"/>
        <v>39672544.5</v>
      </c>
      <c r="P46" s="252"/>
      <c r="Q46" s="252"/>
      <c r="S46" s="348">
        <f>L46/Q43</f>
        <v>0.46520229390860407</v>
      </c>
      <c r="T46" s="348">
        <f>M46/Q43</f>
        <v>0.4111090039192315</v>
      </c>
      <c r="U46" s="1043">
        <f t="shared" si="3"/>
        <v>0.43815564891391778</v>
      </c>
      <c r="V46" s="2088" t="str">
        <f>Table245[[#This Row],[Column3]]</f>
        <v>1975-Q4</v>
      </c>
    </row>
    <row r="47" spans="1:22" x14ac:dyDescent="0.3">
      <c r="A47" s="211">
        <f t="shared" si="6"/>
        <v>1976</v>
      </c>
      <c r="B47" s="211" t="str">
        <f t="shared" si="7"/>
        <v>Q1</v>
      </c>
      <c r="C47" s="2088" t="str">
        <f t="shared" si="0"/>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2"/>
        <v>45883538.5</v>
      </c>
      <c r="P47" s="252">
        <f>'4. Financials'!N84</f>
        <v>115293133</v>
      </c>
      <c r="Q47" s="252">
        <f>AVERAGE(P43,P47)</f>
        <v>104091662.5</v>
      </c>
      <c r="S47" s="348">
        <f>L47/Q47</f>
        <v>0.52520775138931031</v>
      </c>
      <c r="T47" s="348">
        <f>M47/Q47</f>
        <v>0.35639097415703203</v>
      </c>
      <c r="U47" s="1043">
        <f t="shared" si="3"/>
        <v>0.44079936277317117</v>
      </c>
      <c r="V47" s="2088" t="str">
        <f>Table245[[#This Row],[Column3]]</f>
        <v>1976-Q1</v>
      </c>
    </row>
    <row r="48" spans="1:22" x14ac:dyDescent="0.3">
      <c r="A48" s="211">
        <f t="shared" si="6"/>
        <v>1976</v>
      </c>
      <c r="B48" s="211" t="str">
        <f t="shared" si="7"/>
        <v>Q2</v>
      </c>
      <c r="C48" s="2088" t="str">
        <f t="shared" si="0"/>
        <v>1976-Q2</v>
      </c>
      <c r="E48" s="252">
        <v>60</v>
      </c>
      <c r="F48" s="252">
        <v>55</v>
      </c>
      <c r="G48" s="252">
        <f t="shared" si="1"/>
        <v>57.5</v>
      </c>
      <c r="J48" s="230"/>
      <c r="L48" s="252">
        <f>K47*E48</f>
        <v>58574730</v>
      </c>
      <c r="M48" s="252">
        <f>K47*F48</f>
        <v>53693502.5</v>
      </c>
      <c r="N48" s="252">
        <f t="shared" si="2"/>
        <v>56134116.25</v>
      </c>
      <c r="P48" s="252"/>
      <c r="Q48" s="252"/>
      <c r="S48" s="348">
        <f>L48/Q47</f>
        <v>0.56272259077426112</v>
      </c>
      <c r="T48" s="348">
        <f>M48/Q47</f>
        <v>0.51582904154307263</v>
      </c>
      <c r="U48" s="1043">
        <f t="shared" si="3"/>
        <v>0.53927581615866682</v>
      </c>
      <c r="V48" s="2088" t="str">
        <f>Table245[[#This Row],[Column3]]</f>
        <v>1976-Q2</v>
      </c>
    </row>
    <row r="49" spans="1:22" x14ac:dyDescent="0.3">
      <c r="A49" s="211">
        <f t="shared" si="6"/>
        <v>1976</v>
      </c>
      <c r="B49" s="211" t="str">
        <f t="shared" si="7"/>
        <v>Q3</v>
      </c>
      <c r="C49" s="2088" t="str">
        <f t="shared" si="0"/>
        <v>1976-Q3</v>
      </c>
      <c r="E49" s="252">
        <v>73</v>
      </c>
      <c r="F49" s="252">
        <v>61</v>
      </c>
      <c r="G49" s="252">
        <f t="shared" si="1"/>
        <v>67</v>
      </c>
      <c r="J49" s="230"/>
      <c r="L49" s="252">
        <f>K47*E49</f>
        <v>71265921.5</v>
      </c>
      <c r="M49" s="252">
        <f>K47*F49</f>
        <v>59550975.5</v>
      </c>
      <c r="N49" s="252">
        <f t="shared" si="2"/>
        <v>65408448.5</v>
      </c>
      <c r="P49" s="252"/>
      <c r="Q49" s="252"/>
      <c r="S49" s="348">
        <f>L49/Q47</f>
        <v>0.68464581877535102</v>
      </c>
      <c r="T49" s="348">
        <f>M49/Q47</f>
        <v>0.5721013006204988</v>
      </c>
      <c r="U49" s="1043">
        <f t="shared" si="3"/>
        <v>0.62837355969792497</v>
      </c>
      <c r="V49" s="2088" t="str">
        <f>Table245[[#This Row],[Column3]]</f>
        <v>1976-Q3</v>
      </c>
    </row>
    <row r="50" spans="1:22" x14ac:dyDescent="0.3">
      <c r="A50" s="211">
        <f t="shared" si="6"/>
        <v>1976</v>
      </c>
      <c r="B50" s="211" t="str">
        <f t="shared" si="7"/>
        <v>Q4</v>
      </c>
      <c r="C50" s="2088" t="str">
        <f t="shared" si="0"/>
        <v>1976-Q4</v>
      </c>
      <c r="E50" s="252">
        <v>95</v>
      </c>
      <c r="F50" s="252">
        <v>66</v>
      </c>
      <c r="G50" s="252">
        <f t="shared" si="1"/>
        <v>80.5</v>
      </c>
      <c r="J50" s="230"/>
      <c r="L50" s="252">
        <f>K47*E50</f>
        <v>92743322.5</v>
      </c>
      <c r="M50" s="252">
        <f>K47*F50</f>
        <v>64432203</v>
      </c>
      <c r="N50" s="252">
        <f t="shared" si="2"/>
        <v>78587762.75</v>
      </c>
      <c r="P50" s="252"/>
      <c r="Q50" s="252"/>
      <c r="S50" s="348">
        <f>L50/Q47</f>
        <v>0.89097743539258012</v>
      </c>
      <c r="T50" s="348">
        <f>M50/Q47</f>
        <v>0.61899484985168718</v>
      </c>
      <c r="U50" s="1043">
        <f t="shared" si="3"/>
        <v>0.75498614262213359</v>
      </c>
      <c r="V50" s="2088" t="str">
        <f>Table245[[#This Row],[Column3]]</f>
        <v>1976-Q4</v>
      </c>
    </row>
    <row r="51" spans="1:22" x14ac:dyDescent="0.3">
      <c r="A51" s="211">
        <f t="shared" si="6"/>
        <v>1977</v>
      </c>
      <c r="B51" s="211" t="str">
        <f t="shared" si="7"/>
        <v>Q1</v>
      </c>
      <c r="C51" s="2088" t="str">
        <f t="shared" si="0"/>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si="2"/>
        <v>91163891</v>
      </c>
      <c r="P51" s="252">
        <f>'4. Financials'!M84</f>
        <v>141788403</v>
      </c>
      <c r="Q51" s="252">
        <f>AVERAGE(P47,P51)</f>
        <v>128540768</v>
      </c>
      <c r="S51" s="348">
        <f>L51/Q51</f>
        <v>0.75598347910913366</v>
      </c>
      <c r="T51" s="348">
        <f>M51/Q51</f>
        <v>0.66245974973480792</v>
      </c>
      <c r="U51" s="1043">
        <f t="shared" si="3"/>
        <v>0.70922161442197074</v>
      </c>
      <c r="V51" s="2088" t="str">
        <f>Table245[[#This Row],[Column3]]</f>
        <v>1977-Q1</v>
      </c>
    </row>
    <row r="52" spans="1:22" x14ac:dyDescent="0.3">
      <c r="A52" s="211">
        <f t="shared" si="6"/>
        <v>1977</v>
      </c>
      <c r="B52" s="211" t="str">
        <f t="shared" si="7"/>
        <v>Q2</v>
      </c>
      <c r="C52" s="2088" t="str">
        <f t="shared" si="0"/>
        <v>1977-Q2</v>
      </c>
      <c r="E52" s="252">
        <v>100</v>
      </c>
      <c r="F52" s="252">
        <v>95</v>
      </c>
      <c r="G52" s="252">
        <f t="shared" si="1"/>
        <v>97.5</v>
      </c>
      <c r="J52" s="230"/>
      <c r="L52" s="252">
        <f>K51*E52</f>
        <v>100180100</v>
      </c>
      <c r="M52" s="252">
        <f>K51*F52</f>
        <v>95171095</v>
      </c>
      <c r="N52" s="252">
        <f t="shared" si="2"/>
        <v>97675597.5</v>
      </c>
      <c r="P52" s="252"/>
      <c r="Q52" s="252"/>
      <c r="S52" s="348">
        <f>L52/Q51</f>
        <v>0.77936441145271518</v>
      </c>
      <c r="T52" s="348">
        <f>M52/Q51</f>
        <v>0.74039619088007935</v>
      </c>
      <c r="U52" s="1043">
        <f t="shared" si="3"/>
        <v>0.75988030116639727</v>
      </c>
      <c r="V52" s="2088" t="str">
        <f>Table245[[#This Row],[Column3]]</f>
        <v>1977-Q2</v>
      </c>
    </row>
    <row r="53" spans="1:22" x14ac:dyDescent="0.3">
      <c r="A53" s="211">
        <f t="shared" si="6"/>
        <v>1977</v>
      </c>
      <c r="B53" s="211" t="str">
        <f t="shared" si="7"/>
        <v>Q3</v>
      </c>
      <c r="C53" s="2088" t="str">
        <f t="shared" si="0"/>
        <v>1977-Q3</v>
      </c>
      <c r="E53" s="252">
        <v>107</v>
      </c>
      <c r="F53" s="252">
        <v>100</v>
      </c>
      <c r="G53" s="252">
        <f t="shared" si="1"/>
        <v>103.5</v>
      </c>
      <c r="J53" s="230"/>
      <c r="L53" s="252">
        <f>K51*E53</f>
        <v>107192707</v>
      </c>
      <c r="M53" s="252">
        <f>K51*F53</f>
        <v>100180100</v>
      </c>
      <c r="N53" s="252">
        <f t="shared" si="2"/>
        <v>103686403.5</v>
      </c>
      <c r="P53" s="252"/>
      <c r="Q53" s="252"/>
      <c r="S53" s="348">
        <f>L53/Q51</f>
        <v>0.8339199202544052</v>
      </c>
      <c r="T53" s="348">
        <f>M53/Q51</f>
        <v>0.77936441145271518</v>
      </c>
      <c r="U53" s="1043">
        <f t="shared" si="3"/>
        <v>0.80664216585356019</v>
      </c>
      <c r="V53" s="2088" t="str">
        <f>Table245[[#This Row],[Column3]]</f>
        <v>1977-Q3</v>
      </c>
    </row>
    <row r="54" spans="1:22" x14ac:dyDescent="0.3">
      <c r="A54" s="211">
        <f t="shared" si="6"/>
        <v>1977</v>
      </c>
      <c r="B54" s="211" t="str">
        <f t="shared" si="7"/>
        <v>Q4</v>
      </c>
      <c r="C54" s="2088" t="str">
        <f t="shared" si="0"/>
        <v>1977-Q4</v>
      </c>
      <c r="E54" s="252">
        <v>139</v>
      </c>
      <c r="F54" s="252">
        <v>107</v>
      </c>
      <c r="G54" s="252">
        <f t="shared" si="1"/>
        <v>123</v>
      </c>
      <c r="J54" s="230"/>
      <c r="L54" s="252">
        <f>K51*E54</f>
        <v>139250339</v>
      </c>
      <c r="M54" s="252">
        <f>K51*F54</f>
        <v>107192707</v>
      </c>
      <c r="N54" s="252">
        <f t="shared" si="2"/>
        <v>123221523</v>
      </c>
      <c r="P54" s="252"/>
      <c r="Q54" s="252"/>
      <c r="S54" s="348">
        <f>L54/Q51</f>
        <v>1.0833165319192741</v>
      </c>
      <c r="T54" s="348">
        <f>M54/Q51</f>
        <v>0.8339199202544052</v>
      </c>
      <c r="U54" s="1043">
        <f t="shared" si="3"/>
        <v>0.95861822608683966</v>
      </c>
      <c r="V54" s="2088" t="str">
        <f>Table245[[#This Row],[Column3]]</f>
        <v>1977-Q4</v>
      </c>
    </row>
    <row r="55" spans="1:22" x14ac:dyDescent="0.3">
      <c r="A55" s="211">
        <f t="shared" si="6"/>
        <v>1978</v>
      </c>
      <c r="B55" s="211" t="str">
        <f t="shared" si="7"/>
        <v>Q1</v>
      </c>
      <c r="C55" s="2088" t="str">
        <f t="shared" si="0"/>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2"/>
        <v>141989925</v>
      </c>
      <c r="P55" s="252">
        <f>'4. Financials'!J84</f>
        <v>254166000</v>
      </c>
      <c r="Q55" s="252">
        <f>AVERAGE(P51,P55)</f>
        <v>197977201.5</v>
      </c>
      <c r="S55" s="348">
        <f>L55/Q55</f>
        <v>0.73799191974132439</v>
      </c>
      <c r="T55" s="348">
        <f>M55/Q55</f>
        <v>0.69641491017843282</v>
      </c>
      <c r="U55" s="1043">
        <f t="shared" si="3"/>
        <v>0.7172034149598786</v>
      </c>
      <c r="V55" s="2088" t="str">
        <f>Table245[[#This Row],[Column3]]</f>
        <v>1978-Q1</v>
      </c>
    </row>
    <row r="56" spans="1:22" x14ac:dyDescent="0.3">
      <c r="A56" s="211">
        <f t="shared" si="6"/>
        <v>1978</v>
      </c>
      <c r="B56" s="211" t="str">
        <f t="shared" si="7"/>
        <v>Q2</v>
      </c>
      <c r="C56" s="2088" t="str">
        <f t="shared" si="0"/>
        <v>1978-Q2</v>
      </c>
      <c r="E56" s="252">
        <v>180</v>
      </c>
      <c r="F56" s="252">
        <v>142</v>
      </c>
      <c r="G56" s="252">
        <f t="shared" si="1"/>
        <v>161</v>
      </c>
      <c r="J56" s="230"/>
      <c r="L56" s="252">
        <f>K55*E56</f>
        <v>185204250</v>
      </c>
      <c r="M56" s="252">
        <f>K55*F56</f>
        <v>146105575</v>
      </c>
      <c r="N56" s="252">
        <f t="shared" si="2"/>
        <v>165654912.5</v>
      </c>
      <c r="P56" s="252"/>
      <c r="Q56" s="252"/>
      <c r="S56" s="348">
        <f>L56/Q55</f>
        <v>0.9354827151650591</v>
      </c>
      <c r="T56" s="348">
        <f>M56/Q55</f>
        <v>0.73799191974132439</v>
      </c>
      <c r="U56" s="1043">
        <f t="shared" si="3"/>
        <v>0.8367373174531918</v>
      </c>
      <c r="V56" s="2088" t="str">
        <f>Table245[[#This Row],[Column3]]</f>
        <v>1978-Q2</v>
      </c>
    </row>
    <row r="57" spans="1:22" x14ac:dyDescent="0.3">
      <c r="A57" s="211">
        <f t="shared" si="6"/>
        <v>1978</v>
      </c>
      <c r="B57" s="211" t="str">
        <f t="shared" si="7"/>
        <v>Q3</v>
      </c>
      <c r="C57" s="2088" t="str">
        <f t="shared" si="0"/>
        <v>1978-Q3</v>
      </c>
      <c r="E57" s="252">
        <v>180</v>
      </c>
      <c r="F57" s="252">
        <v>165</v>
      </c>
      <c r="G57" s="252">
        <f t="shared" si="1"/>
        <v>172.5</v>
      </c>
      <c r="J57" s="230"/>
      <c r="L57" s="252">
        <f>K55*E57</f>
        <v>185204250</v>
      </c>
      <c r="M57" s="252">
        <f>K55*F57</f>
        <v>169770562.5</v>
      </c>
      <c r="N57" s="252">
        <f t="shared" si="2"/>
        <v>177487406.25</v>
      </c>
      <c r="P57" s="252"/>
      <c r="Q57" s="252"/>
      <c r="S57" s="348">
        <f>L57/Q55</f>
        <v>0.9354827151650591</v>
      </c>
      <c r="T57" s="348">
        <f>M57/Q55</f>
        <v>0.85752582223463747</v>
      </c>
      <c r="U57" s="1043">
        <f t="shared" si="3"/>
        <v>0.89650426869984834</v>
      </c>
      <c r="V57" s="2088" t="str">
        <f>Table245[[#This Row],[Column3]]</f>
        <v>1978-Q3</v>
      </c>
    </row>
    <row r="58" spans="1:22" x14ac:dyDescent="0.3">
      <c r="A58" s="211">
        <f t="shared" si="6"/>
        <v>1978</v>
      </c>
      <c r="B58" s="211" t="str">
        <f t="shared" si="7"/>
        <v>Q4</v>
      </c>
      <c r="C58" s="2088" t="str">
        <f t="shared" si="0"/>
        <v>1978-Q4</v>
      </c>
      <c r="E58" s="252">
        <v>189</v>
      </c>
      <c r="F58" s="252">
        <v>152</v>
      </c>
      <c r="G58" s="252">
        <f t="shared" si="1"/>
        <v>170.5</v>
      </c>
      <c r="J58" s="230"/>
      <c r="L58" s="252">
        <f>K55*E58</f>
        <v>194464462.5</v>
      </c>
      <c r="M58" s="252">
        <f>K55*F58</f>
        <v>156394700</v>
      </c>
      <c r="N58" s="252">
        <f t="shared" si="2"/>
        <v>175429581.25</v>
      </c>
      <c r="P58" s="252"/>
      <c r="Q58" s="252"/>
      <c r="S58" s="348">
        <f>L58/Q55</f>
        <v>0.98225685092331194</v>
      </c>
      <c r="T58" s="348">
        <f>M58/Q55</f>
        <v>0.78996318169493873</v>
      </c>
      <c r="U58" s="1043">
        <f t="shared" si="3"/>
        <v>0.88611001630912534</v>
      </c>
      <c r="V58" s="2088" t="str">
        <f>Table245[[#This Row],[Column3]]</f>
        <v>1978-Q4</v>
      </c>
    </row>
    <row r="59" spans="1:22" x14ac:dyDescent="0.3">
      <c r="A59" s="211">
        <f t="shared" si="6"/>
        <v>1979</v>
      </c>
      <c r="B59" s="211" t="str">
        <f t="shared" si="7"/>
        <v>Q1</v>
      </c>
      <c r="C59" s="2088" t="str">
        <f t="shared" si="0"/>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si="2"/>
        <v>174101077.5</v>
      </c>
      <c r="P59" s="252">
        <f>'4. Financials'!I84</f>
        <v>344962000</v>
      </c>
      <c r="Q59" s="252">
        <f>AVERAGE(P55,P59)</f>
        <v>299564000</v>
      </c>
      <c r="S59" s="348">
        <f>L59/Q59</f>
        <v>0.63432797332122681</v>
      </c>
      <c r="T59" s="348">
        <f>M59/Q59</f>
        <v>0.52803517779172393</v>
      </c>
      <c r="U59" s="1043">
        <f t="shared" si="3"/>
        <v>0.58118157555647532</v>
      </c>
      <c r="V59" s="2088" t="str">
        <f>Table245[[#This Row],[Column3]]</f>
        <v>1979-Q1</v>
      </c>
    </row>
    <row r="60" spans="1:22" x14ac:dyDescent="0.3">
      <c r="A60" s="211">
        <f t="shared" si="6"/>
        <v>1979</v>
      </c>
      <c r="B60" s="211" t="str">
        <f t="shared" si="7"/>
        <v>Q2</v>
      </c>
      <c r="C60" s="2088" t="str">
        <f t="shared" si="0"/>
        <v>1979-Q2</v>
      </c>
      <c r="E60" s="252">
        <v>215</v>
      </c>
      <c r="F60" s="252">
        <v>185</v>
      </c>
      <c r="G60" s="252">
        <f t="shared" si="1"/>
        <v>200</v>
      </c>
      <c r="J60" s="230"/>
      <c r="L60" s="252">
        <f>K59*E60</f>
        <v>220836175</v>
      </c>
      <c r="M60" s="252">
        <f>K59*F60</f>
        <v>190021825</v>
      </c>
      <c r="N60" s="252">
        <f t="shared" si="2"/>
        <v>205429000</v>
      </c>
      <c r="P60" s="252"/>
      <c r="Q60" s="252"/>
      <c r="S60" s="348">
        <f>L60/Q59</f>
        <v>0.73719196899493933</v>
      </c>
      <c r="T60" s="348">
        <f>M60/Q59</f>
        <v>0.63432797332122681</v>
      </c>
      <c r="U60" s="1043">
        <f t="shared" si="3"/>
        <v>0.68575997115808307</v>
      </c>
      <c r="V60" s="2088" t="str">
        <f>Table245[[#This Row],[Column3]]</f>
        <v>1979-Q2</v>
      </c>
    </row>
    <row r="61" spans="1:22" x14ac:dyDescent="0.3">
      <c r="A61" s="211">
        <f t="shared" si="6"/>
        <v>1979</v>
      </c>
      <c r="B61" s="211" t="str">
        <f t="shared" si="7"/>
        <v>Q3</v>
      </c>
      <c r="C61" s="2088" t="str">
        <f t="shared" si="0"/>
        <v>1979-Q3</v>
      </c>
      <c r="E61" s="252">
        <v>350</v>
      </c>
      <c r="F61" s="252">
        <v>215</v>
      </c>
      <c r="G61" s="252">
        <f t="shared" si="1"/>
        <v>282.5</v>
      </c>
      <c r="J61" s="230"/>
      <c r="L61" s="252">
        <f>K59*E61</f>
        <v>359500750</v>
      </c>
      <c r="M61" s="252">
        <f>K59*F61</f>
        <v>220836175</v>
      </c>
      <c r="N61" s="252">
        <f t="shared" si="2"/>
        <v>290168462.5</v>
      </c>
      <c r="P61" s="252"/>
      <c r="Q61" s="252"/>
      <c r="S61" s="348">
        <f>L61/Q59</f>
        <v>1.2000799495266454</v>
      </c>
      <c r="T61" s="348">
        <f>M61/Q59</f>
        <v>0.73719196899493933</v>
      </c>
      <c r="U61" s="1043">
        <f t="shared" si="3"/>
        <v>0.96863595926079238</v>
      </c>
      <c r="V61" s="2088" t="str">
        <f>Table245[[#This Row],[Column3]]</f>
        <v>1979-Q3</v>
      </c>
    </row>
    <row r="62" spans="1:22" x14ac:dyDescent="0.3">
      <c r="A62" s="211">
        <f t="shared" si="6"/>
        <v>1979</v>
      </c>
      <c r="B62" s="211" t="str">
        <f t="shared" si="7"/>
        <v>Q4</v>
      </c>
      <c r="C62" s="2088" t="str">
        <f t="shared" si="0"/>
        <v>1979-Q4</v>
      </c>
      <c r="E62" s="252">
        <v>335</v>
      </c>
      <c r="F62" s="252">
        <v>240</v>
      </c>
      <c r="G62" s="252">
        <f t="shared" si="1"/>
        <v>287.5</v>
      </c>
      <c r="J62" s="230"/>
      <c r="L62" s="252">
        <f>K59*E62</f>
        <v>344093575</v>
      </c>
      <c r="M62" s="252">
        <f>K59*F62</f>
        <v>246514800</v>
      </c>
      <c r="N62" s="252">
        <f t="shared" si="2"/>
        <v>295304187.5</v>
      </c>
      <c r="P62" s="252"/>
      <c r="Q62" s="252"/>
      <c r="S62" s="348">
        <f>L62/Q59</f>
        <v>1.1486479516897892</v>
      </c>
      <c r="T62" s="348">
        <f>M62/Q59</f>
        <v>0.82291196538969968</v>
      </c>
      <c r="U62" s="1043">
        <f t="shared" si="3"/>
        <v>0.98577995853974443</v>
      </c>
      <c r="V62" s="2088" t="str">
        <f>Table245[[#This Row],[Column3]]</f>
        <v>1979-Q4</v>
      </c>
    </row>
    <row r="63" spans="1:22" x14ac:dyDescent="0.3">
      <c r="A63" s="211">
        <f t="shared" si="6"/>
        <v>1980</v>
      </c>
      <c r="B63" s="211" t="str">
        <f t="shared" si="7"/>
        <v>Q1</v>
      </c>
      <c r="C63" s="2088" t="str">
        <f t="shared" si="0"/>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2"/>
        <v>312046620</v>
      </c>
      <c r="P63" s="252">
        <f>'4. Financials'!H84</f>
        <v>395214000</v>
      </c>
      <c r="Q63" s="252">
        <f>AVERAGE(P59,P63)</f>
        <v>370088000</v>
      </c>
      <c r="S63" s="348">
        <f>L63/Q63</f>
        <v>0.97916365837314367</v>
      </c>
      <c r="T63" s="348">
        <f>M63/Q63</f>
        <v>0.70717375326949261</v>
      </c>
      <c r="U63" s="1043">
        <f t="shared" si="3"/>
        <v>0.8431687058213182</v>
      </c>
      <c r="V63" s="2088" t="str">
        <f>Table245[[#This Row],[Column3]]</f>
        <v>1980-Q1</v>
      </c>
    </row>
    <row r="64" spans="1:22" x14ac:dyDescent="0.3">
      <c r="A64" s="211">
        <f t="shared" si="6"/>
        <v>1980</v>
      </c>
      <c r="B64" s="211" t="str">
        <f t="shared" si="7"/>
        <v>Q2</v>
      </c>
      <c r="C64" s="2088" t="str">
        <f t="shared" si="0"/>
        <v>1980-Q2</v>
      </c>
      <c r="E64" s="252">
        <v>340</v>
      </c>
      <c r="F64" s="252">
        <v>250</v>
      </c>
      <c r="G64" s="252">
        <f t="shared" si="1"/>
        <v>295</v>
      </c>
      <c r="J64" s="230"/>
      <c r="L64" s="252">
        <f>K63*E64</f>
        <v>342244680</v>
      </c>
      <c r="M64" s="252">
        <f>K63*F64</f>
        <v>251650500</v>
      </c>
      <c r="N64" s="252">
        <f t="shared" si="2"/>
        <v>296947590</v>
      </c>
      <c r="P64" s="252"/>
      <c r="Q64" s="252"/>
      <c r="S64" s="348">
        <f>L64/Q63</f>
        <v>0.92476567735241344</v>
      </c>
      <c r="T64" s="348">
        <f>M64/Q63</f>
        <v>0.6799747627591276</v>
      </c>
      <c r="U64" s="1043">
        <f t="shared" si="3"/>
        <v>0.80237022005577052</v>
      </c>
      <c r="V64" s="2088" t="str">
        <f>Table245[[#This Row],[Column3]]</f>
        <v>1980-Q2</v>
      </c>
    </row>
    <row r="65" spans="1:22" x14ac:dyDescent="0.3">
      <c r="A65" s="211">
        <f t="shared" si="6"/>
        <v>1980</v>
      </c>
      <c r="B65" s="211" t="str">
        <f t="shared" si="7"/>
        <v>Q3</v>
      </c>
      <c r="C65" s="2088" t="str">
        <f t="shared" si="0"/>
        <v>1980-Q3</v>
      </c>
      <c r="E65" s="252">
        <v>415</v>
      </c>
      <c r="F65" s="252">
        <v>305</v>
      </c>
      <c r="G65" s="252">
        <f t="shared" si="1"/>
        <v>360</v>
      </c>
      <c r="J65" s="230"/>
      <c r="L65" s="252">
        <f>K63*E65</f>
        <v>417739830</v>
      </c>
      <c r="M65" s="252">
        <f>K63*F65</f>
        <v>307013610</v>
      </c>
      <c r="N65" s="252">
        <f t="shared" si="2"/>
        <v>362376720</v>
      </c>
      <c r="P65" s="252"/>
      <c r="Q65" s="252"/>
      <c r="S65" s="348">
        <f>L65/Q63</f>
        <v>1.1287581061801517</v>
      </c>
      <c r="T65" s="348">
        <f>M65/Q63</f>
        <v>0.82956921056613564</v>
      </c>
      <c r="U65" s="1043">
        <f t="shared" si="3"/>
        <v>0.97916365837314367</v>
      </c>
      <c r="V65" s="2088" t="str">
        <f>Table245[[#This Row],[Column3]]</f>
        <v>1980-Q3</v>
      </c>
    </row>
    <row r="66" spans="1:22" x14ac:dyDescent="0.3">
      <c r="A66" s="211">
        <f t="shared" si="6"/>
        <v>1980</v>
      </c>
      <c r="B66" s="211" t="str">
        <f t="shared" si="7"/>
        <v>Q4</v>
      </c>
      <c r="C66" s="2088" t="str">
        <f t="shared" si="0"/>
        <v>1980-Q4</v>
      </c>
      <c r="E66" s="252">
        <v>490</v>
      </c>
      <c r="F66" s="252">
        <v>385</v>
      </c>
      <c r="G66" s="252">
        <f t="shared" si="1"/>
        <v>437.5</v>
      </c>
      <c r="J66" s="230"/>
      <c r="L66" s="252">
        <f>K63*E66</f>
        <v>493234980</v>
      </c>
      <c r="M66" s="252">
        <f>K63*F66</f>
        <v>387541770</v>
      </c>
      <c r="N66" s="252">
        <f t="shared" si="2"/>
        <v>440388375</v>
      </c>
      <c r="P66" s="252"/>
      <c r="Q66" s="252"/>
      <c r="S66" s="348">
        <f>L66/Q63</f>
        <v>1.3327505350078901</v>
      </c>
      <c r="T66" s="348">
        <f>M66/Q63</f>
        <v>1.0471611346490564</v>
      </c>
      <c r="U66" s="1043">
        <f t="shared" si="3"/>
        <v>1.1899558348284733</v>
      </c>
      <c r="V66" s="2088" t="str">
        <f>Table245[[#This Row],[Column3]]</f>
        <v>1980-Q4</v>
      </c>
    </row>
    <row r="67" spans="1:22" x14ac:dyDescent="0.3">
      <c r="A67" s="211">
        <f t="shared" si="6"/>
        <v>1981</v>
      </c>
      <c r="B67" s="211" t="str">
        <f t="shared" si="7"/>
        <v>Q1</v>
      </c>
      <c r="C67" s="2088" t="str">
        <f t="shared" si="0"/>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2"/>
        <v>458622060</v>
      </c>
      <c r="P67" s="252">
        <f>'4. Financials'!G84</f>
        <v>519463000</v>
      </c>
      <c r="Q67" s="252">
        <f>AVERAGE(P63,P67)</f>
        <v>457338500</v>
      </c>
      <c r="S67" s="348">
        <f>L67/Q67</f>
        <v>1.0890695185294919</v>
      </c>
      <c r="T67" s="348">
        <f>M67/Q67</f>
        <v>0.91654365420798822</v>
      </c>
      <c r="U67" s="1043">
        <f t="shared" si="3"/>
        <v>1.0028065863687401</v>
      </c>
      <c r="V67" s="2088" t="str">
        <f>Table245[[#This Row],[Column3]]</f>
        <v>1981-Q1</v>
      </c>
    </row>
    <row r="68" spans="1:22" x14ac:dyDescent="0.3">
      <c r="A68" s="211">
        <f t="shared" si="6"/>
        <v>1981</v>
      </c>
      <c r="B68" s="211" t="str">
        <f t="shared" si="7"/>
        <v>Q2</v>
      </c>
      <c r="C68" s="2088" t="str">
        <f t="shared" ref="C68:C122" si="8">CONCATENATE(A68,"-",B68)</f>
        <v>1981-Q2</v>
      </c>
      <c r="E68" s="252">
        <v>525</v>
      </c>
      <c r="F68" s="252">
        <v>485</v>
      </c>
      <c r="G68" s="252">
        <f t="shared" si="1"/>
        <v>505</v>
      </c>
      <c r="J68" s="230"/>
      <c r="L68" s="252">
        <f>K67*E68</f>
        <v>517799100</v>
      </c>
      <c r="M68" s="252">
        <f>K67*F68</f>
        <v>478347740</v>
      </c>
      <c r="N68" s="252">
        <f t="shared" ref="N68:N121" si="9">AVERAGE(L68:M68)</f>
        <v>498073420</v>
      </c>
      <c r="P68" s="252"/>
      <c r="Q68" s="252"/>
      <c r="S68" s="348">
        <f>L68/Q67</f>
        <v>1.1322009846098677</v>
      </c>
      <c r="T68" s="348">
        <f>M68/Q67</f>
        <v>1.045938052449116</v>
      </c>
      <c r="U68" s="1043">
        <f t="shared" ref="U68:U123" si="10">AVERAGE(S68:T68)</f>
        <v>1.0890695185294919</v>
      </c>
      <c r="V68" s="2088" t="str">
        <f>Table245[[#This Row],[Column3]]</f>
        <v>1981-Q2</v>
      </c>
    </row>
    <row r="69" spans="1:22" x14ac:dyDescent="0.3">
      <c r="A69" s="211">
        <f t="shared" si="6"/>
        <v>1981</v>
      </c>
      <c r="B69" s="211" t="str">
        <f t="shared" si="7"/>
        <v>Q3</v>
      </c>
      <c r="C69" s="2088" t="str">
        <f t="shared" si="8"/>
        <v>1981-Q3</v>
      </c>
      <c r="E69" s="252">
        <v>520</v>
      </c>
      <c r="F69" s="252">
        <v>460</v>
      </c>
      <c r="G69" s="252">
        <f t="shared" si="1"/>
        <v>490</v>
      </c>
      <c r="J69" s="230"/>
      <c r="L69" s="252">
        <f>K67*E69</f>
        <v>512867680</v>
      </c>
      <c r="M69" s="252">
        <f>K67*F69</f>
        <v>453690640</v>
      </c>
      <c r="N69" s="252">
        <f t="shared" si="9"/>
        <v>483279160</v>
      </c>
      <c r="P69" s="252"/>
      <c r="Q69" s="252"/>
      <c r="S69" s="348">
        <f>L69/Q67</f>
        <v>1.1214181180897738</v>
      </c>
      <c r="T69" s="348">
        <f>M69/Q67</f>
        <v>0.99202371984864601</v>
      </c>
      <c r="U69" s="1043">
        <f t="shared" si="10"/>
        <v>1.0567209189692099</v>
      </c>
      <c r="V69" s="2088" t="str">
        <f>Table245[[#This Row],[Column3]]</f>
        <v>1981-Q3</v>
      </c>
    </row>
    <row r="70" spans="1:22" x14ac:dyDescent="0.3">
      <c r="A70" s="211">
        <f t="shared" si="6"/>
        <v>1981</v>
      </c>
      <c r="B70" s="211" t="str">
        <f t="shared" si="7"/>
        <v>Q4</v>
      </c>
      <c r="C70" s="2088" t="str">
        <f t="shared" si="8"/>
        <v>1981-Q4</v>
      </c>
      <c r="E70" s="252">
        <v>590</v>
      </c>
      <c r="F70" s="252">
        <v>460</v>
      </c>
      <c r="G70" s="252">
        <f t="shared" si="1"/>
        <v>525</v>
      </c>
      <c r="J70" s="230"/>
      <c r="L70" s="252">
        <f>K67*E70</f>
        <v>581907560</v>
      </c>
      <c r="M70" s="252">
        <f>K67*F70</f>
        <v>453690640</v>
      </c>
      <c r="N70" s="252">
        <f t="shared" si="9"/>
        <v>517799100</v>
      </c>
      <c r="P70" s="252"/>
      <c r="Q70" s="252"/>
      <c r="S70" s="348">
        <f>L70/Q67</f>
        <v>1.2723782493710896</v>
      </c>
      <c r="T70" s="348">
        <f>M70/Q67</f>
        <v>0.99202371984864601</v>
      </c>
      <c r="U70" s="1043">
        <f t="shared" si="10"/>
        <v>1.1322009846098677</v>
      </c>
      <c r="V70" s="2088" t="str">
        <f>Table245[[#This Row],[Column3]]</f>
        <v>1981-Q4</v>
      </c>
    </row>
    <row r="71" spans="1:22" x14ac:dyDescent="0.3">
      <c r="A71" s="211">
        <f t="shared" si="6"/>
        <v>1982</v>
      </c>
      <c r="B71" s="211" t="str">
        <f t="shared" si="7"/>
        <v>Q1</v>
      </c>
      <c r="C71" s="2088" t="str">
        <f t="shared" si="8"/>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9"/>
        <v>505585862.5</v>
      </c>
      <c r="P71" s="252">
        <f>'4. Financials'!D84</f>
        <v>727483000</v>
      </c>
      <c r="Q71" s="252">
        <f>AVERAGE(P67,P71)</f>
        <v>623473000</v>
      </c>
      <c r="S71" s="348">
        <f>L71/Q71</f>
        <v>0.88607692714840902</v>
      </c>
      <c r="T71" s="348">
        <f>M71/Q71</f>
        <v>0.73576030557858962</v>
      </c>
      <c r="U71" s="1043">
        <f t="shared" si="10"/>
        <v>0.81091861636349938</v>
      </c>
      <c r="V71" s="2088" t="str">
        <f>Table245[[#This Row],[Column3]]</f>
        <v>1982-Q1</v>
      </c>
    </row>
    <row r="72" spans="1:22" x14ac:dyDescent="0.3">
      <c r="A72" s="211">
        <f t="shared" si="6"/>
        <v>1982</v>
      </c>
      <c r="B72" s="211" t="str">
        <f t="shared" si="7"/>
        <v>Q2</v>
      </c>
      <c r="C72" s="2088" t="str">
        <f t="shared" si="8"/>
        <v>1982-Q2</v>
      </c>
      <c r="E72" s="252">
        <v>520</v>
      </c>
      <c r="F72" s="252">
        <v>470</v>
      </c>
      <c r="G72" s="252">
        <f t="shared" si="1"/>
        <v>495</v>
      </c>
      <c r="J72" s="230"/>
      <c r="L72" s="252">
        <f>K71*E72</f>
        <v>512984680</v>
      </c>
      <c r="M72" s="252">
        <f>K71*F72</f>
        <v>463659230</v>
      </c>
      <c r="N72" s="252">
        <f t="shared" si="9"/>
        <v>488321955</v>
      </c>
      <c r="P72" s="252"/>
      <c r="Q72" s="252"/>
      <c r="S72" s="348">
        <f>L72/Q71</f>
        <v>0.82278571806637979</v>
      </c>
      <c r="T72" s="348">
        <f>M72/Q71</f>
        <v>0.74367170671384331</v>
      </c>
      <c r="U72" s="1043">
        <f t="shared" si="10"/>
        <v>0.7832287123901116</v>
      </c>
      <c r="V72" s="2088" t="str">
        <f>Table245[[#This Row],[Column3]]</f>
        <v>1982-Q2</v>
      </c>
    </row>
    <row r="73" spans="1:22" x14ac:dyDescent="0.3">
      <c r="A73" s="211">
        <f t="shared" si="6"/>
        <v>1982</v>
      </c>
      <c r="B73" s="211" t="str">
        <f t="shared" si="7"/>
        <v>Q3</v>
      </c>
      <c r="C73" s="2088" t="str">
        <f t="shared" si="8"/>
        <v>1982-Q3</v>
      </c>
      <c r="E73" s="252">
        <v>550</v>
      </c>
      <c r="F73" s="252">
        <v>430</v>
      </c>
      <c r="G73" s="252">
        <f t="shared" si="1"/>
        <v>490</v>
      </c>
      <c r="J73" s="230"/>
      <c r="L73" s="252">
        <f>K71*E73</f>
        <v>542579950</v>
      </c>
      <c r="M73" s="252">
        <f>K71*F73</f>
        <v>424198870</v>
      </c>
      <c r="N73" s="252">
        <f t="shared" si="9"/>
        <v>483389410</v>
      </c>
      <c r="P73" s="252"/>
      <c r="Q73" s="252"/>
      <c r="S73" s="348">
        <f>L73/Q71</f>
        <v>0.87025412487790166</v>
      </c>
      <c r="T73" s="348">
        <f>M73/Q71</f>
        <v>0.68038049763181407</v>
      </c>
      <c r="U73" s="1043">
        <f t="shared" si="10"/>
        <v>0.77531731125485792</v>
      </c>
      <c r="V73" s="2088" t="str">
        <f>Table245[[#This Row],[Column3]]</f>
        <v>1982-Q3</v>
      </c>
    </row>
    <row r="74" spans="1:22" x14ac:dyDescent="0.3">
      <c r="A74" s="211">
        <f t="shared" si="6"/>
        <v>1982</v>
      </c>
      <c r="B74" s="211" t="str">
        <f t="shared" si="7"/>
        <v>Q4</v>
      </c>
      <c r="C74" s="2088" t="str">
        <f t="shared" si="8"/>
        <v>1982-Q4</v>
      </c>
      <c r="E74" s="252">
        <v>775</v>
      </c>
      <c r="F74" s="252">
        <v>540</v>
      </c>
      <c r="G74" s="252">
        <f t="shared" si="1"/>
        <v>657.5</v>
      </c>
      <c r="J74" s="230"/>
      <c r="L74" s="252">
        <f>K71*E74</f>
        <v>764544475</v>
      </c>
      <c r="M74" s="252">
        <f>K71*F74</f>
        <v>532714860</v>
      </c>
      <c r="N74" s="252">
        <f t="shared" si="9"/>
        <v>648629667.5</v>
      </c>
      <c r="P74" s="252"/>
      <c r="Q74" s="252"/>
      <c r="S74" s="348">
        <f>L74/Q71</f>
        <v>1.226267175964316</v>
      </c>
      <c r="T74" s="348">
        <f>M74/Q71</f>
        <v>0.85443132260739441</v>
      </c>
      <c r="U74" s="1043">
        <f t="shared" si="10"/>
        <v>1.0403492492858553</v>
      </c>
      <c r="V74" s="2088" t="str">
        <f>Table245[[#This Row],[Column3]]</f>
        <v>1982-Q4</v>
      </c>
    </row>
    <row r="75" spans="1:22" x14ac:dyDescent="0.3">
      <c r="A75" s="211">
        <f t="shared" si="6"/>
        <v>1983</v>
      </c>
      <c r="B75" s="211" t="str">
        <f t="shared" si="7"/>
        <v>Q1</v>
      </c>
      <c r="C75" s="2088" t="str">
        <f t="shared" si="8"/>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si="9"/>
        <v>928036830</v>
      </c>
      <c r="P75" s="252">
        <f>'4. Financials'!C84</f>
        <v>1119193000</v>
      </c>
      <c r="Q75" s="252">
        <f>AVERAGE(P71,P75)</f>
        <v>923338000</v>
      </c>
      <c r="S75" s="348">
        <f>L75/Q75</f>
        <v>1.114840053154966</v>
      </c>
      <c r="T75" s="348">
        <f>M75/Q75</f>
        <v>0.89533786652341829</v>
      </c>
      <c r="U75" s="1043">
        <f t="shared" si="10"/>
        <v>1.0050889598391921</v>
      </c>
      <c r="V75" s="2088" t="str">
        <f>Table245[[#This Row],[Column3]]</f>
        <v>1983-Q1</v>
      </c>
    </row>
    <row r="76" spans="1:22" x14ac:dyDescent="0.3">
      <c r="A76" s="211">
        <f t="shared" ref="A76:A139" si="11">A72+1</f>
        <v>1983</v>
      </c>
      <c r="B76" s="211" t="str">
        <f t="shared" ref="B76:B139" si="12">B72</f>
        <v>Q2</v>
      </c>
      <c r="C76" s="2088" t="str">
        <f t="shared" si="8"/>
        <v>1983-Q2</v>
      </c>
      <c r="E76" s="252">
        <v>985</v>
      </c>
      <c r="F76" s="252">
        <v>890</v>
      </c>
      <c r="G76" s="252">
        <f t="shared" si="1"/>
        <v>937.5</v>
      </c>
      <c r="J76" s="230"/>
      <c r="L76" s="252">
        <f>K75*E76</f>
        <v>1050708365</v>
      </c>
      <c r="M76" s="252">
        <f>K75*F76</f>
        <v>949371010</v>
      </c>
      <c r="N76" s="252">
        <f t="shared" si="9"/>
        <v>1000039687.5</v>
      </c>
      <c r="P76" s="252"/>
      <c r="Q76" s="252"/>
      <c r="S76" s="348">
        <f>L76/Q75</f>
        <v>1.1379455464846027</v>
      </c>
      <c r="T76" s="348">
        <f>M76/Q75</f>
        <v>1.0281944531688287</v>
      </c>
      <c r="U76" s="1043">
        <f t="shared" si="10"/>
        <v>1.0830699998267157</v>
      </c>
      <c r="V76" s="2088" t="str">
        <f>Table245[[#This Row],[Column3]]</f>
        <v>1983-Q2</v>
      </c>
    </row>
    <row r="77" spans="1:22" x14ac:dyDescent="0.3">
      <c r="A77" s="211">
        <f t="shared" si="11"/>
        <v>1983</v>
      </c>
      <c r="B77" s="211" t="str">
        <f t="shared" si="12"/>
        <v>Q3</v>
      </c>
      <c r="C77" s="2088" t="str">
        <f t="shared" si="8"/>
        <v>1983-Q3</v>
      </c>
      <c r="E77" s="252">
        <v>1245</v>
      </c>
      <c r="F77" s="252">
        <v>905</v>
      </c>
      <c r="G77" s="252">
        <f t="shared" si="1"/>
        <v>1075</v>
      </c>
      <c r="J77" s="230"/>
      <c r="L77" s="252">
        <f>K75*E77</f>
        <v>1328052705</v>
      </c>
      <c r="M77" s="252">
        <f>K75*F77</f>
        <v>965371645</v>
      </c>
      <c r="N77" s="252">
        <f t="shared" si="9"/>
        <v>1146712175</v>
      </c>
      <c r="P77" s="252"/>
      <c r="Q77" s="252"/>
      <c r="S77" s="348">
        <f>L77/Q75</f>
        <v>1.4383169597698784</v>
      </c>
      <c r="T77" s="348">
        <f>M77/Q75</f>
        <v>1.0455235731660562</v>
      </c>
      <c r="U77" s="1043">
        <f t="shared" si="10"/>
        <v>1.2419202664679672</v>
      </c>
      <c r="V77" s="2088" t="str">
        <f>Table245[[#This Row],[Column3]]</f>
        <v>1983-Q3</v>
      </c>
    </row>
    <row r="78" spans="1:22" x14ac:dyDescent="0.3">
      <c r="A78" s="211">
        <f t="shared" si="11"/>
        <v>1983</v>
      </c>
      <c r="B78" s="211" t="str">
        <f t="shared" si="12"/>
        <v>Q4</v>
      </c>
      <c r="C78" s="2088" t="str">
        <f t="shared" si="8"/>
        <v>1983-Q4</v>
      </c>
      <c r="E78" s="252">
        <v>1385</v>
      </c>
      <c r="F78" s="252">
        <v>1240</v>
      </c>
      <c r="G78" s="252">
        <f t="shared" si="1"/>
        <v>1312.5</v>
      </c>
      <c r="J78" s="230"/>
      <c r="L78" s="252">
        <f>K75*E78</f>
        <v>1477391965</v>
      </c>
      <c r="M78" s="252">
        <f>K75*F78</f>
        <v>1322719160</v>
      </c>
      <c r="N78" s="252">
        <f t="shared" si="9"/>
        <v>1400055562.5</v>
      </c>
      <c r="P78" s="252"/>
      <c r="Q78" s="252"/>
      <c r="S78" s="348">
        <f>L78/Q75</f>
        <v>1.6000554130773346</v>
      </c>
      <c r="T78" s="348">
        <f>M78/Q75</f>
        <v>1.4325405864374692</v>
      </c>
      <c r="U78" s="1043">
        <f t="shared" si="10"/>
        <v>1.516297999757402</v>
      </c>
      <c r="V78" s="2088" t="str">
        <f>Table245[[#This Row],[Column3]]</f>
        <v>1983-Q4</v>
      </c>
    </row>
    <row r="79" spans="1:22" x14ac:dyDescent="0.3">
      <c r="A79" s="211">
        <f t="shared" si="11"/>
        <v>1984</v>
      </c>
      <c r="B79" s="211" t="str">
        <f t="shared" si="12"/>
        <v>Q1</v>
      </c>
      <c r="C79" s="2088" t="str">
        <f t="shared" si="8"/>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si="9"/>
        <v>1490981700</v>
      </c>
      <c r="P79" s="252">
        <f>'4. Financials'!B84</f>
        <v>1271761000</v>
      </c>
      <c r="Q79" s="252">
        <f>AVERAGE(P75,P79)</f>
        <v>1195477000</v>
      </c>
      <c r="S79" s="348">
        <f>L79/Q79</f>
        <v>1.3047480127179361</v>
      </c>
      <c r="T79" s="348">
        <f>M79/Q79</f>
        <v>1.1896231880663535</v>
      </c>
      <c r="U79" s="1043">
        <f t="shared" si="10"/>
        <v>1.2471856003921449</v>
      </c>
      <c r="V79" s="2088" t="str">
        <f>Table245[[#This Row],[Column3]]</f>
        <v>1984-Q1</v>
      </c>
    </row>
    <row r="80" spans="1:22" x14ac:dyDescent="0.3">
      <c r="A80" s="211">
        <f t="shared" si="11"/>
        <v>1984</v>
      </c>
      <c r="B80" s="211" t="str">
        <f t="shared" si="12"/>
        <v>Q2</v>
      </c>
      <c r="C80" s="2088" t="str">
        <f t="shared" si="8"/>
        <v>1984-Q2</v>
      </c>
      <c r="E80" s="252">
        <v>1345</v>
      </c>
      <c r="F80" s="252">
        <v>1220</v>
      </c>
      <c r="G80" s="252">
        <f t="shared" si="1"/>
        <v>1282.5</v>
      </c>
      <c r="J80" s="230"/>
      <c r="L80" s="252">
        <f>K79*E80</f>
        <v>1542592605</v>
      </c>
      <c r="M80" s="252">
        <f>K79*F80</f>
        <v>1399228980</v>
      </c>
      <c r="N80" s="252">
        <f t="shared" si="9"/>
        <v>1470910792.5</v>
      </c>
      <c r="P80" s="252"/>
      <c r="Q80" s="252"/>
      <c r="S80" s="348">
        <f>L80/Q79</f>
        <v>1.2903574096364883</v>
      </c>
      <c r="T80" s="348">
        <f>M80/Q79</f>
        <v>1.1704357172910897</v>
      </c>
      <c r="U80" s="1043">
        <f t="shared" si="10"/>
        <v>1.230396563463789</v>
      </c>
      <c r="V80" s="2088" t="str">
        <f>Table245[[#This Row],[Column3]]</f>
        <v>1984-Q2</v>
      </c>
    </row>
    <row r="81" spans="1:22" x14ac:dyDescent="0.3">
      <c r="A81" s="211">
        <f t="shared" si="11"/>
        <v>1984</v>
      </c>
      <c r="B81" s="211" t="str">
        <f t="shared" si="12"/>
        <v>Q3</v>
      </c>
      <c r="C81" s="2088" t="str">
        <f t="shared" si="8"/>
        <v>1984-Q3</v>
      </c>
      <c r="E81" s="252">
        <v>1305</v>
      </c>
      <c r="F81" s="252">
        <v>1230</v>
      </c>
      <c r="G81" s="252">
        <f t="shared" si="1"/>
        <v>1267.5</v>
      </c>
      <c r="J81" s="230"/>
      <c r="L81" s="252">
        <f>K79*E81</f>
        <v>1496716245</v>
      </c>
      <c r="M81" s="252">
        <f>K79*F81</f>
        <v>1410698070</v>
      </c>
      <c r="N81" s="252">
        <f t="shared" si="9"/>
        <v>1453707157.5</v>
      </c>
      <c r="P81" s="252"/>
      <c r="Q81" s="252"/>
      <c r="S81" s="348">
        <f>L81/Q79</f>
        <v>1.2519824680859606</v>
      </c>
      <c r="T81" s="348">
        <f>M81/Q79</f>
        <v>1.1800294526787216</v>
      </c>
      <c r="U81" s="1043">
        <f t="shared" si="10"/>
        <v>1.2160059603823412</v>
      </c>
      <c r="V81" s="2088" t="str">
        <f>Table245[[#This Row],[Column3]]</f>
        <v>1984-Q3</v>
      </c>
    </row>
    <row r="82" spans="1:22" x14ac:dyDescent="0.3">
      <c r="A82" s="211">
        <f t="shared" si="11"/>
        <v>1984</v>
      </c>
      <c r="B82" s="211" t="str">
        <f t="shared" si="12"/>
        <v>Q4</v>
      </c>
      <c r="C82" s="2088" t="str">
        <f t="shared" si="8"/>
        <v>1984-Q4</v>
      </c>
      <c r="E82" s="252">
        <v>1305</v>
      </c>
      <c r="F82" s="252">
        <v>1265</v>
      </c>
      <c r="G82" s="252">
        <f t="shared" si="1"/>
        <v>1285</v>
      </c>
      <c r="J82" s="230"/>
      <c r="L82" s="252">
        <f>K79*E82</f>
        <v>1496716245</v>
      </c>
      <c r="M82" s="252">
        <f>K79*F82</f>
        <v>1450839885</v>
      </c>
      <c r="N82" s="252">
        <f t="shared" si="9"/>
        <v>1473778065</v>
      </c>
      <c r="P82" s="252"/>
      <c r="Q82" s="252"/>
      <c r="S82" s="348">
        <f>L82/Q79</f>
        <v>1.2519824680859606</v>
      </c>
      <c r="T82" s="348">
        <f>M82/Q79</f>
        <v>1.2136075265354331</v>
      </c>
      <c r="U82" s="1043">
        <f t="shared" si="10"/>
        <v>1.2327949973106969</v>
      </c>
      <c r="V82" s="2088" t="str">
        <f>Table245[[#This Row],[Column3]]</f>
        <v>1984-Q4</v>
      </c>
    </row>
    <row r="83" spans="1:22" x14ac:dyDescent="0.3">
      <c r="A83" s="211">
        <f t="shared" si="11"/>
        <v>1985</v>
      </c>
      <c r="B83" s="211" t="str">
        <f t="shared" si="12"/>
        <v>Q1</v>
      </c>
      <c r="C83" s="2088" t="str">
        <f t="shared" si="8"/>
        <v>1985-Q1</v>
      </c>
      <c r="D83" s="211">
        <v>1985</v>
      </c>
      <c r="E83" s="252">
        <v>1930</v>
      </c>
      <c r="F83" s="252">
        <v>1275</v>
      </c>
      <c r="G83" s="252">
        <f t="shared" ref="G83:G123" si="13">AVERAGE(E83:F83)</f>
        <v>1602.5</v>
      </c>
      <c r="I83" s="2088">
        <v>31412</v>
      </c>
      <c r="J83" s="230">
        <v>1147000</v>
      </c>
      <c r="K83" s="278">
        <f>AVERAGE(J79,J83)</f>
        <v>1146954.5</v>
      </c>
      <c r="L83" s="252">
        <f>K83*E83</f>
        <v>2213622185</v>
      </c>
      <c r="M83" s="252">
        <f>K83*F83</f>
        <v>1462366987.5</v>
      </c>
      <c r="N83" s="252">
        <f t="shared" si="9"/>
        <v>1837994586.25</v>
      </c>
      <c r="P83" s="252">
        <v>1885330000</v>
      </c>
      <c r="Q83" s="252">
        <f>AVERAGE(P79,P83)</f>
        <v>1578545500</v>
      </c>
      <c r="S83" s="348">
        <f>L83/Q83</f>
        <v>1.4023176303755578</v>
      </c>
      <c r="T83" s="348">
        <f>M83/Q83</f>
        <v>0.92640154338281666</v>
      </c>
      <c r="U83" s="1043">
        <f t="shared" si="10"/>
        <v>1.1643595868791872</v>
      </c>
      <c r="V83" s="2088" t="str">
        <f>Table245[[#This Row],[Column3]]</f>
        <v>1985-Q1</v>
      </c>
    </row>
    <row r="84" spans="1:22" x14ac:dyDescent="0.3">
      <c r="A84" s="211">
        <f t="shared" si="11"/>
        <v>1985</v>
      </c>
      <c r="B84" s="211" t="str">
        <f t="shared" si="12"/>
        <v>Q2</v>
      </c>
      <c r="C84" s="2088" t="str">
        <f t="shared" si="8"/>
        <v>1985-Q2</v>
      </c>
      <c r="E84" s="252">
        <v>2160</v>
      </c>
      <c r="F84" s="252">
        <v>1725</v>
      </c>
      <c r="G84" s="252">
        <f t="shared" si="13"/>
        <v>1942.5</v>
      </c>
      <c r="J84" s="230"/>
      <c r="L84" s="252">
        <f>K83*E84</f>
        <v>2477421720</v>
      </c>
      <c r="M84" s="252">
        <f>K83*F84</f>
        <v>1978496512.5</v>
      </c>
      <c r="N84" s="252">
        <f t="shared" si="9"/>
        <v>2227959116.25</v>
      </c>
      <c r="P84" s="252"/>
      <c r="Q84" s="252"/>
      <c r="S84" s="348">
        <f>L84/Q83</f>
        <v>1.5694332029073599</v>
      </c>
      <c r="T84" s="348">
        <f>M84/Q83</f>
        <v>1.2533667939885167</v>
      </c>
      <c r="U84" s="1043">
        <f t="shared" si="10"/>
        <v>1.4113999984479384</v>
      </c>
      <c r="V84" s="2088" t="str">
        <f>Table245[[#This Row],[Column3]]</f>
        <v>1985-Q2</v>
      </c>
    </row>
    <row r="85" spans="1:22" x14ac:dyDescent="0.3">
      <c r="A85" s="211">
        <f t="shared" si="11"/>
        <v>1985</v>
      </c>
      <c r="B85" s="211" t="str">
        <f t="shared" si="12"/>
        <v>Q3</v>
      </c>
      <c r="C85" s="2088" t="str">
        <f t="shared" si="8"/>
        <v>1985-Q3</v>
      </c>
      <c r="E85" s="252">
        <v>2235</v>
      </c>
      <c r="F85" s="252">
        <v>2005</v>
      </c>
      <c r="G85" s="252">
        <f t="shared" si="13"/>
        <v>2120</v>
      </c>
      <c r="J85" s="230"/>
      <c r="L85" s="252">
        <f>K83*E85</f>
        <v>2563443307.5</v>
      </c>
      <c r="M85" s="252">
        <f>K83*F85</f>
        <v>2299643772.5</v>
      </c>
      <c r="N85" s="252">
        <f t="shared" si="9"/>
        <v>2431543540</v>
      </c>
      <c r="P85" s="252"/>
      <c r="Q85" s="252"/>
      <c r="S85" s="348">
        <f>L85/Q83</f>
        <v>1.6239274113416433</v>
      </c>
      <c r="T85" s="348">
        <f>M85/Q83</f>
        <v>1.456811838809841</v>
      </c>
      <c r="U85" s="1043">
        <f t="shared" si="10"/>
        <v>1.5403696250757422</v>
      </c>
      <c r="V85" s="2088" t="str">
        <f>Table245[[#This Row],[Column3]]</f>
        <v>1985-Q3</v>
      </c>
    </row>
    <row r="86" spans="1:22" x14ac:dyDescent="0.3">
      <c r="A86" s="211">
        <f t="shared" si="11"/>
        <v>1985</v>
      </c>
      <c r="B86" s="211" t="str">
        <f t="shared" si="12"/>
        <v>Q4</v>
      </c>
      <c r="C86" s="2088" t="str">
        <f t="shared" si="8"/>
        <v>1985-Q4</v>
      </c>
      <c r="E86" s="252">
        <v>2730</v>
      </c>
      <c r="F86" s="252">
        <v>2075</v>
      </c>
      <c r="G86" s="252">
        <f t="shared" si="13"/>
        <v>2402.5</v>
      </c>
      <c r="J86" s="230"/>
      <c r="L86" s="252">
        <f>K83*E86</f>
        <v>3131185785</v>
      </c>
      <c r="M86" s="252">
        <f>K83*F86</f>
        <v>2379930587.5</v>
      </c>
      <c r="N86" s="252">
        <f t="shared" si="9"/>
        <v>2755558186.25</v>
      </c>
      <c r="P86" s="252"/>
      <c r="Q86" s="252"/>
      <c r="S86" s="348">
        <f>L86/Q83</f>
        <v>1.9835891870079132</v>
      </c>
      <c r="T86" s="348">
        <f>M86/Q83</f>
        <v>1.5076731000151722</v>
      </c>
      <c r="U86" s="1043">
        <f t="shared" si="10"/>
        <v>1.7456311435115426</v>
      </c>
      <c r="V86" s="2088" t="str">
        <f>Table245[[#This Row],[Column3]]</f>
        <v>1985-Q4</v>
      </c>
    </row>
    <row r="87" spans="1:22" x14ac:dyDescent="0.3">
      <c r="A87" s="211">
        <f t="shared" si="11"/>
        <v>1986</v>
      </c>
      <c r="B87" s="211" t="str">
        <f t="shared" si="12"/>
        <v>Q1</v>
      </c>
      <c r="C87" s="2088" t="str">
        <f t="shared" si="8"/>
        <v>1986-Q1</v>
      </c>
      <c r="D87" s="211">
        <v>1986</v>
      </c>
      <c r="E87" s="252">
        <v>3250</v>
      </c>
      <c r="F87" s="252">
        <v>2220</v>
      </c>
      <c r="G87" s="252">
        <f t="shared" si="13"/>
        <v>2735</v>
      </c>
      <c r="I87" s="2088">
        <v>31777</v>
      </c>
      <c r="J87" s="230">
        <v>1147000</v>
      </c>
      <c r="K87" s="278">
        <f>AVERAGE(J83,J87)</f>
        <v>1147000</v>
      </c>
      <c r="L87" s="252">
        <f>K87*E87</f>
        <v>3727750000</v>
      </c>
      <c r="M87" s="252">
        <f>K87*F87</f>
        <v>2546340000</v>
      </c>
      <c r="N87" s="252">
        <f t="shared" si="9"/>
        <v>3137045000</v>
      </c>
      <c r="P87" s="252">
        <v>2377797000</v>
      </c>
      <c r="Q87" s="252">
        <f>AVERAGE(P83,P87)</f>
        <v>2131563500</v>
      </c>
      <c r="S87" s="348">
        <f>L87/Q87</f>
        <v>1.7488336613007307</v>
      </c>
      <c r="T87" s="348">
        <f>M87/Q87</f>
        <v>1.1945879163346529</v>
      </c>
      <c r="U87" s="1043">
        <f t="shared" si="10"/>
        <v>1.4717107888176919</v>
      </c>
      <c r="V87" s="2088" t="str">
        <f>Table245[[#This Row],[Column3]]</f>
        <v>1986-Q1</v>
      </c>
    </row>
    <row r="88" spans="1:22" x14ac:dyDescent="0.3">
      <c r="A88" s="211">
        <f t="shared" si="11"/>
        <v>1986</v>
      </c>
      <c r="B88" s="211" t="str">
        <f t="shared" si="12"/>
        <v>Q2</v>
      </c>
      <c r="C88" s="2088" t="str">
        <f t="shared" si="8"/>
        <v>1986-Q2</v>
      </c>
      <c r="E88" s="252">
        <v>3160</v>
      </c>
      <c r="F88" s="252">
        <v>2640</v>
      </c>
      <c r="G88" s="252">
        <f t="shared" si="13"/>
        <v>2900</v>
      </c>
      <c r="J88" s="230"/>
      <c r="L88" s="252">
        <f>K87*E88</f>
        <v>3624520000</v>
      </c>
      <c r="M88" s="252">
        <f>K87*F88</f>
        <v>3028080000</v>
      </c>
      <c r="N88" s="252">
        <f t="shared" si="9"/>
        <v>3326300000</v>
      </c>
      <c r="P88" s="252"/>
      <c r="Q88" s="252"/>
      <c r="S88" s="348">
        <f>L88/Q87</f>
        <v>1.7004044214493259</v>
      </c>
      <c r="T88" s="348">
        <f>M88/Q87</f>
        <v>1.4205910356412088</v>
      </c>
      <c r="U88" s="1043">
        <f t="shared" si="10"/>
        <v>1.5604977285452675</v>
      </c>
      <c r="V88" s="2088" t="str">
        <f>Table245[[#This Row],[Column3]]</f>
        <v>1986-Q2</v>
      </c>
    </row>
    <row r="89" spans="1:22" x14ac:dyDescent="0.3">
      <c r="A89" s="211">
        <f t="shared" si="11"/>
        <v>1986</v>
      </c>
      <c r="B89" s="211" t="str">
        <f t="shared" si="12"/>
        <v>Q3</v>
      </c>
      <c r="C89" s="2088" t="str">
        <f t="shared" si="8"/>
        <v>1986-Q3</v>
      </c>
      <c r="E89" s="252">
        <v>3100</v>
      </c>
      <c r="F89" s="252">
        <v>2525</v>
      </c>
      <c r="G89" s="252">
        <f t="shared" si="13"/>
        <v>2812.5</v>
      </c>
      <c r="J89" s="230"/>
      <c r="L89" s="252">
        <f>K87*E89</f>
        <v>3555700000</v>
      </c>
      <c r="M89" s="252">
        <f>K87*F89</f>
        <v>2896175000</v>
      </c>
      <c r="N89" s="252">
        <f t="shared" si="9"/>
        <v>3225937500</v>
      </c>
      <c r="P89" s="252"/>
      <c r="Q89" s="252"/>
      <c r="S89" s="348">
        <f>L89/Q87</f>
        <v>1.6681182615483892</v>
      </c>
      <c r="T89" s="348">
        <f>M89/Q87</f>
        <v>1.3587092291644138</v>
      </c>
      <c r="U89" s="1043">
        <f t="shared" si="10"/>
        <v>1.5134137453564014</v>
      </c>
      <c r="V89" s="2088" t="str">
        <f>Table245[[#This Row],[Column3]]</f>
        <v>1986-Q3</v>
      </c>
    </row>
    <row r="90" spans="1:22" x14ac:dyDescent="0.3">
      <c r="A90" s="211">
        <f t="shared" si="11"/>
        <v>1986</v>
      </c>
      <c r="B90" s="211" t="str">
        <f t="shared" si="12"/>
        <v>Q4</v>
      </c>
      <c r="C90" s="2088" t="str">
        <f t="shared" si="8"/>
        <v>1986-Q4</v>
      </c>
      <c r="E90" s="252">
        <v>2925</v>
      </c>
      <c r="F90" s="252">
        <v>2620</v>
      </c>
      <c r="G90" s="252">
        <f t="shared" si="13"/>
        <v>2772.5</v>
      </c>
      <c r="J90" s="230"/>
      <c r="L90" s="252">
        <f>K87*E90</f>
        <v>3354975000</v>
      </c>
      <c r="M90" s="252">
        <f>K87*F90</f>
        <v>3005140000</v>
      </c>
      <c r="N90" s="252">
        <f t="shared" si="9"/>
        <v>3180057500</v>
      </c>
      <c r="P90" s="252"/>
      <c r="Q90" s="252"/>
      <c r="S90" s="348">
        <f>L90/Q87</f>
        <v>1.5739502951706577</v>
      </c>
      <c r="T90" s="348">
        <f>M90/Q87</f>
        <v>1.4098289823408967</v>
      </c>
      <c r="U90" s="1043">
        <f t="shared" si="10"/>
        <v>1.4918896387557772</v>
      </c>
      <c r="V90" s="2088" t="str">
        <f>Table245[[#This Row],[Column3]]</f>
        <v>1986-Q4</v>
      </c>
    </row>
    <row r="91" spans="1:22" x14ac:dyDescent="0.3">
      <c r="A91" s="211">
        <f t="shared" si="11"/>
        <v>1987</v>
      </c>
      <c r="B91" s="211" t="str">
        <f t="shared" si="12"/>
        <v>Q1</v>
      </c>
      <c r="C91" s="2088" t="str">
        <f t="shared" si="8"/>
        <v>1987-Q1</v>
      </c>
      <c r="D91" s="211">
        <v>1987</v>
      </c>
      <c r="E91" s="252">
        <v>3630</v>
      </c>
      <c r="F91" s="252">
        <v>2800</v>
      </c>
      <c r="G91" s="252">
        <f t="shared" si="13"/>
        <v>3215</v>
      </c>
      <c r="I91" s="2088">
        <v>32142</v>
      </c>
      <c r="J91" s="230">
        <v>1147000</v>
      </c>
      <c r="K91" s="278">
        <f>AVERAGE(J87,J91)</f>
        <v>1147000</v>
      </c>
      <c r="L91" s="252">
        <f>K91*E91</f>
        <v>4163610000</v>
      </c>
      <c r="M91" s="252">
        <f>K91*F91</f>
        <v>3211600000</v>
      </c>
      <c r="N91" s="252">
        <f t="shared" si="9"/>
        <v>3687605000</v>
      </c>
      <c r="P91" s="252">
        <v>2841659000</v>
      </c>
      <c r="Q91" s="252">
        <f>AVERAGE(P87,P91)</f>
        <v>2609728000</v>
      </c>
      <c r="S91" s="348">
        <f>L91/Q91</f>
        <v>1.5954191394658754</v>
      </c>
      <c r="T91" s="348">
        <f>M91/Q91</f>
        <v>1.2306263334723007</v>
      </c>
      <c r="U91" s="1043">
        <f t="shared" si="10"/>
        <v>1.4130227364690882</v>
      </c>
      <c r="V91" s="2088" t="str">
        <f>Table245[[#This Row],[Column3]]</f>
        <v>1987-Q1</v>
      </c>
    </row>
    <row r="92" spans="1:22" x14ac:dyDescent="0.3">
      <c r="A92" s="211">
        <f t="shared" si="11"/>
        <v>1987</v>
      </c>
      <c r="B92" s="211" t="str">
        <f t="shared" si="12"/>
        <v>Q2</v>
      </c>
      <c r="C92" s="2088" t="str">
        <f t="shared" si="8"/>
        <v>1987-Q2</v>
      </c>
      <c r="E92" s="252">
        <v>3530</v>
      </c>
      <c r="F92" s="252">
        <v>3300</v>
      </c>
      <c r="G92" s="252">
        <f t="shared" si="13"/>
        <v>3415</v>
      </c>
      <c r="J92" s="230"/>
      <c r="L92" s="252">
        <f>K91*E92</f>
        <v>4048910000</v>
      </c>
      <c r="M92" s="252">
        <f>K91*F92</f>
        <v>3785100000</v>
      </c>
      <c r="N92" s="252">
        <f t="shared" si="9"/>
        <v>3917005000</v>
      </c>
      <c r="P92" s="252"/>
      <c r="Q92" s="252"/>
      <c r="S92" s="348">
        <f>L92/Q91</f>
        <v>1.5514681989847219</v>
      </c>
      <c r="T92" s="348">
        <f>M92/Q91</f>
        <v>1.4503810358780684</v>
      </c>
      <c r="U92" s="1043">
        <f t="shared" si="10"/>
        <v>1.5009246174313953</v>
      </c>
      <c r="V92" s="2088" t="str">
        <f>Table245[[#This Row],[Column3]]</f>
        <v>1987-Q2</v>
      </c>
    </row>
    <row r="93" spans="1:22" x14ac:dyDescent="0.3">
      <c r="A93" s="211">
        <f t="shared" si="11"/>
        <v>1987</v>
      </c>
      <c r="B93" s="211" t="str">
        <f t="shared" si="12"/>
        <v>Q3</v>
      </c>
      <c r="C93" s="2088" t="str">
        <f t="shared" si="8"/>
        <v>1987-Q3</v>
      </c>
      <c r="E93" s="252">
        <v>4220</v>
      </c>
      <c r="F93" s="252">
        <v>3420</v>
      </c>
      <c r="G93" s="252">
        <f t="shared" si="13"/>
        <v>3820</v>
      </c>
      <c r="J93" s="230"/>
      <c r="L93" s="252">
        <f>K91*E93</f>
        <v>4840340000</v>
      </c>
      <c r="M93" s="252">
        <f>K91*F93</f>
        <v>3922740000</v>
      </c>
      <c r="N93" s="252">
        <f t="shared" si="9"/>
        <v>4381540000</v>
      </c>
      <c r="P93" s="252"/>
      <c r="Q93" s="252"/>
      <c r="S93" s="348">
        <f>L93/Q91</f>
        <v>1.8547296883046815</v>
      </c>
      <c r="T93" s="348">
        <f>M93/Q91</f>
        <v>1.5031221644554529</v>
      </c>
      <c r="U93" s="1043">
        <f t="shared" si="10"/>
        <v>1.6789259263800673</v>
      </c>
      <c r="V93" s="2088" t="str">
        <f>Table245[[#This Row],[Column3]]</f>
        <v>1987-Q3</v>
      </c>
    </row>
    <row r="94" spans="1:22" x14ac:dyDescent="0.3">
      <c r="A94" s="211">
        <f t="shared" si="11"/>
        <v>1987</v>
      </c>
      <c r="B94" s="211" t="str">
        <f t="shared" si="12"/>
        <v>Q4</v>
      </c>
      <c r="C94" s="2088" t="str">
        <f t="shared" si="8"/>
        <v>1987-Q4</v>
      </c>
      <c r="E94" s="252">
        <v>4270</v>
      </c>
      <c r="F94" s="252">
        <v>2550</v>
      </c>
      <c r="G94" s="252">
        <f t="shared" si="13"/>
        <v>3410</v>
      </c>
      <c r="J94" s="230"/>
      <c r="L94" s="252">
        <f>K91*E94</f>
        <v>4897690000</v>
      </c>
      <c r="M94" s="252">
        <f>K91*F94</f>
        <v>2924850000</v>
      </c>
      <c r="N94" s="252">
        <f t="shared" si="9"/>
        <v>3911270000</v>
      </c>
      <c r="P94" s="252"/>
      <c r="Q94" s="252"/>
      <c r="S94" s="348">
        <f>L94/Q91</f>
        <v>1.8767051585452583</v>
      </c>
      <c r="T94" s="348">
        <f>M94/Q91</f>
        <v>1.1207489822694165</v>
      </c>
      <c r="U94" s="1043">
        <f t="shared" si="10"/>
        <v>1.4987270704073374</v>
      </c>
      <c r="V94" s="2088" t="str">
        <f>Table245[[#This Row],[Column3]]</f>
        <v>1987-Q4</v>
      </c>
    </row>
    <row r="95" spans="1:22" x14ac:dyDescent="0.3">
      <c r="A95" s="211">
        <f t="shared" si="11"/>
        <v>1988</v>
      </c>
      <c r="B95" s="211" t="str">
        <f t="shared" si="12"/>
        <v>Q1</v>
      </c>
      <c r="C95" s="2088" t="str">
        <f t="shared" si="8"/>
        <v>1988-Q1</v>
      </c>
      <c r="D95" s="211">
        <v>1988</v>
      </c>
      <c r="E95" s="252">
        <v>3500</v>
      </c>
      <c r="F95" s="252">
        <v>3000</v>
      </c>
      <c r="G95" s="252">
        <f t="shared" si="13"/>
        <v>3250</v>
      </c>
      <c r="I95" s="2088">
        <v>32508</v>
      </c>
      <c r="J95" s="230">
        <v>1146000</v>
      </c>
      <c r="K95" s="278">
        <f>AVERAGE(J91,J95)</f>
        <v>1146500</v>
      </c>
      <c r="L95" s="252">
        <f>K95*E95</f>
        <v>4012750000</v>
      </c>
      <c r="M95" s="252">
        <f>K95*F95</f>
        <v>3439500000</v>
      </c>
      <c r="N95" s="252">
        <f t="shared" si="9"/>
        <v>3726125000</v>
      </c>
      <c r="P95" s="252">
        <v>3410108000</v>
      </c>
      <c r="Q95" s="252">
        <f>AVERAGE(P91,P95)</f>
        <v>3125883500</v>
      </c>
      <c r="S95" s="348">
        <f>L95/Q95</f>
        <v>1.2837170675106735</v>
      </c>
      <c r="T95" s="348">
        <f>M95/Q95</f>
        <v>1.1003289150091486</v>
      </c>
      <c r="U95" s="1043">
        <f t="shared" si="10"/>
        <v>1.1920229912599112</v>
      </c>
      <c r="V95" s="2088" t="str">
        <f>Table245[[#This Row],[Column3]]</f>
        <v>1988-Q1</v>
      </c>
    </row>
    <row r="96" spans="1:22" x14ac:dyDescent="0.3">
      <c r="A96" s="211">
        <f t="shared" si="11"/>
        <v>1988</v>
      </c>
      <c r="B96" s="211" t="str">
        <f t="shared" si="12"/>
        <v>Q2</v>
      </c>
      <c r="C96" s="2088" t="str">
        <f t="shared" si="8"/>
        <v>1988-Q2</v>
      </c>
      <c r="E96" s="252">
        <v>4150</v>
      </c>
      <c r="F96" s="252">
        <v>3400</v>
      </c>
      <c r="G96" s="252">
        <f t="shared" si="13"/>
        <v>3775</v>
      </c>
      <c r="J96" s="230"/>
      <c r="L96" s="252">
        <f>K95*E96</f>
        <v>4757975000</v>
      </c>
      <c r="M96" s="252">
        <f>K95*F96</f>
        <v>3898100000</v>
      </c>
      <c r="N96" s="252">
        <f t="shared" si="9"/>
        <v>4328037500</v>
      </c>
      <c r="P96" s="252"/>
      <c r="Q96" s="252"/>
      <c r="S96" s="348">
        <f>L96/Q95</f>
        <v>1.5221216657626555</v>
      </c>
      <c r="T96" s="348">
        <f>M96/Q95</f>
        <v>1.2470394370103683</v>
      </c>
      <c r="U96" s="1043">
        <f t="shared" si="10"/>
        <v>1.3845805513865119</v>
      </c>
      <c r="V96" s="2088" t="str">
        <f>Table245[[#This Row],[Column3]]</f>
        <v>1988-Q2</v>
      </c>
    </row>
    <row r="97" spans="1:22" x14ac:dyDescent="0.3">
      <c r="A97" s="211">
        <f t="shared" si="11"/>
        <v>1988</v>
      </c>
      <c r="B97" s="211" t="str">
        <f t="shared" si="12"/>
        <v>Q3</v>
      </c>
      <c r="C97" s="2088" t="str">
        <f t="shared" si="8"/>
        <v>1988-Q3</v>
      </c>
      <c r="E97" s="252">
        <v>5000</v>
      </c>
      <c r="F97" s="252">
        <v>4040</v>
      </c>
      <c r="G97" s="252">
        <f t="shared" si="13"/>
        <v>4520</v>
      </c>
      <c r="J97" s="230"/>
      <c r="L97" s="252">
        <f>K95*E97</f>
        <v>5732500000</v>
      </c>
      <c r="M97" s="252">
        <f>K95*F97</f>
        <v>4631860000</v>
      </c>
      <c r="N97" s="252">
        <f t="shared" si="9"/>
        <v>5182180000</v>
      </c>
      <c r="P97" s="252"/>
      <c r="Q97" s="252"/>
      <c r="S97" s="348">
        <f>L97/Q95</f>
        <v>1.8338815250152476</v>
      </c>
      <c r="T97" s="348">
        <f>M97/Q95</f>
        <v>1.4817762722123202</v>
      </c>
      <c r="U97" s="1043">
        <f t="shared" si="10"/>
        <v>1.6578288986137839</v>
      </c>
      <c r="V97" s="2088" t="str">
        <f>Table245[[#This Row],[Column3]]</f>
        <v>1988-Q3</v>
      </c>
    </row>
    <row r="98" spans="1:22" x14ac:dyDescent="0.3">
      <c r="A98" s="211">
        <f t="shared" si="11"/>
        <v>1988</v>
      </c>
      <c r="B98" s="211" t="str">
        <f t="shared" si="12"/>
        <v>Q4</v>
      </c>
      <c r="C98" s="2088" t="str">
        <f t="shared" si="8"/>
        <v>1988-Q4</v>
      </c>
      <c r="E98" s="252">
        <v>5050</v>
      </c>
      <c r="F98" s="252">
        <v>4600</v>
      </c>
      <c r="G98" s="252">
        <f t="shared" si="13"/>
        <v>4825</v>
      </c>
      <c r="J98" s="230"/>
      <c r="L98" s="252">
        <f>K95*E98</f>
        <v>5789825000</v>
      </c>
      <c r="M98" s="252">
        <f>K95*F98</f>
        <v>5273900000</v>
      </c>
      <c r="N98" s="252">
        <f t="shared" si="9"/>
        <v>5531862500</v>
      </c>
      <c r="P98" s="252"/>
      <c r="Q98" s="252"/>
      <c r="S98" s="348">
        <f>L98/Q95</f>
        <v>1.8522203402654001</v>
      </c>
      <c r="T98" s="348">
        <f>M98/Q95</f>
        <v>1.6871710030140279</v>
      </c>
      <c r="U98" s="1043">
        <f t="shared" si="10"/>
        <v>1.7696956716397141</v>
      </c>
      <c r="V98" s="2088" t="str">
        <f>Table245[[#This Row],[Column3]]</f>
        <v>1988-Q4</v>
      </c>
    </row>
    <row r="99" spans="1:22" x14ac:dyDescent="0.3">
      <c r="A99" s="211">
        <f t="shared" si="11"/>
        <v>1989</v>
      </c>
      <c r="B99" s="211" t="str">
        <f t="shared" si="12"/>
        <v>Q1</v>
      </c>
      <c r="C99" s="2088" t="str">
        <f t="shared" si="8"/>
        <v>1989-Q1</v>
      </c>
      <c r="D99" s="211">
        <v>1989</v>
      </c>
      <c r="E99" s="252">
        <v>5025</v>
      </c>
      <c r="F99" s="252">
        <v>4625</v>
      </c>
      <c r="G99" s="252">
        <f t="shared" si="13"/>
        <v>4825</v>
      </c>
      <c r="I99" s="2088">
        <v>32873</v>
      </c>
      <c r="J99" s="230">
        <v>1146000</v>
      </c>
      <c r="K99" s="278">
        <f>AVERAGE(J95,J99)</f>
        <v>1146000</v>
      </c>
      <c r="L99" s="252">
        <f>K99*E99</f>
        <v>5758650000</v>
      </c>
      <c r="M99" s="252">
        <f>K99*F99</f>
        <v>5300250000</v>
      </c>
      <c r="N99" s="252">
        <f t="shared" si="9"/>
        <v>5529450000</v>
      </c>
      <c r="P99" s="252">
        <v>4925126000</v>
      </c>
      <c r="Q99" s="252">
        <f>AVERAGE(P95,P99)</f>
        <v>4167617000</v>
      </c>
      <c r="S99" s="348">
        <f>L99/Q99</f>
        <v>1.3817608479857915</v>
      </c>
      <c r="T99" s="348">
        <f>M99/Q99</f>
        <v>1.2717699347132907</v>
      </c>
      <c r="U99" s="1043">
        <f t="shared" si="10"/>
        <v>1.3267653913495412</v>
      </c>
      <c r="V99" s="2088" t="str">
        <f>Table245[[#This Row],[Column3]]</f>
        <v>1989-Q1</v>
      </c>
    </row>
    <row r="100" spans="1:22" x14ac:dyDescent="0.3">
      <c r="A100" s="211">
        <f t="shared" si="11"/>
        <v>1989</v>
      </c>
      <c r="B100" s="211" t="str">
        <f t="shared" si="12"/>
        <v>Q2</v>
      </c>
      <c r="C100" s="2088" t="str">
        <f t="shared" si="8"/>
        <v>1989-Q2</v>
      </c>
      <c r="E100" s="252">
        <v>7000</v>
      </c>
      <c r="F100" s="252">
        <v>4950</v>
      </c>
      <c r="G100" s="252">
        <f t="shared" si="13"/>
        <v>5975</v>
      </c>
      <c r="J100" s="230"/>
      <c r="L100" s="252">
        <f>K99*E100</f>
        <v>8022000000</v>
      </c>
      <c r="M100" s="252">
        <f>K99*F100</f>
        <v>5672700000</v>
      </c>
      <c r="N100" s="252">
        <f t="shared" si="9"/>
        <v>6847350000</v>
      </c>
      <c r="P100" s="252"/>
      <c r="Q100" s="252"/>
      <c r="S100" s="348">
        <f>L100/Q99</f>
        <v>1.9248409822687642</v>
      </c>
      <c r="T100" s="348">
        <f>M100/Q99</f>
        <v>1.3611375517471975</v>
      </c>
      <c r="U100" s="1043">
        <f t="shared" si="10"/>
        <v>1.6429892670079809</v>
      </c>
      <c r="V100" s="2088" t="str">
        <f>Table245[[#This Row],[Column3]]</f>
        <v>1989-Q2</v>
      </c>
    </row>
    <row r="101" spans="1:22" x14ac:dyDescent="0.3">
      <c r="A101" s="211">
        <f t="shared" si="11"/>
        <v>1989</v>
      </c>
      <c r="B101" s="211" t="str">
        <f t="shared" si="12"/>
        <v>Q3</v>
      </c>
      <c r="C101" s="2088" t="str">
        <f t="shared" si="8"/>
        <v>1989-Q3</v>
      </c>
      <c r="E101" s="252">
        <v>8750</v>
      </c>
      <c r="F101" s="252">
        <v>6600</v>
      </c>
      <c r="G101" s="252">
        <f t="shared" si="13"/>
        <v>7675</v>
      </c>
      <c r="J101" s="230"/>
      <c r="L101" s="252">
        <f>K99*E101</f>
        <v>10027500000</v>
      </c>
      <c r="M101" s="252">
        <f>K99*F101</f>
        <v>7563600000</v>
      </c>
      <c r="N101" s="252">
        <f t="shared" si="9"/>
        <v>8795550000</v>
      </c>
      <c r="P101" s="252"/>
      <c r="Q101" s="252"/>
      <c r="S101" s="348">
        <f>L101/Q99</f>
        <v>2.4060512278359552</v>
      </c>
      <c r="T101" s="348">
        <f>M101/Q99</f>
        <v>1.8148500689962632</v>
      </c>
      <c r="U101" s="1043">
        <f t="shared" si="10"/>
        <v>2.1104506484161094</v>
      </c>
      <c r="V101" s="2088" t="str">
        <f>Table245[[#This Row],[Column3]]</f>
        <v>1989-Q3</v>
      </c>
    </row>
    <row r="102" spans="1:22" x14ac:dyDescent="0.3">
      <c r="A102" s="211">
        <f t="shared" si="11"/>
        <v>1989</v>
      </c>
      <c r="B102" s="211" t="str">
        <f t="shared" si="12"/>
        <v>Q4</v>
      </c>
      <c r="C102" s="2088" t="str">
        <f t="shared" si="8"/>
        <v>1989-Q4</v>
      </c>
      <c r="E102" s="252">
        <v>8900</v>
      </c>
      <c r="F102" s="252">
        <v>7950</v>
      </c>
      <c r="G102" s="252">
        <f t="shared" si="13"/>
        <v>8425</v>
      </c>
      <c r="J102" s="230"/>
      <c r="L102" s="252">
        <f>K99*E102</f>
        <v>10199400000</v>
      </c>
      <c r="M102" s="252">
        <f>K99*F102</f>
        <v>9110700000</v>
      </c>
      <c r="N102" s="252">
        <f t="shared" si="9"/>
        <v>9655050000</v>
      </c>
      <c r="P102" s="252"/>
      <c r="Q102" s="252"/>
      <c r="S102" s="348">
        <f>L102/Q99</f>
        <v>2.447297820313143</v>
      </c>
      <c r="T102" s="348">
        <f>M102/Q99</f>
        <v>2.1860694012909536</v>
      </c>
      <c r="U102" s="1043">
        <f t="shared" si="10"/>
        <v>2.3166836108020483</v>
      </c>
      <c r="V102" s="2088" t="str">
        <f>Table245[[#This Row],[Column3]]</f>
        <v>1989-Q4</v>
      </c>
    </row>
    <row r="103" spans="1:22" x14ac:dyDescent="0.3">
      <c r="A103" s="211">
        <f t="shared" si="11"/>
        <v>1990</v>
      </c>
      <c r="B103" s="211" t="str">
        <f t="shared" si="12"/>
        <v>Q1</v>
      </c>
      <c r="C103" s="2088" t="str">
        <f t="shared" si="8"/>
        <v>1990-Q1</v>
      </c>
      <c r="D103" s="211">
        <v>1990</v>
      </c>
      <c r="E103" s="252">
        <v>8725</v>
      </c>
      <c r="F103" s="252">
        <v>6675</v>
      </c>
      <c r="G103" s="252">
        <f t="shared" si="13"/>
        <v>7700</v>
      </c>
      <c r="I103" s="2088">
        <v>33238</v>
      </c>
      <c r="J103" s="230">
        <v>1146000</v>
      </c>
      <c r="K103" s="278">
        <f>AVERAGE(J99,J103)</f>
        <v>1146000</v>
      </c>
      <c r="L103" s="252">
        <f>K103*E103</f>
        <v>9998850000</v>
      </c>
      <c r="M103" s="252">
        <f>K103*F103</f>
        <v>7649550000</v>
      </c>
      <c r="N103" s="252">
        <f t="shared" si="9"/>
        <v>8824200000</v>
      </c>
      <c r="P103" s="252">
        <v>5287454000</v>
      </c>
      <c r="Q103" s="252">
        <f>AVERAGE(P99,P103)</f>
        <v>5106290000</v>
      </c>
      <c r="S103" s="348">
        <f>L103/Q103</f>
        <v>1.9581437795346524</v>
      </c>
      <c r="T103" s="348">
        <f>M103/Q103</f>
        <v>1.4980641522514389</v>
      </c>
      <c r="U103" s="1043">
        <f t="shared" si="10"/>
        <v>1.7281039658930455</v>
      </c>
      <c r="V103" s="2088" t="str">
        <f>Table245[[#This Row],[Column3]]</f>
        <v>1990-Q1</v>
      </c>
    </row>
    <row r="104" spans="1:22" x14ac:dyDescent="0.3">
      <c r="A104" s="211">
        <f t="shared" si="11"/>
        <v>1990</v>
      </c>
      <c r="B104" s="211" t="str">
        <f t="shared" si="12"/>
        <v>Q2</v>
      </c>
      <c r="C104" s="2088" t="str">
        <f t="shared" si="8"/>
        <v>1990-Q2</v>
      </c>
      <c r="E104" s="252">
        <v>7675</v>
      </c>
      <c r="F104" s="252">
        <v>6600</v>
      </c>
      <c r="G104" s="252">
        <f t="shared" si="13"/>
        <v>7137.5</v>
      </c>
      <c r="J104" s="230"/>
      <c r="L104" s="252">
        <f>K103*E104</f>
        <v>8795550000</v>
      </c>
      <c r="M104" s="252">
        <f>K103*F104</f>
        <v>7563600000</v>
      </c>
      <c r="N104" s="252">
        <f t="shared" si="9"/>
        <v>8179575000</v>
      </c>
      <c r="P104" s="252"/>
      <c r="Q104" s="252"/>
      <c r="S104" s="348">
        <f>L104/Q103</f>
        <v>1.7224932387310552</v>
      </c>
      <c r="T104" s="348">
        <f>M104/Q103</f>
        <v>1.4812319707654678</v>
      </c>
      <c r="U104" s="1043">
        <f t="shared" si="10"/>
        <v>1.6018626047482614</v>
      </c>
      <c r="V104" s="2088" t="str">
        <f>Table245[[#This Row],[Column3]]</f>
        <v>1990-Q2</v>
      </c>
    </row>
    <row r="105" spans="1:22" x14ac:dyDescent="0.3">
      <c r="A105" s="211">
        <f t="shared" si="11"/>
        <v>1990</v>
      </c>
      <c r="B105" s="211" t="str">
        <f t="shared" si="12"/>
        <v>Q3</v>
      </c>
      <c r="C105" s="2088" t="str">
        <f t="shared" si="8"/>
        <v>1990-Q3</v>
      </c>
      <c r="E105" s="252">
        <v>7325</v>
      </c>
      <c r="F105" s="252">
        <v>5500</v>
      </c>
      <c r="G105" s="252">
        <f t="shared" si="13"/>
        <v>6412.5</v>
      </c>
      <c r="J105" s="230"/>
      <c r="L105" s="252">
        <f>K103*E105</f>
        <v>8394450000</v>
      </c>
      <c r="M105" s="252">
        <f>K103*F105</f>
        <v>6303000000</v>
      </c>
      <c r="N105" s="252">
        <f t="shared" si="9"/>
        <v>7348725000</v>
      </c>
      <c r="P105" s="252"/>
      <c r="Q105" s="252"/>
      <c r="S105" s="348">
        <f>L105/Q103</f>
        <v>1.6439430584631896</v>
      </c>
      <c r="T105" s="348">
        <f>M105/Q103</f>
        <v>1.2343599756378898</v>
      </c>
      <c r="U105" s="1043">
        <f t="shared" si="10"/>
        <v>1.4391515170505396</v>
      </c>
      <c r="V105" s="2088" t="str">
        <f>Table245[[#This Row],[Column3]]</f>
        <v>1990-Q3</v>
      </c>
    </row>
    <row r="106" spans="1:22" x14ac:dyDescent="0.3">
      <c r="A106" s="211">
        <f t="shared" si="11"/>
        <v>1990</v>
      </c>
      <c r="B106" s="211" t="str">
        <f t="shared" si="12"/>
        <v>Q4</v>
      </c>
      <c r="C106" s="2088" t="str">
        <f t="shared" si="8"/>
        <v>1990-Q4</v>
      </c>
      <c r="E106" s="252">
        <v>6900</v>
      </c>
      <c r="F106" s="252">
        <v>5500</v>
      </c>
      <c r="G106" s="252">
        <f t="shared" si="13"/>
        <v>6200</v>
      </c>
      <c r="J106" s="230"/>
      <c r="L106" s="252">
        <f>K103*E106</f>
        <v>7907400000</v>
      </c>
      <c r="M106" s="252">
        <f>K103*F106</f>
        <v>6303000000</v>
      </c>
      <c r="N106" s="252">
        <f t="shared" si="9"/>
        <v>7105200000</v>
      </c>
      <c r="P106" s="252"/>
      <c r="Q106" s="252"/>
      <c r="S106" s="348">
        <f>L106/Q103</f>
        <v>1.5485606967093526</v>
      </c>
      <c r="T106" s="348">
        <f>M106/Q103</f>
        <v>1.2343599756378898</v>
      </c>
      <c r="U106" s="1043">
        <f t="shared" si="10"/>
        <v>1.3914603361736213</v>
      </c>
      <c r="V106" s="2088" t="str">
        <f>Table245[[#This Row],[Column3]]</f>
        <v>1990-Q4</v>
      </c>
    </row>
    <row r="107" spans="1:22" x14ac:dyDescent="0.3">
      <c r="A107" s="211">
        <f t="shared" si="11"/>
        <v>1991</v>
      </c>
      <c r="B107" s="211" t="str">
        <f t="shared" si="12"/>
        <v>Q1</v>
      </c>
      <c r="C107" s="2088" t="str">
        <f t="shared" si="8"/>
        <v>1991-Q1</v>
      </c>
      <c r="D107" s="211">
        <v>1991</v>
      </c>
      <c r="E107" s="252">
        <v>8275</v>
      </c>
      <c r="F107" s="252">
        <v>6550</v>
      </c>
      <c r="G107" s="252">
        <f t="shared" si="13"/>
        <v>7412.5</v>
      </c>
      <c r="I107" s="2088">
        <v>33603</v>
      </c>
      <c r="J107" s="230">
        <v>1146000</v>
      </c>
      <c r="K107" s="278">
        <f>AVERAGE(J103,J107)</f>
        <v>1146000</v>
      </c>
      <c r="L107" s="252">
        <f>K107*E107</f>
        <v>9483150000</v>
      </c>
      <c r="M107" s="252">
        <f>K107*F107</f>
        <v>7506300000</v>
      </c>
      <c r="N107" s="252">
        <f t="shared" si="9"/>
        <v>8494725000</v>
      </c>
      <c r="P107" s="252">
        <v>7379918000</v>
      </c>
      <c r="Q107" s="252">
        <f>AVERAGE(P103,P107)</f>
        <v>6333686000</v>
      </c>
      <c r="S107" s="348">
        <f>L107/Q107</f>
        <v>1.4972561001603173</v>
      </c>
      <c r="T107" s="348">
        <f>M107/Q107</f>
        <v>1.1851392696133025</v>
      </c>
      <c r="U107" s="1043">
        <f t="shared" si="10"/>
        <v>1.3411976848868099</v>
      </c>
      <c r="V107" s="2088" t="str">
        <f>Table245[[#This Row],[Column3]]</f>
        <v>1991-Q1</v>
      </c>
    </row>
    <row r="108" spans="1:22" x14ac:dyDescent="0.3">
      <c r="A108" s="211">
        <f t="shared" si="11"/>
        <v>1991</v>
      </c>
      <c r="B108" s="211" t="str">
        <f t="shared" si="12"/>
        <v>Q2</v>
      </c>
      <c r="C108" s="2088" t="str">
        <f t="shared" si="8"/>
        <v>1991-Q2</v>
      </c>
      <c r="E108" s="252">
        <v>8750</v>
      </c>
      <c r="F108" s="252">
        <v>7760</v>
      </c>
      <c r="G108" s="252">
        <f t="shared" si="13"/>
        <v>8255</v>
      </c>
      <c r="J108" s="230"/>
      <c r="L108" s="252">
        <f>K107*E108</f>
        <v>10027500000</v>
      </c>
      <c r="M108" s="252">
        <f>K107*F108</f>
        <v>8892960000</v>
      </c>
      <c r="N108" s="252">
        <f t="shared" si="9"/>
        <v>9460230000</v>
      </c>
      <c r="P108" s="252"/>
      <c r="Q108" s="252"/>
      <c r="S108" s="348">
        <f>L108/Q107</f>
        <v>1.5832013143689156</v>
      </c>
      <c r="T108" s="348">
        <f>M108/Q107</f>
        <v>1.4040733942288899</v>
      </c>
      <c r="U108" s="1043">
        <f t="shared" si="10"/>
        <v>1.4936373542989028</v>
      </c>
      <c r="V108" s="2088" t="str">
        <f>Table245[[#This Row],[Column3]]</f>
        <v>1991-Q2</v>
      </c>
    </row>
    <row r="109" spans="1:22" x14ac:dyDescent="0.3">
      <c r="A109" s="211">
        <f t="shared" si="11"/>
        <v>1991</v>
      </c>
      <c r="B109" s="211" t="str">
        <f t="shared" si="12"/>
        <v>Q3</v>
      </c>
      <c r="C109" s="2088" t="str">
        <f t="shared" si="8"/>
        <v>1991-Q3</v>
      </c>
      <c r="E109" s="252">
        <v>9000</v>
      </c>
      <c r="F109" s="252">
        <v>8325</v>
      </c>
      <c r="G109" s="252">
        <f t="shared" si="13"/>
        <v>8662.5</v>
      </c>
      <c r="J109" s="230"/>
      <c r="L109" s="252">
        <f>K107*E109</f>
        <v>10314000000</v>
      </c>
      <c r="M109" s="252">
        <f>K107*F109</f>
        <v>9540450000</v>
      </c>
      <c r="N109" s="252">
        <f t="shared" si="9"/>
        <v>9927225000</v>
      </c>
      <c r="P109" s="252"/>
      <c r="Q109" s="252"/>
      <c r="S109" s="348">
        <f>L109/Q107</f>
        <v>1.6284356376365989</v>
      </c>
      <c r="T109" s="348">
        <f>M109/Q107</f>
        <v>1.506302964813854</v>
      </c>
      <c r="U109" s="1043">
        <f t="shared" si="10"/>
        <v>1.5673693012252263</v>
      </c>
      <c r="V109" s="2088" t="str">
        <f>Table245[[#This Row],[Column3]]</f>
        <v>1991-Q3</v>
      </c>
    </row>
    <row r="110" spans="1:22" x14ac:dyDescent="0.3">
      <c r="A110" s="211">
        <f t="shared" si="11"/>
        <v>1991</v>
      </c>
      <c r="B110" s="211" t="str">
        <f t="shared" si="12"/>
        <v>Q4</v>
      </c>
      <c r="C110" s="2088" t="str">
        <f t="shared" si="8"/>
        <v>1991-Q4</v>
      </c>
      <c r="E110" s="252">
        <v>9125</v>
      </c>
      <c r="F110" s="252">
        <v>8150</v>
      </c>
      <c r="G110" s="252">
        <f t="shared" si="13"/>
        <v>8637.5</v>
      </c>
      <c r="J110" s="230"/>
      <c r="L110" s="252">
        <f>K107*E110</f>
        <v>10457250000</v>
      </c>
      <c r="M110" s="252">
        <f>K107*F110</f>
        <v>9339900000</v>
      </c>
      <c r="N110" s="252">
        <f t="shared" si="9"/>
        <v>9898575000</v>
      </c>
      <c r="P110" s="252"/>
      <c r="Q110" s="252"/>
      <c r="S110" s="348">
        <f>L110/Q107</f>
        <v>1.6510527992704407</v>
      </c>
      <c r="T110" s="348">
        <f>M110/Q107</f>
        <v>1.4746389385264758</v>
      </c>
      <c r="U110" s="1043">
        <f t="shared" si="10"/>
        <v>1.5628458688984583</v>
      </c>
      <c r="V110" s="2088" t="str">
        <f>Table245[[#This Row],[Column3]]</f>
        <v>1991-Q4</v>
      </c>
    </row>
    <row r="111" spans="1:22" x14ac:dyDescent="0.3">
      <c r="A111" s="211">
        <f t="shared" si="11"/>
        <v>1992</v>
      </c>
      <c r="B111" s="211" t="str">
        <f t="shared" si="12"/>
        <v>Q1</v>
      </c>
      <c r="C111" s="2088" t="str">
        <f t="shared" si="8"/>
        <v>1992-Q1</v>
      </c>
      <c r="D111" s="211">
        <v>1992</v>
      </c>
      <c r="E111" s="252">
        <v>9000</v>
      </c>
      <c r="F111" s="252">
        <v>8575</v>
      </c>
      <c r="G111" s="252">
        <f t="shared" si="13"/>
        <v>8787.5</v>
      </c>
      <c r="I111" s="2088">
        <v>33969</v>
      </c>
      <c r="J111" s="230">
        <v>1149000</v>
      </c>
      <c r="K111" s="278">
        <f>AVERAGE(J107,J111)</f>
        <v>1147500</v>
      </c>
      <c r="L111" s="252">
        <f>K111*E111</f>
        <v>10327500000</v>
      </c>
      <c r="M111" s="252">
        <f>K111*F111</f>
        <v>9839812500</v>
      </c>
      <c r="N111" s="252">
        <f t="shared" si="9"/>
        <v>10083656250</v>
      </c>
      <c r="P111" s="252">
        <v>8896331000</v>
      </c>
      <c r="Q111" s="252">
        <f>AVERAGE(P107,P111)</f>
        <v>8138124500</v>
      </c>
      <c r="S111" s="348">
        <f>L111/Q111</f>
        <v>1.2690270344229804</v>
      </c>
      <c r="T111" s="348">
        <f>M111/Q111</f>
        <v>1.2091007577974509</v>
      </c>
      <c r="U111" s="1043">
        <f t="shared" si="10"/>
        <v>1.2390638961102156</v>
      </c>
      <c r="V111" s="2088" t="str">
        <f>Table245[[#This Row],[Column3]]</f>
        <v>1992-Q1</v>
      </c>
    </row>
    <row r="112" spans="1:22" x14ac:dyDescent="0.3">
      <c r="A112" s="211">
        <f t="shared" si="11"/>
        <v>1992</v>
      </c>
      <c r="B112" s="211" t="str">
        <f t="shared" si="12"/>
        <v>Q2</v>
      </c>
      <c r="C112" s="2088" t="str">
        <f t="shared" si="8"/>
        <v>1992-Q2</v>
      </c>
      <c r="E112" s="252">
        <v>9300</v>
      </c>
      <c r="F112" s="252">
        <v>8850</v>
      </c>
      <c r="G112" s="252">
        <f t="shared" si="13"/>
        <v>9075</v>
      </c>
      <c r="J112" s="230"/>
      <c r="L112" s="252">
        <f>K111*E112</f>
        <v>10671750000</v>
      </c>
      <c r="M112" s="252">
        <f>K111*F112</f>
        <v>10155375000</v>
      </c>
      <c r="N112" s="252">
        <f t="shared" si="9"/>
        <v>10413562500</v>
      </c>
      <c r="P112" s="252"/>
      <c r="Q112" s="252"/>
      <c r="S112" s="348">
        <f>L112/Q111</f>
        <v>1.3113279355704131</v>
      </c>
      <c r="T112" s="348">
        <f>M112/Q111</f>
        <v>1.247876583849264</v>
      </c>
      <c r="U112" s="1043">
        <f t="shared" si="10"/>
        <v>1.2796022597098387</v>
      </c>
      <c r="V112" s="2088" t="str">
        <f>Table245[[#This Row],[Column3]]</f>
        <v>1992-Q2</v>
      </c>
    </row>
    <row r="113" spans="1:22" x14ac:dyDescent="0.3">
      <c r="A113" s="211">
        <f t="shared" si="11"/>
        <v>1992</v>
      </c>
      <c r="B113" s="211" t="str">
        <f t="shared" si="12"/>
        <v>Q3</v>
      </c>
      <c r="C113" s="2088" t="str">
        <f t="shared" si="8"/>
        <v>1992-Q3</v>
      </c>
      <c r="E113" s="252">
        <v>9950</v>
      </c>
      <c r="F113" s="252">
        <v>9050</v>
      </c>
      <c r="G113" s="252">
        <f t="shared" si="13"/>
        <v>9500</v>
      </c>
      <c r="J113" s="230"/>
      <c r="L113" s="252">
        <f>K111*E113</f>
        <v>11417625000</v>
      </c>
      <c r="M113" s="252">
        <f>K111*F113</f>
        <v>10384875000</v>
      </c>
      <c r="N113" s="252">
        <f t="shared" si="9"/>
        <v>10901250000</v>
      </c>
      <c r="P113" s="252"/>
      <c r="Q113" s="252"/>
      <c r="S113" s="348">
        <f>L113/Q111</f>
        <v>1.4029798880565172</v>
      </c>
      <c r="T113" s="348">
        <f>M113/Q111</f>
        <v>1.2760771846142192</v>
      </c>
      <c r="U113" s="1043">
        <f t="shared" si="10"/>
        <v>1.3395285363353682</v>
      </c>
      <c r="V113" s="2088" t="str">
        <f>Table245[[#This Row],[Column3]]</f>
        <v>1992-Q3</v>
      </c>
    </row>
    <row r="114" spans="1:22" x14ac:dyDescent="0.3">
      <c r="A114" s="211">
        <f t="shared" si="11"/>
        <v>1992</v>
      </c>
      <c r="B114" s="211" t="str">
        <f t="shared" si="12"/>
        <v>Q4</v>
      </c>
      <c r="C114" s="2088" t="str">
        <f t="shared" si="8"/>
        <v>1992-Q4</v>
      </c>
      <c r="E114" s="252">
        <v>11750</v>
      </c>
      <c r="F114" s="252">
        <v>9150</v>
      </c>
      <c r="G114" s="252">
        <f t="shared" si="13"/>
        <v>10450</v>
      </c>
      <c r="J114" s="230"/>
      <c r="L114" s="252">
        <f>K111*E114</f>
        <v>13483125000</v>
      </c>
      <c r="M114" s="252">
        <f>K111*F114</f>
        <v>10499625000</v>
      </c>
      <c r="N114" s="252">
        <f t="shared" si="9"/>
        <v>11991375000</v>
      </c>
      <c r="P114" s="252"/>
      <c r="Q114" s="252"/>
      <c r="S114" s="348">
        <f>L114/Q111</f>
        <v>1.6567852949411133</v>
      </c>
      <c r="T114" s="348">
        <f>M114/Q111</f>
        <v>1.2901774849966967</v>
      </c>
      <c r="U114" s="1043">
        <f t="shared" si="10"/>
        <v>1.473481389968905</v>
      </c>
      <c r="V114" s="2088" t="str">
        <f>Table245[[#This Row],[Column3]]</f>
        <v>1992-Q4</v>
      </c>
    </row>
    <row r="115" spans="1:22" x14ac:dyDescent="0.3">
      <c r="A115" s="211">
        <f t="shared" si="11"/>
        <v>1993</v>
      </c>
      <c r="B115" s="211" t="str">
        <f t="shared" si="12"/>
        <v>Q1</v>
      </c>
      <c r="C115" s="2088" t="str">
        <f t="shared" si="8"/>
        <v>1993-Q1</v>
      </c>
      <c r="D115" s="211">
        <v>1993</v>
      </c>
      <c r="E115" s="252">
        <v>13200</v>
      </c>
      <c r="F115" s="252">
        <v>11350</v>
      </c>
      <c r="G115" s="252">
        <f t="shared" si="13"/>
        <v>12275</v>
      </c>
      <c r="I115" s="2088">
        <v>34334</v>
      </c>
      <c r="J115" s="230">
        <v>1178000</v>
      </c>
      <c r="K115" s="278">
        <f>AVERAGE(J111,J115)</f>
        <v>1163500</v>
      </c>
      <c r="L115" s="252">
        <f>K115*E115</f>
        <v>15358200000</v>
      </c>
      <c r="M115" s="252">
        <f>K115*F115</f>
        <v>13205725000</v>
      </c>
      <c r="N115" s="252">
        <f t="shared" si="9"/>
        <v>14281962500</v>
      </c>
      <c r="P115" s="252">
        <v>10428374000</v>
      </c>
      <c r="Q115" s="252">
        <f>AVERAGE(P111,P115)</f>
        <v>9662352500</v>
      </c>
      <c r="S115" s="348">
        <f>L115/Q115</f>
        <v>1.5894886881843733</v>
      </c>
      <c r="T115" s="348">
        <f>M115/Q115</f>
        <v>1.3667194402191392</v>
      </c>
      <c r="U115" s="1043">
        <f t="shared" si="10"/>
        <v>1.4781040642017562</v>
      </c>
      <c r="V115" s="2088" t="str">
        <f>Table245[[#This Row],[Column3]]</f>
        <v>1993-Q1</v>
      </c>
    </row>
    <row r="116" spans="1:22" x14ac:dyDescent="0.3">
      <c r="A116" s="211">
        <f t="shared" si="11"/>
        <v>1993</v>
      </c>
      <c r="B116" s="211" t="str">
        <f t="shared" si="12"/>
        <v>Q2</v>
      </c>
      <c r="C116" s="2088" t="str">
        <f t="shared" si="8"/>
        <v>1993-Q2</v>
      </c>
      <c r="E116" s="252">
        <v>16200</v>
      </c>
      <c r="F116" s="252">
        <v>11800</v>
      </c>
      <c r="G116" s="252">
        <f t="shared" si="13"/>
        <v>14000</v>
      </c>
      <c r="J116" s="230"/>
      <c r="L116" s="252">
        <f>K115*E116</f>
        <v>18848700000</v>
      </c>
      <c r="M116" s="252">
        <f>K115*F116</f>
        <v>13729300000</v>
      </c>
      <c r="N116" s="252">
        <f t="shared" si="9"/>
        <v>16289000000</v>
      </c>
      <c r="P116" s="252"/>
      <c r="Q116" s="252"/>
      <c r="S116" s="348">
        <f>L116/Q115</f>
        <v>1.9507361173171855</v>
      </c>
      <c r="T116" s="348">
        <f>M116/Q115</f>
        <v>1.4209065545890609</v>
      </c>
      <c r="U116" s="1043">
        <f t="shared" si="10"/>
        <v>1.6858213359531233</v>
      </c>
      <c r="V116" s="2088" t="str">
        <f>Table245[[#This Row],[Column3]]</f>
        <v>1993-Q2</v>
      </c>
    </row>
    <row r="117" spans="1:22" x14ac:dyDescent="0.3">
      <c r="A117" s="211">
        <f t="shared" si="11"/>
        <v>1993</v>
      </c>
      <c r="B117" s="211" t="str">
        <f t="shared" si="12"/>
        <v>Q3</v>
      </c>
      <c r="C117" s="2088" t="str">
        <f t="shared" si="8"/>
        <v>1993-Q3</v>
      </c>
      <c r="E117" s="252">
        <v>17800</v>
      </c>
      <c r="F117" s="252">
        <v>15100</v>
      </c>
      <c r="G117" s="252">
        <f t="shared" si="13"/>
        <v>16450</v>
      </c>
      <c r="J117" s="230"/>
      <c r="L117" s="252">
        <f>K115*E117</f>
        <v>20710300000</v>
      </c>
      <c r="M117" s="252">
        <f>K115*F117</f>
        <v>17568850000</v>
      </c>
      <c r="N117" s="252">
        <f t="shared" si="9"/>
        <v>19139575000</v>
      </c>
      <c r="P117" s="252"/>
      <c r="Q117" s="252"/>
      <c r="S117" s="348">
        <f>L117/Q115</f>
        <v>2.1434014128546854</v>
      </c>
      <c r="T117" s="348">
        <f>M117/Q115</f>
        <v>1.8182787266351543</v>
      </c>
      <c r="U117" s="1043">
        <f t="shared" si="10"/>
        <v>1.9808400697449198</v>
      </c>
      <c r="V117" s="2088" t="str">
        <f>Table245[[#This Row],[Column3]]</f>
        <v>1993-Q3</v>
      </c>
    </row>
    <row r="118" spans="1:22" x14ac:dyDescent="0.3">
      <c r="A118" s="211">
        <f t="shared" si="11"/>
        <v>1993</v>
      </c>
      <c r="B118" s="211" t="str">
        <f t="shared" si="12"/>
        <v>Q4</v>
      </c>
      <c r="C118" s="2088" t="str">
        <f t="shared" si="8"/>
        <v>1993-Q4</v>
      </c>
      <c r="E118" s="252">
        <v>17800</v>
      </c>
      <c r="F118" s="252">
        <v>16200</v>
      </c>
      <c r="G118" s="252">
        <f t="shared" si="13"/>
        <v>17000</v>
      </c>
      <c r="J118" s="230"/>
      <c r="L118" s="252">
        <f>K115*E118</f>
        <v>20710300000</v>
      </c>
      <c r="M118" s="252">
        <f>K115*F118</f>
        <v>18848700000</v>
      </c>
      <c r="N118" s="252">
        <f t="shared" si="9"/>
        <v>19779500000</v>
      </c>
      <c r="P118" s="252"/>
      <c r="Q118" s="252"/>
      <c r="S118" s="348">
        <f>L118/Q115</f>
        <v>2.1434014128546854</v>
      </c>
      <c r="T118" s="348">
        <f>M118/Q115</f>
        <v>1.9507361173171855</v>
      </c>
      <c r="U118" s="1043">
        <f t="shared" si="10"/>
        <v>2.0470687650859354</v>
      </c>
      <c r="V118" s="2088" t="str">
        <f>Table245[[#This Row],[Column3]]</f>
        <v>1993-Q4</v>
      </c>
    </row>
    <row r="119" spans="1:22" x14ac:dyDescent="0.3">
      <c r="A119" s="211">
        <f t="shared" si="11"/>
        <v>1994</v>
      </c>
      <c r="B119" s="211" t="str">
        <f t="shared" si="12"/>
        <v>Q1</v>
      </c>
      <c r="C119" s="2088" t="str">
        <f t="shared" si="8"/>
        <v>1994-Q1</v>
      </c>
      <c r="D119" s="211">
        <v>1994</v>
      </c>
      <c r="E119" s="252">
        <v>16900</v>
      </c>
      <c r="F119" s="252">
        <v>15150</v>
      </c>
      <c r="G119" s="252">
        <f t="shared" si="13"/>
        <v>16025</v>
      </c>
      <c r="I119" s="2088">
        <v>34699</v>
      </c>
      <c r="J119" s="230">
        <v>1178000</v>
      </c>
      <c r="K119" s="278">
        <f>AVERAGE(J115,J119)</f>
        <v>1178000</v>
      </c>
      <c r="L119" s="252">
        <f>K119*E119</f>
        <v>19908200000</v>
      </c>
      <c r="M119" s="252">
        <f>K119*F119</f>
        <v>17846700000</v>
      </c>
      <c r="N119" s="252">
        <f t="shared" si="9"/>
        <v>18877450000</v>
      </c>
      <c r="P119" s="252">
        <v>11874882000</v>
      </c>
      <c r="Q119" s="252">
        <f>AVERAGE(P115,P119)</f>
        <v>11151628000</v>
      </c>
      <c r="S119" s="348">
        <f>L119/Q119</f>
        <v>1.7852281299196853</v>
      </c>
      <c r="T119" s="348">
        <f>M119/Q119</f>
        <v>1.6003672288924988</v>
      </c>
      <c r="U119" s="1043">
        <f t="shared" si="10"/>
        <v>1.6927976794060919</v>
      </c>
      <c r="V119" s="2088" t="str">
        <f>Table245[[#This Row],[Column3]]</f>
        <v>1994-Q1</v>
      </c>
    </row>
    <row r="120" spans="1:22" x14ac:dyDescent="0.3">
      <c r="A120" s="211">
        <f t="shared" si="11"/>
        <v>1994</v>
      </c>
      <c r="B120" s="211" t="str">
        <f t="shared" si="12"/>
        <v>Q2</v>
      </c>
      <c r="C120" s="2088" t="str">
        <f t="shared" si="8"/>
        <v>1994-Q2</v>
      </c>
      <c r="E120" s="252">
        <v>16700</v>
      </c>
      <c r="F120" s="252">
        <v>15400</v>
      </c>
      <c r="G120" s="252">
        <f t="shared" si="13"/>
        <v>16050</v>
      </c>
      <c r="J120" s="230"/>
      <c r="L120" s="252">
        <f>K119*E120</f>
        <v>19672600000</v>
      </c>
      <c r="M120" s="252">
        <f>K119*F120</f>
        <v>18141200000</v>
      </c>
      <c r="N120" s="252">
        <f t="shared" si="9"/>
        <v>18906900000</v>
      </c>
      <c r="P120" s="252"/>
      <c r="Q120" s="252"/>
      <c r="S120" s="348">
        <f>L120/Q119</f>
        <v>1.7641011698022926</v>
      </c>
      <c r="T120" s="348">
        <f>M120/Q119</f>
        <v>1.6267759290392398</v>
      </c>
      <c r="U120" s="1043">
        <f t="shared" si="10"/>
        <v>1.6954385494207662</v>
      </c>
      <c r="V120" s="2088" t="str">
        <f>Table245[[#This Row],[Column3]]</f>
        <v>1994-Q2</v>
      </c>
    </row>
    <row r="121" spans="1:22" x14ac:dyDescent="0.3">
      <c r="A121" s="211">
        <f t="shared" si="11"/>
        <v>1994</v>
      </c>
      <c r="B121" s="211" t="str">
        <f t="shared" si="12"/>
        <v>Q3</v>
      </c>
      <c r="C121" s="2088" t="str">
        <f t="shared" si="8"/>
        <v>1994-Q3</v>
      </c>
      <c r="E121" s="252">
        <v>19750</v>
      </c>
      <c r="F121" s="252">
        <v>16425</v>
      </c>
      <c r="G121" s="252">
        <f t="shared" si="13"/>
        <v>18087.5</v>
      </c>
      <c r="J121" s="230"/>
      <c r="L121" s="252">
        <f>K119*E121</f>
        <v>23265500000</v>
      </c>
      <c r="M121" s="252">
        <f>K119*F121</f>
        <v>19348650000</v>
      </c>
      <c r="N121" s="252">
        <f t="shared" si="9"/>
        <v>21307075000</v>
      </c>
      <c r="P121" s="252"/>
      <c r="Q121" s="252"/>
      <c r="S121" s="348">
        <f>L121/Q119</f>
        <v>2.0862873115925318</v>
      </c>
      <c r="T121" s="348">
        <f>M121/Q119</f>
        <v>1.7350515996408775</v>
      </c>
      <c r="U121" s="1043">
        <f t="shared" si="10"/>
        <v>1.9106694556167048</v>
      </c>
      <c r="V121" s="2088" t="str">
        <f>Table245[[#This Row],[Column3]]</f>
        <v>1994-Q3</v>
      </c>
    </row>
    <row r="122" spans="1:22" x14ac:dyDescent="0.3">
      <c r="A122" s="211">
        <f t="shared" si="11"/>
        <v>1994</v>
      </c>
      <c r="B122" s="211" t="str">
        <f t="shared" si="12"/>
        <v>Q4</v>
      </c>
      <c r="C122" s="2088" t="str">
        <f t="shared" si="8"/>
        <v>1994-Q4</v>
      </c>
      <c r="E122" s="252">
        <v>20800</v>
      </c>
      <c r="F122" s="252">
        <v>19200</v>
      </c>
      <c r="G122" s="252">
        <f t="shared" si="13"/>
        <v>20000</v>
      </c>
      <c r="J122" s="230"/>
      <c r="L122" s="252">
        <f>K119*E122</f>
        <v>24502400000</v>
      </c>
      <c r="M122" s="252">
        <f>K119*F122</f>
        <v>22617600000</v>
      </c>
      <c r="N122" s="252">
        <f>AVERAGE(L122:M122)</f>
        <v>23560000000</v>
      </c>
      <c r="P122" s="252"/>
      <c r="Q122" s="252"/>
      <c r="S122" s="348">
        <f>L122/Q119</f>
        <v>2.1972038522088435</v>
      </c>
      <c r="T122" s="348">
        <f>M122/Q119</f>
        <v>2.0281881712697016</v>
      </c>
      <c r="U122" s="1043">
        <f t="shared" si="10"/>
        <v>2.1126960117392724</v>
      </c>
      <c r="V122" s="2088" t="str">
        <f>Table245[[#This Row],[Column3]]</f>
        <v>1994-Q4</v>
      </c>
    </row>
    <row r="123" spans="1:22" x14ac:dyDescent="0.3">
      <c r="A123" s="211">
        <f t="shared" si="11"/>
        <v>1995</v>
      </c>
      <c r="B123" s="211" t="str">
        <f t="shared" si="12"/>
        <v>Q1</v>
      </c>
      <c r="C123" s="2088" t="str">
        <f t="shared" ref="C123:C138" si="14">CONCATENATE(A123,"-",B123)</f>
        <v>1995-Q1</v>
      </c>
      <c r="D123" s="211">
        <v>1995</v>
      </c>
      <c r="E123" s="252">
        <v>25200</v>
      </c>
      <c r="F123" s="252">
        <v>20250</v>
      </c>
      <c r="G123" s="252">
        <f t="shared" si="13"/>
        <v>22725</v>
      </c>
      <c r="I123" s="2088">
        <v>35064</v>
      </c>
      <c r="J123" s="230">
        <v>1194000</v>
      </c>
      <c r="K123" s="230">
        <f>AVERAGE(J119,J123)</f>
        <v>1186000</v>
      </c>
      <c r="L123" s="252">
        <f>K123*E123</f>
        <v>29887200000</v>
      </c>
      <c r="M123" s="252">
        <f>K123*F123</f>
        <v>24016500000</v>
      </c>
      <c r="N123" s="252">
        <f>AVERAGE(L123:M123)</f>
        <v>26951850000</v>
      </c>
      <c r="P123" s="252">
        <v>16739000000</v>
      </c>
      <c r="Q123" s="252">
        <f>AVERAGE(P119,P123)</f>
        <v>14306941000</v>
      </c>
      <c r="S123" s="348">
        <f>L123/Q123</f>
        <v>2.0890000175439321</v>
      </c>
      <c r="T123" s="348">
        <f>M123/Q123</f>
        <v>1.6786607283835169</v>
      </c>
      <c r="U123" s="1043">
        <f t="shared" si="10"/>
        <v>1.8838303729637245</v>
      </c>
      <c r="V123" s="2088" t="str">
        <f>Table245[[#This Row],[Column3]]</f>
        <v>1995-Q1</v>
      </c>
    </row>
    <row r="124" spans="1:22" x14ac:dyDescent="0.3">
      <c r="A124" s="211">
        <f t="shared" si="11"/>
        <v>1995</v>
      </c>
      <c r="B124" s="211" t="str">
        <f t="shared" si="12"/>
        <v>Q2</v>
      </c>
      <c r="C124" s="2088" t="str">
        <f t="shared" si="14"/>
        <v>1995-Q2</v>
      </c>
      <c r="E124" s="252">
        <v>24450</v>
      </c>
      <c r="F124" s="252">
        <v>21500</v>
      </c>
      <c r="G124" s="252">
        <f t="shared" ref="G124:G138" si="15">AVERAGE(E124:F124)</f>
        <v>22975</v>
      </c>
      <c r="J124" s="230"/>
      <c r="K124" s="230"/>
      <c r="L124" s="252">
        <f>K123*E124</f>
        <v>28997700000</v>
      </c>
      <c r="M124" s="252">
        <f>K123*F124</f>
        <v>25499000000</v>
      </c>
      <c r="N124" s="252">
        <f t="shared" ref="N124:N138" si="16">AVERAGE(L124:M124)</f>
        <v>27248350000</v>
      </c>
      <c r="P124" s="252"/>
      <c r="Q124" s="252"/>
      <c r="S124" s="348">
        <f>L124/Q123</f>
        <v>2.0268273979741722</v>
      </c>
      <c r="T124" s="348">
        <f>M124/Q123</f>
        <v>1.7822817609997832</v>
      </c>
      <c r="U124" s="1043">
        <f t="shared" ref="U124:U138" si="17">AVERAGE(S124:T124)</f>
        <v>1.9045545794869776</v>
      </c>
      <c r="V124" s="2088" t="str">
        <f>Table245[[#This Row],[Column3]]</f>
        <v>1995-Q2</v>
      </c>
    </row>
    <row r="125" spans="1:22" x14ac:dyDescent="0.3">
      <c r="A125" s="211">
        <f t="shared" si="11"/>
        <v>1995</v>
      </c>
      <c r="B125" s="211" t="str">
        <f t="shared" si="12"/>
        <v>Q3</v>
      </c>
      <c r="C125" s="2088" t="str">
        <f t="shared" si="14"/>
        <v>1995-Q3</v>
      </c>
      <c r="E125" s="252">
        <v>30600</v>
      </c>
      <c r="F125" s="252">
        <v>23400</v>
      </c>
      <c r="G125" s="252">
        <f t="shared" si="15"/>
        <v>27000</v>
      </c>
      <c r="J125" s="230"/>
      <c r="K125" s="230"/>
      <c r="L125" s="252">
        <f>K123*E125</f>
        <v>36291600000</v>
      </c>
      <c r="M125" s="252">
        <f>K123*F125</f>
        <v>27752400000</v>
      </c>
      <c r="N125" s="252">
        <f t="shared" si="16"/>
        <v>32022000000</v>
      </c>
      <c r="P125" s="252"/>
      <c r="Q125" s="252"/>
      <c r="S125" s="348">
        <f>L125/Q123</f>
        <v>2.536642878446203</v>
      </c>
      <c r="T125" s="348">
        <f>M125/Q123</f>
        <v>1.9397857305765083</v>
      </c>
      <c r="U125" s="1043">
        <f t="shared" si="17"/>
        <v>2.2382143045113558</v>
      </c>
      <c r="V125" s="2088" t="str">
        <f>Table245[[#This Row],[Column3]]</f>
        <v>1995-Q3</v>
      </c>
    </row>
    <row r="126" spans="1:22" x14ac:dyDescent="0.3">
      <c r="A126" s="211">
        <f t="shared" si="11"/>
        <v>1995</v>
      </c>
      <c r="B126" s="211" t="str">
        <f t="shared" si="12"/>
        <v>Q4</v>
      </c>
      <c r="C126" s="2088" t="str">
        <f t="shared" si="14"/>
        <v>1995-Q4</v>
      </c>
      <c r="E126" s="252">
        <v>33400</v>
      </c>
      <c r="F126" s="252">
        <v>28850</v>
      </c>
      <c r="G126" s="252">
        <f t="shared" si="15"/>
        <v>31125</v>
      </c>
      <c r="J126" s="230"/>
      <c r="K126" s="230"/>
      <c r="L126" s="252">
        <f>K123*E126</f>
        <v>39612400000</v>
      </c>
      <c r="M126" s="252">
        <f>K123*F126</f>
        <v>34216100000</v>
      </c>
      <c r="N126" s="252">
        <f t="shared" si="16"/>
        <v>36914250000</v>
      </c>
      <c r="P126" s="252"/>
      <c r="Q126" s="252"/>
      <c r="S126" s="348">
        <f>L126/Q123</f>
        <v>2.7687539915066401</v>
      </c>
      <c r="T126" s="348">
        <f>M126/Q123</f>
        <v>2.3915734327834302</v>
      </c>
      <c r="U126" s="1043">
        <f t="shared" si="17"/>
        <v>2.5801637121450351</v>
      </c>
      <c r="V126" s="2088" t="str">
        <f>Table245[[#This Row],[Column3]]</f>
        <v>1995-Q4</v>
      </c>
    </row>
    <row r="127" spans="1:22" x14ac:dyDescent="0.3">
      <c r="A127" s="211">
        <f t="shared" si="11"/>
        <v>1996</v>
      </c>
      <c r="B127" s="211" t="str">
        <f t="shared" si="12"/>
        <v>Q1</v>
      </c>
      <c r="C127" s="2088" t="str">
        <f t="shared" si="14"/>
        <v>1996-Q1</v>
      </c>
      <c r="D127" s="211">
        <v>1996</v>
      </c>
      <c r="E127" s="252">
        <v>38000</v>
      </c>
      <c r="F127" s="252">
        <v>29800</v>
      </c>
      <c r="G127" s="252">
        <f t="shared" si="15"/>
        <v>33900</v>
      </c>
      <c r="I127" s="2088">
        <v>35430</v>
      </c>
      <c r="J127" s="230">
        <v>1232000</v>
      </c>
      <c r="K127" s="278">
        <f>AVERAGE(J123,J127)</f>
        <v>1213000</v>
      </c>
      <c r="L127" s="252">
        <f>K127*E127</f>
        <v>46094000000</v>
      </c>
      <c r="M127" s="252">
        <f>K127*F127</f>
        <v>36147400000</v>
      </c>
      <c r="N127" s="252">
        <f t="shared" si="16"/>
        <v>41120700000</v>
      </c>
      <c r="P127" s="252">
        <v>23427000000</v>
      </c>
      <c r="Q127" s="252">
        <f>AVERAGE(P123,P127)</f>
        <v>20083000000</v>
      </c>
      <c r="S127" s="348">
        <f>L127/Q127</f>
        <v>2.2951750236518449</v>
      </c>
      <c r="T127" s="348">
        <f>M127/Q127</f>
        <v>1.7999004132848677</v>
      </c>
      <c r="U127" s="1043">
        <f t="shared" si="17"/>
        <v>2.0475377184683561</v>
      </c>
      <c r="V127" s="2088" t="str">
        <f>Table245[[#This Row],[Column3]]</f>
        <v>1996-Q1</v>
      </c>
    </row>
    <row r="128" spans="1:22" x14ac:dyDescent="0.3">
      <c r="A128" s="211">
        <f t="shared" si="11"/>
        <v>1996</v>
      </c>
      <c r="B128" s="211" t="str">
        <f t="shared" si="12"/>
        <v>Q2</v>
      </c>
      <c r="C128" s="2088" t="str">
        <f t="shared" si="14"/>
        <v>1996-Q2</v>
      </c>
      <c r="E128" s="252">
        <v>36000</v>
      </c>
      <c r="F128" s="252">
        <v>30000</v>
      </c>
      <c r="G128" s="252">
        <f t="shared" si="15"/>
        <v>33000</v>
      </c>
      <c r="J128" s="230"/>
      <c r="L128" s="252">
        <f>K127*E128</f>
        <v>43668000000</v>
      </c>
      <c r="M128" s="252">
        <f>K127*F128</f>
        <v>36390000000</v>
      </c>
      <c r="N128" s="252">
        <f t="shared" si="16"/>
        <v>40029000000</v>
      </c>
      <c r="P128" s="252"/>
      <c r="Q128" s="252"/>
      <c r="S128" s="348">
        <f>L128/Q127</f>
        <v>2.1743763381964847</v>
      </c>
      <c r="T128" s="348">
        <f>M128/Q127</f>
        <v>1.8119802818304038</v>
      </c>
      <c r="U128" s="1043">
        <f t="shared" si="17"/>
        <v>1.9931783100134441</v>
      </c>
      <c r="V128" s="2088" t="str">
        <f>Table245[[#This Row],[Column3]]</f>
        <v>1996-Q2</v>
      </c>
    </row>
    <row r="129" spans="1:22" x14ac:dyDescent="0.3">
      <c r="A129" s="211">
        <f t="shared" si="11"/>
        <v>1996</v>
      </c>
      <c r="B129" s="211" t="str">
        <f t="shared" si="12"/>
        <v>Q3</v>
      </c>
      <c r="C129" s="2088" t="str">
        <f t="shared" si="14"/>
        <v>1996-Q3</v>
      </c>
      <c r="E129" s="252">
        <v>33500</v>
      </c>
      <c r="F129" s="252">
        <v>30500</v>
      </c>
      <c r="G129" s="252">
        <f t="shared" si="15"/>
        <v>32000</v>
      </c>
      <c r="J129" s="230"/>
      <c r="L129" s="252">
        <f>K127*E129</f>
        <v>40635500000</v>
      </c>
      <c r="M129" s="252">
        <f>K127*F129</f>
        <v>36996500000</v>
      </c>
      <c r="N129" s="252">
        <f t="shared" si="16"/>
        <v>38816000000</v>
      </c>
      <c r="P129" s="252"/>
      <c r="Q129" s="252"/>
      <c r="S129" s="348">
        <f>L129/Q127</f>
        <v>2.0233779813772843</v>
      </c>
      <c r="T129" s="348">
        <f>M129/Q127</f>
        <v>1.842179953194244</v>
      </c>
      <c r="U129" s="1043">
        <f t="shared" si="17"/>
        <v>1.9327789672857643</v>
      </c>
      <c r="V129" s="2088" t="str">
        <f>Table245[[#This Row],[Column3]]</f>
        <v>1996-Q3</v>
      </c>
    </row>
    <row r="130" spans="1:22" x14ac:dyDescent="0.3">
      <c r="A130" s="211">
        <f t="shared" si="11"/>
        <v>1996</v>
      </c>
      <c r="B130" s="211" t="str">
        <f t="shared" si="12"/>
        <v>Q4</v>
      </c>
      <c r="C130" s="2088" t="str">
        <f t="shared" si="14"/>
        <v>1996-Q4</v>
      </c>
      <c r="E130" s="252">
        <v>36500</v>
      </c>
      <c r="F130" s="252">
        <v>31000</v>
      </c>
      <c r="G130" s="252">
        <f t="shared" si="15"/>
        <v>33750</v>
      </c>
      <c r="J130" s="230"/>
      <c r="L130" s="252">
        <f>K127*E130</f>
        <v>44274500000</v>
      </c>
      <c r="M130" s="252">
        <f>K127*F130</f>
        <v>37603000000</v>
      </c>
      <c r="N130" s="252">
        <f t="shared" si="16"/>
        <v>40938750000</v>
      </c>
      <c r="P130" s="252"/>
      <c r="Q130" s="252"/>
      <c r="S130" s="348">
        <f>L130/Q127</f>
        <v>2.2045760095603248</v>
      </c>
      <c r="T130" s="348">
        <f>M130/Q127</f>
        <v>1.8723796245580839</v>
      </c>
      <c r="U130" s="1043">
        <f t="shared" si="17"/>
        <v>2.0384778170592046</v>
      </c>
      <c r="V130" s="2088" t="str">
        <f>Table245[[#This Row],[Column3]]</f>
        <v>1996-Q4</v>
      </c>
    </row>
    <row r="131" spans="1:22" x14ac:dyDescent="0.3">
      <c r="A131" s="211">
        <f t="shared" si="11"/>
        <v>1997</v>
      </c>
      <c r="B131" s="211" t="str">
        <f t="shared" si="12"/>
        <v>Q1</v>
      </c>
      <c r="C131" s="2088" t="str">
        <f t="shared" si="14"/>
        <v>1997-Q1</v>
      </c>
      <c r="D131" s="211">
        <v>1997</v>
      </c>
      <c r="E131" s="252">
        <v>37900</v>
      </c>
      <c r="F131" s="252">
        <v>33000</v>
      </c>
      <c r="G131" s="252">
        <f t="shared" si="15"/>
        <v>35450</v>
      </c>
      <c r="I131" s="2088">
        <v>35795</v>
      </c>
      <c r="J131" s="230">
        <v>1234000</v>
      </c>
      <c r="K131" s="230">
        <f>AVERAGE(J127,J131)</f>
        <v>1233000</v>
      </c>
      <c r="L131" s="252">
        <f>K131*E131</f>
        <v>46730700000</v>
      </c>
      <c r="M131" s="252">
        <f>K131*F131</f>
        <v>40689000000</v>
      </c>
      <c r="N131" s="252">
        <f t="shared" si="16"/>
        <v>43709850000</v>
      </c>
      <c r="P131" s="252">
        <v>31455000000</v>
      </c>
      <c r="Q131" s="252">
        <f>AVERAGE(P127,P131)</f>
        <v>27441000000</v>
      </c>
      <c r="S131" s="348">
        <f>L131/Q131</f>
        <v>1.702951787471302</v>
      </c>
      <c r="T131" s="348">
        <f>M131/Q131</f>
        <v>1.4827812397507381</v>
      </c>
      <c r="U131" s="1043">
        <f t="shared" si="17"/>
        <v>1.5928665136110201</v>
      </c>
      <c r="V131" s="2088" t="str">
        <f>Table245[[#This Row],[Column3]]</f>
        <v>1997-Q1</v>
      </c>
    </row>
    <row r="132" spans="1:22" x14ac:dyDescent="0.3">
      <c r="A132" s="211">
        <f t="shared" si="11"/>
        <v>1997</v>
      </c>
      <c r="B132" s="211" t="str">
        <f t="shared" si="12"/>
        <v>Q2</v>
      </c>
      <c r="C132" s="2088" t="str">
        <f t="shared" si="14"/>
        <v>1997-Q2</v>
      </c>
      <c r="E132" s="252">
        <v>48600</v>
      </c>
      <c r="F132" s="252">
        <v>35900</v>
      </c>
      <c r="G132" s="252">
        <f t="shared" si="15"/>
        <v>42250</v>
      </c>
      <c r="J132" s="230"/>
      <c r="K132" s="230"/>
      <c r="L132" s="252">
        <f>K131*E132</f>
        <v>59923800000</v>
      </c>
      <c r="M132" s="252">
        <f>K131*F132</f>
        <v>44264700000</v>
      </c>
      <c r="N132" s="252">
        <f t="shared" si="16"/>
        <v>52094250000</v>
      </c>
      <c r="P132" s="252"/>
      <c r="Q132" s="252"/>
      <c r="S132" s="348">
        <f>L132/Q131</f>
        <v>2.1837323712692687</v>
      </c>
      <c r="T132" s="348">
        <f>M132/Q131</f>
        <v>1.6130862577894391</v>
      </c>
      <c r="U132" s="1043">
        <f t="shared" si="17"/>
        <v>1.8984093145293539</v>
      </c>
      <c r="V132" s="2088" t="str">
        <f>Table245[[#This Row],[Column3]]</f>
        <v>1997-Q2</v>
      </c>
    </row>
    <row r="133" spans="1:22" x14ac:dyDescent="0.3">
      <c r="A133" s="211">
        <f t="shared" si="11"/>
        <v>1997</v>
      </c>
      <c r="B133" s="211" t="str">
        <f t="shared" si="12"/>
        <v>Q3</v>
      </c>
      <c r="C133" s="2088" t="str">
        <f t="shared" si="14"/>
        <v>1997-Q3</v>
      </c>
      <c r="E133" s="252">
        <v>48300</v>
      </c>
      <c r="F133" s="252">
        <v>41300</v>
      </c>
      <c r="G133" s="252">
        <f t="shared" si="15"/>
        <v>44800</v>
      </c>
      <c r="J133" s="230"/>
      <c r="K133" s="230"/>
      <c r="L133" s="252">
        <f>K131*E133</f>
        <v>59553900000</v>
      </c>
      <c r="M133" s="252">
        <f>K131*F133</f>
        <v>50922900000</v>
      </c>
      <c r="N133" s="252">
        <f t="shared" si="16"/>
        <v>55238400000</v>
      </c>
      <c r="P133" s="252"/>
      <c r="Q133" s="252"/>
      <c r="S133" s="348">
        <f>L133/Q131</f>
        <v>2.1702525418169891</v>
      </c>
      <c r="T133" s="348">
        <f>M133/Q131</f>
        <v>1.855723187930469</v>
      </c>
      <c r="U133" s="1043">
        <f t="shared" si="17"/>
        <v>2.0129878648737289</v>
      </c>
      <c r="V133" s="2088" t="str">
        <f>Table245[[#This Row],[Column3]]</f>
        <v>1997-Q3</v>
      </c>
    </row>
    <row r="134" spans="1:22" x14ac:dyDescent="0.3">
      <c r="A134" s="211">
        <f t="shared" si="11"/>
        <v>1997</v>
      </c>
      <c r="B134" s="211" t="str">
        <f t="shared" si="12"/>
        <v>Q4</v>
      </c>
      <c r="C134" s="2088" t="str">
        <f t="shared" si="14"/>
        <v>1997-Q4</v>
      </c>
      <c r="E134" s="252">
        <v>47200</v>
      </c>
      <c r="F134" s="252">
        <v>42500</v>
      </c>
      <c r="G134" s="252">
        <f t="shared" si="15"/>
        <v>44850</v>
      </c>
      <c r="J134" s="230"/>
      <c r="K134" s="230"/>
      <c r="L134" s="252">
        <f>K131*E134</f>
        <v>58197600000</v>
      </c>
      <c r="M134" s="252">
        <f>K131*F134</f>
        <v>52402500000</v>
      </c>
      <c r="N134" s="252">
        <f t="shared" si="16"/>
        <v>55300050000</v>
      </c>
      <c r="P134" s="252"/>
      <c r="Q134" s="252"/>
      <c r="S134" s="348">
        <f>L134/Q131</f>
        <v>2.1208265004919644</v>
      </c>
      <c r="T134" s="348">
        <f>M134/Q131</f>
        <v>1.9096425057395867</v>
      </c>
      <c r="U134" s="1043">
        <f t="shared" si="17"/>
        <v>2.0152345031157757</v>
      </c>
      <c r="V134" s="2088" t="str">
        <f>Table245[[#This Row],[Column3]]</f>
        <v>1997-Q4</v>
      </c>
    </row>
    <row r="135" spans="1:22" x14ac:dyDescent="0.3">
      <c r="A135" s="211">
        <f t="shared" si="11"/>
        <v>1998</v>
      </c>
      <c r="B135" s="211" t="str">
        <f t="shared" si="12"/>
        <v>Q1</v>
      </c>
      <c r="C135" s="2088" t="str">
        <f t="shared" si="14"/>
        <v>1998-Q1</v>
      </c>
      <c r="D135" s="211">
        <v>1998</v>
      </c>
      <c r="E135" s="252">
        <v>69500</v>
      </c>
      <c r="F135" s="252">
        <v>45700</v>
      </c>
      <c r="G135" s="252">
        <f t="shared" si="15"/>
        <v>57600</v>
      </c>
      <c r="I135" s="2088">
        <v>36160</v>
      </c>
      <c r="J135" s="230">
        <v>1519000</v>
      </c>
      <c r="K135" s="230">
        <f>AVERAGE(J131,J135)</f>
        <v>1376500</v>
      </c>
      <c r="L135" s="252">
        <f>K135*E135</f>
        <v>95666750000</v>
      </c>
      <c r="M135" s="252">
        <f>K135*F135</f>
        <v>62906050000</v>
      </c>
      <c r="N135" s="252">
        <f t="shared" si="16"/>
        <v>79286400000</v>
      </c>
      <c r="P135" s="252">
        <v>57403000000</v>
      </c>
      <c r="Q135" s="252">
        <f>AVERAGE(P131,P135)</f>
        <v>44429000000</v>
      </c>
      <c r="S135" s="348">
        <f>L135/Q135</f>
        <v>2.1532501294199733</v>
      </c>
      <c r="T135" s="348">
        <f>M135/Q135</f>
        <v>1.4158781426545726</v>
      </c>
      <c r="U135" s="1043">
        <f t="shared" si="17"/>
        <v>1.784564136037273</v>
      </c>
      <c r="V135" s="2088" t="str">
        <f>Table245[[#This Row],[Column3]]</f>
        <v>1998-Q1</v>
      </c>
    </row>
    <row r="136" spans="1:22" x14ac:dyDescent="0.3">
      <c r="A136" s="211">
        <f t="shared" si="11"/>
        <v>1998</v>
      </c>
      <c r="B136" s="211" t="str">
        <f t="shared" si="12"/>
        <v>Q2</v>
      </c>
      <c r="C136" s="2088" t="str">
        <f t="shared" si="14"/>
        <v>1998-Q2</v>
      </c>
      <c r="E136" s="252">
        <v>84000</v>
      </c>
      <c r="F136" s="252">
        <v>65800</v>
      </c>
      <c r="G136" s="252">
        <f t="shared" si="15"/>
        <v>74900</v>
      </c>
      <c r="J136" s="230"/>
      <c r="K136" s="230"/>
      <c r="L136" s="252">
        <f>K135*E136</f>
        <v>115626000000</v>
      </c>
      <c r="M136" s="252">
        <f>K135*F136</f>
        <v>90573700000</v>
      </c>
      <c r="N136" s="252">
        <f t="shared" si="16"/>
        <v>103099850000</v>
      </c>
      <c r="P136" s="252"/>
      <c r="Q136" s="252"/>
      <c r="S136" s="348">
        <f>L136/Q135</f>
        <v>2.6024893650543564</v>
      </c>
      <c r="T136" s="348">
        <f>M136/Q135</f>
        <v>2.0386166692925793</v>
      </c>
      <c r="U136" s="1043">
        <f t="shared" si="17"/>
        <v>2.3205530171734678</v>
      </c>
      <c r="V136" s="2088" t="str">
        <f>Table245[[#This Row],[Column3]]</f>
        <v>1998-Q2</v>
      </c>
    </row>
    <row r="137" spans="1:22" x14ac:dyDescent="0.3">
      <c r="A137" s="211">
        <f t="shared" si="11"/>
        <v>1998</v>
      </c>
      <c r="B137" s="211" t="str">
        <f t="shared" si="12"/>
        <v>Q3</v>
      </c>
      <c r="C137" s="2088" t="str">
        <f t="shared" si="14"/>
        <v>1998-Q3</v>
      </c>
      <c r="E137" s="252">
        <v>78500</v>
      </c>
      <c r="F137" s="252">
        <v>57000</v>
      </c>
      <c r="G137" s="252">
        <f t="shared" si="15"/>
        <v>67750</v>
      </c>
      <c r="J137" s="230"/>
      <c r="K137" s="230"/>
      <c r="L137" s="252">
        <f>K135*E137</f>
        <v>108055250000</v>
      </c>
      <c r="M137" s="252">
        <f>K135*F137</f>
        <v>78460500000</v>
      </c>
      <c r="N137" s="252">
        <f t="shared" si="16"/>
        <v>93257875000</v>
      </c>
      <c r="P137" s="252"/>
      <c r="Q137" s="252"/>
      <c r="S137" s="348">
        <f>L137/Q135</f>
        <v>2.4320882756757976</v>
      </c>
      <c r="T137" s="348">
        <f>M137/Q135</f>
        <v>1.7659749262868847</v>
      </c>
      <c r="U137" s="1043">
        <f t="shared" si="17"/>
        <v>2.0990316009813412</v>
      </c>
      <c r="V137" s="2088" t="str">
        <f>Table245[[#This Row],[Column3]]</f>
        <v>1998-Q3</v>
      </c>
    </row>
    <row r="138" spans="1:22" x14ac:dyDescent="0.3">
      <c r="A138" s="211">
        <f t="shared" si="11"/>
        <v>1998</v>
      </c>
      <c r="B138" s="211" t="str">
        <f t="shared" si="12"/>
        <v>Q4</v>
      </c>
      <c r="C138" s="2088" t="str">
        <f t="shared" si="14"/>
        <v>1998-Q4</v>
      </c>
      <c r="E138" s="252">
        <v>71000</v>
      </c>
      <c r="F138" s="252">
        <v>57700</v>
      </c>
      <c r="G138" s="252">
        <f t="shared" si="15"/>
        <v>64350</v>
      </c>
      <c r="J138" s="230"/>
      <c r="K138" s="230"/>
      <c r="L138" s="252">
        <f>K135*E138</f>
        <v>97731500000</v>
      </c>
      <c r="M138" s="252">
        <f>K135*F138</f>
        <v>79424050000</v>
      </c>
      <c r="N138" s="252">
        <f t="shared" si="16"/>
        <v>88577775000</v>
      </c>
      <c r="P138" s="252"/>
      <c r="Q138" s="252"/>
      <c r="S138" s="348">
        <f>L138/Q135</f>
        <v>2.1997231537959441</v>
      </c>
      <c r="T138" s="348">
        <f>M138/Q135</f>
        <v>1.7876623376623377</v>
      </c>
      <c r="U138" s="1043">
        <f t="shared" si="17"/>
        <v>1.9936927457291409</v>
      </c>
      <c r="V138" s="2088" t="str">
        <f>Table245[[#This Row],[Column3]]</f>
        <v>1998-Q4</v>
      </c>
    </row>
    <row r="139" spans="1:22" x14ac:dyDescent="0.3">
      <c r="A139" s="211">
        <f t="shared" si="11"/>
        <v>1999</v>
      </c>
      <c r="B139" s="211" t="str">
        <f t="shared" si="12"/>
        <v>Q1</v>
      </c>
      <c r="C139" s="2088" t="str">
        <f t="shared" ref="C139:C154" si="18">CONCATENATE(A139,"-",B139)</f>
        <v>1999-Q1</v>
      </c>
      <c r="D139" s="211">
        <v>1999</v>
      </c>
      <c r="E139" s="252">
        <v>81100</v>
      </c>
      <c r="F139" s="252">
        <v>61900</v>
      </c>
      <c r="G139" s="252">
        <f t="shared" ref="G139:G153" si="19">AVERAGE(E139:F139)</f>
        <v>71500</v>
      </c>
      <c r="I139" s="2088">
        <v>36525</v>
      </c>
      <c r="J139" s="230">
        <v>1521000</v>
      </c>
      <c r="K139" s="278">
        <f>AVERAGE(J135,J139)</f>
        <v>1520000</v>
      </c>
      <c r="L139" s="252">
        <f>K139*E139</f>
        <v>123272000000</v>
      </c>
      <c r="M139" s="252">
        <f>K139*F139</f>
        <v>94088000000</v>
      </c>
      <c r="N139" s="252">
        <f t="shared" ref="N139:N153" si="20">AVERAGE(L139:M139)</f>
        <v>108680000000</v>
      </c>
      <c r="P139" s="252">
        <v>57761000000</v>
      </c>
      <c r="Q139" s="252">
        <f>AVERAGE(P135,P139)</f>
        <v>57582000000</v>
      </c>
      <c r="S139" s="348">
        <f>L139/Q139</f>
        <v>2.1408078913549371</v>
      </c>
      <c r="T139" s="348">
        <f>M139/Q139</f>
        <v>1.6339828418603035</v>
      </c>
      <c r="U139" s="1043">
        <f t="shared" ref="U139:U153" si="21">AVERAGE(S139:T139)</f>
        <v>1.8873953666076204</v>
      </c>
      <c r="V139" s="2088" t="str">
        <f>Table245[[#This Row],[Column3]]</f>
        <v>1999-Q1</v>
      </c>
    </row>
    <row r="140" spans="1:22" x14ac:dyDescent="0.3">
      <c r="A140" s="211">
        <f t="shared" ref="A140:A162" si="22">A136+1</f>
        <v>1999</v>
      </c>
      <c r="B140" s="211" t="str">
        <f t="shared" ref="B140:B162" si="23">B136</f>
        <v>Q2</v>
      </c>
      <c r="C140" s="2088" t="str">
        <f t="shared" si="18"/>
        <v>1999-Q2</v>
      </c>
      <c r="E140" s="252">
        <v>78600</v>
      </c>
      <c r="F140" s="252">
        <v>68300</v>
      </c>
      <c r="G140" s="252">
        <f t="shared" si="19"/>
        <v>73450</v>
      </c>
      <c r="J140" s="230"/>
      <c r="L140" s="252">
        <f>K139*E140</f>
        <v>119472000000</v>
      </c>
      <c r="M140" s="252">
        <f>K139*F140</f>
        <v>103816000000</v>
      </c>
      <c r="N140" s="252">
        <f t="shared" si="20"/>
        <v>111644000000</v>
      </c>
      <c r="P140" s="252"/>
      <c r="Q140" s="252"/>
      <c r="S140" s="348">
        <f>L140/Q139</f>
        <v>2.074815046368657</v>
      </c>
      <c r="T140" s="348">
        <f>M140/Q139</f>
        <v>1.8029245250251815</v>
      </c>
      <c r="U140" s="1043">
        <f t="shared" si="21"/>
        <v>1.9388697856969193</v>
      </c>
      <c r="V140" s="2088" t="str">
        <f>Table245[[#This Row],[Column3]]</f>
        <v>1999-Q2</v>
      </c>
    </row>
    <row r="141" spans="1:22" x14ac:dyDescent="0.3">
      <c r="A141" s="211">
        <f t="shared" si="22"/>
        <v>1999</v>
      </c>
      <c r="B141" s="211" t="str">
        <f t="shared" si="23"/>
        <v>Q3</v>
      </c>
      <c r="C141" s="2088" t="str">
        <f t="shared" si="18"/>
        <v>1999-Q3</v>
      </c>
      <c r="E141" s="252">
        <v>73000</v>
      </c>
      <c r="F141" s="252">
        <v>54000</v>
      </c>
      <c r="G141" s="252">
        <f t="shared" si="19"/>
        <v>63500</v>
      </c>
      <c r="J141" s="230"/>
      <c r="L141" s="252">
        <f>K139*E141</f>
        <v>110960000000</v>
      </c>
      <c r="M141" s="252">
        <f>K139*F141</f>
        <v>82080000000</v>
      </c>
      <c r="N141" s="252">
        <f t="shared" si="20"/>
        <v>96520000000</v>
      </c>
      <c r="P141" s="252"/>
      <c r="Q141" s="252"/>
      <c r="S141" s="348">
        <f>L141/Q139</f>
        <v>1.9269910735993887</v>
      </c>
      <c r="T141" s="348">
        <f>M141/Q139</f>
        <v>1.4254454517036574</v>
      </c>
      <c r="U141" s="1043">
        <f t="shared" si="21"/>
        <v>1.6762182626515232</v>
      </c>
      <c r="V141" s="2088" t="str">
        <f>Table245[[#This Row],[Column3]]</f>
        <v>1999-Q3</v>
      </c>
    </row>
    <row r="142" spans="1:22" x14ac:dyDescent="0.3">
      <c r="A142" s="211">
        <f t="shared" si="22"/>
        <v>1999</v>
      </c>
      <c r="B142" s="211" t="str">
        <f t="shared" si="23"/>
        <v>Q4</v>
      </c>
      <c r="C142" s="2088" t="str">
        <f t="shared" si="18"/>
        <v>1999-Q4</v>
      </c>
      <c r="E142" s="252">
        <v>66900</v>
      </c>
      <c r="F142" s="252">
        <v>52000</v>
      </c>
      <c r="G142" s="252">
        <f t="shared" si="19"/>
        <v>59450</v>
      </c>
      <c r="J142" s="230"/>
      <c r="L142" s="252">
        <f>K139*E142</f>
        <v>101688000000</v>
      </c>
      <c r="M142" s="252">
        <f>K139*F142</f>
        <v>79040000000</v>
      </c>
      <c r="N142" s="252">
        <f t="shared" si="20"/>
        <v>90364000000</v>
      </c>
      <c r="P142" s="252"/>
      <c r="Q142" s="252"/>
      <c r="S142" s="348">
        <f>L142/Q139</f>
        <v>1.7659685318328644</v>
      </c>
      <c r="T142" s="348">
        <f>M142/Q139</f>
        <v>1.3726511757146331</v>
      </c>
      <c r="U142" s="1043">
        <f t="shared" si="21"/>
        <v>1.5693098537737487</v>
      </c>
      <c r="V142" s="2088" t="str">
        <f>Table245[[#This Row],[Column3]]</f>
        <v>1999-Q4</v>
      </c>
    </row>
    <row r="143" spans="1:22" x14ac:dyDescent="0.3">
      <c r="A143" s="211">
        <f t="shared" si="22"/>
        <v>2000</v>
      </c>
      <c r="B143" s="211" t="str">
        <f t="shared" si="23"/>
        <v>Q1</v>
      </c>
      <c r="C143" s="2088" t="str">
        <f t="shared" si="18"/>
        <v>2000-Q1</v>
      </c>
      <c r="D143" s="211">
        <v>2000</v>
      </c>
      <c r="E143" s="252">
        <v>58000</v>
      </c>
      <c r="F143" s="252">
        <v>40800</v>
      </c>
      <c r="G143" s="252">
        <f t="shared" si="19"/>
        <v>49400</v>
      </c>
      <c r="I143" s="2088">
        <v>36891</v>
      </c>
      <c r="J143" s="230">
        <v>1526000</v>
      </c>
      <c r="K143" s="230">
        <f>AVERAGE(J139,J143)</f>
        <v>1523500</v>
      </c>
      <c r="L143" s="252">
        <f>K143*E143</f>
        <v>88363000000</v>
      </c>
      <c r="M143" s="252">
        <f>K143*F143</f>
        <v>62158800000</v>
      </c>
      <c r="N143" s="252">
        <f t="shared" si="20"/>
        <v>75260900000</v>
      </c>
      <c r="P143" s="252">
        <v>61724000000</v>
      </c>
      <c r="Q143" s="252">
        <f>AVERAGE(P139,P143)</f>
        <v>59742500000</v>
      </c>
      <c r="S143" s="348">
        <f>L143/Q143</f>
        <v>1.4790643176967819</v>
      </c>
      <c r="T143" s="348">
        <f>M143/Q143</f>
        <v>1.0404452441729086</v>
      </c>
      <c r="U143" s="1043">
        <f t="shared" si="21"/>
        <v>1.2597547809348453</v>
      </c>
      <c r="V143" s="2088" t="str">
        <f>Table245[[#This Row],[Column3]]</f>
        <v>2000-Q1</v>
      </c>
    </row>
    <row r="144" spans="1:22" x14ac:dyDescent="0.3">
      <c r="A144" s="211">
        <f t="shared" si="22"/>
        <v>2000</v>
      </c>
      <c r="B144" s="211" t="str">
        <f t="shared" si="23"/>
        <v>Q2</v>
      </c>
      <c r="C144" s="2088" t="str">
        <f t="shared" si="18"/>
        <v>2000-Q2</v>
      </c>
      <c r="E144" s="252">
        <v>60800</v>
      </c>
      <c r="F144" s="252">
        <v>51800</v>
      </c>
      <c r="G144" s="252">
        <f t="shared" si="19"/>
        <v>56300</v>
      </c>
      <c r="J144" s="230"/>
      <c r="K144" s="230"/>
      <c r="L144" s="252">
        <f>K143*E144</f>
        <v>92628800000</v>
      </c>
      <c r="M144" s="252">
        <f>K143*F144</f>
        <v>78917300000</v>
      </c>
      <c r="N144" s="252">
        <f t="shared" si="20"/>
        <v>85773050000</v>
      </c>
      <c r="P144" s="252"/>
      <c r="Q144" s="252"/>
      <c r="S144" s="348">
        <f>L144/Q143</f>
        <v>1.5504674226890405</v>
      </c>
      <c r="T144" s="348">
        <f>M144/Q143</f>
        <v>1.3209574423567811</v>
      </c>
      <c r="U144" s="1043">
        <f t="shared" si="21"/>
        <v>1.4357124325229109</v>
      </c>
      <c r="V144" s="2088" t="str">
        <f>Table245[[#This Row],[Column3]]</f>
        <v>2000-Q2</v>
      </c>
    </row>
    <row r="145" spans="1:22" x14ac:dyDescent="0.3">
      <c r="A145" s="211">
        <f t="shared" si="22"/>
        <v>2000</v>
      </c>
      <c r="B145" s="211" t="str">
        <f t="shared" si="23"/>
        <v>Q3</v>
      </c>
      <c r="C145" s="2088" t="str">
        <f t="shared" si="18"/>
        <v>2000-Q3</v>
      </c>
      <c r="E145" s="252">
        <v>64400</v>
      </c>
      <c r="F145" s="252">
        <v>51600</v>
      </c>
      <c r="G145" s="252">
        <f t="shared" si="19"/>
        <v>58000</v>
      </c>
      <c r="J145" s="230"/>
      <c r="K145" s="230"/>
      <c r="L145" s="252">
        <f>K143*E145</f>
        <v>98113400000</v>
      </c>
      <c r="M145" s="252">
        <f>K143*F145</f>
        <v>78612600000</v>
      </c>
      <c r="N145" s="252">
        <f t="shared" si="20"/>
        <v>88363000000</v>
      </c>
      <c r="P145" s="252"/>
      <c r="Q145" s="252"/>
      <c r="S145" s="348">
        <f>L145/Q143</f>
        <v>1.6422714148219442</v>
      </c>
      <c r="T145" s="348">
        <f>M145/Q143</f>
        <v>1.3158572205716199</v>
      </c>
      <c r="U145" s="1043">
        <f t="shared" si="21"/>
        <v>1.4790643176967819</v>
      </c>
      <c r="V145" s="2088" t="str">
        <f>Table245[[#This Row],[Column3]]</f>
        <v>2000-Q3</v>
      </c>
    </row>
    <row r="146" spans="1:22" x14ac:dyDescent="0.3">
      <c r="A146" s="211">
        <f t="shared" si="22"/>
        <v>2000</v>
      </c>
      <c r="B146" s="211" t="str">
        <f t="shared" si="23"/>
        <v>Q4</v>
      </c>
      <c r="C146" s="2088" t="str">
        <f t="shared" si="18"/>
        <v>2000-Q4</v>
      </c>
      <c r="E146" s="252">
        <v>71300</v>
      </c>
      <c r="F146" s="252">
        <v>53500</v>
      </c>
      <c r="G146" s="252">
        <f t="shared" si="19"/>
        <v>62400</v>
      </c>
      <c r="J146" s="230"/>
      <c r="K146" s="230"/>
      <c r="L146" s="252">
        <f>K143*E146</f>
        <v>108625550000</v>
      </c>
      <c r="M146" s="252">
        <f>K143*F146</f>
        <v>81507250000</v>
      </c>
      <c r="N146" s="252">
        <f t="shared" si="20"/>
        <v>95066400000</v>
      </c>
      <c r="P146" s="252"/>
      <c r="Q146" s="252"/>
      <c r="S146" s="348">
        <f>L146/Q143</f>
        <v>1.8182290664100096</v>
      </c>
      <c r="T146" s="348">
        <f>M146/Q143</f>
        <v>1.3643093275306524</v>
      </c>
      <c r="U146" s="1043">
        <f t="shared" si="21"/>
        <v>1.591269196970331</v>
      </c>
      <c r="V146" s="2088" t="str">
        <f>Table245[[#This Row],[Column3]]</f>
        <v>2000-Q4</v>
      </c>
    </row>
    <row r="147" spans="1:22" x14ac:dyDescent="0.3">
      <c r="A147" s="211">
        <f t="shared" si="22"/>
        <v>2001</v>
      </c>
      <c r="B147" s="211" t="str">
        <f t="shared" si="23"/>
        <v>Q1</v>
      </c>
      <c r="C147" s="2088" t="str">
        <f t="shared" si="18"/>
        <v>2001-Q1</v>
      </c>
      <c r="D147" s="211">
        <v>2001</v>
      </c>
      <c r="E147" s="252">
        <v>74600</v>
      </c>
      <c r="F147" s="252">
        <v>63000</v>
      </c>
      <c r="G147" s="252">
        <f t="shared" si="19"/>
        <v>68800</v>
      </c>
      <c r="I147" s="2088">
        <v>37256</v>
      </c>
      <c r="J147" s="230">
        <v>1528000</v>
      </c>
      <c r="K147" s="230">
        <f>AVERAGE(J143,J147)</f>
        <v>1527000</v>
      </c>
      <c r="L147" s="252">
        <f>K147*E147</f>
        <v>113914200000</v>
      </c>
      <c r="M147" s="252">
        <f>K147*F147</f>
        <v>96201000000</v>
      </c>
      <c r="N147" s="252">
        <f t="shared" si="20"/>
        <v>105057600000</v>
      </c>
      <c r="P147" s="252">
        <v>57950000000</v>
      </c>
      <c r="Q147" s="252">
        <f>AVERAGE(P143,P147)</f>
        <v>59837000000</v>
      </c>
      <c r="S147" s="348">
        <f>L147/Q147</f>
        <v>1.9037418319768704</v>
      </c>
      <c r="T147" s="348">
        <f>M147/Q147</f>
        <v>1.607717632902719</v>
      </c>
      <c r="U147" s="1043">
        <f t="shared" si="21"/>
        <v>1.7557297324397947</v>
      </c>
      <c r="V147" s="2088" t="str">
        <f>Table245[[#This Row],[Column3]]</f>
        <v>2001-Q1</v>
      </c>
    </row>
    <row r="148" spans="1:22" x14ac:dyDescent="0.3">
      <c r="A148" s="211">
        <f t="shared" si="22"/>
        <v>2001</v>
      </c>
      <c r="B148" s="211" t="str">
        <f t="shared" si="23"/>
        <v>Q2</v>
      </c>
      <c r="C148" s="2088" t="str">
        <f t="shared" si="18"/>
        <v>2001-Q2</v>
      </c>
      <c r="E148" s="252">
        <v>69800</v>
      </c>
      <c r="F148" s="252">
        <v>62800</v>
      </c>
      <c r="G148" s="252">
        <f t="shared" si="19"/>
        <v>66300</v>
      </c>
      <c r="J148" s="230"/>
      <c r="K148" s="230"/>
      <c r="L148" s="252">
        <f>K147*E148</f>
        <v>106584600000</v>
      </c>
      <c r="M148" s="252">
        <f>K147*F148</f>
        <v>95895600000</v>
      </c>
      <c r="N148" s="252">
        <f t="shared" si="20"/>
        <v>101240100000</v>
      </c>
      <c r="P148" s="252"/>
      <c r="Q148" s="252"/>
      <c r="S148" s="348">
        <f>L148/Q147</f>
        <v>1.7812490599461872</v>
      </c>
      <c r="T148" s="348">
        <f>M148/Q147</f>
        <v>1.6026137674014407</v>
      </c>
      <c r="U148" s="1043">
        <f t="shared" si="21"/>
        <v>1.6919314136738139</v>
      </c>
      <c r="V148" s="2088" t="str">
        <f>Table245[[#This Row],[Column3]]</f>
        <v>2001-Q2</v>
      </c>
    </row>
    <row r="149" spans="1:22" x14ac:dyDescent="0.3">
      <c r="A149" s="211">
        <f t="shared" si="22"/>
        <v>2001</v>
      </c>
      <c r="B149" s="211" t="str">
        <f t="shared" si="23"/>
        <v>Q3</v>
      </c>
      <c r="C149" s="2088" t="str">
        <f t="shared" si="18"/>
        <v>2001-Q3</v>
      </c>
      <c r="E149" s="252">
        <v>70900</v>
      </c>
      <c r="F149" s="252">
        <v>59000</v>
      </c>
      <c r="G149" s="252">
        <f t="shared" si="19"/>
        <v>64950</v>
      </c>
      <c r="J149" s="230"/>
      <c r="K149" s="230"/>
      <c r="L149" s="252">
        <f>K147*E149</f>
        <v>108264300000</v>
      </c>
      <c r="M149" s="252">
        <f>K147*F149</f>
        <v>90093000000</v>
      </c>
      <c r="N149" s="252">
        <f t="shared" si="20"/>
        <v>99178650000</v>
      </c>
      <c r="P149" s="252"/>
      <c r="Q149" s="252"/>
      <c r="S149" s="348">
        <f>L149/Q147</f>
        <v>1.8093203202032186</v>
      </c>
      <c r="T149" s="348">
        <f>M149/Q147</f>
        <v>1.5056403228771496</v>
      </c>
      <c r="U149" s="1043">
        <f t="shared" si="21"/>
        <v>1.6574803215401841</v>
      </c>
      <c r="V149" s="2088" t="str">
        <f>Table245[[#This Row],[Column3]]</f>
        <v>2001-Q3</v>
      </c>
    </row>
    <row r="150" spans="1:22" x14ac:dyDescent="0.3">
      <c r="A150" s="211">
        <f t="shared" si="22"/>
        <v>2001</v>
      </c>
      <c r="B150" s="211" t="str">
        <f t="shared" si="23"/>
        <v>Q4</v>
      </c>
      <c r="C150" s="2088" t="str">
        <f t="shared" si="18"/>
        <v>2001-Q4</v>
      </c>
      <c r="E150" s="252">
        <v>75600</v>
      </c>
      <c r="F150" s="252">
        <v>66600</v>
      </c>
      <c r="G150" s="252">
        <f t="shared" si="19"/>
        <v>71100</v>
      </c>
      <c r="J150" s="230"/>
      <c r="K150" s="230"/>
      <c r="L150" s="252">
        <f>K147*E150</f>
        <v>115441200000</v>
      </c>
      <c r="M150" s="252">
        <f>K147*F150</f>
        <v>101698200000</v>
      </c>
      <c r="N150" s="252">
        <f t="shared" si="20"/>
        <v>108569700000</v>
      </c>
      <c r="P150" s="252"/>
      <c r="Q150" s="252"/>
      <c r="S150" s="348">
        <f>L150/Q147</f>
        <v>1.9292611594832629</v>
      </c>
      <c r="T150" s="348">
        <f>M150/Q147</f>
        <v>1.6995872119257316</v>
      </c>
      <c r="U150" s="1043">
        <f t="shared" si="21"/>
        <v>1.8144241857044974</v>
      </c>
      <c r="V150" s="2088" t="str">
        <f>Table245[[#This Row],[Column3]]</f>
        <v>2001-Q4</v>
      </c>
    </row>
    <row r="151" spans="1:22" x14ac:dyDescent="0.3">
      <c r="A151" s="211">
        <f t="shared" si="22"/>
        <v>2002</v>
      </c>
      <c r="B151" s="211" t="str">
        <f t="shared" si="23"/>
        <v>Q1</v>
      </c>
      <c r="C151" s="2088" t="str">
        <f t="shared" si="18"/>
        <v>2002-Q1</v>
      </c>
      <c r="D151" s="211">
        <v>2002</v>
      </c>
      <c r="E151" s="252">
        <v>74900</v>
      </c>
      <c r="F151" s="252">
        <v>69000</v>
      </c>
      <c r="G151" s="252">
        <f t="shared" si="19"/>
        <v>71950</v>
      </c>
      <c r="I151" s="2088">
        <v>37621</v>
      </c>
      <c r="J151" s="230">
        <v>1535000</v>
      </c>
      <c r="K151" s="278">
        <f>AVERAGE(J147,J151)</f>
        <v>1531500</v>
      </c>
      <c r="L151" s="252">
        <f>K151*E151</f>
        <v>114709350000</v>
      </c>
      <c r="M151" s="252">
        <f>K151*F151</f>
        <v>105673500000</v>
      </c>
      <c r="N151" s="252">
        <f t="shared" si="20"/>
        <v>110191425000</v>
      </c>
      <c r="P151" s="252">
        <v>64037000000</v>
      </c>
      <c r="Q151" s="252">
        <f>AVERAGE(P147,P151)</f>
        <v>60993500000</v>
      </c>
      <c r="S151" s="348">
        <f>L151/Q151</f>
        <v>1.8806815480338068</v>
      </c>
      <c r="T151" s="348">
        <f>M151/Q151</f>
        <v>1.7325370736225991</v>
      </c>
      <c r="U151" s="1043">
        <f t="shared" si="21"/>
        <v>1.8066093108282031</v>
      </c>
      <c r="V151" s="2088" t="str">
        <f>Table245[[#This Row],[Column3]]</f>
        <v>2002-Q1</v>
      </c>
    </row>
    <row r="152" spans="1:22" x14ac:dyDescent="0.3">
      <c r="A152" s="211">
        <f t="shared" si="22"/>
        <v>2002</v>
      </c>
      <c r="B152" s="211" t="str">
        <f t="shared" si="23"/>
        <v>Q2</v>
      </c>
      <c r="C152" s="2088" t="str">
        <f t="shared" si="18"/>
        <v>2002-Q2</v>
      </c>
      <c r="E152" s="252">
        <v>78500</v>
      </c>
      <c r="F152" s="252">
        <v>66500</v>
      </c>
      <c r="G152" s="252">
        <f t="shared" si="19"/>
        <v>72500</v>
      </c>
      <c r="J152" s="230"/>
      <c r="L152" s="252">
        <f>K151*E152</f>
        <v>120222750000</v>
      </c>
      <c r="M152" s="252">
        <f>K151*F152</f>
        <v>101844750000</v>
      </c>
      <c r="N152" s="252">
        <f t="shared" si="20"/>
        <v>111033750000</v>
      </c>
      <c r="P152" s="252"/>
      <c r="Q152" s="252"/>
      <c r="S152" s="348">
        <f>L152/Q151</f>
        <v>1.9710747866575946</v>
      </c>
      <c r="T152" s="348">
        <f>M152/Q151</f>
        <v>1.6697639912449687</v>
      </c>
      <c r="U152" s="1043">
        <f t="shared" si="21"/>
        <v>1.8204193889512816</v>
      </c>
      <c r="V152" s="2088" t="str">
        <f>Table245[[#This Row],[Column3]]</f>
        <v>2002-Q2</v>
      </c>
    </row>
    <row r="153" spans="1:22" x14ac:dyDescent="0.3">
      <c r="A153" s="211">
        <f t="shared" si="22"/>
        <v>2002</v>
      </c>
      <c r="B153" s="211" t="str">
        <f t="shared" si="23"/>
        <v>Q3</v>
      </c>
      <c r="C153" s="2088" t="str">
        <f t="shared" si="18"/>
        <v>2002-Q3</v>
      </c>
      <c r="E153" s="252">
        <v>75900</v>
      </c>
      <c r="F153" s="252">
        <v>59600</v>
      </c>
      <c r="G153" s="252">
        <f t="shared" si="19"/>
        <v>67750</v>
      </c>
      <c r="J153" s="230"/>
      <c r="L153" s="252">
        <f>K151*E153</f>
        <v>116240850000</v>
      </c>
      <c r="M153" s="252">
        <f>K151*F153</f>
        <v>91277400000</v>
      </c>
      <c r="N153" s="252">
        <f t="shared" si="20"/>
        <v>103759125000</v>
      </c>
      <c r="P153" s="252"/>
      <c r="Q153" s="252"/>
      <c r="S153" s="348">
        <f>L153/Q151</f>
        <v>1.9057907809848591</v>
      </c>
      <c r="T153" s="348">
        <f>M153/Q151</f>
        <v>1.4965102838827089</v>
      </c>
      <c r="U153" s="1043">
        <f t="shared" si="21"/>
        <v>1.7011505324337839</v>
      </c>
      <c r="V153" s="2088" t="str">
        <f>Table245[[#This Row],[Column3]]</f>
        <v>2002-Q3</v>
      </c>
    </row>
    <row r="154" spans="1:22" x14ac:dyDescent="0.3">
      <c r="A154" s="211">
        <f t="shared" si="22"/>
        <v>2002</v>
      </c>
      <c r="B154" s="211" t="str">
        <f t="shared" si="23"/>
        <v>Q4</v>
      </c>
      <c r="C154" s="2088" t="str">
        <f t="shared" si="18"/>
        <v>2002-Q4</v>
      </c>
      <c r="E154" s="252">
        <v>75000</v>
      </c>
      <c r="F154" s="252">
        <v>67800</v>
      </c>
      <c r="G154" s="252">
        <f t="shared" ref="G154:G158" si="24">AVERAGE(E154:F154)</f>
        <v>71400</v>
      </c>
      <c r="J154" s="230"/>
      <c r="L154" s="252">
        <f>K151*E154</f>
        <v>114862500000</v>
      </c>
      <c r="M154" s="252">
        <f>K151*F154</f>
        <v>103835700000</v>
      </c>
      <c r="N154" s="252">
        <f t="shared" ref="N154:N158" si="25">AVERAGE(L154:M154)</f>
        <v>109349100000</v>
      </c>
      <c r="P154" s="252"/>
      <c r="Q154" s="252"/>
      <c r="S154" s="348">
        <f>L154/Q151</f>
        <v>1.8831924713289121</v>
      </c>
      <c r="T154" s="348">
        <f>M154/Q151</f>
        <v>1.7024059940813365</v>
      </c>
      <c r="U154" s="1043">
        <f t="shared" ref="U154:U158" si="26">AVERAGE(S154:T154)</f>
        <v>1.7927992327051243</v>
      </c>
      <c r="V154" s="2088" t="str">
        <f>Table245[[#This Row],[Column3]]</f>
        <v>2002-Q4</v>
      </c>
    </row>
    <row r="155" spans="1:22" x14ac:dyDescent="0.3">
      <c r="A155" s="211">
        <f t="shared" si="22"/>
        <v>2003</v>
      </c>
      <c r="B155" s="211" t="str">
        <f t="shared" si="23"/>
        <v>Q1</v>
      </c>
      <c r="C155" s="2088" t="str">
        <f t="shared" ref="C155:C162" si="27">CONCATENATE(A155,"-",B155)</f>
        <v>2003-Q1</v>
      </c>
      <c r="D155" s="211">
        <v>2003</v>
      </c>
      <c r="E155" s="252">
        <v>73005</v>
      </c>
      <c r="F155" s="252">
        <v>60600</v>
      </c>
      <c r="G155" s="252">
        <f t="shared" si="24"/>
        <v>66802.5</v>
      </c>
      <c r="I155" s="2088">
        <v>37986</v>
      </c>
      <c r="J155" s="230">
        <v>1537000</v>
      </c>
      <c r="K155" s="230">
        <f>AVERAGE(J151,J155)</f>
        <v>1536000</v>
      </c>
      <c r="L155" s="252">
        <f>K155*E155</f>
        <v>112135680000</v>
      </c>
      <c r="M155" s="252">
        <f>K155*F155</f>
        <v>93081600000</v>
      </c>
      <c r="N155" s="252">
        <f t="shared" si="25"/>
        <v>102608640000</v>
      </c>
      <c r="P155" s="252">
        <v>77596000000</v>
      </c>
      <c r="Q155" s="252">
        <f>AVERAGE(P151,P155)</f>
        <v>70816500000</v>
      </c>
      <c r="S155" s="348">
        <f>L155/Q155</f>
        <v>1.5834682595157907</v>
      </c>
      <c r="T155" s="348">
        <f>M155/Q155</f>
        <v>1.3144055410815276</v>
      </c>
      <c r="U155" s="1043">
        <f t="shared" si="26"/>
        <v>1.4489369002986592</v>
      </c>
      <c r="V155" s="2088" t="str">
        <f>Table245[[#This Row],[Column3]]</f>
        <v>2003-Q1</v>
      </c>
    </row>
    <row r="156" spans="1:22" x14ac:dyDescent="0.3">
      <c r="A156" s="211">
        <f t="shared" si="22"/>
        <v>2003</v>
      </c>
      <c r="B156" s="211" t="str">
        <f t="shared" si="23"/>
        <v>Q2</v>
      </c>
      <c r="C156" s="2088" t="str">
        <f t="shared" si="27"/>
        <v>2003-Q2</v>
      </c>
      <c r="E156" s="252">
        <v>75500</v>
      </c>
      <c r="F156" s="252">
        <v>64305</v>
      </c>
      <c r="G156" s="252">
        <f t="shared" si="24"/>
        <v>69902.5</v>
      </c>
      <c r="J156" s="230"/>
      <c r="K156" s="230"/>
      <c r="L156" s="252">
        <f>K155*E156</f>
        <v>115968000000</v>
      </c>
      <c r="M156" s="252">
        <f>K155*F156</f>
        <v>98772480000</v>
      </c>
      <c r="N156" s="252">
        <f t="shared" si="25"/>
        <v>107370240000</v>
      </c>
      <c r="P156" s="252"/>
      <c r="Q156" s="252"/>
      <c r="S156" s="348">
        <f>L156/Q155</f>
        <v>1.6375844612484378</v>
      </c>
      <c r="T156" s="348">
        <f>M156/Q155</f>
        <v>1.3947664739149774</v>
      </c>
      <c r="U156" s="1043">
        <f t="shared" si="26"/>
        <v>1.5161754675817076</v>
      </c>
      <c r="V156" s="2088" t="str">
        <f>Table245[[#This Row],[Column3]]</f>
        <v>2003-Q2</v>
      </c>
    </row>
    <row r="157" spans="1:22" x14ac:dyDescent="0.3">
      <c r="A157" s="211">
        <f t="shared" si="22"/>
        <v>2003</v>
      </c>
      <c r="B157" s="211" t="str">
        <f t="shared" si="23"/>
        <v>Q3</v>
      </c>
      <c r="C157" s="2088" t="str">
        <f t="shared" si="27"/>
        <v>2003-Q3</v>
      </c>
      <c r="E157" s="252">
        <v>76400</v>
      </c>
      <c r="F157" s="252">
        <v>70900</v>
      </c>
      <c r="G157" s="252">
        <f t="shared" si="24"/>
        <v>73650</v>
      </c>
      <c r="J157" s="230"/>
      <c r="K157" s="230"/>
      <c r="L157" s="252">
        <f>K155*E157</f>
        <v>117350400000</v>
      </c>
      <c r="M157" s="252">
        <f>K155*F157</f>
        <v>108902400000</v>
      </c>
      <c r="N157" s="252">
        <f t="shared" si="25"/>
        <v>113126400000</v>
      </c>
      <c r="P157" s="252"/>
      <c r="Q157" s="252"/>
      <c r="S157" s="348">
        <f>L157/Q155</f>
        <v>1.6571053356209358</v>
      </c>
      <c r="T157" s="348">
        <f>M157/Q155</f>
        <v>1.5378111033445596</v>
      </c>
      <c r="U157" s="1043">
        <f t="shared" si="26"/>
        <v>1.5974582194827476</v>
      </c>
      <c r="V157" s="2088" t="str">
        <f>Table245[[#This Row],[Column3]]</f>
        <v>2003-Q3</v>
      </c>
    </row>
    <row r="158" spans="1:22" x14ac:dyDescent="0.3">
      <c r="A158" s="211">
        <f t="shared" si="22"/>
        <v>2003</v>
      </c>
      <c r="B158" s="211" t="str">
        <f t="shared" si="23"/>
        <v>Q4</v>
      </c>
      <c r="C158" s="2088" t="str">
        <f t="shared" si="27"/>
        <v>2003-Q4</v>
      </c>
      <c r="E158" s="252">
        <v>84700</v>
      </c>
      <c r="F158" s="252">
        <v>75150</v>
      </c>
      <c r="G158" s="252">
        <f t="shared" si="24"/>
        <v>79925</v>
      </c>
      <c r="J158" s="230"/>
      <c r="K158" s="230"/>
      <c r="L158" s="252">
        <f>K155*E158</f>
        <v>130099200000</v>
      </c>
      <c r="M158" s="252">
        <f>K155*F158</f>
        <v>115430400000</v>
      </c>
      <c r="N158" s="252">
        <f t="shared" si="25"/>
        <v>122764800000</v>
      </c>
      <c r="P158" s="252"/>
      <c r="Q158" s="252"/>
      <c r="S158" s="348">
        <f>L158/Q155</f>
        <v>1.8371311770561944</v>
      </c>
      <c r="T158" s="348">
        <f>M158/Q155</f>
        <v>1.6299930101035776</v>
      </c>
      <c r="U158" s="1043">
        <f t="shared" si="26"/>
        <v>1.7335620935798861</v>
      </c>
      <c r="V158" s="2088" t="str">
        <f>Table245[[#This Row],[Column3]]</f>
        <v>2003-Q4</v>
      </c>
    </row>
    <row r="159" spans="1:22" x14ac:dyDescent="0.3">
      <c r="A159" s="211">
        <f t="shared" si="22"/>
        <v>2004</v>
      </c>
      <c r="B159" s="211" t="str">
        <f t="shared" si="23"/>
        <v>Q1</v>
      </c>
      <c r="C159" s="2088" t="str">
        <f t="shared" si="27"/>
        <v>2004-Q1</v>
      </c>
      <c r="D159" s="211">
        <v>2004</v>
      </c>
      <c r="E159" s="252">
        <v>95700</v>
      </c>
      <c r="F159" s="252">
        <v>84000</v>
      </c>
      <c r="G159" s="252">
        <f t="shared" ref="G159:G161" si="28">AVERAGE(E159:F159)</f>
        <v>89850</v>
      </c>
      <c r="I159" s="2088">
        <v>38352</v>
      </c>
      <c r="J159" s="230">
        <v>1539000</v>
      </c>
      <c r="K159" s="230">
        <f>AVERAGE(J155,J159)</f>
        <v>1538000</v>
      </c>
      <c r="L159" s="252">
        <f>K159*E159</f>
        <v>147186600000</v>
      </c>
      <c r="M159" s="252">
        <f>K159*F159</f>
        <v>129192000000</v>
      </c>
      <c r="N159" s="252">
        <f t="shared" ref="N159:N161" si="29">AVERAGE(L159:M159)</f>
        <v>138189300000</v>
      </c>
      <c r="P159" s="252">
        <v>85900000000</v>
      </c>
      <c r="Q159" s="252">
        <f>AVERAGE(P155,P159)</f>
        <v>81748000000</v>
      </c>
      <c r="S159" s="348">
        <f>L159/Q159</f>
        <v>1.8004917551499731</v>
      </c>
      <c r="T159" s="348">
        <f>M159/Q159</f>
        <v>1.5803689386896316</v>
      </c>
      <c r="U159" s="1043">
        <f t="shared" ref="U159:U161" si="30">AVERAGE(S159:T159)</f>
        <v>1.6904303469198023</v>
      </c>
      <c r="V159" s="2088" t="str">
        <f>Table245[[#This Row],[Column3]]</f>
        <v>2004-Q1</v>
      </c>
    </row>
    <row r="160" spans="1:22" x14ac:dyDescent="0.3">
      <c r="A160" s="211">
        <f t="shared" si="22"/>
        <v>2004</v>
      </c>
      <c r="B160" s="211" t="str">
        <f t="shared" si="23"/>
        <v>Q2</v>
      </c>
      <c r="C160" s="2088" t="str">
        <f t="shared" si="27"/>
        <v>2004-Q2</v>
      </c>
      <c r="E160" s="252">
        <v>95650</v>
      </c>
      <c r="F160" s="252">
        <v>85100</v>
      </c>
      <c r="G160" s="252">
        <f t="shared" si="28"/>
        <v>90375</v>
      </c>
      <c r="J160" s="230"/>
      <c r="K160" s="230"/>
      <c r="L160" s="252">
        <f>K159*E160</f>
        <v>147109700000</v>
      </c>
      <c r="M160" s="252">
        <f>K159*F160</f>
        <v>130883800000</v>
      </c>
      <c r="N160" s="252">
        <f t="shared" si="29"/>
        <v>138996750000</v>
      </c>
      <c r="P160" s="252"/>
      <c r="Q160" s="252"/>
      <c r="S160" s="348">
        <f>L160/Q159</f>
        <v>1.7995510593531341</v>
      </c>
      <c r="T160" s="348">
        <f>M160/Q159</f>
        <v>1.601064246220091</v>
      </c>
      <c r="U160" s="1043">
        <f t="shared" si="30"/>
        <v>1.7003076527866126</v>
      </c>
      <c r="V160" s="2088" t="str">
        <f>Table245[[#This Row],[Column3]]</f>
        <v>2004-Q2</v>
      </c>
    </row>
    <row r="161" spans="1:22" x14ac:dyDescent="0.3">
      <c r="A161" s="211">
        <f t="shared" si="22"/>
        <v>2004</v>
      </c>
      <c r="B161" s="211" t="str">
        <f t="shared" si="23"/>
        <v>Q3</v>
      </c>
      <c r="C161" s="2088" t="str">
        <f t="shared" si="27"/>
        <v>2004-Q3</v>
      </c>
      <c r="E161" s="252">
        <v>90750</v>
      </c>
      <c r="F161" s="252">
        <v>83400</v>
      </c>
      <c r="G161" s="252">
        <f t="shared" si="28"/>
        <v>87075</v>
      </c>
      <c r="J161" s="230"/>
      <c r="K161" s="230"/>
      <c r="L161" s="252">
        <f>K159*E161</f>
        <v>139573500000</v>
      </c>
      <c r="M161" s="252">
        <f>K159*F161</f>
        <v>128269200000</v>
      </c>
      <c r="N161" s="252">
        <f t="shared" si="29"/>
        <v>133921350000</v>
      </c>
      <c r="P161" s="252"/>
      <c r="Q161" s="252"/>
      <c r="S161" s="348">
        <f>L161/Q159</f>
        <v>1.7073628712629054</v>
      </c>
      <c r="T161" s="348">
        <f>M161/Q159</f>
        <v>1.5690805891275628</v>
      </c>
      <c r="U161" s="1043">
        <f t="shared" si="30"/>
        <v>1.6382217301952342</v>
      </c>
      <c r="V161" s="2088" t="str">
        <f>Table245[[#This Row],[Column3]]</f>
        <v>2004-Q3</v>
      </c>
    </row>
    <row r="162" spans="1:22" x14ac:dyDescent="0.3">
      <c r="A162" s="211">
        <f t="shared" si="22"/>
        <v>2004</v>
      </c>
      <c r="B162" s="211" t="str">
        <f t="shared" si="23"/>
        <v>Q4</v>
      </c>
      <c r="C162" s="2088" t="str">
        <f t="shared" si="27"/>
        <v>2004-Q4</v>
      </c>
      <c r="E162" s="252">
        <v>89500</v>
      </c>
      <c r="F162" s="252">
        <v>81150</v>
      </c>
      <c r="G162" s="252">
        <f>AVERAGE(E162:F162)</f>
        <v>85325</v>
      </c>
      <c r="J162" s="230"/>
      <c r="K162" s="230"/>
      <c r="L162" s="252">
        <f>K159*E162</f>
        <v>137651000000</v>
      </c>
      <c r="M162" s="252">
        <f>K159*F162</f>
        <v>124808700000</v>
      </c>
      <c r="N162" s="252">
        <f>AVERAGE(L162:M162)</f>
        <v>131229850000</v>
      </c>
      <c r="P162" s="252"/>
      <c r="Q162" s="252"/>
      <c r="S162" s="348">
        <f>L162/Q159</f>
        <v>1.6838454763419288</v>
      </c>
      <c r="T162" s="348">
        <f>M162/Q159</f>
        <v>1.5267492782698047</v>
      </c>
      <c r="U162" s="1043">
        <f>AVERAGE(S162:T162)</f>
        <v>1.6052973773058667</v>
      </c>
      <c r="V162" s="2088" t="str">
        <f>Table245[[#This Row],[Column3]]</f>
        <v>2004-Q4</v>
      </c>
    </row>
    <row r="163" spans="1:22" x14ac:dyDescent="0.3">
      <c r="C163" s="2088" t="str">
        <f>CONCATENATE(A163,"-",B163)</f>
        <v>-</v>
      </c>
      <c r="D163" s="211">
        <v>2005</v>
      </c>
      <c r="E163" s="252"/>
      <c r="F163" s="252"/>
      <c r="G163" s="252"/>
      <c r="J163" s="230"/>
      <c r="K163" s="230"/>
      <c r="L163" s="252"/>
      <c r="M163" s="252"/>
      <c r="N163" s="252"/>
      <c r="P163" s="252"/>
      <c r="Q163" s="252"/>
      <c r="S163" s="348"/>
      <c r="T163" s="348"/>
      <c r="U163" s="1043"/>
      <c r="V163" s="2088" t="str">
        <f>Table245[[#This Row],[Column3]]</f>
        <v>-</v>
      </c>
    </row>
    <row r="165" spans="1:22" x14ac:dyDescent="0.3">
      <c r="I165" s="211" t="s">
        <v>3132</v>
      </c>
    </row>
    <row r="166" spans="1:22" x14ac:dyDescent="0.3">
      <c r="G166" s="227">
        <f>(G162/G122)^(1/10)-1</f>
        <v>0.15612456787707885</v>
      </c>
      <c r="I166" s="211">
        <v>25</v>
      </c>
      <c r="J166" s="211">
        <f>I166/100</f>
        <v>0.25</v>
      </c>
    </row>
    <row r="167" spans="1:22" x14ac:dyDescent="0.3">
      <c r="I167" s="211">
        <v>57.4</v>
      </c>
      <c r="J167" s="211">
        <f t="shared" ref="J167:J176" si="31">I167/100</f>
        <v>0.57399999999999995</v>
      </c>
    </row>
    <row r="168" spans="1:22" x14ac:dyDescent="0.3">
      <c r="I168" s="211">
        <v>6.2</v>
      </c>
      <c r="J168" s="211">
        <f t="shared" si="31"/>
        <v>6.2E-2</v>
      </c>
    </row>
    <row r="169" spans="1:22" x14ac:dyDescent="0.3">
      <c r="I169" s="211">
        <v>34.9</v>
      </c>
      <c r="J169" s="211">
        <f t="shared" si="31"/>
        <v>0.34899999999999998</v>
      </c>
    </row>
    <row r="170" spans="1:22" x14ac:dyDescent="0.3">
      <c r="I170" s="211">
        <v>52.2</v>
      </c>
      <c r="J170" s="211">
        <f t="shared" si="31"/>
        <v>0.52200000000000002</v>
      </c>
    </row>
    <row r="171" spans="1:22" x14ac:dyDescent="0.3">
      <c r="I171" s="211">
        <v>-19.899999999999999</v>
      </c>
      <c r="J171" s="211">
        <f t="shared" si="31"/>
        <v>-0.19899999999999998</v>
      </c>
    </row>
    <row r="172" spans="1:22" x14ac:dyDescent="0.3">
      <c r="I172" s="211">
        <v>26.6</v>
      </c>
      <c r="J172" s="211">
        <f t="shared" si="31"/>
        <v>0.26600000000000001</v>
      </c>
    </row>
    <row r="173" spans="1:22" x14ac:dyDescent="0.3">
      <c r="I173" s="211">
        <v>6.5</v>
      </c>
      <c r="J173" s="211">
        <f t="shared" si="31"/>
        <v>6.5000000000000002E-2</v>
      </c>
      <c r="U173" s="226"/>
    </row>
    <row r="174" spans="1:22" x14ac:dyDescent="0.3">
      <c r="I174" s="211">
        <v>-3.8</v>
      </c>
      <c r="J174" s="211">
        <f t="shared" si="31"/>
        <v>-3.7999999999999999E-2</v>
      </c>
      <c r="U174" s="226">
        <f>U162/U122-1</f>
        <v>-0.24016641845964903</v>
      </c>
    </row>
    <row r="175" spans="1:22" x14ac:dyDescent="0.3">
      <c r="I175" s="211">
        <v>15.8</v>
      </c>
      <c r="J175" s="211">
        <f t="shared" si="31"/>
        <v>0.158</v>
      </c>
      <c r="U175" s="227">
        <f>(1+U174)^(1/10)-1</f>
        <v>-2.7091834545375115E-2</v>
      </c>
    </row>
    <row r="176" spans="1:22" x14ac:dyDescent="0.3">
      <c r="I176" s="211">
        <v>4.3</v>
      </c>
      <c r="J176" s="211">
        <f t="shared" si="31"/>
        <v>4.2999999999999997E-2</v>
      </c>
    </row>
    <row r="177" spans="10:10" x14ac:dyDescent="0.3">
      <c r="J177" s="211">
        <f>FVSCHEDULE(1,J166:J176)^(1/10)-1</f>
        <v>0.18332751494789834</v>
      </c>
    </row>
  </sheetData>
  <pageMargins left="0.7" right="0.7" top="0.75" bottom="0.75" header="0.3" footer="0.3"/>
  <pageSetup orientation="portrait" r:id="rId1"/>
  <drawing r:id="rId2"/>
  <tableParts count="1">
    <tablePart r:id="rId3"/>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6F71-F74C-4415-B839-F6EAF05C11ED}">
  <sheetPr codeName="Sheet48">
    <tabColor theme="9" tint="0.59999389629810485"/>
  </sheetPr>
  <dimension ref="A1:T119"/>
  <sheetViews>
    <sheetView showGridLines="0" zoomScale="55" zoomScaleNormal="55" workbookViewId="0">
      <selection activeCell="J26" sqref="J26"/>
    </sheetView>
  </sheetViews>
  <sheetFormatPr defaultColWidth="8.6640625" defaultRowHeight="15.6" outlineLevelRow="1" x14ac:dyDescent="0.3"/>
  <cols>
    <col min="1" max="1" width="55.5546875" style="211" customWidth="1"/>
    <col min="2" max="2" width="10.33203125" style="211" bestFit="1" customWidth="1"/>
    <col min="3" max="3" width="1.88671875" style="211" customWidth="1"/>
    <col min="4" max="4" width="10.33203125" style="211" bestFit="1" customWidth="1"/>
    <col min="5" max="5" width="1.88671875" style="211" customWidth="1"/>
    <col min="6" max="6" width="10.33203125" style="211" bestFit="1" customWidth="1"/>
    <col min="7" max="7" width="1.88671875" style="211" customWidth="1"/>
    <col min="8" max="8" width="10.33203125" style="211" bestFit="1" customWidth="1"/>
    <col min="9" max="9" width="1.88671875" style="211" customWidth="1"/>
    <col min="10" max="10" width="10.33203125" style="211" bestFit="1" customWidth="1"/>
    <col min="11" max="11" width="1.88671875" style="211" customWidth="1"/>
    <col min="12" max="12" width="10.33203125" style="211" bestFit="1" customWidth="1"/>
    <col min="13" max="13" width="1.88671875" style="211" customWidth="1"/>
    <col min="14" max="14" width="10.33203125" style="356" bestFit="1" customWidth="1"/>
    <col min="15" max="15" width="1.88671875" style="211" customWidth="1"/>
    <col min="16" max="16" width="10.33203125" style="356" bestFit="1" customWidth="1"/>
    <col min="17" max="17" width="1.88671875" style="211" customWidth="1"/>
    <col min="18" max="18" width="10.33203125" style="356" bestFit="1" customWidth="1"/>
    <col min="19" max="19" width="1.88671875" style="211" customWidth="1"/>
    <col min="20" max="20" width="10.33203125" style="356" bestFit="1" customWidth="1"/>
    <col min="21" max="16384" width="8.6640625" style="211"/>
  </cols>
  <sheetData>
    <row r="1" spans="1:20" s="345" customFormat="1" outlineLevel="1" x14ac:dyDescent="0.3">
      <c r="A1" s="345" t="s">
        <v>708</v>
      </c>
      <c r="B1" s="345">
        <v>2004</v>
      </c>
      <c r="D1" s="345">
        <v>2004</v>
      </c>
      <c r="F1" s="345">
        <v>2004</v>
      </c>
      <c r="H1" s="345">
        <v>2004</v>
      </c>
      <c r="J1" s="345">
        <v>2004</v>
      </c>
      <c r="L1" s="345">
        <v>1999</v>
      </c>
      <c r="N1" s="345">
        <v>1999</v>
      </c>
      <c r="P1" s="345">
        <v>1999</v>
      </c>
      <c r="R1" s="345">
        <v>1999</v>
      </c>
      <c r="T1" s="345">
        <v>1999</v>
      </c>
    </row>
    <row r="2" spans="1:20" x14ac:dyDescent="0.3">
      <c r="N2" s="211"/>
      <c r="P2" s="211"/>
      <c r="R2" s="211"/>
      <c r="T2" s="211"/>
    </row>
    <row r="3" spans="1:20" x14ac:dyDescent="0.3">
      <c r="A3" s="459" t="s">
        <v>1673</v>
      </c>
      <c r="N3" s="211"/>
      <c r="P3" s="211"/>
      <c r="R3" s="211"/>
      <c r="T3" s="211"/>
    </row>
    <row r="4" spans="1:20" x14ac:dyDescent="0.3">
      <c r="A4" s="152" t="s">
        <v>1791</v>
      </c>
      <c r="N4" s="211"/>
      <c r="P4" s="211"/>
      <c r="R4" s="211"/>
      <c r="T4" s="211"/>
    </row>
    <row r="5" spans="1:20" ht="6.6" customHeight="1" thickBot="1" x14ac:dyDescent="0.35">
      <c r="N5" s="211"/>
      <c r="P5" s="211"/>
      <c r="R5" s="211"/>
      <c r="T5" s="211"/>
    </row>
    <row r="6" spans="1:20" x14ac:dyDescent="0.3">
      <c r="A6" s="956" t="s">
        <v>1947</v>
      </c>
      <c r="B6" s="960">
        <v>2004</v>
      </c>
      <c r="C6" s="960"/>
      <c r="D6" s="960">
        <v>2003</v>
      </c>
      <c r="E6" s="960"/>
      <c r="F6" s="960">
        <f>D6-1</f>
        <v>2002</v>
      </c>
      <c r="G6" s="960"/>
      <c r="H6" s="960">
        <f>F6-1</f>
        <v>2001</v>
      </c>
      <c r="I6" s="960"/>
      <c r="J6" s="960">
        <f>H6-1</f>
        <v>2000</v>
      </c>
      <c r="K6" s="960"/>
      <c r="L6" s="960">
        <f>J6-1</f>
        <v>1999</v>
      </c>
      <c r="M6" s="960"/>
      <c r="N6" s="960">
        <f>L6-1</f>
        <v>1998</v>
      </c>
      <c r="O6" s="960"/>
      <c r="P6" s="960">
        <f>N6-1</f>
        <v>1997</v>
      </c>
      <c r="Q6" s="960"/>
      <c r="R6" s="960">
        <f>P6-1</f>
        <v>1996</v>
      </c>
      <c r="S6" s="960"/>
      <c r="T6" s="961">
        <f>R6-1</f>
        <v>1995</v>
      </c>
    </row>
    <row r="7" spans="1:20" x14ac:dyDescent="0.3">
      <c r="A7" s="1437" t="s">
        <v>561</v>
      </c>
      <c r="B7" s="1375"/>
      <c r="C7" s="1375"/>
      <c r="D7" s="1375"/>
      <c r="E7" s="1375"/>
      <c r="F7" s="1375"/>
      <c r="G7" s="1375"/>
      <c r="H7" s="1375"/>
      <c r="I7" s="1375"/>
      <c r="J7" s="1375"/>
      <c r="K7" s="1375"/>
      <c r="L7" s="1375"/>
      <c r="M7" s="1375"/>
      <c r="N7" s="1375"/>
      <c r="O7" s="1375"/>
      <c r="P7" s="1375"/>
      <c r="Q7" s="1375"/>
      <c r="R7" s="1375"/>
      <c r="S7" s="1375"/>
      <c r="T7" s="1374"/>
    </row>
    <row r="8" spans="1:20" x14ac:dyDescent="0.3">
      <c r="A8" s="1376" t="s">
        <v>698</v>
      </c>
      <c r="B8" s="1438">
        <v>21085</v>
      </c>
      <c r="C8" s="1438"/>
      <c r="D8" s="1438">
        <v>21493</v>
      </c>
      <c r="E8" s="1438"/>
      <c r="F8" s="1438">
        <v>19182</v>
      </c>
      <c r="G8" s="1438"/>
      <c r="H8" s="1438">
        <v>17905</v>
      </c>
      <c r="I8" s="1438"/>
      <c r="J8" s="1438">
        <v>19343</v>
      </c>
      <c r="K8" s="1438"/>
      <c r="L8" s="1438">
        <v>14306</v>
      </c>
      <c r="M8" s="1438"/>
      <c r="N8" s="1438">
        <v>5481</v>
      </c>
      <c r="O8" s="1438"/>
      <c r="P8" s="1438">
        <v>4761</v>
      </c>
      <c r="Q8" s="1438"/>
      <c r="R8" s="1438">
        <v>4118</v>
      </c>
      <c r="S8" s="1438"/>
      <c r="T8" s="1439">
        <v>957</v>
      </c>
    </row>
    <row r="9" spans="1:20" x14ac:dyDescent="0.3">
      <c r="A9" s="1376" t="s">
        <v>697</v>
      </c>
      <c r="B9" s="1440">
        <v>43222</v>
      </c>
      <c r="C9" s="1440"/>
      <c r="D9" s="1440">
        <v>32098</v>
      </c>
      <c r="E9" s="1440"/>
      <c r="F9" s="1440">
        <v>16958</v>
      </c>
      <c r="G9" s="1440"/>
      <c r="H9" s="1440">
        <v>14507</v>
      </c>
      <c r="I9" s="1440"/>
      <c r="J9" s="1440">
        <v>7000</v>
      </c>
      <c r="K9" s="1440"/>
      <c r="L9" s="1440">
        <v>5918</v>
      </c>
      <c r="M9" s="1440"/>
      <c r="N9" s="1440">
        <v>4675</v>
      </c>
      <c r="O9" s="1440"/>
      <c r="P9" s="1440">
        <v>3615</v>
      </c>
      <c r="Q9" s="1440"/>
      <c r="R9" s="1440">
        <v>3095</v>
      </c>
      <c r="S9" s="1440"/>
      <c r="T9" s="1441">
        <v>2756</v>
      </c>
    </row>
    <row r="10" spans="1:20" x14ac:dyDescent="0.3">
      <c r="A10" s="1376" t="s">
        <v>829</v>
      </c>
      <c r="B10" s="1440">
        <v>2816</v>
      </c>
      <c r="C10" s="1440"/>
      <c r="D10" s="1440">
        <v>3098</v>
      </c>
      <c r="E10" s="1440"/>
      <c r="F10" s="1440">
        <v>2943</v>
      </c>
      <c r="G10" s="1440"/>
      <c r="H10" s="1440">
        <v>2765</v>
      </c>
      <c r="I10" s="1440"/>
      <c r="J10" s="1440">
        <v>2685</v>
      </c>
      <c r="K10" s="1440"/>
      <c r="L10" s="1440">
        <v>2314</v>
      </c>
      <c r="M10" s="1440"/>
      <c r="N10" s="1440">
        <v>1049</v>
      </c>
      <c r="O10" s="1440"/>
      <c r="P10" s="1440">
        <v>916</v>
      </c>
      <c r="Q10" s="1440"/>
      <c r="R10" s="1440">
        <v>778</v>
      </c>
      <c r="S10" s="1440"/>
      <c r="T10" s="1441">
        <v>629</v>
      </c>
    </row>
    <row r="11" spans="1:20" ht="31.2" x14ac:dyDescent="0.3">
      <c r="A11" s="1376" t="s">
        <v>830</v>
      </c>
      <c r="B11" s="1442">
        <v>3763</v>
      </c>
      <c r="C11" s="1442"/>
      <c r="D11" s="1442">
        <v>3041</v>
      </c>
      <c r="E11" s="1442"/>
      <c r="F11" s="1442">
        <v>2234</v>
      </c>
      <c r="G11" s="1442"/>
      <c r="H11" s="1442">
        <v>1928</v>
      </c>
      <c r="I11" s="1442"/>
      <c r="J11" s="1442">
        <v>1322</v>
      </c>
      <c r="K11" s="1442"/>
      <c r="L11" s="1443">
        <v>125</v>
      </c>
      <c r="M11" s="1442"/>
      <c r="N11" s="1443">
        <v>212</v>
      </c>
      <c r="O11" s="1442"/>
      <c r="P11" s="1443">
        <v>32</v>
      </c>
      <c r="Q11" s="1442"/>
      <c r="R11" s="1443">
        <v>25</v>
      </c>
      <c r="S11" s="1442"/>
      <c r="T11" s="1444">
        <v>27</v>
      </c>
    </row>
    <row r="12" spans="1:20" ht="18.600000000000001" x14ac:dyDescent="0.3">
      <c r="A12" s="1376" t="s">
        <v>1785</v>
      </c>
      <c r="B12" s="1440">
        <v>3496</v>
      </c>
      <c r="C12" s="1440"/>
      <c r="D12" s="1440">
        <v>4129</v>
      </c>
      <c r="E12" s="1440"/>
      <c r="F12" s="1440">
        <v>918</v>
      </c>
      <c r="G12" s="1440"/>
      <c r="H12" s="1440">
        <v>1488</v>
      </c>
      <c r="I12" s="1440"/>
      <c r="J12" s="1440">
        <v>4499</v>
      </c>
      <c r="K12" s="1440"/>
      <c r="L12" s="1440">
        <v>1365</v>
      </c>
      <c r="M12" s="1440"/>
      <c r="N12" s="1440">
        <v>2415</v>
      </c>
      <c r="O12" s="1440"/>
      <c r="P12" s="1440">
        <v>1106</v>
      </c>
      <c r="Q12" s="1440"/>
      <c r="R12" s="1440">
        <v>2484</v>
      </c>
      <c r="S12" s="1440"/>
      <c r="T12" s="1441">
        <v>194</v>
      </c>
    </row>
    <row r="13" spans="1:20" ht="16.2" thickBot="1" x14ac:dyDescent="0.35">
      <c r="A13" s="1376" t="s">
        <v>702</v>
      </c>
      <c r="B13" s="1617">
        <f>SUM(B8:B12)</f>
        <v>74382</v>
      </c>
      <c r="C13" s="1612"/>
      <c r="D13" s="1617">
        <f>SUM(D8:D12)</f>
        <v>63859</v>
      </c>
      <c r="E13" s="1612"/>
      <c r="F13" s="1617">
        <f>SUM(F8:F12)</f>
        <v>42235</v>
      </c>
      <c r="G13" s="1612"/>
      <c r="H13" s="1617">
        <f>SUM(H8:H12)</f>
        <v>38593</v>
      </c>
      <c r="I13" s="1612"/>
      <c r="J13" s="1617">
        <f>SUM(J8:J12)</f>
        <v>34849</v>
      </c>
      <c r="K13" s="1612"/>
      <c r="L13" s="1617">
        <f>SUM(L8:L12)</f>
        <v>24028</v>
      </c>
      <c r="M13" s="1612"/>
      <c r="N13" s="1617">
        <f>SUM(N8:N12)</f>
        <v>13832</v>
      </c>
      <c r="O13" s="1612"/>
      <c r="P13" s="1617">
        <f>SUM(P8:P12)</f>
        <v>10430</v>
      </c>
      <c r="Q13" s="1612"/>
      <c r="R13" s="1617">
        <f>SUM(R8:R12)</f>
        <v>10500</v>
      </c>
      <c r="S13" s="1612"/>
      <c r="T13" s="1618">
        <f>SUM(T8:T12)</f>
        <v>4563</v>
      </c>
    </row>
    <row r="14" spans="1:20" ht="8.25" customHeight="1" thickTop="1" x14ac:dyDescent="0.3">
      <c r="A14" s="1376"/>
      <c r="B14" s="1448"/>
      <c r="C14" s="1448"/>
      <c r="D14" s="1448"/>
      <c r="E14" s="1448"/>
      <c r="F14" s="1448"/>
      <c r="G14" s="1448"/>
      <c r="H14" s="1448"/>
      <c r="I14" s="1448"/>
      <c r="J14" s="1448"/>
      <c r="K14" s="1448"/>
      <c r="L14" s="1448"/>
      <c r="M14" s="1448"/>
      <c r="N14" s="1448"/>
      <c r="O14" s="1448"/>
      <c r="P14" s="1448"/>
      <c r="Q14" s="1448"/>
      <c r="R14" s="1448"/>
      <c r="S14" s="1448"/>
      <c r="T14" s="967"/>
    </row>
    <row r="15" spans="1:20" x14ac:dyDescent="0.3">
      <c r="A15" s="1437" t="s">
        <v>694</v>
      </c>
      <c r="B15" s="1375"/>
      <c r="C15" s="1375"/>
      <c r="D15" s="1375"/>
      <c r="E15" s="1375"/>
      <c r="F15" s="1375"/>
      <c r="G15" s="1375"/>
      <c r="H15" s="1375"/>
      <c r="I15" s="1375"/>
      <c r="J15" s="1375"/>
      <c r="K15" s="1375"/>
      <c r="L15" s="1375"/>
      <c r="M15" s="1375"/>
      <c r="N15" s="1375"/>
      <c r="O15" s="1375"/>
      <c r="P15" s="1375"/>
      <c r="Q15" s="1375"/>
      <c r="R15" s="1375"/>
      <c r="S15" s="1375"/>
      <c r="T15" s="1374"/>
    </row>
    <row r="16" spans="1:20" ht="19.2" thickBot="1" x14ac:dyDescent="0.35">
      <c r="A16" s="1376" t="s">
        <v>1786</v>
      </c>
      <c r="B16" s="1611">
        <v>7308</v>
      </c>
      <c r="C16" s="1612"/>
      <c r="D16" s="1611">
        <v>8151</v>
      </c>
      <c r="E16" s="1612"/>
      <c r="F16" s="1611">
        <v>4286</v>
      </c>
      <c r="G16" s="1612"/>
      <c r="H16" s="1611">
        <v>795</v>
      </c>
      <c r="I16" s="1612"/>
      <c r="J16" s="1611">
        <v>3328</v>
      </c>
      <c r="K16" s="1612"/>
      <c r="L16" s="1611">
        <v>1557</v>
      </c>
      <c r="M16" s="1612"/>
      <c r="N16" s="1611">
        <v>2830</v>
      </c>
      <c r="O16" s="1612"/>
      <c r="P16" s="1611">
        <v>1901</v>
      </c>
      <c r="Q16" s="1612"/>
      <c r="R16" s="1611">
        <v>2489</v>
      </c>
      <c r="S16" s="1612"/>
      <c r="T16" s="1613">
        <v>795</v>
      </c>
    </row>
    <row r="17" spans="1:20" ht="14.4" customHeight="1" thickTop="1" x14ac:dyDescent="0.3">
      <c r="A17" s="1376"/>
      <c r="B17" s="1614"/>
      <c r="C17" s="1615"/>
      <c r="D17" s="1614"/>
      <c r="E17" s="1615"/>
      <c r="F17" s="1614"/>
      <c r="G17" s="1615"/>
      <c r="H17" s="1614"/>
      <c r="I17" s="1615"/>
      <c r="J17" s="1614"/>
      <c r="K17" s="1615"/>
      <c r="L17" s="1614"/>
      <c r="M17" s="1615"/>
      <c r="N17" s="1614"/>
      <c r="O17" s="1615"/>
      <c r="P17" s="1614"/>
      <c r="Q17" s="1615"/>
      <c r="R17" s="1614"/>
      <c r="S17" s="1615"/>
      <c r="T17" s="1616"/>
    </row>
    <row r="18" spans="1:20" ht="19.2" thickBot="1" x14ac:dyDescent="0.35">
      <c r="A18" s="1376" t="s">
        <v>1787</v>
      </c>
      <c r="B18" s="1611">
        <v>4753</v>
      </c>
      <c r="C18" s="1612"/>
      <c r="D18" s="1611">
        <v>5309</v>
      </c>
      <c r="E18" s="1612"/>
      <c r="F18" s="1611">
        <v>2795</v>
      </c>
      <c r="G18" s="1612"/>
      <c r="H18" s="1611">
        <v>521</v>
      </c>
      <c r="I18" s="1612"/>
      <c r="J18" s="1611">
        <v>2185</v>
      </c>
      <c r="K18" s="1612"/>
      <c r="L18" s="1611">
        <v>1025</v>
      </c>
      <c r="M18" s="1612"/>
      <c r="N18" s="1611">
        <v>2262</v>
      </c>
      <c r="O18" s="1612"/>
      <c r="P18" s="1611">
        <v>1542</v>
      </c>
      <c r="Q18" s="1612"/>
      <c r="R18" s="1611">
        <v>2065</v>
      </c>
      <c r="S18" s="1612"/>
      <c r="T18" s="1613">
        <v>670</v>
      </c>
    </row>
    <row r="19" spans="1:20" ht="9.75" customHeight="1" thickTop="1" x14ac:dyDescent="0.3">
      <c r="A19" s="214"/>
      <c r="N19" s="211"/>
      <c r="P19" s="211"/>
      <c r="R19" s="211"/>
      <c r="T19" s="223"/>
    </row>
    <row r="20" spans="1:20" ht="18" x14ac:dyDescent="0.3">
      <c r="A20" s="1437" t="s">
        <v>1788</v>
      </c>
      <c r="B20" s="1375"/>
      <c r="C20" s="1375"/>
      <c r="D20" s="1375"/>
      <c r="E20" s="1375"/>
      <c r="F20" s="1375"/>
      <c r="G20" s="1375"/>
      <c r="H20" s="1375"/>
      <c r="I20" s="1375"/>
      <c r="J20" s="1375"/>
      <c r="K20" s="1375"/>
      <c r="L20" s="1375"/>
      <c r="M20" s="1375"/>
      <c r="N20" s="1375"/>
      <c r="O20" s="1375"/>
      <c r="P20" s="1375"/>
      <c r="Q20" s="1375"/>
      <c r="R20" s="1375"/>
      <c r="S20" s="1375"/>
      <c r="T20" s="1374"/>
    </row>
    <row r="21" spans="1:20" x14ac:dyDescent="0.3">
      <c r="A21" s="1376" t="s">
        <v>705</v>
      </c>
      <c r="B21" s="1438">
        <v>188874</v>
      </c>
      <c r="C21" s="1438"/>
      <c r="D21" s="1438">
        <v>180559</v>
      </c>
      <c r="E21" s="1438"/>
      <c r="F21" s="1438">
        <v>169544</v>
      </c>
      <c r="G21" s="1438"/>
      <c r="H21" s="1438">
        <v>162752</v>
      </c>
      <c r="I21" s="1438"/>
      <c r="J21" s="1438">
        <v>135792</v>
      </c>
      <c r="K21" s="1438"/>
      <c r="L21" s="1438">
        <v>131416</v>
      </c>
      <c r="M21" s="1438"/>
      <c r="N21" s="1438">
        <v>122237</v>
      </c>
      <c r="O21" s="1438"/>
      <c r="P21" s="1438">
        <v>56111</v>
      </c>
      <c r="Q21" s="1438"/>
      <c r="R21" s="1438">
        <v>43409</v>
      </c>
      <c r="S21" s="1438"/>
      <c r="T21" s="1439">
        <v>28711</v>
      </c>
    </row>
    <row r="22" spans="1:20" ht="31.2" x14ac:dyDescent="0.3">
      <c r="A22" s="1376" t="s">
        <v>834</v>
      </c>
      <c r="B22" s="2462"/>
      <c r="C22" s="1438"/>
      <c r="D22" s="2462"/>
      <c r="E22" s="1438"/>
      <c r="F22" s="2462"/>
      <c r="G22" s="1438"/>
      <c r="H22" s="2462"/>
      <c r="I22" s="1438"/>
      <c r="J22" s="2462"/>
      <c r="K22" s="1438"/>
      <c r="L22" s="1449">
        <v>2465</v>
      </c>
      <c r="M22" s="1449"/>
      <c r="N22" s="1449">
        <v>2385</v>
      </c>
      <c r="O22" s="1449"/>
      <c r="P22" s="1449">
        <v>2267</v>
      </c>
      <c r="Q22" s="1449"/>
      <c r="R22" s="1449">
        <v>1944</v>
      </c>
      <c r="S22" s="1449"/>
      <c r="T22" s="1450">
        <v>1062</v>
      </c>
    </row>
    <row r="23" spans="1:20" ht="31.2" x14ac:dyDescent="0.3">
      <c r="A23" s="1376" t="s">
        <v>832</v>
      </c>
      <c r="B23" s="1442">
        <v>3450</v>
      </c>
      <c r="C23" s="1442"/>
      <c r="D23" s="1442">
        <v>4182</v>
      </c>
      <c r="E23" s="1442"/>
      <c r="F23" s="1442">
        <v>4775</v>
      </c>
      <c r="G23" s="1442"/>
      <c r="H23" s="1442">
        <v>3455</v>
      </c>
      <c r="I23" s="1442"/>
      <c r="J23" s="1442">
        <v>2611</v>
      </c>
      <c r="K23" s="1440"/>
      <c r="L23" s="2462"/>
      <c r="M23" s="1440"/>
      <c r="N23" s="2462"/>
      <c r="O23" s="1440"/>
      <c r="P23" s="2462"/>
      <c r="Q23" s="1440"/>
      <c r="R23" s="2462"/>
      <c r="S23" s="1440"/>
      <c r="T23" s="2463"/>
    </row>
    <row r="24" spans="1:20" ht="31.2" x14ac:dyDescent="0.3">
      <c r="A24" s="1376" t="s">
        <v>833</v>
      </c>
      <c r="B24" s="1442">
        <v>5387</v>
      </c>
      <c r="C24" s="1442"/>
      <c r="D24" s="1442">
        <v>4937</v>
      </c>
      <c r="E24" s="1442"/>
      <c r="F24" s="1442">
        <v>4513</v>
      </c>
      <c r="G24" s="1442"/>
      <c r="H24" s="1442">
        <v>9049</v>
      </c>
      <c r="I24" s="1442"/>
      <c r="J24" s="1442">
        <v>2168</v>
      </c>
      <c r="K24" s="1440"/>
      <c r="L24" s="2462"/>
      <c r="M24" s="1440"/>
      <c r="N24" s="2462"/>
      <c r="O24" s="1440"/>
      <c r="P24" s="2462"/>
      <c r="Q24" s="1440"/>
      <c r="R24" s="2462"/>
      <c r="S24" s="1440"/>
      <c r="T24" s="2463"/>
    </row>
    <row r="25" spans="1:20" x14ac:dyDescent="0.3">
      <c r="A25" s="1376" t="s">
        <v>706</v>
      </c>
      <c r="B25" s="1440">
        <v>85900</v>
      </c>
      <c r="C25" s="1440"/>
      <c r="D25" s="1440">
        <v>77596</v>
      </c>
      <c r="E25" s="1440"/>
      <c r="F25" s="1440">
        <v>64037</v>
      </c>
      <c r="G25" s="1440"/>
      <c r="H25" s="1440">
        <v>57950</v>
      </c>
      <c r="I25" s="1440"/>
      <c r="J25" s="1440">
        <v>61724</v>
      </c>
      <c r="K25" s="1440"/>
      <c r="L25" s="1440">
        <v>57761</v>
      </c>
      <c r="M25" s="1615"/>
      <c r="N25" s="1440">
        <v>57403</v>
      </c>
      <c r="O25" s="1440"/>
      <c r="P25" s="1440">
        <v>31455</v>
      </c>
      <c r="Q25" s="1440"/>
      <c r="R25" s="1440">
        <v>23427</v>
      </c>
      <c r="S25" s="1440"/>
      <c r="T25" s="1441">
        <v>16739</v>
      </c>
    </row>
    <row r="26" spans="1:20" ht="18.600000000000001" x14ac:dyDescent="0.3">
      <c r="A26" s="1376" t="s">
        <v>1789</v>
      </c>
      <c r="B26" s="1440">
        <v>1539</v>
      </c>
      <c r="C26" s="1440"/>
      <c r="D26" s="1440">
        <v>1537</v>
      </c>
      <c r="E26" s="1440"/>
      <c r="F26" s="1440">
        <v>1535</v>
      </c>
      <c r="G26" s="1440"/>
      <c r="H26" s="1440">
        <v>1528</v>
      </c>
      <c r="I26" s="1440"/>
      <c r="J26" s="1440">
        <v>1526</v>
      </c>
      <c r="K26" s="1440"/>
      <c r="L26" s="1440">
        <v>1521</v>
      </c>
      <c r="M26" s="1440"/>
      <c r="N26" s="1440">
        <v>1519</v>
      </c>
      <c r="O26" s="1440"/>
      <c r="P26" s="1440">
        <v>1234</v>
      </c>
      <c r="Q26" s="1440"/>
      <c r="R26" s="1440">
        <v>1232</v>
      </c>
      <c r="S26" s="1440"/>
      <c r="T26" s="1441">
        <v>1194</v>
      </c>
    </row>
    <row r="27" spans="1:20" ht="16.2" thickBot="1" x14ac:dyDescent="0.35">
      <c r="A27" s="1376" t="s">
        <v>709</v>
      </c>
      <c r="B27" s="1445">
        <v>55824</v>
      </c>
      <c r="C27" s="1446"/>
      <c r="D27" s="1445">
        <v>50498</v>
      </c>
      <c r="E27" s="1446"/>
      <c r="F27" s="1445">
        <v>41727</v>
      </c>
      <c r="G27" s="1446"/>
      <c r="H27" s="1445">
        <v>37920</v>
      </c>
      <c r="I27" s="1446"/>
      <c r="J27" s="1445">
        <v>40442</v>
      </c>
      <c r="K27" s="1446"/>
      <c r="L27" s="1445">
        <v>37987</v>
      </c>
      <c r="M27" s="1446"/>
      <c r="N27" s="1445">
        <v>37801</v>
      </c>
      <c r="O27" s="1446"/>
      <c r="P27" s="1445">
        <v>25488</v>
      </c>
      <c r="Q27" s="1446"/>
      <c r="R27" s="1445">
        <v>19011</v>
      </c>
      <c r="S27" s="1446"/>
      <c r="T27" s="1447">
        <v>14025</v>
      </c>
    </row>
    <row r="28" spans="1:20" ht="16.2" thickTop="1" x14ac:dyDescent="0.3">
      <c r="A28" s="214"/>
      <c r="N28" s="211"/>
      <c r="P28" s="211"/>
      <c r="R28" s="211"/>
      <c r="T28" s="223"/>
    </row>
    <row r="29" spans="1:20" ht="7.5" customHeight="1" x14ac:dyDescent="0.3">
      <c r="A29" s="1155"/>
      <c r="B29" s="597"/>
      <c r="C29" s="597"/>
      <c r="D29" s="597"/>
      <c r="E29" s="597"/>
      <c r="F29" s="597"/>
      <c r="G29" s="597"/>
      <c r="H29" s="597"/>
      <c r="I29" s="597"/>
      <c r="J29" s="597"/>
      <c r="K29" s="597"/>
      <c r="L29" s="597"/>
      <c r="M29" s="597"/>
      <c r="N29" s="597"/>
      <c r="O29" s="597"/>
      <c r="P29" s="597"/>
      <c r="Q29" s="597"/>
      <c r="R29" s="597"/>
      <c r="S29" s="597"/>
      <c r="T29" s="1279"/>
    </row>
    <row r="30" spans="1:20" ht="38.25" customHeight="1" x14ac:dyDescent="0.3">
      <c r="A30" s="2799" t="s">
        <v>1790</v>
      </c>
      <c r="B30" s="2827"/>
      <c r="C30" s="2827"/>
      <c r="D30" s="2827"/>
      <c r="E30" s="2827"/>
      <c r="F30" s="2827"/>
      <c r="G30" s="2827"/>
      <c r="H30" s="2827"/>
      <c r="I30" s="2827"/>
      <c r="J30" s="2827"/>
      <c r="K30" s="2827"/>
      <c r="L30" s="2827"/>
      <c r="M30" s="2827"/>
      <c r="N30" s="2827"/>
      <c r="O30" s="2827"/>
      <c r="P30" s="2827"/>
      <c r="Q30" s="2827"/>
      <c r="R30" s="2827"/>
      <c r="S30" s="2827"/>
      <c r="T30" s="2801"/>
    </row>
    <row r="31" spans="1:20" ht="9" customHeight="1" x14ac:dyDescent="0.3">
      <c r="A31" s="1605"/>
      <c r="B31" s="1608"/>
      <c r="C31" s="1608"/>
      <c r="D31" s="1608"/>
      <c r="E31" s="1608"/>
      <c r="F31" s="1608"/>
      <c r="G31" s="1608"/>
      <c r="H31" s="1608"/>
      <c r="I31" s="1608"/>
      <c r="J31" s="1608"/>
      <c r="K31" s="1608"/>
      <c r="L31" s="1608"/>
      <c r="M31" s="1608"/>
      <c r="N31" s="1608"/>
      <c r="O31" s="1608"/>
      <c r="P31" s="1608"/>
      <c r="Q31" s="1608"/>
      <c r="R31" s="1608"/>
      <c r="S31" s="1608"/>
      <c r="T31" s="1606"/>
    </row>
    <row r="32" spans="1:20" x14ac:dyDescent="0.3">
      <c r="A32" s="1605" t="s">
        <v>1398</v>
      </c>
      <c r="B32" s="1608"/>
      <c r="C32" s="1608"/>
      <c r="D32" s="1608"/>
      <c r="E32" s="1608"/>
      <c r="F32" s="1608"/>
      <c r="G32" s="1608"/>
      <c r="H32" s="1608"/>
      <c r="I32" s="1608"/>
      <c r="J32" s="1608"/>
      <c r="K32" s="1608"/>
      <c r="L32" s="1608"/>
      <c r="M32" s="1608"/>
      <c r="N32" s="1608"/>
      <c r="O32" s="1608"/>
      <c r="P32" s="1608"/>
      <c r="Q32" s="1608"/>
      <c r="R32" s="1608"/>
      <c r="S32" s="1608"/>
      <c r="T32" s="1606"/>
    </row>
    <row r="33" spans="1:20" x14ac:dyDescent="0.3">
      <c r="A33" s="1607" t="s">
        <v>831</v>
      </c>
      <c r="B33" s="128">
        <v>2259</v>
      </c>
      <c r="C33" s="128"/>
      <c r="D33" s="128">
        <v>2729</v>
      </c>
      <c r="E33" s="128"/>
      <c r="F33" s="128">
        <v>566</v>
      </c>
      <c r="G33" s="128"/>
      <c r="H33" s="128">
        <v>923</v>
      </c>
      <c r="I33" s="128"/>
      <c r="J33" s="128">
        <v>2746</v>
      </c>
      <c r="K33" s="128"/>
      <c r="L33" s="128">
        <v>886</v>
      </c>
      <c r="M33" s="128"/>
      <c r="N33" s="128">
        <v>1553</v>
      </c>
      <c r="O33" s="128"/>
      <c r="P33" s="128">
        <v>704</v>
      </c>
      <c r="Q33" s="128"/>
      <c r="R33" s="128">
        <v>1605</v>
      </c>
      <c r="S33" s="128"/>
      <c r="T33" s="129">
        <v>125</v>
      </c>
    </row>
    <row r="34" spans="1:20" ht="15.75" customHeight="1" x14ac:dyDescent="0.3">
      <c r="A34" s="2858" t="s">
        <v>838</v>
      </c>
      <c r="B34" s="2859"/>
      <c r="C34" s="2859"/>
      <c r="D34" s="2859"/>
      <c r="E34" s="2859"/>
      <c r="F34" s="2859"/>
      <c r="G34" s="2859"/>
      <c r="H34" s="2859"/>
      <c r="I34" s="2859"/>
      <c r="J34" s="2859"/>
      <c r="K34" s="2859"/>
      <c r="L34" s="2859"/>
      <c r="M34" s="2859"/>
      <c r="N34" s="2859"/>
      <c r="O34" s="2859"/>
      <c r="P34" s="2859"/>
      <c r="Q34" s="2859"/>
      <c r="R34" s="2859"/>
      <c r="S34" s="2859"/>
      <c r="T34" s="2924"/>
    </row>
    <row r="35" spans="1:20" ht="30" customHeight="1" x14ac:dyDescent="0.3">
      <c r="A35" s="2858" t="s">
        <v>1948</v>
      </c>
      <c r="B35" s="2859"/>
      <c r="C35" s="2859"/>
      <c r="D35" s="2859"/>
      <c r="E35" s="2859"/>
      <c r="F35" s="2859"/>
      <c r="G35" s="2859"/>
      <c r="H35" s="2859"/>
      <c r="I35" s="2859"/>
      <c r="J35" s="2859"/>
      <c r="K35" s="2859"/>
      <c r="L35" s="2859"/>
      <c r="M35" s="2859"/>
      <c r="N35" s="2859"/>
      <c r="O35" s="2859"/>
      <c r="P35" s="2859"/>
      <c r="Q35" s="2859"/>
      <c r="R35" s="2859"/>
      <c r="S35" s="2859"/>
      <c r="T35" s="2924"/>
    </row>
    <row r="36" spans="1:20" x14ac:dyDescent="0.3">
      <c r="A36" s="2858" t="s">
        <v>835</v>
      </c>
      <c r="B36" s="2923"/>
      <c r="C36" s="2923"/>
      <c r="D36" s="2923"/>
      <c r="E36" s="2923"/>
      <c r="F36" s="2923"/>
      <c r="G36" s="2923"/>
      <c r="H36" s="2923"/>
      <c r="I36" s="2923"/>
      <c r="J36" s="2923"/>
      <c r="K36" s="2923"/>
      <c r="L36" s="2923"/>
      <c r="M36" s="2923"/>
      <c r="N36" s="2923"/>
      <c r="O36" s="2923"/>
      <c r="P36" s="2923"/>
      <c r="Q36" s="2923"/>
      <c r="R36" s="2923"/>
      <c r="S36" s="128"/>
      <c r="T36" s="129"/>
    </row>
    <row r="37" spans="1:20" x14ac:dyDescent="0.3">
      <c r="A37" s="2858" t="s">
        <v>836</v>
      </c>
      <c r="B37" s="2923"/>
      <c r="C37" s="2923"/>
      <c r="D37" s="2923"/>
      <c r="E37" s="2923"/>
      <c r="F37" s="2923"/>
      <c r="G37" s="2923"/>
      <c r="H37" s="2923"/>
      <c r="I37" s="2923"/>
      <c r="J37" s="2923"/>
      <c r="K37" s="2923"/>
      <c r="L37" s="2923"/>
      <c r="M37" s="2923"/>
      <c r="N37" s="2923"/>
      <c r="O37" s="2923"/>
      <c r="P37" s="2923"/>
      <c r="Q37" s="2923"/>
      <c r="R37" s="2923"/>
      <c r="S37" s="128"/>
      <c r="T37" s="129"/>
    </row>
    <row r="38" spans="1:20" x14ac:dyDescent="0.3">
      <c r="A38" s="2858" t="s">
        <v>837</v>
      </c>
      <c r="B38" s="2923"/>
      <c r="C38" s="2923"/>
      <c r="D38" s="2923"/>
      <c r="E38" s="2923"/>
      <c r="F38" s="2923"/>
      <c r="G38" s="2923"/>
      <c r="H38" s="2923"/>
      <c r="I38" s="2923"/>
      <c r="J38" s="2923"/>
      <c r="K38" s="2923"/>
      <c r="L38" s="2923"/>
      <c r="M38" s="2923"/>
      <c r="N38" s="2923"/>
      <c r="O38" s="2923"/>
      <c r="P38" s="2923"/>
      <c r="Q38" s="1609"/>
      <c r="R38" s="1609"/>
      <c r="S38" s="128"/>
      <c r="T38" s="129"/>
    </row>
    <row r="39" spans="1:20" x14ac:dyDescent="0.3">
      <c r="A39" s="1607" t="s">
        <v>913</v>
      </c>
      <c r="B39" s="1609"/>
      <c r="C39" s="1609"/>
      <c r="D39" s="1609"/>
      <c r="E39" s="1609"/>
      <c r="F39" s="1609"/>
      <c r="G39" s="1609"/>
      <c r="H39" s="1609"/>
      <c r="I39" s="1609"/>
      <c r="J39" s="1609"/>
      <c r="K39" s="1609"/>
      <c r="L39" s="1609"/>
      <c r="M39" s="1609"/>
      <c r="N39" s="1609"/>
      <c r="O39" s="1609"/>
      <c r="P39" s="1609"/>
      <c r="Q39" s="1609"/>
      <c r="R39" s="1609"/>
      <c r="S39" s="128"/>
      <c r="T39" s="129"/>
    </row>
    <row r="40" spans="1:20" ht="6.9" customHeight="1" thickBot="1" x14ac:dyDescent="0.35">
      <c r="A40" s="9"/>
      <c r="B40" s="25"/>
      <c r="C40" s="25"/>
      <c r="D40" s="25"/>
      <c r="E40" s="25"/>
      <c r="F40" s="25"/>
      <c r="G40" s="25"/>
      <c r="H40" s="25"/>
      <c r="I40" s="25"/>
      <c r="J40" s="25"/>
      <c r="K40" s="25"/>
      <c r="L40" s="25"/>
      <c r="M40" s="25"/>
      <c r="N40" s="25"/>
      <c r="O40" s="25"/>
      <c r="P40" s="25"/>
      <c r="Q40" s="25"/>
      <c r="R40" s="25"/>
      <c r="S40" s="25"/>
      <c r="T40" s="26"/>
    </row>
    <row r="41" spans="1:20" x14ac:dyDescent="0.3">
      <c r="A41" s="12" t="s">
        <v>1949</v>
      </c>
      <c r="N41" s="211"/>
      <c r="P41" s="211"/>
      <c r="R41" s="211"/>
      <c r="T41" s="211"/>
    </row>
    <row r="42" spans="1:20" x14ac:dyDescent="0.3">
      <c r="N42" s="211"/>
      <c r="P42" s="211"/>
      <c r="R42" s="211"/>
      <c r="T42" s="211"/>
    </row>
    <row r="43" spans="1:20" x14ac:dyDescent="0.3">
      <c r="B43" s="908">
        <f>B27/10083</f>
        <v>5.536447485867301</v>
      </c>
      <c r="N43" s="211"/>
      <c r="P43" s="211"/>
      <c r="R43" s="211"/>
      <c r="T43" s="211"/>
    </row>
    <row r="44" spans="1:20" x14ac:dyDescent="0.3">
      <c r="B44" s="227">
        <f>B43^0.1-1</f>
        <v>0.18665129766176491</v>
      </c>
      <c r="N44" s="211"/>
      <c r="P44" s="211"/>
      <c r="R44" s="211"/>
      <c r="T44" s="211"/>
    </row>
    <row r="45" spans="1:20" x14ac:dyDescent="0.3">
      <c r="B45" s="211">
        <f>1539/1178</f>
        <v>1.3064516129032258</v>
      </c>
      <c r="N45" s="211"/>
      <c r="P45" s="211"/>
      <c r="R45" s="211"/>
      <c r="T45" s="211"/>
    </row>
    <row r="46" spans="1:20" x14ac:dyDescent="0.3">
      <c r="B46" s="350">
        <f>B45^0.1-1</f>
        <v>2.7091967876371026E-2</v>
      </c>
      <c r="N46" s="211"/>
      <c r="P46" s="211"/>
      <c r="R46" s="211"/>
      <c r="T46" s="211"/>
    </row>
    <row r="47" spans="1:20" x14ac:dyDescent="0.3">
      <c r="N47" s="211"/>
      <c r="P47" s="211"/>
      <c r="R47" s="211"/>
      <c r="T47" s="211"/>
    </row>
    <row r="48" spans="1:20" x14ac:dyDescent="0.3">
      <c r="N48" s="211"/>
      <c r="P48" s="211"/>
      <c r="R48" s="211"/>
      <c r="T48" s="211"/>
    </row>
    <row r="49" spans="14:20" x14ac:dyDescent="0.3">
      <c r="N49" s="612"/>
      <c r="O49" s="612"/>
      <c r="P49" s="612"/>
      <c r="Q49" s="612"/>
      <c r="R49" s="612"/>
      <c r="S49" s="612"/>
      <c r="T49" s="612"/>
    </row>
    <row r="50" spans="14:20" x14ac:dyDescent="0.3">
      <c r="N50" s="612"/>
      <c r="O50" s="612"/>
      <c r="P50" s="612"/>
      <c r="Q50" s="612"/>
      <c r="R50" s="612"/>
      <c r="S50" s="612"/>
      <c r="T50" s="612"/>
    </row>
    <row r="51" spans="14:20" x14ac:dyDescent="0.3">
      <c r="N51" s="612"/>
      <c r="O51" s="612"/>
      <c r="P51" s="612"/>
      <c r="Q51" s="612"/>
      <c r="R51" s="612"/>
      <c r="S51" s="612"/>
      <c r="T51" s="612"/>
    </row>
    <row r="52" spans="14:20" x14ac:dyDescent="0.3">
      <c r="N52" s="612"/>
      <c r="O52" s="612"/>
      <c r="P52" s="612"/>
      <c r="Q52" s="612"/>
      <c r="R52" s="612"/>
      <c r="S52" s="612"/>
      <c r="T52" s="612"/>
    </row>
    <row r="53" spans="14:20" x14ac:dyDescent="0.3">
      <c r="N53" s="612"/>
      <c r="O53" s="612"/>
      <c r="P53" s="612"/>
      <c r="Q53" s="612"/>
      <c r="R53" s="612"/>
      <c r="S53" s="612"/>
      <c r="T53" s="612"/>
    </row>
    <row r="54" spans="14:20" x14ac:dyDescent="0.3">
      <c r="N54" s="612"/>
      <c r="O54" s="612"/>
      <c r="P54" s="612"/>
      <c r="Q54" s="612"/>
      <c r="R54" s="612"/>
      <c r="S54" s="612"/>
      <c r="T54" s="612"/>
    </row>
    <row r="55" spans="14:20" x14ac:dyDescent="0.3">
      <c r="N55" s="612"/>
      <c r="O55" s="612"/>
      <c r="P55" s="612"/>
      <c r="Q55" s="612"/>
      <c r="R55" s="612"/>
      <c r="S55" s="612"/>
      <c r="T55" s="612"/>
    </row>
    <row r="56" spans="14:20" x14ac:dyDescent="0.3">
      <c r="N56" s="612"/>
      <c r="O56" s="612"/>
      <c r="P56" s="612"/>
      <c r="Q56" s="612"/>
      <c r="R56" s="612"/>
      <c r="S56" s="612"/>
      <c r="T56" s="612"/>
    </row>
    <row r="57" spans="14:20" x14ac:dyDescent="0.3">
      <c r="N57" s="612"/>
      <c r="O57" s="612"/>
      <c r="P57" s="612"/>
      <c r="Q57" s="612"/>
      <c r="R57" s="612"/>
      <c r="S57" s="612"/>
      <c r="T57" s="612"/>
    </row>
    <row r="58" spans="14:20" x14ac:dyDescent="0.3">
      <c r="N58" s="612"/>
      <c r="O58" s="612"/>
      <c r="P58" s="612"/>
      <c r="Q58" s="612"/>
      <c r="R58" s="612"/>
      <c r="S58" s="612"/>
      <c r="T58" s="612"/>
    </row>
    <row r="59" spans="14:20" x14ac:dyDescent="0.3">
      <c r="N59" s="612"/>
      <c r="O59" s="612"/>
      <c r="P59" s="612"/>
      <c r="Q59" s="612"/>
      <c r="R59" s="612"/>
      <c r="S59" s="612"/>
      <c r="T59" s="612"/>
    </row>
    <row r="60" spans="14:20" x14ac:dyDescent="0.3">
      <c r="N60" s="612"/>
      <c r="O60" s="612"/>
      <c r="P60" s="612"/>
      <c r="Q60" s="612"/>
      <c r="R60" s="612"/>
      <c r="S60" s="612"/>
      <c r="T60" s="612"/>
    </row>
    <row r="61" spans="14:20" x14ac:dyDescent="0.3">
      <c r="N61" s="612"/>
      <c r="O61" s="612"/>
      <c r="P61" s="612"/>
      <c r="Q61" s="612"/>
      <c r="R61" s="612"/>
      <c r="S61" s="612"/>
      <c r="T61" s="612"/>
    </row>
    <row r="62" spans="14:20" x14ac:dyDescent="0.3">
      <c r="N62" s="612"/>
      <c r="O62" s="612"/>
      <c r="P62" s="612"/>
      <c r="Q62" s="612"/>
      <c r="R62" s="612"/>
      <c r="S62" s="612"/>
      <c r="T62" s="612"/>
    </row>
    <row r="63" spans="14:20" x14ac:dyDescent="0.3">
      <c r="N63" s="612"/>
      <c r="O63" s="612"/>
      <c r="P63" s="612"/>
      <c r="Q63" s="612"/>
      <c r="R63" s="612"/>
      <c r="S63" s="612"/>
      <c r="T63" s="612"/>
    </row>
    <row r="64" spans="14:20" x14ac:dyDescent="0.3">
      <c r="N64" s="612"/>
      <c r="O64" s="612"/>
      <c r="P64" s="612"/>
      <c r="Q64" s="612"/>
      <c r="R64" s="612"/>
      <c r="S64" s="612"/>
      <c r="T64" s="612"/>
    </row>
    <row r="65" spans="14:20" x14ac:dyDescent="0.3">
      <c r="N65" s="612"/>
      <c r="O65" s="612"/>
      <c r="P65" s="612"/>
      <c r="Q65" s="612"/>
      <c r="R65" s="612"/>
      <c r="S65" s="612"/>
      <c r="T65" s="612"/>
    </row>
    <row r="66" spans="14:20" x14ac:dyDescent="0.3">
      <c r="N66" s="612"/>
      <c r="O66" s="612"/>
      <c r="P66" s="612"/>
      <c r="Q66" s="612"/>
      <c r="R66" s="612"/>
      <c r="S66" s="612"/>
      <c r="T66" s="612"/>
    </row>
    <row r="67" spans="14:20" x14ac:dyDescent="0.3">
      <c r="N67" s="612"/>
      <c r="O67" s="612"/>
      <c r="P67" s="612"/>
      <c r="Q67" s="612"/>
      <c r="R67" s="612"/>
      <c r="S67" s="612"/>
      <c r="T67" s="612"/>
    </row>
    <row r="68" spans="14:20" x14ac:dyDescent="0.3">
      <c r="N68" s="612"/>
      <c r="O68" s="612"/>
      <c r="P68" s="612"/>
      <c r="Q68" s="612"/>
      <c r="R68" s="612"/>
      <c r="S68" s="612"/>
      <c r="T68" s="612"/>
    </row>
    <row r="69" spans="14:20" x14ac:dyDescent="0.3">
      <c r="N69" s="612"/>
      <c r="O69" s="612"/>
      <c r="P69" s="612"/>
      <c r="Q69" s="612"/>
      <c r="R69" s="612"/>
      <c r="S69" s="612"/>
      <c r="T69" s="612"/>
    </row>
    <row r="70" spans="14:20" x14ac:dyDescent="0.3">
      <c r="N70" s="612"/>
      <c r="O70" s="612"/>
      <c r="P70" s="612"/>
      <c r="Q70" s="612"/>
      <c r="R70" s="612"/>
      <c r="S70" s="612"/>
      <c r="T70" s="612"/>
    </row>
    <row r="71" spans="14:20" x14ac:dyDescent="0.3">
      <c r="N71" s="612"/>
      <c r="O71" s="612"/>
      <c r="P71" s="612"/>
      <c r="Q71" s="612"/>
      <c r="R71" s="612"/>
      <c r="S71" s="612"/>
      <c r="T71" s="612"/>
    </row>
    <row r="72" spans="14:20" x14ac:dyDescent="0.3">
      <c r="N72" s="612"/>
      <c r="O72" s="612"/>
      <c r="P72" s="612"/>
      <c r="Q72" s="612"/>
      <c r="R72" s="612"/>
      <c r="S72" s="612"/>
      <c r="T72" s="612"/>
    </row>
    <row r="73" spans="14:20" x14ac:dyDescent="0.3">
      <c r="N73" s="612"/>
      <c r="O73" s="612"/>
      <c r="P73" s="612"/>
      <c r="Q73" s="612"/>
      <c r="R73" s="612"/>
      <c r="S73" s="612"/>
      <c r="T73" s="612"/>
    </row>
    <row r="74" spans="14:20" x14ac:dyDescent="0.3">
      <c r="N74" s="612"/>
      <c r="O74" s="612"/>
      <c r="P74" s="612"/>
      <c r="Q74" s="612"/>
      <c r="R74" s="612"/>
      <c r="S74" s="612"/>
      <c r="T74" s="612"/>
    </row>
    <row r="75" spans="14:20" x14ac:dyDescent="0.3">
      <c r="N75" s="612"/>
      <c r="O75" s="612"/>
      <c r="P75" s="612"/>
      <c r="Q75" s="612"/>
      <c r="R75" s="612"/>
      <c r="S75" s="612"/>
      <c r="T75" s="612"/>
    </row>
    <row r="76" spans="14:20" x14ac:dyDescent="0.3">
      <c r="N76" s="612"/>
      <c r="O76" s="612"/>
      <c r="P76" s="612"/>
      <c r="Q76" s="612"/>
      <c r="R76" s="612"/>
      <c r="S76" s="612"/>
      <c r="T76" s="612"/>
    </row>
    <row r="77" spans="14:20" x14ac:dyDescent="0.3">
      <c r="N77" s="612"/>
      <c r="O77" s="612"/>
      <c r="P77" s="612"/>
      <c r="Q77" s="612"/>
      <c r="R77" s="612"/>
      <c r="S77" s="612"/>
      <c r="T77" s="612"/>
    </row>
    <row r="78" spans="14:20" x14ac:dyDescent="0.3">
      <c r="N78" s="612"/>
      <c r="O78" s="612"/>
      <c r="P78" s="612"/>
      <c r="Q78" s="612"/>
      <c r="R78" s="612"/>
      <c r="S78" s="612"/>
      <c r="T78" s="612"/>
    </row>
    <row r="79" spans="14:20" x14ac:dyDescent="0.3">
      <c r="N79" s="612"/>
      <c r="O79" s="612"/>
      <c r="P79" s="612"/>
      <c r="Q79" s="612"/>
      <c r="R79" s="612"/>
      <c r="S79" s="612"/>
      <c r="T79" s="612"/>
    </row>
    <row r="80" spans="14:20" x14ac:dyDescent="0.3">
      <c r="N80" s="612"/>
      <c r="O80" s="612"/>
      <c r="P80" s="612"/>
      <c r="Q80" s="612"/>
      <c r="R80" s="612"/>
      <c r="S80" s="612"/>
      <c r="T80" s="612"/>
    </row>
    <row r="81" spans="14:20" x14ac:dyDescent="0.3">
      <c r="N81" s="612"/>
      <c r="O81" s="612"/>
      <c r="P81" s="612"/>
      <c r="Q81" s="612"/>
      <c r="R81" s="612"/>
      <c r="S81" s="612"/>
      <c r="T81" s="612"/>
    </row>
    <row r="82" spans="14:20" x14ac:dyDescent="0.3">
      <c r="N82" s="612"/>
      <c r="O82" s="612"/>
      <c r="P82" s="612"/>
      <c r="Q82" s="612"/>
      <c r="R82" s="612"/>
      <c r="S82" s="612"/>
      <c r="T82" s="612"/>
    </row>
    <row r="83" spans="14:20" x14ac:dyDescent="0.3">
      <c r="N83" s="612"/>
      <c r="O83" s="612"/>
      <c r="P83" s="612"/>
      <c r="Q83" s="612"/>
      <c r="R83" s="612"/>
      <c r="S83" s="612"/>
      <c r="T83" s="612"/>
    </row>
    <row r="84" spans="14:20" x14ac:dyDescent="0.3">
      <c r="N84" s="612"/>
      <c r="O84" s="612"/>
      <c r="P84" s="612"/>
      <c r="Q84" s="612"/>
      <c r="R84" s="612"/>
      <c r="S84" s="612"/>
      <c r="T84" s="612"/>
    </row>
    <row r="85" spans="14:20" x14ac:dyDescent="0.3">
      <c r="N85" s="612"/>
      <c r="O85" s="612"/>
      <c r="P85" s="612"/>
      <c r="Q85" s="612"/>
      <c r="R85" s="612"/>
      <c r="S85" s="612"/>
      <c r="T85" s="612"/>
    </row>
    <row r="86" spans="14:20" x14ac:dyDescent="0.3">
      <c r="N86" s="612"/>
      <c r="O86" s="612"/>
      <c r="P86" s="612"/>
      <c r="Q86" s="612"/>
      <c r="R86" s="612"/>
      <c r="S86" s="612"/>
      <c r="T86" s="612"/>
    </row>
    <row r="87" spans="14:20" x14ac:dyDescent="0.3">
      <c r="N87" s="612"/>
      <c r="O87" s="612"/>
      <c r="P87" s="612"/>
      <c r="Q87" s="612"/>
      <c r="R87" s="612"/>
      <c r="S87" s="612"/>
      <c r="T87" s="612"/>
    </row>
    <row r="88" spans="14:20" x14ac:dyDescent="0.3">
      <c r="N88" s="612"/>
      <c r="O88" s="612"/>
      <c r="P88" s="612"/>
      <c r="Q88" s="612"/>
      <c r="R88" s="612"/>
      <c r="S88" s="612"/>
      <c r="T88" s="612"/>
    </row>
    <row r="89" spans="14:20" x14ac:dyDescent="0.3">
      <c r="N89" s="612"/>
      <c r="O89" s="612"/>
      <c r="P89" s="612"/>
      <c r="Q89" s="612"/>
      <c r="R89" s="612"/>
      <c r="S89" s="612"/>
      <c r="T89" s="612"/>
    </row>
    <row r="90" spans="14:20" x14ac:dyDescent="0.3">
      <c r="N90" s="612"/>
      <c r="O90" s="612"/>
      <c r="P90" s="612"/>
      <c r="Q90" s="612"/>
      <c r="R90" s="612"/>
      <c r="S90" s="612"/>
      <c r="T90" s="612"/>
    </row>
    <row r="91" spans="14:20" x14ac:dyDescent="0.3">
      <c r="N91" s="612"/>
      <c r="O91" s="612"/>
      <c r="P91" s="612"/>
      <c r="Q91" s="612"/>
      <c r="R91" s="612"/>
      <c r="S91" s="612"/>
      <c r="T91" s="612"/>
    </row>
    <row r="92" spans="14:20" x14ac:dyDescent="0.3">
      <c r="N92" s="612"/>
      <c r="O92" s="612"/>
      <c r="P92" s="612"/>
      <c r="Q92" s="612"/>
      <c r="R92" s="612"/>
      <c r="S92" s="612"/>
      <c r="T92" s="612"/>
    </row>
    <row r="93" spans="14:20" x14ac:dyDescent="0.3">
      <c r="N93" s="612"/>
      <c r="O93" s="612"/>
      <c r="P93" s="612"/>
      <c r="Q93" s="612"/>
      <c r="R93" s="612"/>
      <c r="S93" s="612"/>
      <c r="T93" s="612"/>
    </row>
    <row r="94" spans="14:20" x14ac:dyDescent="0.3">
      <c r="N94" s="612"/>
      <c r="O94" s="612"/>
      <c r="P94" s="612"/>
      <c r="Q94" s="612"/>
      <c r="R94" s="612"/>
      <c r="S94" s="612"/>
      <c r="T94" s="612"/>
    </row>
    <row r="95" spans="14:20" x14ac:dyDescent="0.3">
      <c r="N95" s="612"/>
      <c r="O95" s="612"/>
      <c r="P95" s="612"/>
      <c r="Q95" s="612"/>
      <c r="R95" s="612"/>
      <c r="S95" s="612"/>
      <c r="T95" s="612"/>
    </row>
    <row r="96" spans="14:20" x14ac:dyDescent="0.3">
      <c r="N96" s="612"/>
      <c r="O96" s="612"/>
      <c r="P96" s="612"/>
      <c r="Q96" s="612"/>
      <c r="R96" s="612"/>
      <c r="S96" s="612"/>
      <c r="T96" s="612"/>
    </row>
    <row r="97" spans="14:20" x14ac:dyDescent="0.3">
      <c r="N97" s="612"/>
      <c r="O97" s="612"/>
      <c r="P97" s="612"/>
      <c r="Q97" s="612"/>
      <c r="R97" s="612"/>
      <c r="S97" s="612"/>
      <c r="T97" s="612"/>
    </row>
    <row r="98" spans="14:20" x14ac:dyDescent="0.3">
      <c r="N98" s="612"/>
      <c r="O98" s="612"/>
      <c r="P98" s="612"/>
      <c r="Q98" s="612"/>
      <c r="R98" s="612"/>
      <c r="S98" s="612"/>
      <c r="T98" s="612"/>
    </row>
    <row r="99" spans="14:20" x14ac:dyDescent="0.3">
      <c r="N99" s="612"/>
      <c r="O99" s="612"/>
      <c r="P99" s="612"/>
      <c r="Q99" s="612"/>
      <c r="R99" s="612"/>
      <c r="S99" s="612"/>
      <c r="T99" s="612"/>
    </row>
    <row r="100" spans="14:20" x14ac:dyDescent="0.3">
      <c r="N100" s="612"/>
      <c r="O100" s="612"/>
      <c r="P100" s="612"/>
      <c r="Q100" s="612"/>
      <c r="R100" s="612"/>
      <c r="S100" s="612"/>
      <c r="T100" s="612"/>
    </row>
    <row r="101" spans="14:20" x14ac:dyDescent="0.3">
      <c r="N101" s="612"/>
      <c r="O101" s="612"/>
      <c r="P101" s="612"/>
      <c r="Q101" s="612"/>
      <c r="R101" s="612"/>
      <c r="S101" s="612"/>
      <c r="T101" s="612"/>
    </row>
    <row r="102" spans="14:20" x14ac:dyDescent="0.3">
      <c r="N102" s="612"/>
      <c r="O102" s="612"/>
      <c r="P102" s="612"/>
      <c r="Q102" s="612"/>
      <c r="R102" s="612"/>
      <c r="S102" s="612"/>
      <c r="T102" s="612"/>
    </row>
    <row r="103" spans="14:20" x14ac:dyDescent="0.3">
      <c r="N103" s="612"/>
      <c r="O103" s="612"/>
      <c r="P103" s="612"/>
      <c r="Q103" s="612"/>
      <c r="R103" s="612"/>
      <c r="S103" s="612"/>
      <c r="T103" s="612"/>
    </row>
    <row r="104" spans="14:20" x14ac:dyDescent="0.3">
      <c r="N104" s="612"/>
      <c r="O104" s="612"/>
      <c r="P104" s="612"/>
      <c r="Q104" s="612"/>
      <c r="R104" s="612"/>
      <c r="S104" s="612"/>
      <c r="T104" s="612"/>
    </row>
    <row r="105" spans="14:20" x14ac:dyDescent="0.3">
      <c r="N105" s="612"/>
      <c r="O105" s="612"/>
      <c r="P105" s="612"/>
      <c r="Q105" s="612"/>
      <c r="R105" s="612"/>
      <c r="S105" s="612"/>
      <c r="T105" s="612"/>
    </row>
    <row r="106" spans="14:20" x14ac:dyDescent="0.3">
      <c r="N106" s="612"/>
      <c r="O106" s="612"/>
      <c r="P106" s="612"/>
      <c r="Q106" s="612"/>
      <c r="R106" s="612"/>
      <c r="S106" s="612"/>
      <c r="T106" s="612"/>
    </row>
    <row r="107" spans="14:20" x14ac:dyDescent="0.3">
      <c r="N107" s="612"/>
      <c r="O107" s="612"/>
      <c r="P107" s="612"/>
      <c r="Q107" s="612"/>
      <c r="R107" s="612"/>
      <c r="S107" s="612"/>
      <c r="T107" s="612"/>
    </row>
    <row r="108" spans="14:20" x14ac:dyDescent="0.3">
      <c r="N108" s="612"/>
      <c r="O108" s="612"/>
      <c r="P108" s="612"/>
      <c r="Q108" s="612"/>
      <c r="R108" s="612"/>
      <c r="S108" s="612"/>
      <c r="T108" s="612"/>
    </row>
    <row r="109" spans="14:20" x14ac:dyDescent="0.3">
      <c r="N109" s="612"/>
      <c r="O109" s="612"/>
      <c r="P109" s="612"/>
      <c r="Q109" s="612"/>
      <c r="R109" s="612"/>
      <c r="S109" s="612"/>
      <c r="T109" s="612"/>
    </row>
    <row r="110" spans="14:20" x14ac:dyDescent="0.3">
      <c r="N110" s="612"/>
      <c r="O110" s="612"/>
      <c r="P110" s="612"/>
      <c r="Q110" s="612"/>
      <c r="R110" s="612"/>
      <c r="S110" s="612"/>
      <c r="T110" s="612"/>
    </row>
    <row r="111" spans="14:20" x14ac:dyDescent="0.3">
      <c r="N111" s="612"/>
      <c r="O111" s="612"/>
      <c r="P111" s="612"/>
      <c r="Q111" s="612"/>
      <c r="R111" s="612"/>
      <c r="S111" s="612"/>
      <c r="T111" s="612"/>
    </row>
    <row r="112" spans="14:20" x14ac:dyDescent="0.3">
      <c r="N112" s="612"/>
      <c r="O112" s="612"/>
      <c r="P112" s="612"/>
      <c r="Q112" s="612"/>
      <c r="R112" s="612"/>
      <c r="S112" s="612"/>
      <c r="T112" s="612"/>
    </row>
    <row r="113" spans="14:20" x14ac:dyDescent="0.3">
      <c r="N113" s="612"/>
      <c r="O113" s="612"/>
      <c r="P113" s="612"/>
      <c r="Q113" s="612"/>
      <c r="R113" s="612"/>
      <c r="S113" s="612"/>
      <c r="T113" s="612"/>
    </row>
    <row r="114" spans="14:20" x14ac:dyDescent="0.3">
      <c r="N114" s="612"/>
      <c r="O114" s="612"/>
      <c r="P114" s="612"/>
      <c r="Q114" s="612"/>
      <c r="R114" s="612"/>
      <c r="S114" s="612"/>
      <c r="T114" s="612"/>
    </row>
    <row r="115" spans="14:20" x14ac:dyDescent="0.3">
      <c r="N115" s="612"/>
      <c r="O115" s="612"/>
      <c r="P115" s="612"/>
      <c r="Q115" s="612"/>
      <c r="R115" s="612"/>
      <c r="S115" s="612"/>
      <c r="T115" s="612"/>
    </row>
    <row r="116" spans="14:20" x14ac:dyDescent="0.3">
      <c r="N116" s="612"/>
      <c r="O116" s="612"/>
      <c r="P116" s="612"/>
      <c r="Q116" s="612"/>
      <c r="R116" s="612"/>
      <c r="S116" s="612"/>
      <c r="T116" s="612"/>
    </row>
    <row r="117" spans="14:20" x14ac:dyDescent="0.3">
      <c r="N117" s="612"/>
      <c r="O117" s="612"/>
      <c r="P117" s="612"/>
      <c r="Q117" s="612"/>
      <c r="R117" s="612"/>
      <c r="S117" s="612"/>
      <c r="T117" s="612"/>
    </row>
    <row r="118" spans="14:20" x14ac:dyDescent="0.3">
      <c r="N118" s="612"/>
      <c r="O118" s="612"/>
      <c r="P118" s="612"/>
      <c r="Q118" s="612"/>
      <c r="R118" s="612"/>
      <c r="S118" s="612"/>
      <c r="T118" s="612"/>
    </row>
    <row r="119" spans="14:20" x14ac:dyDescent="0.3">
      <c r="N119" s="612"/>
      <c r="O119" s="612"/>
      <c r="P119" s="612"/>
      <c r="Q119" s="612"/>
      <c r="R119" s="612"/>
      <c r="S119" s="612"/>
      <c r="T119" s="612"/>
    </row>
  </sheetData>
  <mergeCells count="6">
    <mergeCell ref="A30:T30"/>
    <mergeCell ref="A37:R37"/>
    <mergeCell ref="A38:P38"/>
    <mergeCell ref="A36:R36"/>
    <mergeCell ref="A34:T34"/>
    <mergeCell ref="A35:T35"/>
  </mergeCells>
  <pageMargins left="0.7" right="0.7" top="0.75" bottom="0.75" header="0.3" footer="0.3"/>
  <pageSetup orientation="portrait" horizontalDpi="1200"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6879-1AE5-4AA4-81E2-624380BDDD67}">
  <sheetPr>
    <tabColor theme="9" tint="0.59999389629810485"/>
  </sheetPr>
  <dimension ref="A1:P53"/>
  <sheetViews>
    <sheetView showGridLines="0" zoomScale="70" zoomScaleNormal="70" workbookViewId="0">
      <pane xSplit="1" ySplit="5" topLeftCell="B6" activePane="bottomRight" state="frozen"/>
      <selection pane="topRight" activeCell="B1" sqref="B1"/>
      <selection pane="bottomLeft" activeCell="A6" sqref="A6"/>
      <selection pane="bottomRight" activeCell="O28" sqref="O28"/>
    </sheetView>
  </sheetViews>
  <sheetFormatPr defaultColWidth="9.109375" defaultRowHeight="15.6" outlineLevelRow="1" x14ac:dyDescent="0.3"/>
  <cols>
    <col min="1" max="1" width="51.44140625" style="211" customWidth="1"/>
    <col min="2" max="9" width="12.109375" style="211" bestFit="1" customWidth="1"/>
    <col min="10" max="11" width="12.109375" style="356" bestFit="1" customWidth="1"/>
    <col min="12" max="12" width="12.109375" style="211" bestFit="1" customWidth="1"/>
    <col min="13" max="13" width="9.109375" style="211"/>
    <col min="14" max="14" width="12.109375" style="211" bestFit="1" customWidth="1"/>
    <col min="15" max="15" width="13.33203125" style="211" bestFit="1" customWidth="1"/>
    <col min="16" max="16384" width="9.109375" style="211"/>
  </cols>
  <sheetData>
    <row r="1" spans="1:16" s="976" customFormat="1" outlineLevel="1" x14ac:dyDescent="0.3">
      <c r="A1" s="976" t="s">
        <v>708</v>
      </c>
      <c r="B1" s="976">
        <v>2004</v>
      </c>
      <c r="C1" s="976">
        <v>2003</v>
      </c>
      <c r="D1" s="976">
        <v>2002</v>
      </c>
      <c r="E1" s="976">
        <v>2001</v>
      </c>
      <c r="F1" s="976">
        <v>2000</v>
      </c>
      <c r="G1" s="976">
        <v>1999</v>
      </c>
      <c r="H1" s="976">
        <v>1998</v>
      </c>
      <c r="I1" s="976">
        <v>1997</v>
      </c>
      <c r="J1" s="976">
        <v>1996</v>
      </c>
      <c r="K1" s="976">
        <v>1996</v>
      </c>
      <c r="L1" s="976">
        <v>1996</v>
      </c>
    </row>
    <row r="2" spans="1:16" x14ac:dyDescent="0.3">
      <c r="A2" s="459" t="s">
        <v>1673</v>
      </c>
      <c r="J2" s="211"/>
      <c r="K2" s="211"/>
    </row>
    <row r="3" spans="1:16" x14ac:dyDescent="0.3">
      <c r="A3" s="441" t="s">
        <v>1797</v>
      </c>
      <c r="J3" s="211"/>
      <c r="K3" s="211"/>
    </row>
    <row r="4" spans="1:16" ht="9" customHeight="1" thickBot="1" x14ac:dyDescent="0.35">
      <c r="J4" s="211"/>
      <c r="K4" s="211"/>
    </row>
    <row r="5" spans="1:16" x14ac:dyDescent="0.3">
      <c r="A5" s="212" t="s">
        <v>1250</v>
      </c>
      <c r="B5" s="1460">
        <f t="shared" ref="B5:K5" si="0">C5+1</f>
        <v>2004</v>
      </c>
      <c r="C5" s="1460">
        <f t="shared" si="0"/>
        <v>2003</v>
      </c>
      <c r="D5" s="1460">
        <f t="shared" si="0"/>
        <v>2002</v>
      </c>
      <c r="E5" s="1460">
        <f t="shared" si="0"/>
        <v>2001</v>
      </c>
      <c r="F5" s="1460">
        <f t="shared" si="0"/>
        <v>2000</v>
      </c>
      <c r="G5" s="1460">
        <f t="shared" si="0"/>
        <v>1999</v>
      </c>
      <c r="H5" s="1460">
        <f t="shared" si="0"/>
        <v>1998</v>
      </c>
      <c r="I5" s="1460">
        <f t="shared" si="0"/>
        <v>1997</v>
      </c>
      <c r="J5" s="1460">
        <f t="shared" si="0"/>
        <v>1996</v>
      </c>
      <c r="K5" s="1460">
        <f t="shared" si="0"/>
        <v>1995</v>
      </c>
      <c r="L5" s="1461">
        <v>1994</v>
      </c>
    </row>
    <row r="6" spans="1:16" ht="15.9" customHeight="1" x14ac:dyDescent="0.3">
      <c r="A6" s="214" t="s">
        <v>1792</v>
      </c>
      <c r="B6" s="1462">
        <f t="shared" ref="B6:G6" si="1">C15</f>
        <v>77596</v>
      </c>
      <c r="C6" s="1462">
        <f t="shared" si="1"/>
        <v>64037</v>
      </c>
      <c r="D6" s="1462">
        <f t="shared" si="1"/>
        <v>57950</v>
      </c>
      <c r="E6" s="1462">
        <f t="shared" si="1"/>
        <v>61724</v>
      </c>
      <c r="F6" s="1462">
        <f t="shared" si="1"/>
        <v>57761</v>
      </c>
      <c r="G6" s="1462">
        <f t="shared" si="1"/>
        <v>57403</v>
      </c>
      <c r="H6" s="1462">
        <f>I15-0.2</f>
        <v>31454.999999999996</v>
      </c>
      <c r="I6" s="1462">
        <f>J15</f>
        <v>23426.3</v>
      </c>
      <c r="J6" s="1462">
        <f>K15</f>
        <v>16738.7</v>
      </c>
      <c r="K6" s="1462">
        <f>L15</f>
        <v>11651.5</v>
      </c>
      <c r="L6" s="1463">
        <f>6.9+656.1-37.6+4318.6+5196.2</f>
        <v>10140.200000000001</v>
      </c>
      <c r="N6" s="908"/>
    </row>
    <row r="7" spans="1:16" x14ac:dyDescent="0.3">
      <c r="A7" s="214" t="s">
        <v>1453</v>
      </c>
      <c r="B7" s="922">
        <v>7308</v>
      </c>
      <c r="C7" s="922">
        <v>8151</v>
      </c>
      <c r="D7" s="922">
        <v>4286</v>
      </c>
      <c r="E7" s="922">
        <v>795</v>
      </c>
      <c r="F7" s="922">
        <v>3328</v>
      </c>
      <c r="G7" s="922">
        <v>1557</v>
      </c>
      <c r="H7" s="922">
        <v>2830</v>
      </c>
      <c r="I7" s="922">
        <v>1901.6</v>
      </c>
      <c r="J7" s="922">
        <v>2488.6</v>
      </c>
      <c r="K7" s="922">
        <v>794.9</v>
      </c>
      <c r="L7" s="923">
        <v>553</v>
      </c>
    </row>
    <row r="8" spans="1:16" ht="15.9" customHeight="1" x14ac:dyDescent="0.3">
      <c r="A8" s="214" t="s">
        <v>1793</v>
      </c>
      <c r="B8" s="922">
        <v>0</v>
      </c>
      <c r="C8" s="922">
        <v>0</v>
      </c>
      <c r="D8" s="922">
        <v>0</v>
      </c>
      <c r="E8" s="922">
        <v>0</v>
      </c>
      <c r="F8" s="922">
        <v>0</v>
      </c>
      <c r="G8" s="922">
        <v>0</v>
      </c>
      <c r="H8" s="922">
        <v>0</v>
      </c>
      <c r="I8" s="922">
        <v>0</v>
      </c>
      <c r="J8" s="922">
        <f>564.9</f>
        <v>564.9</v>
      </c>
      <c r="K8" s="922">
        <v>0</v>
      </c>
      <c r="L8" s="923">
        <v>0</v>
      </c>
      <c r="N8" s="604">
        <f>(J8*1000000)/517500</f>
        <v>1091.5942028985507</v>
      </c>
      <c r="O8" s="908">
        <f>N8*30</f>
        <v>32747.826086956524</v>
      </c>
    </row>
    <row r="9" spans="1:16" ht="15.9" hidden="1" customHeight="1" outlineLevel="1" x14ac:dyDescent="0.3">
      <c r="A9" s="214" t="s">
        <v>478</v>
      </c>
      <c r="B9" s="922">
        <v>0</v>
      </c>
      <c r="C9" s="922">
        <v>0</v>
      </c>
      <c r="D9" s="922">
        <v>0</v>
      </c>
      <c r="E9" s="922">
        <v>0</v>
      </c>
      <c r="F9" s="922">
        <v>0</v>
      </c>
      <c r="G9" s="922">
        <v>0</v>
      </c>
      <c r="H9" s="922">
        <v>0</v>
      </c>
      <c r="I9" s="922">
        <v>0</v>
      </c>
      <c r="J9" s="922">
        <v>0.1</v>
      </c>
      <c r="K9" s="922">
        <v>0</v>
      </c>
      <c r="L9" s="923">
        <v>0</v>
      </c>
    </row>
    <row r="10" spans="1:16" ht="18.600000000000001" collapsed="1" x14ac:dyDescent="0.3">
      <c r="A10" s="214" t="s">
        <v>1950</v>
      </c>
      <c r="B10" s="922">
        <v>117</v>
      </c>
      <c r="C10" s="922">
        <v>123</v>
      </c>
      <c r="D10" s="922">
        <f>324+97</f>
        <v>421</v>
      </c>
      <c r="E10" s="922">
        <v>83</v>
      </c>
      <c r="F10" s="922">
        <f>224+91</f>
        <v>315</v>
      </c>
      <c r="G10" s="922">
        <v>88</v>
      </c>
      <c r="H10" s="922">
        <v>22803</v>
      </c>
      <c r="I10" s="922">
        <v>72.7</v>
      </c>
      <c r="J10" s="922">
        <v>707.5</v>
      </c>
      <c r="K10" s="922">
        <v>345.6</v>
      </c>
      <c r="L10" s="923">
        <v>0</v>
      </c>
    </row>
    <row r="11" spans="1:16" ht="18.600000000000001" x14ac:dyDescent="0.3">
      <c r="A11" s="214" t="s">
        <v>1794</v>
      </c>
      <c r="B11" s="922">
        <v>0</v>
      </c>
      <c r="C11" s="922">
        <v>0</v>
      </c>
      <c r="D11" s="922">
        <v>0</v>
      </c>
      <c r="E11" s="922">
        <v>0</v>
      </c>
      <c r="F11" s="922">
        <v>0</v>
      </c>
      <c r="G11" s="922">
        <v>0</v>
      </c>
      <c r="H11" s="922">
        <v>3</v>
      </c>
      <c r="I11" s="922">
        <v>0.3</v>
      </c>
      <c r="J11" s="922">
        <v>3.3</v>
      </c>
      <c r="K11" s="922">
        <v>2.9</v>
      </c>
      <c r="L11" s="923">
        <v>0</v>
      </c>
    </row>
    <row r="12" spans="1:16" ht="18.600000000000001" x14ac:dyDescent="0.3">
      <c r="A12" s="214" t="s">
        <v>1228</v>
      </c>
      <c r="B12" s="922">
        <v>0</v>
      </c>
      <c r="C12" s="922">
        <v>0</v>
      </c>
      <c r="D12" s="922">
        <v>0</v>
      </c>
      <c r="E12" s="922">
        <v>0</v>
      </c>
      <c r="F12" s="922">
        <v>0</v>
      </c>
      <c r="G12" s="922">
        <v>0</v>
      </c>
      <c r="H12" s="922">
        <v>0</v>
      </c>
      <c r="I12" s="922">
        <f>-0.1+0.1+0.3</f>
        <v>0.3</v>
      </c>
      <c r="J12" s="922">
        <v>0</v>
      </c>
      <c r="K12" s="922">
        <v>0</v>
      </c>
      <c r="L12" s="923">
        <v>0</v>
      </c>
    </row>
    <row r="13" spans="1:16" ht="15.9" customHeight="1" x14ac:dyDescent="0.3">
      <c r="A13" s="282" t="s">
        <v>2069</v>
      </c>
      <c r="B13" s="922">
        <f>2599-905-1569+549</f>
        <v>674</v>
      </c>
      <c r="C13" s="922">
        <f>10842-3802-2922+1023</f>
        <v>5141</v>
      </c>
      <c r="D13" s="922">
        <f>2860-1029-638+223</f>
        <v>1416</v>
      </c>
      <c r="E13" s="922">
        <f>-5583+1956-1488+536</f>
        <v>-4579</v>
      </c>
      <c r="F13" s="922">
        <f>4406-1586-3955+1563</f>
        <v>428</v>
      </c>
      <c r="G13" s="1157">
        <f>(-795-1365)*(1-0.36)</f>
        <v>-1382.4</v>
      </c>
      <c r="H13" s="1157">
        <f>(3011-2415)*(1-0.36)</f>
        <v>381.44</v>
      </c>
      <c r="I13" s="922">
        <f>18197.9-12143.9</f>
        <v>6054.0000000000018</v>
      </c>
      <c r="J13" s="922">
        <f>4604-1629.1-51.7</f>
        <v>2923.2000000000003</v>
      </c>
      <c r="K13" s="922">
        <f>6177.1-2176.2-57.1</f>
        <v>3943.8000000000006</v>
      </c>
      <c r="L13" s="923">
        <f>1486.5-518.3-9.9</f>
        <v>958.30000000000007</v>
      </c>
    </row>
    <row r="14" spans="1:16" ht="15.9" customHeight="1" x14ac:dyDescent="0.3">
      <c r="A14" s="282" t="s">
        <v>2070</v>
      </c>
      <c r="B14" s="922">
        <f>140+134-38+3-34</f>
        <v>205</v>
      </c>
      <c r="C14" s="922">
        <f>267-127+1-3+6</f>
        <v>144</v>
      </c>
      <c r="D14" s="922">
        <f>272-65-279+29+7</f>
        <v>-36</v>
      </c>
      <c r="E14" s="922">
        <f>-114+24-35+12+40</f>
        <v>-73</v>
      </c>
      <c r="F14" s="922">
        <f>-157+49</f>
        <v>-108</v>
      </c>
      <c r="G14" s="922">
        <f>-1287-G13</f>
        <v>95.400000000000091</v>
      </c>
      <c r="H14" s="922">
        <f>312-H13</f>
        <v>-69.44</v>
      </c>
      <c r="I14" s="922">
        <v>0</v>
      </c>
      <c r="J14" s="922">
        <v>0</v>
      </c>
      <c r="K14" s="922">
        <v>0</v>
      </c>
      <c r="L14" s="923">
        <v>0</v>
      </c>
    </row>
    <row r="15" spans="1:16" ht="15.9" customHeight="1" thickBot="1" x14ac:dyDescent="0.35">
      <c r="A15" s="214" t="s">
        <v>1456</v>
      </c>
      <c r="B15" s="1467">
        <f t="shared" ref="B15:K15" si="2">SUM(B6:B14)</f>
        <v>85900</v>
      </c>
      <c r="C15" s="1467">
        <f t="shared" si="2"/>
        <v>77596</v>
      </c>
      <c r="D15" s="1467">
        <f t="shared" si="2"/>
        <v>64037</v>
      </c>
      <c r="E15" s="1467">
        <f t="shared" si="2"/>
        <v>57950</v>
      </c>
      <c r="F15" s="1467">
        <f t="shared" si="2"/>
        <v>61724</v>
      </c>
      <c r="G15" s="1467">
        <f t="shared" si="2"/>
        <v>57761</v>
      </c>
      <c r="H15" s="1467">
        <f t="shared" si="2"/>
        <v>57403</v>
      </c>
      <c r="I15" s="1467">
        <f t="shared" si="2"/>
        <v>31455.199999999997</v>
      </c>
      <c r="J15" s="1467">
        <f>SUM(J6:J14)</f>
        <v>23426.3</v>
      </c>
      <c r="K15" s="1467">
        <f t="shared" si="2"/>
        <v>16738.7</v>
      </c>
      <c r="L15" s="1468">
        <f>SUM(L6:L13)</f>
        <v>11651.5</v>
      </c>
      <c r="N15" s="211">
        <v>11875</v>
      </c>
      <c r="O15" s="2793">
        <f>L15-N15</f>
        <v>-223.5</v>
      </c>
      <c r="P15" s="211" t="s">
        <v>3802</v>
      </c>
    </row>
    <row r="16" spans="1:16" ht="15.9" customHeight="1" thickTop="1" x14ac:dyDescent="0.3">
      <c r="A16" s="214"/>
      <c r="B16" s="1458"/>
      <c r="C16" s="1458"/>
      <c r="D16" s="1458"/>
      <c r="E16" s="1458"/>
      <c r="F16" s="1458"/>
      <c r="G16" s="1458"/>
      <c r="H16" s="1458"/>
      <c r="I16" s="1458"/>
      <c r="J16" s="1458"/>
      <c r="K16" s="1458"/>
      <c r="L16" s="1451"/>
    </row>
    <row r="17" spans="1:15" ht="15.9" customHeight="1" x14ac:dyDescent="0.3">
      <c r="A17" s="214" t="s">
        <v>895</v>
      </c>
      <c r="B17" s="1458"/>
      <c r="C17" s="1458"/>
      <c r="D17" s="1458"/>
      <c r="E17" s="1458"/>
      <c r="F17" s="1458"/>
      <c r="G17" s="1458"/>
      <c r="H17" s="1458"/>
      <c r="I17" s="1458"/>
      <c r="J17" s="1458"/>
      <c r="K17" s="1458"/>
      <c r="L17" s="1451"/>
    </row>
    <row r="18" spans="1:15" ht="15.9" customHeight="1" x14ac:dyDescent="0.3">
      <c r="A18" s="214" t="s">
        <v>896</v>
      </c>
      <c r="B18" s="215">
        <v>1268783</v>
      </c>
      <c r="C18" s="215">
        <v>1282979</v>
      </c>
      <c r="D18" s="215">
        <v>1311186</v>
      </c>
      <c r="E18" s="215">
        <v>1323410</v>
      </c>
      <c r="F18" s="215">
        <v>1343904</v>
      </c>
      <c r="G18" s="215">
        <v>1341663</v>
      </c>
      <c r="H18" s="215">
        <v>1349535</v>
      </c>
      <c r="I18" s="215">
        <v>1197888</v>
      </c>
      <c r="J18" s="215">
        <v>1206120</v>
      </c>
      <c r="K18" s="215">
        <v>1193512</v>
      </c>
      <c r="L18" s="260">
        <f>1381308-203558</f>
        <v>1177750</v>
      </c>
    </row>
    <row r="19" spans="1:15" ht="15.9" customHeight="1" x14ac:dyDescent="0.3">
      <c r="A19" s="214" t="s">
        <v>897</v>
      </c>
      <c r="B19" s="215">
        <v>8099175</v>
      </c>
      <c r="C19" s="215">
        <v>7609543</v>
      </c>
      <c r="D19" s="215">
        <v>6704117</v>
      </c>
      <c r="E19" s="215">
        <v>6144222</v>
      </c>
      <c r="F19" s="215">
        <v>5469786</v>
      </c>
      <c r="G19" s="215">
        <v>5366955</v>
      </c>
      <c r="H19" s="215">
        <v>5070379</v>
      </c>
      <c r="I19" s="215">
        <v>1087156</v>
      </c>
      <c r="J19" s="215">
        <v>783755</v>
      </c>
      <c r="K19" s="686"/>
      <c r="L19" s="1156"/>
    </row>
    <row r="20" spans="1:15" ht="15.9" customHeight="1" x14ac:dyDescent="0.3">
      <c r="A20" s="214" t="s">
        <v>898</v>
      </c>
      <c r="B20" s="472">
        <f>B18+(B19/30)</f>
        <v>1538755.5</v>
      </c>
      <c r="C20" s="472">
        <f t="shared" ref="C20:J20" si="3">C18+(C19/30)</f>
        <v>1536630.4333333333</v>
      </c>
      <c r="D20" s="472">
        <f t="shared" si="3"/>
        <v>1534656.5666666667</v>
      </c>
      <c r="E20" s="472">
        <f t="shared" si="3"/>
        <v>1528217.4</v>
      </c>
      <c r="F20" s="472">
        <f t="shared" si="3"/>
        <v>1526230.2</v>
      </c>
      <c r="G20" s="472">
        <f t="shared" si="3"/>
        <v>1520561.5</v>
      </c>
      <c r="H20" s="472">
        <f t="shared" si="3"/>
        <v>1518547.6333333333</v>
      </c>
      <c r="I20" s="472">
        <f t="shared" si="3"/>
        <v>1234126.5333333334</v>
      </c>
      <c r="J20" s="472">
        <f t="shared" si="3"/>
        <v>1232245.1666666667</v>
      </c>
      <c r="K20" s="472">
        <f>K18+(K19/30)</f>
        <v>1193512</v>
      </c>
      <c r="L20" s="404">
        <f>L18+(L19/30)</f>
        <v>1177750</v>
      </c>
    </row>
    <row r="21" spans="1:15" ht="6.9" customHeight="1" x14ac:dyDescent="0.3">
      <c r="A21" s="214"/>
      <c r="B21" s="220"/>
      <c r="C21" s="220"/>
      <c r="D21" s="220"/>
      <c r="E21" s="220"/>
      <c r="F21" s="220"/>
      <c r="G21" s="220"/>
      <c r="H21" s="220"/>
      <c r="I21" s="220"/>
      <c r="J21" s="220"/>
      <c r="K21" s="220"/>
      <c r="L21" s="223"/>
    </row>
    <row r="22" spans="1:15" ht="7.5" customHeight="1" x14ac:dyDescent="0.3">
      <c r="A22" s="214"/>
      <c r="B22" s="220"/>
      <c r="C22" s="220"/>
      <c r="D22" s="220"/>
      <c r="E22" s="220"/>
      <c r="F22" s="220"/>
      <c r="G22" s="220"/>
      <c r="H22" s="220"/>
      <c r="I22" s="220"/>
      <c r="J22" s="220"/>
      <c r="K22" s="220"/>
      <c r="L22" s="223"/>
    </row>
    <row r="23" spans="1:15" s="345" customFormat="1" hidden="1" outlineLevel="1" x14ac:dyDescent="0.3">
      <c r="A23" s="342" t="s">
        <v>20</v>
      </c>
      <c r="B23" s="1003"/>
      <c r="C23" s="1003"/>
      <c r="D23" s="1003"/>
      <c r="E23" s="1003"/>
      <c r="F23" s="1003"/>
      <c r="G23" s="1003"/>
      <c r="H23" s="1003"/>
      <c r="I23" s="1003"/>
      <c r="J23" s="1003"/>
      <c r="K23" s="1003"/>
      <c r="L23" s="1004"/>
    </row>
    <row r="24" spans="1:15" s="345" customFormat="1" hidden="1" outlineLevel="1" x14ac:dyDescent="0.3">
      <c r="A24" s="342" t="s">
        <v>711</v>
      </c>
      <c r="B24" s="1459">
        <v>85900</v>
      </c>
      <c r="C24" s="1459">
        <v>77596</v>
      </c>
      <c r="D24" s="1459">
        <v>64037</v>
      </c>
      <c r="E24" s="1459">
        <v>57950</v>
      </c>
      <c r="F24" s="1459">
        <v>61724</v>
      </c>
      <c r="G24" s="1459">
        <v>57761</v>
      </c>
      <c r="H24" s="1459">
        <v>57403</v>
      </c>
      <c r="I24" s="1459">
        <v>31455.200000000001</v>
      </c>
      <c r="J24" s="1459">
        <v>23426.3</v>
      </c>
      <c r="K24" s="1459">
        <v>16738.7</v>
      </c>
      <c r="L24" s="1452">
        <f>'6. GEICO effect on equity'!C13</f>
        <v>11651.5</v>
      </c>
    </row>
    <row r="25" spans="1:15" s="345" customFormat="1" hidden="1" outlineLevel="1" x14ac:dyDescent="0.3">
      <c r="A25" s="342" t="s">
        <v>475</v>
      </c>
      <c r="B25" s="1459">
        <f t="shared" ref="B25:L25" si="4">B15-B24</f>
        <v>0</v>
      </c>
      <c r="C25" s="1459">
        <f t="shared" si="4"/>
        <v>0</v>
      </c>
      <c r="D25" s="1459">
        <f t="shared" si="4"/>
        <v>0</v>
      </c>
      <c r="E25" s="1459">
        <f t="shared" si="4"/>
        <v>0</v>
      </c>
      <c r="F25" s="1459">
        <f t="shared" si="4"/>
        <v>0</v>
      </c>
      <c r="G25" s="1459">
        <f t="shared" si="4"/>
        <v>0</v>
      </c>
      <c r="H25" s="1459">
        <f t="shared" si="4"/>
        <v>0</v>
      </c>
      <c r="I25" s="1459">
        <f t="shared" si="4"/>
        <v>0</v>
      </c>
      <c r="J25" s="1459">
        <f t="shared" si="4"/>
        <v>0</v>
      </c>
      <c r="K25" s="1459">
        <f t="shared" si="4"/>
        <v>0</v>
      </c>
      <c r="L25" s="1452">
        <f t="shared" si="4"/>
        <v>0</v>
      </c>
    </row>
    <row r="26" spans="1:15" ht="5.25" customHeight="1" collapsed="1" x14ac:dyDescent="0.3">
      <c r="A26" s="1469"/>
      <c r="B26" s="684"/>
      <c r="C26" s="684"/>
      <c r="D26" s="684"/>
      <c r="E26" s="684"/>
      <c r="F26" s="684"/>
      <c r="G26" s="684"/>
      <c r="H26" s="684"/>
      <c r="I26" s="684"/>
      <c r="J26" s="684"/>
      <c r="K26" s="684"/>
      <c r="L26" s="1279"/>
    </row>
    <row r="27" spans="1:15" ht="24.6" customHeight="1" x14ac:dyDescent="0.3">
      <c r="A27" s="214" t="s">
        <v>1795</v>
      </c>
      <c r="B27" s="220"/>
      <c r="C27" s="220"/>
      <c r="D27" s="220"/>
      <c r="E27" s="220"/>
      <c r="F27" s="220"/>
      <c r="G27" s="220"/>
      <c r="H27" s="220"/>
      <c r="I27" s="220"/>
      <c r="J27" s="220"/>
      <c r="K27" s="220"/>
      <c r="L27" s="223"/>
    </row>
    <row r="28" spans="1:15" ht="219" customHeight="1" x14ac:dyDescent="0.3">
      <c r="A28" s="2806" t="s">
        <v>2496</v>
      </c>
      <c r="B28" s="2807"/>
      <c r="C28" s="2807"/>
      <c r="D28" s="2807"/>
      <c r="E28" s="2807"/>
      <c r="F28" s="2807"/>
      <c r="G28" s="2807"/>
      <c r="H28" s="2807"/>
      <c r="I28" s="2807"/>
      <c r="J28" s="2807"/>
      <c r="K28" s="2807"/>
      <c r="L28" s="2808"/>
      <c r="O28" s="211" t="s">
        <v>176</v>
      </c>
    </row>
    <row r="29" spans="1:15" x14ac:dyDescent="0.3">
      <c r="A29" s="2806" t="s">
        <v>1951</v>
      </c>
      <c r="B29" s="2807"/>
      <c r="C29" s="2807"/>
      <c r="D29" s="2807"/>
      <c r="E29" s="2807"/>
      <c r="F29" s="2807"/>
      <c r="G29" s="2807"/>
      <c r="H29" s="2807"/>
      <c r="I29" s="2807"/>
      <c r="J29" s="2807"/>
      <c r="K29" s="2807"/>
      <c r="L29" s="1643"/>
    </row>
    <row r="30" spans="1:15" ht="33.75" customHeight="1" x14ac:dyDescent="0.3">
      <c r="A30" s="2806" t="s">
        <v>2068</v>
      </c>
      <c r="B30" s="2807"/>
      <c r="C30" s="2807"/>
      <c r="D30" s="2807"/>
      <c r="E30" s="2807"/>
      <c r="F30" s="2807"/>
      <c r="G30" s="2807"/>
      <c r="H30" s="2807"/>
      <c r="I30" s="2807"/>
      <c r="J30" s="2807"/>
      <c r="K30" s="2807"/>
      <c r="L30" s="2808"/>
    </row>
    <row r="31" spans="1:15" ht="16.2" thickBot="1" x14ac:dyDescent="0.35">
      <c r="A31" s="2925" t="s">
        <v>2098</v>
      </c>
      <c r="B31" s="2926"/>
      <c r="C31" s="2926"/>
      <c r="D31" s="2926"/>
      <c r="E31" s="2926"/>
      <c r="F31" s="2926"/>
      <c r="G31" s="2926"/>
      <c r="H31" s="2926"/>
      <c r="I31" s="2926"/>
      <c r="J31" s="2926"/>
      <c r="K31" s="2926"/>
      <c r="L31" s="2927"/>
    </row>
    <row r="32" spans="1:15" x14ac:dyDescent="0.3">
      <c r="A32" s="12" t="s">
        <v>1796</v>
      </c>
      <c r="J32" s="211"/>
      <c r="K32" s="211"/>
    </row>
    <row r="33" spans="1:11" x14ac:dyDescent="0.3">
      <c r="J33" s="211"/>
      <c r="K33" s="211"/>
    </row>
    <row r="34" spans="1:11" x14ac:dyDescent="0.3">
      <c r="J34" s="211"/>
      <c r="K34" s="211"/>
    </row>
    <row r="35" spans="1:11" x14ac:dyDescent="0.3">
      <c r="A35" s="211" t="s">
        <v>724</v>
      </c>
      <c r="B35" s="1453">
        <f>K6</f>
        <v>11651.5</v>
      </c>
      <c r="J35" s="211"/>
      <c r="K35" s="211"/>
    </row>
    <row r="36" spans="1:11" x14ac:dyDescent="0.3">
      <c r="A36" s="211" t="s">
        <v>990</v>
      </c>
      <c r="B36" s="278">
        <f>SUM(B7:K7)</f>
        <v>33440.1</v>
      </c>
      <c r="J36" s="211"/>
      <c r="K36" s="211"/>
    </row>
    <row r="37" spans="1:11" x14ac:dyDescent="0.3">
      <c r="A37" s="211" t="s">
        <v>2072</v>
      </c>
      <c r="B37" s="1401">
        <f>SUM(B13:K13)</f>
        <v>15000.040000000003</v>
      </c>
      <c r="J37" s="211"/>
      <c r="K37" s="211"/>
    </row>
    <row r="38" spans="1:11" x14ac:dyDescent="0.3">
      <c r="A38" s="211" t="s">
        <v>995</v>
      </c>
      <c r="B38" s="278">
        <f>SUM(B14:K14)</f>
        <v>157.96000000000009</v>
      </c>
      <c r="J38" s="211"/>
      <c r="K38" s="211"/>
    </row>
    <row r="39" spans="1:11" x14ac:dyDescent="0.3">
      <c r="A39" s="211" t="s">
        <v>994</v>
      </c>
      <c r="B39" s="278">
        <f>SUM(B10:K11)</f>
        <v>25085.3</v>
      </c>
      <c r="J39" s="211"/>
      <c r="K39" s="211"/>
    </row>
    <row r="40" spans="1:11" x14ac:dyDescent="0.3">
      <c r="A40" s="211" t="s">
        <v>993</v>
      </c>
      <c r="B40" s="1454">
        <f>J8+J9</f>
        <v>565</v>
      </c>
      <c r="J40" s="211"/>
      <c r="K40" s="211"/>
    </row>
    <row r="41" spans="1:11" x14ac:dyDescent="0.3">
      <c r="A41" s="211" t="s">
        <v>279</v>
      </c>
      <c r="B41" s="1401">
        <f>I12</f>
        <v>0.3</v>
      </c>
      <c r="J41" s="211"/>
      <c r="K41" s="211"/>
    </row>
    <row r="42" spans="1:11" x14ac:dyDescent="0.3">
      <c r="A42" s="211" t="s">
        <v>991</v>
      </c>
      <c r="B42" s="1455">
        <f>SUM(B35:B41)</f>
        <v>85900.2</v>
      </c>
      <c r="J42" s="211"/>
      <c r="K42" s="211"/>
    </row>
    <row r="43" spans="1:11" x14ac:dyDescent="0.3">
      <c r="J43" s="211"/>
      <c r="K43" s="211"/>
    </row>
    <row r="44" spans="1:11" s="658" customFormat="1" outlineLevel="1" x14ac:dyDescent="0.3">
      <c r="A44" s="658" t="s">
        <v>992</v>
      </c>
      <c r="B44" s="1456">
        <f>B15</f>
        <v>85900</v>
      </c>
    </row>
    <row r="45" spans="1:11" s="658" customFormat="1" outlineLevel="1" x14ac:dyDescent="0.3">
      <c r="A45" s="658" t="s">
        <v>649</v>
      </c>
      <c r="B45" s="1457">
        <f>B42-B44</f>
        <v>0.19999999999708962</v>
      </c>
    </row>
    <row r="46" spans="1:11" x14ac:dyDescent="0.3">
      <c r="J46" s="211"/>
      <c r="K46" s="211"/>
    </row>
    <row r="47" spans="1:11" x14ac:dyDescent="0.3">
      <c r="J47" s="211"/>
      <c r="K47" s="211"/>
    </row>
    <row r="48" spans="1:11" x14ac:dyDescent="0.3">
      <c r="J48" s="211"/>
      <c r="K48" s="211"/>
    </row>
    <row r="49" s="211" customFormat="1" x14ac:dyDescent="0.3"/>
    <row r="50" s="211" customFormat="1" x14ac:dyDescent="0.3"/>
    <row r="51" s="211" customFormat="1" x14ac:dyDescent="0.3"/>
    <row r="52" s="211" customFormat="1" x14ac:dyDescent="0.3"/>
    <row r="53" s="211" customFormat="1" x14ac:dyDescent="0.3"/>
  </sheetData>
  <mergeCells count="4">
    <mergeCell ref="A28:L28"/>
    <mergeCell ref="A29:K29"/>
    <mergeCell ref="A31:L31"/>
    <mergeCell ref="A30:L30"/>
  </mergeCells>
  <pageMargins left="0.7" right="0.7" top="0.75" bottom="0.75" header="0.3" footer="0.3"/>
  <pageSetup orientation="portrait" horizontalDpi="1200" verticalDpi="1200" r:id="rId1"/>
  <ignoredErrors>
    <ignoredError sqref="H6" formula="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E0E2-BF1D-4491-871A-C9C04D901EB1}">
  <sheetPr codeName="Sheet55">
    <tabColor theme="9" tint="0.59999389629810485"/>
  </sheetPr>
  <dimension ref="A1:L108"/>
  <sheetViews>
    <sheetView showGridLines="0" zoomScale="85" zoomScaleNormal="85" workbookViewId="0">
      <selection activeCell="P23" sqref="P23"/>
    </sheetView>
  </sheetViews>
  <sheetFormatPr defaultColWidth="8.6640625" defaultRowHeight="15.6" outlineLevelRow="1" x14ac:dyDescent="0.3"/>
  <cols>
    <col min="1" max="1" width="45.6640625" style="211" customWidth="1"/>
    <col min="2" max="8" width="9.44140625" style="211" customWidth="1"/>
    <col min="9" max="9" width="11.5546875" style="211" customWidth="1"/>
    <col min="10" max="10" width="9.5546875" style="211" customWidth="1"/>
    <col min="11" max="16384" width="8.6640625" style="211"/>
  </cols>
  <sheetData>
    <row r="1" spans="1:9" s="309" customFormat="1" outlineLevel="1" x14ac:dyDescent="0.3">
      <c r="A1" s="309" t="s">
        <v>556</v>
      </c>
      <c r="B1" s="309">
        <v>2000</v>
      </c>
      <c r="C1" s="309">
        <v>1999</v>
      </c>
      <c r="D1" s="309">
        <v>1998</v>
      </c>
      <c r="E1" s="309">
        <v>1997</v>
      </c>
      <c r="F1" s="309">
        <v>1996</v>
      </c>
      <c r="G1" s="309">
        <v>1996</v>
      </c>
      <c r="H1" s="309">
        <v>1994</v>
      </c>
    </row>
    <row r="2" spans="1:9" x14ac:dyDescent="0.3">
      <c r="A2" s="459" t="s">
        <v>1673</v>
      </c>
    </row>
    <row r="3" spans="1:9" x14ac:dyDescent="0.3">
      <c r="A3" s="152" t="s">
        <v>1798</v>
      </c>
    </row>
    <row r="4" spans="1:9" ht="5.4" customHeight="1" thickBot="1" x14ac:dyDescent="0.35"/>
    <row r="5" spans="1:9" x14ac:dyDescent="0.3">
      <c r="A5" s="212" t="s">
        <v>1250</v>
      </c>
      <c r="B5" s="712">
        <v>2000</v>
      </c>
      <c r="C5" s="712">
        <v>1999</v>
      </c>
      <c r="D5" s="712">
        <v>1998</v>
      </c>
      <c r="E5" s="712">
        <v>1997</v>
      </c>
      <c r="F5" s="712">
        <v>1996</v>
      </c>
      <c r="G5" s="712">
        <v>1995</v>
      </c>
      <c r="H5" s="713">
        <v>1994</v>
      </c>
    </row>
    <row r="6" spans="1:9" x14ac:dyDescent="0.3">
      <c r="A6" s="214" t="s">
        <v>515</v>
      </c>
      <c r="B6" s="220"/>
      <c r="C6" s="220"/>
      <c r="D6" s="220"/>
      <c r="E6" s="220"/>
      <c r="F6" s="220"/>
      <c r="G6" s="220"/>
      <c r="H6" s="223"/>
    </row>
    <row r="7" spans="1:9" x14ac:dyDescent="0.3">
      <c r="A7" s="221" t="s">
        <v>516</v>
      </c>
      <c r="B7" s="220"/>
      <c r="C7" s="220"/>
      <c r="D7" s="220"/>
      <c r="E7" s="220"/>
      <c r="F7" s="220"/>
      <c r="G7" s="220"/>
      <c r="H7" s="223"/>
    </row>
    <row r="8" spans="1:9" ht="18.600000000000001" x14ac:dyDescent="0.3">
      <c r="A8" s="214" t="s">
        <v>1799</v>
      </c>
      <c r="B8" s="1297">
        <v>32381</v>
      </c>
      <c r="C8" s="1297">
        <v>30217</v>
      </c>
      <c r="D8" s="1297">
        <v>21216</v>
      </c>
      <c r="E8" s="1297">
        <v>10028.200000000001</v>
      </c>
      <c r="F8" s="1297">
        <v>5462.4</v>
      </c>
      <c r="G8" s="1297">
        <v>1368.5</v>
      </c>
      <c r="H8" s="1473">
        <f>1509.4+972.2</f>
        <v>2481.6000000000004</v>
      </c>
    </row>
    <row r="9" spans="1:9" x14ac:dyDescent="0.3">
      <c r="A9" s="214" t="s">
        <v>584</v>
      </c>
      <c r="B9" s="1465"/>
      <c r="C9" s="1465"/>
      <c r="D9" s="1465"/>
      <c r="E9" s="1465"/>
      <c r="F9" s="1465"/>
      <c r="G9" s="1465"/>
      <c r="H9" s="1466"/>
    </row>
    <row r="10" spans="1:9" x14ac:dyDescent="0.3">
      <c r="A10" s="214" t="s">
        <v>616</v>
      </c>
      <c r="B10" s="1465">
        <v>8147</v>
      </c>
      <c r="C10" s="1465">
        <v>8218</v>
      </c>
      <c r="D10" s="1465">
        <v>5067</v>
      </c>
      <c r="E10" s="1465">
        <v>4315.2</v>
      </c>
      <c r="F10" s="1465">
        <v>2731.8</v>
      </c>
      <c r="G10" s="1465">
        <v>2000.5</v>
      </c>
      <c r="H10" s="1466">
        <v>794.1</v>
      </c>
    </row>
    <row r="11" spans="1:9" x14ac:dyDescent="0.3">
      <c r="A11" s="214" t="s">
        <v>544</v>
      </c>
      <c r="B11" s="1465">
        <v>0</v>
      </c>
      <c r="C11" s="1465">
        <v>0</v>
      </c>
      <c r="D11" s="1465">
        <v>0</v>
      </c>
      <c r="E11" s="1465">
        <v>0</v>
      </c>
      <c r="F11" s="1465">
        <v>0</v>
      </c>
      <c r="G11" s="1465">
        <v>2405.8000000000002</v>
      </c>
      <c r="H11" s="1466">
        <v>1662.4</v>
      </c>
    </row>
    <row r="12" spans="1:9" x14ac:dyDescent="0.3">
      <c r="A12" s="214" t="s">
        <v>863</v>
      </c>
      <c r="B12" s="1465">
        <v>12159</v>
      </c>
      <c r="C12" s="1465">
        <v>11622</v>
      </c>
      <c r="D12" s="1465">
        <v>13368</v>
      </c>
      <c r="E12" s="1465">
        <v>13305.5</v>
      </c>
      <c r="F12" s="1465">
        <v>10499.7</v>
      </c>
      <c r="G12" s="1465">
        <v>7407.2</v>
      </c>
      <c r="H12" s="1466">
        <v>5137.6000000000004</v>
      </c>
    </row>
    <row r="13" spans="1:9" x14ac:dyDescent="0.3">
      <c r="A13" s="214" t="s">
        <v>864</v>
      </c>
      <c r="B13" s="1465">
        <v>0</v>
      </c>
      <c r="C13" s="1465">
        <v>0</v>
      </c>
      <c r="D13" s="1465">
        <v>1489</v>
      </c>
      <c r="E13" s="1465">
        <v>2082.8000000000002</v>
      </c>
      <c r="F13" s="1465">
        <v>1680.2</v>
      </c>
      <c r="G13" s="1465">
        <v>0</v>
      </c>
      <c r="H13" s="1466">
        <v>0</v>
      </c>
    </row>
    <row r="14" spans="1:9" x14ac:dyDescent="0.3">
      <c r="A14" s="214" t="s">
        <v>867</v>
      </c>
      <c r="B14" s="1465">
        <v>146</v>
      </c>
      <c r="C14" s="1465">
        <v>2803</v>
      </c>
      <c r="D14" s="1465">
        <v>3885</v>
      </c>
      <c r="E14" s="1465">
        <v>2683.1</v>
      </c>
      <c r="F14" s="1465">
        <v>1772.8</v>
      </c>
      <c r="G14" s="1465">
        <v>1044</v>
      </c>
      <c r="H14" s="1466">
        <v>644.4</v>
      </c>
    </row>
    <row r="15" spans="1:9" ht="18.600000000000001" x14ac:dyDescent="0.3">
      <c r="A15" s="214" t="s">
        <v>1800</v>
      </c>
      <c r="B15" s="1465">
        <v>0</v>
      </c>
      <c r="C15" s="1465">
        <v>0</v>
      </c>
      <c r="D15" s="1465">
        <v>0</v>
      </c>
      <c r="E15" s="1465">
        <v>0</v>
      </c>
      <c r="F15" s="1465">
        <v>0</v>
      </c>
      <c r="G15" s="1465">
        <v>2393.1999999999998</v>
      </c>
      <c r="H15" s="1466">
        <v>1678.3</v>
      </c>
      <c r="I15" s="211" t="s">
        <v>176</v>
      </c>
    </row>
    <row r="16" spans="1:9" x14ac:dyDescent="0.3">
      <c r="A16" s="214" t="s">
        <v>862</v>
      </c>
      <c r="B16" s="1465">
        <v>0</v>
      </c>
      <c r="C16" s="1465">
        <v>0</v>
      </c>
      <c r="D16" s="1465">
        <v>0</v>
      </c>
      <c r="E16" s="1465">
        <v>0</v>
      </c>
      <c r="F16" s="1465">
        <v>1356.2</v>
      </c>
      <c r="G16" s="1465">
        <v>504.9</v>
      </c>
      <c r="H16" s="1466">
        <v>0</v>
      </c>
    </row>
    <row r="17" spans="1:8" x14ac:dyDescent="0.3">
      <c r="A17" s="214" t="s">
        <v>865</v>
      </c>
      <c r="B17" s="1465">
        <v>3468</v>
      </c>
      <c r="C17" s="1465">
        <v>3954</v>
      </c>
      <c r="D17" s="1465">
        <v>4590</v>
      </c>
      <c r="E17" s="1465">
        <v>4821</v>
      </c>
      <c r="F17" s="1465">
        <v>3732</v>
      </c>
      <c r="G17" s="1465">
        <v>2502</v>
      </c>
      <c r="H17" s="1466">
        <v>1797</v>
      </c>
    </row>
    <row r="18" spans="1:8" x14ac:dyDescent="0.3">
      <c r="A18" s="214" t="s">
        <v>548</v>
      </c>
      <c r="B18" s="1465">
        <v>2964</v>
      </c>
      <c r="C18" s="1465">
        <v>2316</v>
      </c>
      <c r="D18" s="1465">
        <v>2466</v>
      </c>
      <c r="E18" s="1465">
        <v>2207.9</v>
      </c>
      <c r="F18" s="1465">
        <v>1916.8</v>
      </c>
      <c r="G18" s="1465">
        <v>1426.8</v>
      </c>
      <c r="H18" s="1466">
        <v>957.8</v>
      </c>
    </row>
    <row r="19" spans="1:8" x14ac:dyDescent="0.3">
      <c r="A19" s="214" t="s">
        <v>549</v>
      </c>
      <c r="B19" s="1465">
        <v>12008</v>
      </c>
      <c r="C19" s="1465">
        <v>10256</v>
      </c>
      <c r="D19" s="1465">
        <v>8629</v>
      </c>
      <c r="E19" s="1465">
        <v>6525.6</v>
      </c>
      <c r="F19" s="1465">
        <v>3862.1</v>
      </c>
      <c r="G19" s="1465">
        <v>2363.4</v>
      </c>
      <c r="H19" s="1466">
        <v>2451.9</v>
      </c>
    </row>
    <row r="20" spans="1:8" x14ac:dyDescent="0.3">
      <c r="A20" s="214"/>
      <c r="B20" s="1478">
        <f t="shared" ref="B20:H20" si="0">SUM(B8:B19)</f>
        <v>71273</v>
      </c>
      <c r="C20" s="1478">
        <f t="shared" si="0"/>
        <v>69386</v>
      </c>
      <c r="D20" s="1478">
        <f t="shared" si="0"/>
        <v>60710</v>
      </c>
      <c r="E20" s="1478">
        <f t="shared" si="0"/>
        <v>45969.3</v>
      </c>
      <c r="F20" s="1478">
        <f t="shared" si="0"/>
        <v>33014</v>
      </c>
      <c r="G20" s="1478">
        <f t="shared" si="0"/>
        <v>23416.300000000003</v>
      </c>
      <c r="H20" s="1479">
        <f t="shared" si="0"/>
        <v>17605.099999999999</v>
      </c>
    </row>
    <row r="21" spans="1:8" x14ac:dyDescent="0.3">
      <c r="A21" s="214" t="s">
        <v>517</v>
      </c>
      <c r="B21" s="1465">
        <v>4700</v>
      </c>
      <c r="C21" s="1465">
        <v>2981</v>
      </c>
      <c r="D21" s="1465">
        <v>13081</v>
      </c>
      <c r="E21" s="1465">
        <v>515.6</v>
      </c>
      <c r="F21" s="1465">
        <v>513.70000000000005</v>
      </c>
      <c r="G21" s="1465">
        <v>2328.9</v>
      </c>
      <c r="H21" s="1466">
        <v>90.3</v>
      </c>
    </row>
    <row r="22" spans="1:8" x14ac:dyDescent="0.3">
      <c r="A22" s="214" t="s">
        <v>518</v>
      </c>
      <c r="B22" s="1465">
        <v>3508</v>
      </c>
      <c r="C22" s="1465">
        <v>2309</v>
      </c>
      <c r="D22" s="1465">
        <v>1226</v>
      </c>
      <c r="E22" s="1465">
        <v>607.70000000000005</v>
      </c>
      <c r="F22" s="1465">
        <v>437.5</v>
      </c>
      <c r="G22" s="1465">
        <v>410.6</v>
      </c>
      <c r="H22" s="1466">
        <v>468.2</v>
      </c>
    </row>
    <row r="23" spans="1:8" x14ac:dyDescent="0.3">
      <c r="A23" s="214" t="s">
        <v>15</v>
      </c>
      <c r="B23" s="1465">
        <v>12808</v>
      </c>
      <c r="C23" s="1465">
        <v>9490</v>
      </c>
      <c r="D23" s="1465">
        <v>7745</v>
      </c>
      <c r="E23" s="1465">
        <v>1287</v>
      </c>
      <c r="F23" s="1465">
        <v>1022</v>
      </c>
      <c r="G23" s="1465">
        <v>314.5</v>
      </c>
      <c r="H23" s="1466">
        <v>301.89999999999998</v>
      </c>
    </row>
    <row r="24" spans="1:8" ht="16.2" thickBot="1" x14ac:dyDescent="0.35">
      <c r="A24" s="214"/>
      <c r="B24" s="1276">
        <f t="shared" ref="B24:H24" si="1">SUM(B20:B23)</f>
        <v>92289</v>
      </c>
      <c r="C24" s="1276">
        <f t="shared" si="1"/>
        <v>84166</v>
      </c>
      <c r="D24" s="1276">
        <f t="shared" si="1"/>
        <v>82762</v>
      </c>
      <c r="E24" s="1276">
        <f t="shared" si="1"/>
        <v>48379.6</v>
      </c>
      <c r="F24" s="1276">
        <f t="shared" si="1"/>
        <v>34987.199999999997</v>
      </c>
      <c r="G24" s="1276">
        <f t="shared" si="1"/>
        <v>26470.300000000003</v>
      </c>
      <c r="H24" s="1475">
        <f t="shared" si="1"/>
        <v>18465.5</v>
      </c>
    </row>
    <row r="25" spans="1:8" ht="10.5" customHeight="1" thickTop="1" x14ac:dyDescent="0.3">
      <c r="A25" s="214"/>
      <c r="B25" s="1298"/>
      <c r="C25" s="1298"/>
      <c r="D25" s="1298"/>
      <c r="E25" s="1298"/>
      <c r="F25" s="1298"/>
      <c r="G25" s="1298"/>
      <c r="H25" s="1474"/>
    </row>
    <row r="26" spans="1:8" x14ac:dyDescent="0.3">
      <c r="A26" s="214" t="s">
        <v>519</v>
      </c>
      <c r="B26" s="1298"/>
      <c r="C26" s="1298"/>
      <c r="D26" s="1298"/>
      <c r="E26" s="1298"/>
      <c r="F26" s="1298"/>
      <c r="G26" s="1298"/>
      <c r="H26" s="1474"/>
    </row>
    <row r="27" spans="1:8" x14ac:dyDescent="0.3">
      <c r="A27" s="214" t="s">
        <v>68</v>
      </c>
      <c r="B27" s="1297">
        <v>33022</v>
      </c>
      <c r="C27" s="1297">
        <v>26802</v>
      </c>
      <c r="D27" s="1297">
        <v>23012</v>
      </c>
      <c r="E27" s="1297">
        <v>6850.5</v>
      </c>
      <c r="F27" s="1297">
        <v>6274.4</v>
      </c>
      <c r="G27" s="1297">
        <v>3698.6</v>
      </c>
      <c r="H27" s="1473">
        <v>3430</v>
      </c>
    </row>
    <row r="28" spans="1:8" x14ac:dyDescent="0.3">
      <c r="A28" s="214" t="s">
        <v>69</v>
      </c>
      <c r="B28" s="1465">
        <v>3885</v>
      </c>
      <c r="C28" s="1465">
        <v>3718</v>
      </c>
      <c r="D28" s="1465">
        <v>3324</v>
      </c>
      <c r="E28" s="1465">
        <v>1273.7</v>
      </c>
      <c r="F28" s="1465">
        <v>1183.5</v>
      </c>
      <c r="G28" s="1465">
        <v>374.1</v>
      </c>
      <c r="H28" s="1466">
        <v>307.2</v>
      </c>
    </row>
    <row r="29" spans="1:8" x14ac:dyDescent="0.3">
      <c r="A29" s="214" t="s">
        <v>520</v>
      </c>
      <c r="B29" s="1465">
        <v>0</v>
      </c>
      <c r="C29" s="1465">
        <v>0</v>
      </c>
      <c r="D29" s="1465">
        <v>0</v>
      </c>
      <c r="E29" s="1465">
        <v>396.9</v>
      </c>
      <c r="F29" s="1465">
        <v>449.6</v>
      </c>
      <c r="G29" s="1465">
        <v>379</v>
      </c>
      <c r="H29" s="1466">
        <v>307.3</v>
      </c>
    </row>
    <row r="30" spans="1:8" x14ac:dyDescent="0.3">
      <c r="A30" s="214" t="s">
        <v>521</v>
      </c>
      <c r="B30" s="1465">
        <v>0</v>
      </c>
      <c r="C30" s="1465">
        <v>0</v>
      </c>
      <c r="D30" s="1465">
        <v>0</v>
      </c>
      <c r="E30" s="1465">
        <v>1256.4000000000001</v>
      </c>
      <c r="F30" s="1465">
        <v>802</v>
      </c>
      <c r="G30" s="1465">
        <v>238.9</v>
      </c>
      <c r="H30" s="1466">
        <v>255</v>
      </c>
    </row>
    <row r="31" spans="1:8" x14ac:dyDescent="0.3">
      <c r="A31" s="214" t="s">
        <v>868</v>
      </c>
      <c r="B31" s="1465">
        <v>6986</v>
      </c>
      <c r="C31" s="1465">
        <v>6537</v>
      </c>
      <c r="D31" s="1465">
        <v>6419</v>
      </c>
      <c r="E31" s="1465"/>
      <c r="F31" s="1465"/>
      <c r="G31" s="1465"/>
      <c r="H31" s="1466"/>
    </row>
    <row r="32" spans="1:8" x14ac:dyDescent="0.3">
      <c r="A32" s="214" t="s">
        <v>522</v>
      </c>
      <c r="B32" s="1465">
        <v>9729</v>
      </c>
      <c r="C32" s="1465">
        <v>9430</v>
      </c>
      <c r="D32" s="1465">
        <v>11432</v>
      </c>
      <c r="E32" s="1465">
        <v>10372</v>
      </c>
      <c r="F32" s="1465">
        <v>6611.8</v>
      </c>
      <c r="G32" s="1465">
        <v>5483.3</v>
      </c>
      <c r="H32" s="1466">
        <v>3209.3</v>
      </c>
    </row>
    <row r="33" spans="1:12" x14ac:dyDescent="0.3">
      <c r="A33" s="214"/>
      <c r="B33" s="1480">
        <f t="shared" ref="B33:H33" si="2">SUM(B27:B32)</f>
        <v>53622</v>
      </c>
      <c r="C33" s="1480">
        <f t="shared" si="2"/>
        <v>46487</v>
      </c>
      <c r="D33" s="1480">
        <f t="shared" si="2"/>
        <v>44187</v>
      </c>
      <c r="E33" s="1480">
        <f t="shared" si="2"/>
        <v>20149.5</v>
      </c>
      <c r="F33" s="1480">
        <f t="shared" si="2"/>
        <v>15321.3</v>
      </c>
      <c r="G33" s="1480">
        <f t="shared" si="2"/>
        <v>10173.9</v>
      </c>
      <c r="H33" s="1481">
        <f t="shared" si="2"/>
        <v>7508.8</v>
      </c>
    </row>
    <row r="34" spans="1:12" x14ac:dyDescent="0.3">
      <c r="A34" s="214"/>
      <c r="B34" s="1465"/>
      <c r="C34" s="1465"/>
      <c r="D34" s="1465"/>
      <c r="E34" s="1465"/>
      <c r="F34" s="1465"/>
      <c r="G34" s="1465"/>
      <c r="H34" s="1466"/>
    </row>
    <row r="35" spans="1:12" x14ac:dyDescent="0.3">
      <c r="A35" s="214" t="s">
        <v>95</v>
      </c>
      <c r="B35" s="1465"/>
      <c r="C35" s="1465"/>
      <c r="D35" s="1465"/>
      <c r="E35" s="1465"/>
      <c r="F35" s="1465"/>
      <c r="G35" s="1465"/>
      <c r="H35" s="1466"/>
    </row>
    <row r="36" spans="1:12" x14ac:dyDescent="0.3">
      <c r="A36" s="214" t="s">
        <v>523</v>
      </c>
      <c r="B36" s="1465">
        <v>1157</v>
      </c>
      <c r="C36" s="1465">
        <v>1337</v>
      </c>
      <c r="D36" s="1465">
        <v>1554</v>
      </c>
      <c r="E36" s="1465">
        <v>359.4</v>
      </c>
      <c r="F36" s="1465">
        <v>258.10000000000002</v>
      </c>
      <c r="G36" s="1465">
        <v>196.4</v>
      </c>
      <c r="H36" s="1466">
        <v>136.5</v>
      </c>
    </row>
    <row r="37" spans="1:12" x14ac:dyDescent="0.3">
      <c r="A37" s="214" t="s">
        <v>524</v>
      </c>
      <c r="B37" s="1465">
        <v>37510</v>
      </c>
      <c r="C37" s="1465">
        <v>36342</v>
      </c>
      <c r="D37" s="1465">
        <v>37021</v>
      </c>
      <c r="E37" s="1465">
        <v>27870.7</v>
      </c>
      <c r="F37" s="1465">
        <v>19407.8</v>
      </c>
      <c r="G37" s="1465">
        <v>16100</v>
      </c>
      <c r="H37" s="1466">
        <v>10820.2</v>
      </c>
    </row>
    <row r="38" spans="1:12" x14ac:dyDescent="0.3">
      <c r="A38" s="214"/>
      <c r="B38" s="1480">
        <f>B36+B37</f>
        <v>38667</v>
      </c>
      <c r="C38" s="1480">
        <f>C36+C37</f>
        <v>37679</v>
      </c>
      <c r="D38" s="1480">
        <f t="shared" ref="D38:E38" si="3">D36+D37</f>
        <v>38575</v>
      </c>
      <c r="E38" s="1480">
        <f t="shared" si="3"/>
        <v>28230.100000000002</v>
      </c>
      <c r="F38" s="1480">
        <f t="shared" ref="F38:G38" si="4">F36+F37</f>
        <v>19665.899999999998</v>
      </c>
      <c r="G38" s="1480">
        <f t="shared" si="4"/>
        <v>16296.4</v>
      </c>
      <c r="H38" s="1481">
        <f t="shared" ref="H38" si="5">H36+H37</f>
        <v>10956.7</v>
      </c>
    </row>
    <row r="39" spans="1:12" ht="16.2" thickBot="1" x14ac:dyDescent="0.35">
      <c r="A39" s="214"/>
      <c r="B39" s="1276">
        <f>B33+B38</f>
        <v>92289</v>
      </c>
      <c r="C39" s="1276">
        <f>C33+C38</f>
        <v>84166</v>
      </c>
      <c r="D39" s="1276">
        <f t="shared" ref="D39:E39" si="6">D33+D38</f>
        <v>82762</v>
      </c>
      <c r="E39" s="1276">
        <f t="shared" si="6"/>
        <v>48379.600000000006</v>
      </c>
      <c r="F39" s="1276">
        <f t="shared" ref="F39:G39" si="7">F33+F38</f>
        <v>34987.199999999997</v>
      </c>
      <c r="G39" s="1276">
        <f t="shared" si="7"/>
        <v>26470.3</v>
      </c>
      <c r="H39" s="1475">
        <f t="shared" ref="H39" si="8">H33+H38</f>
        <v>18465.5</v>
      </c>
    </row>
    <row r="40" spans="1:12" s="309" customFormat="1" ht="16.2" hidden="1" outlineLevel="1" thickTop="1" x14ac:dyDescent="0.3">
      <c r="A40" s="305" t="s">
        <v>20</v>
      </c>
      <c r="B40" s="1056">
        <f t="shared" ref="B40:H40" si="9">B24-B39</f>
        <v>0</v>
      </c>
      <c r="C40" s="1056">
        <f t="shared" si="9"/>
        <v>0</v>
      </c>
      <c r="D40" s="1056">
        <f t="shared" si="9"/>
        <v>0</v>
      </c>
      <c r="E40" s="1065">
        <f t="shared" si="9"/>
        <v>0</v>
      </c>
      <c r="F40" s="1065">
        <f t="shared" si="9"/>
        <v>0</v>
      </c>
      <c r="G40" s="1065">
        <f t="shared" si="9"/>
        <v>0</v>
      </c>
      <c r="H40" s="1471">
        <f t="shared" si="9"/>
        <v>0</v>
      </c>
    </row>
    <row r="41" spans="1:12" ht="4.5" customHeight="1" collapsed="1" thickTop="1" x14ac:dyDescent="0.3">
      <c r="A41" s="214"/>
      <c r="B41" s="1056"/>
      <c r="C41" s="1056"/>
      <c r="D41" s="1056"/>
      <c r="E41" s="1056"/>
      <c r="F41" s="1056"/>
      <c r="G41" s="1056"/>
      <c r="H41" s="1105"/>
    </row>
    <row r="42" spans="1:12" ht="8.25" customHeight="1" x14ac:dyDescent="0.3">
      <c r="A42" s="6"/>
      <c r="B42" s="1484"/>
      <c r="C42" s="1484"/>
      <c r="D42" s="1484"/>
      <c r="E42" s="1484"/>
      <c r="F42" s="1484"/>
      <c r="G42" s="1484"/>
      <c r="H42" s="132"/>
    </row>
    <row r="43" spans="1:12" x14ac:dyDescent="0.3">
      <c r="A43" s="6" t="s">
        <v>1952</v>
      </c>
      <c r="B43" s="1484"/>
      <c r="C43" s="1484"/>
      <c r="D43" s="1484"/>
      <c r="E43" s="1484"/>
      <c r="F43" s="1484"/>
      <c r="G43" s="1484"/>
      <c r="H43" s="132"/>
    </row>
    <row r="44" spans="1:12" ht="8.25" customHeight="1" x14ac:dyDescent="0.3">
      <c r="A44" s="6"/>
      <c r="B44" s="1484"/>
      <c r="C44" s="1484"/>
      <c r="D44" s="1484"/>
      <c r="E44" s="1484"/>
      <c r="F44" s="1484"/>
      <c r="G44" s="1484"/>
      <c r="H44" s="132"/>
    </row>
    <row r="45" spans="1:12" x14ac:dyDescent="0.3">
      <c r="A45" s="6" t="s">
        <v>1398</v>
      </c>
      <c r="B45" s="1484"/>
      <c r="C45" s="1484"/>
      <c r="D45" s="1484"/>
      <c r="E45" s="1484"/>
      <c r="F45" s="1484"/>
      <c r="G45" s="1484"/>
      <c r="H45" s="132"/>
    </row>
    <row r="46" spans="1:12" x14ac:dyDescent="0.3">
      <c r="A46" s="6" t="s">
        <v>861</v>
      </c>
      <c r="B46" s="205"/>
      <c r="C46" s="205"/>
      <c r="D46" s="205"/>
      <c r="E46" s="205"/>
      <c r="F46" s="205"/>
      <c r="G46" s="205"/>
      <c r="H46" s="8"/>
    </row>
    <row r="47" spans="1:12" ht="16.2" thickBot="1" x14ac:dyDescent="0.35">
      <c r="A47" s="9" t="s">
        <v>866</v>
      </c>
      <c r="B47" s="25"/>
      <c r="C47" s="25"/>
      <c r="D47" s="25"/>
      <c r="E47" s="25"/>
      <c r="F47" s="25"/>
      <c r="G47" s="25"/>
      <c r="H47" s="26"/>
      <c r="L47" s="211" t="s">
        <v>176</v>
      </c>
    </row>
    <row r="48" spans="1:12" x14ac:dyDescent="0.3">
      <c r="A48" s="12" t="s">
        <v>1953</v>
      </c>
      <c r="B48" s="1"/>
      <c r="C48" s="1"/>
      <c r="D48" s="1"/>
      <c r="E48" s="1"/>
      <c r="F48" s="1"/>
      <c r="G48" s="1"/>
      <c r="H48" s="1"/>
    </row>
    <row r="50" spans="1:11" x14ac:dyDescent="0.3">
      <c r="B50" s="1018"/>
      <c r="C50" s="1018"/>
      <c r="D50" s="1018"/>
      <c r="E50" s="1018"/>
      <c r="F50" s="1018"/>
      <c r="G50" s="1018"/>
      <c r="H50" s="1018"/>
    </row>
    <row r="51" spans="1:11" s="612" customFormat="1" x14ac:dyDescent="0.3">
      <c r="A51" s="459" t="s">
        <v>1673</v>
      </c>
    </row>
    <row r="52" spans="1:11" s="612" customFormat="1" x14ac:dyDescent="0.3">
      <c r="A52" s="152" t="s">
        <v>1803</v>
      </c>
    </row>
    <row r="53" spans="1:11" ht="9" customHeight="1" thickBot="1" x14ac:dyDescent="0.35">
      <c r="A53" s="152"/>
      <c r="B53" s="1018"/>
      <c r="C53" s="1018"/>
      <c r="D53" s="1018"/>
      <c r="E53" s="1018"/>
      <c r="F53" s="1018"/>
      <c r="G53" s="1018"/>
      <c r="H53" s="1018"/>
    </row>
    <row r="54" spans="1:11" x14ac:dyDescent="0.3">
      <c r="A54" s="212" t="s">
        <v>1250</v>
      </c>
      <c r="B54" s="712">
        <f t="shared" ref="B54:H54" si="10">B5</f>
        <v>2000</v>
      </c>
      <c r="C54" s="712">
        <f t="shared" si="10"/>
        <v>1999</v>
      </c>
      <c r="D54" s="712">
        <f t="shared" si="10"/>
        <v>1998</v>
      </c>
      <c r="E54" s="712">
        <f t="shared" si="10"/>
        <v>1997</v>
      </c>
      <c r="F54" s="712">
        <f t="shared" si="10"/>
        <v>1996</v>
      </c>
      <c r="G54" s="712">
        <f t="shared" si="10"/>
        <v>1995</v>
      </c>
      <c r="H54" s="713">
        <f t="shared" si="10"/>
        <v>1994</v>
      </c>
    </row>
    <row r="55" spans="1:11" x14ac:dyDescent="0.3">
      <c r="A55" s="214" t="s">
        <v>526</v>
      </c>
      <c r="B55" s="1297">
        <v>19662</v>
      </c>
      <c r="C55" s="1297">
        <v>14667</v>
      </c>
      <c r="D55" s="1297">
        <v>5476</v>
      </c>
      <c r="E55" s="1297">
        <v>4852.3</v>
      </c>
      <c r="F55" s="1297">
        <v>4105.2</v>
      </c>
      <c r="G55" s="1297">
        <v>1024.2</v>
      </c>
      <c r="H55" s="1473">
        <v>915.5</v>
      </c>
      <c r="J55" s="220"/>
    </row>
    <row r="56" spans="1:11" ht="8.25" customHeight="1" x14ac:dyDescent="0.3">
      <c r="A56" s="214"/>
      <c r="B56" s="1297"/>
      <c r="C56" s="1297"/>
      <c r="D56" s="1297"/>
      <c r="E56" s="1297"/>
      <c r="F56" s="1297"/>
      <c r="G56" s="1297"/>
      <c r="H56" s="1473"/>
    </row>
    <row r="57" spans="1:11" x14ac:dyDescent="0.3">
      <c r="A57" s="214" t="s">
        <v>101</v>
      </c>
      <c r="B57" s="1485">
        <v>19343</v>
      </c>
      <c r="C57" s="1485">
        <v>14306</v>
      </c>
      <c r="D57" s="1485">
        <v>5300</v>
      </c>
      <c r="E57" s="1485">
        <v>4761.1000000000004</v>
      </c>
      <c r="F57" s="1485">
        <v>4117.8</v>
      </c>
      <c r="G57" s="1485">
        <v>957.5</v>
      </c>
      <c r="H57" s="1486">
        <v>923.2</v>
      </c>
    </row>
    <row r="58" spans="1:11" x14ac:dyDescent="0.3">
      <c r="A58" s="214" t="s">
        <v>527</v>
      </c>
      <c r="B58" s="922">
        <v>17326</v>
      </c>
      <c r="C58" s="922">
        <v>12518</v>
      </c>
      <c r="D58" s="922">
        <v>3904</v>
      </c>
      <c r="E58" s="922">
        <v>3420.1</v>
      </c>
      <c r="F58" s="922">
        <v>3089.5</v>
      </c>
      <c r="G58" s="922">
        <v>612</v>
      </c>
      <c r="H58" s="923">
        <v>564.29999999999995</v>
      </c>
    </row>
    <row r="59" spans="1:11" x14ac:dyDescent="0.3">
      <c r="A59" s="214" t="s">
        <v>102</v>
      </c>
      <c r="B59" s="1232">
        <v>3602</v>
      </c>
      <c r="C59" s="1232">
        <v>3182</v>
      </c>
      <c r="D59" s="1232">
        <v>1131</v>
      </c>
      <c r="E59" s="1232">
        <v>879.6</v>
      </c>
      <c r="F59" s="1232">
        <v>806.2</v>
      </c>
      <c r="G59" s="1232">
        <v>325</v>
      </c>
      <c r="H59" s="1241">
        <v>229</v>
      </c>
      <c r="K59" s="211" t="s">
        <v>176</v>
      </c>
    </row>
    <row r="60" spans="1:11" x14ac:dyDescent="0.3">
      <c r="A60" s="214" t="s">
        <v>103</v>
      </c>
      <c r="B60" s="1488">
        <f>B58+B59</f>
        <v>20928</v>
      </c>
      <c r="C60" s="1488">
        <f>C58+C59</f>
        <v>15700</v>
      </c>
      <c r="D60" s="1488">
        <f t="shared" ref="D60:E60" si="11">D58+D59</f>
        <v>5035</v>
      </c>
      <c r="E60" s="1488">
        <f t="shared" si="11"/>
        <v>4299.7</v>
      </c>
      <c r="F60" s="1488">
        <f t="shared" ref="F60:G60" si="12">F58+F59</f>
        <v>3895.7</v>
      </c>
      <c r="G60" s="1488">
        <f t="shared" si="12"/>
        <v>937</v>
      </c>
      <c r="H60" s="1489">
        <f t="shared" ref="H60" si="13">H58+H59</f>
        <v>793.3</v>
      </c>
    </row>
    <row r="61" spans="1:11" x14ac:dyDescent="0.3">
      <c r="A61" s="214" t="s">
        <v>1804</v>
      </c>
      <c r="B61" s="922">
        <f>B57-B60</f>
        <v>-1585</v>
      </c>
      <c r="C61" s="922">
        <f>C57-C60</f>
        <v>-1394</v>
      </c>
      <c r="D61" s="922">
        <f t="shared" ref="D61:E61" si="14">D57-D60</f>
        <v>265</v>
      </c>
      <c r="E61" s="922">
        <f t="shared" si="14"/>
        <v>461.40000000000055</v>
      </c>
      <c r="F61" s="922">
        <f t="shared" ref="F61:G61" si="15">F57-F60</f>
        <v>222.10000000000036</v>
      </c>
      <c r="G61" s="922">
        <f t="shared" si="15"/>
        <v>20.5</v>
      </c>
      <c r="H61" s="923">
        <f t="shared" ref="H61" si="16">H57-H60</f>
        <v>129.90000000000009</v>
      </c>
    </row>
    <row r="62" spans="1:11" x14ac:dyDescent="0.3">
      <c r="A62" s="214" t="s">
        <v>456</v>
      </c>
      <c r="B62" s="922">
        <v>2811</v>
      </c>
      <c r="C62" s="922">
        <v>2488</v>
      </c>
      <c r="D62" s="922">
        <v>974</v>
      </c>
      <c r="E62" s="922">
        <v>882.3</v>
      </c>
      <c r="F62" s="922">
        <v>726.2</v>
      </c>
      <c r="G62" s="922">
        <v>501.6</v>
      </c>
      <c r="H62" s="923">
        <v>419.4</v>
      </c>
    </row>
    <row r="63" spans="1:11" x14ac:dyDescent="0.3">
      <c r="A63" s="214" t="s">
        <v>530</v>
      </c>
      <c r="B63" s="922">
        <v>3920</v>
      </c>
      <c r="C63" s="922">
        <v>1364</v>
      </c>
      <c r="D63" s="922">
        <v>2462</v>
      </c>
      <c r="E63" s="922">
        <v>1059.0999999999999</v>
      </c>
      <c r="F63" s="922">
        <v>2289.8000000000002</v>
      </c>
      <c r="G63" s="922">
        <v>181.1</v>
      </c>
      <c r="H63" s="923">
        <v>92</v>
      </c>
    </row>
    <row r="64" spans="1:11" ht="31.2" x14ac:dyDescent="0.3">
      <c r="A64" s="282" t="s">
        <v>531</v>
      </c>
      <c r="B64" s="1232">
        <v>0</v>
      </c>
      <c r="C64" s="1232">
        <v>0</v>
      </c>
      <c r="D64" s="1232">
        <v>0</v>
      </c>
      <c r="E64" s="1232">
        <v>0</v>
      </c>
      <c r="F64" s="1232">
        <v>0</v>
      </c>
      <c r="G64" s="1232">
        <v>0</v>
      </c>
      <c r="H64" s="1241">
        <v>-261</v>
      </c>
    </row>
    <row r="65" spans="1:8" x14ac:dyDescent="0.3">
      <c r="A65" s="214" t="s">
        <v>532</v>
      </c>
      <c r="B65" s="922">
        <f>SUM(B61:B64)</f>
        <v>5146</v>
      </c>
      <c r="C65" s="922">
        <f>SUM(C61:C64)</f>
        <v>2458</v>
      </c>
      <c r="D65" s="922">
        <f t="shared" ref="D65:E65" si="17">SUM(D61:D64)</f>
        <v>3701</v>
      </c>
      <c r="E65" s="922">
        <f t="shared" si="17"/>
        <v>2402.8000000000002</v>
      </c>
      <c r="F65" s="922">
        <f t="shared" ref="F65:G65" si="18">SUM(F61:F64)</f>
        <v>3238.1000000000004</v>
      </c>
      <c r="G65" s="922">
        <f t="shared" si="18"/>
        <v>703.2</v>
      </c>
      <c r="H65" s="923">
        <f t="shared" ref="H65" si="19">SUM(H61:H64)</f>
        <v>380.30000000000007</v>
      </c>
    </row>
    <row r="66" spans="1:8" x14ac:dyDescent="0.3">
      <c r="A66" s="214" t="s">
        <v>595</v>
      </c>
      <c r="B66" s="922">
        <v>1604</v>
      </c>
      <c r="C66" s="922">
        <v>672</v>
      </c>
      <c r="D66" s="922">
        <v>1186</v>
      </c>
      <c r="E66" s="922">
        <v>704.5</v>
      </c>
      <c r="F66" s="922">
        <v>1006.6</v>
      </c>
      <c r="G66" s="922">
        <v>149</v>
      </c>
      <c r="H66" s="923">
        <v>51.7</v>
      </c>
    </row>
    <row r="67" spans="1:8" x14ac:dyDescent="0.3">
      <c r="A67" s="214"/>
      <c r="B67" s="1490">
        <f>B65-B66</f>
        <v>3542</v>
      </c>
      <c r="C67" s="1490">
        <f>C65-C66</f>
        <v>1786</v>
      </c>
      <c r="D67" s="1490">
        <f t="shared" ref="D67:E67" si="20">D65-D66</f>
        <v>2515</v>
      </c>
      <c r="E67" s="1490">
        <f t="shared" si="20"/>
        <v>1698.3000000000002</v>
      </c>
      <c r="F67" s="1490">
        <f t="shared" ref="F67:G67" si="21">F65-F66</f>
        <v>2231.5000000000005</v>
      </c>
      <c r="G67" s="1490">
        <f t="shared" si="21"/>
        <v>554.20000000000005</v>
      </c>
      <c r="H67" s="1491">
        <f t="shared" ref="H67" si="22">H65-H66</f>
        <v>328.60000000000008</v>
      </c>
    </row>
    <row r="68" spans="1:8" x14ac:dyDescent="0.3">
      <c r="A68" s="214"/>
      <c r="B68" s="922"/>
      <c r="C68" s="922"/>
      <c r="D68" s="922"/>
      <c r="E68" s="922"/>
      <c r="F68" s="922"/>
      <c r="G68" s="922"/>
      <c r="H68" s="923"/>
    </row>
    <row r="69" spans="1:8" x14ac:dyDescent="0.3">
      <c r="A69" s="214" t="s">
        <v>534</v>
      </c>
      <c r="B69" s="922">
        <v>230</v>
      </c>
      <c r="C69" s="922">
        <v>35</v>
      </c>
      <c r="D69" s="922">
        <v>17</v>
      </c>
      <c r="E69" s="922">
        <v>15</v>
      </c>
      <c r="F69" s="922">
        <v>7.6</v>
      </c>
      <c r="G69" s="922">
        <v>7.5</v>
      </c>
      <c r="H69" s="923">
        <v>4.3</v>
      </c>
    </row>
    <row r="70" spans="1:8" ht="16.2" thickBot="1" x14ac:dyDescent="0.35">
      <c r="A70" s="214" t="s">
        <v>301</v>
      </c>
      <c r="B70" s="1276">
        <f>B67-B69</f>
        <v>3312</v>
      </c>
      <c r="C70" s="1276">
        <f>C67-C69</f>
        <v>1751</v>
      </c>
      <c r="D70" s="1276">
        <f t="shared" ref="D70:E70" si="23">D67-D69</f>
        <v>2498</v>
      </c>
      <c r="E70" s="1276">
        <f t="shared" si="23"/>
        <v>1683.3000000000002</v>
      </c>
      <c r="F70" s="1276">
        <f t="shared" ref="F70:G70" si="24">F67-F69</f>
        <v>2223.9000000000005</v>
      </c>
      <c r="G70" s="1276">
        <f t="shared" si="24"/>
        <v>546.70000000000005</v>
      </c>
      <c r="H70" s="1475">
        <f t="shared" ref="H70" si="25">H67-H69</f>
        <v>324.30000000000007</v>
      </c>
    </row>
    <row r="71" spans="1:8" ht="16.2" thickTop="1" x14ac:dyDescent="0.3">
      <c r="A71" s="214"/>
      <c r="B71" s="1298"/>
      <c r="C71" s="1298"/>
      <c r="D71" s="1298"/>
      <c r="E71" s="1298"/>
      <c r="F71" s="1298"/>
      <c r="G71" s="1298"/>
      <c r="H71" s="1474"/>
    </row>
    <row r="72" spans="1:8" x14ac:dyDescent="0.3">
      <c r="A72" s="214" t="s">
        <v>535</v>
      </c>
      <c r="B72" s="1298"/>
      <c r="C72" s="1298"/>
      <c r="D72" s="1298"/>
      <c r="E72" s="1298"/>
      <c r="F72" s="1298"/>
      <c r="G72" s="1298"/>
      <c r="H72" s="1474"/>
    </row>
    <row r="73" spans="1:8" x14ac:dyDescent="0.3">
      <c r="A73" s="214" t="s">
        <v>537</v>
      </c>
      <c r="B73" s="1297">
        <v>493</v>
      </c>
      <c r="C73" s="1297">
        <v>476</v>
      </c>
      <c r="D73" s="1297">
        <v>363</v>
      </c>
      <c r="E73" s="1297">
        <v>457.5</v>
      </c>
      <c r="F73" s="1297">
        <v>418.4</v>
      </c>
      <c r="G73" s="1297">
        <v>385</v>
      </c>
      <c r="H73" s="1473">
        <v>362.4</v>
      </c>
    </row>
    <row r="74" spans="1:8" x14ac:dyDescent="0.3">
      <c r="A74" s="214" t="s">
        <v>538</v>
      </c>
      <c r="B74" s="922">
        <v>2340</v>
      </c>
      <c r="C74" s="922">
        <v>2030</v>
      </c>
      <c r="D74" s="922">
        <v>621</v>
      </c>
      <c r="E74" s="922">
        <v>430.7</v>
      </c>
      <c r="F74" s="922">
        <v>321.89999999999998</v>
      </c>
      <c r="G74" s="922">
        <v>99.6</v>
      </c>
      <c r="H74" s="923">
        <v>92.2</v>
      </c>
    </row>
    <row r="75" spans="1:8" x14ac:dyDescent="0.3">
      <c r="A75" s="214" t="s">
        <v>860</v>
      </c>
      <c r="B75" s="922">
        <v>0</v>
      </c>
      <c r="C75" s="922">
        <v>0</v>
      </c>
      <c r="D75" s="922">
        <v>0</v>
      </c>
      <c r="E75" s="922">
        <v>0</v>
      </c>
      <c r="F75" s="922">
        <v>0</v>
      </c>
      <c r="G75" s="922">
        <v>18.3</v>
      </c>
      <c r="H75" s="923">
        <v>-31.7</v>
      </c>
    </row>
    <row r="76" spans="1:8" x14ac:dyDescent="0.3">
      <c r="A76" s="214" t="s">
        <v>540</v>
      </c>
      <c r="B76" s="922">
        <v>-22</v>
      </c>
      <c r="C76" s="922">
        <v>-18</v>
      </c>
      <c r="D76" s="922">
        <v>-10</v>
      </c>
      <c r="E76" s="922">
        <v>-5.9</v>
      </c>
      <c r="F76" s="922">
        <v>-14.1</v>
      </c>
      <c r="G76" s="922">
        <v>-1.3</v>
      </c>
      <c r="H76" s="923">
        <v>-3.5</v>
      </c>
    </row>
    <row r="77" spans="1:8" ht="16.2" thickBot="1" x14ac:dyDescent="0.35">
      <c r="A77" s="214" t="s">
        <v>536</v>
      </c>
      <c r="B77" s="1276">
        <f>SUM(B73:B76)</f>
        <v>2811</v>
      </c>
      <c r="C77" s="1276">
        <f>SUM(C73:C76)</f>
        <v>2488</v>
      </c>
      <c r="D77" s="1276">
        <f t="shared" ref="D77:E77" si="26">SUM(D73:D76)</f>
        <v>974</v>
      </c>
      <c r="E77" s="1276">
        <f t="shared" si="26"/>
        <v>882.30000000000007</v>
      </c>
      <c r="F77" s="1276">
        <f t="shared" ref="F77:G77" si="27">SUM(F73:F76)</f>
        <v>726.19999999999993</v>
      </c>
      <c r="G77" s="1276">
        <f t="shared" si="27"/>
        <v>501.6</v>
      </c>
      <c r="H77" s="1475">
        <f t="shared" ref="H77" si="28">SUM(H73:H76)</f>
        <v>419.4</v>
      </c>
    </row>
    <row r="78" spans="1:8" ht="4.5" customHeight="1" thickTop="1" thickBot="1" x14ac:dyDescent="0.35">
      <c r="A78" s="224"/>
      <c r="B78" s="1036"/>
      <c r="C78" s="1036"/>
      <c r="D78" s="1036"/>
      <c r="E78" s="1036"/>
      <c r="F78" s="1036"/>
      <c r="G78" s="1036"/>
      <c r="H78" s="1472"/>
    </row>
    <row r="79" spans="1:8" x14ac:dyDescent="0.3">
      <c r="A79" s="12" t="s">
        <v>1953</v>
      </c>
      <c r="B79" s="1018"/>
      <c r="C79" s="1018"/>
      <c r="D79" s="1018"/>
      <c r="E79" s="1018"/>
      <c r="F79" s="1018"/>
      <c r="G79" s="1018"/>
      <c r="H79" s="1018"/>
    </row>
    <row r="80" spans="1:8" x14ac:dyDescent="0.3">
      <c r="B80" s="1018"/>
      <c r="C80" s="1018"/>
      <c r="D80" s="1018"/>
      <c r="E80" s="1018"/>
      <c r="F80" s="1018"/>
      <c r="G80" s="1018"/>
      <c r="H80" s="1018"/>
    </row>
    <row r="81" spans="1:10" x14ac:dyDescent="0.3">
      <c r="B81" s="1018"/>
      <c r="C81" s="1018"/>
      <c r="D81" s="1018"/>
      <c r="E81" s="1018"/>
      <c r="F81" s="1018"/>
      <c r="G81" s="1018"/>
      <c r="H81" s="1018"/>
    </row>
    <row r="82" spans="1:10" s="612" customFormat="1" x14ac:dyDescent="0.3">
      <c r="A82" s="459" t="s">
        <v>1673</v>
      </c>
    </row>
    <row r="83" spans="1:10" s="612" customFormat="1" x14ac:dyDescent="0.3">
      <c r="A83" s="152" t="s">
        <v>1805</v>
      </c>
    </row>
    <row r="84" spans="1:10" ht="4.8" customHeight="1" thickBot="1" x14ac:dyDescent="0.35">
      <c r="B84" s="1018"/>
      <c r="C84" s="1018"/>
      <c r="D84" s="1018"/>
      <c r="E84" s="1018"/>
      <c r="F84" s="1018"/>
      <c r="G84" s="1018"/>
      <c r="H84" s="1018"/>
    </row>
    <row r="85" spans="1:10" x14ac:dyDescent="0.3">
      <c r="A85" s="212"/>
      <c r="B85" s="712">
        <f t="shared" ref="B85:H85" si="29">B5</f>
        <v>2000</v>
      </c>
      <c r="C85" s="712">
        <f t="shared" si="29"/>
        <v>1999</v>
      </c>
      <c r="D85" s="712">
        <f t="shared" si="29"/>
        <v>1998</v>
      </c>
      <c r="E85" s="712">
        <f t="shared" si="29"/>
        <v>1997</v>
      </c>
      <c r="F85" s="712">
        <f t="shared" si="29"/>
        <v>1996</v>
      </c>
      <c r="G85" s="712">
        <f t="shared" si="29"/>
        <v>1995</v>
      </c>
      <c r="H85" s="713">
        <f t="shared" si="29"/>
        <v>1994</v>
      </c>
    </row>
    <row r="86" spans="1:10" x14ac:dyDescent="0.3">
      <c r="A86" s="214" t="s">
        <v>551</v>
      </c>
      <c r="B86" s="464">
        <f t="shared" ref="B86:H86" si="30">B58/B57</f>
        <v>0.89572455151734476</v>
      </c>
      <c r="C86" s="464">
        <f t="shared" si="30"/>
        <v>0.87501747518523698</v>
      </c>
      <c r="D86" s="464">
        <f t="shared" si="30"/>
        <v>0.7366037735849057</v>
      </c>
      <c r="E86" s="464">
        <f t="shared" si="30"/>
        <v>0.71834239986557724</v>
      </c>
      <c r="F86" s="464">
        <f t="shared" si="30"/>
        <v>0.75027927534120153</v>
      </c>
      <c r="G86" s="464">
        <f t="shared" si="30"/>
        <v>0.63916449086161875</v>
      </c>
      <c r="H86" s="347">
        <f t="shared" si="30"/>
        <v>0.61124350086655099</v>
      </c>
    </row>
    <row r="87" spans="1:10" x14ac:dyDescent="0.3">
      <c r="A87" s="214" t="s">
        <v>692</v>
      </c>
      <c r="B87" s="464">
        <f t="shared" ref="B87:H87" si="31">B59/B55</f>
        <v>0.18319601261316246</v>
      </c>
      <c r="C87" s="464">
        <f t="shared" si="31"/>
        <v>0.21694961478148225</v>
      </c>
      <c r="D87" s="464">
        <f t="shared" si="31"/>
        <v>0.20653761869978085</v>
      </c>
      <c r="E87" s="464">
        <f t="shared" si="31"/>
        <v>0.18127485934505286</v>
      </c>
      <c r="F87" s="464">
        <f t="shared" si="31"/>
        <v>0.19638507259086038</v>
      </c>
      <c r="G87" s="464">
        <f t="shared" si="31"/>
        <v>0.31732083577426284</v>
      </c>
      <c r="H87" s="347">
        <f t="shared" si="31"/>
        <v>0.25013653741125069</v>
      </c>
    </row>
    <row r="88" spans="1:10" x14ac:dyDescent="0.3">
      <c r="A88" s="214" t="s">
        <v>1806</v>
      </c>
      <c r="B88" s="1040">
        <f>B86+B87</f>
        <v>1.0789205641305073</v>
      </c>
      <c r="C88" s="1040">
        <f>C86+C87</f>
        <v>1.0919670899667193</v>
      </c>
      <c r="D88" s="1040">
        <f t="shared" ref="D88:E88" si="32">D86+D87</f>
        <v>0.94314139228468652</v>
      </c>
      <c r="E88" s="1040">
        <f t="shared" si="32"/>
        <v>0.89961725921063007</v>
      </c>
      <c r="F88" s="1040">
        <f t="shared" ref="F88:G88" si="33">F86+F87</f>
        <v>0.94666434793206189</v>
      </c>
      <c r="G88" s="1040">
        <f t="shared" si="33"/>
        <v>0.95648532663588159</v>
      </c>
      <c r="H88" s="1041">
        <f t="shared" ref="H88" si="34">H86+H87</f>
        <v>0.86138003827780163</v>
      </c>
    </row>
    <row r="89" spans="1:10" ht="4.5" customHeight="1" x14ac:dyDescent="0.3">
      <c r="A89" s="214"/>
      <c r="B89" s="220"/>
      <c r="C89" s="220"/>
      <c r="D89" s="220"/>
      <c r="E89" s="220"/>
      <c r="F89" s="220"/>
      <c r="G89" s="220"/>
      <c r="H89" s="223"/>
    </row>
    <row r="90" spans="1:10" ht="4.5" customHeight="1" x14ac:dyDescent="0.3">
      <c r="A90" s="1155"/>
      <c r="B90" s="684"/>
      <c r="C90" s="684"/>
      <c r="D90" s="684"/>
      <c r="E90" s="684"/>
      <c r="F90" s="684"/>
      <c r="G90" s="684"/>
      <c r="H90" s="1279"/>
    </row>
    <row r="91" spans="1:10" ht="4.5" customHeight="1" x14ac:dyDescent="0.3">
      <c r="A91" s="214"/>
      <c r="B91" s="220"/>
      <c r="C91" s="220"/>
      <c r="D91" s="220"/>
      <c r="E91" s="220"/>
      <c r="F91" s="220"/>
      <c r="G91" s="220"/>
      <c r="H91" s="223"/>
    </row>
    <row r="92" spans="1:10" x14ac:dyDescent="0.3">
      <c r="A92" s="214" t="s">
        <v>1807</v>
      </c>
      <c r="B92" s="464">
        <f t="shared" ref="B92:H92" si="35">B60/B57</f>
        <v>1.0819417877268263</v>
      </c>
      <c r="C92" s="464">
        <f t="shared" si="35"/>
        <v>1.0974416328813086</v>
      </c>
      <c r="D92" s="464">
        <f t="shared" si="35"/>
        <v>0.95</v>
      </c>
      <c r="E92" s="464">
        <f t="shared" si="35"/>
        <v>0.90308962214614263</v>
      </c>
      <c r="F92" s="464">
        <f t="shared" si="35"/>
        <v>0.94606343192967113</v>
      </c>
      <c r="G92" s="464">
        <f t="shared" si="35"/>
        <v>0.97859007832898171</v>
      </c>
      <c r="H92" s="347">
        <f t="shared" si="35"/>
        <v>0.85929376083188902</v>
      </c>
    </row>
    <row r="93" spans="1:10" ht="4.5" customHeight="1" x14ac:dyDescent="0.3">
      <c r="A93" s="214"/>
      <c r="B93" s="220"/>
      <c r="C93" s="220"/>
      <c r="D93" s="220"/>
      <c r="E93" s="220"/>
      <c r="F93" s="220"/>
      <c r="G93" s="220"/>
      <c r="H93" s="223"/>
    </row>
    <row r="94" spans="1:10" ht="4.5" customHeight="1" x14ac:dyDescent="0.3">
      <c r="A94" s="1155"/>
      <c r="B94" s="684"/>
      <c r="C94" s="684"/>
      <c r="D94" s="684"/>
      <c r="E94" s="684"/>
      <c r="F94" s="684"/>
      <c r="G94" s="684"/>
      <c r="H94" s="1279"/>
    </row>
    <row r="95" spans="1:10" ht="4.5" customHeight="1" x14ac:dyDescent="0.3">
      <c r="A95" s="214"/>
      <c r="B95" s="220"/>
      <c r="C95" s="220"/>
      <c r="D95" s="220"/>
      <c r="E95" s="220"/>
      <c r="F95" s="220"/>
      <c r="G95" s="220"/>
      <c r="H95" s="223"/>
    </row>
    <row r="96" spans="1:10" x14ac:dyDescent="0.3">
      <c r="A96" s="214" t="s">
        <v>557</v>
      </c>
      <c r="B96" s="464">
        <f t="shared" ref="B96:G96" si="36">B55/C55-1</f>
        <v>0.34056044180814071</v>
      </c>
      <c r="C96" s="464">
        <f t="shared" si="36"/>
        <v>1.6784149013878742</v>
      </c>
      <c r="D96" s="464">
        <f t="shared" si="36"/>
        <v>0.12853698246192513</v>
      </c>
      <c r="E96" s="464">
        <f t="shared" si="36"/>
        <v>0.18198869726200928</v>
      </c>
      <c r="F96" s="464">
        <f t="shared" si="36"/>
        <v>3.008201523140011</v>
      </c>
      <c r="G96" s="464">
        <f t="shared" si="36"/>
        <v>0.11873293282359376</v>
      </c>
      <c r="H96" s="347">
        <f>'5. Insurance'!B116</f>
        <v>0.2420295753629087</v>
      </c>
      <c r="J96" s="365"/>
    </row>
    <row r="97" spans="1:11" x14ac:dyDescent="0.3">
      <c r="A97" s="214" t="s">
        <v>555</v>
      </c>
      <c r="B97" s="464">
        <f t="shared" ref="B97:G97" si="37">B57/C57-1</f>
        <v>0.35209003215434076</v>
      </c>
      <c r="C97" s="464">
        <f t="shared" si="37"/>
        <v>1.6992452830188678</v>
      </c>
      <c r="D97" s="464">
        <f t="shared" si="37"/>
        <v>0.11318812879376616</v>
      </c>
      <c r="E97" s="464">
        <f t="shared" si="37"/>
        <v>0.15622419738695426</v>
      </c>
      <c r="F97" s="464">
        <f t="shared" si="37"/>
        <v>3.3005744125326375</v>
      </c>
      <c r="G97" s="464">
        <f t="shared" si="37"/>
        <v>3.7153379549393462E-2</v>
      </c>
      <c r="H97" s="347">
        <f>'5. Insurance'!B117</f>
        <v>0.41877977562624857</v>
      </c>
    </row>
    <row r="98" spans="1:11" ht="4.5" customHeight="1" x14ac:dyDescent="0.3">
      <c r="A98" s="214"/>
      <c r="B98" s="220"/>
      <c r="C98" s="220"/>
      <c r="D98" s="220"/>
      <c r="E98" s="220"/>
      <c r="F98" s="220"/>
      <c r="G98" s="220"/>
      <c r="H98" s="223"/>
    </row>
    <row r="99" spans="1:11" ht="4.5" customHeight="1" x14ac:dyDescent="0.3">
      <c r="A99" s="1155"/>
      <c r="B99" s="684"/>
      <c r="C99" s="684"/>
      <c r="D99" s="684"/>
      <c r="E99" s="684"/>
      <c r="F99" s="684"/>
      <c r="G99" s="684"/>
      <c r="H99" s="1279"/>
    </row>
    <row r="100" spans="1:11" ht="4.5" customHeight="1" x14ac:dyDescent="0.3">
      <c r="A100" s="214"/>
      <c r="B100" s="220"/>
      <c r="C100" s="220"/>
      <c r="D100" s="220"/>
      <c r="E100" s="220"/>
      <c r="F100" s="220"/>
      <c r="G100" s="220"/>
      <c r="H100" s="223"/>
    </row>
    <row r="101" spans="1:11" x14ac:dyDescent="0.3">
      <c r="A101" s="214" t="s">
        <v>553</v>
      </c>
      <c r="B101" s="464">
        <f t="shared" ref="B101:G101" si="38">B55/(AVERAGE(B38:C38))</f>
        <v>0.51507610090901945</v>
      </c>
      <c r="C101" s="464">
        <f t="shared" si="38"/>
        <v>0.38468801636635458</v>
      </c>
      <c r="D101" s="464">
        <f t="shared" si="38"/>
        <v>0.16393957946324456</v>
      </c>
      <c r="E101" s="464">
        <f t="shared" si="38"/>
        <v>0.20261817270753299</v>
      </c>
      <c r="F101" s="464">
        <f t="shared" si="38"/>
        <v>0.22830575352521948</v>
      </c>
      <c r="G101" s="464">
        <f t="shared" si="38"/>
        <v>7.5162091651958862E-2</v>
      </c>
      <c r="H101" s="347">
        <f>H55/(AVERAGE(H38:H38))</f>
        <v>8.3556180236750113E-2</v>
      </c>
    </row>
    <row r="102" spans="1:11" ht="6.9" customHeight="1" thickBot="1" x14ac:dyDescent="0.35">
      <c r="A102" s="224"/>
      <c r="B102" s="218"/>
      <c r="C102" s="218"/>
      <c r="D102" s="218"/>
      <c r="E102" s="218"/>
      <c r="F102" s="218"/>
      <c r="G102" s="218"/>
      <c r="H102" s="219"/>
    </row>
    <row r="103" spans="1:11" x14ac:dyDescent="0.3">
      <c r="A103" s="12" t="s">
        <v>2200</v>
      </c>
    </row>
    <row r="104" spans="1:11" x14ac:dyDescent="0.3">
      <c r="K104" s="211" t="s">
        <v>176</v>
      </c>
    </row>
    <row r="106" spans="1:11" x14ac:dyDescent="0.3">
      <c r="K106" s="211" t="s">
        <v>176</v>
      </c>
    </row>
    <row r="107" spans="1:11" s="345" customFormat="1" hidden="1" outlineLevel="1" x14ac:dyDescent="0.3">
      <c r="A107" s="345" t="s">
        <v>737</v>
      </c>
      <c r="B107" s="211"/>
      <c r="C107" s="211"/>
      <c r="D107" s="211"/>
    </row>
    <row r="108" spans="1:11" collapsed="1" x14ac:dyDescent="0.3">
      <c r="G108" s="211" t="s">
        <v>176</v>
      </c>
    </row>
  </sheetData>
  <pageMargins left="0.7" right="0.7" top="0.75" bottom="0.75" header="0.3" footer="0.3"/>
  <pageSetup orientation="portrait" r:id="rId1"/>
  <ignoredErrors>
    <ignoredError sqref="G17:H18 H19 G15:H15" formulaRange="1"/>
  </ignoredErrors>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0A78-F788-490E-BB6C-85441BB973EF}">
  <sheetPr>
    <tabColor theme="9" tint="0.59999389629810485"/>
  </sheetPr>
  <dimension ref="A1:BN201"/>
  <sheetViews>
    <sheetView showGridLines="0" zoomScale="70" zoomScaleNormal="70" workbookViewId="0">
      <selection activeCell="AE89" sqref="AE89"/>
    </sheetView>
  </sheetViews>
  <sheetFormatPr defaultColWidth="8.6640625" defaultRowHeight="15.6" outlineLevelRow="2" x14ac:dyDescent="0.3"/>
  <cols>
    <col min="1" max="1" width="45.6640625" style="211" customWidth="1"/>
    <col min="2" max="2" width="8.5546875" style="356" customWidth="1"/>
    <col min="3" max="3" width="1.6640625" style="356" customWidth="1"/>
    <col min="4" max="4" width="8.5546875" style="356" customWidth="1"/>
    <col min="5" max="5" width="1.6640625" style="356" customWidth="1"/>
    <col min="6" max="6" width="8.5546875" style="356" customWidth="1"/>
    <col min="7" max="7" width="1.6640625" style="356" customWidth="1"/>
    <col min="8" max="8" width="8.5546875" style="356" customWidth="1"/>
    <col min="9" max="9" width="1.6640625" style="356" customWidth="1"/>
    <col min="10" max="10" width="8.5546875" style="356" customWidth="1"/>
    <col min="11" max="11" width="1.6640625" style="356" customWidth="1"/>
    <col min="12" max="12" width="8.5546875" style="356" customWidth="1"/>
    <col min="13" max="13" width="1.6640625" style="356" customWidth="1"/>
    <col min="14" max="14" width="8.5546875" style="356" customWidth="1"/>
    <col min="15" max="15" width="1.6640625" style="356" customWidth="1" collapsed="1"/>
    <col min="16" max="16" width="8.5546875" style="356" customWidth="1"/>
    <col min="17" max="17" width="8.33203125" style="356" hidden="1" customWidth="1"/>
    <col min="18" max="18" width="1.6640625" style="356" customWidth="1" collapsed="1"/>
    <col min="19" max="19" width="8.5546875" style="356" customWidth="1"/>
    <col min="20" max="20" width="1.6640625" style="356" customWidth="1" collapsed="1"/>
    <col min="21" max="21" width="8.5546875" style="356" customWidth="1"/>
    <col min="22" max="22" width="1.6640625" style="356" customWidth="1" collapsed="1"/>
    <col min="23" max="23" width="8.5546875" style="356" customWidth="1"/>
    <col min="24" max="24" width="8.33203125" style="356" hidden="1" customWidth="1"/>
    <col min="25" max="25" width="1.6640625" style="356" customWidth="1" collapsed="1"/>
    <col min="26" max="26" width="1.6640625" style="211" customWidth="1"/>
    <col min="27" max="31" width="11.109375" style="211" bestFit="1" customWidth="1"/>
    <col min="32" max="16384" width="8.6640625" style="211"/>
  </cols>
  <sheetData>
    <row r="1" spans="1:66" s="152" customFormat="1" outlineLevel="1" x14ac:dyDescent="0.3">
      <c r="A1" s="459" t="s">
        <v>691</v>
      </c>
      <c r="B1" s="152">
        <v>2004</v>
      </c>
      <c r="D1" s="152">
        <v>2003</v>
      </c>
      <c r="F1" s="152">
        <v>2002</v>
      </c>
      <c r="H1" s="152">
        <v>2001</v>
      </c>
      <c r="J1" s="152">
        <v>2000</v>
      </c>
      <c r="L1" s="152">
        <v>1999</v>
      </c>
      <c r="N1" s="152">
        <f>N6</f>
        <v>1998</v>
      </c>
      <c r="P1" s="152">
        <f>P6</f>
        <v>1997</v>
      </c>
      <c r="S1" s="152">
        <f>S6</f>
        <v>1996</v>
      </c>
      <c r="U1" s="152">
        <f>U6</f>
        <v>1995</v>
      </c>
      <c r="W1" s="152">
        <f>W6</f>
        <v>1994</v>
      </c>
    </row>
    <row r="2" spans="1:66" s="1262" customFormat="1" ht="16.2" outlineLevel="1" x14ac:dyDescent="0.35">
      <c r="A2" s="1262" t="s">
        <v>556</v>
      </c>
      <c r="B2" s="1262">
        <v>2004</v>
      </c>
      <c r="D2" s="1262">
        <v>2003</v>
      </c>
      <c r="F2" s="1262">
        <v>2002</v>
      </c>
      <c r="H2" s="1262">
        <v>2001</v>
      </c>
      <c r="J2" s="1262">
        <v>2001</v>
      </c>
      <c r="L2" s="1262">
        <v>1999</v>
      </c>
      <c r="N2" s="1262">
        <v>1998</v>
      </c>
      <c r="P2" s="1262">
        <v>1998</v>
      </c>
      <c r="S2" s="1262">
        <v>1998</v>
      </c>
      <c r="U2" s="1262">
        <v>1995</v>
      </c>
      <c r="W2" s="1262">
        <v>1994</v>
      </c>
      <c r="Z2" s="1263"/>
      <c r="AA2" s="1263"/>
      <c r="AB2" s="1263"/>
      <c r="AC2" s="1263"/>
      <c r="AD2" s="1263"/>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3"/>
      <c r="BC2" s="1263"/>
      <c r="BD2" s="1263"/>
      <c r="BE2" s="1263"/>
      <c r="BF2" s="1263"/>
      <c r="BG2" s="1263"/>
      <c r="BH2" s="1263"/>
      <c r="BI2" s="1263"/>
      <c r="BJ2" s="1263"/>
      <c r="BK2" s="1263"/>
      <c r="BL2" s="1263"/>
      <c r="BM2" s="1263"/>
      <c r="BN2" s="1263"/>
    </row>
    <row r="3" spans="1:66" x14ac:dyDescent="0.3">
      <c r="A3" s="459" t="s">
        <v>1673</v>
      </c>
      <c r="B3" s="211"/>
      <c r="C3" s="211"/>
      <c r="D3" s="211"/>
      <c r="E3" s="211"/>
      <c r="F3" s="211"/>
      <c r="G3" s="211"/>
      <c r="H3" s="211"/>
      <c r="I3" s="211"/>
      <c r="J3" s="211"/>
      <c r="K3" s="211"/>
      <c r="L3" s="211"/>
      <c r="M3" s="211"/>
      <c r="N3" s="211"/>
      <c r="O3" s="211"/>
      <c r="P3" s="211"/>
      <c r="Q3" s="211"/>
      <c r="R3" s="211"/>
      <c r="S3" s="211"/>
      <c r="T3" s="211"/>
      <c r="U3" s="211"/>
      <c r="V3" s="211"/>
      <c r="W3" s="211"/>
      <c r="X3" s="211"/>
      <c r="Y3" s="211"/>
    </row>
    <row r="4" spans="1:66" x14ac:dyDescent="0.3">
      <c r="A4" s="152" t="s">
        <v>1808</v>
      </c>
      <c r="B4" s="211"/>
      <c r="C4" s="211"/>
      <c r="D4" s="211"/>
      <c r="E4" s="211"/>
      <c r="F4" s="211"/>
      <c r="G4" s="211"/>
      <c r="H4" s="211"/>
      <c r="I4" s="211"/>
      <c r="J4" s="211"/>
      <c r="K4" s="211"/>
      <c r="L4" s="211"/>
      <c r="M4" s="211"/>
      <c r="N4" s="211"/>
      <c r="O4" s="211"/>
      <c r="P4" s="211"/>
      <c r="Q4" s="211"/>
      <c r="R4" s="211"/>
      <c r="S4" s="211"/>
      <c r="T4" s="211"/>
      <c r="U4" s="211"/>
      <c r="V4" s="211"/>
      <c r="W4" s="211"/>
      <c r="X4" s="211"/>
      <c r="Y4" s="211"/>
    </row>
    <row r="5" spans="1:66" ht="6.6" customHeight="1" thickBot="1" x14ac:dyDescent="0.35">
      <c r="A5" s="152"/>
      <c r="B5" s="211"/>
      <c r="C5" s="211"/>
      <c r="D5" s="211"/>
      <c r="E5" s="211"/>
      <c r="F5" s="211"/>
      <c r="G5" s="211"/>
      <c r="H5" s="211"/>
      <c r="I5" s="211"/>
      <c r="J5" s="211"/>
      <c r="K5" s="211"/>
      <c r="L5" s="211"/>
      <c r="M5" s="211"/>
      <c r="N5" s="211"/>
      <c r="O5" s="211"/>
      <c r="P5" s="211"/>
      <c r="Q5" s="211"/>
      <c r="R5" s="211"/>
      <c r="S5" s="211"/>
      <c r="T5" s="211"/>
      <c r="U5" s="211"/>
      <c r="V5" s="211"/>
      <c r="W5" s="211"/>
      <c r="X5" s="211"/>
      <c r="Y5" s="211"/>
    </row>
    <row r="6" spans="1:66" x14ac:dyDescent="0.3">
      <c r="A6" s="212" t="s">
        <v>1250</v>
      </c>
      <c r="B6" s="2928">
        <v>2004</v>
      </c>
      <c r="C6" s="2928"/>
      <c r="D6" s="2928">
        <v>2003</v>
      </c>
      <c r="E6" s="2928"/>
      <c r="F6" s="2928">
        <v>2002</v>
      </c>
      <c r="G6" s="2928"/>
      <c r="H6" s="2928">
        <v>2001</v>
      </c>
      <c r="I6" s="2928"/>
      <c r="J6" s="2928">
        <v>2000</v>
      </c>
      <c r="K6" s="2928"/>
      <c r="L6" s="2928">
        <v>1999</v>
      </c>
      <c r="M6" s="2928"/>
      <c r="N6" s="416">
        <v>1998</v>
      </c>
      <c r="O6" s="416"/>
      <c r="P6" s="2928">
        <v>1997</v>
      </c>
      <c r="Q6" s="2928"/>
      <c r="R6" s="416"/>
      <c r="S6" s="416">
        <v>1996</v>
      </c>
      <c r="T6" s="416"/>
      <c r="U6" s="416">
        <v>1995</v>
      </c>
      <c r="V6" s="416"/>
      <c r="W6" s="2928">
        <v>1994</v>
      </c>
      <c r="X6" s="2928"/>
      <c r="Y6" s="1264"/>
      <c r="Z6" s="1265"/>
    </row>
    <row r="7" spans="1:66" x14ac:dyDescent="0.3">
      <c r="A7" s="213" t="s">
        <v>1676</v>
      </c>
      <c r="B7" s="220"/>
      <c r="C7" s="220"/>
      <c r="D7" s="220"/>
      <c r="E7" s="220"/>
      <c r="F7" s="220"/>
      <c r="G7" s="220"/>
      <c r="H7" s="220"/>
      <c r="I7" s="220"/>
      <c r="J7" s="220"/>
      <c r="K7" s="220"/>
      <c r="L7" s="220"/>
      <c r="M7" s="220"/>
      <c r="N7" s="220"/>
      <c r="O7" s="220"/>
      <c r="P7" s="220"/>
      <c r="Q7" s="220"/>
      <c r="R7" s="220"/>
      <c r="S7" s="220"/>
      <c r="T7" s="220"/>
      <c r="U7" s="220"/>
      <c r="V7" s="220"/>
      <c r="W7" s="220"/>
      <c r="X7" s="220"/>
      <c r="Y7" s="223"/>
      <c r="AB7" s="397"/>
      <c r="AC7" s="397"/>
      <c r="AD7" s="397"/>
    </row>
    <row r="8" spans="1:66" outlineLevel="1" x14ac:dyDescent="0.3">
      <c r="A8" s="214" t="s">
        <v>526</v>
      </c>
      <c r="B8" s="1297">
        <v>9212</v>
      </c>
      <c r="C8" s="392"/>
      <c r="D8" s="1297">
        <v>8081</v>
      </c>
      <c r="E8" s="392"/>
      <c r="F8" s="1297">
        <v>6963</v>
      </c>
      <c r="G8" s="392"/>
      <c r="H8" s="1297">
        <v>6176</v>
      </c>
      <c r="I8" s="392"/>
      <c r="J8" s="1297">
        <v>5778</v>
      </c>
      <c r="K8" s="392"/>
      <c r="L8" s="1297">
        <v>4953</v>
      </c>
      <c r="M8" s="392"/>
      <c r="N8" s="1297">
        <v>4182</v>
      </c>
      <c r="O8" s="392"/>
      <c r="P8" s="1297">
        <v>3588.4</v>
      </c>
      <c r="Q8" s="392"/>
      <c r="R8" s="392"/>
      <c r="S8" s="1297">
        <v>3122.1</v>
      </c>
      <c r="T8" s="392"/>
      <c r="U8" s="1297">
        <v>2855.8</v>
      </c>
      <c r="V8" s="392"/>
      <c r="W8" s="2467"/>
      <c r="X8" s="392"/>
      <c r="Y8" s="223"/>
      <c r="AB8" s="397"/>
      <c r="AC8" s="397"/>
      <c r="AD8" s="397"/>
    </row>
    <row r="9" spans="1:66" x14ac:dyDescent="0.3">
      <c r="A9" s="214" t="s">
        <v>101</v>
      </c>
      <c r="B9" s="1232">
        <v>8915</v>
      </c>
      <c r="C9" s="215"/>
      <c r="D9" s="1232">
        <v>7784</v>
      </c>
      <c r="E9" s="215"/>
      <c r="F9" s="1232">
        <v>6670</v>
      </c>
      <c r="G9" s="215"/>
      <c r="H9" s="1232">
        <v>6060</v>
      </c>
      <c r="I9" s="215"/>
      <c r="J9" s="1232">
        <v>5610</v>
      </c>
      <c r="K9" s="215"/>
      <c r="L9" s="1232">
        <v>4757</v>
      </c>
      <c r="M9" s="215"/>
      <c r="N9" s="1232">
        <v>4033</v>
      </c>
      <c r="O9" s="464"/>
      <c r="P9" s="1232">
        <v>3481.8</v>
      </c>
      <c r="Q9" s="868">
        <f>P9/P$9</f>
        <v>1</v>
      </c>
      <c r="R9" s="464"/>
      <c r="S9" s="1232">
        <v>3091.6</v>
      </c>
      <c r="T9" s="464"/>
      <c r="U9" s="1232">
        <v>2787</v>
      </c>
      <c r="V9" s="464"/>
      <c r="W9" s="2221"/>
      <c r="X9" s="464"/>
      <c r="Y9" s="223"/>
      <c r="AB9" s="397"/>
      <c r="AC9" s="397"/>
      <c r="AD9" s="397"/>
    </row>
    <row r="10" spans="1:66" hidden="1" outlineLevel="2" x14ac:dyDescent="0.3">
      <c r="A10" s="214" t="s">
        <v>527</v>
      </c>
      <c r="B10" s="922">
        <v>6360</v>
      </c>
      <c r="C10" s="215"/>
      <c r="D10" s="922">
        <v>5955</v>
      </c>
      <c r="E10" s="215"/>
      <c r="F10" s="922">
        <v>5137</v>
      </c>
      <c r="G10" s="215"/>
      <c r="H10" s="922">
        <v>4842</v>
      </c>
      <c r="I10" s="215"/>
      <c r="J10" s="922">
        <v>4809</v>
      </c>
      <c r="K10" s="215"/>
      <c r="L10" s="922">
        <v>3815</v>
      </c>
      <c r="M10" s="215"/>
      <c r="N10" s="922">
        <v>2978</v>
      </c>
      <c r="O10" s="464"/>
      <c r="P10" s="922">
        <v>2630.1</v>
      </c>
      <c r="Q10" s="464">
        <f>P10/P$9</f>
        <v>0.75538514561433734</v>
      </c>
      <c r="R10" s="464"/>
      <c r="S10" s="922">
        <v>2434</v>
      </c>
      <c r="T10" s="464"/>
      <c r="U10" s="922">
        <v>2254.1999999999998</v>
      </c>
      <c r="V10" s="464"/>
      <c r="W10" s="2221"/>
      <c r="X10" s="464"/>
      <c r="Y10" s="223"/>
    </row>
    <row r="11" spans="1:66" hidden="1" outlineLevel="2" x14ac:dyDescent="0.3">
      <c r="A11" s="214" t="s">
        <v>102</v>
      </c>
      <c r="B11" s="1232">
        <v>1585</v>
      </c>
      <c r="C11" s="215"/>
      <c r="D11" s="1232">
        <v>1377</v>
      </c>
      <c r="E11" s="215"/>
      <c r="F11" s="1232">
        <v>1117</v>
      </c>
      <c r="G11" s="215"/>
      <c r="H11" s="1232">
        <v>997</v>
      </c>
      <c r="I11" s="215"/>
      <c r="J11" s="1232">
        <v>1025</v>
      </c>
      <c r="K11" s="215"/>
      <c r="L11" s="1232">
        <v>918</v>
      </c>
      <c r="M11" s="215"/>
      <c r="N11" s="1232">
        <v>786</v>
      </c>
      <c r="O11" s="464"/>
      <c r="P11" s="1232">
        <v>571</v>
      </c>
      <c r="Q11" s="868">
        <f>P11/P$9</f>
        <v>0.16399563444195531</v>
      </c>
      <c r="R11" s="464"/>
      <c r="S11" s="1232">
        <v>486.7</v>
      </c>
      <c r="T11" s="464"/>
      <c r="U11" s="1232">
        <v>440.7</v>
      </c>
      <c r="V11" s="464"/>
      <c r="W11" s="2221"/>
      <c r="X11" s="464"/>
      <c r="Y11" s="223"/>
    </row>
    <row r="12" spans="1:66" hidden="1" outlineLevel="2" x14ac:dyDescent="0.3">
      <c r="A12" s="214" t="s">
        <v>685</v>
      </c>
      <c r="B12" s="922">
        <f>B10+B11</f>
        <v>7945</v>
      </c>
      <c r="C12" s="215"/>
      <c r="D12" s="922">
        <f>D10+D11</f>
        <v>7332</v>
      </c>
      <c r="E12" s="215"/>
      <c r="F12" s="922">
        <f>F10+F11</f>
        <v>6254</v>
      </c>
      <c r="G12" s="215"/>
      <c r="H12" s="922">
        <f>H10+H11</f>
        <v>5839</v>
      </c>
      <c r="I12" s="215"/>
      <c r="J12" s="922">
        <f>J10+J11</f>
        <v>5834</v>
      </c>
      <c r="K12" s="215"/>
      <c r="L12" s="922">
        <f>L10+L11</f>
        <v>4733</v>
      </c>
      <c r="M12" s="215"/>
      <c r="N12" s="922">
        <f>N10+N11</f>
        <v>3764</v>
      </c>
      <c r="O12" s="464"/>
      <c r="P12" s="922">
        <f>P10+P11</f>
        <v>3201.1</v>
      </c>
      <c r="Q12" s="464">
        <f>P12/P$9</f>
        <v>0.91938078005629265</v>
      </c>
      <c r="R12" s="464"/>
      <c r="S12" s="922">
        <f>S10+S11</f>
        <v>2920.7</v>
      </c>
      <c r="T12" s="464"/>
      <c r="U12" s="922">
        <f>U10+U11</f>
        <v>2694.8999999999996</v>
      </c>
      <c r="V12" s="464"/>
      <c r="W12" s="2221"/>
      <c r="X12" s="464"/>
      <c r="Y12" s="223"/>
    </row>
    <row r="13" spans="1:66" ht="14.4" customHeight="1" collapsed="1" thickBot="1" x14ac:dyDescent="0.35">
      <c r="A13" s="214" t="s">
        <v>1523</v>
      </c>
      <c r="B13" s="1276">
        <f>B9-B12</f>
        <v>970</v>
      </c>
      <c r="C13" s="215"/>
      <c r="D13" s="1276">
        <f>D9-D12</f>
        <v>452</v>
      </c>
      <c r="E13" s="215"/>
      <c r="F13" s="1276">
        <f>F9-F12</f>
        <v>416</v>
      </c>
      <c r="G13" s="215"/>
      <c r="H13" s="1276">
        <f>H9-H12</f>
        <v>221</v>
      </c>
      <c r="I13" s="215"/>
      <c r="J13" s="1276">
        <f>J9-J12</f>
        <v>-224</v>
      </c>
      <c r="K13" s="215"/>
      <c r="L13" s="1276">
        <f>L9-L12</f>
        <v>24</v>
      </c>
      <c r="M13" s="215"/>
      <c r="N13" s="1276">
        <f>N9-N12</f>
        <v>269</v>
      </c>
      <c r="O13" s="464"/>
      <c r="P13" s="1276">
        <f>P9-P12</f>
        <v>280.70000000000027</v>
      </c>
      <c r="Q13" s="464"/>
      <c r="R13" s="464"/>
      <c r="S13" s="1276">
        <f>S9-S12</f>
        <v>170.90000000000009</v>
      </c>
      <c r="T13" s="464"/>
      <c r="U13" s="1276">
        <f>U9-U12</f>
        <v>92.100000000000364</v>
      </c>
      <c r="V13" s="464"/>
      <c r="W13" s="2467"/>
      <c r="X13" s="464"/>
      <c r="Y13" s="223"/>
    </row>
    <row r="14" spans="1:66" ht="14.4" hidden="1" customHeight="1" outlineLevel="1" thickTop="1" x14ac:dyDescent="0.3">
      <c r="A14" s="214"/>
      <c r="B14" s="392"/>
      <c r="C14" s="215"/>
      <c r="D14" s="392"/>
      <c r="E14" s="215"/>
      <c r="F14" s="392"/>
      <c r="G14" s="215"/>
      <c r="H14" s="392"/>
      <c r="I14" s="215"/>
      <c r="J14" s="392"/>
      <c r="K14" s="215"/>
      <c r="L14" s="392"/>
      <c r="M14" s="215"/>
      <c r="N14" s="392"/>
      <c r="O14" s="464"/>
      <c r="P14" s="1056"/>
      <c r="Q14" s="464"/>
      <c r="R14" s="464"/>
      <c r="S14" s="1056"/>
      <c r="T14" s="464"/>
      <c r="U14" s="1056"/>
      <c r="V14" s="464"/>
      <c r="W14" s="1056"/>
      <c r="X14" s="464"/>
      <c r="Y14" s="223"/>
    </row>
    <row r="15" spans="1:66" ht="14.4" hidden="1" customHeight="1" outlineLevel="1" x14ac:dyDescent="0.3">
      <c r="A15" s="214" t="s">
        <v>1521</v>
      </c>
      <c r="B15" s="464">
        <f>(B10/B9)+(B11/B8)</f>
        <v>0.88546255962558529</v>
      </c>
      <c r="C15" s="215"/>
      <c r="D15" s="464">
        <f>(D10/D9)+(D11/D8)</f>
        <v>0.93543053548392918</v>
      </c>
      <c r="E15" s="215"/>
      <c r="F15" s="464">
        <f>(F10/F9)+(F11/F8)</f>
        <v>0.93058427701272151</v>
      </c>
      <c r="G15" s="215"/>
      <c r="H15" s="464">
        <f>(H10/H9)+(H11/H8)</f>
        <v>0.96044124814035814</v>
      </c>
      <c r="I15" s="215"/>
      <c r="J15" s="464">
        <f>(J10/J9)+(J11/J8)</f>
        <v>1.0346162745283141</v>
      </c>
      <c r="K15" s="215"/>
      <c r="L15" s="464">
        <f>(L10/L9)+(L11/L8)</f>
        <v>0.98731825215465574</v>
      </c>
      <c r="M15" s="215"/>
      <c r="N15" s="464">
        <f>(N10/N9)+(N11/N8)</f>
        <v>0.92635648297528184</v>
      </c>
      <c r="O15" s="464"/>
      <c r="P15" s="464">
        <f>(P10/P9)+(P11/P8)</f>
        <v>0.91450898911004574</v>
      </c>
      <c r="Q15" s="464"/>
      <c r="R15" s="464"/>
      <c r="S15" s="464">
        <f>(S10/S9)+(S11/S8)</f>
        <v>0.94318326941623587</v>
      </c>
      <c r="T15" s="464"/>
      <c r="U15" s="464">
        <f>(U10/U9)+(U11/U8)</f>
        <v>0.96314422461010918</v>
      </c>
      <c r="V15" s="464"/>
      <c r="W15" s="1056"/>
      <c r="X15" s="464"/>
      <c r="Y15" s="223"/>
    </row>
    <row r="16" spans="1:66" ht="8.25" customHeight="1" collapsed="1" thickTop="1" x14ac:dyDescent="0.3">
      <c r="A16" s="214"/>
      <c r="B16" s="875"/>
      <c r="C16" s="215"/>
      <c r="D16" s="875"/>
      <c r="E16" s="215"/>
      <c r="F16" s="875"/>
      <c r="G16" s="215"/>
      <c r="H16" s="875"/>
      <c r="I16" s="215"/>
      <c r="J16" s="875"/>
      <c r="K16" s="215"/>
      <c r="L16" s="875"/>
      <c r="M16" s="215"/>
      <c r="N16" s="875"/>
      <c r="O16" s="464"/>
      <c r="P16" s="875"/>
      <c r="Q16" s="464"/>
      <c r="R16" s="464"/>
      <c r="S16" s="875"/>
      <c r="T16" s="464"/>
      <c r="U16" s="875"/>
      <c r="V16" s="464"/>
      <c r="W16" s="875"/>
      <c r="X16" s="464"/>
      <c r="Y16" s="223"/>
    </row>
    <row r="17" spans="1:66" s="597" customFormat="1" ht="4.5" customHeight="1" x14ac:dyDescent="0.3">
      <c r="A17" s="1155"/>
      <c r="B17" s="1278"/>
      <c r="C17" s="686"/>
      <c r="D17" s="1278"/>
      <c r="E17" s="686"/>
      <c r="F17" s="1278"/>
      <c r="G17" s="686"/>
      <c r="H17" s="1278"/>
      <c r="I17" s="686"/>
      <c r="J17" s="1278"/>
      <c r="K17" s="686"/>
      <c r="L17" s="1278"/>
      <c r="M17" s="686"/>
      <c r="N17" s="1278"/>
      <c r="O17" s="728"/>
      <c r="P17" s="1278"/>
      <c r="Q17" s="728"/>
      <c r="R17" s="728"/>
      <c r="S17" s="1278"/>
      <c r="T17" s="728"/>
      <c r="U17" s="1278"/>
      <c r="V17" s="728"/>
      <c r="W17" s="1278"/>
      <c r="X17" s="728"/>
      <c r="Y17" s="1279"/>
    </row>
    <row r="18" spans="1:66" s="658" customFormat="1" ht="14.4" hidden="1" customHeight="1" outlineLevel="1" x14ac:dyDescent="0.3">
      <c r="A18" s="1272" t="s">
        <v>901</v>
      </c>
      <c r="B18" s="2929">
        <v>2004</v>
      </c>
      <c r="C18" s="2929"/>
      <c r="D18" s="2929">
        <v>2003</v>
      </c>
      <c r="E18" s="2929"/>
      <c r="F18" s="2929">
        <v>2002</v>
      </c>
      <c r="G18" s="2929"/>
      <c r="H18" s="2929">
        <v>2001</v>
      </c>
      <c r="I18" s="2929"/>
      <c r="J18" s="2929">
        <v>2000</v>
      </c>
      <c r="K18" s="2929"/>
      <c r="L18" s="2929">
        <v>1999</v>
      </c>
      <c r="M18" s="2929"/>
      <c r="N18" s="1296">
        <v>1998</v>
      </c>
      <c r="O18" s="1296"/>
      <c r="P18" s="2930">
        <v>1997</v>
      </c>
      <c r="Q18" s="2930"/>
      <c r="R18" s="1296"/>
      <c r="S18" s="1296">
        <v>1996</v>
      </c>
      <c r="T18" s="1296"/>
      <c r="U18" s="1296">
        <v>1995</v>
      </c>
      <c r="V18" s="1296"/>
      <c r="W18" s="2930">
        <v>1994</v>
      </c>
      <c r="X18" s="2930"/>
      <c r="Y18" s="223"/>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row>
    <row r="19" spans="1:66" s="658" customFormat="1" ht="14.4" hidden="1" customHeight="1" outlineLevel="1" x14ac:dyDescent="0.3">
      <c r="A19" s="1283" t="s">
        <v>1250</v>
      </c>
      <c r="B19" s="1269" t="s">
        <v>688</v>
      </c>
      <c r="C19" s="1270"/>
      <c r="D19" s="1269" t="s">
        <v>688</v>
      </c>
      <c r="E19" s="1270"/>
      <c r="F19" s="1269" t="s">
        <v>688</v>
      </c>
      <c r="G19" s="1270"/>
      <c r="H19" s="1269" t="s">
        <v>688</v>
      </c>
      <c r="I19" s="1270"/>
      <c r="J19" s="1269" t="s">
        <v>688</v>
      </c>
      <c r="K19" s="1270"/>
      <c r="L19" s="1269" t="s">
        <v>688</v>
      </c>
      <c r="M19" s="1270"/>
      <c r="N19" s="887" t="s">
        <v>688</v>
      </c>
      <c r="O19" s="887"/>
      <c r="P19" s="887" t="s">
        <v>688</v>
      </c>
      <c r="Q19" s="887" t="s">
        <v>689</v>
      </c>
      <c r="R19" s="887"/>
      <c r="S19" s="887" t="s">
        <v>688</v>
      </c>
      <c r="T19" s="887"/>
      <c r="U19" s="887" t="s">
        <v>688</v>
      </c>
      <c r="V19" s="887"/>
      <c r="W19" s="887" t="s">
        <v>688</v>
      </c>
      <c r="X19" s="887" t="s">
        <v>689</v>
      </c>
      <c r="Y19" s="879"/>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row>
    <row r="20" spans="1:66" s="658" customFormat="1" ht="14.4" hidden="1" customHeight="1" outlineLevel="1" x14ac:dyDescent="0.3">
      <c r="A20" s="214" t="s">
        <v>907</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3"/>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row>
    <row r="21" spans="1:66" s="658" customFormat="1" ht="14.4" hidden="1" customHeight="1" outlineLevel="1" x14ac:dyDescent="0.3">
      <c r="A21" s="214" t="s">
        <v>902</v>
      </c>
      <c r="B21" s="1297">
        <v>2747</v>
      </c>
      <c r="C21" s="220"/>
      <c r="D21" s="1297">
        <v>3440</v>
      </c>
      <c r="E21" s="220"/>
      <c r="F21" s="1297">
        <v>3975</v>
      </c>
      <c r="G21" s="220"/>
      <c r="H21" s="1297">
        <v>4172</v>
      </c>
      <c r="I21" s="220"/>
      <c r="J21" s="1297">
        <v>3517</v>
      </c>
      <c r="K21" s="220"/>
      <c r="L21" s="1297">
        <v>2801</v>
      </c>
      <c r="M21" s="220"/>
      <c r="N21" s="1297">
        <v>2707</v>
      </c>
      <c r="O21" s="220"/>
      <c r="P21" s="220"/>
      <c r="Q21" s="220"/>
      <c r="R21" s="220"/>
      <c r="S21" s="220"/>
      <c r="T21" s="220"/>
      <c r="U21" s="220"/>
      <c r="V21" s="220"/>
      <c r="W21" s="220"/>
      <c r="X21" s="220"/>
      <c r="Y21" s="223"/>
      <c r="Z21" s="211"/>
      <c r="AA21" s="211"/>
      <c r="AB21" s="211"/>
      <c r="AC21" s="211"/>
      <c r="AD21" s="211"/>
      <c r="AE21" s="211"/>
      <c r="AF21" s="211"/>
      <c r="AG21" s="211"/>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row>
    <row r="22" spans="1:66" s="658" customFormat="1" ht="14.4" hidden="1" customHeight="1" outlineLevel="1" x14ac:dyDescent="0.3">
      <c r="A22" s="214" t="s">
        <v>903</v>
      </c>
      <c r="B22" s="922">
        <v>2091</v>
      </c>
      <c r="C22" s="220"/>
      <c r="D22" s="922">
        <v>2742</v>
      </c>
      <c r="E22" s="220"/>
      <c r="F22" s="922">
        <v>2647</v>
      </c>
      <c r="G22" s="220"/>
      <c r="H22" s="922">
        <v>2553</v>
      </c>
      <c r="I22" s="220"/>
      <c r="J22" s="922">
        <v>3036</v>
      </c>
      <c r="K22" s="220"/>
      <c r="L22" s="922">
        <v>2506</v>
      </c>
      <c r="M22" s="220"/>
      <c r="N22" s="922">
        <v>2072</v>
      </c>
      <c r="O22" s="220"/>
      <c r="P22" s="220"/>
      <c r="Q22" s="220"/>
      <c r="R22" s="220"/>
      <c r="S22" s="220"/>
      <c r="T22" s="220"/>
      <c r="U22" s="220"/>
      <c r="V22" s="220"/>
      <c r="W22" s="220"/>
      <c r="X22" s="220"/>
      <c r="Y22" s="223"/>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row>
    <row r="23" spans="1:66" s="658" customFormat="1" ht="14.4" hidden="1" customHeight="1" outlineLevel="1" x14ac:dyDescent="0.3">
      <c r="A23" s="214" t="s">
        <v>904</v>
      </c>
      <c r="B23" s="922">
        <v>2022</v>
      </c>
      <c r="C23" s="220"/>
      <c r="D23" s="922">
        <v>1839</v>
      </c>
      <c r="E23" s="220"/>
      <c r="F23" s="922">
        <v>1899</v>
      </c>
      <c r="G23" s="220"/>
      <c r="H23" s="922">
        <v>2005</v>
      </c>
      <c r="I23" s="220"/>
      <c r="J23" s="922">
        <v>2263</v>
      </c>
      <c r="K23" s="220"/>
      <c r="L23" s="922">
        <v>1736</v>
      </c>
      <c r="M23" s="220"/>
      <c r="N23" s="922">
        <v>1305</v>
      </c>
      <c r="O23" s="220"/>
      <c r="P23" s="220"/>
      <c r="Q23" s="220"/>
      <c r="R23" s="220"/>
      <c r="S23" s="220"/>
      <c r="T23" s="220"/>
      <c r="U23" s="220"/>
      <c r="V23" s="220"/>
      <c r="W23" s="220"/>
      <c r="X23" s="220"/>
      <c r="Y23" s="223"/>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row>
    <row r="24" spans="1:66" s="658" customFormat="1" ht="14.4" hidden="1" customHeight="1" outlineLevel="1" x14ac:dyDescent="0.3">
      <c r="A24" s="214" t="s">
        <v>906</v>
      </c>
      <c r="B24" s="1282">
        <f>SUM(B21:B23)</f>
        <v>6860</v>
      </c>
      <c r="C24" s="220"/>
      <c r="D24" s="1282">
        <f>SUM(D21:D23)</f>
        <v>8021</v>
      </c>
      <c r="E24" s="220"/>
      <c r="F24" s="1282">
        <f>SUM(F21:F23)</f>
        <v>8521</v>
      </c>
      <c r="G24" s="220"/>
      <c r="H24" s="1282">
        <f>SUM(H21:H23)</f>
        <v>8730</v>
      </c>
      <c r="I24" s="220"/>
      <c r="J24" s="1282">
        <f>SUM(J21:J23)</f>
        <v>8816</v>
      </c>
      <c r="K24" s="220"/>
      <c r="L24" s="1282">
        <f>SUM(L21:L23)</f>
        <v>7043</v>
      </c>
      <c r="M24" s="220"/>
      <c r="N24" s="1297">
        <f>SUM(N21:N23)</f>
        <v>6084</v>
      </c>
      <c r="O24" s="220"/>
      <c r="P24" s="220"/>
      <c r="Q24" s="220"/>
      <c r="R24" s="220"/>
      <c r="S24" s="220"/>
      <c r="T24" s="220"/>
      <c r="U24" s="220"/>
      <c r="V24" s="220"/>
      <c r="W24" s="220"/>
      <c r="X24" s="220"/>
      <c r="Y24" s="223"/>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row>
    <row r="25" spans="1:66" s="658" customFormat="1" ht="14.4" hidden="1" customHeight="1" outlineLevel="1" x14ac:dyDescent="0.3">
      <c r="A25" s="1272"/>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3"/>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row>
    <row r="26" spans="1:66" s="658" customFormat="1" ht="14.4" hidden="1" customHeight="1" outlineLevel="1" x14ac:dyDescent="0.3">
      <c r="A26" s="214" t="s">
        <v>452</v>
      </c>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3"/>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row>
    <row r="27" spans="1:66" s="658" customFormat="1" ht="14.4" hidden="1" customHeight="1" outlineLevel="1" x14ac:dyDescent="0.3">
      <c r="A27" s="214" t="s">
        <v>902</v>
      </c>
      <c r="B27" s="1297">
        <v>3012</v>
      </c>
      <c r="C27" s="220"/>
      <c r="D27" s="1297">
        <v>3551</v>
      </c>
      <c r="E27" s="220"/>
      <c r="F27" s="1297">
        <v>3967</v>
      </c>
      <c r="G27" s="220"/>
      <c r="H27" s="1297">
        <v>3968</v>
      </c>
      <c r="I27" s="220"/>
      <c r="J27" s="1297">
        <v>3389</v>
      </c>
      <c r="K27" s="220"/>
      <c r="L27" s="1297">
        <v>2837</v>
      </c>
      <c r="M27" s="220"/>
      <c r="N27" s="1297">
        <v>2708</v>
      </c>
      <c r="O27" s="220"/>
      <c r="P27" s="220"/>
      <c r="Q27" s="220"/>
      <c r="R27" s="220"/>
      <c r="S27" s="220"/>
      <c r="T27" s="220"/>
      <c r="U27" s="220"/>
      <c r="V27" s="220"/>
      <c r="W27" s="220"/>
      <c r="X27" s="220"/>
      <c r="Y27" s="223"/>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row>
    <row r="28" spans="1:66" s="658" customFormat="1" ht="14.4" hidden="1" customHeight="1" outlineLevel="1" x14ac:dyDescent="0.3">
      <c r="A28" s="214" t="s">
        <v>903</v>
      </c>
      <c r="B28" s="922">
        <v>2218</v>
      </c>
      <c r="C28" s="220"/>
      <c r="D28" s="922">
        <v>2847</v>
      </c>
      <c r="E28" s="220"/>
      <c r="F28" s="922">
        <v>2647</v>
      </c>
      <c r="G28" s="220"/>
      <c r="H28" s="922">
        <v>2397</v>
      </c>
      <c r="I28" s="220"/>
      <c r="J28" s="922">
        <v>3046</v>
      </c>
      <c r="K28" s="220"/>
      <c r="L28" s="922">
        <v>2343</v>
      </c>
      <c r="M28" s="220"/>
      <c r="N28" s="922">
        <v>2095</v>
      </c>
      <c r="O28" s="220"/>
      <c r="P28" s="220"/>
      <c r="Q28" s="220"/>
      <c r="R28" s="220"/>
      <c r="S28" s="220"/>
      <c r="T28" s="220"/>
      <c r="U28" s="220"/>
      <c r="V28" s="220"/>
      <c r="W28" s="220"/>
      <c r="X28" s="220"/>
      <c r="Y28" s="223"/>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row>
    <row r="29" spans="1:66" s="658" customFormat="1" ht="14.4" hidden="1" customHeight="1" outlineLevel="1" x14ac:dyDescent="0.3">
      <c r="A29" s="214" t="s">
        <v>904</v>
      </c>
      <c r="B29" s="922">
        <v>2015</v>
      </c>
      <c r="C29" s="220"/>
      <c r="D29" s="922">
        <v>1847</v>
      </c>
      <c r="E29" s="220"/>
      <c r="F29" s="922">
        <v>1886</v>
      </c>
      <c r="G29" s="220"/>
      <c r="H29" s="922">
        <v>1988</v>
      </c>
      <c r="I29" s="220"/>
      <c r="J29" s="922">
        <v>2261</v>
      </c>
      <c r="K29" s="220"/>
      <c r="L29" s="922">
        <v>1725</v>
      </c>
      <c r="M29" s="220"/>
      <c r="N29" s="922">
        <v>1292</v>
      </c>
      <c r="O29" s="220"/>
      <c r="P29" s="220"/>
      <c r="Q29" s="220"/>
      <c r="R29" s="220"/>
      <c r="S29" s="220"/>
      <c r="T29" s="220"/>
      <c r="U29" s="220"/>
      <c r="V29" s="220"/>
      <c r="W29" s="220"/>
      <c r="X29" s="220"/>
      <c r="Y29" s="223"/>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row>
    <row r="30" spans="1:66" s="658" customFormat="1" ht="14.4" hidden="1" customHeight="1" outlineLevel="1" x14ac:dyDescent="0.3">
      <c r="A30" s="214" t="s">
        <v>905</v>
      </c>
      <c r="B30" s="1282">
        <f>SUM(B27:B29)</f>
        <v>7245</v>
      </c>
      <c r="C30" s="220"/>
      <c r="D30" s="1282">
        <f>SUM(D27:D29)</f>
        <v>8245</v>
      </c>
      <c r="E30" s="220"/>
      <c r="F30" s="1282">
        <f>SUM(F27:F29)</f>
        <v>8500</v>
      </c>
      <c r="G30" s="220"/>
      <c r="H30" s="1282">
        <f>SUM(H27:H29)</f>
        <v>8353</v>
      </c>
      <c r="I30" s="220"/>
      <c r="J30" s="1282">
        <f>SUM(J27:J29)</f>
        <v>8696</v>
      </c>
      <c r="K30" s="220"/>
      <c r="L30" s="1282">
        <f>SUM(L27:L29)</f>
        <v>6905</v>
      </c>
      <c r="M30" s="220"/>
      <c r="N30" s="1297">
        <f>SUM(N27:N29)</f>
        <v>6095</v>
      </c>
      <c r="O30" s="220"/>
      <c r="P30" s="220"/>
      <c r="Q30" s="220"/>
      <c r="R30" s="220"/>
      <c r="S30" s="220"/>
      <c r="T30" s="220"/>
      <c r="U30" s="220"/>
      <c r="V30" s="220"/>
      <c r="W30" s="220"/>
      <c r="X30" s="220"/>
      <c r="Y30" s="223"/>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row>
    <row r="31" spans="1:66" s="658" customFormat="1" ht="14.4" hidden="1" customHeight="1" outlineLevel="1" x14ac:dyDescent="0.3">
      <c r="A31" s="214"/>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3"/>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row>
    <row r="32" spans="1:66" s="658" customFormat="1" ht="14.4" hidden="1" customHeight="1" outlineLevel="1" x14ac:dyDescent="0.3">
      <c r="A32" s="214" t="s">
        <v>908</v>
      </c>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3"/>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row>
    <row r="33" spans="1:66" s="658" customFormat="1" ht="14.4" hidden="1" customHeight="1" outlineLevel="1" x14ac:dyDescent="0.3">
      <c r="A33" s="214" t="s">
        <v>902</v>
      </c>
      <c r="B33" s="1297">
        <v>11</v>
      </c>
      <c r="C33" s="220"/>
      <c r="D33" s="1297">
        <v>67</v>
      </c>
      <c r="E33" s="220"/>
      <c r="F33" s="1297">
        <v>-1019</v>
      </c>
      <c r="G33" s="220"/>
      <c r="H33" s="1297">
        <v>-2843</v>
      </c>
      <c r="I33" s="220"/>
      <c r="J33" s="1297">
        <v>-656</v>
      </c>
      <c r="K33" s="220"/>
      <c r="L33" s="1297">
        <v>-584</v>
      </c>
      <c r="M33" s="220"/>
      <c r="N33" s="1297">
        <v>21</v>
      </c>
      <c r="O33" s="220"/>
      <c r="P33" s="220"/>
      <c r="Q33" s="220"/>
      <c r="R33" s="220"/>
      <c r="S33" s="220"/>
      <c r="T33" s="220"/>
      <c r="U33" s="220"/>
      <c r="V33" s="220"/>
      <c r="W33" s="220"/>
      <c r="X33" s="220"/>
      <c r="Y33" s="223"/>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row>
    <row r="34" spans="1:66" s="658" customFormat="1" ht="14.4" hidden="1" customHeight="1" outlineLevel="1" x14ac:dyDescent="0.3">
      <c r="A34" s="214" t="s">
        <v>903</v>
      </c>
      <c r="B34" s="922">
        <v>-93</v>
      </c>
      <c r="C34" s="220"/>
      <c r="D34" s="922">
        <v>20</v>
      </c>
      <c r="E34" s="220"/>
      <c r="F34" s="922">
        <v>-319</v>
      </c>
      <c r="G34" s="220"/>
      <c r="H34" s="922">
        <v>-746</v>
      </c>
      <c r="I34" s="220"/>
      <c r="J34" s="922">
        <v>-518</v>
      </c>
      <c r="K34" s="220"/>
      <c r="L34" s="922">
        <v>-473</v>
      </c>
      <c r="M34" s="220"/>
      <c r="N34" s="922">
        <v>-101</v>
      </c>
      <c r="O34" s="220"/>
      <c r="P34" s="220"/>
      <c r="Q34" s="220"/>
      <c r="R34" s="220"/>
      <c r="S34" s="220"/>
      <c r="T34" s="220"/>
      <c r="U34" s="220"/>
      <c r="V34" s="220"/>
      <c r="W34" s="220"/>
      <c r="X34" s="220"/>
      <c r="Y34" s="223"/>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row>
    <row r="35" spans="1:66" s="658" customFormat="1" ht="14.4" hidden="1" customHeight="1" outlineLevel="1" x14ac:dyDescent="0.3">
      <c r="A35" s="214" t="s">
        <v>904</v>
      </c>
      <c r="B35" s="922">
        <v>85</v>
      </c>
      <c r="C35" s="220"/>
      <c r="D35" s="922">
        <v>58</v>
      </c>
      <c r="E35" s="220"/>
      <c r="F35" s="922">
        <v>-55</v>
      </c>
      <c r="G35" s="220"/>
      <c r="H35" s="922">
        <v>-82</v>
      </c>
      <c r="I35" s="220"/>
      <c r="J35" s="922">
        <v>-80</v>
      </c>
      <c r="K35" s="220"/>
      <c r="L35" s="922">
        <v>-127</v>
      </c>
      <c r="M35" s="220"/>
      <c r="N35" s="922">
        <v>-290</v>
      </c>
      <c r="O35" s="220"/>
      <c r="P35" s="220"/>
      <c r="Q35" s="220"/>
      <c r="R35" s="220"/>
      <c r="S35" s="220"/>
      <c r="T35" s="220"/>
      <c r="U35" s="220"/>
      <c r="V35" s="220"/>
      <c r="W35" s="220"/>
      <c r="X35" s="220"/>
      <c r="Y35" s="223"/>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row>
    <row r="36" spans="1:66" s="658" customFormat="1" ht="14.4" hidden="1" customHeight="1" outlineLevel="1" x14ac:dyDescent="0.3">
      <c r="A36" s="214" t="s">
        <v>1678</v>
      </c>
      <c r="B36" s="1282">
        <f>SUM(B33:B35)</f>
        <v>3</v>
      </c>
      <c r="C36" s="220"/>
      <c r="D36" s="1282">
        <f>SUM(D33:D35)</f>
        <v>145</v>
      </c>
      <c r="E36" s="220"/>
      <c r="F36" s="1282">
        <f>SUM(F33:F35)</f>
        <v>-1393</v>
      </c>
      <c r="G36" s="220"/>
      <c r="H36" s="1282">
        <f>SUM(H33:H35)</f>
        <v>-3671</v>
      </c>
      <c r="I36" s="220"/>
      <c r="J36" s="1282">
        <f>SUM(J33:J35)</f>
        <v>-1254</v>
      </c>
      <c r="K36" s="220"/>
      <c r="L36" s="1282">
        <f>SUM(L33:L35)</f>
        <v>-1184</v>
      </c>
      <c r="M36" s="220"/>
      <c r="N36" s="1297">
        <f>SUM(N33:N35)</f>
        <v>-370</v>
      </c>
      <c r="O36" s="220"/>
      <c r="P36" s="220"/>
      <c r="Q36" s="220"/>
      <c r="R36" s="220"/>
      <c r="S36" s="220"/>
      <c r="T36" s="220"/>
      <c r="U36" s="220"/>
      <c r="V36" s="220"/>
      <c r="W36" s="220"/>
      <c r="X36" s="220"/>
      <c r="Y36" s="223"/>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row>
    <row r="37" spans="1:66" s="658" customFormat="1" ht="14.4" hidden="1" customHeight="1" outlineLevel="1" x14ac:dyDescent="0.3">
      <c r="A37" s="221" t="s">
        <v>1677</v>
      </c>
      <c r="B37" s="392"/>
      <c r="C37" s="220"/>
      <c r="D37" s="392"/>
      <c r="E37" s="220"/>
      <c r="F37" s="392"/>
      <c r="G37" s="220"/>
      <c r="H37" s="392"/>
      <c r="I37" s="220"/>
      <c r="J37" s="392"/>
      <c r="K37" s="220"/>
      <c r="L37" s="392"/>
      <c r="M37" s="220"/>
      <c r="N37" s="392"/>
      <c r="O37" s="220"/>
      <c r="P37" s="220"/>
      <c r="Q37" s="220"/>
      <c r="R37" s="220"/>
      <c r="S37" s="220"/>
      <c r="T37" s="220"/>
      <c r="U37" s="220"/>
      <c r="V37" s="220"/>
      <c r="W37" s="220"/>
      <c r="X37" s="220"/>
      <c r="Y37" s="223"/>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c r="BI37" s="211"/>
      <c r="BJ37" s="211"/>
      <c r="BK37" s="211"/>
      <c r="BL37" s="211"/>
      <c r="BM37" s="211"/>
      <c r="BN37" s="211"/>
    </row>
    <row r="38" spans="1:66" s="658" customFormat="1" ht="14.4" hidden="1" customHeight="1" outlineLevel="1" x14ac:dyDescent="0.3">
      <c r="A38" s="214"/>
      <c r="B38" s="392"/>
      <c r="C38" s="220"/>
      <c r="D38" s="392"/>
      <c r="E38" s="220"/>
      <c r="F38" s="392"/>
      <c r="G38" s="220"/>
      <c r="H38" s="392"/>
      <c r="I38" s="220"/>
      <c r="J38" s="392"/>
      <c r="K38" s="220"/>
      <c r="L38" s="392"/>
      <c r="M38" s="220"/>
      <c r="N38" s="392"/>
      <c r="O38" s="220"/>
      <c r="P38" s="220"/>
      <c r="Q38" s="220"/>
      <c r="R38" s="220"/>
      <c r="S38" s="220"/>
      <c r="T38" s="220"/>
      <c r="U38" s="220"/>
      <c r="V38" s="220"/>
      <c r="W38" s="220"/>
      <c r="X38" s="220"/>
      <c r="Y38" s="223"/>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row>
    <row r="39" spans="1:66" ht="14.4" customHeight="1" collapsed="1" x14ac:dyDescent="0.3">
      <c r="A39" s="213" t="s">
        <v>901</v>
      </c>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3"/>
    </row>
    <row r="40" spans="1:66" ht="14.4" customHeight="1" outlineLevel="1" x14ac:dyDescent="0.3">
      <c r="A40" s="214" t="s">
        <v>526</v>
      </c>
      <c r="B40" s="1297">
        <v>6860</v>
      </c>
      <c r="C40" s="392"/>
      <c r="D40" s="1297">
        <v>8021</v>
      </c>
      <c r="E40" s="392"/>
      <c r="F40" s="1297">
        <v>8521</v>
      </c>
      <c r="G40" s="392"/>
      <c r="H40" s="1302">
        <f>H24</f>
        <v>8730</v>
      </c>
      <c r="I40" s="402"/>
      <c r="J40" s="1302">
        <v>8696</v>
      </c>
      <c r="K40" s="392"/>
      <c r="L40" s="1297">
        <v>7043</v>
      </c>
      <c r="M40" s="392"/>
      <c r="N40" s="1297">
        <v>6084</v>
      </c>
      <c r="O40" s="392"/>
      <c r="P40" s="2467"/>
      <c r="Q40" s="392"/>
      <c r="R40" s="392"/>
      <c r="S40" s="2467"/>
      <c r="T40" s="392"/>
      <c r="U40" s="2467"/>
      <c r="V40" s="392"/>
      <c r="W40" s="2467"/>
      <c r="X40" s="392"/>
      <c r="Y40" s="253"/>
      <c r="Z40" s="252"/>
    </row>
    <row r="41" spans="1:66" ht="14.4" customHeight="1" x14ac:dyDescent="0.3">
      <c r="A41" s="214" t="s">
        <v>101</v>
      </c>
      <c r="B41" s="1232">
        <v>7245</v>
      </c>
      <c r="C41" s="215"/>
      <c r="D41" s="1232">
        <v>8245</v>
      </c>
      <c r="E41" s="215"/>
      <c r="F41" s="1232">
        <v>8500</v>
      </c>
      <c r="G41" s="215"/>
      <c r="H41" s="1232">
        <v>8353</v>
      </c>
      <c r="I41" s="215"/>
      <c r="J41" s="1232">
        <v>8696</v>
      </c>
      <c r="K41" s="215"/>
      <c r="L41" s="1232">
        <v>6905</v>
      </c>
      <c r="M41" s="215"/>
      <c r="N41" s="1232">
        <v>6095</v>
      </c>
      <c r="O41" s="215"/>
      <c r="P41" s="2221"/>
      <c r="Q41" s="464"/>
      <c r="R41" s="215"/>
      <c r="S41" s="2221"/>
      <c r="T41" s="215"/>
      <c r="U41" s="2221"/>
      <c r="V41" s="215"/>
      <c r="W41" s="2221"/>
      <c r="X41" s="464"/>
      <c r="Y41" s="260"/>
      <c r="Z41" s="230"/>
    </row>
    <row r="42" spans="1:66" hidden="1" outlineLevel="1" x14ac:dyDescent="0.3">
      <c r="A42" s="214" t="s">
        <v>527</v>
      </c>
      <c r="B42" s="215"/>
      <c r="C42" s="215"/>
      <c r="D42" s="215"/>
      <c r="E42" s="215"/>
      <c r="F42" s="215"/>
      <c r="G42" s="215"/>
      <c r="H42" s="215"/>
      <c r="I42" s="215"/>
      <c r="J42" s="215"/>
      <c r="K42" s="215"/>
      <c r="L42" s="215">
        <v>6022</v>
      </c>
      <c r="M42" s="215"/>
      <c r="N42" s="215">
        <v>4607</v>
      </c>
      <c r="O42" s="215"/>
      <c r="P42" s="2221"/>
      <c r="Q42" s="464"/>
      <c r="R42" s="215"/>
      <c r="S42" s="2221"/>
      <c r="T42" s="215"/>
      <c r="U42" s="2221"/>
      <c r="V42" s="215"/>
      <c r="W42" s="2221"/>
      <c r="X42" s="464"/>
      <c r="Y42" s="260"/>
      <c r="Z42" s="230"/>
    </row>
    <row r="43" spans="1:66" hidden="1" outlineLevel="1" x14ac:dyDescent="0.3">
      <c r="A43" s="214" t="s">
        <v>102</v>
      </c>
      <c r="B43" s="503"/>
      <c r="C43" s="215"/>
      <c r="D43" s="503"/>
      <c r="E43" s="215"/>
      <c r="F43" s="503"/>
      <c r="G43" s="215"/>
      <c r="H43" s="503"/>
      <c r="I43" s="215"/>
      <c r="J43" s="503"/>
      <c r="K43" s="215"/>
      <c r="L43" s="503">
        <v>2067</v>
      </c>
      <c r="M43" s="215"/>
      <c r="N43" s="503">
        <v>1858</v>
      </c>
      <c r="O43" s="215"/>
      <c r="P43" s="2221"/>
      <c r="Q43" s="464"/>
      <c r="R43" s="215"/>
      <c r="S43" s="2221"/>
      <c r="T43" s="215"/>
      <c r="U43" s="2221"/>
      <c r="V43" s="215"/>
      <c r="W43" s="2221"/>
      <c r="X43" s="464"/>
      <c r="Y43" s="260"/>
      <c r="Z43" s="230"/>
    </row>
    <row r="44" spans="1:66" hidden="1" outlineLevel="1" x14ac:dyDescent="0.3">
      <c r="A44" s="214" t="s">
        <v>685</v>
      </c>
      <c r="B44" s="215">
        <f>B41-B45</f>
        <v>7242</v>
      </c>
      <c r="C44" s="215"/>
      <c r="D44" s="215">
        <f>D41-D45</f>
        <v>8100</v>
      </c>
      <c r="E44" s="215"/>
      <c r="F44" s="215">
        <f>F41-F45</f>
        <v>9893</v>
      </c>
      <c r="G44" s="215"/>
      <c r="H44" s="215">
        <f>H41-H45</f>
        <v>12024</v>
      </c>
      <c r="I44" s="215"/>
      <c r="J44" s="215">
        <f>J41-J45</f>
        <v>9950</v>
      </c>
      <c r="K44" s="215"/>
      <c r="L44" s="215">
        <f>L42+L43</f>
        <v>8089</v>
      </c>
      <c r="M44" s="215"/>
      <c r="N44" s="215">
        <f>N42+N43</f>
        <v>6465</v>
      </c>
      <c r="O44" s="215"/>
      <c r="P44" s="2221"/>
      <c r="Q44" s="464"/>
      <c r="R44" s="215"/>
      <c r="S44" s="2221"/>
      <c r="T44" s="215"/>
      <c r="U44" s="2221"/>
      <c r="V44" s="215"/>
      <c r="W44" s="2221"/>
      <c r="X44" s="464"/>
      <c r="Y44" s="260"/>
      <c r="Z44" s="230"/>
    </row>
    <row r="45" spans="1:66" ht="16.2" collapsed="1" thickBot="1" x14ac:dyDescent="0.35">
      <c r="A45" s="214" t="s">
        <v>1523</v>
      </c>
      <c r="B45" s="1276">
        <v>3</v>
      </c>
      <c r="C45" s="215"/>
      <c r="D45" s="1276">
        <v>145</v>
      </c>
      <c r="E45" s="215"/>
      <c r="F45" s="1276">
        <v>-1393</v>
      </c>
      <c r="G45" s="215"/>
      <c r="H45" s="1276">
        <v>-3671</v>
      </c>
      <c r="I45" s="215"/>
      <c r="J45" s="1304">
        <v>-1254</v>
      </c>
      <c r="K45" s="215"/>
      <c r="L45" s="1276">
        <f>L41-L44</f>
        <v>-1184</v>
      </c>
      <c r="M45" s="215"/>
      <c r="N45" s="1276">
        <f>N41-N44</f>
        <v>-370</v>
      </c>
      <c r="O45" s="215"/>
      <c r="P45" s="2467"/>
      <c r="Q45" s="215"/>
      <c r="R45" s="215"/>
      <c r="S45" s="2467"/>
      <c r="T45" s="215"/>
      <c r="U45" s="2467"/>
      <c r="V45" s="215"/>
      <c r="W45" s="2467"/>
      <c r="X45" s="215"/>
      <c r="Y45" s="260"/>
      <c r="Z45" s="230"/>
    </row>
    <row r="46" spans="1:66" ht="8.25" customHeight="1" thickTop="1" x14ac:dyDescent="0.3">
      <c r="A46" s="214"/>
      <c r="B46" s="875"/>
      <c r="C46" s="215"/>
      <c r="D46" s="875"/>
      <c r="E46" s="215"/>
      <c r="F46" s="875"/>
      <c r="G46" s="215"/>
      <c r="H46" s="875"/>
      <c r="I46" s="215"/>
      <c r="J46" s="875"/>
      <c r="K46" s="215"/>
      <c r="L46" s="875"/>
      <c r="M46" s="215"/>
      <c r="N46" s="875"/>
      <c r="O46" s="464"/>
      <c r="P46" s="875"/>
      <c r="Q46" s="464"/>
      <c r="R46" s="464"/>
      <c r="S46" s="875"/>
      <c r="T46" s="464"/>
      <c r="U46" s="875"/>
      <c r="V46" s="464"/>
      <c r="W46" s="875"/>
      <c r="X46" s="464"/>
      <c r="Y46" s="223"/>
    </row>
    <row r="47" spans="1:66" s="597" customFormat="1" ht="4.5" customHeight="1" x14ac:dyDescent="0.3">
      <c r="A47" s="1155"/>
      <c r="B47" s="1278"/>
      <c r="C47" s="686"/>
      <c r="D47" s="1278"/>
      <c r="E47" s="686"/>
      <c r="F47" s="1278"/>
      <c r="G47" s="686"/>
      <c r="H47" s="1278"/>
      <c r="I47" s="686"/>
      <c r="J47" s="1278"/>
      <c r="K47" s="686"/>
      <c r="L47" s="1278"/>
      <c r="M47" s="686"/>
      <c r="N47" s="1278"/>
      <c r="O47" s="728"/>
      <c r="P47" s="1278"/>
      <c r="Q47" s="728"/>
      <c r="R47" s="728"/>
      <c r="S47" s="1278"/>
      <c r="T47" s="728"/>
      <c r="U47" s="1278"/>
      <c r="V47" s="728"/>
      <c r="W47" s="1278"/>
      <c r="X47" s="728"/>
      <c r="Y47" s="1279"/>
    </row>
    <row r="48" spans="1:66" hidden="1" outlineLevel="1" x14ac:dyDescent="0.3">
      <c r="A48" s="1272" t="s">
        <v>899</v>
      </c>
      <c r="B48" s="2929">
        <v>2004</v>
      </c>
      <c r="C48" s="2929"/>
      <c r="D48" s="2929">
        <v>2003</v>
      </c>
      <c r="E48" s="2929"/>
      <c r="F48" s="2929">
        <v>2002</v>
      </c>
      <c r="G48" s="2929"/>
      <c r="H48" s="2929">
        <v>2001</v>
      </c>
      <c r="I48" s="2929"/>
      <c r="J48" s="2929">
        <v>2000</v>
      </c>
      <c r="K48" s="2929"/>
      <c r="L48" s="2929">
        <v>1999</v>
      </c>
      <c r="M48" s="2929"/>
      <c r="N48" s="1300">
        <v>1998</v>
      </c>
      <c r="O48" s="1296"/>
      <c r="P48" s="2929">
        <v>1997</v>
      </c>
      <c r="Q48" s="2929"/>
      <c r="R48" s="1296"/>
      <c r="S48" s="1300">
        <v>1996</v>
      </c>
      <c r="T48" s="1296"/>
      <c r="U48" s="1300">
        <v>1995</v>
      </c>
      <c r="V48" s="1296"/>
      <c r="W48" s="2929">
        <v>1994</v>
      </c>
      <c r="X48" s="2929"/>
      <c r="Y48" s="223"/>
    </row>
    <row r="49" spans="1:25" hidden="1" outlineLevel="1" x14ac:dyDescent="0.3">
      <c r="A49" s="1283" t="s">
        <v>1250</v>
      </c>
      <c r="B49" s="1269" t="s">
        <v>688</v>
      </c>
      <c r="C49" s="1270"/>
      <c r="D49" s="1269" t="s">
        <v>688</v>
      </c>
      <c r="E49" s="1270"/>
      <c r="F49" s="1269" t="s">
        <v>688</v>
      </c>
      <c r="G49" s="1270"/>
      <c r="H49" s="1269" t="s">
        <v>688</v>
      </c>
      <c r="I49" s="1270"/>
      <c r="J49" s="1269" t="s">
        <v>688</v>
      </c>
      <c r="K49" s="1270"/>
      <c r="L49" s="1269" t="s">
        <v>688</v>
      </c>
      <c r="M49" s="1270"/>
      <c r="N49" s="1269" t="s">
        <v>688</v>
      </c>
      <c r="O49" s="1271"/>
      <c r="P49" s="1269" t="s">
        <v>688</v>
      </c>
      <c r="Q49" s="1269" t="s">
        <v>689</v>
      </c>
      <c r="R49" s="1271"/>
      <c r="S49" s="1269" t="s">
        <v>688</v>
      </c>
      <c r="T49" s="1271"/>
      <c r="U49" s="1269" t="s">
        <v>688</v>
      </c>
      <c r="V49" s="1271"/>
      <c r="W49" s="1269" t="s">
        <v>688</v>
      </c>
      <c r="X49" s="1269" t="s">
        <v>689</v>
      </c>
      <c r="Y49" s="879"/>
    </row>
    <row r="50" spans="1:25" hidden="1" outlineLevel="1" x14ac:dyDescent="0.3">
      <c r="A50" s="214" t="s">
        <v>452</v>
      </c>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3"/>
    </row>
    <row r="51" spans="1:25" hidden="1" outlineLevel="1" x14ac:dyDescent="0.3">
      <c r="A51" s="214" t="s">
        <v>950</v>
      </c>
      <c r="B51" s="1297">
        <v>1462</v>
      </c>
      <c r="C51" s="220"/>
      <c r="D51" s="1297">
        <v>1330</v>
      </c>
      <c r="E51" s="220"/>
      <c r="F51" s="1297">
        <v>1283</v>
      </c>
      <c r="G51" s="220"/>
      <c r="H51" s="1297">
        <v>553</v>
      </c>
      <c r="I51" s="220"/>
      <c r="J51" s="1297">
        <v>321</v>
      </c>
      <c r="K51" s="220"/>
      <c r="L51" s="220"/>
      <c r="M51" s="220"/>
      <c r="N51" s="220"/>
      <c r="O51" s="220"/>
      <c r="P51" s="220"/>
      <c r="Q51" s="220"/>
      <c r="R51" s="220"/>
      <c r="S51" s="220"/>
      <c r="T51" s="220"/>
      <c r="U51" s="220"/>
      <c r="V51" s="220"/>
      <c r="W51" s="220"/>
      <c r="X51" s="220"/>
      <c r="Y51" s="223"/>
    </row>
    <row r="52" spans="1:25" hidden="1" outlineLevel="1" x14ac:dyDescent="0.3">
      <c r="A52" s="214" t="s">
        <v>951</v>
      </c>
      <c r="B52" s="922">
        <v>188</v>
      </c>
      <c r="C52" s="926"/>
      <c r="D52" s="922">
        <v>526</v>
      </c>
      <c r="E52" s="926"/>
      <c r="F52" s="922">
        <v>407</v>
      </c>
      <c r="G52" s="926"/>
      <c r="H52" s="922">
        <v>1993</v>
      </c>
      <c r="I52" s="926"/>
      <c r="J52" s="922">
        <v>3944</v>
      </c>
      <c r="K52" s="220"/>
      <c r="L52" s="220"/>
      <c r="M52" s="220"/>
      <c r="N52" s="220"/>
      <c r="O52" s="220"/>
      <c r="P52" s="220"/>
      <c r="Q52" s="220"/>
      <c r="R52" s="220"/>
      <c r="S52" s="220"/>
      <c r="T52" s="220"/>
      <c r="U52" s="220"/>
      <c r="V52" s="220"/>
      <c r="W52" s="220"/>
      <c r="X52" s="220"/>
      <c r="Y52" s="223"/>
    </row>
    <row r="53" spans="1:25" hidden="1" outlineLevel="1" x14ac:dyDescent="0.3">
      <c r="A53" s="214" t="s">
        <v>952</v>
      </c>
      <c r="B53" s="507"/>
      <c r="C53" s="220"/>
      <c r="D53" s="507"/>
      <c r="E53" s="220"/>
      <c r="F53" s="922">
        <v>1289</v>
      </c>
      <c r="G53" s="926"/>
      <c r="H53" s="922">
        <v>220</v>
      </c>
      <c r="I53" s="926"/>
      <c r="J53" s="922">
        <v>22</v>
      </c>
      <c r="K53" s="220"/>
      <c r="L53" s="220"/>
      <c r="M53" s="220"/>
      <c r="N53" s="220"/>
      <c r="O53" s="220"/>
      <c r="P53" s="220"/>
      <c r="Q53" s="220"/>
      <c r="R53" s="220"/>
      <c r="S53" s="220"/>
      <c r="T53" s="220"/>
      <c r="U53" s="220"/>
      <c r="V53" s="220"/>
      <c r="W53" s="220"/>
      <c r="X53" s="220"/>
      <c r="Y53" s="223"/>
    </row>
    <row r="54" spans="1:25" hidden="1" outlineLevel="1" x14ac:dyDescent="0.3">
      <c r="A54" s="214" t="s">
        <v>380</v>
      </c>
      <c r="B54" s="922">
        <v>2064</v>
      </c>
      <c r="C54" s="926"/>
      <c r="D54" s="922">
        <v>2574</v>
      </c>
      <c r="E54" s="926"/>
      <c r="F54" s="922">
        <v>321</v>
      </c>
      <c r="G54" s="926"/>
      <c r="H54" s="922">
        <v>225</v>
      </c>
      <c r="I54" s="926"/>
      <c r="J54" s="922">
        <v>425</v>
      </c>
      <c r="K54" s="220"/>
      <c r="L54" s="220"/>
      <c r="M54" s="220"/>
      <c r="N54" s="220"/>
      <c r="O54" s="220"/>
      <c r="P54" s="220"/>
      <c r="Q54" s="220"/>
      <c r="R54" s="220"/>
      <c r="S54" s="220"/>
      <c r="T54" s="220"/>
      <c r="U54" s="220"/>
      <c r="V54" s="220"/>
      <c r="W54" s="220"/>
      <c r="X54" s="220"/>
      <c r="Y54" s="223"/>
    </row>
    <row r="55" spans="1:25" hidden="1" outlineLevel="1" x14ac:dyDescent="0.3">
      <c r="A55" s="214" t="s">
        <v>953</v>
      </c>
      <c r="B55" s="1282">
        <f>SUM(B51:B54)</f>
        <v>3714</v>
      </c>
      <c r="C55" s="220"/>
      <c r="D55" s="1282">
        <f>SUM(D51:D54)</f>
        <v>4430</v>
      </c>
      <c r="E55" s="220"/>
      <c r="F55" s="1282">
        <f>SUM(F51:F54)</f>
        <v>3300</v>
      </c>
      <c r="G55" s="220"/>
      <c r="H55" s="1282">
        <f>SUM(H51:H54)</f>
        <v>2991</v>
      </c>
      <c r="I55" s="220"/>
      <c r="J55" s="1282">
        <f>SUM(J51:J54)</f>
        <v>4712</v>
      </c>
      <c r="K55" s="220"/>
      <c r="L55" s="220"/>
      <c r="M55" s="220"/>
      <c r="N55" s="220"/>
      <c r="O55" s="220"/>
      <c r="P55" s="220"/>
      <c r="Q55" s="220"/>
      <c r="R55" s="220"/>
      <c r="S55" s="220"/>
      <c r="T55" s="220"/>
      <c r="U55" s="220"/>
      <c r="V55" s="220"/>
      <c r="W55" s="220"/>
      <c r="X55" s="220"/>
      <c r="Y55" s="223"/>
    </row>
    <row r="56" spans="1:25" hidden="1" outlineLevel="1" x14ac:dyDescent="0.3">
      <c r="A56" s="214"/>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3"/>
    </row>
    <row r="57" spans="1:25" hidden="1" outlineLevel="1" x14ac:dyDescent="0.3">
      <c r="A57" s="214" t="s">
        <v>908</v>
      </c>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3"/>
    </row>
    <row r="58" spans="1:25" hidden="1" outlineLevel="1" x14ac:dyDescent="0.3">
      <c r="A58" s="214" t="s">
        <v>950</v>
      </c>
      <c r="B58" s="1297">
        <v>385</v>
      </c>
      <c r="C58" s="220"/>
      <c r="D58" s="1297">
        <v>1108</v>
      </c>
      <c r="E58" s="220"/>
      <c r="F58" s="1297">
        <v>1006</v>
      </c>
      <c r="G58" s="220"/>
      <c r="H58" s="1297">
        <v>-150</v>
      </c>
      <c r="I58" s="220"/>
      <c r="J58" s="1297">
        <v>196</v>
      </c>
      <c r="K58" s="220"/>
      <c r="L58" s="220"/>
      <c r="M58" s="220"/>
      <c r="N58" s="220"/>
      <c r="O58" s="220"/>
      <c r="P58" s="220"/>
      <c r="Q58" s="220"/>
      <c r="R58" s="220"/>
      <c r="S58" s="220"/>
      <c r="T58" s="220"/>
      <c r="U58" s="220"/>
      <c r="V58" s="220"/>
      <c r="W58" s="220"/>
      <c r="X58" s="220"/>
      <c r="Y58" s="223"/>
    </row>
    <row r="59" spans="1:25" hidden="1" outlineLevel="1" x14ac:dyDescent="0.3">
      <c r="A59" s="214" t="s">
        <v>951</v>
      </c>
      <c r="B59" s="922">
        <v>-412</v>
      </c>
      <c r="C59" s="220"/>
      <c r="D59" s="922">
        <v>-387</v>
      </c>
      <c r="E59" s="220"/>
      <c r="F59" s="922">
        <v>-446</v>
      </c>
      <c r="G59" s="220"/>
      <c r="H59" s="922">
        <v>-371</v>
      </c>
      <c r="I59" s="220"/>
      <c r="J59" s="922">
        <v>-191</v>
      </c>
      <c r="K59" s="220"/>
      <c r="L59" s="220"/>
      <c r="M59" s="220"/>
      <c r="N59" s="220"/>
      <c r="O59" s="220"/>
      <c r="P59" s="220"/>
      <c r="Q59" s="220"/>
      <c r="R59" s="220"/>
      <c r="S59" s="220"/>
      <c r="T59" s="220"/>
      <c r="U59" s="220"/>
      <c r="V59" s="220"/>
      <c r="W59" s="220"/>
      <c r="X59" s="220"/>
      <c r="Y59" s="223"/>
    </row>
    <row r="60" spans="1:25" hidden="1" outlineLevel="1" x14ac:dyDescent="0.3">
      <c r="A60" s="214" t="s">
        <v>952</v>
      </c>
      <c r="B60" s="507"/>
      <c r="C60" s="220"/>
      <c r="D60" s="507"/>
      <c r="E60" s="220"/>
      <c r="F60" s="922">
        <v>-86</v>
      </c>
      <c r="G60" s="220"/>
      <c r="H60" s="922">
        <v>-57</v>
      </c>
      <c r="I60" s="220"/>
      <c r="J60" s="922">
        <v>-3</v>
      </c>
      <c r="K60" s="220"/>
      <c r="L60" s="220"/>
      <c r="M60" s="220"/>
      <c r="N60" s="220"/>
      <c r="O60" s="220"/>
      <c r="P60" s="220"/>
      <c r="Q60" s="220"/>
      <c r="R60" s="220"/>
      <c r="S60" s="220"/>
      <c r="T60" s="220"/>
      <c r="U60" s="220"/>
      <c r="V60" s="220"/>
      <c r="W60" s="220"/>
      <c r="X60" s="220"/>
      <c r="Y60" s="223"/>
    </row>
    <row r="61" spans="1:25" hidden="1" outlineLevel="1" x14ac:dyDescent="0.3">
      <c r="A61" s="214" t="s">
        <v>380</v>
      </c>
      <c r="B61" s="922">
        <v>444</v>
      </c>
      <c r="C61" s="220"/>
      <c r="D61" s="922">
        <v>326</v>
      </c>
      <c r="E61" s="220"/>
      <c r="F61" s="922">
        <v>60</v>
      </c>
      <c r="G61" s="220"/>
      <c r="H61" s="922">
        <v>-69</v>
      </c>
      <c r="I61" s="220"/>
      <c r="J61" s="922">
        <v>-164</v>
      </c>
      <c r="K61" s="220"/>
      <c r="L61" s="220"/>
      <c r="M61" s="220"/>
      <c r="N61" s="220"/>
      <c r="O61" s="220"/>
      <c r="P61" s="220"/>
      <c r="Q61" s="220"/>
      <c r="R61" s="220"/>
      <c r="S61" s="220"/>
      <c r="T61" s="220"/>
      <c r="U61" s="220"/>
      <c r="V61" s="220"/>
      <c r="W61" s="220"/>
      <c r="X61" s="220"/>
      <c r="Y61" s="223"/>
    </row>
    <row r="62" spans="1:25" hidden="1" outlineLevel="1" x14ac:dyDescent="0.3">
      <c r="A62" s="214" t="s">
        <v>1679</v>
      </c>
      <c r="B62" s="1282">
        <f>SUM(B58:B61)</f>
        <v>417</v>
      </c>
      <c r="C62" s="220"/>
      <c r="D62" s="1282">
        <f>SUM(D58:D61)</f>
        <v>1047</v>
      </c>
      <c r="E62" s="220"/>
      <c r="F62" s="1282">
        <f>SUM(F58:F61)</f>
        <v>534</v>
      </c>
      <c r="G62" s="220"/>
      <c r="H62" s="1282">
        <f>SUM(H58:H61)</f>
        <v>-647</v>
      </c>
      <c r="I62" s="220"/>
      <c r="J62" s="1282">
        <f>SUM(J58:J61)</f>
        <v>-162</v>
      </c>
      <c r="K62" s="220"/>
      <c r="L62" s="220"/>
      <c r="M62" s="220"/>
      <c r="N62" s="220"/>
      <c r="O62" s="220"/>
      <c r="P62" s="220"/>
      <c r="Q62" s="220"/>
      <c r="R62" s="220"/>
      <c r="S62" s="220"/>
      <c r="T62" s="220"/>
      <c r="U62" s="220"/>
      <c r="V62" s="220"/>
      <c r="W62" s="220"/>
      <c r="X62" s="220"/>
      <c r="Y62" s="223"/>
    </row>
    <row r="63" spans="1:25" hidden="1" outlineLevel="1" x14ac:dyDescent="0.3">
      <c r="A63" s="221" t="s">
        <v>1677</v>
      </c>
      <c r="B63" s="392"/>
      <c r="C63" s="220"/>
      <c r="D63" s="392"/>
      <c r="E63" s="220"/>
      <c r="F63" s="392"/>
      <c r="G63" s="220"/>
      <c r="H63" s="392"/>
      <c r="I63" s="220"/>
      <c r="J63" s="392"/>
      <c r="K63" s="220"/>
      <c r="L63" s="220"/>
      <c r="M63" s="220"/>
      <c r="N63" s="220"/>
      <c r="O63" s="220"/>
      <c r="P63" s="220"/>
      <c r="Q63" s="220"/>
      <c r="R63" s="220"/>
      <c r="S63" s="220"/>
      <c r="T63" s="220"/>
      <c r="U63" s="220"/>
      <c r="V63" s="220"/>
      <c r="W63" s="220"/>
      <c r="X63" s="220"/>
      <c r="Y63" s="223"/>
    </row>
    <row r="64" spans="1:25" hidden="1" outlineLevel="1" x14ac:dyDescent="0.3">
      <c r="A64" s="1272"/>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3"/>
    </row>
    <row r="65" spans="1:66" collapsed="1" x14ac:dyDescent="0.3">
      <c r="A65" s="213" t="s">
        <v>899</v>
      </c>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3"/>
      <c r="AA65" s="211" t="s">
        <v>176</v>
      </c>
    </row>
    <row r="66" spans="1:66" outlineLevel="1" x14ac:dyDescent="0.3">
      <c r="A66" s="214" t="s">
        <v>526</v>
      </c>
      <c r="B66" s="1701"/>
      <c r="C66" s="392"/>
      <c r="D66" s="1701"/>
      <c r="E66" s="392"/>
      <c r="F66" s="1701"/>
      <c r="G66" s="392"/>
      <c r="H66" s="1297">
        <v>3254</v>
      </c>
      <c r="I66" s="1297"/>
      <c r="J66" s="1297">
        <v>4724</v>
      </c>
      <c r="K66" s="1297"/>
      <c r="L66" s="1297">
        <v>2410</v>
      </c>
      <c r="M66" s="1297"/>
      <c r="N66" s="1297">
        <v>986</v>
      </c>
      <c r="O66" s="1297"/>
      <c r="P66" s="1297">
        <v>955.4</v>
      </c>
      <c r="Q66" s="1297"/>
      <c r="R66" s="1297"/>
      <c r="S66" s="1297">
        <v>715</v>
      </c>
      <c r="T66" s="1297"/>
      <c r="U66" s="1297">
        <v>777</v>
      </c>
      <c r="V66" s="1297"/>
      <c r="W66" s="1297">
        <v>689.8</v>
      </c>
      <c r="X66" s="392"/>
      <c r="Y66" s="253"/>
      <c r="Z66" s="252"/>
    </row>
    <row r="67" spans="1:66" x14ac:dyDescent="0.3">
      <c r="A67" s="214" t="s">
        <v>101</v>
      </c>
      <c r="B67" s="1301">
        <v>3714</v>
      </c>
      <c r="C67" s="215"/>
      <c r="D67" s="1301">
        <v>4430</v>
      </c>
      <c r="E67" s="215"/>
      <c r="F67" s="1301">
        <v>3300</v>
      </c>
      <c r="G67" s="215"/>
      <c r="H67" s="1232">
        <v>2991</v>
      </c>
      <c r="I67" s="215"/>
      <c r="J67" s="1232">
        <v>4712</v>
      </c>
      <c r="K67" s="215"/>
      <c r="L67" s="1232">
        <v>2382</v>
      </c>
      <c r="M67" s="215"/>
      <c r="N67" s="1232">
        <v>939</v>
      </c>
      <c r="O67" s="215"/>
      <c r="P67" s="1232">
        <v>966.6</v>
      </c>
      <c r="Q67" s="868">
        <f>P67/P$67</f>
        <v>1</v>
      </c>
      <c r="R67" s="215"/>
      <c r="S67" s="1232">
        <v>757.5</v>
      </c>
      <c r="T67" s="215"/>
      <c r="U67" s="1232">
        <v>717.6</v>
      </c>
      <c r="V67" s="215"/>
      <c r="W67" s="1232">
        <v>688.4</v>
      </c>
      <c r="X67" s="868">
        <f>W67/W$67</f>
        <v>1</v>
      </c>
      <c r="Y67" s="260"/>
      <c r="Z67" s="230"/>
    </row>
    <row r="68" spans="1:66" hidden="1" outlineLevel="1" x14ac:dyDescent="0.3">
      <c r="A68" s="214" t="s">
        <v>527</v>
      </c>
      <c r="B68" s="507"/>
      <c r="C68" s="215"/>
      <c r="D68" s="507"/>
      <c r="E68" s="215"/>
      <c r="F68" s="507"/>
      <c r="G68" s="215"/>
      <c r="H68" s="922">
        <v>3443</v>
      </c>
      <c r="I68" s="215"/>
      <c r="J68" s="922">
        <f>4766-6</f>
        <v>4760</v>
      </c>
      <c r="K68" s="215"/>
      <c r="L68" s="922">
        <v>2573</v>
      </c>
      <c r="M68" s="215"/>
      <c r="N68" s="922">
        <v>765</v>
      </c>
      <c r="O68" s="215"/>
      <c r="P68" s="922">
        <v>675.8</v>
      </c>
      <c r="Q68" s="464">
        <f>P68/P$67</f>
        <v>0.69915166563211251</v>
      </c>
      <c r="R68" s="215"/>
      <c r="S68" s="922">
        <v>572.9</v>
      </c>
      <c r="T68" s="215"/>
      <c r="U68" s="922">
        <v>522</v>
      </c>
      <c r="V68" s="215"/>
      <c r="W68" s="922">
        <v>476.9</v>
      </c>
      <c r="X68" s="464">
        <f>W68/W$67</f>
        <v>0.69276583381754797</v>
      </c>
      <c r="Y68" s="260"/>
      <c r="Z68" s="230"/>
    </row>
    <row r="69" spans="1:66" hidden="1" outlineLevel="1" x14ac:dyDescent="0.3">
      <c r="A69" s="214" t="s">
        <v>102</v>
      </c>
      <c r="B69" s="504"/>
      <c r="C69" s="215"/>
      <c r="D69" s="504"/>
      <c r="E69" s="215"/>
      <c r="F69" s="504"/>
      <c r="G69" s="215"/>
      <c r="H69" s="1232">
        <v>195</v>
      </c>
      <c r="I69" s="215"/>
      <c r="J69" s="1232">
        <v>114</v>
      </c>
      <c r="K69" s="215"/>
      <c r="L69" s="1232">
        <v>65</v>
      </c>
      <c r="M69" s="215"/>
      <c r="N69" s="1232">
        <v>195</v>
      </c>
      <c r="O69" s="215"/>
      <c r="P69" s="1232">
        <v>163</v>
      </c>
      <c r="Q69" s="868">
        <f>P69/P$67</f>
        <v>0.1686323194703083</v>
      </c>
      <c r="R69" s="215"/>
      <c r="S69" s="1232">
        <v>192.4</v>
      </c>
      <c r="T69" s="215"/>
      <c r="U69" s="1232">
        <v>216.6</v>
      </c>
      <c r="V69" s="215"/>
      <c r="W69" s="1232">
        <v>130.80000000000001</v>
      </c>
      <c r="X69" s="868">
        <f>W69/W$67</f>
        <v>0.19000581057524696</v>
      </c>
      <c r="Y69" s="260"/>
      <c r="Z69" s="230"/>
    </row>
    <row r="70" spans="1:66" hidden="1" outlineLevel="1" x14ac:dyDescent="0.3">
      <c r="A70" s="214" t="s">
        <v>685</v>
      </c>
      <c r="B70" s="922">
        <f>B67-B71</f>
        <v>3297</v>
      </c>
      <c r="C70" s="215"/>
      <c r="D70" s="922">
        <f>D67-D71</f>
        <v>3383</v>
      </c>
      <c r="E70" s="215"/>
      <c r="F70" s="922">
        <f>F67-F71</f>
        <v>2766</v>
      </c>
      <c r="G70" s="215"/>
      <c r="H70" s="922">
        <f>H68+H69</f>
        <v>3638</v>
      </c>
      <c r="I70" s="215"/>
      <c r="J70" s="922">
        <f>J68+J69</f>
        <v>4874</v>
      </c>
      <c r="K70" s="215"/>
      <c r="L70" s="922">
        <f>L68+L69</f>
        <v>2638</v>
      </c>
      <c r="M70" s="215"/>
      <c r="N70" s="922">
        <f>N68+N69</f>
        <v>960</v>
      </c>
      <c r="O70" s="215"/>
      <c r="P70" s="922">
        <f>P68+P69</f>
        <v>838.8</v>
      </c>
      <c r="Q70" s="464">
        <f>P70/P$67</f>
        <v>0.86778398510242083</v>
      </c>
      <c r="R70" s="215"/>
      <c r="S70" s="922">
        <f>S68+S69</f>
        <v>765.3</v>
      </c>
      <c r="T70" s="215"/>
      <c r="U70" s="922">
        <f>U68+U69</f>
        <v>738.6</v>
      </c>
      <c r="V70" s="215"/>
      <c r="W70" s="922">
        <f>W68+W69</f>
        <v>607.70000000000005</v>
      </c>
      <c r="X70" s="464">
        <f>W70/W$67</f>
        <v>0.88277164439279499</v>
      </c>
      <c r="Y70" s="260"/>
      <c r="Z70" s="230"/>
    </row>
    <row r="71" spans="1:66" ht="16.2" collapsed="1" thickBot="1" x14ac:dyDescent="0.35">
      <c r="A71" s="214" t="s">
        <v>1523</v>
      </c>
      <c r="B71" s="1276">
        <v>417</v>
      </c>
      <c r="C71" s="1298"/>
      <c r="D71" s="1276">
        <v>1047</v>
      </c>
      <c r="E71" s="1298"/>
      <c r="F71" s="1276">
        <v>534</v>
      </c>
      <c r="G71" s="1298"/>
      <c r="H71" s="1276">
        <f>H67-H70</f>
        <v>-647</v>
      </c>
      <c r="I71" s="1298"/>
      <c r="J71" s="1276">
        <f>J67-J70</f>
        <v>-162</v>
      </c>
      <c r="K71" s="1298"/>
      <c r="L71" s="1276">
        <f>L67-L70</f>
        <v>-256</v>
      </c>
      <c r="M71" s="1298"/>
      <c r="N71" s="1276">
        <f>N67-N70</f>
        <v>-21</v>
      </c>
      <c r="O71" s="1298"/>
      <c r="P71" s="1276">
        <f>P67-P70</f>
        <v>127.80000000000007</v>
      </c>
      <c r="Q71" s="1298"/>
      <c r="R71" s="1298"/>
      <c r="S71" s="1276">
        <f>S67-S70</f>
        <v>-7.7999999999999545</v>
      </c>
      <c r="T71" s="1298"/>
      <c r="U71" s="1276">
        <f>U67-U70</f>
        <v>-21</v>
      </c>
      <c r="V71" s="1298"/>
      <c r="W71" s="1276">
        <f>W67-W70</f>
        <v>80.699999999999932</v>
      </c>
      <c r="X71" s="215"/>
      <c r="Y71" s="260"/>
      <c r="Z71" s="230"/>
    </row>
    <row r="72" spans="1:66" ht="7.5" customHeight="1" thickTop="1" x14ac:dyDescent="0.3">
      <c r="A72" s="214"/>
      <c r="B72" s="875"/>
      <c r="C72" s="215"/>
      <c r="D72" s="875"/>
      <c r="E72" s="215"/>
      <c r="F72" s="875"/>
      <c r="G72" s="215"/>
      <c r="H72" s="875"/>
      <c r="I72" s="215"/>
      <c r="J72" s="875"/>
      <c r="K72" s="215"/>
      <c r="L72" s="875"/>
      <c r="M72" s="215"/>
      <c r="N72" s="875"/>
      <c r="O72" s="215"/>
      <c r="P72" s="875"/>
      <c r="Q72" s="215"/>
      <c r="R72" s="215"/>
      <c r="S72" s="875"/>
      <c r="T72" s="215"/>
      <c r="U72" s="875"/>
      <c r="V72" s="215"/>
      <c r="W72" s="875"/>
      <c r="X72" s="215"/>
      <c r="Y72" s="260"/>
      <c r="Z72" s="230"/>
    </row>
    <row r="73" spans="1:66" s="309" customFormat="1" ht="14.25" hidden="1" customHeight="1" outlineLevel="1" x14ac:dyDescent="0.3">
      <c r="A73" s="1285" t="s">
        <v>900</v>
      </c>
      <c r="B73" s="946"/>
      <c r="C73" s="428"/>
      <c r="D73" s="946"/>
      <c r="E73" s="428"/>
      <c r="F73" s="946"/>
      <c r="G73" s="428"/>
      <c r="H73" s="946"/>
      <c r="I73" s="428"/>
      <c r="J73" s="946"/>
      <c r="K73" s="428"/>
      <c r="L73" s="946"/>
      <c r="M73" s="428"/>
      <c r="N73" s="946"/>
      <c r="O73" s="428"/>
      <c r="P73" s="946"/>
      <c r="Q73" s="942"/>
      <c r="R73" s="1286"/>
      <c r="S73" s="1287"/>
      <c r="T73" s="1286"/>
      <c r="U73" s="1289">
        <v>30</v>
      </c>
      <c r="V73" s="1286"/>
      <c r="W73" s="1289">
        <v>37</v>
      </c>
      <c r="X73" s="1288">
        <f>1.024-X70</f>
        <v>0.14122835560720504</v>
      </c>
      <c r="Y73" s="1290"/>
      <c r="Z73" s="230"/>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row>
    <row r="74" spans="1:66" s="597" customFormat="1" ht="4.5" customHeight="1" collapsed="1" x14ac:dyDescent="0.3">
      <c r="A74" s="1155"/>
      <c r="B74" s="1278"/>
      <c r="C74" s="686"/>
      <c r="D74" s="1278"/>
      <c r="E74" s="686"/>
      <c r="F74" s="1278"/>
      <c r="G74" s="686"/>
      <c r="H74" s="1278"/>
      <c r="I74" s="686"/>
      <c r="J74" s="1278"/>
      <c r="K74" s="686"/>
      <c r="L74" s="1278"/>
      <c r="M74" s="686"/>
      <c r="N74" s="1278"/>
      <c r="O74" s="728"/>
      <c r="P74" s="1278"/>
      <c r="Q74" s="728"/>
      <c r="R74" s="728"/>
      <c r="S74" s="1278"/>
      <c r="T74" s="728"/>
      <c r="U74" s="1278"/>
      <c r="V74" s="728"/>
      <c r="W74" s="1278"/>
      <c r="X74" s="728"/>
      <c r="Y74" s="1279"/>
    </row>
    <row r="75" spans="1:66" s="612" customFormat="1" ht="8.25" customHeight="1" x14ac:dyDescent="0.3">
      <c r="A75" s="734"/>
      <c r="B75" s="1280"/>
      <c r="C75" s="813"/>
      <c r="D75" s="1280"/>
      <c r="E75" s="813"/>
      <c r="F75" s="1280"/>
      <c r="G75" s="813"/>
      <c r="H75" s="1280"/>
      <c r="I75" s="813"/>
      <c r="J75" s="1280"/>
      <c r="K75" s="813"/>
      <c r="L75" s="1280"/>
      <c r="M75" s="813"/>
      <c r="N75" s="1280"/>
      <c r="O75" s="827"/>
      <c r="P75" s="1280"/>
      <c r="Q75" s="827"/>
      <c r="R75" s="827"/>
      <c r="S75" s="1280"/>
      <c r="T75" s="827"/>
      <c r="U75" s="1280"/>
      <c r="V75" s="827"/>
      <c r="W75" s="1280"/>
      <c r="X75" s="827"/>
      <c r="Y75" s="1281"/>
    </row>
    <row r="76" spans="1:66" x14ac:dyDescent="0.3">
      <c r="A76" s="213" t="s">
        <v>1083</v>
      </c>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3"/>
    </row>
    <row r="77" spans="1:66" outlineLevel="1" x14ac:dyDescent="0.3">
      <c r="A77" s="214" t="s">
        <v>526</v>
      </c>
      <c r="B77" s="2468"/>
      <c r="C77" s="392"/>
      <c r="D77" s="1701"/>
      <c r="E77" s="392"/>
      <c r="F77" s="1701"/>
      <c r="G77" s="392"/>
      <c r="H77" s="1701"/>
      <c r="I77" s="392"/>
      <c r="J77" s="1701"/>
      <c r="K77" s="392"/>
      <c r="L77" s="1701"/>
      <c r="M77" s="392"/>
      <c r="N77" s="1701"/>
      <c r="O77" s="392"/>
      <c r="P77" s="1297">
        <f>3896.9-P8</f>
        <v>308.5</v>
      </c>
      <c r="Q77" s="392"/>
      <c r="R77" s="392"/>
      <c r="S77" s="1297">
        <f>3389.7-S8</f>
        <v>267.59999999999991</v>
      </c>
      <c r="T77" s="392"/>
      <c r="U77" s="1297">
        <v>247.2</v>
      </c>
      <c r="V77" s="392"/>
      <c r="W77" s="1297">
        <v>225.7</v>
      </c>
      <c r="X77" s="392"/>
      <c r="Y77" s="253"/>
      <c r="Z77" s="252"/>
      <c r="AB77" s="211" t="s">
        <v>176</v>
      </c>
    </row>
    <row r="78" spans="1:66" ht="18.600000000000001" x14ac:dyDescent="0.3">
      <c r="A78" s="214" t="s">
        <v>1674</v>
      </c>
      <c r="B78" s="1372">
        <v>1211</v>
      </c>
      <c r="C78" s="1373"/>
      <c r="D78" s="1372">
        <v>1034</v>
      </c>
      <c r="E78" s="1373"/>
      <c r="F78" s="1372">
        <v>712</v>
      </c>
      <c r="G78" s="1373"/>
      <c r="H78" s="1372">
        <v>501</v>
      </c>
      <c r="I78" s="1373"/>
      <c r="J78" s="1372">
        <v>325</v>
      </c>
      <c r="K78" s="1373"/>
      <c r="L78" s="1372">
        <v>262</v>
      </c>
      <c r="M78" s="1373"/>
      <c r="N78" s="1372">
        <v>328</v>
      </c>
      <c r="O78" s="464"/>
      <c r="P78" s="1232">
        <f>3794.5-P9</f>
        <v>312.69999999999982</v>
      </c>
      <c r="Q78" s="868">
        <f>P78/P$78</f>
        <v>1</v>
      </c>
      <c r="R78" s="464"/>
      <c r="S78" s="1232">
        <f>3360.3-S9-1</f>
        <v>267.70000000000027</v>
      </c>
      <c r="T78" s="464"/>
      <c r="U78" s="1232">
        <v>239.9</v>
      </c>
      <c r="V78" s="464"/>
      <c r="W78" s="1232">
        <v>234.8</v>
      </c>
      <c r="X78" s="868">
        <f>W78/W$78</f>
        <v>1</v>
      </c>
      <c r="Y78" s="347"/>
      <c r="Z78" s="227"/>
    </row>
    <row r="79" spans="1:66" hidden="1" outlineLevel="1" x14ac:dyDescent="0.3">
      <c r="A79" s="214" t="s">
        <v>527</v>
      </c>
      <c r="B79" s="507"/>
      <c r="C79" s="215"/>
      <c r="D79" s="507"/>
      <c r="E79" s="215"/>
      <c r="F79" s="507"/>
      <c r="G79" s="215"/>
      <c r="H79" s="507"/>
      <c r="I79" s="215"/>
      <c r="J79" s="507"/>
      <c r="K79" s="215"/>
      <c r="L79" s="507"/>
      <c r="M79" s="215"/>
      <c r="N79" s="507"/>
      <c r="O79" s="464"/>
      <c r="P79" s="922">
        <f>2744.3-P10</f>
        <v>114.20000000000027</v>
      </c>
      <c r="Q79" s="464">
        <f>P79/P$78</f>
        <v>0.36520626798848843</v>
      </c>
      <c r="R79" s="464"/>
      <c r="S79" s="922">
        <f>2516.6-S10</f>
        <v>82.599999999999909</v>
      </c>
      <c r="T79" s="464"/>
      <c r="U79" s="922">
        <v>90</v>
      </c>
      <c r="V79" s="464"/>
      <c r="W79" s="922">
        <v>88.4</v>
      </c>
      <c r="X79" s="464">
        <f>W79/W$78</f>
        <v>0.37649063032367974</v>
      </c>
      <c r="Y79" s="347"/>
      <c r="Z79" s="227"/>
      <c r="AB79" s="1303"/>
    </row>
    <row r="80" spans="1:66" hidden="1" outlineLevel="1" x14ac:dyDescent="0.3">
      <c r="A80" s="214" t="s">
        <v>102</v>
      </c>
      <c r="B80" s="504"/>
      <c r="C80" s="215"/>
      <c r="D80" s="504"/>
      <c r="E80" s="215"/>
      <c r="F80" s="504"/>
      <c r="G80" s="215"/>
      <c r="H80" s="504"/>
      <c r="I80" s="215"/>
      <c r="J80" s="504"/>
      <c r="K80" s="215"/>
      <c r="L80" s="504"/>
      <c r="M80" s="215"/>
      <c r="N80" s="504"/>
      <c r="O80" s="464"/>
      <c r="P80" s="1232">
        <f>716.6-P11</f>
        <v>145.60000000000002</v>
      </c>
      <c r="Q80" s="868">
        <f>P80/P$78</f>
        <v>0.46562200191877234</v>
      </c>
      <c r="R80" s="464"/>
      <c r="S80" s="1232">
        <f>605.2-S11+8</f>
        <v>126.50000000000006</v>
      </c>
      <c r="T80" s="464"/>
      <c r="U80" s="1232">
        <v>109.3</v>
      </c>
      <c r="V80" s="464"/>
      <c r="W80" s="1232">
        <v>98.1</v>
      </c>
      <c r="X80" s="868">
        <f>W80/W$78</f>
        <v>0.41780238500851785</v>
      </c>
      <c r="Y80" s="347"/>
      <c r="Z80" s="227"/>
    </row>
    <row r="81" spans="1:66" hidden="1" outlineLevel="1" x14ac:dyDescent="0.3">
      <c r="A81" s="214" t="s">
        <v>685</v>
      </c>
      <c r="B81" s="922">
        <f>B78-B82</f>
        <v>1050</v>
      </c>
      <c r="C81" s="215"/>
      <c r="D81" s="922">
        <f>D78-D82</f>
        <v>960</v>
      </c>
      <c r="E81" s="215"/>
      <c r="F81" s="922">
        <f>F78-F82</f>
        <v>680</v>
      </c>
      <c r="G81" s="215"/>
      <c r="H81" s="922">
        <f>H78-H82</f>
        <v>471</v>
      </c>
      <c r="I81" s="215"/>
      <c r="J81" s="922">
        <f>J78-J82</f>
        <v>300</v>
      </c>
      <c r="K81" s="215"/>
      <c r="L81" s="922">
        <f>L78-L82</f>
        <v>240</v>
      </c>
      <c r="M81" s="215"/>
      <c r="N81" s="922">
        <f>N78-N82</f>
        <v>311</v>
      </c>
      <c r="O81" s="464"/>
      <c r="P81" s="922">
        <f>P79+P80</f>
        <v>259.8000000000003</v>
      </c>
      <c r="Q81" s="464">
        <f>P81/P$78</f>
        <v>0.83082826990726077</v>
      </c>
      <c r="R81" s="464"/>
      <c r="S81" s="922">
        <f>S79+S80</f>
        <v>209.09999999999997</v>
      </c>
      <c r="T81" s="464"/>
      <c r="U81" s="922">
        <f>U79+U80</f>
        <v>199.3</v>
      </c>
      <c r="V81" s="464"/>
      <c r="W81" s="922">
        <f>W79+W80</f>
        <v>186.5</v>
      </c>
      <c r="X81" s="464">
        <f>W81/W$78</f>
        <v>0.79429301533219754</v>
      </c>
      <c r="Y81" s="347"/>
      <c r="Z81" s="227"/>
    </row>
    <row r="82" spans="1:66" ht="16.2" collapsed="1" thickBot="1" x14ac:dyDescent="0.35">
      <c r="A82" s="214" t="s">
        <v>1523</v>
      </c>
      <c r="B82" s="1276">
        <v>161</v>
      </c>
      <c r="C82" s="215"/>
      <c r="D82" s="1276">
        <v>74</v>
      </c>
      <c r="E82" s="215"/>
      <c r="F82" s="1276">
        <v>32</v>
      </c>
      <c r="G82" s="215"/>
      <c r="H82" s="1276">
        <v>30</v>
      </c>
      <c r="I82" s="215"/>
      <c r="J82" s="1304">
        <v>25</v>
      </c>
      <c r="K82" s="215"/>
      <c r="L82" s="1276">
        <v>22</v>
      </c>
      <c r="M82" s="215"/>
      <c r="N82" s="1276">
        <v>17</v>
      </c>
      <c r="O82" s="464"/>
      <c r="P82" s="1276">
        <f>P78-P81</f>
        <v>52.899999999999523</v>
      </c>
      <c r="Q82" s="464"/>
      <c r="R82" s="464"/>
      <c r="S82" s="1276">
        <f>S78-S81</f>
        <v>58.600000000000307</v>
      </c>
      <c r="T82" s="464"/>
      <c r="U82" s="1276">
        <f>U78-U81</f>
        <v>40.599999999999994</v>
      </c>
      <c r="V82" s="464"/>
      <c r="W82" s="1276">
        <f>W78-W81</f>
        <v>48.300000000000011</v>
      </c>
      <c r="X82" s="464"/>
      <c r="Y82" s="347"/>
      <c r="Z82" s="227"/>
    </row>
    <row r="83" spans="1:66" ht="8.25" customHeight="1" thickTop="1" x14ac:dyDescent="0.3">
      <c r="A83" s="214"/>
      <c r="B83" s="875"/>
      <c r="C83" s="215"/>
      <c r="D83" s="875"/>
      <c r="E83" s="215"/>
      <c r="F83" s="875"/>
      <c r="G83" s="215"/>
      <c r="H83" s="875"/>
      <c r="I83" s="215"/>
      <c r="J83" s="875"/>
      <c r="K83" s="215"/>
      <c r="L83" s="875"/>
      <c r="M83" s="215"/>
      <c r="N83" s="875"/>
      <c r="O83" s="464"/>
      <c r="P83" s="875"/>
      <c r="Q83" s="464"/>
      <c r="R83" s="464"/>
      <c r="S83" s="875"/>
      <c r="T83" s="464"/>
      <c r="U83" s="875"/>
      <c r="V83" s="464"/>
      <c r="W83" s="875"/>
      <c r="X83" s="464"/>
      <c r="Y83" s="347"/>
      <c r="Z83" s="227"/>
    </row>
    <row r="84" spans="1:66" s="381" customFormat="1" ht="62.4" hidden="1" outlineLevel="1" x14ac:dyDescent="0.3">
      <c r="A84" s="940" t="s">
        <v>900</v>
      </c>
      <c r="B84" s="941"/>
      <c r="C84" s="428"/>
      <c r="D84" s="941"/>
      <c r="E84" s="428"/>
      <c r="F84" s="941"/>
      <c r="G84" s="428"/>
      <c r="H84" s="941"/>
      <c r="I84" s="428"/>
      <c r="J84" s="941"/>
      <c r="K84" s="428"/>
      <c r="L84" s="941"/>
      <c r="M84" s="428"/>
      <c r="N84" s="941"/>
      <c r="O84" s="943"/>
      <c r="P84" s="941"/>
      <c r="Q84" s="942"/>
      <c r="R84" s="1291"/>
      <c r="S84" s="1292"/>
      <c r="T84" s="1291"/>
      <c r="U84" s="1289">
        <v>-49.3</v>
      </c>
      <c r="V84" s="1291"/>
      <c r="W84" s="1289">
        <f>X84*W78</f>
        <v>-53.935200000000023</v>
      </c>
      <c r="X84" s="1288">
        <f>X81-1.024</f>
        <v>-0.22970698466780248</v>
      </c>
      <c r="Y84" s="1293"/>
      <c r="Z84" s="1273"/>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320"/>
      <c r="BI84" s="320"/>
      <c r="BJ84" s="320"/>
      <c r="BK84" s="320"/>
      <c r="BL84" s="320"/>
      <c r="BM84" s="320"/>
      <c r="BN84" s="320"/>
    </row>
    <row r="85" spans="1:66" s="597" customFormat="1" ht="4.5" customHeight="1" collapsed="1" x14ac:dyDescent="0.3">
      <c r="A85" s="1155"/>
      <c r="B85" s="1278"/>
      <c r="C85" s="686"/>
      <c r="D85" s="1278"/>
      <c r="E85" s="686"/>
      <c r="F85" s="1278"/>
      <c r="G85" s="686"/>
      <c r="H85" s="1278"/>
      <c r="I85" s="686"/>
      <c r="J85" s="1278"/>
      <c r="K85" s="686"/>
      <c r="L85" s="1278"/>
      <c r="M85" s="686"/>
      <c r="N85" s="1278"/>
      <c r="O85" s="728"/>
      <c r="P85" s="1278"/>
      <c r="Q85" s="728"/>
      <c r="R85" s="728"/>
      <c r="S85" s="1278"/>
      <c r="T85" s="728"/>
      <c r="U85" s="1278"/>
      <c r="V85" s="728"/>
      <c r="W85" s="1278"/>
      <c r="X85" s="728"/>
      <c r="Y85" s="1279"/>
    </row>
    <row r="86" spans="1:66" s="612" customFormat="1" ht="8.25" customHeight="1" x14ac:dyDescent="0.3">
      <c r="A86" s="734"/>
      <c r="B86" s="1280"/>
      <c r="C86" s="813"/>
      <c r="D86" s="1280"/>
      <c r="E86" s="813"/>
      <c r="F86" s="1280"/>
      <c r="G86" s="813"/>
      <c r="H86" s="1280"/>
      <c r="I86" s="813"/>
      <c r="J86" s="1280"/>
      <c r="K86" s="813"/>
      <c r="L86" s="1280"/>
      <c r="M86" s="813"/>
      <c r="N86" s="1280"/>
      <c r="O86" s="827"/>
      <c r="P86" s="1280"/>
      <c r="Q86" s="827"/>
      <c r="R86" s="827"/>
      <c r="S86" s="1280"/>
      <c r="T86" s="827"/>
      <c r="U86" s="1280"/>
      <c r="V86" s="827"/>
      <c r="W86" s="1280"/>
      <c r="X86" s="827"/>
      <c r="Y86" s="1281"/>
    </row>
    <row r="87" spans="1:66" s="612" customFormat="1" ht="18.600000000000001" x14ac:dyDescent="0.3">
      <c r="A87" s="734" t="s">
        <v>1689</v>
      </c>
      <c r="B87" s="1297">
        <f>B13+B45+B71+B82</f>
        <v>1551</v>
      </c>
      <c r="C87" s="1298"/>
      <c r="D87" s="1297">
        <f>D13+D45+D71+D82</f>
        <v>1718</v>
      </c>
      <c r="E87" s="1298"/>
      <c r="F87" s="1297">
        <f>F13+F45+F71+F82</f>
        <v>-411</v>
      </c>
      <c r="G87" s="1298"/>
      <c r="H87" s="1297">
        <f>H13+H45+H71+H82</f>
        <v>-4067</v>
      </c>
      <c r="I87" s="1298"/>
      <c r="J87" s="1297">
        <f>J13+J45+J71+J82</f>
        <v>-1615</v>
      </c>
      <c r="K87" s="1298"/>
      <c r="L87" s="1297">
        <f>L13+L45+L71+L82</f>
        <v>-1394</v>
      </c>
      <c r="M87" s="1298"/>
      <c r="N87" s="1297">
        <f>N13+N71+N82</f>
        <v>265</v>
      </c>
      <c r="O87" s="1298"/>
      <c r="P87" s="1297">
        <f>P13+P45+P71+P82+0.5</f>
        <v>461.89999999999986</v>
      </c>
      <c r="Q87" s="1298"/>
      <c r="R87" s="1298"/>
      <c r="S87" s="1297">
        <f>S13+S45+S71+S82</f>
        <v>221.70000000000044</v>
      </c>
      <c r="T87" s="1298"/>
      <c r="U87" s="1297">
        <f>U45+U71+U82+1</f>
        <v>20.599999999999994</v>
      </c>
      <c r="V87" s="1298"/>
      <c r="W87" s="1297">
        <f>W45+W71+W82+1</f>
        <v>129.99999999999994</v>
      </c>
      <c r="X87" s="827"/>
      <c r="Y87" s="1281"/>
    </row>
    <row r="88" spans="1:66" s="612" customFormat="1" x14ac:dyDescent="0.3">
      <c r="A88" s="734" t="s">
        <v>1685</v>
      </c>
      <c r="B88" s="928">
        <f>'6. Float Breakdown'!H16</f>
        <v>45157</v>
      </c>
      <c r="C88" s="813"/>
      <c r="D88" s="928">
        <f>'6. Float Breakdown'!H15</f>
        <v>42722</v>
      </c>
      <c r="E88" s="928"/>
      <c r="F88" s="928">
        <f>'6. Float Breakdown'!H14</f>
        <v>38366</v>
      </c>
      <c r="G88" s="928"/>
      <c r="H88" s="928">
        <f>'6. Float Breakdown'!H13</f>
        <v>31689.5</v>
      </c>
      <c r="I88" s="928"/>
      <c r="J88" s="928">
        <f>'6. Float Breakdown'!H12</f>
        <v>26584.5</v>
      </c>
      <c r="K88" s="928"/>
      <c r="L88" s="928">
        <f>'6. Float Breakdown'!H11</f>
        <v>24026</v>
      </c>
      <c r="M88" s="928"/>
      <c r="N88" s="928">
        <f>'6. Float Breakdown'!H10</f>
        <v>15070</v>
      </c>
      <c r="O88" s="928"/>
      <c r="P88" s="928">
        <f>'6. Float Breakdown'!H9</f>
        <v>7093.1</v>
      </c>
      <c r="Q88" s="928"/>
      <c r="R88" s="928"/>
      <c r="S88" s="928">
        <f>'6. Float Breakdown'!H8</f>
        <v>6702</v>
      </c>
      <c r="T88" s="928"/>
      <c r="U88" s="928">
        <f>'6. Float Breakdown'!H7</f>
        <v>3607.2</v>
      </c>
      <c r="V88" s="928"/>
      <c r="W88" s="928">
        <f>'6. Float Breakdown'!H6</f>
        <v>3056.6</v>
      </c>
      <c r="X88" s="827"/>
      <c r="Y88" s="1281"/>
    </row>
    <row r="89" spans="1:66" s="612" customFormat="1" x14ac:dyDescent="0.3">
      <c r="A89" s="734" t="s">
        <v>1684</v>
      </c>
      <c r="B89" s="1759">
        <f>-B87/B88</f>
        <v>-3.4346834377837324E-2</v>
      </c>
      <c r="C89" s="2469"/>
      <c r="D89" s="1759">
        <f>-D87/D88</f>
        <v>-4.0213473152005991E-2</v>
      </c>
      <c r="E89" s="2469"/>
      <c r="F89" s="1759">
        <f>-F87/F88</f>
        <v>1.0712610123546891E-2</v>
      </c>
      <c r="G89" s="2469"/>
      <c r="H89" s="1759">
        <f>-H87/H88</f>
        <v>0.12833903974502595</v>
      </c>
      <c r="I89" s="2469"/>
      <c r="J89" s="1759">
        <f>-J87/J88</f>
        <v>6.0749684966803962E-2</v>
      </c>
      <c r="K89" s="2469"/>
      <c r="L89" s="1759">
        <f>-L87/L88</f>
        <v>5.8020477815699661E-2</v>
      </c>
      <c r="M89" s="2469"/>
      <c r="N89" s="1759">
        <f>-N87/N88</f>
        <v>-1.7584605175846053E-2</v>
      </c>
      <c r="O89" s="1759"/>
      <c r="P89" s="1759">
        <f>-P87/P88</f>
        <v>-6.5119623295879073E-2</v>
      </c>
      <c r="Q89" s="1759"/>
      <c r="R89" s="1759"/>
      <c r="S89" s="1759">
        <f>-S87/S88</f>
        <v>-3.307967770814689E-2</v>
      </c>
      <c r="T89" s="1759"/>
      <c r="U89" s="1759">
        <f>-U87/U88</f>
        <v>-5.7108006209802605E-3</v>
      </c>
      <c r="V89" s="1759"/>
      <c r="W89" s="1759">
        <f>-W87/W88</f>
        <v>-4.2530916704835421E-2</v>
      </c>
      <c r="X89" s="827"/>
      <c r="Y89" s="1281"/>
    </row>
    <row r="90" spans="1:66" ht="8.25" customHeight="1" collapsed="1" x14ac:dyDescent="0.3">
      <c r="A90" s="214"/>
      <c r="B90" s="875"/>
      <c r="C90" s="215"/>
      <c r="D90" s="875"/>
      <c r="E90" s="215"/>
      <c r="F90" s="875"/>
      <c r="G90" s="215"/>
      <c r="H90" s="875"/>
      <c r="I90" s="215"/>
      <c r="J90" s="875"/>
      <c r="K90" s="215"/>
      <c r="L90" s="875"/>
      <c r="M90" s="215"/>
      <c r="N90" s="875"/>
      <c r="O90" s="464"/>
      <c r="P90" s="875"/>
      <c r="Q90" s="464"/>
      <c r="R90" s="464"/>
      <c r="S90" s="875"/>
      <c r="T90" s="464"/>
      <c r="U90" s="875"/>
      <c r="V90" s="464"/>
      <c r="W90" s="875"/>
      <c r="X90" s="464"/>
      <c r="Y90" s="223"/>
    </row>
    <row r="91" spans="1:66" s="597" customFormat="1" ht="4.5" customHeight="1" x14ac:dyDescent="0.3">
      <c r="A91" s="1155"/>
      <c r="B91" s="1278"/>
      <c r="C91" s="686"/>
      <c r="D91" s="1278"/>
      <c r="E91" s="686"/>
      <c r="F91" s="1278"/>
      <c r="G91" s="686"/>
      <c r="H91" s="1278"/>
      <c r="I91" s="686"/>
      <c r="J91" s="1278"/>
      <c r="K91" s="686"/>
      <c r="L91" s="1278"/>
      <c r="M91" s="686"/>
      <c r="N91" s="1278"/>
      <c r="O91" s="728"/>
      <c r="P91" s="1278"/>
      <c r="Q91" s="728"/>
      <c r="R91" s="728"/>
      <c r="S91" s="1278"/>
      <c r="T91" s="728"/>
      <c r="U91" s="1278"/>
      <c r="V91" s="728"/>
      <c r="W91" s="1278"/>
      <c r="X91" s="728"/>
      <c r="Y91" s="1279"/>
    </row>
    <row r="92" spans="1:66" s="612" customFormat="1" ht="4.5" customHeight="1" x14ac:dyDescent="0.3">
      <c r="A92" s="734"/>
      <c r="B92" s="1280"/>
      <c r="C92" s="813"/>
      <c r="D92" s="1280"/>
      <c r="E92" s="813"/>
      <c r="F92" s="1280"/>
      <c r="G92" s="813"/>
      <c r="H92" s="1280"/>
      <c r="I92" s="813"/>
      <c r="J92" s="1280"/>
      <c r="K92" s="813"/>
      <c r="L92" s="1280"/>
      <c r="M92" s="813"/>
      <c r="N92" s="1280"/>
      <c r="O92" s="827"/>
      <c r="P92" s="1280"/>
      <c r="Q92" s="827"/>
      <c r="R92" s="827"/>
      <c r="S92" s="1280"/>
      <c r="T92" s="827"/>
      <c r="U92" s="1280"/>
      <c r="V92" s="827"/>
      <c r="W92" s="1280"/>
      <c r="X92" s="827"/>
      <c r="Y92" s="1281"/>
    </row>
    <row r="93" spans="1:66" ht="18.600000000000001" x14ac:dyDescent="0.3">
      <c r="A93" s="214" t="s">
        <v>1686</v>
      </c>
      <c r="B93" s="1297">
        <v>419</v>
      </c>
      <c r="C93" s="220"/>
      <c r="D93" s="1297">
        <v>480</v>
      </c>
      <c r="E93" s="220"/>
      <c r="F93" s="1297">
        <v>1540</v>
      </c>
      <c r="G93" s="220"/>
      <c r="H93" s="1297">
        <v>1165</v>
      </c>
      <c r="I93" s="220"/>
      <c r="J93" s="1297">
        <v>211</v>
      </c>
      <c r="K93" s="220"/>
      <c r="L93" s="1297">
        <v>-192</v>
      </c>
      <c r="M93" s="220"/>
      <c r="N93" s="1297">
        <v>-195</v>
      </c>
      <c r="O93" s="220"/>
      <c r="P93" s="1297">
        <v>-131.30000000000001</v>
      </c>
      <c r="Q93" s="464">
        <f>P93/SUM(P78+P67+P30+P9)</f>
        <v>-2.7577660624645565E-2</v>
      </c>
      <c r="R93" s="220"/>
      <c r="S93" s="1297">
        <v>-90.2</v>
      </c>
      <c r="T93" s="220"/>
      <c r="U93" s="1297">
        <v>55.5</v>
      </c>
      <c r="V93" s="220"/>
      <c r="W93" s="1297">
        <v>60.2</v>
      </c>
      <c r="X93" s="464">
        <f>W93/SUM(W78+W67+W30+W9)</f>
        <v>6.5207972270363956E-2</v>
      </c>
      <c r="Y93" s="223"/>
    </row>
    <row r="94" spans="1:66" ht="8.25" customHeight="1" collapsed="1" x14ac:dyDescent="0.3">
      <c r="A94" s="214"/>
      <c r="B94" s="875"/>
      <c r="C94" s="215"/>
      <c r="D94" s="875"/>
      <c r="E94" s="215"/>
      <c r="F94" s="875"/>
      <c r="G94" s="215"/>
      <c r="H94" s="875"/>
      <c r="I94" s="215"/>
      <c r="J94" s="875"/>
      <c r="K94" s="215"/>
      <c r="L94" s="875"/>
      <c r="M94" s="215"/>
      <c r="N94" s="875"/>
      <c r="O94" s="464"/>
      <c r="P94" s="875"/>
      <c r="Q94" s="464"/>
      <c r="R94" s="464"/>
      <c r="S94" s="875"/>
      <c r="T94" s="464"/>
      <c r="U94" s="875"/>
      <c r="V94" s="464"/>
      <c r="W94" s="875"/>
      <c r="X94" s="464"/>
      <c r="Y94" s="223"/>
    </row>
    <row r="95" spans="1:66" s="597" customFormat="1" ht="4.5" customHeight="1" x14ac:dyDescent="0.3">
      <c r="A95" s="1155"/>
      <c r="B95" s="1278"/>
      <c r="C95" s="686"/>
      <c r="D95" s="1278"/>
      <c r="E95" s="686"/>
      <c r="F95" s="1278"/>
      <c r="G95" s="686"/>
      <c r="H95" s="1278"/>
      <c r="I95" s="686"/>
      <c r="J95" s="1278"/>
      <c r="K95" s="686"/>
      <c r="L95" s="1278"/>
      <c r="M95" s="686"/>
      <c r="N95" s="1278"/>
      <c r="O95" s="728"/>
      <c r="P95" s="1278"/>
      <c r="Q95" s="728"/>
      <c r="R95" s="728"/>
      <c r="S95" s="1278"/>
      <c r="T95" s="728"/>
      <c r="U95" s="1278"/>
      <c r="V95" s="728"/>
      <c r="W95" s="1278"/>
      <c r="X95" s="728"/>
      <c r="Y95" s="1279"/>
    </row>
    <row r="96" spans="1:66" s="612" customFormat="1" ht="8.25" customHeight="1" x14ac:dyDescent="0.3">
      <c r="A96" s="734"/>
      <c r="B96" s="1280"/>
      <c r="C96" s="813"/>
      <c r="D96" s="1280"/>
      <c r="E96" s="813"/>
      <c r="F96" s="1280"/>
      <c r="G96" s="813"/>
      <c r="H96" s="1280"/>
      <c r="I96" s="813"/>
      <c r="J96" s="1280"/>
      <c r="K96" s="813"/>
      <c r="L96" s="1280"/>
      <c r="M96" s="813"/>
      <c r="N96" s="1280"/>
      <c r="O96" s="827"/>
      <c r="P96" s="1280"/>
      <c r="Q96" s="827"/>
      <c r="R96" s="827"/>
      <c r="S96" s="1280"/>
      <c r="T96" s="827"/>
      <c r="U96" s="1280"/>
      <c r="V96" s="827"/>
      <c r="W96" s="1280"/>
      <c r="X96" s="827"/>
      <c r="Y96" s="1281"/>
    </row>
    <row r="97" spans="1:66" s="1" customFormat="1" ht="19.5" customHeight="1" x14ac:dyDescent="0.25">
      <c r="A97" s="2799" t="s">
        <v>1681</v>
      </c>
      <c r="B97" s="2800"/>
      <c r="C97" s="2800"/>
      <c r="D97" s="2800"/>
      <c r="E97" s="2800"/>
      <c r="F97" s="2800"/>
      <c r="G97" s="2800"/>
      <c r="H97" s="2800"/>
      <c r="I97" s="2800"/>
      <c r="J97" s="2800"/>
      <c r="K97" s="2800"/>
      <c r="L97" s="2800"/>
      <c r="M97" s="2800"/>
      <c r="N97" s="2800"/>
      <c r="O97" s="2800"/>
      <c r="P97" s="2800"/>
      <c r="Q97" s="2800"/>
      <c r="R97" s="2800"/>
      <c r="S97" s="2800"/>
      <c r="T97" s="2800"/>
      <c r="U97" s="2800"/>
      <c r="V97" s="2800"/>
      <c r="W97" s="2800"/>
      <c r="X97" s="2800"/>
      <c r="Y97" s="2801"/>
      <c r="Z97" s="2"/>
    </row>
    <row r="98" spans="1:66" s="1" customFormat="1" ht="13.8" x14ac:dyDescent="0.25">
      <c r="A98" s="2799" t="s">
        <v>3133</v>
      </c>
      <c r="B98" s="2800"/>
      <c r="C98" s="2800"/>
      <c r="D98" s="2800"/>
      <c r="E98" s="2800"/>
      <c r="F98" s="2800"/>
      <c r="G98" s="2800"/>
      <c r="H98" s="2800"/>
      <c r="I98" s="2800"/>
      <c r="J98" s="2800"/>
      <c r="K98" s="2800"/>
      <c r="L98" s="1260"/>
      <c r="M98" s="1260"/>
      <c r="N98" s="1260"/>
      <c r="O98" s="1260"/>
      <c r="P98" s="1260"/>
      <c r="Q98" s="1260"/>
      <c r="R98" s="1260"/>
      <c r="S98" s="1260"/>
      <c r="T98" s="1260"/>
      <c r="U98" s="1260"/>
      <c r="V98" s="1260"/>
      <c r="W98" s="1260"/>
      <c r="X98" s="1260"/>
      <c r="Y98" s="1261"/>
      <c r="Z98" s="2"/>
    </row>
    <row r="99" spans="1:66" s="1" customFormat="1" ht="13.8" x14ac:dyDescent="0.25">
      <c r="A99" s="6" t="s">
        <v>3134</v>
      </c>
      <c r="B99" s="1260"/>
      <c r="C99" s="1260"/>
      <c r="D99" s="1260"/>
      <c r="E99" s="1260"/>
      <c r="F99" s="1260"/>
      <c r="G99" s="1260"/>
      <c r="H99" s="1260"/>
      <c r="I99" s="1260"/>
      <c r="J99" s="1260"/>
      <c r="K99" s="1260"/>
      <c r="L99" s="1260"/>
      <c r="M99" s="1260"/>
      <c r="N99" s="1260"/>
      <c r="O99" s="1260"/>
      <c r="P99" s="1260"/>
      <c r="Q99" s="1260"/>
      <c r="R99" s="1260"/>
      <c r="S99" s="1260"/>
      <c r="T99" s="1260"/>
      <c r="U99" s="1260"/>
      <c r="V99" s="1260"/>
      <c r="W99" s="1260"/>
      <c r="X99" s="1260"/>
      <c r="Y99" s="1261"/>
      <c r="Z99" s="2"/>
    </row>
    <row r="100" spans="1:66" s="1" customFormat="1" ht="5.25" customHeight="1" x14ac:dyDescent="0.25">
      <c r="A100" s="1259"/>
      <c r="B100" s="1260"/>
      <c r="C100" s="1260"/>
      <c r="D100" s="1260"/>
      <c r="E100" s="1260"/>
      <c r="F100" s="1260"/>
      <c r="G100" s="1260"/>
      <c r="H100" s="1260"/>
      <c r="I100" s="1260"/>
      <c r="J100" s="1260"/>
      <c r="K100" s="1260"/>
      <c r="L100" s="919"/>
      <c r="M100" s="919"/>
      <c r="N100" s="919"/>
      <c r="O100" s="919"/>
      <c r="P100" s="919"/>
      <c r="Q100" s="919"/>
      <c r="R100" s="919"/>
      <c r="S100" s="919"/>
      <c r="T100" s="919"/>
      <c r="U100" s="919"/>
      <c r="V100" s="919"/>
      <c r="W100" s="919"/>
      <c r="X100" s="1260"/>
      <c r="Y100" s="1261"/>
      <c r="Z100" s="2"/>
    </row>
    <row r="101" spans="1:66" s="1" customFormat="1" ht="13.8" x14ac:dyDescent="0.25">
      <c r="A101" s="2799" t="s">
        <v>1398</v>
      </c>
      <c r="B101" s="2800"/>
      <c r="C101" s="2800"/>
      <c r="D101" s="2800"/>
      <c r="E101" s="2800"/>
      <c r="F101" s="2800"/>
      <c r="G101" s="2800"/>
      <c r="H101" s="2800"/>
      <c r="I101" s="2800"/>
      <c r="J101" s="2800"/>
      <c r="K101" s="2800"/>
      <c r="L101" s="2800"/>
      <c r="M101" s="2800"/>
      <c r="N101" s="2800"/>
      <c r="O101" s="2800"/>
      <c r="P101" s="2800"/>
      <c r="Q101" s="1260"/>
      <c r="R101" s="1260"/>
      <c r="S101" s="1260"/>
      <c r="T101" s="1260"/>
      <c r="U101" s="1260"/>
      <c r="V101" s="1260"/>
      <c r="W101" s="1260"/>
      <c r="X101" s="1260"/>
      <c r="Y101" s="1261"/>
      <c r="Z101" s="2"/>
    </row>
    <row r="102" spans="1:66" s="1" customFormat="1" ht="15" customHeight="1" x14ac:dyDescent="0.25">
      <c r="A102" s="2799" t="s">
        <v>2201</v>
      </c>
      <c r="B102" s="2800"/>
      <c r="C102" s="2800"/>
      <c r="D102" s="2800"/>
      <c r="E102" s="2800"/>
      <c r="F102" s="2800"/>
      <c r="G102" s="2800"/>
      <c r="H102" s="2800"/>
      <c r="I102" s="2800"/>
      <c r="J102" s="2800"/>
      <c r="K102" s="2800"/>
      <c r="L102" s="2800"/>
      <c r="M102" s="2800"/>
      <c r="N102" s="2800"/>
      <c r="O102" s="2800"/>
      <c r="P102" s="2800"/>
      <c r="Q102" s="2800"/>
      <c r="R102" s="2800"/>
      <c r="S102" s="2800"/>
      <c r="T102" s="2800"/>
      <c r="U102" s="2800"/>
      <c r="V102" s="2800"/>
      <c r="W102" s="2800"/>
      <c r="X102" s="1260"/>
      <c r="Y102" s="1261"/>
      <c r="Z102" s="2"/>
    </row>
    <row r="103" spans="1:66" s="1" customFormat="1" ht="15" customHeight="1" x14ac:dyDescent="0.25">
      <c r="A103" s="2799" t="s">
        <v>1687</v>
      </c>
      <c r="B103" s="2800"/>
      <c r="C103" s="2800"/>
      <c r="D103" s="2800"/>
      <c r="E103" s="2800"/>
      <c r="F103" s="2800"/>
      <c r="G103" s="2800"/>
      <c r="H103" s="2800"/>
      <c r="I103" s="2800"/>
      <c r="J103" s="2800"/>
      <c r="K103" s="2800"/>
      <c r="L103" s="2800"/>
      <c r="M103" s="2800"/>
      <c r="N103" s="2800"/>
      <c r="O103" s="2800"/>
      <c r="P103" s="2800"/>
      <c r="Q103" s="2800"/>
      <c r="R103" s="2800"/>
      <c r="S103" s="2800"/>
      <c r="T103" s="2800"/>
      <c r="U103" s="2800"/>
      <c r="V103" s="2800"/>
      <c r="W103" s="2800"/>
      <c r="X103" s="1260"/>
      <c r="Y103" s="1261"/>
      <c r="Z103" s="2"/>
    </row>
    <row r="104" spans="1:66" s="1" customFormat="1" ht="3.75" customHeight="1" thickBot="1" x14ac:dyDescent="0.3">
      <c r="A104" s="9"/>
      <c r="B104" s="125"/>
      <c r="C104" s="125"/>
      <c r="D104" s="125"/>
      <c r="E104" s="125"/>
      <c r="F104" s="125"/>
      <c r="G104" s="125"/>
      <c r="H104" s="125"/>
      <c r="I104" s="125"/>
      <c r="J104" s="125"/>
      <c r="K104" s="125"/>
      <c r="L104" s="125"/>
      <c r="M104" s="125"/>
      <c r="N104" s="125"/>
      <c r="O104" s="71"/>
      <c r="P104" s="125"/>
      <c r="Q104" s="71"/>
      <c r="R104" s="71"/>
      <c r="S104" s="125"/>
      <c r="T104" s="71"/>
      <c r="U104" s="125"/>
      <c r="V104" s="71"/>
      <c r="W104" s="125"/>
      <c r="X104" s="71"/>
      <c r="Y104" s="72"/>
      <c r="Z104" s="2"/>
    </row>
    <row r="105" spans="1:66" s="1" customFormat="1" ht="13.8" x14ac:dyDescent="0.25">
      <c r="A105" s="12" t="s">
        <v>2202</v>
      </c>
      <c r="B105" s="4"/>
      <c r="C105" s="4"/>
      <c r="D105" s="4"/>
      <c r="E105" s="4"/>
      <c r="F105" s="4"/>
      <c r="G105" s="4"/>
      <c r="H105" s="4"/>
      <c r="I105" s="4"/>
      <c r="J105" s="4"/>
      <c r="K105" s="4"/>
      <c r="L105" s="4"/>
      <c r="M105" s="4"/>
      <c r="N105" s="4"/>
      <c r="O105" s="2"/>
      <c r="P105" s="4"/>
      <c r="Q105" s="2"/>
      <c r="R105" s="2"/>
      <c r="S105" s="4"/>
      <c r="T105" s="2"/>
      <c r="U105" s="4"/>
      <c r="V105" s="2"/>
      <c r="W105" s="4"/>
      <c r="X105" s="2"/>
      <c r="Y105" s="2"/>
      <c r="Z105" s="2"/>
    </row>
    <row r="106" spans="1:66" ht="9.9" customHeight="1" x14ac:dyDescent="0.3">
      <c r="B106" s="278"/>
      <c r="C106" s="278"/>
      <c r="D106" s="278"/>
      <c r="E106" s="278"/>
      <c r="F106" s="278"/>
      <c r="G106" s="278"/>
      <c r="H106" s="278"/>
      <c r="I106" s="278"/>
      <c r="J106" s="278"/>
      <c r="K106" s="278"/>
      <c r="L106" s="278"/>
      <c r="M106" s="278"/>
      <c r="N106" s="278"/>
      <c r="O106" s="230"/>
      <c r="P106" s="278"/>
      <c r="Q106" s="230"/>
      <c r="R106" s="230"/>
      <c r="S106" s="278"/>
      <c r="T106" s="230"/>
      <c r="U106" s="278"/>
      <c r="V106" s="230"/>
      <c r="W106" s="278"/>
      <c r="X106" s="230"/>
      <c r="Y106" s="230"/>
      <c r="Z106" s="230"/>
    </row>
    <row r="107" spans="1:66" s="309" customFormat="1" x14ac:dyDescent="0.3">
      <c r="A107" s="309" t="s">
        <v>1917</v>
      </c>
      <c r="J107" s="1604">
        <f>'6. Insurance'!B55</f>
        <v>19662</v>
      </c>
      <c r="L107" s="1604">
        <f>'6. Insurance'!C55</f>
        <v>14667</v>
      </c>
      <c r="N107" s="1604">
        <f>'6. Insurance'!D55</f>
        <v>5476</v>
      </c>
      <c r="P107" s="1604">
        <f>'6. Insurance'!E55</f>
        <v>4852.3</v>
      </c>
      <c r="U107" s="1604"/>
    </row>
    <row r="108" spans="1:66" s="309" customFormat="1" x14ac:dyDescent="0.3">
      <c r="A108" s="309" t="s">
        <v>1916</v>
      </c>
      <c r="B108" s="1604">
        <f t="shared" ref="B108:T108" si="0">B8+B40+B66+B77</f>
        <v>16072</v>
      </c>
      <c r="C108" s="1604">
        <f t="shared" si="0"/>
        <v>0</v>
      </c>
      <c r="D108" s="1604">
        <f t="shared" si="0"/>
        <v>16102</v>
      </c>
      <c r="E108" s="1604">
        <f t="shared" si="0"/>
        <v>0</v>
      </c>
      <c r="F108" s="1604">
        <f t="shared" si="0"/>
        <v>15484</v>
      </c>
      <c r="G108" s="1604">
        <f t="shared" si="0"/>
        <v>0</v>
      </c>
      <c r="H108" s="1604">
        <f t="shared" si="0"/>
        <v>18160</v>
      </c>
      <c r="I108" s="1604">
        <f t="shared" si="0"/>
        <v>0</v>
      </c>
      <c r="J108" s="1604">
        <f t="shared" si="0"/>
        <v>19198</v>
      </c>
      <c r="K108" s="1604">
        <f t="shared" si="0"/>
        <v>0</v>
      </c>
      <c r="L108" s="1604">
        <f t="shared" si="0"/>
        <v>14406</v>
      </c>
      <c r="M108" s="1604">
        <f t="shared" si="0"/>
        <v>0</v>
      </c>
      <c r="N108" s="1604">
        <f t="shared" si="0"/>
        <v>11252</v>
      </c>
      <c r="O108" s="1604">
        <f t="shared" si="0"/>
        <v>0</v>
      </c>
      <c r="P108" s="1604">
        <f t="shared" si="0"/>
        <v>4852.3</v>
      </c>
      <c r="Q108" s="1604">
        <f t="shared" si="0"/>
        <v>0</v>
      </c>
      <c r="R108" s="1604">
        <f t="shared" si="0"/>
        <v>0</v>
      </c>
      <c r="S108" s="1604">
        <f t="shared" si="0"/>
        <v>4104.7</v>
      </c>
      <c r="T108" s="1604">
        <f t="shared" si="0"/>
        <v>0</v>
      </c>
      <c r="U108" s="1604">
        <f>U8+U40+U66+U77</f>
        <v>3880</v>
      </c>
    </row>
    <row r="109" spans="1:66" s="309" customFormat="1" x14ac:dyDescent="0.3">
      <c r="A109" s="309" t="s">
        <v>649</v>
      </c>
      <c r="J109" s="1604"/>
      <c r="K109" s="1604"/>
      <c r="L109" s="1604"/>
    </row>
    <row r="110" spans="1:66" x14ac:dyDescent="0.3">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row>
    <row r="111" spans="1:66" s="322" customFormat="1" x14ac:dyDescent="0.3">
      <c r="A111" s="322" t="s">
        <v>910</v>
      </c>
      <c r="B111" s="1274">
        <f>B82+B71+B36+B13</f>
        <v>1551</v>
      </c>
      <c r="D111" s="1274">
        <f>D82+D71+D36+D13</f>
        <v>1718</v>
      </c>
      <c r="F111" s="1274">
        <f>F82+F71+F36+F13</f>
        <v>-411</v>
      </c>
      <c r="H111" s="1274">
        <f>H82+H71+H36+H13</f>
        <v>-4067</v>
      </c>
      <c r="J111" s="1274">
        <f>J82+J71+J36+J13</f>
        <v>-1615</v>
      </c>
      <c r="L111" s="1274">
        <f>L82+L71+L36+L13</f>
        <v>-1394</v>
      </c>
      <c r="N111" s="1274">
        <f>N82+N71+N36+N13</f>
        <v>-105</v>
      </c>
      <c r="P111" s="1274">
        <f>P82+P71+P36+P13</f>
        <v>461.39999999999986</v>
      </c>
      <c r="S111" s="1274">
        <f>S82+S71+S36+S13</f>
        <v>221.70000000000044</v>
      </c>
      <c r="U111" s="1274">
        <f>U82+U71+U36</f>
        <v>19.599999999999994</v>
      </c>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row>
    <row r="112" spans="1:66" s="322" customFormat="1" x14ac:dyDescent="0.3">
      <c r="A112" s="322" t="s">
        <v>911</v>
      </c>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row>
    <row r="113" spans="2:66" s="322" customFormat="1" x14ac:dyDescent="0.3">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row>
    <row r="114" spans="2:66" s="322" customFormat="1" x14ac:dyDescent="0.3">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row>
    <row r="115" spans="2:66" s="322" customFormat="1" x14ac:dyDescent="0.3">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row>
    <row r="116" spans="2:66" s="322" customFormat="1" x14ac:dyDescent="0.3">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row>
    <row r="117" spans="2:66" s="322" customFormat="1" x14ac:dyDescent="0.3">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row>
    <row r="118" spans="2:66" s="322" customFormat="1" x14ac:dyDescent="0.3">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row>
    <row r="119" spans="2:66" s="322" customFormat="1" x14ac:dyDescent="0.3">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row>
    <row r="120" spans="2:66" s="322" customFormat="1" x14ac:dyDescent="0.3">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row>
    <row r="121" spans="2:66" s="322" customFormat="1" x14ac:dyDescent="0.3">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row>
    <row r="122" spans="2:66" s="322" customFormat="1" x14ac:dyDescent="0.3">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row>
    <row r="123" spans="2:66" s="322" customFormat="1" x14ac:dyDescent="0.3">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row>
    <row r="124" spans="2:66" s="322" customFormat="1" x14ac:dyDescent="0.3">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row>
    <row r="125" spans="2:66" x14ac:dyDescent="0.3">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row>
    <row r="126" spans="2:66" x14ac:dyDescent="0.3">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row>
    <row r="127" spans="2:66" x14ac:dyDescent="0.3">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row>
    <row r="128" spans="2:66" x14ac:dyDescent="0.3">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row>
    <row r="129" s="211" customFormat="1" x14ac:dyDescent="0.3"/>
    <row r="130" s="211" customFormat="1" x14ac:dyDescent="0.3"/>
    <row r="131" s="211" customFormat="1" x14ac:dyDescent="0.3"/>
    <row r="132" s="211" customFormat="1" x14ac:dyDescent="0.3"/>
    <row r="133" s="211" customFormat="1" x14ac:dyDescent="0.3"/>
    <row r="134" s="211" customFormat="1" x14ac:dyDescent="0.3"/>
    <row r="135" s="211" customFormat="1" x14ac:dyDescent="0.3"/>
    <row r="136" s="211" customFormat="1" x14ac:dyDescent="0.3"/>
    <row r="137" s="211" customFormat="1" x14ac:dyDescent="0.3"/>
    <row r="138" s="211" customFormat="1" x14ac:dyDescent="0.3"/>
    <row r="139" s="211" customFormat="1" x14ac:dyDescent="0.3"/>
    <row r="140" s="211" customFormat="1" x14ac:dyDescent="0.3"/>
    <row r="141" s="211" customFormat="1" x14ac:dyDescent="0.3"/>
    <row r="142" s="211" customFormat="1" x14ac:dyDescent="0.3"/>
    <row r="143" s="211" customFormat="1" x14ac:dyDescent="0.3"/>
    <row r="144" s="211" customFormat="1" x14ac:dyDescent="0.3"/>
    <row r="145" spans="2:25" x14ac:dyDescent="0.3">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row>
    <row r="146" spans="2:25" x14ac:dyDescent="0.3">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row>
    <row r="147" spans="2:25" x14ac:dyDescent="0.3">
      <c r="H147" s="211"/>
      <c r="I147" s="211"/>
      <c r="J147" s="211"/>
      <c r="K147" s="211"/>
      <c r="L147" s="211"/>
      <c r="M147" s="211"/>
      <c r="N147" s="211"/>
      <c r="O147" s="211"/>
      <c r="P147" s="211"/>
      <c r="Q147" s="211"/>
      <c r="R147" s="211"/>
      <c r="S147" s="211"/>
      <c r="T147" s="211"/>
      <c r="U147" s="211"/>
      <c r="V147" s="211"/>
      <c r="W147" s="211"/>
      <c r="X147" s="211"/>
      <c r="Y147" s="211"/>
    </row>
    <row r="148" spans="2:25" x14ac:dyDescent="0.3">
      <c r="H148" s="211"/>
      <c r="I148" s="211"/>
      <c r="J148" s="211"/>
      <c r="K148" s="211"/>
      <c r="L148" s="211"/>
      <c r="M148" s="211"/>
      <c r="N148" s="211"/>
      <c r="O148" s="211"/>
      <c r="P148" s="211"/>
      <c r="Q148" s="211"/>
      <c r="R148" s="211"/>
      <c r="S148" s="211"/>
      <c r="T148" s="211"/>
      <c r="U148" s="211"/>
      <c r="V148" s="211"/>
      <c r="W148" s="211"/>
      <c r="X148" s="211"/>
      <c r="Y148" s="211"/>
    </row>
    <row r="149" spans="2:25" x14ac:dyDescent="0.3">
      <c r="H149" s="211"/>
      <c r="I149" s="211"/>
      <c r="J149" s="211"/>
      <c r="K149" s="211"/>
      <c r="L149" s="211"/>
      <c r="M149" s="211"/>
      <c r="N149" s="211"/>
      <c r="O149" s="211"/>
      <c r="P149" s="211"/>
      <c r="Q149" s="211"/>
      <c r="R149" s="211"/>
      <c r="S149" s="211"/>
      <c r="T149" s="211"/>
      <c r="U149" s="211"/>
      <c r="V149" s="211"/>
      <c r="W149" s="211"/>
      <c r="X149" s="211"/>
      <c r="Y149" s="211"/>
    </row>
    <row r="150" spans="2:25" x14ac:dyDescent="0.3">
      <c r="H150" s="211"/>
      <c r="I150" s="211"/>
      <c r="J150" s="211"/>
      <c r="K150" s="211"/>
      <c r="L150" s="211"/>
      <c r="M150" s="211"/>
      <c r="N150" s="211"/>
      <c r="O150" s="211"/>
      <c r="P150" s="211"/>
      <c r="Q150" s="211"/>
      <c r="R150" s="211"/>
      <c r="S150" s="211"/>
      <c r="T150" s="211"/>
      <c r="U150" s="211"/>
      <c r="V150" s="211"/>
      <c r="W150" s="211"/>
      <c r="X150" s="211"/>
      <c r="Y150" s="211"/>
    </row>
    <row r="151" spans="2:25" x14ac:dyDescent="0.3">
      <c r="H151" s="211"/>
      <c r="I151" s="211"/>
      <c r="J151" s="211"/>
      <c r="K151" s="211"/>
      <c r="L151" s="211"/>
      <c r="M151" s="211"/>
      <c r="N151" s="211"/>
      <c r="O151" s="211"/>
      <c r="P151" s="211"/>
      <c r="Q151" s="211"/>
      <c r="R151" s="211"/>
      <c r="S151" s="211"/>
      <c r="T151" s="211"/>
      <c r="U151" s="211"/>
      <c r="V151" s="211"/>
      <c r="W151" s="211"/>
      <c r="X151" s="211"/>
      <c r="Y151" s="211"/>
    </row>
    <row r="152" spans="2:25" x14ac:dyDescent="0.3">
      <c r="H152" s="211"/>
      <c r="I152" s="211"/>
      <c r="J152" s="211"/>
      <c r="K152" s="211"/>
      <c r="L152" s="211"/>
      <c r="M152" s="211"/>
      <c r="N152" s="211"/>
      <c r="O152" s="211"/>
      <c r="P152" s="211"/>
      <c r="Q152" s="211"/>
      <c r="R152" s="211"/>
      <c r="S152" s="211"/>
      <c r="T152" s="211"/>
      <c r="U152" s="211"/>
      <c r="V152" s="211"/>
      <c r="W152" s="211"/>
      <c r="X152" s="211"/>
      <c r="Y152" s="211"/>
    </row>
    <row r="153" spans="2:25" x14ac:dyDescent="0.3">
      <c r="H153" s="211"/>
      <c r="I153" s="211"/>
      <c r="J153" s="211"/>
      <c r="K153" s="211"/>
      <c r="L153" s="211"/>
      <c r="M153" s="211"/>
      <c r="N153" s="211"/>
      <c r="O153" s="211"/>
      <c r="P153" s="211"/>
      <c r="Q153" s="211"/>
      <c r="R153" s="211"/>
      <c r="S153" s="211"/>
      <c r="T153" s="211"/>
      <c r="U153" s="211"/>
      <c r="V153" s="211"/>
      <c r="W153" s="211"/>
      <c r="X153" s="211"/>
      <c r="Y153" s="211"/>
    </row>
    <row r="154" spans="2:25" x14ac:dyDescent="0.3">
      <c r="H154" s="211"/>
      <c r="I154" s="211"/>
      <c r="J154" s="211"/>
      <c r="K154" s="211"/>
      <c r="L154" s="211"/>
      <c r="M154" s="211"/>
      <c r="N154" s="211"/>
      <c r="O154" s="211"/>
      <c r="P154" s="211"/>
      <c r="Q154" s="211"/>
      <c r="R154" s="211"/>
      <c r="S154" s="211"/>
      <c r="T154" s="211"/>
      <c r="U154" s="211"/>
      <c r="V154" s="211"/>
      <c r="W154" s="211"/>
      <c r="X154" s="211"/>
      <c r="Y154" s="211"/>
    </row>
    <row r="155" spans="2:25" x14ac:dyDescent="0.3">
      <c r="H155" s="211"/>
      <c r="I155" s="211"/>
      <c r="J155" s="211"/>
      <c r="K155" s="211"/>
      <c r="L155" s="211"/>
      <c r="M155" s="211"/>
      <c r="N155" s="211"/>
      <c r="O155" s="211"/>
      <c r="P155" s="211"/>
      <c r="Q155" s="211"/>
      <c r="R155" s="211"/>
      <c r="S155" s="211"/>
      <c r="T155" s="211"/>
      <c r="U155" s="211"/>
      <c r="V155" s="211"/>
      <c r="W155" s="211"/>
      <c r="X155" s="211"/>
      <c r="Y155" s="211"/>
    </row>
    <row r="156" spans="2:25" x14ac:dyDescent="0.3">
      <c r="H156" s="211"/>
      <c r="I156" s="211"/>
      <c r="J156" s="211"/>
      <c r="K156" s="211"/>
      <c r="L156" s="211"/>
      <c r="M156" s="211"/>
      <c r="N156" s="211"/>
      <c r="O156" s="211"/>
      <c r="P156" s="211"/>
      <c r="Q156" s="211"/>
      <c r="R156" s="211"/>
      <c r="S156" s="211"/>
      <c r="T156" s="211"/>
      <c r="U156" s="211"/>
      <c r="V156" s="211"/>
      <c r="W156" s="211"/>
      <c r="X156" s="211"/>
      <c r="Y156" s="211"/>
    </row>
    <row r="157" spans="2:25" x14ac:dyDescent="0.3">
      <c r="H157" s="211"/>
      <c r="I157" s="211"/>
      <c r="J157" s="211"/>
      <c r="K157" s="211"/>
      <c r="L157" s="211"/>
      <c r="M157" s="211"/>
      <c r="N157" s="211"/>
      <c r="O157" s="211"/>
      <c r="P157" s="211"/>
      <c r="Q157" s="211"/>
      <c r="R157" s="211"/>
      <c r="S157" s="211"/>
      <c r="T157" s="211"/>
      <c r="U157" s="211"/>
      <c r="V157" s="211"/>
      <c r="W157" s="211"/>
      <c r="X157" s="211"/>
      <c r="Y157" s="211"/>
    </row>
    <row r="158" spans="2:25" x14ac:dyDescent="0.3">
      <c r="H158" s="211"/>
      <c r="I158" s="211"/>
      <c r="J158" s="211"/>
      <c r="K158" s="211"/>
      <c r="L158" s="211"/>
      <c r="M158" s="211"/>
      <c r="N158" s="211"/>
      <c r="O158" s="211"/>
      <c r="P158" s="211"/>
      <c r="Q158" s="211"/>
      <c r="R158" s="211"/>
      <c r="S158" s="211"/>
      <c r="T158" s="211"/>
      <c r="U158" s="211"/>
      <c r="V158" s="211"/>
      <c r="W158" s="211"/>
      <c r="X158" s="211"/>
      <c r="Y158" s="211"/>
    </row>
    <row r="159" spans="2:25" x14ac:dyDescent="0.3">
      <c r="H159" s="211"/>
      <c r="I159" s="211"/>
      <c r="J159" s="211"/>
      <c r="K159" s="211"/>
      <c r="L159" s="211"/>
      <c r="M159" s="211"/>
      <c r="N159" s="211"/>
      <c r="O159" s="211"/>
      <c r="P159" s="211"/>
      <c r="Q159" s="211"/>
      <c r="R159" s="211"/>
      <c r="S159" s="211"/>
      <c r="T159" s="211"/>
      <c r="U159" s="211"/>
      <c r="V159" s="211"/>
      <c r="W159" s="211"/>
      <c r="X159" s="211"/>
      <c r="Y159" s="211"/>
    </row>
    <row r="160" spans="2:25" x14ac:dyDescent="0.3">
      <c r="H160" s="211"/>
      <c r="I160" s="211"/>
      <c r="J160" s="211"/>
      <c r="K160" s="211"/>
      <c r="L160" s="211"/>
      <c r="M160" s="211"/>
      <c r="N160" s="211"/>
      <c r="O160" s="211"/>
      <c r="P160" s="211"/>
      <c r="Q160" s="211"/>
      <c r="R160" s="211"/>
      <c r="S160" s="211"/>
      <c r="T160" s="211"/>
      <c r="U160" s="211"/>
      <c r="V160" s="211"/>
      <c r="W160" s="211"/>
      <c r="X160" s="211"/>
      <c r="Y160" s="211"/>
    </row>
    <row r="161" spans="8:25" x14ac:dyDescent="0.3">
      <c r="H161" s="211"/>
      <c r="I161" s="211"/>
      <c r="J161" s="211"/>
      <c r="K161" s="211"/>
      <c r="L161" s="211"/>
      <c r="M161" s="211"/>
      <c r="N161" s="211"/>
      <c r="O161" s="211"/>
      <c r="P161" s="211"/>
      <c r="Q161" s="211"/>
      <c r="R161" s="211"/>
      <c r="S161" s="211"/>
      <c r="T161" s="211"/>
      <c r="U161" s="211"/>
      <c r="V161" s="211"/>
      <c r="W161" s="211"/>
      <c r="X161" s="211"/>
      <c r="Y161" s="211"/>
    </row>
    <row r="162" spans="8:25" x14ac:dyDescent="0.3">
      <c r="H162" s="211"/>
      <c r="I162" s="211"/>
      <c r="J162" s="211"/>
      <c r="K162" s="211"/>
      <c r="L162" s="211"/>
      <c r="M162" s="211"/>
      <c r="N162" s="211"/>
      <c r="O162" s="211"/>
      <c r="P162" s="211"/>
      <c r="Q162" s="211"/>
      <c r="R162" s="211"/>
      <c r="S162" s="211"/>
      <c r="T162" s="211"/>
      <c r="U162" s="211"/>
      <c r="V162" s="211"/>
      <c r="W162" s="211"/>
      <c r="X162" s="211"/>
      <c r="Y162" s="211"/>
    </row>
    <row r="163" spans="8:25" x14ac:dyDescent="0.3">
      <c r="H163" s="211"/>
      <c r="I163" s="211"/>
      <c r="J163" s="211"/>
      <c r="K163" s="211"/>
      <c r="L163" s="211"/>
      <c r="M163" s="211"/>
      <c r="N163" s="211"/>
      <c r="O163" s="211"/>
      <c r="P163" s="211"/>
      <c r="Q163" s="211"/>
      <c r="R163" s="211"/>
      <c r="S163" s="211"/>
      <c r="T163" s="211"/>
      <c r="U163" s="211"/>
      <c r="V163" s="211"/>
      <c r="W163" s="211"/>
      <c r="X163" s="211"/>
      <c r="Y163" s="211"/>
    </row>
    <row r="164" spans="8:25" x14ac:dyDescent="0.3">
      <c r="H164" s="211"/>
      <c r="I164" s="211"/>
      <c r="J164" s="211"/>
      <c r="K164" s="211"/>
      <c r="L164" s="211"/>
      <c r="M164" s="211"/>
      <c r="N164" s="211"/>
      <c r="O164" s="211"/>
      <c r="P164" s="211"/>
      <c r="Q164" s="211"/>
      <c r="R164" s="211"/>
      <c r="S164" s="211"/>
      <c r="T164" s="211"/>
      <c r="U164" s="211"/>
      <c r="V164" s="211"/>
      <c r="W164" s="211"/>
      <c r="X164" s="211"/>
      <c r="Y164" s="211"/>
    </row>
    <row r="165" spans="8:25" x14ac:dyDescent="0.3">
      <c r="H165" s="211"/>
      <c r="I165" s="211"/>
      <c r="J165" s="211"/>
      <c r="K165" s="211"/>
      <c r="L165" s="211"/>
      <c r="M165" s="211"/>
      <c r="N165" s="211"/>
      <c r="O165" s="211"/>
      <c r="P165" s="211"/>
      <c r="Q165" s="211"/>
      <c r="R165" s="211"/>
      <c r="S165" s="211"/>
      <c r="T165" s="211"/>
      <c r="U165" s="211"/>
      <c r="V165" s="211"/>
      <c r="W165" s="211"/>
      <c r="X165" s="211"/>
      <c r="Y165" s="211"/>
    </row>
    <row r="166" spans="8:25" x14ac:dyDescent="0.3">
      <c r="H166" s="211"/>
      <c r="I166" s="211"/>
      <c r="J166" s="211"/>
      <c r="K166" s="211"/>
      <c r="L166" s="211"/>
      <c r="M166" s="211"/>
      <c r="N166" s="211"/>
      <c r="O166" s="211"/>
      <c r="P166" s="211"/>
      <c r="Q166" s="211"/>
      <c r="R166" s="211"/>
      <c r="S166" s="211"/>
      <c r="T166" s="211"/>
      <c r="U166" s="211"/>
      <c r="V166" s="211"/>
      <c r="W166" s="211"/>
      <c r="X166" s="211"/>
      <c r="Y166" s="211"/>
    </row>
    <row r="167" spans="8:25" x14ac:dyDescent="0.3">
      <c r="H167" s="211"/>
      <c r="I167" s="211"/>
      <c r="J167" s="211"/>
      <c r="K167" s="211"/>
      <c r="L167" s="211"/>
      <c r="M167" s="211"/>
      <c r="N167" s="211"/>
      <c r="O167" s="211"/>
      <c r="P167" s="211"/>
      <c r="Q167" s="211"/>
      <c r="R167" s="211"/>
      <c r="S167" s="211"/>
      <c r="T167" s="211"/>
      <c r="U167" s="211"/>
      <c r="V167" s="211"/>
      <c r="W167" s="211"/>
      <c r="X167" s="211"/>
      <c r="Y167" s="211"/>
    </row>
    <row r="168" spans="8:25" x14ac:dyDescent="0.3">
      <c r="H168" s="211"/>
      <c r="I168" s="211"/>
      <c r="J168" s="211"/>
      <c r="K168" s="211"/>
      <c r="L168" s="211"/>
      <c r="M168" s="211"/>
      <c r="N168" s="211"/>
      <c r="O168" s="211"/>
      <c r="P168" s="211"/>
      <c r="Q168" s="211"/>
      <c r="R168" s="211"/>
      <c r="S168" s="211"/>
      <c r="T168" s="211"/>
      <c r="U168" s="211"/>
      <c r="V168" s="211"/>
      <c r="W168" s="211"/>
      <c r="X168" s="211"/>
      <c r="Y168" s="211"/>
    </row>
    <row r="169" spans="8:25" x14ac:dyDescent="0.3">
      <c r="H169" s="211"/>
      <c r="I169" s="211"/>
      <c r="J169" s="211"/>
      <c r="K169" s="211"/>
      <c r="L169" s="211"/>
      <c r="M169" s="211"/>
      <c r="N169" s="211"/>
      <c r="O169" s="211"/>
      <c r="P169" s="211"/>
      <c r="Q169" s="211"/>
      <c r="R169" s="211"/>
      <c r="S169" s="211"/>
      <c r="T169" s="211"/>
      <c r="U169" s="211"/>
      <c r="V169" s="211"/>
      <c r="W169" s="211"/>
      <c r="X169" s="211"/>
      <c r="Y169" s="211"/>
    </row>
    <row r="170" spans="8:25" x14ac:dyDescent="0.3">
      <c r="H170" s="211"/>
      <c r="I170" s="211"/>
      <c r="J170" s="211"/>
      <c r="K170" s="211"/>
      <c r="L170" s="211"/>
      <c r="M170" s="211"/>
      <c r="N170" s="211"/>
      <c r="O170" s="211"/>
      <c r="P170" s="211"/>
      <c r="Q170" s="211"/>
      <c r="R170" s="211"/>
      <c r="S170" s="211"/>
      <c r="T170" s="211"/>
      <c r="U170" s="211"/>
      <c r="V170" s="211"/>
      <c r="W170" s="211"/>
      <c r="X170" s="211"/>
      <c r="Y170" s="211"/>
    </row>
    <row r="171" spans="8:25" x14ac:dyDescent="0.3">
      <c r="H171" s="211"/>
      <c r="I171" s="211"/>
      <c r="J171" s="211"/>
      <c r="K171" s="211"/>
      <c r="L171" s="211"/>
      <c r="M171" s="211"/>
      <c r="N171" s="211"/>
      <c r="O171" s="211"/>
      <c r="P171" s="211"/>
      <c r="Q171" s="211"/>
      <c r="R171" s="211"/>
      <c r="S171" s="211"/>
      <c r="T171" s="211"/>
      <c r="U171" s="211"/>
      <c r="V171" s="211"/>
      <c r="W171" s="211"/>
      <c r="X171" s="211"/>
      <c r="Y171" s="211"/>
    </row>
    <row r="172" spans="8:25" x14ac:dyDescent="0.3">
      <c r="H172" s="211"/>
      <c r="I172" s="211"/>
      <c r="J172" s="211"/>
      <c r="K172" s="211"/>
      <c r="L172" s="211"/>
      <c r="M172" s="211"/>
      <c r="N172" s="211"/>
      <c r="O172" s="211"/>
      <c r="P172" s="211"/>
      <c r="Q172" s="211"/>
      <c r="R172" s="211"/>
      <c r="S172" s="211"/>
      <c r="T172" s="211"/>
      <c r="U172" s="211"/>
      <c r="V172" s="211"/>
      <c r="W172" s="211"/>
      <c r="X172" s="211"/>
      <c r="Y172" s="211"/>
    </row>
    <row r="173" spans="8:25" x14ac:dyDescent="0.3">
      <c r="H173" s="211"/>
      <c r="I173" s="211"/>
      <c r="J173" s="211"/>
      <c r="K173" s="211"/>
      <c r="L173" s="211"/>
      <c r="M173" s="211"/>
      <c r="N173" s="211"/>
      <c r="O173" s="211"/>
      <c r="P173" s="211"/>
      <c r="Q173" s="211"/>
      <c r="R173" s="211"/>
      <c r="S173" s="211"/>
      <c r="T173" s="211"/>
      <c r="U173" s="211"/>
      <c r="V173" s="211"/>
      <c r="W173" s="211"/>
      <c r="X173" s="211"/>
      <c r="Y173" s="211"/>
    </row>
    <row r="174" spans="8:25" x14ac:dyDescent="0.3">
      <c r="H174" s="211"/>
      <c r="I174" s="211"/>
      <c r="J174" s="211"/>
      <c r="K174" s="211"/>
      <c r="L174" s="211"/>
      <c r="M174" s="211"/>
      <c r="N174" s="211"/>
      <c r="O174" s="211"/>
      <c r="P174" s="211"/>
      <c r="Q174" s="211"/>
      <c r="R174" s="211"/>
      <c r="S174" s="211"/>
      <c r="T174" s="211"/>
      <c r="U174" s="211"/>
      <c r="V174" s="211"/>
      <c r="W174" s="211"/>
      <c r="X174" s="211"/>
      <c r="Y174" s="211"/>
    </row>
    <row r="175" spans="8:25" x14ac:dyDescent="0.3">
      <c r="H175" s="211"/>
      <c r="I175" s="211"/>
      <c r="J175" s="211"/>
      <c r="K175" s="211"/>
      <c r="L175" s="211"/>
      <c r="M175" s="211"/>
      <c r="N175" s="211"/>
      <c r="O175" s="211"/>
      <c r="P175" s="211"/>
      <c r="Q175" s="211"/>
      <c r="R175" s="211"/>
      <c r="S175" s="211"/>
      <c r="T175" s="211"/>
      <c r="U175" s="211"/>
      <c r="V175" s="211"/>
      <c r="W175" s="211"/>
      <c r="X175" s="211"/>
      <c r="Y175" s="211"/>
    </row>
    <row r="176" spans="8:25" x14ac:dyDescent="0.3">
      <c r="H176" s="211"/>
      <c r="I176" s="211"/>
      <c r="J176" s="211"/>
      <c r="K176" s="211"/>
      <c r="L176" s="211"/>
      <c r="M176" s="211"/>
      <c r="N176" s="211"/>
      <c r="O176" s="211"/>
      <c r="P176" s="211"/>
      <c r="Q176" s="211"/>
      <c r="R176" s="211"/>
      <c r="S176" s="211"/>
      <c r="T176" s="211"/>
      <c r="U176" s="211"/>
      <c r="V176" s="211"/>
      <c r="W176" s="211"/>
      <c r="X176" s="211"/>
      <c r="Y176" s="211"/>
    </row>
    <row r="177" spans="8:25" x14ac:dyDescent="0.3">
      <c r="H177" s="211"/>
      <c r="I177" s="211"/>
      <c r="J177" s="211"/>
      <c r="K177" s="211"/>
      <c r="L177" s="211"/>
      <c r="M177" s="211"/>
      <c r="N177" s="211"/>
      <c r="O177" s="211"/>
      <c r="P177" s="211"/>
      <c r="Q177" s="211"/>
      <c r="R177" s="211"/>
      <c r="S177" s="211"/>
      <c r="T177" s="211"/>
      <c r="U177" s="211"/>
      <c r="V177" s="211"/>
      <c r="W177" s="211"/>
      <c r="X177" s="211"/>
      <c r="Y177" s="211"/>
    </row>
    <row r="178" spans="8:25" x14ac:dyDescent="0.3">
      <c r="H178" s="211"/>
      <c r="I178" s="211"/>
      <c r="J178" s="211"/>
      <c r="K178" s="211"/>
      <c r="L178" s="211"/>
      <c r="M178" s="211"/>
      <c r="N178" s="211"/>
      <c r="O178" s="211"/>
      <c r="P178" s="211"/>
      <c r="Q178" s="211"/>
      <c r="R178" s="211"/>
      <c r="S178" s="211"/>
      <c r="T178" s="211"/>
      <c r="U178" s="211"/>
      <c r="V178" s="211"/>
      <c r="W178" s="211"/>
      <c r="X178" s="211"/>
      <c r="Y178" s="211"/>
    </row>
    <row r="179" spans="8:25" x14ac:dyDescent="0.3">
      <c r="H179" s="211"/>
      <c r="I179" s="211"/>
      <c r="J179" s="211"/>
      <c r="K179" s="211"/>
      <c r="L179" s="211"/>
      <c r="M179" s="211"/>
      <c r="N179" s="211"/>
      <c r="O179" s="211"/>
      <c r="P179" s="211"/>
      <c r="Q179" s="211"/>
      <c r="R179" s="211"/>
      <c r="S179" s="211"/>
      <c r="T179" s="211"/>
      <c r="U179" s="211"/>
      <c r="V179" s="211"/>
      <c r="W179" s="211"/>
      <c r="X179" s="211"/>
      <c r="Y179" s="211"/>
    </row>
    <row r="180" spans="8:25" x14ac:dyDescent="0.3">
      <c r="H180" s="211"/>
      <c r="I180" s="211"/>
      <c r="J180" s="211"/>
      <c r="K180" s="211"/>
      <c r="L180" s="211"/>
      <c r="M180" s="211"/>
      <c r="N180" s="211"/>
      <c r="O180" s="211"/>
      <c r="P180" s="211"/>
      <c r="Q180" s="211"/>
      <c r="R180" s="211"/>
      <c r="S180" s="211"/>
      <c r="T180" s="211"/>
      <c r="U180" s="211"/>
      <c r="V180" s="211"/>
      <c r="W180" s="211"/>
      <c r="X180" s="211"/>
      <c r="Y180" s="211"/>
    </row>
    <row r="181" spans="8:25" x14ac:dyDescent="0.3">
      <c r="H181" s="211"/>
      <c r="I181" s="211"/>
      <c r="J181" s="211"/>
      <c r="K181" s="211"/>
      <c r="L181" s="211"/>
      <c r="M181" s="211"/>
      <c r="N181" s="211"/>
      <c r="O181" s="211"/>
      <c r="P181" s="211"/>
      <c r="Q181" s="211"/>
      <c r="R181" s="211"/>
      <c r="S181" s="211"/>
      <c r="T181" s="211"/>
      <c r="U181" s="211"/>
      <c r="V181" s="211"/>
      <c r="W181" s="211"/>
      <c r="X181" s="211"/>
      <c r="Y181" s="211"/>
    </row>
    <row r="182" spans="8:25" x14ac:dyDescent="0.3">
      <c r="H182" s="211"/>
      <c r="I182" s="211"/>
      <c r="J182" s="211"/>
      <c r="K182" s="211"/>
      <c r="L182" s="211"/>
      <c r="M182" s="211"/>
      <c r="N182" s="211"/>
      <c r="O182" s="211"/>
      <c r="P182" s="211"/>
      <c r="Q182" s="211"/>
      <c r="R182" s="211"/>
      <c r="S182" s="211"/>
      <c r="T182" s="211"/>
      <c r="U182" s="211"/>
      <c r="V182" s="211"/>
      <c r="W182" s="211"/>
      <c r="X182" s="211"/>
      <c r="Y182" s="211"/>
    </row>
    <row r="183" spans="8:25" x14ac:dyDescent="0.3">
      <c r="H183" s="211"/>
      <c r="I183" s="211"/>
      <c r="J183" s="211"/>
      <c r="K183" s="211"/>
      <c r="L183" s="211"/>
      <c r="M183" s="211"/>
      <c r="N183" s="211"/>
      <c r="O183" s="211"/>
      <c r="P183" s="211"/>
      <c r="Q183" s="211"/>
      <c r="R183" s="211"/>
      <c r="S183" s="211"/>
      <c r="T183" s="211"/>
      <c r="U183" s="211"/>
      <c r="V183" s="211"/>
      <c r="W183" s="211"/>
      <c r="X183" s="211"/>
      <c r="Y183" s="211"/>
    </row>
    <row r="184" spans="8:25" x14ac:dyDescent="0.3">
      <c r="H184" s="211"/>
      <c r="I184" s="211"/>
      <c r="J184" s="211"/>
      <c r="K184" s="211"/>
      <c r="L184" s="211"/>
      <c r="M184" s="211"/>
      <c r="N184" s="211"/>
      <c r="O184" s="211"/>
      <c r="P184" s="211"/>
      <c r="Q184" s="211"/>
      <c r="R184" s="211"/>
      <c r="S184" s="211"/>
      <c r="T184" s="211"/>
      <c r="U184" s="211"/>
      <c r="V184" s="211"/>
      <c r="W184" s="211"/>
      <c r="X184" s="211"/>
      <c r="Y184" s="211"/>
    </row>
    <row r="185" spans="8:25" x14ac:dyDescent="0.3">
      <c r="H185" s="211"/>
      <c r="I185" s="211"/>
      <c r="J185" s="211"/>
      <c r="K185" s="211"/>
      <c r="L185" s="211"/>
      <c r="M185" s="211"/>
      <c r="N185" s="211"/>
      <c r="O185" s="211"/>
      <c r="P185" s="211"/>
      <c r="Q185" s="211"/>
      <c r="R185" s="211"/>
      <c r="S185" s="211"/>
      <c r="T185" s="211"/>
      <c r="U185" s="211"/>
      <c r="V185" s="211"/>
      <c r="W185" s="211"/>
      <c r="X185" s="211"/>
      <c r="Y185" s="211"/>
    </row>
    <row r="186" spans="8:25" x14ac:dyDescent="0.3">
      <c r="H186" s="211"/>
      <c r="I186" s="211"/>
      <c r="J186" s="211"/>
      <c r="K186" s="211"/>
      <c r="L186" s="211"/>
      <c r="M186" s="211"/>
      <c r="N186" s="211"/>
      <c r="O186" s="211"/>
      <c r="P186" s="211"/>
      <c r="Q186" s="211"/>
      <c r="R186" s="211"/>
      <c r="S186" s="211"/>
      <c r="T186" s="211"/>
      <c r="U186" s="211"/>
      <c r="V186" s="211"/>
      <c r="W186" s="211"/>
      <c r="X186" s="211"/>
      <c r="Y186" s="211"/>
    </row>
    <row r="187" spans="8:25" x14ac:dyDescent="0.3">
      <c r="H187" s="211"/>
      <c r="I187" s="211"/>
      <c r="J187" s="211"/>
      <c r="K187" s="211"/>
      <c r="L187" s="211"/>
      <c r="M187" s="211"/>
      <c r="N187" s="211"/>
      <c r="O187" s="211"/>
      <c r="P187" s="211"/>
      <c r="Q187" s="211"/>
      <c r="R187" s="211"/>
      <c r="S187" s="211"/>
      <c r="T187" s="211"/>
      <c r="U187" s="211"/>
      <c r="V187" s="211"/>
      <c r="W187" s="211"/>
      <c r="X187" s="211"/>
      <c r="Y187" s="211"/>
    </row>
    <row r="188" spans="8:25" x14ac:dyDescent="0.3">
      <c r="H188" s="211"/>
      <c r="I188" s="211"/>
      <c r="J188" s="211"/>
      <c r="K188" s="211"/>
      <c r="L188" s="211"/>
      <c r="M188" s="211"/>
      <c r="N188" s="211"/>
      <c r="O188" s="211"/>
      <c r="P188" s="211"/>
      <c r="Q188" s="211"/>
      <c r="R188" s="211"/>
      <c r="S188" s="211"/>
      <c r="T188" s="211"/>
      <c r="U188" s="211"/>
      <c r="V188" s="211"/>
      <c r="W188" s="211"/>
      <c r="X188" s="211"/>
      <c r="Y188" s="211"/>
    </row>
    <row r="189" spans="8:25" x14ac:dyDescent="0.3">
      <c r="H189" s="211"/>
      <c r="I189" s="211"/>
      <c r="J189" s="211"/>
      <c r="K189" s="211"/>
      <c r="L189" s="211"/>
      <c r="M189" s="211"/>
      <c r="N189" s="211"/>
      <c r="O189" s="211"/>
      <c r="P189" s="211"/>
      <c r="Q189" s="211"/>
      <c r="R189" s="211"/>
      <c r="S189" s="211"/>
      <c r="T189" s="211"/>
      <c r="U189" s="211"/>
      <c r="V189" s="211"/>
      <c r="W189" s="211"/>
      <c r="X189" s="211"/>
      <c r="Y189" s="211"/>
    </row>
    <row r="190" spans="8:25" x14ac:dyDescent="0.3">
      <c r="H190" s="211"/>
      <c r="I190" s="211"/>
      <c r="J190" s="211"/>
      <c r="K190" s="211"/>
      <c r="L190" s="211"/>
      <c r="M190" s="211"/>
      <c r="N190" s="211"/>
      <c r="O190" s="211"/>
      <c r="P190" s="211"/>
      <c r="Q190" s="211"/>
      <c r="R190" s="211"/>
      <c r="S190" s="211"/>
      <c r="T190" s="211"/>
      <c r="U190" s="211"/>
      <c r="V190" s="211"/>
      <c r="W190" s="211"/>
      <c r="X190" s="211"/>
      <c r="Y190" s="211"/>
    </row>
    <row r="191" spans="8:25" x14ac:dyDescent="0.3">
      <c r="H191" s="211"/>
      <c r="I191" s="211"/>
      <c r="J191" s="211"/>
      <c r="K191" s="211"/>
      <c r="L191" s="211"/>
      <c r="M191" s="211"/>
      <c r="N191" s="211"/>
      <c r="O191" s="211"/>
      <c r="P191" s="211"/>
      <c r="Q191" s="211"/>
      <c r="R191" s="211"/>
      <c r="S191" s="211"/>
      <c r="T191" s="211"/>
      <c r="U191" s="211"/>
      <c r="V191" s="211"/>
      <c r="W191" s="211"/>
      <c r="X191" s="211"/>
      <c r="Y191" s="211"/>
    </row>
    <row r="192" spans="8:25" x14ac:dyDescent="0.3">
      <c r="H192" s="211"/>
      <c r="I192" s="211"/>
      <c r="J192" s="211"/>
      <c r="K192" s="211"/>
      <c r="L192" s="211"/>
      <c r="M192" s="211"/>
      <c r="N192" s="211"/>
      <c r="O192" s="211"/>
      <c r="P192" s="211"/>
      <c r="Q192" s="211"/>
      <c r="R192" s="211"/>
      <c r="S192" s="211"/>
      <c r="T192" s="211"/>
      <c r="U192" s="211"/>
      <c r="V192" s="211"/>
      <c r="W192" s="211"/>
      <c r="X192" s="211"/>
      <c r="Y192" s="211"/>
    </row>
    <row r="193" spans="8:25" x14ac:dyDescent="0.3">
      <c r="H193" s="211"/>
      <c r="I193" s="211"/>
      <c r="J193" s="211"/>
      <c r="K193" s="211"/>
      <c r="L193" s="211"/>
      <c r="M193" s="211"/>
      <c r="N193" s="211"/>
      <c r="O193" s="211"/>
      <c r="P193" s="211"/>
      <c r="Q193" s="211"/>
      <c r="R193" s="211"/>
      <c r="S193" s="211"/>
      <c r="T193" s="211"/>
      <c r="U193" s="211"/>
      <c r="V193" s="211"/>
      <c r="W193" s="211"/>
      <c r="X193" s="211"/>
      <c r="Y193" s="211"/>
    </row>
    <row r="194" spans="8:25" x14ac:dyDescent="0.3">
      <c r="H194" s="211"/>
      <c r="I194" s="211"/>
      <c r="J194" s="211"/>
      <c r="K194" s="211"/>
      <c r="L194" s="211"/>
      <c r="M194" s="211"/>
      <c r="N194" s="211"/>
      <c r="O194" s="211"/>
      <c r="P194" s="211"/>
      <c r="Q194" s="211"/>
      <c r="R194" s="211"/>
      <c r="S194" s="211"/>
      <c r="T194" s="211"/>
      <c r="U194" s="211"/>
      <c r="V194" s="211"/>
      <c r="W194" s="211"/>
      <c r="X194" s="211"/>
      <c r="Y194" s="211"/>
    </row>
    <row r="195" spans="8:25" x14ac:dyDescent="0.3">
      <c r="H195" s="211"/>
      <c r="I195" s="211"/>
      <c r="J195" s="211"/>
      <c r="K195" s="211"/>
      <c r="L195" s="211"/>
      <c r="M195" s="211"/>
      <c r="N195" s="211"/>
      <c r="O195" s="211"/>
      <c r="P195" s="211"/>
      <c r="Q195" s="211"/>
      <c r="R195" s="211"/>
      <c r="S195" s="211"/>
      <c r="T195" s="211"/>
      <c r="U195" s="211"/>
      <c r="V195" s="211"/>
      <c r="W195" s="211"/>
      <c r="X195" s="211"/>
      <c r="Y195" s="211"/>
    </row>
    <row r="196" spans="8:25" x14ac:dyDescent="0.3">
      <c r="H196" s="211"/>
      <c r="I196" s="211"/>
      <c r="J196" s="211"/>
      <c r="K196" s="211"/>
      <c r="L196" s="211"/>
      <c r="M196" s="211"/>
      <c r="N196" s="211"/>
      <c r="O196" s="211"/>
      <c r="P196" s="211"/>
      <c r="Q196" s="211"/>
      <c r="R196" s="211"/>
      <c r="S196" s="211"/>
      <c r="T196" s="211"/>
      <c r="U196" s="211"/>
      <c r="V196" s="211"/>
      <c r="W196" s="211"/>
      <c r="X196" s="211"/>
      <c r="Y196" s="211"/>
    </row>
    <row r="197" spans="8:25" x14ac:dyDescent="0.3">
      <c r="H197" s="211"/>
      <c r="I197" s="211"/>
      <c r="J197" s="211"/>
      <c r="K197" s="211"/>
      <c r="L197" s="211"/>
      <c r="M197" s="211"/>
      <c r="N197" s="211"/>
      <c r="O197" s="211"/>
      <c r="P197" s="211"/>
      <c r="Q197" s="211"/>
      <c r="R197" s="211"/>
      <c r="S197" s="211"/>
      <c r="T197" s="211"/>
      <c r="U197" s="211"/>
      <c r="V197" s="211"/>
      <c r="W197" s="211"/>
      <c r="X197" s="211"/>
      <c r="Y197" s="211"/>
    </row>
    <row r="198" spans="8:25" x14ac:dyDescent="0.3">
      <c r="H198" s="211"/>
      <c r="I198" s="211"/>
      <c r="J198" s="211"/>
      <c r="K198" s="211"/>
      <c r="L198" s="211"/>
      <c r="M198" s="211"/>
      <c r="N198" s="211"/>
      <c r="O198" s="211"/>
      <c r="P198" s="211"/>
      <c r="Q198" s="211"/>
      <c r="R198" s="211"/>
      <c r="S198" s="211"/>
      <c r="T198" s="211"/>
      <c r="U198" s="211"/>
      <c r="V198" s="211"/>
      <c r="W198" s="211"/>
      <c r="X198" s="211"/>
      <c r="Y198" s="211"/>
    </row>
    <row r="199" spans="8:25" x14ac:dyDescent="0.3">
      <c r="H199" s="211"/>
      <c r="I199" s="211"/>
      <c r="J199" s="211"/>
      <c r="K199" s="211"/>
      <c r="L199" s="211"/>
      <c r="M199" s="211"/>
      <c r="N199" s="211"/>
      <c r="O199" s="211"/>
      <c r="P199" s="211"/>
      <c r="Q199" s="211"/>
      <c r="R199" s="211"/>
      <c r="S199" s="211"/>
      <c r="T199" s="211"/>
      <c r="U199" s="211"/>
      <c r="V199" s="211"/>
      <c r="W199" s="211"/>
      <c r="X199" s="211"/>
      <c r="Y199" s="211"/>
    </row>
    <row r="200" spans="8:25" x14ac:dyDescent="0.3">
      <c r="H200" s="211"/>
      <c r="I200" s="211"/>
      <c r="J200" s="211"/>
      <c r="K200" s="211"/>
      <c r="L200" s="211"/>
      <c r="M200" s="211"/>
      <c r="N200" s="211"/>
      <c r="O200" s="211"/>
      <c r="P200" s="211"/>
      <c r="Q200" s="211"/>
      <c r="R200" s="211"/>
      <c r="S200" s="211"/>
      <c r="T200" s="211"/>
      <c r="U200" s="211"/>
      <c r="V200" s="211"/>
      <c r="W200" s="211"/>
      <c r="X200" s="211"/>
      <c r="Y200" s="211"/>
    </row>
    <row r="201" spans="8:25" x14ac:dyDescent="0.3">
      <c r="W201" s="211"/>
      <c r="X201" s="211"/>
      <c r="Y201" s="211"/>
    </row>
  </sheetData>
  <mergeCells count="29">
    <mergeCell ref="A101:P101"/>
    <mergeCell ref="A102:W102"/>
    <mergeCell ref="A103:W103"/>
    <mergeCell ref="A97:Y97"/>
    <mergeCell ref="A98:K98"/>
    <mergeCell ref="P48:Q48"/>
    <mergeCell ref="W48:X48"/>
    <mergeCell ref="B48:C48"/>
    <mergeCell ref="D48:E48"/>
    <mergeCell ref="F48:G48"/>
    <mergeCell ref="H48:I48"/>
    <mergeCell ref="J48:K48"/>
    <mergeCell ref="L48:M48"/>
    <mergeCell ref="L18:M18"/>
    <mergeCell ref="P18:Q18"/>
    <mergeCell ref="W18:X18"/>
    <mergeCell ref="P6:Q6"/>
    <mergeCell ref="W6:X6"/>
    <mergeCell ref="L6:M6"/>
    <mergeCell ref="B18:C18"/>
    <mergeCell ref="D18:E18"/>
    <mergeCell ref="F18:G18"/>
    <mergeCell ref="H18:I18"/>
    <mergeCell ref="J18:K18"/>
    <mergeCell ref="B6:C6"/>
    <mergeCell ref="D6:E6"/>
    <mergeCell ref="F6:G6"/>
    <mergeCell ref="H6:I6"/>
    <mergeCell ref="J6:K6"/>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25607-97B0-4E6D-816E-EC3746C68370}">
  <sheetPr>
    <tabColor theme="9" tint="0.59999389629810485"/>
  </sheetPr>
  <dimension ref="A2:F46"/>
  <sheetViews>
    <sheetView showGridLines="0" zoomScale="115" zoomScaleNormal="115" workbookViewId="0">
      <selection activeCell="E16" sqref="E16"/>
    </sheetView>
  </sheetViews>
  <sheetFormatPr defaultColWidth="9.109375" defaultRowHeight="13.8" outlineLevelRow="1" x14ac:dyDescent="0.25"/>
  <cols>
    <col min="1" max="1" width="32" style="1" customWidth="1"/>
    <col min="2" max="2" width="13.88671875" style="1" bestFit="1" customWidth="1"/>
    <col min="3" max="3" width="6.5546875" style="12" customWidth="1"/>
    <col min="4" max="16384" width="9.109375" style="1"/>
  </cols>
  <sheetData>
    <row r="2" spans="1:6" ht="15.6" x14ac:dyDescent="0.3">
      <c r="A2" s="152" t="s">
        <v>2630</v>
      </c>
      <c r="B2" s="211"/>
      <c r="C2" s="320"/>
    </row>
    <row r="3" spans="1:6" ht="15.6" x14ac:dyDescent="0.3">
      <c r="A3" s="152" t="s">
        <v>2629</v>
      </c>
      <c r="B3" s="211"/>
      <c r="C3" s="320"/>
    </row>
    <row r="4" spans="1:6" ht="7.5" customHeight="1" outlineLevel="1" thickBot="1" x14ac:dyDescent="0.35">
      <c r="A4" s="218"/>
      <c r="B4" s="211"/>
      <c r="C4" s="320"/>
    </row>
    <row r="5" spans="1:6" ht="15.6" x14ac:dyDescent="0.3">
      <c r="A5" s="212" t="s">
        <v>1204</v>
      </c>
      <c r="B5" s="1955">
        <v>19997</v>
      </c>
      <c r="C5" s="1954" t="s">
        <v>689</v>
      </c>
    </row>
    <row r="6" spans="1:6" ht="15.6" x14ac:dyDescent="0.3">
      <c r="A6" s="221" t="s">
        <v>1253</v>
      </c>
      <c r="B6" s="211"/>
      <c r="C6" s="222"/>
    </row>
    <row r="7" spans="1:6" ht="15.6" x14ac:dyDescent="0.3">
      <c r="A7" s="214" t="s">
        <v>5</v>
      </c>
      <c r="B7" s="340">
        <v>4976547</v>
      </c>
      <c r="C7" s="1953">
        <f t="shared" ref="C7:C12" si="0">B7/$B$16</f>
        <v>8.5463973372792643E-2</v>
      </c>
    </row>
    <row r="8" spans="1:6" ht="15.6" x14ac:dyDescent="0.3">
      <c r="A8" s="214" t="s">
        <v>1251</v>
      </c>
      <c r="B8" s="239">
        <v>2962675</v>
      </c>
      <c r="C8" s="1953">
        <f t="shared" si="0"/>
        <v>5.0879048728413187E-2</v>
      </c>
    </row>
    <row r="9" spans="1:6" ht="15.6" x14ac:dyDescent="0.3">
      <c r="A9" s="214" t="s">
        <v>1252</v>
      </c>
      <c r="B9" s="239">
        <v>3199898</v>
      </c>
      <c r="C9" s="1953">
        <f t="shared" si="0"/>
        <v>5.4952961856414184E-2</v>
      </c>
    </row>
    <row r="10" spans="1:6" ht="15.6" x14ac:dyDescent="0.3">
      <c r="A10" s="214" t="s">
        <v>10</v>
      </c>
      <c r="B10" s="239">
        <v>27669252</v>
      </c>
      <c r="C10" s="1953">
        <f t="shared" si="0"/>
        <v>0.47517369295881057</v>
      </c>
    </row>
    <row r="11" spans="1:6" ht="15.6" x14ac:dyDescent="0.3">
      <c r="A11" s="214" t="s">
        <v>966</v>
      </c>
      <c r="B11" s="239">
        <f>B12-SUM(B7:B10)</f>
        <v>393999</v>
      </c>
      <c r="C11" s="1953">
        <f t="shared" si="0"/>
        <v>6.7662819310069676E-3</v>
      </c>
    </row>
    <row r="12" spans="1:6" ht="15.6" x14ac:dyDescent="0.3">
      <c r="A12" s="214" t="s">
        <v>967</v>
      </c>
      <c r="B12" s="424">
        <v>39202371</v>
      </c>
      <c r="C12" s="1953">
        <f t="shared" si="0"/>
        <v>0.67323595884743759</v>
      </c>
    </row>
    <row r="13" spans="1:6" ht="15.6" x14ac:dyDescent="0.3">
      <c r="A13" s="214"/>
      <c r="B13" s="215"/>
      <c r="C13" s="1953"/>
    </row>
    <row r="14" spans="1:6" ht="15.6" x14ac:dyDescent="0.3">
      <c r="A14" s="282" t="s">
        <v>2628</v>
      </c>
      <c r="B14" s="239">
        <v>17249195</v>
      </c>
      <c r="C14" s="1953">
        <f>B14/$B$16</f>
        <v>0.29622642812016203</v>
      </c>
    </row>
    <row r="15" spans="1:6" ht="15.6" x14ac:dyDescent="0.3">
      <c r="A15" s="214" t="s">
        <v>348</v>
      </c>
      <c r="B15" s="239">
        <f>B16-B14-B12</f>
        <v>1778198</v>
      </c>
      <c r="C15" s="1953">
        <f>B15/$B$16</f>
        <v>3.0537613032400407E-2</v>
      </c>
      <c r="F15" s="1" t="s">
        <v>176</v>
      </c>
    </row>
    <row r="16" spans="1:6" ht="16.2" thickBot="1" x14ac:dyDescent="0.35">
      <c r="A16" s="214" t="s">
        <v>282</v>
      </c>
      <c r="B16" s="426">
        <v>58229764</v>
      </c>
      <c r="C16" s="1953">
        <f>B16/$B$16</f>
        <v>1</v>
      </c>
    </row>
    <row r="17" spans="1:3" ht="16.2" thickTop="1" x14ac:dyDescent="0.3">
      <c r="A17" s="214"/>
      <c r="B17" s="215"/>
      <c r="C17" s="1953"/>
    </row>
    <row r="18" spans="1:3" ht="15.6" x14ac:dyDescent="0.3">
      <c r="A18" s="221" t="s">
        <v>1292</v>
      </c>
      <c r="B18" s="215"/>
      <c r="C18" s="1953"/>
    </row>
    <row r="19" spans="1:3" ht="15.6" x14ac:dyDescent="0.3">
      <c r="A19" s="214" t="s">
        <v>971</v>
      </c>
      <c r="B19" s="239">
        <v>878082</v>
      </c>
      <c r="C19" s="1953">
        <f>B19/$B$16</f>
        <v>1.5079607741497974E-2</v>
      </c>
    </row>
    <row r="20" spans="1:3" ht="15.6" x14ac:dyDescent="0.3">
      <c r="A20" s="214" t="s">
        <v>1255</v>
      </c>
      <c r="B20" s="239">
        <v>2295603</v>
      </c>
      <c r="C20" s="1953">
        <f>B20/$B$16</f>
        <v>3.9423189144300839E-2</v>
      </c>
    </row>
    <row r="21" spans="1:3" ht="15.6" x14ac:dyDescent="0.3">
      <c r="A21" s="214" t="s">
        <v>1256</v>
      </c>
      <c r="B21" s="239">
        <f>B22-B20-B19</f>
        <v>1701761</v>
      </c>
      <c r="C21" s="1953">
        <f>B21/$B$16</f>
        <v>2.9224933832807564E-2</v>
      </c>
    </row>
    <row r="22" spans="1:3" ht="15.6" x14ac:dyDescent="0.3">
      <c r="A22" s="214" t="s">
        <v>973</v>
      </c>
      <c r="B22" s="424">
        <v>4875446</v>
      </c>
      <c r="C22" s="1953">
        <f>B22/$B$16</f>
        <v>8.3727730718606383E-2</v>
      </c>
    </row>
    <row r="23" spans="1:3" ht="15.6" x14ac:dyDescent="0.3">
      <c r="A23" s="214"/>
      <c r="B23" s="215"/>
      <c r="C23" s="1953"/>
    </row>
    <row r="24" spans="1:3" ht="15.6" x14ac:dyDescent="0.3">
      <c r="A24" s="214" t="s">
        <v>1257</v>
      </c>
      <c r="B24" s="239">
        <v>0</v>
      </c>
      <c r="C24" s="1953">
        <f>B24/$B$16</f>
        <v>0</v>
      </c>
    </row>
    <row r="25" spans="1:3" ht="15.6" x14ac:dyDescent="0.3">
      <c r="A25" s="214"/>
      <c r="B25" s="211"/>
      <c r="C25" s="1953"/>
    </row>
    <row r="26" spans="1:3" ht="15.6" hidden="1" outlineLevel="1" x14ac:dyDescent="0.3">
      <c r="A26" s="221" t="s">
        <v>16</v>
      </c>
      <c r="B26" s="428">
        <v>2295204</v>
      </c>
      <c r="C26" s="1953">
        <f>B26/$B$16</f>
        <v>3.9416336978456583E-2</v>
      </c>
    </row>
    <row r="27" spans="1:3" ht="15.6" hidden="1" outlineLevel="1" x14ac:dyDescent="0.3">
      <c r="A27" s="221" t="s">
        <v>26</v>
      </c>
      <c r="B27" s="430">
        <v>0</v>
      </c>
      <c r="C27" s="1953">
        <f>B27/$B$16</f>
        <v>0</v>
      </c>
    </row>
    <row r="28" spans="1:3" ht="15.6" collapsed="1" x14ac:dyDescent="0.3">
      <c r="A28" s="221" t="s">
        <v>2627</v>
      </c>
      <c r="B28" s="433">
        <f>B26+B27</f>
        <v>2295204</v>
      </c>
      <c r="C28" s="1953"/>
    </row>
    <row r="29" spans="1:3" ht="15.6" hidden="1" outlineLevel="1" x14ac:dyDescent="0.3">
      <c r="A29" s="267" t="s">
        <v>17</v>
      </c>
      <c r="B29" s="435">
        <v>11476020</v>
      </c>
      <c r="C29" s="1953">
        <f t="shared" ref="C29:C34" si="1">B29/$B$16</f>
        <v>0.19708168489228292</v>
      </c>
    </row>
    <row r="30" spans="1:3" ht="15.6" hidden="1" outlineLevel="1" x14ac:dyDescent="0.3">
      <c r="A30" s="267" t="s">
        <v>18</v>
      </c>
      <c r="B30" s="435">
        <v>1856811</v>
      </c>
      <c r="C30" s="1953">
        <f t="shared" si="1"/>
        <v>3.1887661437199025E-2</v>
      </c>
    </row>
    <row r="31" spans="1:3" ht="15.6" hidden="1" outlineLevel="1" x14ac:dyDescent="0.3">
      <c r="A31" s="267" t="s">
        <v>19</v>
      </c>
      <c r="B31" s="435">
        <v>40021487</v>
      </c>
      <c r="C31" s="1953">
        <f t="shared" si="1"/>
        <v>0.68730292295191164</v>
      </c>
    </row>
    <row r="32" spans="1:3" ht="15.6" hidden="1" outlineLevel="1" x14ac:dyDescent="0.3">
      <c r="A32" s="267" t="s">
        <v>21</v>
      </c>
      <c r="B32" s="437">
        <v>0</v>
      </c>
      <c r="C32" s="1953">
        <f t="shared" si="1"/>
        <v>0</v>
      </c>
    </row>
    <row r="33" spans="1:3" ht="15.6" collapsed="1" x14ac:dyDescent="0.3">
      <c r="A33" s="214" t="s">
        <v>642</v>
      </c>
      <c r="B33" s="239">
        <v>53354318</v>
      </c>
      <c r="C33" s="1953">
        <f t="shared" si="1"/>
        <v>0.9162722692813936</v>
      </c>
    </row>
    <row r="34" spans="1:3" ht="31.8" thickBot="1" x14ac:dyDescent="0.35">
      <c r="A34" s="282" t="s">
        <v>1259</v>
      </c>
      <c r="B34" s="258">
        <v>58229764</v>
      </c>
      <c r="C34" s="1953">
        <f t="shared" si="1"/>
        <v>1</v>
      </c>
    </row>
    <row r="35" spans="1:3" ht="16.2" thickTop="1" x14ac:dyDescent="0.3">
      <c r="A35" s="282"/>
      <c r="B35" s="442"/>
      <c r="C35" s="1953"/>
    </row>
    <row r="36" spans="1:3" ht="30" customHeight="1" thickBot="1" x14ac:dyDescent="0.3">
      <c r="A36" s="2802" t="s">
        <v>1260</v>
      </c>
      <c r="B36" s="2803"/>
      <c r="C36" s="2804"/>
    </row>
    <row r="37" spans="1:3" x14ac:dyDescent="0.25">
      <c r="A37" s="12" t="s">
        <v>2956</v>
      </c>
    </row>
    <row r="39" spans="1:3" x14ac:dyDescent="0.25">
      <c r="B39" s="53"/>
    </row>
    <row r="41" spans="1:3" x14ac:dyDescent="0.25">
      <c r="B41" s="53"/>
    </row>
    <row r="42" spans="1:3" x14ac:dyDescent="0.25">
      <c r="B42" s="53"/>
    </row>
    <row r="43" spans="1:3" x14ac:dyDescent="0.25">
      <c r="B43" s="53"/>
    </row>
    <row r="45" spans="1:3" x14ac:dyDescent="0.25">
      <c r="B45" s="1952"/>
    </row>
    <row r="46" spans="1:3" x14ac:dyDescent="0.25">
      <c r="B46" s="1952"/>
    </row>
  </sheetData>
  <mergeCells count="1">
    <mergeCell ref="A36:C36"/>
  </mergeCells>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965C-6DFD-4F93-947A-1BF5258665FD}">
  <sheetPr>
    <tabColor theme="9" tint="0.59999389629810485"/>
  </sheetPr>
  <dimension ref="A1:CH201"/>
  <sheetViews>
    <sheetView showGridLines="0" topLeftCell="A93" zoomScale="55" zoomScaleNormal="55" workbookViewId="0">
      <pane xSplit="1" topLeftCell="B1" activePane="topRight" state="frozen"/>
      <selection activeCell="A47" sqref="A47"/>
      <selection pane="topRight" activeCell="AU125" sqref="AU125"/>
    </sheetView>
  </sheetViews>
  <sheetFormatPr defaultColWidth="8.6640625" defaultRowHeight="15.6" outlineLevelRow="2" outlineLevelCol="2" x14ac:dyDescent="0.3"/>
  <cols>
    <col min="1" max="1" width="48.44140625" style="211" customWidth="1"/>
    <col min="2" max="2" width="9.44140625" style="356" customWidth="1" outlineLevel="1"/>
    <col min="3" max="3" width="1.6640625" style="356" customWidth="1" outlineLevel="2"/>
    <col min="4" max="4" width="8.33203125" style="356" customWidth="1" outlineLevel="2"/>
    <col min="5" max="5" width="1.6640625" style="356" customWidth="1" outlineLevel="1"/>
    <col min="6" max="6" width="9.44140625" style="356" customWidth="1" outlineLevel="1"/>
    <col min="7" max="7" width="1.6640625" style="356" customWidth="1" outlineLevel="2"/>
    <col min="8" max="8" width="8.33203125" style="356" customWidth="1" outlineLevel="2"/>
    <col min="9" max="9" width="1.6640625" style="356" customWidth="1" outlineLevel="1"/>
    <col min="10" max="10" width="9.44140625" style="356" customWidth="1" outlineLevel="1"/>
    <col min="11" max="11" width="1.6640625" style="356" customWidth="1" outlineLevel="1"/>
    <col min="12" max="12" width="8.33203125" style="356" customWidth="1" outlineLevel="1"/>
    <col min="13" max="13" width="1.6640625" style="356" customWidth="1" outlineLevel="1"/>
    <col min="14" max="14" width="9.44140625" style="356" customWidth="1" outlineLevel="1"/>
    <col min="15" max="15" width="1.6640625" style="356" customWidth="1" outlineLevel="1"/>
    <col min="16" max="16" width="8.33203125" style="356" customWidth="1" outlineLevel="1"/>
    <col min="17" max="17" width="1.6640625" style="356" customWidth="1" outlineLevel="1"/>
    <col min="18" max="18" width="9.44140625" style="356" customWidth="1" outlineLevel="1"/>
    <col min="19" max="19" width="1.6640625" style="356" customWidth="1" outlineLevel="1"/>
    <col min="20" max="20" width="8.33203125" style="356" customWidth="1" outlineLevel="1"/>
    <col min="21" max="21" width="1.6640625" style="356" customWidth="1" outlineLevel="1"/>
    <col min="22" max="22" width="9.44140625" style="356" customWidth="1"/>
    <col min="23" max="23" width="1.6640625" style="356" customWidth="1"/>
    <col min="24" max="24" width="8.33203125" style="356" customWidth="1"/>
    <col min="25" max="25" width="1.6640625" style="356" customWidth="1"/>
    <col min="26" max="26" width="9.44140625" style="356" customWidth="1"/>
    <col min="27" max="27" width="1.6640625" style="356" customWidth="1"/>
    <col min="28" max="28" width="8.33203125" style="356" customWidth="1"/>
    <col min="29" max="29" width="1.6640625" style="356" customWidth="1"/>
    <col min="30" max="30" width="11.6640625" style="356" bestFit="1" customWidth="1"/>
    <col min="31" max="31" width="1.6640625" style="356" customWidth="1"/>
    <col min="32" max="32" width="8.33203125" style="356" customWidth="1"/>
    <col min="33" max="33" width="1.6640625" style="356" customWidth="1"/>
    <col min="34" max="34" width="10.5546875" style="356" bestFit="1" customWidth="1"/>
    <col min="35" max="35" width="1.6640625" style="356" customWidth="1"/>
    <col min="36" max="36" width="8.5546875" style="356" bestFit="1" customWidth="1"/>
    <col min="37" max="37" width="1.6640625" style="356" customWidth="1"/>
    <col min="38" max="38" width="10.5546875" style="356" bestFit="1" customWidth="1"/>
    <col min="39" max="39" width="1.6640625" style="356" customWidth="1"/>
    <col min="40" max="40" width="8.33203125" style="356" customWidth="1"/>
    <col min="41" max="41" width="1.6640625" style="356" customWidth="1"/>
    <col min="42" max="42" width="9.44140625" style="356" customWidth="1"/>
    <col min="43" max="43" width="1.6640625" style="356" customWidth="1"/>
    <col min="44" max="44" width="8.33203125" style="356" customWidth="1"/>
    <col min="45" max="45" width="1.6640625" style="356" customWidth="1"/>
    <col min="46" max="46" width="1.6640625" style="211" customWidth="1"/>
    <col min="47" max="51" width="11.109375" style="211" bestFit="1" customWidth="1"/>
    <col min="52" max="16384" width="8.6640625" style="211"/>
  </cols>
  <sheetData>
    <row r="1" spans="1:86" s="152" customFormat="1" outlineLevel="1" x14ac:dyDescent="0.3">
      <c r="A1" s="459" t="s">
        <v>691</v>
      </c>
      <c r="B1" s="152">
        <v>2004</v>
      </c>
      <c r="F1" s="152">
        <v>2003</v>
      </c>
      <c r="J1" s="152">
        <v>2002</v>
      </c>
      <c r="N1" s="152">
        <v>2001</v>
      </c>
      <c r="R1" s="152">
        <v>2000</v>
      </c>
      <c r="V1" s="152">
        <v>1999</v>
      </c>
      <c r="Z1" s="152">
        <f>Z6</f>
        <v>1998</v>
      </c>
      <c r="AD1" s="152">
        <f>AD6</f>
        <v>1997</v>
      </c>
      <c r="AH1" s="152">
        <f>AH6</f>
        <v>1996</v>
      </c>
      <c r="AL1" s="152">
        <f>AL6</f>
        <v>1995</v>
      </c>
      <c r="AP1" s="152">
        <f>AP6</f>
        <v>1994</v>
      </c>
    </row>
    <row r="2" spans="1:86" s="1262" customFormat="1" ht="16.2" outlineLevel="1" x14ac:dyDescent="0.35">
      <c r="A2" s="1262" t="s">
        <v>556</v>
      </c>
      <c r="B2" s="1262">
        <v>2004</v>
      </c>
      <c r="F2" s="1262">
        <v>2003</v>
      </c>
      <c r="J2" s="1262">
        <v>2002</v>
      </c>
      <c r="N2" s="1262">
        <v>2001</v>
      </c>
      <c r="R2" s="1262">
        <v>2001</v>
      </c>
      <c r="V2" s="1262">
        <v>2000</v>
      </c>
      <c r="Z2" s="1262">
        <v>1999</v>
      </c>
      <c r="AD2" s="1262">
        <v>1997</v>
      </c>
      <c r="AH2" s="1262">
        <v>1998</v>
      </c>
      <c r="AL2" s="1262">
        <v>1995</v>
      </c>
      <c r="AP2" s="1262">
        <v>1994</v>
      </c>
      <c r="AT2" s="1263"/>
      <c r="AU2" s="1263"/>
      <c r="AV2" s="1263"/>
      <c r="AW2" s="1263"/>
      <c r="AX2" s="1263"/>
      <c r="AY2" s="1263"/>
      <c r="AZ2" s="1263"/>
      <c r="BA2" s="1263"/>
      <c r="BB2" s="1263"/>
      <c r="BC2" s="1263"/>
      <c r="BD2" s="1263"/>
      <c r="BE2" s="1263"/>
      <c r="BF2" s="1263"/>
      <c r="BG2" s="1263"/>
      <c r="BH2" s="1263"/>
      <c r="BI2" s="1263"/>
      <c r="BJ2" s="1263"/>
      <c r="BK2" s="1263"/>
      <c r="BL2" s="1263"/>
      <c r="BM2" s="1263"/>
      <c r="BN2" s="1263"/>
      <c r="BO2" s="1263"/>
      <c r="BP2" s="1263"/>
      <c r="BQ2" s="1263"/>
      <c r="BR2" s="1263"/>
      <c r="BS2" s="1263"/>
      <c r="BT2" s="1263"/>
      <c r="BU2" s="1263"/>
      <c r="BV2" s="1263"/>
      <c r="BW2" s="1263"/>
      <c r="BX2" s="1263"/>
      <c r="BY2" s="1263"/>
      <c r="BZ2" s="1263"/>
      <c r="CA2" s="1263"/>
      <c r="CB2" s="1263"/>
      <c r="CC2" s="1263"/>
      <c r="CD2" s="1263"/>
      <c r="CE2" s="1263"/>
      <c r="CF2" s="1263"/>
      <c r="CG2" s="1263"/>
      <c r="CH2" s="1263"/>
    </row>
    <row r="3" spans="1:86" x14ac:dyDescent="0.3">
      <c r="A3" s="459" t="s">
        <v>1673</v>
      </c>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row>
    <row r="4" spans="1:86" x14ac:dyDescent="0.3">
      <c r="A4" s="152" t="s">
        <v>1809</v>
      </c>
      <c r="B4" s="211"/>
      <c r="C4" s="211"/>
      <c r="D4" s="211" t="s">
        <v>176</v>
      </c>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row>
    <row r="5" spans="1:86" ht="9" customHeight="1" thickBot="1" x14ac:dyDescent="0.35">
      <c r="A5" s="152"/>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row>
    <row r="6" spans="1:86" x14ac:dyDescent="0.3">
      <c r="A6" s="453"/>
      <c r="B6" s="2865">
        <v>2004</v>
      </c>
      <c r="C6" s="2865"/>
      <c r="D6" s="2865"/>
      <c r="E6" s="885"/>
      <c r="F6" s="2865">
        <v>2003</v>
      </c>
      <c r="G6" s="2865"/>
      <c r="H6" s="2865"/>
      <c r="I6" s="885"/>
      <c r="J6" s="2865">
        <v>2002</v>
      </c>
      <c r="K6" s="2865"/>
      <c r="L6" s="2865"/>
      <c r="M6" s="885"/>
      <c r="N6" s="2865">
        <v>2001</v>
      </c>
      <c r="O6" s="2865"/>
      <c r="P6" s="2865"/>
      <c r="Q6" s="885"/>
      <c r="R6" s="2865">
        <v>2000</v>
      </c>
      <c r="S6" s="2865"/>
      <c r="T6" s="2865"/>
      <c r="U6" s="885"/>
      <c r="V6" s="2865">
        <v>1999</v>
      </c>
      <c r="W6" s="2865"/>
      <c r="X6" s="2865"/>
      <c r="Y6" s="885"/>
      <c r="Z6" s="2865">
        <v>1998</v>
      </c>
      <c r="AA6" s="2865"/>
      <c r="AB6" s="2865"/>
      <c r="AC6" s="885"/>
      <c r="AD6" s="2865">
        <v>1997</v>
      </c>
      <c r="AE6" s="2865"/>
      <c r="AF6" s="2865"/>
      <c r="AG6" s="885"/>
      <c r="AH6" s="2865">
        <v>1996</v>
      </c>
      <c r="AI6" s="2865"/>
      <c r="AJ6" s="2865"/>
      <c r="AK6" s="885"/>
      <c r="AL6" s="2865">
        <v>1995</v>
      </c>
      <c r="AM6" s="2865"/>
      <c r="AN6" s="2865"/>
      <c r="AO6" s="885"/>
      <c r="AP6" s="2865">
        <v>1994</v>
      </c>
      <c r="AQ6" s="2865"/>
      <c r="AR6" s="2865"/>
      <c r="AS6" s="1264"/>
      <c r="AT6" s="1265"/>
    </row>
    <row r="7" spans="1:86" x14ac:dyDescent="0.3">
      <c r="A7" s="221" t="s">
        <v>1250</v>
      </c>
      <c r="B7" s="864" t="s">
        <v>688</v>
      </c>
      <c r="C7" s="886"/>
      <c r="D7" s="864" t="s">
        <v>689</v>
      </c>
      <c r="E7" s="887"/>
      <c r="F7" s="864" t="s">
        <v>688</v>
      </c>
      <c r="G7" s="886"/>
      <c r="H7" s="864" t="s">
        <v>689</v>
      </c>
      <c r="I7" s="887"/>
      <c r="J7" s="864" t="s">
        <v>688</v>
      </c>
      <c r="K7" s="886"/>
      <c r="L7" s="864" t="s">
        <v>689</v>
      </c>
      <c r="M7" s="887"/>
      <c r="N7" s="864" t="s">
        <v>688</v>
      </c>
      <c r="O7" s="886"/>
      <c r="P7" s="864" t="s">
        <v>689</v>
      </c>
      <c r="Q7" s="887"/>
      <c r="R7" s="864" t="s">
        <v>688</v>
      </c>
      <c r="S7" s="886"/>
      <c r="T7" s="864" t="s">
        <v>689</v>
      </c>
      <c r="U7" s="887"/>
      <c r="V7" s="864" t="s">
        <v>688</v>
      </c>
      <c r="W7" s="886"/>
      <c r="X7" s="864" t="s">
        <v>689</v>
      </c>
      <c r="Y7" s="887"/>
      <c r="Z7" s="864" t="s">
        <v>688</v>
      </c>
      <c r="AA7" s="886"/>
      <c r="AB7" s="864" t="s">
        <v>689</v>
      </c>
      <c r="AC7" s="887"/>
      <c r="AD7" s="864" t="s">
        <v>688</v>
      </c>
      <c r="AE7" s="886"/>
      <c r="AF7" s="864" t="s">
        <v>689</v>
      </c>
      <c r="AG7" s="887"/>
      <c r="AH7" s="864" t="s">
        <v>688</v>
      </c>
      <c r="AI7" s="886"/>
      <c r="AJ7" s="864" t="s">
        <v>689</v>
      </c>
      <c r="AK7" s="887"/>
      <c r="AL7" s="864" t="s">
        <v>688</v>
      </c>
      <c r="AM7" s="886"/>
      <c r="AN7" s="864" t="s">
        <v>689</v>
      </c>
      <c r="AO7" s="887"/>
      <c r="AP7" s="864" t="s">
        <v>688</v>
      </c>
      <c r="AQ7" s="886"/>
      <c r="AR7" s="864" t="s">
        <v>689</v>
      </c>
      <c r="AS7" s="1267"/>
      <c r="AT7" s="1266"/>
    </row>
    <row r="8" spans="1:86" x14ac:dyDescent="0.3">
      <c r="A8" s="1268" t="s">
        <v>1676</v>
      </c>
      <c r="B8" s="848"/>
      <c r="C8" s="848"/>
      <c r="D8" s="848"/>
      <c r="E8" s="848"/>
      <c r="F8" s="848"/>
      <c r="G8" s="848"/>
      <c r="H8" s="848"/>
      <c r="I8" s="848"/>
      <c r="J8" s="848"/>
      <c r="K8" s="848"/>
      <c r="L8" s="848"/>
      <c r="M8" s="848"/>
      <c r="N8" s="848"/>
      <c r="O8" s="848"/>
      <c r="P8" s="848"/>
      <c r="Q8" s="848"/>
      <c r="R8" s="848"/>
      <c r="S8" s="848"/>
      <c r="T8" s="848"/>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223"/>
    </row>
    <row r="9" spans="1:86" ht="16.2" thickBot="1" x14ac:dyDescent="0.35">
      <c r="A9" s="214" t="s">
        <v>526</v>
      </c>
      <c r="B9" s="1275">
        <v>9212</v>
      </c>
      <c r="C9" s="392"/>
      <c r="D9" s="392"/>
      <c r="E9" s="392"/>
      <c r="F9" s="1275">
        <v>8081</v>
      </c>
      <c r="G9" s="392"/>
      <c r="H9" s="392"/>
      <c r="I9" s="392"/>
      <c r="J9" s="1275">
        <v>6963</v>
      </c>
      <c r="K9" s="392"/>
      <c r="L9" s="392"/>
      <c r="M9" s="392"/>
      <c r="N9" s="1275">
        <v>6176</v>
      </c>
      <c r="O9" s="392"/>
      <c r="P9" s="392"/>
      <c r="Q9" s="392"/>
      <c r="R9" s="1275">
        <v>5778</v>
      </c>
      <c r="S9" s="392"/>
      <c r="T9" s="392"/>
      <c r="U9" s="392"/>
      <c r="V9" s="1275">
        <v>4953</v>
      </c>
      <c r="W9" s="392"/>
      <c r="X9" s="392"/>
      <c r="Y9" s="392"/>
      <c r="Z9" s="1275">
        <v>4182</v>
      </c>
      <c r="AA9" s="392"/>
      <c r="AB9" s="392"/>
      <c r="AC9" s="392"/>
      <c r="AD9" s="1275">
        <v>3588.4</v>
      </c>
      <c r="AE9" s="392"/>
      <c r="AF9" s="392"/>
      <c r="AG9" s="392"/>
      <c r="AH9" s="1275">
        <v>3122</v>
      </c>
      <c r="AI9" s="392"/>
      <c r="AJ9" s="392"/>
      <c r="AK9" s="392"/>
      <c r="AL9" s="1275">
        <v>2855.8</v>
      </c>
      <c r="AM9" s="392"/>
      <c r="AN9" s="392"/>
      <c r="AO9" s="392"/>
      <c r="AP9" s="1056"/>
      <c r="AQ9" s="392"/>
      <c r="AR9" s="392"/>
      <c r="AS9" s="223"/>
    </row>
    <row r="10" spans="1:86" ht="16.2" thickTop="1" x14ac:dyDescent="0.3">
      <c r="A10" s="214" t="s">
        <v>101</v>
      </c>
      <c r="B10" s="1277">
        <v>8915</v>
      </c>
      <c r="C10" s="215"/>
      <c r="D10" s="868">
        <f>B10/B$10</f>
        <v>1</v>
      </c>
      <c r="E10" s="464"/>
      <c r="F10" s="1277">
        <v>7784</v>
      </c>
      <c r="G10" s="215"/>
      <c r="H10" s="868">
        <f>F10/F$10</f>
        <v>1</v>
      </c>
      <c r="I10" s="464"/>
      <c r="J10" s="1277">
        <v>6670</v>
      </c>
      <c r="K10" s="215"/>
      <c r="L10" s="868">
        <f>J10/J$10</f>
        <v>1</v>
      </c>
      <c r="M10" s="464"/>
      <c r="N10" s="1277">
        <v>6060</v>
      </c>
      <c r="O10" s="215"/>
      <c r="P10" s="868">
        <f>N10/N$10</f>
        <v>1</v>
      </c>
      <c r="Q10" s="464"/>
      <c r="R10" s="1277">
        <v>5610</v>
      </c>
      <c r="S10" s="215"/>
      <c r="T10" s="868">
        <f>R10/R$10</f>
        <v>1</v>
      </c>
      <c r="U10" s="464"/>
      <c r="V10" s="1277">
        <v>4757</v>
      </c>
      <c r="W10" s="215"/>
      <c r="X10" s="868">
        <f>V10/V$10</f>
        <v>1</v>
      </c>
      <c r="Y10" s="464"/>
      <c r="Z10" s="1277">
        <v>4033</v>
      </c>
      <c r="AA10" s="215"/>
      <c r="AB10" s="868">
        <f>Z10/Z$10</f>
        <v>1</v>
      </c>
      <c r="AC10" s="464"/>
      <c r="AD10" s="1277">
        <v>3481.8</v>
      </c>
      <c r="AE10" s="215"/>
      <c r="AF10" s="868">
        <f>AD10/AD$10</f>
        <v>1</v>
      </c>
      <c r="AG10" s="464"/>
      <c r="AH10" s="1277">
        <v>3092</v>
      </c>
      <c r="AI10" s="215"/>
      <c r="AJ10" s="868">
        <f>AH10/AH$10</f>
        <v>1</v>
      </c>
      <c r="AK10" s="464"/>
      <c r="AL10" s="1277">
        <v>2787</v>
      </c>
      <c r="AM10" s="215"/>
      <c r="AN10" s="868">
        <f>AL10/AL$10</f>
        <v>1</v>
      </c>
      <c r="AO10" s="464"/>
      <c r="AP10" s="1047"/>
      <c r="AQ10" s="215"/>
      <c r="AR10" s="464"/>
      <c r="AS10" s="223"/>
    </row>
    <row r="11" spans="1:86" outlineLevel="1" x14ac:dyDescent="0.3">
      <c r="A11" s="214" t="s">
        <v>527</v>
      </c>
      <c r="B11" s="922">
        <v>6360</v>
      </c>
      <c r="C11" s="215"/>
      <c r="D11" s="464">
        <f>B11/B$10</f>
        <v>0.71340437464946715</v>
      </c>
      <c r="E11" s="464"/>
      <c r="F11" s="922">
        <v>5955</v>
      </c>
      <c r="G11" s="215"/>
      <c r="H11" s="464">
        <f>F11/F$10</f>
        <v>0.76503083247687564</v>
      </c>
      <c r="I11" s="464"/>
      <c r="J11" s="922">
        <v>5137</v>
      </c>
      <c r="K11" s="215"/>
      <c r="L11" s="464">
        <f>J11/J$10</f>
        <v>0.7701649175412294</v>
      </c>
      <c r="M11" s="464"/>
      <c r="N11" s="922">
        <v>4842</v>
      </c>
      <c r="O11" s="215"/>
      <c r="P11" s="464">
        <f>N11/N$10</f>
        <v>0.79900990099009905</v>
      </c>
      <c r="Q11" s="464"/>
      <c r="R11" s="922">
        <v>4809</v>
      </c>
      <c r="S11" s="215"/>
      <c r="T11" s="464">
        <f>R11/R$10</f>
        <v>0.85721925133689836</v>
      </c>
      <c r="U11" s="464"/>
      <c r="V11" s="922">
        <v>3815</v>
      </c>
      <c r="W11" s="215"/>
      <c r="X11" s="464">
        <f>V11/V$10</f>
        <v>0.80197603531637585</v>
      </c>
      <c r="Y11" s="464"/>
      <c r="Z11" s="922">
        <v>2978</v>
      </c>
      <c r="AA11" s="215"/>
      <c r="AB11" s="464">
        <f>Z11/Z$10</f>
        <v>0.73840813290354579</v>
      </c>
      <c r="AC11" s="464"/>
      <c r="AD11" s="922">
        <v>2630.1</v>
      </c>
      <c r="AE11" s="215"/>
      <c r="AF11" s="464">
        <f>AD11/AD$10</f>
        <v>0.75538514561433734</v>
      </c>
      <c r="AG11" s="464"/>
      <c r="AH11" s="922">
        <v>2434</v>
      </c>
      <c r="AI11" s="215"/>
      <c r="AJ11" s="464">
        <f>AH11/AH$10</f>
        <v>0.78719275549805956</v>
      </c>
      <c r="AK11" s="464"/>
      <c r="AL11" s="922">
        <v>2254.1999999999998</v>
      </c>
      <c r="AM11" s="215"/>
      <c r="AN11" s="464">
        <f>AL11/AL$10</f>
        <v>0.80882669537136698</v>
      </c>
      <c r="AO11" s="464"/>
      <c r="AP11" s="1047"/>
      <c r="AQ11" s="215"/>
      <c r="AR11" s="464"/>
      <c r="AS11" s="223"/>
    </row>
    <row r="12" spans="1:86" outlineLevel="1" x14ac:dyDescent="0.3">
      <c r="A12" s="214" t="s">
        <v>102</v>
      </c>
      <c r="B12" s="1232">
        <v>1585</v>
      </c>
      <c r="C12" s="215"/>
      <c r="D12" s="868">
        <f>B12/B$10</f>
        <v>0.17779024116657319</v>
      </c>
      <c r="E12" s="464"/>
      <c r="F12" s="1232">
        <v>1377</v>
      </c>
      <c r="G12" s="215"/>
      <c r="H12" s="868">
        <f>F12/F$10</f>
        <v>0.17690133607399794</v>
      </c>
      <c r="I12" s="464"/>
      <c r="J12" s="1232">
        <v>1117</v>
      </c>
      <c r="K12" s="215"/>
      <c r="L12" s="868">
        <f>J12/J$10</f>
        <v>0.16746626686656671</v>
      </c>
      <c r="M12" s="464"/>
      <c r="N12" s="1232">
        <v>997</v>
      </c>
      <c r="O12" s="215"/>
      <c r="P12" s="868">
        <f>N12/N$10</f>
        <v>0.16452145214521452</v>
      </c>
      <c r="Q12" s="464"/>
      <c r="R12" s="1232">
        <v>1025</v>
      </c>
      <c r="S12" s="215"/>
      <c r="T12" s="868">
        <f>R12/R$10</f>
        <v>0.18270944741532977</v>
      </c>
      <c r="U12" s="464"/>
      <c r="V12" s="1232">
        <v>918</v>
      </c>
      <c r="W12" s="215"/>
      <c r="X12" s="868">
        <f>V12/V$10</f>
        <v>0.19297876813117512</v>
      </c>
      <c r="Y12" s="464"/>
      <c r="Z12" s="1232">
        <v>786</v>
      </c>
      <c r="AA12" s="215"/>
      <c r="AB12" s="868">
        <f>Z12/Z$10</f>
        <v>0.1948921398462683</v>
      </c>
      <c r="AC12" s="464"/>
      <c r="AD12" s="1232">
        <v>571</v>
      </c>
      <c r="AE12" s="215"/>
      <c r="AF12" s="868">
        <f>AD12/AD$10</f>
        <v>0.16399563444195531</v>
      </c>
      <c r="AG12" s="464"/>
      <c r="AH12" s="1232">
        <v>487</v>
      </c>
      <c r="AI12" s="215"/>
      <c r="AJ12" s="868">
        <f>AH12/AH$10</f>
        <v>0.15750323415265199</v>
      </c>
      <c r="AK12" s="464"/>
      <c r="AL12" s="1232">
        <v>440.7</v>
      </c>
      <c r="AM12" s="215"/>
      <c r="AN12" s="868">
        <f>AL12/AL$10</f>
        <v>0.1581270182992465</v>
      </c>
      <c r="AO12" s="464"/>
      <c r="AP12" s="1047"/>
      <c r="AQ12" s="215"/>
      <c r="AR12" s="464"/>
      <c r="AS12" s="223"/>
    </row>
    <row r="13" spans="1:86" outlineLevel="1" x14ac:dyDescent="0.3">
      <c r="A13" s="214" t="s">
        <v>685</v>
      </c>
      <c r="B13" s="922">
        <f>B11+B12</f>
        <v>7945</v>
      </c>
      <c r="C13" s="215"/>
      <c r="D13" s="464">
        <f>B13/B$10</f>
        <v>0.89119461581604043</v>
      </c>
      <c r="E13" s="464"/>
      <c r="F13" s="922">
        <f>F11+F12</f>
        <v>7332</v>
      </c>
      <c r="G13" s="215"/>
      <c r="H13" s="464">
        <f>F13/F$10</f>
        <v>0.94193216855087358</v>
      </c>
      <c r="I13" s="464"/>
      <c r="J13" s="922">
        <f>J11+J12</f>
        <v>6254</v>
      </c>
      <c r="K13" s="215"/>
      <c r="L13" s="464">
        <f>J13/J$10</f>
        <v>0.93763118440779614</v>
      </c>
      <c r="M13" s="464"/>
      <c r="N13" s="922">
        <f>N11+N12</f>
        <v>5839</v>
      </c>
      <c r="O13" s="215"/>
      <c r="P13" s="464">
        <f>N13/N$10</f>
        <v>0.96353135313531357</v>
      </c>
      <c r="Q13" s="464"/>
      <c r="R13" s="922">
        <f>R11+R12</f>
        <v>5834</v>
      </c>
      <c r="S13" s="215"/>
      <c r="T13" s="464">
        <f>R13/R$10</f>
        <v>1.0399286987522283</v>
      </c>
      <c r="U13" s="464"/>
      <c r="V13" s="922">
        <f>V11+V12</f>
        <v>4733</v>
      </c>
      <c r="W13" s="215"/>
      <c r="X13" s="464">
        <f>V13/V$10</f>
        <v>0.99495480344755094</v>
      </c>
      <c r="Y13" s="464"/>
      <c r="Z13" s="922">
        <f>Z11+Z12</f>
        <v>3764</v>
      </c>
      <c r="AA13" s="215"/>
      <c r="AB13" s="464">
        <f>Z13/Z$10</f>
        <v>0.93330027274981409</v>
      </c>
      <c r="AC13" s="464"/>
      <c r="AD13" s="922">
        <f>AD11+AD12</f>
        <v>3201.1</v>
      </c>
      <c r="AE13" s="215"/>
      <c r="AF13" s="464">
        <f>AD13/AD$10</f>
        <v>0.91938078005629265</v>
      </c>
      <c r="AG13" s="464"/>
      <c r="AH13" s="922">
        <f>AH11+AH12</f>
        <v>2921</v>
      </c>
      <c r="AI13" s="215"/>
      <c r="AJ13" s="464">
        <f>AH13/AH$10</f>
        <v>0.94469598965071155</v>
      </c>
      <c r="AK13" s="464"/>
      <c r="AL13" s="922">
        <f>AL11+AL12</f>
        <v>2694.8999999999996</v>
      </c>
      <c r="AM13" s="215"/>
      <c r="AN13" s="464">
        <f>AL13/AL$10</f>
        <v>0.96695371367061345</v>
      </c>
      <c r="AO13" s="464"/>
      <c r="AP13" s="1047"/>
      <c r="AQ13" s="215"/>
      <c r="AR13" s="464"/>
      <c r="AS13" s="223"/>
    </row>
    <row r="14" spans="1:86" ht="16.2" thickBot="1" x14ac:dyDescent="0.35">
      <c r="A14" s="214" t="s">
        <v>686</v>
      </c>
      <c r="B14" s="1276">
        <f>B10-B13</f>
        <v>970</v>
      </c>
      <c r="C14" s="215"/>
      <c r="D14" s="464"/>
      <c r="E14" s="464"/>
      <c r="F14" s="1276">
        <f>F10-F13</f>
        <v>452</v>
      </c>
      <c r="G14" s="215"/>
      <c r="H14" s="464"/>
      <c r="I14" s="464"/>
      <c r="J14" s="1276">
        <f>J10-J13</f>
        <v>416</v>
      </c>
      <c r="K14" s="215"/>
      <c r="L14" s="464"/>
      <c r="M14" s="464"/>
      <c r="N14" s="1276">
        <f>N10-N13</f>
        <v>221</v>
      </c>
      <c r="O14" s="215"/>
      <c r="P14" s="464"/>
      <c r="Q14" s="464"/>
      <c r="R14" s="1276">
        <f>R10-R13</f>
        <v>-224</v>
      </c>
      <c r="S14" s="215"/>
      <c r="T14" s="464"/>
      <c r="U14" s="464"/>
      <c r="V14" s="1276">
        <f>V10-V13</f>
        <v>24</v>
      </c>
      <c r="W14" s="215"/>
      <c r="X14" s="464"/>
      <c r="Y14" s="464"/>
      <c r="Z14" s="1276">
        <f>Z10-Z13</f>
        <v>269</v>
      </c>
      <c r="AA14" s="215"/>
      <c r="AB14" s="464"/>
      <c r="AC14" s="464"/>
      <c r="AD14" s="1276">
        <f>AD10-AD13</f>
        <v>280.70000000000027</v>
      </c>
      <c r="AE14" s="215"/>
      <c r="AF14" s="464"/>
      <c r="AG14" s="464"/>
      <c r="AH14" s="1276">
        <f>AH10-AH13</f>
        <v>171</v>
      </c>
      <c r="AI14" s="215"/>
      <c r="AJ14" s="464"/>
      <c r="AK14" s="464"/>
      <c r="AL14" s="1276">
        <f>AL10-AL13</f>
        <v>92.100000000000364</v>
      </c>
      <c r="AM14" s="215"/>
      <c r="AN14" s="464"/>
      <c r="AO14" s="464"/>
      <c r="AP14" s="1056"/>
      <c r="AQ14" s="215"/>
      <c r="AR14" s="464"/>
      <c r="AS14" s="223"/>
    </row>
    <row r="15" spans="1:86" ht="14.4" customHeight="1" thickTop="1" x14ac:dyDescent="0.3">
      <c r="A15" s="214"/>
      <c r="B15" s="392"/>
      <c r="C15" s="215"/>
      <c r="D15" s="464"/>
      <c r="E15" s="464"/>
      <c r="F15" s="392"/>
      <c r="G15" s="215"/>
      <c r="H15" s="464"/>
      <c r="I15" s="464"/>
      <c r="J15" s="392"/>
      <c r="K15" s="215"/>
      <c r="L15" s="464"/>
      <c r="M15" s="464"/>
      <c r="N15" s="392"/>
      <c r="O15" s="215"/>
      <c r="P15" s="464"/>
      <c r="Q15" s="464"/>
      <c r="R15" s="392"/>
      <c r="S15" s="215"/>
      <c r="T15" s="464"/>
      <c r="U15" s="464"/>
      <c r="V15" s="392"/>
      <c r="W15" s="215"/>
      <c r="X15" s="464"/>
      <c r="Y15" s="464"/>
      <c r="Z15" s="392"/>
      <c r="AA15" s="215"/>
      <c r="AB15" s="464"/>
      <c r="AC15" s="464"/>
      <c r="AD15" s="1056"/>
      <c r="AE15" s="215"/>
      <c r="AF15" s="464"/>
      <c r="AG15" s="464"/>
      <c r="AH15" s="1056"/>
      <c r="AI15" s="215"/>
      <c r="AJ15" s="464"/>
      <c r="AK15" s="464"/>
      <c r="AL15" s="1056"/>
      <c r="AM15" s="215"/>
      <c r="AN15" s="464"/>
      <c r="AO15" s="464"/>
      <c r="AP15" s="1056"/>
      <c r="AQ15" s="215"/>
      <c r="AR15" s="464"/>
      <c r="AS15" s="223"/>
    </row>
    <row r="16" spans="1:86" ht="14.4" customHeight="1" x14ac:dyDescent="0.3">
      <c r="A16" s="214" t="s">
        <v>1521</v>
      </c>
      <c r="B16" s="464">
        <f>(B11/B10)+(B12/B9)</f>
        <v>0.88546255962558529</v>
      </c>
      <c r="C16" s="215"/>
      <c r="D16" s="464"/>
      <c r="E16" s="464"/>
      <c r="F16" s="464">
        <f>(F11/F10)+(F12/F9)</f>
        <v>0.93543053548392918</v>
      </c>
      <c r="G16" s="215"/>
      <c r="H16" s="464"/>
      <c r="I16" s="464"/>
      <c r="J16" s="464">
        <f>(J11/J10)+(J12/J9)</f>
        <v>0.93058427701272151</v>
      </c>
      <c r="K16" s="215"/>
      <c r="L16" s="464"/>
      <c r="M16" s="464"/>
      <c r="N16" s="464">
        <f>(N11/N10)+(N12/N9)</f>
        <v>0.96044124814035814</v>
      </c>
      <c r="O16" s="215"/>
      <c r="P16" s="464"/>
      <c r="Q16" s="464"/>
      <c r="R16" s="464">
        <f>(R11/R10)+(R12/R9)</f>
        <v>1.0346162745283141</v>
      </c>
      <c r="S16" s="215"/>
      <c r="T16" s="464"/>
      <c r="U16" s="464"/>
      <c r="V16" s="464">
        <f>(V11/V10)+(V12/V9)</f>
        <v>0.98731825215465574</v>
      </c>
      <c r="W16" s="215"/>
      <c r="X16" s="464"/>
      <c r="Y16" s="464"/>
      <c r="Z16" s="464">
        <f>(Z11/Z10)+(Z12/Z9)</f>
        <v>0.92635648297528184</v>
      </c>
      <c r="AA16" s="215"/>
      <c r="AB16" s="464"/>
      <c r="AC16" s="464"/>
      <c r="AD16" s="464">
        <f>(AD11/AD10)+(AD12/AD9)</f>
        <v>0.91450898911004574</v>
      </c>
      <c r="AE16" s="215"/>
      <c r="AF16" s="464"/>
      <c r="AG16" s="464"/>
      <c r="AH16" s="464">
        <f>(AH11/AH10)+(AH12/AH9)</f>
        <v>0.94318250565821327</v>
      </c>
      <c r="AI16" s="215"/>
      <c r="AJ16" s="464"/>
      <c r="AK16" s="464"/>
      <c r="AL16" s="464">
        <f>(AL11/AL10)+(AL12/AL9)</f>
        <v>0.96314422461010918</v>
      </c>
      <c r="AM16" s="215"/>
      <c r="AN16" s="464"/>
      <c r="AO16" s="464"/>
      <c r="AP16" s="1056"/>
      <c r="AQ16" s="215"/>
      <c r="AR16" s="464"/>
      <c r="AS16" s="223"/>
    </row>
    <row r="17" spans="1:86" ht="8.25" customHeight="1" x14ac:dyDescent="0.3">
      <c r="A17" s="214"/>
      <c r="B17" s="875"/>
      <c r="C17" s="215"/>
      <c r="D17" s="464"/>
      <c r="E17" s="464"/>
      <c r="F17" s="875"/>
      <c r="G17" s="215"/>
      <c r="H17" s="464"/>
      <c r="I17" s="464"/>
      <c r="J17" s="875"/>
      <c r="K17" s="215"/>
      <c r="L17" s="464"/>
      <c r="M17" s="464"/>
      <c r="N17" s="875"/>
      <c r="O17" s="215"/>
      <c r="P17" s="464"/>
      <c r="Q17" s="464"/>
      <c r="R17" s="875"/>
      <c r="S17" s="215"/>
      <c r="T17" s="464"/>
      <c r="U17" s="464"/>
      <c r="V17" s="875"/>
      <c r="W17" s="215"/>
      <c r="X17" s="464"/>
      <c r="Y17" s="464"/>
      <c r="Z17" s="875"/>
      <c r="AA17" s="215"/>
      <c r="AB17" s="464"/>
      <c r="AC17" s="464"/>
      <c r="AD17" s="875"/>
      <c r="AE17" s="215"/>
      <c r="AF17" s="464"/>
      <c r="AG17" s="464"/>
      <c r="AH17" s="875"/>
      <c r="AI17" s="215"/>
      <c r="AJ17" s="464"/>
      <c r="AK17" s="464"/>
      <c r="AL17" s="875"/>
      <c r="AM17" s="215"/>
      <c r="AN17" s="464"/>
      <c r="AO17" s="464"/>
      <c r="AP17" s="875"/>
      <c r="AQ17" s="215"/>
      <c r="AR17" s="464"/>
      <c r="AS17" s="223"/>
    </row>
    <row r="18" spans="1:86" s="597" customFormat="1" ht="4.5" customHeight="1" x14ac:dyDescent="0.3">
      <c r="A18" s="1155"/>
      <c r="B18" s="1278"/>
      <c r="C18" s="686"/>
      <c r="D18" s="728"/>
      <c r="E18" s="728"/>
      <c r="F18" s="1278"/>
      <c r="G18" s="686"/>
      <c r="H18" s="728"/>
      <c r="I18" s="728"/>
      <c r="J18" s="1278"/>
      <c r="K18" s="686"/>
      <c r="L18" s="728"/>
      <c r="M18" s="728"/>
      <c r="N18" s="1278"/>
      <c r="O18" s="686"/>
      <c r="P18" s="728"/>
      <c r="Q18" s="728"/>
      <c r="R18" s="1278"/>
      <c r="S18" s="686"/>
      <c r="T18" s="728"/>
      <c r="U18" s="728"/>
      <c r="V18" s="1278"/>
      <c r="W18" s="686"/>
      <c r="X18" s="728"/>
      <c r="Y18" s="728"/>
      <c r="Z18" s="1278"/>
      <c r="AA18" s="686"/>
      <c r="AB18" s="728"/>
      <c r="AC18" s="728"/>
      <c r="AD18" s="1278"/>
      <c r="AE18" s="686"/>
      <c r="AF18" s="728"/>
      <c r="AG18" s="728"/>
      <c r="AH18" s="1278"/>
      <c r="AI18" s="686"/>
      <c r="AJ18" s="728"/>
      <c r="AK18" s="728"/>
      <c r="AL18" s="1278"/>
      <c r="AM18" s="686"/>
      <c r="AN18" s="728"/>
      <c r="AO18" s="728"/>
      <c r="AP18" s="1278"/>
      <c r="AQ18" s="686"/>
      <c r="AR18" s="728"/>
      <c r="AS18" s="1279"/>
    </row>
    <row r="19" spans="1:86" s="612" customFormat="1" ht="8.25" customHeight="1" x14ac:dyDescent="0.3">
      <c r="A19" s="734"/>
      <c r="B19" s="1280"/>
      <c r="C19" s="813"/>
      <c r="D19" s="827"/>
      <c r="E19" s="827"/>
      <c r="F19" s="1280"/>
      <c r="G19" s="813"/>
      <c r="H19" s="827"/>
      <c r="I19" s="827"/>
      <c r="J19" s="1280"/>
      <c r="K19" s="813"/>
      <c r="L19" s="827"/>
      <c r="M19" s="827"/>
      <c r="N19" s="1280"/>
      <c r="O19" s="813"/>
      <c r="P19" s="827"/>
      <c r="Q19" s="827"/>
      <c r="R19" s="1280"/>
      <c r="S19" s="813"/>
      <c r="T19" s="827"/>
      <c r="U19" s="827"/>
      <c r="V19" s="1280"/>
      <c r="W19" s="813"/>
      <c r="X19" s="827"/>
      <c r="Y19" s="827"/>
      <c r="Z19" s="1280"/>
      <c r="AA19" s="813"/>
      <c r="AB19" s="827"/>
      <c r="AC19" s="827"/>
      <c r="AD19" s="1280"/>
      <c r="AE19" s="813"/>
      <c r="AF19" s="827"/>
      <c r="AG19" s="827"/>
      <c r="AH19" s="1280"/>
      <c r="AI19" s="813"/>
      <c r="AJ19" s="827"/>
      <c r="AK19" s="827"/>
      <c r="AL19" s="1280"/>
      <c r="AM19" s="813"/>
      <c r="AN19" s="827"/>
      <c r="AO19" s="827"/>
      <c r="AP19" s="1280"/>
      <c r="AQ19" s="813"/>
      <c r="AR19" s="827"/>
      <c r="AS19" s="1281"/>
    </row>
    <row r="20" spans="1:86" s="658" customFormat="1" ht="14.4" customHeight="1" x14ac:dyDescent="0.3">
      <c r="A20" s="1272" t="s">
        <v>901</v>
      </c>
      <c r="B20" s="2929">
        <v>2004</v>
      </c>
      <c r="C20" s="2929"/>
      <c r="D20" s="2929"/>
      <c r="E20" s="1296"/>
      <c r="F20" s="2929">
        <v>2003</v>
      </c>
      <c r="G20" s="2929"/>
      <c r="H20" s="2929"/>
      <c r="I20" s="1296"/>
      <c r="J20" s="2929">
        <v>2002</v>
      </c>
      <c r="K20" s="2929"/>
      <c r="L20" s="2929"/>
      <c r="M20" s="1296"/>
      <c r="N20" s="2929">
        <v>2001</v>
      </c>
      <c r="O20" s="2929"/>
      <c r="P20" s="2929"/>
      <c r="Q20" s="1296"/>
      <c r="R20" s="2929">
        <v>2000</v>
      </c>
      <c r="S20" s="2929"/>
      <c r="T20" s="2929"/>
      <c r="U20" s="1296"/>
      <c r="V20" s="2929">
        <v>1999</v>
      </c>
      <c r="W20" s="2929"/>
      <c r="X20" s="2929"/>
      <c r="Y20" s="1296"/>
      <c r="Z20" s="2929">
        <v>1998</v>
      </c>
      <c r="AA20" s="2929"/>
      <c r="AB20" s="2929"/>
      <c r="AC20" s="1296"/>
      <c r="AD20" s="2929">
        <v>1997</v>
      </c>
      <c r="AE20" s="2929"/>
      <c r="AF20" s="2929"/>
      <c r="AG20" s="1296"/>
      <c r="AH20" s="2929">
        <v>1996</v>
      </c>
      <c r="AI20" s="2929"/>
      <c r="AJ20" s="2929"/>
      <c r="AK20" s="1296"/>
      <c r="AL20" s="2929">
        <v>1995</v>
      </c>
      <c r="AM20" s="2929"/>
      <c r="AN20" s="2929"/>
      <c r="AO20" s="1296"/>
      <c r="AP20" s="2929">
        <v>1994</v>
      </c>
      <c r="AQ20" s="2929"/>
      <c r="AR20" s="2929"/>
      <c r="AS20" s="223"/>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row>
    <row r="21" spans="1:86" s="658" customFormat="1" ht="14.4" customHeight="1" x14ac:dyDescent="0.3">
      <c r="A21" s="1283" t="s">
        <v>1250</v>
      </c>
      <c r="B21" s="1269" t="s">
        <v>688</v>
      </c>
      <c r="C21" s="1270"/>
      <c r="D21" s="1269" t="s">
        <v>689</v>
      </c>
      <c r="E21" s="1271"/>
      <c r="F21" s="1269" t="s">
        <v>688</v>
      </c>
      <c r="G21" s="1270"/>
      <c r="H21" s="1269" t="s">
        <v>689</v>
      </c>
      <c r="I21" s="1271"/>
      <c r="J21" s="1269" t="s">
        <v>688</v>
      </c>
      <c r="K21" s="1270"/>
      <c r="L21" s="1269" t="s">
        <v>689</v>
      </c>
      <c r="M21" s="1271"/>
      <c r="N21" s="1269" t="s">
        <v>688</v>
      </c>
      <c r="O21" s="1270"/>
      <c r="P21" s="1269" t="s">
        <v>689</v>
      </c>
      <c r="Q21" s="1271"/>
      <c r="R21" s="1269" t="s">
        <v>688</v>
      </c>
      <c r="S21" s="1270"/>
      <c r="T21" s="1269" t="s">
        <v>689</v>
      </c>
      <c r="U21" s="1271"/>
      <c r="V21" s="1269" t="s">
        <v>688</v>
      </c>
      <c r="W21" s="1270"/>
      <c r="X21" s="1269" t="s">
        <v>689</v>
      </c>
      <c r="Y21" s="1271"/>
      <c r="Z21" s="1269" t="s">
        <v>688</v>
      </c>
      <c r="AA21" s="1270"/>
      <c r="AB21" s="1269" t="s">
        <v>689</v>
      </c>
      <c r="AC21" s="1271"/>
      <c r="AD21" s="1269" t="s">
        <v>688</v>
      </c>
      <c r="AE21" s="1270"/>
      <c r="AF21" s="1269" t="s">
        <v>689</v>
      </c>
      <c r="AG21" s="1271"/>
      <c r="AH21" s="1269" t="s">
        <v>688</v>
      </c>
      <c r="AI21" s="1270"/>
      <c r="AJ21" s="1269" t="s">
        <v>689</v>
      </c>
      <c r="AK21" s="1271"/>
      <c r="AL21" s="1269" t="s">
        <v>688</v>
      </c>
      <c r="AM21" s="1270"/>
      <c r="AN21" s="1269" t="s">
        <v>689</v>
      </c>
      <c r="AO21" s="1271"/>
      <c r="AP21" s="1269" t="s">
        <v>688</v>
      </c>
      <c r="AQ21" s="1270"/>
      <c r="AR21" s="1269" t="s">
        <v>689</v>
      </c>
      <c r="AS21" s="879"/>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row>
    <row r="22" spans="1:86" s="658" customFormat="1" ht="14.4" customHeight="1" x14ac:dyDescent="0.3">
      <c r="A22" s="214" t="s">
        <v>907</v>
      </c>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3"/>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row>
    <row r="23" spans="1:86" s="658" customFormat="1" ht="14.4" customHeight="1" x14ac:dyDescent="0.3">
      <c r="A23" s="214" t="s">
        <v>902</v>
      </c>
      <c r="B23" s="1297">
        <v>2747</v>
      </c>
      <c r="C23" s="220"/>
      <c r="D23" s="220"/>
      <c r="E23" s="220"/>
      <c r="F23" s="1297">
        <v>3440</v>
      </c>
      <c r="G23" s="220"/>
      <c r="H23" s="220"/>
      <c r="I23" s="220"/>
      <c r="J23" s="1297">
        <v>3975</v>
      </c>
      <c r="K23" s="220"/>
      <c r="L23" s="220"/>
      <c r="M23" s="220"/>
      <c r="N23" s="1297">
        <v>4172</v>
      </c>
      <c r="O23" s="220"/>
      <c r="P23" s="220"/>
      <c r="Q23" s="220"/>
      <c r="R23" s="1297">
        <v>3517</v>
      </c>
      <c r="S23" s="220"/>
      <c r="T23" s="220"/>
      <c r="U23" s="220"/>
      <c r="V23" s="1297">
        <v>2801</v>
      </c>
      <c r="W23" s="220"/>
      <c r="X23" s="220"/>
      <c r="Y23" s="220"/>
      <c r="Z23" s="1297">
        <v>2707</v>
      </c>
      <c r="AA23" s="220"/>
      <c r="AB23" s="220"/>
      <c r="AC23" s="220"/>
      <c r="AD23" s="220"/>
      <c r="AE23" s="220"/>
      <c r="AF23" s="220"/>
      <c r="AG23" s="220"/>
      <c r="AH23" s="220"/>
      <c r="AI23" s="220"/>
      <c r="AJ23" s="220"/>
      <c r="AK23" s="220"/>
      <c r="AL23" s="220"/>
      <c r="AM23" s="220"/>
      <c r="AN23" s="220"/>
      <c r="AO23" s="220"/>
      <c r="AP23" s="220"/>
      <c r="AQ23" s="220"/>
      <c r="AR23" s="220"/>
      <c r="AS23" s="223"/>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row>
    <row r="24" spans="1:86" s="658" customFormat="1" ht="14.4" customHeight="1" x14ac:dyDescent="0.3">
      <c r="A24" s="214" t="s">
        <v>903</v>
      </c>
      <c r="B24" s="922">
        <v>2091</v>
      </c>
      <c r="C24" s="220"/>
      <c r="D24" s="220"/>
      <c r="E24" s="220"/>
      <c r="F24" s="922">
        <v>2742</v>
      </c>
      <c r="G24" s="220"/>
      <c r="H24" s="220"/>
      <c r="I24" s="220"/>
      <c r="J24" s="922">
        <v>2647</v>
      </c>
      <c r="K24" s="220"/>
      <c r="L24" s="220"/>
      <c r="M24" s="220"/>
      <c r="N24" s="922">
        <v>2553</v>
      </c>
      <c r="O24" s="220"/>
      <c r="P24" s="220"/>
      <c r="Q24" s="220"/>
      <c r="R24" s="922">
        <v>3036</v>
      </c>
      <c r="S24" s="220"/>
      <c r="T24" s="220"/>
      <c r="U24" s="220"/>
      <c r="V24" s="922">
        <v>2506</v>
      </c>
      <c r="W24" s="220"/>
      <c r="X24" s="220"/>
      <c r="Y24" s="220"/>
      <c r="Z24" s="922">
        <v>2072</v>
      </c>
      <c r="AA24" s="220"/>
      <c r="AB24" s="220"/>
      <c r="AC24" s="220"/>
      <c r="AD24" s="220"/>
      <c r="AE24" s="220"/>
      <c r="AF24" s="220"/>
      <c r="AG24" s="220"/>
      <c r="AH24" s="220"/>
      <c r="AI24" s="220"/>
      <c r="AJ24" s="220"/>
      <c r="AK24" s="220"/>
      <c r="AL24" s="220"/>
      <c r="AM24" s="220"/>
      <c r="AN24" s="220"/>
      <c r="AO24" s="220"/>
      <c r="AP24" s="220"/>
      <c r="AQ24" s="220"/>
      <c r="AR24" s="220"/>
      <c r="AS24" s="223"/>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row>
    <row r="25" spans="1:86" s="658" customFormat="1" ht="14.4" customHeight="1" x14ac:dyDescent="0.3">
      <c r="A25" s="214" t="s">
        <v>904</v>
      </c>
      <c r="B25" s="922">
        <v>2022</v>
      </c>
      <c r="C25" s="220"/>
      <c r="D25" s="220"/>
      <c r="E25" s="220"/>
      <c r="F25" s="922">
        <v>1839</v>
      </c>
      <c r="G25" s="220"/>
      <c r="H25" s="220"/>
      <c r="I25" s="220"/>
      <c r="J25" s="922">
        <v>1899</v>
      </c>
      <c r="K25" s="220"/>
      <c r="L25" s="220"/>
      <c r="M25" s="220"/>
      <c r="N25" s="922">
        <v>2005</v>
      </c>
      <c r="O25" s="220"/>
      <c r="P25" s="220"/>
      <c r="Q25" s="220"/>
      <c r="R25" s="922">
        <v>2263</v>
      </c>
      <c r="S25" s="220"/>
      <c r="T25" s="220"/>
      <c r="U25" s="220"/>
      <c r="V25" s="922">
        <v>1736</v>
      </c>
      <c r="W25" s="220"/>
      <c r="X25" s="220"/>
      <c r="Y25" s="220"/>
      <c r="Z25" s="922">
        <v>1305</v>
      </c>
      <c r="AA25" s="220"/>
      <c r="AB25" s="220"/>
      <c r="AC25" s="220"/>
      <c r="AD25" s="220"/>
      <c r="AE25" s="220"/>
      <c r="AF25" s="220"/>
      <c r="AG25" s="220"/>
      <c r="AH25" s="220"/>
      <c r="AI25" s="220"/>
      <c r="AJ25" s="220"/>
      <c r="AK25" s="220"/>
      <c r="AL25" s="220"/>
      <c r="AM25" s="220"/>
      <c r="AN25" s="220"/>
      <c r="AO25" s="220"/>
      <c r="AP25" s="220"/>
      <c r="AQ25" s="220"/>
      <c r="AR25" s="220"/>
      <c r="AS25" s="223"/>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row>
    <row r="26" spans="1:86" s="658" customFormat="1" ht="14.4" customHeight="1" x14ac:dyDescent="0.3">
      <c r="A26" s="214" t="s">
        <v>906</v>
      </c>
      <c r="B26" s="1282">
        <f>SUM(B23:B25)</f>
        <v>6860</v>
      </c>
      <c r="C26" s="220"/>
      <c r="D26" s="220"/>
      <c r="E26" s="220"/>
      <c r="F26" s="1282">
        <f>SUM(F23:F25)</f>
        <v>8021</v>
      </c>
      <c r="G26" s="220"/>
      <c r="H26" s="220"/>
      <c r="I26" s="220"/>
      <c r="J26" s="1282">
        <f>SUM(J23:J25)</f>
        <v>8521</v>
      </c>
      <c r="K26" s="220"/>
      <c r="L26" s="220"/>
      <c r="M26" s="220"/>
      <c r="N26" s="1282">
        <f>SUM(N23:N25)</f>
        <v>8730</v>
      </c>
      <c r="O26" s="220"/>
      <c r="P26" s="220"/>
      <c r="Q26" s="220"/>
      <c r="R26" s="1282">
        <f>SUM(R23:R25)</f>
        <v>8816</v>
      </c>
      <c r="S26" s="220"/>
      <c r="T26" s="220"/>
      <c r="U26" s="220"/>
      <c r="V26" s="1282">
        <f>SUM(V23:V25)</f>
        <v>7043</v>
      </c>
      <c r="W26" s="220"/>
      <c r="X26" s="220"/>
      <c r="Y26" s="220"/>
      <c r="Z26" s="1282">
        <f>SUM(Z23:Z25)</f>
        <v>6084</v>
      </c>
      <c r="AA26" s="220"/>
      <c r="AB26" s="220"/>
      <c r="AC26" s="220"/>
      <c r="AD26" s="220"/>
      <c r="AE26" s="220"/>
      <c r="AF26" s="220"/>
      <c r="AG26" s="220"/>
      <c r="AH26" s="220"/>
      <c r="AI26" s="220"/>
      <c r="AJ26" s="220"/>
      <c r="AK26" s="220"/>
      <c r="AL26" s="220"/>
      <c r="AM26" s="220"/>
      <c r="AN26" s="220"/>
      <c r="AO26" s="220"/>
      <c r="AP26" s="220"/>
      <c r="AQ26" s="220"/>
      <c r="AR26" s="220"/>
      <c r="AS26" s="223"/>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row>
    <row r="27" spans="1:86" s="658" customFormat="1" ht="14.4" customHeight="1" x14ac:dyDescent="0.3">
      <c r="A27" s="1272"/>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3"/>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row>
    <row r="28" spans="1:86" s="658" customFormat="1" ht="14.4" customHeight="1" x14ac:dyDescent="0.3">
      <c r="A28" s="214" t="s">
        <v>452</v>
      </c>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3"/>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row>
    <row r="29" spans="1:86" s="658" customFormat="1" ht="14.4" customHeight="1" x14ac:dyDescent="0.3">
      <c r="A29" s="214" t="s">
        <v>902</v>
      </c>
      <c r="B29" s="1297">
        <v>3012</v>
      </c>
      <c r="C29" s="220"/>
      <c r="D29" s="220"/>
      <c r="E29" s="220"/>
      <c r="F29" s="1297">
        <v>3551</v>
      </c>
      <c r="G29" s="220"/>
      <c r="H29" s="220"/>
      <c r="I29" s="220"/>
      <c r="J29" s="1297">
        <v>3967</v>
      </c>
      <c r="K29" s="220"/>
      <c r="L29" s="220"/>
      <c r="M29" s="220"/>
      <c r="N29" s="1297">
        <v>3968</v>
      </c>
      <c r="O29" s="220"/>
      <c r="P29" s="220"/>
      <c r="Q29" s="220"/>
      <c r="R29" s="1297">
        <v>3389</v>
      </c>
      <c r="S29" s="220"/>
      <c r="T29" s="220"/>
      <c r="U29" s="220"/>
      <c r="V29" s="1297">
        <v>2837</v>
      </c>
      <c r="W29" s="220"/>
      <c r="X29" s="220"/>
      <c r="Y29" s="220"/>
      <c r="Z29" s="1297">
        <v>2708</v>
      </c>
      <c r="AA29" s="220"/>
      <c r="AB29" s="220"/>
      <c r="AC29" s="220"/>
      <c r="AD29" s="220"/>
      <c r="AE29" s="220"/>
      <c r="AF29" s="220"/>
      <c r="AG29" s="220"/>
      <c r="AH29" s="220"/>
      <c r="AI29" s="220"/>
      <c r="AJ29" s="220"/>
      <c r="AK29" s="220"/>
      <c r="AL29" s="220"/>
      <c r="AM29" s="220"/>
      <c r="AN29" s="220"/>
      <c r="AO29" s="220"/>
      <c r="AP29" s="220"/>
      <c r="AQ29" s="220"/>
      <c r="AR29" s="220"/>
      <c r="AS29" s="223"/>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row>
    <row r="30" spans="1:86" s="658" customFormat="1" ht="14.4" customHeight="1" x14ac:dyDescent="0.3">
      <c r="A30" s="214" t="s">
        <v>903</v>
      </c>
      <c r="B30" s="922">
        <v>2218</v>
      </c>
      <c r="C30" s="220"/>
      <c r="D30" s="220"/>
      <c r="E30" s="220"/>
      <c r="F30" s="922">
        <v>2847</v>
      </c>
      <c r="G30" s="220"/>
      <c r="H30" s="220"/>
      <c r="I30" s="220"/>
      <c r="J30" s="922">
        <v>2647</v>
      </c>
      <c r="K30" s="220"/>
      <c r="L30" s="220"/>
      <c r="M30" s="220"/>
      <c r="N30" s="922">
        <v>2397</v>
      </c>
      <c r="O30" s="220"/>
      <c r="P30" s="220"/>
      <c r="Q30" s="220"/>
      <c r="R30" s="922">
        <v>3046</v>
      </c>
      <c r="S30" s="220"/>
      <c r="T30" s="220"/>
      <c r="U30" s="220"/>
      <c r="V30" s="922">
        <v>2343</v>
      </c>
      <c r="W30" s="220"/>
      <c r="X30" s="220"/>
      <c r="Y30" s="220"/>
      <c r="Z30" s="922">
        <v>2095</v>
      </c>
      <c r="AA30" s="220"/>
      <c r="AB30" s="220"/>
      <c r="AC30" s="220"/>
      <c r="AD30" s="220"/>
      <c r="AE30" s="220"/>
      <c r="AF30" s="220"/>
      <c r="AG30" s="220"/>
      <c r="AH30" s="220"/>
      <c r="AI30" s="220"/>
      <c r="AJ30" s="220"/>
      <c r="AK30" s="220"/>
      <c r="AL30" s="220"/>
      <c r="AM30" s="220"/>
      <c r="AN30" s="220"/>
      <c r="AO30" s="220"/>
      <c r="AP30" s="220"/>
      <c r="AQ30" s="220"/>
      <c r="AR30" s="220"/>
      <c r="AS30" s="223"/>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row>
    <row r="31" spans="1:86" s="658" customFormat="1" ht="14.4" customHeight="1" x14ac:dyDescent="0.3">
      <c r="A31" s="214" t="s">
        <v>904</v>
      </c>
      <c r="B31" s="922">
        <v>2015</v>
      </c>
      <c r="C31" s="220"/>
      <c r="D31" s="220"/>
      <c r="E31" s="220"/>
      <c r="F31" s="922">
        <v>1847</v>
      </c>
      <c r="G31" s="220"/>
      <c r="H31" s="220"/>
      <c r="I31" s="220"/>
      <c r="J31" s="922">
        <v>1886</v>
      </c>
      <c r="K31" s="220"/>
      <c r="L31" s="220"/>
      <c r="M31" s="220"/>
      <c r="N31" s="922">
        <v>1988</v>
      </c>
      <c r="O31" s="220"/>
      <c r="P31" s="220"/>
      <c r="Q31" s="220"/>
      <c r="R31" s="922">
        <v>2261</v>
      </c>
      <c r="S31" s="220"/>
      <c r="T31" s="220"/>
      <c r="U31" s="220"/>
      <c r="V31" s="922">
        <v>1725</v>
      </c>
      <c r="W31" s="220"/>
      <c r="X31" s="220"/>
      <c r="Y31" s="220"/>
      <c r="Z31" s="922">
        <v>1292</v>
      </c>
      <c r="AA31" s="220"/>
      <c r="AB31" s="220"/>
      <c r="AC31" s="220"/>
      <c r="AD31" s="220"/>
      <c r="AE31" s="220"/>
      <c r="AF31" s="220"/>
      <c r="AG31" s="220"/>
      <c r="AH31" s="220"/>
      <c r="AI31" s="220"/>
      <c r="AJ31" s="220"/>
      <c r="AK31" s="220"/>
      <c r="AL31" s="220"/>
      <c r="AM31" s="220"/>
      <c r="AN31" s="220"/>
      <c r="AO31" s="220"/>
      <c r="AP31" s="220"/>
      <c r="AQ31" s="220"/>
      <c r="AR31" s="220"/>
      <c r="AS31" s="223"/>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row>
    <row r="32" spans="1:86" s="658" customFormat="1" ht="14.4" customHeight="1" x14ac:dyDescent="0.3">
      <c r="A32" s="214" t="s">
        <v>905</v>
      </c>
      <c r="B32" s="1282">
        <f>SUM(B29:B31)</f>
        <v>7245</v>
      </c>
      <c r="C32" s="220"/>
      <c r="D32" s="220"/>
      <c r="E32" s="220"/>
      <c r="F32" s="1282">
        <f>SUM(F29:F31)</f>
        <v>8245</v>
      </c>
      <c r="G32" s="220"/>
      <c r="H32" s="220"/>
      <c r="I32" s="220"/>
      <c r="J32" s="1282">
        <f>SUM(J29:J31)</f>
        <v>8500</v>
      </c>
      <c r="K32" s="220"/>
      <c r="L32" s="220"/>
      <c r="M32" s="220"/>
      <c r="N32" s="1282">
        <f>SUM(N29:N31)</f>
        <v>8353</v>
      </c>
      <c r="O32" s="220"/>
      <c r="P32" s="220"/>
      <c r="Q32" s="220"/>
      <c r="R32" s="1282">
        <f>SUM(R29:R31)</f>
        <v>8696</v>
      </c>
      <c r="S32" s="220"/>
      <c r="T32" s="220"/>
      <c r="U32" s="220"/>
      <c r="V32" s="1282">
        <f>SUM(V29:V31)</f>
        <v>6905</v>
      </c>
      <c r="W32" s="220"/>
      <c r="X32" s="220"/>
      <c r="Y32" s="220"/>
      <c r="Z32" s="1282">
        <f>SUM(Z29:Z31)</f>
        <v>6095</v>
      </c>
      <c r="AA32" s="220"/>
      <c r="AB32" s="220"/>
      <c r="AC32" s="220"/>
      <c r="AD32" s="220"/>
      <c r="AE32" s="220"/>
      <c r="AF32" s="220"/>
      <c r="AG32" s="220"/>
      <c r="AH32" s="220"/>
      <c r="AI32" s="220"/>
      <c r="AJ32" s="220"/>
      <c r="AK32" s="220"/>
      <c r="AL32" s="220"/>
      <c r="AM32" s="220"/>
      <c r="AN32" s="220"/>
      <c r="AO32" s="220"/>
      <c r="AP32" s="220"/>
      <c r="AQ32" s="220"/>
      <c r="AR32" s="220"/>
      <c r="AS32" s="223"/>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row>
    <row r="33" spans="1:86" s="658" customFormat="1" ht="14.4" customHeight="1" x14ac:dyDescent="0.3">
      <c r="A33" s="214"/>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3"/>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row>
    <row r="34" spans="1:86" s="658" customFormat="1" ht="14.4" customHeight="1" x14ac:dyDescent="0.3">
      <c r="A34" s="214" t="s">
        <v>908</v>
      </c>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3"/>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row>
    <row r="35" spans="1:86" s="658" customFormat="1" ht="14.4" customHeight="1" x14ac:dyDescent="0.3">
      <c r="A35" s="214" t="s">
        <v>902</v>
      </c>
      <c r="B35" s="1297">
        <v>11</v>
      </c>
      <c r="C35" s="220"/>
      <c r="D35" s="464">
        <f>(B29-B35)/B29</f>
        <v>0.99634794156706508</v>
      </c>
      <c r="E35" s="220"/>
      <c r="F35" s="1297">
        <v>67</v>
      </c>
      <c r="G35" s="220"/>
      <c r="H35" s="464">
        <f>(F29-F35)/F29</f>
        <v>0.98113207547169812</v>
      </c>
      <c r="I35" s="220"/>
      <c r="J35" s="1297">
        <v>-1019</v>
      </c>
      <c r="K35" s="220"/>
      <c r="L35" s="464">
        <f>(J29-J35)/J29</f>
        <v>1.2568691706579278</v>
      </c>
      <c r="M35" s="220"/>
      <c r="N35" s="1297">
        <v>-2843</v>
      </c>
      <c r="O35" s="220"/>
      <c r="P35" s="464">
        <f>(N29-N35)/N29</f>
        <v>1.7164818548387097</v>
      </c>
      <c r="Q35" s="220"/>
      <c r="R35" s="1297">
        <v>-656</v>
      </c>
      <c r="S35" s="220"/>
      <c r="T35" s="464">
        <f>(R29-R35)/R29</f>
        <v>1.1935674240188847</v>
      </c>
      <c r="U35" s="220"/>
      <c r="V35" s="1297">
        <v>-584</v>
      </c>
      <c r="W35" s="220"/>
      <c r="X35" s="464">
        <f>(V29-V35)/V29</f>
        <v>1.2058512513218189</v>
      </c>
      <c r="Y35" s="220"/>
      <c r="Z35" s="1297">
        <v>21</v>
      </c>
      <c r="AA35" s="220"/>
      <c r="AB35" s="464">
        <f>(Z29-Z35)/Z29</f>
        <v>0.99224519940915801</v>
      </c>
      <c r="AC35" s="220"/>
      <c r="AD35" s="220"/>
      <c r="AE35" s="220"/>
      <c r="AF35" s="220"/>
      <c r="AG35" s="220"/>
      <c r="AH35" s="220"/>
      <c r="AI35" s="220"/>
      <c r="AJ35" s="220"/>
      <c r="AK35" s="220"/>
      <c r="AL35" s="220"/>
      <c r="AM35" s="220"/>
      <c r="AN35" s="220"/>
      <c r="AO35" s="220"/>
      <c r="AP35" s="220"/>
      <c r="AQ35" s="220"/>
      <c r="AR35" s="220"/>
      <c r="AS35" s="223"/>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row>
    <row r="36" spans="1:86" s="658" customFormat="1" ht="14.4" customHeight="1" x14ac:dyDescent="0.3">
      <c r="A36" s="214" t="s">
        <v>903</v>
      </c>
      <c r="B36" s="922">
        <v>-93</v>
      </c>
      <c r="C36" s="220"/>
      <c r="D36" s="464">
        <f>(B30-B36)/B30</f>
        <v>1.0419296663660955</v>
      </c>
      <c r="E36" s="220"/>
      <c r="F36" s="922">
        <v>20</v>
      </c>
      <c r="G36" s="220"/>
      <c r="H36" s="464">
        <f>(F30-F36)/F30</f>
        <v>0.99297506146821213</v>
      </c>
      <c r="I36" s="220"/>
      <c r="J36" s="922">
        <v>-319</v>
      </c>
      <c r="K36" s="220"/>
      <c r="L36" s="464">
        <f>(J30-J36)/J30</f>
        <v>1.1205137891953154</v>
      </c>
      <c r="M36" s="220"/>
      <c r="N36" s="922">
        <v>-746</v>
      </c>
      <c r="O36" s="220"/>
      <c r="P36" s="464">
        <f>(N30-N36)/N30</f>
        <v>1.3112223612849394</v>
      </c>
      <c r="Q36" s="220"/>
      <c r="R36" s="922">
        <v>-518</v>
      </c>
      <c r="S36" s="220"/>
      <c r="T36" s="464">
        <f>(R30-R36)/R30</f>
        <v>1.1700590938936311</v>
      </c>
      <c r="U36" s="220"/>
      <c r="V36" s="922">
        <v>-473</v>
      </c>
      <c r="W36" s="220"/>
      <c r="X36" s="464">
        <f>(V30-V36)/V30</f>
        <v>1.2018779342723005</v>
      </c>
      <c r="Y36" s="220"/>
      <c r="Z36" s="922">
        <v>-101</v>
      </c>
      <c r="AA36" s="220"/>
      <c r="AB36" s="464">
        <f>(Z30-Z36)/Z30</f>
        <v>1.0482100238663485</v>
      </c>
      <c r="AC36" s="220"/>
      <c r="AD36" s="220"/>
      <c r="AE36" s="220"/>
      <c r="AF36" s="220"/>
      <c r="AG36" s="220"/>
      <c r="AH36" s="220"/>
      <c r="AI36" s="220"/>
      <c r="AJ36" s="220"/>
      <c r="AK36" s="220"/>
      <c r="AL36" s="220"/>
      <c r="AM36" s="220"/>
      <c r="AN36" s="220"/>
      <c r="AO36" s="220"/>
      <c r="AP36" s="220"/>
      <c r="AQ36" s="220"/>
      <c r="AR36" s="220"/>
      <c r="AS36" s="223"/>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row>
    <row r="37" spans="1:86" s="658" customFormat="1" ht="14.4" customHeight="1" x14ac:dyDescent="0.3">
      <c r="A37" s="214" t="s">
        <v>904</v>
      </c>
      <c r="B37" s="922">
        <v>85</v>
      </c>
      <c r="C37" s="220"/>
      <c r="D37" s="464">
        <f>(B31-B37)/B31</f>
        <v>0.95781637717121593</v>
      </c>
      <c r="E37" s="220"/>
      <c r="F37" s="922">
        <v>58</v>
      </c>
      <c r="G37" s="220"/>
      <c r="H37" s="464">
        <f>(F31-F37)/F31</f>
        <v>0.9685977260422306</v>
      </c>
      <c r="I37" s="220"/>
      <c r="J37" s="922">
        <v>-55</v>
      </c>
      <c r="K37" s="220"/>
      <c r="L37" s="464">
        <f>(J31-J37)/J31</f>
        <v>1.0291622481442206</v>
      </c>
      <c r="M37" s="220"/>
      <c r="N37" s="922">
        <v>-82</v>
      </c>
      <c r="O37" s="220"/>
      <c r="P37" s="464">
        <f>(N31-N37)/N31</f>
        <v>1.0412474849094568</v>
      </c>
      <c r="Q37" s="220"/>
      <c r="R37" s="922">
        <v>-80</v>
      </c>
      <c r="S37" s="220"/>
      <c r="T37" s="464">
        <f>(R31-R37)/R31</f>
        <v>1.0353825740822644</v>
      </c>
      <c r="U37" s="220"/>
      <c r="V37" s="922">
        <v>-127</v>
      </c>
      <c r="W37" s="220"/>
      <c r="X37" s="464">
        <f>(V31-V37)/V31</f>
        <v>1.0736231884057972</v>
      </c>
      <c r="Y37" s="220"/>
      <c r="Z37" s="922">
        <v>-290</v>
      </c>
      <c r="AA37" s="220"/>
      <c r="AB37" s="464">
        <f>(Z31-Z37)/Z31</f>
        <v>1.2244582043343653</v>
      </c>
      <c r="AC37" s="220"/>
      <c r="AD37" s="220"/>
      <c r="AE37" s="220"/>
      <c r="AF37" s="220"/>
      <c r="AG37" s="220"/>
      <c r="AH37" s="220"/>
      <c r="AI37" s="220"/>
      <c r="AJ37" s="220"/>
      <c r="AK37" s="220"/>
      <c r="AL37" s="220"/>
      <c r="AM37" s="220"/>
      <c r="AN37" s="220"/>
      <c r="AO37" s="220"/>
      <c r="AP37" s="220"/>
      <c r="AQ37" s="220"/>
      <c r="AR37" s="220"/>
      <c r="AS37" s="223"/>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row>
    <row r="38" spans="1:86" s="658" customFormat="1" ht="14.4" customHeight="1" x14ac:dyDescent="0.3">
      <c r="A38" s="214" t="s">
        <v>1678</v>
      </c>
      <c r="B38" s="1282">
        <f>SUM(B35:B37)</f>
        <v>3</v>
      </c>
      <c r="C38" s="220"/>
      <c r="D38" s="228">
        <f>(B32-B38)/B32</f>
        <v>0.99958592132505175</v>
      </c>
      <c r="E38" s="220"/>
      <c r="F38" s="1282">
        <f>SUM(F35:F37)</f>
        <v>145</v>
      </c>
      <c r="G38" s="220"/>
      <c r="H38" s="228">
        <f>(F32-F38)/F32</f>
        <v>0.9824135839902971</v>
      </c>
      <c r="I38" s="220"/>
      <c r="J38" s="1282">
        <f>SUM(J35:J37)</f>
        <v>-1393</v>
      </c>
      <c r="K38" s="220"/>
      <c r="L38" s="228">
        <f>(J32-J38)/J32</f>
        <v>1.1638823529411764</v>
      </c>
      <c r="M38" s="220"/>
      <c r="N38" s="1282">
        <f>SUM(N35:N37)</f>
        <v>-3671</v>
      </c>
      <c r="O38" s="220"/>
      <c r="P38" s="228">
        <f>(N32-N38)/N32</f>
        <v>1.4394828205435173</v>
      </c>
      <c r="Q38" s="220"/>
      <c r="R38" s="1282">
        <f>SUM(R35:R37)</f>
        <v>-1254</v>
      </c>
      <c r="S38" s="220"/>
      <c r="T38" s="228">
        <f>(R32-R38)/R32</f>
        <v>1.1442042318307268</v>
      </c>
      <c r="U38" s="220"/>
      <c r="V38" s="1282">
        <f>SUM(V35:V37)</f>
        <v>-1184</v>
      </c>
      <c r="W38" s="220"/>
      <c r="X38" s="228">
        <f>(V32-V38)/V32</f>
        <v>1.1714699493120926</v>
      </c>
      <c r="Y38" s="220"/>
      <c r="Z38" s="1282">
        <f>SUM(Z35:Z37)</f>
        <v>-370</v>
      </c>
      <c r="AA38" s="220"/>
      <c r="AB38" s="228">
        <f>(Z32-Z38)/Z32</f>
        <v>1.0607054963084495</v>
      </c>
      <c r="AC38" s="220"/>
      <c r="AD38" s="220"/>
      <c r="AE38" s="220"/>
      <c r="AF38" s="220"/>
      <c r="AG38" s="220"/>
      <c r="AH38" s="220"/>
      <c r="AI38" s="220"/>
      <c r="AJ38" s="220"/>
      <c r="AK38" s="220"/>
      <c r="AL38" s="220"/>
      <c r="AM38" s="220"/>
      <c r="AN38" s="220"/>
      <c r="AO38" s="220"/>
      <c r="AP38" s="220"/>
      <c r="AQ38" s="220"/>
      <c r="AR38" s="220"/>
      <c r="AS38" s="223"/>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row>
    <row r="39" spans="1:86" s="658" customFormat="1" ht="14.4" customHeight="1" x14ac:dyDescent="0.3">
      <c r="A39" s="221" t="s">
        <v>1677</v>
      </c>
      <c r="B39" s="392"/>
      <c r="C39" s="220"/>
      <c r="D39" s="464"/>
      <c r="E39" s="220"/>
      <c r="F39" s="392"/>
      <c r="G39" s="220"/>
      <c r="H39" s="464"/>
      <c r="I39" s="220"/>
      <c r="J39" s="392"/>
      <c r="K39" s="220"/>
      <c r="L39" s="464"/>
      <c r="M39" s="220"/>
      <c r="N39" s="392"/>
      <c r="O39" s="220"/>
      <c r="P39" s="464"/>
      <c r="Q39" s="220"/>
      <c r="R39" s="392"/>
      <c r="S39" s="220"/>
      <c r="T39" s="464"/>
      <c r="U39" s="220"/>
      <c r="V39" s="392"/>
      <c r="W39" s="220"/>
      <c r="X39" s="464"/>
      <c r="Y39" s="220"/>
      <c r="Z39" s="392"/>
      <c r="AA39" s="220"/>
      <c r="AB39" s="464"/>
      <c r="AC39" s="220"/>
      <c r="AD39" s="220"/>
      <c r="AE39" s="220"/>
      <c r="AF39" s="220"/>
      <c r="AG39" s="220"/>
      <c r="AH39" s="220"/>
      <c r="AI39" s="220"/>
      <c r="AJ39" s="220"/>
      <c r="AK39" s="220"/>
      <c r="AL39" s="220"/>
      <c r="AM39" s="220"/>
      <c r="AN39" s="220"/>
      <c r="AO39" s="220"/>
      <c r="AP39" s="220"/>
      <c r="AQ39" s="220"/>
      <c r="AR39" s="220"/>
      <c r="AS39" s="223"/>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row>
    <row r="40" spans="1:86" ht="14.4" hidden="1" customHeight="1" outlineLevel="1" x14ac:dyDescent="0.3">
      <c r="A40" s="1268" t="s">
        <v>909</v>
      </c>
      <c r="B40" s="848"/>
      <c r="C40" s="848"/>
      <c r="D40" s="848"/>
      <c r="E40" s="848"/>
      <c r="F40" s="848"/>
      <c r="G40" s="848"/>
      <c r="H40" s="848"/>
      <c r="I40" s="848"/>
      <c r="J40" s="848"/>
      <c r="K40" s="848"/>
      <c r="L40" s="8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48"/>
      <c r="AQ40" s="848"/>
      <c r="AR40" s="848"/>
      <c r="AS40" s="849"/>
    </row>
    <row r="41" spans="1:86" ht="14.4" hidden="1" customHeight="1" outlineLevel="1" thickBot="1" x14ac:dyDescent="0.35">
      <c r="A41" s="214" t="s">
        <v>526</v>
      </c>
      <c r="B41" s="1275">
        <v>6860</v>
      </c>
      <c r="C41" s="392"/>
      <c r="D41" s="392"/>
      <c r="E41" s="392"/>
      <c r="F41" s="1275">
        <v>8021</v>
      </c>
      <c r="G41" s="392"/>
      <c r="H41" s="392"/>
      <c r="I41" s="392"/>
      <c r="J41" s="1275">
        <v>8521</v>
      </c>
      <c r="K41" s="392"/>
      <c r="L41" s="392"/>
      <c r="M41" s="392"/>
      <c r="N41" s="1284">
        <f>N26</f>
        <v>8730</v>
      </c>
      <c r="O41" s="402"/>
      <c r="P41" s="402"/>
      <c r="Q41" s="402"/>
      <c r="R41" s="1284">
        <f>R26</f>
        <v>8816</v>
      </c>
      <c r="S41" s="392"/>
      <c r="T41" s="392"/>
      <c r="U41" s="392"/>
      <c r="V41" s="1275">
        <v>7043</v>
      </c>
      <c r="W41" s="392"/>
      <c r="X41" s="392"/>
      <c r="Y41" s="392"/>
      <c r="Z41" s="1275">
        <v>6084</v>
      </c>
      <c r="AA41" s="392"/>
      <c r="AB41" s="392"/>
      <c r="AC41" s="392"/>
      <c r="AD41" s="1056"/>
      <c r="AE41" s="392"/>
      <c r="AF41" s="392"/>
      <c r="AG41" s="392"/>
      <c r="AH41" s="1056"/>
      <c r="AI41" s="392"/>
      <c r="AJ41" s="392"/>
      <c r="AK41" s="392"/>
      <c r="AL41" s="1056"/>
      <c r="AM41" s="392"/>
      <c r="AN41" s="392"/>
      <c r="AO41" s="392"/>
      <c r="AP41" s="1056"/>
      <c r="AQ41" s="392"/>
      <c r="AR41" s="392"/>
      <c r="AS41" s="253"/>
      <c r="AT41" s="252"/>
    </row>
    <row r="42" spans="1:86" ht="14.4" hidden="1" customHeight="1" outlineLevel="1" thickTop="1" x14ac:dyDescent="0.3">
      <c r="A42" s="214" t="s">
        <v>101</v>
      </c>
      <c r="B42" s="1277">
        <v>7245</v>
      </c>
      <c r="C42" s="215"/>
      <c r="D42" s="464"/>
      <c r="E42" s="215"/>
      <c r="F42" s="1277">
        <v>8245</v>
      </c>
      <c r="G42" s="215"/>
      <c r="H42" s="464"/>
      <c r="I42" s="215"/>
      <c r="J42" s="1277">
        <v>8500</v>
      </c>
      <c r="K42" s="215"/>
      <c r="L42" s="464"/>
      <c r="M42" s="215"/>
      <c r="N42" s="1277">
        <v>8353</v>
      </c>
      <c r="O42" s="215"/>
      <c r="P42" s="464"/>
      <c r="Q42" s="215"/>
      <c r="R42" s="1277">
        <v>8696</v>
      </c>
      <c r="S42" s="215"/>
      <c r="T42" s="464"/>
      <c r="U42" s="215"/>
      <c r="V42" s="1277">
        <v>6905</v>
      </c>
      <c r="W42" s="215"/>
      <c r="X42" s="464"/>
      <c r="Y42" s="215"/>
      <c r="Z42" s="1277">
        <v>6095</v>
      </c>
      <c r="AA42" s="215"/>
      <c r="AB42" s="464"/>
      <c r="AC42" s="215"/>
      <c r="AD42" s="1047"/>
      <c r="AE42" s="215"/>
      <c r="AF42" s="464"/>
      <c r="AG42" s="215"/>
      <c r="AH42" s="1047"/>
      <c r="AI42" s="215"/>
      <c r="AJ42" s="464"/>
      <c r="AK42" s="215"/>
      <c r="AL42" s="1047"/>
      <c r="AM42" s="215"/>
      <c r="AN42" s="464"/>
      <c r="AO42" s="215"/>
      <c r="AP42" s="1047"/>
      <c r="AQ42" s="215"/>
      <c r="AR42" s="464"/>
      <c r="AS42" s="260"/>
      <c r="AT42" s="230"/>
    </row>
    <row r="43" spans="1:86" hidden="1" outlineLevel="2" x14ac:dyDescent="0.3">
      <c r="A43" s="214" t="s">
        <v>527</v>
      </c>
      <c r="B43" s="215"/>
      <c r="C43" s="215"/>
      <c r="D43" s="464"/>
      <c r="E43" s="215"/>
      <c r="F43" s="215"/>
      <c r="G43" s="215"/>
      <c r="H43" s="464"/>
      <c r="I43" s="215"/>
      <c r="J43" s="215"/>
      <c r="K43" s="215"/>
      <c r="L43" s="464"/>
      <c r="M43" s="215"/>
      <c r="N43" s="215"/>
      <c r="O43" s="215"/>
      <c r="P43" s="464"/>
      <c r="Q43" s="215"/>
      <c r="R43" s="215"/>
      <c r="S43" s="215"/>
      <c r="T43" s="464"/>
      <c r="U43" s="215"/>
      <c r="V43" s="215">
        <v>6022</v>
      </c>
      <c r="W43" s="215"/>
      <c r="X43" s="464"/>
      <c r="Y43" s="215"/>
      <c r="Z43" s="215">
        <v>4607</v>
      </c>
      <c r="AA43" s="215"/>
      <c r="AB43" s="464"/>
      <c r="AC43" s="215"/>
      <c r="AD43" s="1047"/>
      <c r="AE43" s="215"/>
      <c r="AF43" s="464"/>
      <c r="AG43" s="215"/>
      <c r="AH43" s="1047"/>
      <c r="AI43" s="215"/>
      <c r="AJ43" s="464"/>
      <c r="AK43" s="215"/>
      <c r="AL43" s="1047"/>
      <c r="AM43" s="215"/>
      <c r="AN43" s="464"/>
      <c r="AO43" s="215"/>
      <c r="AP43" s="1047"/>
      <c r="AQ43" s="215"/>
      <c r="AR43" s="464"/>
      <c r="AS43" s="260"/>
      <c r="AT43" s="230"/>
    </row>
    <row r="44" spans="1:86" hidden="1" outlineLevel="2" x14ac:dyDescent="0.3">
      <c r="A44" s="214" t="s">
        <v>102</v>
      </c>
      <c r="B44" s="503"/>
      <c r="C44" s="215"/>
      <c r="D44" s="464"/>
      <c r="E44" s="215"/>
      <c r="F44" s="503"/>
      <c r="G44" s="215"/>
      <c r="H44" s="464"/>
      <c r="I44" s="215"/>
      <c r="J44" s="503"/>
      <c r="K44" s="215"/>
      <c r="L44" s="464"/>
      <c r="M44" s="215"/>
      <c r="N44" s="503"/>
      <c r="O44" s="215"/>
      <c r="P44" s="464"/>
      <c r="Q44" s="215"/>
      <c r="R44" s="503"/>
      <c r="S44" s="215"/>
      <c r="T44" s="464"/>
      <c r="U44" s="215"/>
      <c r="V44" s="503">
        <v>2067</v>
      </c>
      <c r="W44" s="215"/>
      <c r="X44" s="464"/>
      <c r="Y44" s="215"/>
      <c r="Z44" s="503">
        <v>1858</v>
      </c>
      <c r="AA44" s="215"/>
      <c r="AB44" s="464"/>
      <c r="AC44" s="215"/>
      <c r="AD44" s="1047"/>
      <c r="AE44" s="215"/>
      <c r="AF44" s="464"/>
      <c r="AG44" s="215"/>
      <c r="AH44" s="1047"/>
      <c r="AI44" s="215"/>
      <c r="AJ44" s="464"/>
      <c r="AK44" s="215"/>
      <c r="AL44" s="1047"/>
      <c r="AM44" s="215"/>
      <c r="AN44" s="464"/>
      <c r="AO44" s="215"/>
      <c r="AP44" s="1047"/>
      <c r="AQ44" s="215"/>
      <c r="AR44" s="464"/>
      <c r="AS44" s="260"/>
      <c r="AT44" s="230"/>
    </row>
    <row r="45" spans="1:86" hidden="1" outlineLevel="2" x14ac:dyDescent="0.3">
      <c r="A45" s="214" t="s">
        <v>685</v>
      </c>
      <c r="B45" s="215">
        <f>B42-B46</f>
        <v>7242</v>
      </c>
      <c r="C45" s="215"/>
      <c r="D45" s="464"/>
      <c r="E45" s="215"/>
      <c r="F45" s="215">
        <f>F42-F46</f>
        <v>8100</v>
      </c>
      <c r="G45" s="215"/>
      <c r="H45" s="464"/>
      <c r="I45" s="215"/>
      <c r="J45" s="215">
        <f>J42-J46</f>
        <v>9893</v>
      </c>
      <c r="K45" s="215"/>
      <c r="L45" s="464"/>
      <c r="M45" s="215"/>
      <c r="N45" s="215">
        <f>N42-N46</f>
        <v>12024</v>
      </c>
      <c r="O45" s="215"/>
      <c r="P45" s="464"/>
      <c r="Q45" s="215"/>
      <c r="R45" s="215">
        <f>R42-R46</f>
        <v>9950</v>
      </c>
      <c r="S45" s="215"/>
      <c r="T45" s="464"/>
      <c r="U45" s="215"/>
      <c r="V45" s="215">
        <f>V43+V44</f>
        <v>8089</v>
      </c>
      <c r="W45" s="215"/>
      <c r="X45" s="464"/>
      <c r="Y45" s="215"/>
      <c r="Z45" s="215">
        <f>Z43+Z44</f>
        <v>6465</v>
      </c>
      <c r="AA45" s="215"/>
      <c r="AB45" s="464"/>
      <c r="AC45" s="215"/>
      <c r="AD45" s="1047"/>
      <c r="AE45" s="215"/>
      <c r="AF45" s="464"/>
      <c r="AG45" s="215"/>
      <c r="AH45" s="1047"/>
      <c r="AI45" s="215"/>
      <c r="AJ45" s="464"/>
      <c r="AK45" s="215"/>
      <c r="AL45" s="1047"/>
      <c r="AM45" s="215"/>
      <c r="AN45" s="464"/>
      <c r="AO45" s="215"/>
      <c r="AP45" s="1047"/>
      <c r="AQ45" s="215"/>
      <c r="AR45" s="464"/>
      <c r="AS45" s="260"/>
      <c r="AT45" s="230"/>
    </row>
    <row r="46" spans="1:86" ht="16.2" hidden="1" outlineLevel="1" collapsed="1" thickBot="1" x14ac:dyDescent="0.35">
      <c r="A46" s="214" t="s">
        <v>686</v>
      </c>
      <c r="B46" s="1276">
        <v>3</v>
      </c>
      <c r="C46" s="215"/>
      <c r="D46" s="215"/>
      <c r="E46" s="215"/>
      <c r="F46" s="1276">
        <v>145</v>
      </c>
      <c r="G46" s="215"/>
      <c r="H46" s="215"/>
      <c r="I46" s="215"/>
      <c r="J46" s="1276">
        <v>-1393</v>
      </c>
      <c r="K46" s="215"/>
      <c r="L46" s="215"/>
      <c r="M46" s="215"/>
      <c r="N46" s="1276">
        <v>-3671</v>
      </c>
      <c r="O46" s="215"/>
      <c r="P46" s="215"/>
      <c r="Q46" s="215"/>
      <c r="R46" s="1276">
        <f>R38</f>
        <v>-1254</v>
      </c>
      <c r="S46" s="215"/>
      <c r="T46" s="215"/>
      <c r="U46" s="215"/>
      <c r="V46" s="1276">
        <f>V42-V45</f>
        <v>-1184</v>
      </c>
      <c r="W46" s="215"/>
      <c r="X46" s="215"/>
      <c r="Y46" s="215"/>
      <c r="Z46" s="1276">
        <f>Z42-Z45</f>
        <v>-370</v>
      </c>
      <c r="AA46" s="215"/>
      <c r="AB46" s="215"/>
      <c r="AC46" s="215"/>
      <c r="AD46" s="1056"/>
      <c r="AE46" s="215"/>
      <c r="AF46" s="215"/>
      <c r="AG46" s="215"/>
      <c r="AH46" s="1056"/>
      <c r="AI46" s="215"/>
      <c r="AJ46" s="215"/>
      <c r="AK46" s="215"/>
      <c r="AL46" s="1056"/>
      <c r="AM46" s="215"/>
      <c r="AN46" s="215"/>
      <c r="AO46" s="215"/>
      <c r="AP46" s="1056"/>
      <c r="AQ46" s="215"/>
      <c r="AR46" s="215"/>
      <c r="AS46" s="260"/>
      <c r="AT46" s="230"/>
    </row>
    <row r="47" spans="1:86" ht="11.4" hidden="1" customHeight="1" outlineLevel="1" thickTop="1" x14ac:dyDescent="0.3">
      <c r="A47" s="878"/>
      <c r="B47" s="871"/>
      <c r="C47" s="503"/>
      <c r="D47" s="503"/>
      <c r="E47" s="503"/>
      <c r="F47" s="871"/>
      <c r="G47" s="503"/>
      <c r="H47" s="503"/>
      <c r="I47" s="503"/>
      <c r="J47" s="871"/>
      <c r="K47" s="503"/>
      <c r="L47" s="503"/>
      <c r="M47" s="503"/>
      <c r="N47" s="871"/>
      <c r="O47" s="503"/>
      <c r="P47" s="503"/>
      <c r="Q47" s="503"/>
      <c r="R47" s="871"/>
      <c r="S47" s="503"/>
      <c r="T47" s="503"/>
      <c r="U47" s="503"/>
      <c r="V47" s="871"/>
      <c r="W47" s="503"/>
      <c r="X47" s="503"/>
      <c r="Y47" s="503"/>
      <c r="Z47" s="871"/>
      <c r="AA47" s="503"/>
      <c r="AB47" s="503"/>
      <c r="AC47" s="503"/>
      <c r="AD47" s="871"/>
      <c r="AE47" s="503"/>
      <c r="AF47" s="503"/>
      <c r="AG47" s="503"/>
      <c r="AH47" s="871"/>
      <c r="AI47" s="503"/>
      <c r="AJ47" s="503"/>
      <c r="AK47" s="503"/>
      <c r="AL47" s="871"/>
      <c r="AM47" s="503"/>
      <c r="AN47" s="503"/>
      <c r="AO47" s="503"/>
      <c r="AP47" s="871"/>
      <c r="AQ47" s="503"/>
      <c r="AR47" s="503"/>
      <c r="AS47" s="506"/>
      <c r="AT47" s="230"/>
    </row>
    <row r="48" spans="1:86" ht="8.25" customHeight="1" collapsed="1" x14ac:dyDescent="0.3">
      <c r="A48" s="214"/>
      <c r="B48" s="875"/>
      <c r="C48" s="215"/>
      <c r="D48" s="464"/>
      <c r="E48" s="464"/>
      <c r="F48" s="875"/>
      <c r="G48" s="215"/>
      <c r="H48" s="464"/>
      <c r="I48" s="464"/>
      <c r="J48" s="875"/>
      <c r="K48" s="215"/>
      <c r="L48" s="464"/>
      <c r="M48" s="464"/>
      <c r="N48" s="875"/>
      <c r="O48" s="215"/>
      <c r="P48" s="464"/>
      <c r="Q48" s="464"/>
      <c r="R48" s="875"/>
      <c r="S48" s="215"/>
      <c r="T48" s="464"/>
      <c r="U48" s="464"/>
      <c r="V48" s="875"/>
      <c r="W48" s="215"/>
      <c r="X48" s="464"/>
      <c r="Y48" s="464"/>
      <c r="Z48" s="875"/>
      <c r="AA48" s="215"/>
      <c r="AB48" s="464"/>
      <c r="AC48" s="464"/>
      <c r="AD48" s="875"/>
      <c r="AE48" s="215"/>
      <c r="AF48" s="464"/>
      <c r="AG48" s="464"/>
      <c r="AH48" s="875"/>
      <c r="AI48" s="215"/>
      <c r="AJ48" s="464"/>
      <c r="AK48" s="464"/>
      <c r="AL48" s="875"/>
      <c r="AM48" s="215"/>
      <c r="AN48" s="464"/>
      <c r="AO48" s="464"/>
      <c r="AP48" s="875"/>
      <c r="AQ48" s="215"/>
      <c r="AR48" s="464"/>
      <c r="AS48" s="223"/>
    </row>
    <row r="49" spans="1:49" s="597" customFormat="1" ht="4.5" customHeight="1" x14ac:dyDescent="0.3">
      <c r="A49" s="1155"/>
      <c r="B49" s="1278"/>
      <c r="C49" s="686"/>
      <c r="D49" s="728"/>
      <c r="E49" s="728"/>
      <c r="F49" s="1278"/>
      <c r="G49" s="686"/>
      <c r="H49" s="728"/>
      <c r="I49" s="728"/>
      <c r="J49" s="1278"/>
      <c r="K49" s="686"/>
      <c r="L49" s="728"/>
      <c r="M49" s="728"/>
      <c r="N49" s="1278"/>
      <c r="O49" s="686"/>
      <c r="P49" s="728"/>
      <c r="Q49" s="728"/>
      <c r="R49" s="1278"/>
      <c r="S49" s="686"/>
      <c r="T49" s="728"/>
      <c r="U49" s="728"/>
      <c r="V49" s="1278"/>
      <c r="W49" s="686"/>
      <c r="X49" s="728"/>
      <c r="Y49" s="728"/>
      <c r="Z49" s="1278"/>
      <c r="AA49" s="686"/>
      <c r="AB49" s="728"/>
      <c r="AC49" s="728"/>
      <c r="AD49" s="1278"/>
      <c r="AE49" s="686"/>
      <c r="AF49" s="728"/>
      <c r="AG49" s="728"/>
      <c r="AH49" s="1278"/>
      <c r="AI49" s="686"/>
      <c r="AJ49" s="728"/>
      <c r="AK49" s="728"/>
      <c r="AL49" s="1278"/>
      <c r="AM49" s="686"/>
      <c r="AN49" s="728"/>
      <c r="AO49" s="728"/>
      <c r="AP49" s="1278"/>
      <c r="AQ49" s="686"/>
      <c r="AR49" s="728"/>
      <c r="AS49" s="1279"/>
    </row>
    <row r="50" spans="1:49" s="612" customFormat="1" ht="8.25" customHeight="1" x14ac:dyDescent="0.3">
      <c r="A50" s="734"/>
      <c r="B50" s="1280"/>
      <c r="C50" s="813"/>
      <c r="D50" s="827"/>
      <c r="E50" s="827"/>
      <c r="F50" s="1280"/>
      <c r="G50" s="813"/>
      <c r="H50" s="827"/>
      <c r="I50" s="827"/>
      <c r="J50" s="1280"/>
      <c r="K50" s="813"/>
      <c r="L50" s="827"/>
      <c r="M50" s="827"/>
      <c r="N50" s="1280"/>
      <c r="O50" s="813"/>
      <c r="P50" s="827"/>
      <c r="Q50" s="827"/>
      <c r="R50" s="1280"/>
      <c r="S50" s="813"/>
      <c r="T50" s="827"/>
      <c r="U50" s="827"/>
      <c r="V50" s="1280"/>
      <c r="W50" s="813"/>
      <c r="X50" s="827"/>
      <c r="Y50" s="827"/>
      <c r="Z50" s="1280"/>
      <c r="AA50" s="813"/>
      <c r="AB50" s="827"/>
      <c r="AC50" s="827"/>
      <c r="AD50" s="1280"/>
      <c r="AE50" s="813"/>
      <c r="AF50" s="827"/>
      <c r="AG50" s="827"/>
      <c r="AH50" s="1280"/>
      <c r="AI50" s="813"/>
      <c r="AJ50" s="827"/>
      <c r="AK50" s="827"/>
      <c r="AL50" s="1280"/>
      <c r="AM50" s="813"/>
      <c r="AN50" s="827"/>
      <c r="AO50" s="827"/>
      <c r="AP50" s="1280"/>
      <c r="AQ50" s="813"/>
      <c r="AR50" s="827"/>
      <c r="AS50" s="1281"/>
    </row>
    <row r="51" spans="1:49" ht="3" customHeight="1" x14ac:dyDescent="0.3">
      <c r="A51" s="214"/>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3"/>
    </row>
    <row r="52" spans="1:49" x14ac:dyDescent="0.3">
      <c r="A52" s="1272" t="s">
        <v>899</v>
      </c>
      <c r="B52" s="2929">
        <v>2004</v>
      </c>
      <c r="C52" s="2929"/>
      <c r="D52" s="2929"/>
      <c r="E52" s="1296"/>
      <c r="F52" s="2929">
        <v>2003</v>
      </c>
      <c r="G52" s="2929"/>
      <c r="H52" s="2929"/>
      <c r="I52" s="1296"/>
      <c r="J52" s="2929">
        <v>2002</v>
      </c>
      <c r="K52" s="2929"/>
      <c r="L52" s="2929"/>
      <c r="M52" s="1296"/>
      <c r="N52" s="2929">
        <v>2001</v>
      </c>
      <c r="O52" s="2929"/>
      <c r="P52" s="2929"/>
      <c r="Q52" s="1296"/>
      <c r="R52" s="2929">
        <v>2000</v>
      </c>
      <c r="S52" s="2929"/>
      <c r="T52" s="2929"/>
      <c r="U52" s="1296"/>
      <c r="V52" s="2929">
        <v>1999</v>
      </c>
      <c r="W52" s="2929"/>
      <c r="X52" s="2929"/>
      <c r="Y52" s="1296"/>
      <c r="Z52" s="2929">
        <v>1998</v>
      </c>
      <c r="AA52" s="2929"/>
      <c r="AB52" s="2929"/>
      <c r="AC52" s="1296"/>
      <c r="AD52" s="2929">
        <v>1997</v>
      </c>
      <c r="AE52" s="2929"/>
      <c r="AF52" s="2929"/>
      <c r="AG52" s="1296"/>
      <c r="AH52" s="2929">
        <v>1996</v>
      </c>
      <c r="AI52" s="2929"/>
      <c r="AJ52" s="2929"/>
      <c r="AK52" s="1296"/>
      <c r="AL52" s="2929">
        <v>1995</v>
      </c>
      <c r="AM52" s="2929"/>
      <c r="AN52" s="2929"/>
      <c r="AO52" s="1296"/>
      <c r="AP52" s="2929">
        <v>1994</v>
      </c>
      <c r="AQ52" s="2929"/>
      <c r="AR52" s="2929"/>
      <c r="AS52" s="223"/>
    </row>
    <row r="53" spans="1:49" x14ac:dyDescent="0.3">
      <c r="A53" s="1283" t="s">
        <v>1250</v>
      </c>
      <c r="B53" s="1269" t="s">
        <v>688</v>
      </c>
      <c r="C53" s="1270"/>
      <c r="D53" s="1269" t="s">
        <v>689</v>
      </c>
      <c r="E53" s="1271"/>
      <c r="F53" s="1269" t="s">
        <v>688</v>
      </c>
      <c r="G53" s="1270"/>
      <c r="H53" s="1269" t="s">
        <v>689</v>
      </c>
      <c r="I53" s="1271"/>
      <c r="J53" s="1269" t="s">
        <v>688</v>
      </c>
      <c r="K53" s="1270"/>
      <c r="L53" s="1269" t="s">
        <v>689</v>
      </c>
      <c r="M53" s="1271"/>
      <c r="N53" s="1269" t="s">
        <v>688</v>
      </c>
      <c r="O53" s="1270"/>
      <c r="P53" s="1269" t="s">
        <v>689</v>
      </c>
      <c r="Q53" s="1271"/>
      <c r="R53" s="1269" t="s">
        <v>688</v>
      </c>
      <c r="S53" s="1270"/>
      <c r="T53" s="1269" t="s">
        <v>689</v>
      </c>
      <c r="U53" s="1271"/>
      <c r="V53" s="1269" t="s">
        <v>688</v>
      </c>
      <c r="W53" s="1270"/>
      <c r="X53" s="1269" t="s">
        <v>689</v>
      </c>
      <c r="Y53" s="1271"/>
      <c r="Z53" s="1269" t="s">
        <v>688</v>
      </c>
      <c r="AA53" s="1270"/>
      <c r="AB53" s="1269" t="s">
        <v>689</v>
      </c>
      <c r="AC53" s="1271"/>
      <c r="AD53" s="1269" t="s">
        <v>688</v>
      </c>
      <c r="AE53" s="1270"/>
      <c r="AF53" s="1269" t="s">
        <v>689</v>
      </c>
      <c r="AG53" s="1271"/>
      <c r="AH53" s="1269" t="s">
        <v>688</v>
      </c>
      <c r="AI53" s="1270"/>
      <c r="AJ53" s="1269" t="s">
        <v>689</v>
      </c>
      <c r="AK53" s="1271"/>
      <c r="AL53" s="1269" t="s">
        <v>688</v>
      </c>
      <c r="AM53" s="1270"/>
      <c r="AN53" s="1269" t="s">
        <v>689</v>
      </c>
      <c r="AO53" s="1271"/>
      <c r="AP53" s="1269" t="s">
        <v>688</v>
      </c>
      <c r="AQ53" s="1270"/>
      <c r="AR53" s="1269" t="s">
        <v>689</v>
      </c>
      <c r="AS53" s="879"/>
    </row>
    <row r="54" spans="1:49" outlineLevel="1" x14ac:dyDescent="0.3">
      <c r="A54" s="214" t="s">
        <v>452</v>
      </c>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3"/>
    </row>
    <row r="55" spans="1:49" outlineLevel="1" x14ac:dyDescent="0.3">
      <c r="A55" s="214" t="s">
        <v>950</v>
      </c>
      <c r="B55" s="1297">
        <v>1462</v>
      </c>
      <c r="C55" s="220"/>
      <c r="D55" s="220"/>
      <c r="E55" s="220"/>
      <c r="F55" s="1297">
        <v>1330</v>
      </c>
      <c r="G55" s="220"/>
      <c r="H55" s="220"/>
      <c r="I55" s="220"/>
      <c r="J55" s="1297">
        <v>1283</v>
      </c>
      <c r="K55" s="220"/>
      <c r="L55" s="220"/>
      <c r="M55" s="220"/>
      <c r="N55" s="1297">
        <v>553</v>
      </c>
      <c r="O55" s="220"/>
      <c r="P55" s="220"/>
      <c r="Q55" s="220"/>
      <c r="R55" s="1297">
        <v>321</v>
      </c>
      <c r="S55" s="220"/>
      <c r="T55" s="220"/>
      <c r="U55" s="220"/>
      <c r="V55" s="1297">
        <v>880</v>
      </c>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3"/>
    </row>
    <row r="56" spans="1:49" outlineLevel="1" x14ac:dyDescent="0.3">
      <c r="A56" s="214" t="s">
        <v>951</v>
      </c>
      <c r="B56" s="922">
        <v>188</v>
      </c>
      <c r="C56" s="926"/>
      <c r="D56" s="926"/>
      <c r="E56" s="926"/>
      <c r="F56" s="922">
        <v>526</v>
      </c>
      <c r="G56" s="926"/>
      <c r="H56" s="926"/>
      <c r="I56" s="926"/>
      <c r="J56" s="922">
        <v>407</v>
      </c>
      <c r="K56" s="926"/>
      <c r="L56" s="926"/>
      <c r="M56" s="926"/>
      <c r="N56" s="922">
        <v>1993</v>
      </c>
      <c r="O56" s="926"/>
      <c r="P56" s="926"/>
      <c r="Q56" s="926"/>
      <c r="R56" s="922">
        <v>3944</v>
      </c>
      <c r="S56" s="220"/>
      <c r="T56" s="220"/>
      <c r="U56" s="220"/>
      <c r="V56" s="922">
        <v>1507</v>
      </c>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3"/>
    </row>
    <row r="57" spans="1:49" outlineLevel="1" x14ac:dyDescent="0.3">
      <c r="A57" s="214" t="s">
        <v>952</v>
      </c>
      <c r="B57" s="686"/>
      <c r="C57" s="220"/>
      <c r="D57" s="220"/>
      <c r="E57" s="220"/>
      <c r="F57" s="686"/>
      <c r="G57" s="220"/>
      <c r="H57" s="220"/>
      <c r="I57" s="220"/>
      <c r="J57" s="922">
        <v>1289</v>
      </c>
      <c r="K57" s="926"/>
      <c r="L57" s="926"/>
      <c r="M57" s="926"/>
      <c r="N57" s="922">
        <v>220</v>
      </c>
      <c r="O57" s="926"/>
      <c r="P57" s="926"/>
      <c r="Q57" s="926"/>
      <c r="R57" s="922">
        <v>22</v>
      </c>
      <c r="S57" s="220"/>
      <c r="T57" s="220"/>
      <c r="U57" s="220"/>
      <c r="V57" s="2464"/>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3"/>
    </row>
    <row r="58" spans="1:49" outlineLevel="1" x14ac:dyDescent="0.3">
      <c r="A58" s="214" t="s">
        <v>380</v>
      </c>
      <c r="B58" s="922">
        <v>2064</v>
      </c>
      <c r="C58" s="926"/>
      <c r="D58" s="926"/>
      <c r="E58" s="926"/>
      <c r="F58" s="922">
        <v>2574</v>
      </c>
      <c r="G58" s="926"/>
      <c r="H58" s="926"/>
      <c r="I58" s="926"/>
      <c r="J58" s="922">
        <v>321</v>
      </c>
      <c r="K58" s="926"/>
      <c r="L58" s="926"/>
      <c r="M58" s="926"/>
      <c r="N58" s="922">
        <v>225</v>
      </c>
      <c r="O58" s="926"/>
      <c r="P58" s="926"/>
      <c r="Q58" s="926"/>
      <c r="R58" s="922">
        <v>425</v>
      </c>
      <c r="S58" s="220"/>
      <c r="T58" s="220"/>
      <c r="U58" s="220"/>
      <c r="V58" s="2464"/>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3"/>
    </row>
    <row r="59" spans="1:49" outlineLevel="1" x14ac:dyDescent="0.3">
      <c r="A59" s="214" t="s">
        <v>953</v>
      </c>
      <c r="B59" s="1282">
        <f>SUM(B55:B58)</f>
        <v>3714</v>
      </c>
      <c r="C59" s="220"/>
      <c r="D59" s="220"/>
      <c r="E59" s="220"/>
      <c r="F59" s="1282">
        <f>SUM(F55:F58)</f>
        <v>4430</v>
      </c>
      <c r="G59" s="220"/>
      <c r="H59" s="220"/>
      <c r="I59" s="220"/>
      <c r="J59" s="1282">
        <f>SUM(J55:J58)</f>
        <v>3300</v>
      </c>
      <c r="K59" s="220"/>
      <c r="L59" s="220"/>
      <c r="M59" s="220"/>
      <c r="N59" s="1282">
        <f>SUM(N55:N58)</f>
        <v>2991</v>
      </c>
      <c r="O59" s="220"/>
      <c r="P59" s="220"/>
      <c r="Q59" s="220"/>
      <c r="R59" s="1282">
        <f>SUM(R55:R58)</f>
        <v>4712</v>
      </c>
      <c r="S59" s="220"/>
      <c r="T59" s="220"/>
      <c r="U59" s="220"/>
      <c r="V59" s="1282">
        <f>SUM(V55:V58)</f>
        <v>2387</v>
      </c>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3"/>
    </row>
    <row r="60" spans="1:49" outlineLevel="1" x14ac:dyDescent="0.3">
      <c r="A60" s="214"/>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t="s">
        <v>176</v>
      </c>
      <c r="AE60" s="220"/>
      <c r="AF60" s="220"/>
      <c r="AG60" s="220"/>
      <c r="AH60" s="220"/>
      <c r="AI60" s="220"/>
      <c r="AJ60" s="220"/>
      <c r="AK60" s="220"/>
      <c r="AL60" s="220"/>
      <c r="AM60" s="220"/>
      <c r="AN60" s="220"/>
      <c r="AO60" s="220"/>
      <c r="AP60" s="220"/>
      <c r="AQ60" s="220"/>
      <c r="AR60" s="220"/>
      <c r="AS60" s="223"/>
    </row>
    <row r="61" spans="1:49" outlineLevel="1" x14ac:dyDescent="0.3">
      <c r="A61" s="214" t="s">
        <v>908</v>
      </c>
      <c r="B61" s="220"/>
      <c r="C61" s="220"/>
      <c r="D61" s="220"/>
      <c r="E61" s="220"/>
      <c r="F61" s="220"/>
      <c r="G61" s="220"/>
      <c r="H61" s="220"/>
      <c r="I61" s="220"/>
      <c r="J61" s="684"/>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3"/>
    </row>
    <row r="62" spans="1:49" outlineLevel="1" x14ac:dyDescent="0.3">
      <c r="A62" s="214" t="s">
        <v>950</v>
      </c>
      <c r="B62" s="1297">
        <v>385</v>
      </c>
      <c r="C62" s="220"/>
      <c r="D62" s="464">
        <f>1-B62/B55</f>
        <v>0.73666210670314636</v>
      </c>
      <c r="E62" s="220"/>
      <c r="F62" s="1297">
        <v>1108</v>
      </c>
      <c r="G62" s="220"/>
      <c r="H62" s="464">
        <f>1-F62/F55</f>
        <v>0.16691729323308269</v>
      </c>
      <c r="I62" s="220"/>
      <c r="J62" s="1297">
        <v>1006</v>
      </c>
      <c r="K62" s="220"/>
      <c r="L62" s="464">
        <f>1-J62/J55</f>
        <v>0.21590023382696799</v>
      </c>
      <c r="M62" s="220"/>
      <c r="N62" s="1297">
        <v>-150</v>
      </c>
      <c r="O62" s="220"/>
      <c r="P62" s="464">
        <f>1-N62/N55</f>
        <v>1.27124773960217</v>
      </c>
      <c r="Q62" s="220"/>
      <c r="R62" s="1297">
        <v>196</v>
      </c>
      <c r="S62" s="220"/>
      <c r="T62" s="464">
        <f>1-R62/R55</f>
        <v>0.38940809968847356</v>
      </c>
      <c r="U62" s="220"/>
      <c r="V62" s="1297">
        <f>196-355</f>
        <v>-159</v>
      </c>
      <c r="W62" s="220"/>
      <c r="X62" s="464">
        <f>1-V62/V55</f>
        <v>1.1806818181818182</v>
      </c>
      <c r="Y62" s="220"/>
      <c r="Z62" s="220"/>
      <c r="AA62" s="220"/>
      <c r="AB62" s="220"/>
      <c r="AC62" s="220"/>
      <c r="AD62" s="220"/>
      <c r="AE62" s="220"/>
      <c r="AF62" s="220"/>
      <c r="AG62" s="220"/>
      <c r="AH62" s="220"/>
      <c r="AI62" s="220"/>
      <c r="AJ62" s="220"/>
      <c r="AK62" s="220"/>
      <c r="AL62" s="220"/>
      <c r="AM62" s="220"/>
      <c r="AN62" s="220"/>
      <c r="AO62" s="220"/>
      <c r="AP62" s="220"/>
      <c r="AQ62" s="220"/>
      <c r="AR62" s="220"/>
      <c r="AS62" s="223"/>
      <c r="AW62" s="1303"/>
    </row>
    <row r="63" spans="1:49" outlineLevel="1" x14ac:dyDescent="0.3">
      <c r="A63" s="214" t="s">
        <v>951</v>
      </c>
      <c r="B63" s="922">
        <v>-412</v>
      </c>
      <c r="C63" s="220"/>
      <c r="D63" s="464">
        <f t="shared" ref="D63" si="0">1-B63/B56</f>
        <v>3.1914893617021276</v>
      </c>
      <c r="E63" s="220"/>
      <c r="F63" s="922">
        <v>-387</v>
      </c>
      <c r="G63" s="220"/>
      <c r="H63" s="464">
        <f t="shared" ref="H63:H66" si="1">1-F63/F56</f>
        <v>1.7357414448669202</v>
      </c>
      <c r="I63" s="220"/>
      <c r="J63" s="922">
        <v>-446</v>
      </c>
      <c r="K63" s="220"/>
      <c r="L63" s="464">
        <f t="shared" ref="L63:L66" si="2">1-J63/J56</f>
        <v>2.0958230958230959</v>
      </c>
      <c r="M63" s="220"/>
      <c r="N63" s="922">
        <v>-371</v>
      </c>
      <c r="O63" s="220"/>
      <c r="P63" s="464">
        <f t="shared" ref="P63:P66" si="3">1-N63/N56</f>
        <v>1.1861515303562469</v>
      </c>
      <c r="Q63" s="220"/>
      <c r="R63" s="922">
        <v>-191</v>
      </c>
      <c r="S63" s="220"/>
      <c r="T63" s="464">
        <f t="shared" ref="T63:T65" si="4">1-R63/R56</f>
        <v>1.0484279918864097</v>
      </c>
      <c r="U63" s="220"/>
      <c r="V63" s="922">
        <v>-97</v>
      </c>
      <c r="W63" s="220"/>
      <c r="X63" s="464">
        <f t="shared" ref="X63" si="5">1-V63/V56</f>
        <v>1.0643662906436628</v>
      </c>
      <c r="Y63" s="220"/>
      <c r="Z63" s="220"/>
      <c r="AA63" s="220"/>
      <c r="AB63" s="220"/>
      <c r="AC63" s="220"/>
      <c r="AD63" s="220"/>
      <c r="AE63" s="220"/>
      <c r="AF63" s="220"/>
      <c r="AG63" s="220"/>
      <c r="AH63" s="220"/>
      <c r="AI63" s="220"/>
      <c r="AJ63" s="220"/>
      <c r="AK63" s="220"/>
      <c r="AL63" s="220"/>
      <c r="AM63" s="220"/>
      <c r="AN63" s="220"/>
      <c r="AO63" s="220"/>
      <c r="AP63" s="220"/>
      <c r="AQ63" s="220"/>
      <c r="AR63" s="220"/>
      <c r="AS63" s="223"/>
    </row>
    <row r="64" spans="1:49" outlineLevel="1" x14ac:dyDescent="0.3">
      <c r="A64" s="214" t="s">
        <v>952</v>
      </c>
      <c r="B64" s="686"/>
      <c r="C64" s="220"/>
      <c r="D64" s="220"/>
      <c r="E64" s="220"/>
      <c r="F64" s="686"/>
      <c r="G64" s="220"/>
      <c r="H64" s="464"/>
      <c r="I64" s="220"/>
      <c r="J64" s="922">
        <v>-86</v>
      </c>
      <c r="K64" s="220"/>
      <c r="L64" s="464">
        <f t="shared" si="2"/>
        <v>1.0667183863460046</v>
      </c>
      <c r="M64" s="220"/>
      <c r="N64" s="922">
        <v>-57</v>
      </c>
      <c r="O64" s="220"/>
      <c r="P64" s="464">
        <f t="shared" si="3"/>
        <v>1.259090909090909</v>
      </c>
      <c r="Q64" s="220"/>
      <c r="R64" s="922">
        <v>-3</v>
      </c>
      <c r="S64" s="220"/>
      <c r="T64" s="464">
        <f t="shared" si="4"/>
        <v>1.1363636363636362</v>
      </c>
      <c r="U64" s="220"/>
      <c r="V64" s="2464"/>
      <c r="W64" s="220"/>
      <c r="X64" s="464"/>
      <c r="Y64" s="220"/>
      <c r="Z64" s="220"/>
      <c r="AA64" s="220"/>
      <c r="AB64" s="220"/>
      <c r="AC64" s="220"/>
      <c r="AD64" s="220"/>
      <c r="AE64" s="220"/>
      <c r="AF64" s="220"/>
      <c r="AG64" s="220"/>
      <c r="AH64" s="220"/>
      <c r="AI64" s="220"/>
      <c r="AJ64" s="220"/>
      <c r="AK64" s="220"/>
      <c r="AL64" s="220"/>
      <c r="AM64" s="220"/>
      <c r="AN64" s="220"/>
      <c r="AO64" s="220"/>
      <c r="AP64" s="220"/>
      <c r="AQ64" s="220"/>
      <c r="AR64" s="220"/>
      <c r="AS64" s="223"/>
    </row>
    <row r="65" spans="1:86" outlineLevel="1" x14ac:dyDescent="0.3">
      <c r="A65" s="214" t="s">
        <v>380</v>
      </c>
      <c r="B65" s="922">
        <v>444</v>
      </c>
      <c r="C65" s="220"/>
      <c r="D65" s="464">
        <f>1-B65/B58</f>
        <v>0.78488372093023262</v>
      </c>
      <c r="E65" s="220"/>
      <c r="F65" s="922">
        <v>326</v>
      </c>
      <c r="G65" s="220"/>
      <c r="H65" s="464">
        <f t="shared" si="1"/>
        <v>0.87334887334887334</v>
      </c>
      <c r="I65" s="220"/>
      <c r="J65" s="922">
        <v>60</v>
      </c>
      <c r="K65" s="220"/>
      <c r="L65" s="464">
        <f t="shared" si="2"/>
        <v>0.81308411214953269</v>
      </c>
      <c r="M65" s="220"/>
      <c r="N65" s="922">
        <v>-69</v>
      </c>
      <c r="O65" s="220"/>
      <c r="P65" s="464">
        <f t="shared" si="3"/>
        <v>1.3066666666666666</v>
      </c>
      <c r="Q65" s="220"/>
      <c r="R65" s="922">
        <v>-164</v>
      </c>
      <c r="S65" s="220"/>
      <c r="T65" s="464">
        <f t="shared" si="4"/>
        <v>1.3858823529411763</v>
      </c>
      <c r="U65" s="220"/>
      <c r="V65" s="2464"/>
      <c r="W65" s="220"/>
      <c r="X65" s="464"/>
      <c r="Y65" s="220"/>
      <c r="Z65" s="220"/>
      <c r="AA65" s="220"/>
      <c r="AB65" s="220"/>
      <c r="AC65" s="220"/>
      <c r="AD65" s="220"/>
      <c r="AE65" s="220"/>
      <c r="AF65" s="220"/>
      <c r="AG65" s="220"/>
      <c r="AH65" s="220"/>
      <c r="AI65" s="220"/>
      <c r="AJ65" s="220"/>
      <c r="AK65" s="220"/>
      <c r="AL65" s="220"/>
      <c r="AM65" s="220"/>
      <c r="AN65" s="220"/>
      <c r="AO65" s="220"/>
      <c r="AP65" s="220"/>
      <c r="AQ65" s="220"/>
      <c r="AR65" s="220"/>
      <c r="AS65" s="223"/>
    </row>
    <row r="66" spans="1:86" outlineLevel="1" x14ac:dyDescent="0.3">
      <c r="A66" s="214" t="s">
        <v>1679</v>
      </c>
      <c r="B66" s="1282">
        <f>SUM(B62:B65)</f>
        <v>417</v>
      </c>
      <c r="C66" s="220"/>
      <c r="D66" s="228">
        <f t="shared" ref="D66" si="6">1-B66/B59</f>
        <v>0.8877221324717286</v>
      </c>
      <c r="E66" s="220"/>
      <c r="F66" s="1282">
        <f>SUM(F62:F65)</f>
        <v>1047</v>
      </c>
      <c r="G66" s="220"/>
      <c r="H66" s="228">
        <f t="shared" si="1"/>
        <v>0.76365688487584649</v>
      </c>
      <c r="I66" s="220"/>
      <c r="J66" s="1282">
        <f>SUM(J62:J65)</f>
        <v>534</v>
      </c>
      <c r="K66" s="220"/>
      <c r="L66" s="228">
        <f t="shared" si="2"/>
        <v>0.83818181818181814</v>
      </c>
      <c r="M66" s="220"/>
      <c r="N66" s="1282">
        <f>SUM(N62:N65)</f>
        <v>-647</v>
      </c>
      <c r="O66" s="220"/>
      <c r="P66" s="228">
        <f t="shared" si="3"/>
        <v>1.2163156135071882</v>
      </c>
      <c r="Q66" s="220"/>
      <c r="R66" s="1282">
        <f>SUM(R62:R65)</f>
        <v>-162</v>
      </c>
      <c r="S66" s="220"/>
      <c r="T66" s="228">
        <f>1-R66/R59</f>
        <v>1.0343803056027165</v>
      </c>
      <c r="U66" s="220"/>
      <c r="V66" s="1282">
        <f>SUM(V62:V65)</f>
        <v>-256</v>
      </c>
      <c r="W66" s="220"/>
      <c r="X66" s="228">
        <f>1-V66/V59</f>
        <v>1.1072475911185589</v>
      </c>
      <c r="Y66" s="220"/>
      <c r="Z66" s="220"/>
      <c r="AA66" s="220"/>
      <c r="AB66" s="220"/>
      <c r="AC66" s="220"/>
      <c r="AD66" s="220"/>
      <c r="AE66" s="220"/>
      <c r="AF66" s="220"/>
      <c r="AG66" s="220"/>
      <c r="AH66" s="220"/>
      <c r="AI66" s="220"/>
      <c r="AJ66" s="220"/>
      <c r="AK66" s="220"/>
      <c r="AL66" s="220"/>
      <c r="AM66" s="220"/>
      <c r="AN66" s="220"/>
      <c r="AO66" s="220"/>
      <c r="AP66" s="220"/>
      <c r="AQ66" s="220"/>
      <c r="AR66" s="220"/>
      <c r="AS66" s="223"/>
    </row>
    <row r="67" spans="1:86" outlineLevel="1" x14ac:dyDescent="0.3">
      <c r="A67" s="221" t="s">
        <v>1677</v>
      </c>
      <c r="B67" s="392"/>
      <c r="C67" s="220"/>
      <c r="D67" s="464"/>
      <c r="E67" s="220"/>
      <c r="F67" s="392"/>
      <c r="G67" s="220"/>
      <c r="H67" s="464"/>
      <c r="I67" s="220"/>
      <c r="J67" s="392"/>
      <c r="K67" s="220"/>
      <c r="L67" s="464"/>
      <c r="M67" s="220"/>
      <c r="N67" s="392"/>
      <c r="O67" s="220"/>
      <c r="P67" s="464"/>
      <c r="Q67" s="220"/>
      <c r="R67" s="392"/>
      <c r="S67" s="220"/>
      <c r="T67" s="464"/>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3"/>
    </row>
    <row r="68" spans="1:86" outlineLevel="1" x14ac:dyDescent="0.3">
      <c r="A68" s="1272"/>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3"/>
    </row>
    <row r="69" spans="1:86" outlineLevel="1" x14ac:dyDescent="0.3">
      <c r="A69" s="1268" t="s">
        <v>1680</v>
      </c>
      <c r="B69" s="848"/>
      <c r="C69" s="848"/>
      <c r="D69" s="848"/>
      <c r="E69" s="848"/>
      <c r="F69" s="848"/>
      <c r="G69" s="848"/>
      <c r="H69" s="848"/>
      <c r="I69" s="848"/>
      <c r="J69" s="848"/>
      <c r="K69" s="848"/>
      <c r="L69" s="848"/>
      <c r="M69" s="848"/>
      <c r="N69" s="848"/>
      <c r="O69" s="848"/>
      <c r="P69" s="848"/>
      <c r="Q69" s="848"/>
      <c r="R69" s="848"/>
      <c r="S69" s="848"/>
      <c r="T69" s="848"/>
      <c r="U69" s="848"/>
      <c r="V69" s="848"/>
      <c r="W69" s="848"/>
      <c r="X69" s="848"/>
      <c r="Y69" s="848"/>
      <c r="Z69" s="848"/>
      <c r="AA69" s="848"/>
      <c r="AB69" s="848"/>
      <c r="AC69" s="848"/>
      <c r="AD69" s="848"/>
      <c r="AE69" s="848"/>
      <c r="AF69" s="848"/>
      <c r="AG69" s="848"/>
      <c r="AH69" s="848"/>
      <c r="AI69" s="848"/>
      <c r="AJ69" s="848"/>
      <c r="AK69" s="848"/>
      <c r="AL69" s="848"/>
      <c r="AM69" s="848"/>
      <c r="AN69" s="848"/>
      <c r="AO69" s="848"/>
      <c r="AP69" s="848"/>
      <c r="AQ69" s="848"/>
      <c r="AR69" s="848"/>
      <c r="AS69" s="849"/>
    </row>
    <row r="70" spans="1:86" ht="16.2" outlineLevel="1" thickBot="1" x14ac:dyDescent="0.35">
      <c r="A70" s="214" t="s">
        <v>526</v>
      </c>
      <c r="B70" s="2465"/>
      <c r="C70" s="392"/>
      <c r="D70" s="392"/>
      <c r="E70" s="392"/>
      <c r="F70" s="2465"/>
      <c r="G70" s="392"/>
      <c r="H70" s="392"/>
      <c r="I70" s="392"/>
      <c r="J70" s="2465"/>
      <c r="K70" s="392"/>
      <c r="L70" s="392"/>
      <c r="M70" s="392"/>
      <c r="N70" s="1275">
        <v>3254</v>
      </c>
      <c r="O70" s="1297"/>
      <c r="P70" s="1297"/>
      <c r="Q70" s="1297"/>
      <c r="R70" s="1275">
        <v>4724</v>
      </c>
      <c r="S70" s="1297"/>
      <c r="T70" s="1297"/>
      <c r="U70" s="1297"/>
      <c r="V70" s="1275">
        <v>2410</v>
      </c>
      <c r="W70" s="1297"/>
      <c r="X70" s="1297"/>
      <c r="Y70" s="1297"/>
      <c r="Z70" s="1275">
        <v>986</v>
      </c>
      <c r="AA70" s="1297"/>
      <c r="AB70" s="1297"/>
      <c r="AC70" s="1297"/>
      <c r="AD70" s="1275">
        <v>955.4</v>
      </c>
      <c r="AE70" s="1297"/>
      <c r="AF70" s="1297"/>
      <c r="AG70" s="1297"/>
      <c r="AH70" s="1275">
        <v>715</v>
      </c>
      <c r="AI70" s="1297"/>
      <c r="AJ70" s="1297"/>
      <c r="AK70" s="1297"/>
      <c r="AL70" s="1275">
        <v>777</v>
      </c>
      <c r="AM70" s="1297"/>
      <c r="AN70" s="1297"/>
      <c r="AO70" s="1297"/>
      <c r="AP70" s="1275">
        <v>689.8</v>
      </c>
      <c r="AQ70" s="392"/>
      <c r="AR70" s="392"/>
      <c r="AS70" s="253"/>
      <c r="AT70" s="252"/>
    </row>
    <row r="71" spans="1:86" ht="16.2" thickTop="1" x14ac:dyDescent="0.3">
      <c r="A71" s="214" t="s">
        <v>101</v>
      </c>
      <c r="B71" s="1294">
        <v>3714</v>
      </c>
      <c r="C71" s="215"/>
      <c r="D71" s="868">
        <f>B71/B$71</f>
        <v>1</v>
      </c>
      <c r="E71" s="215"/>
      <c r="F71" s="1294">
        <v>4430</v>
      </c>
      <c r="G71" s="215"/>
      <c r="H71" s="868">
        <f>F71/F$71</f>
        <v>1</v>
      </c>
      <c r="I71" s="215"/>
      <c r="J71" s="1294">
        <v>3300</v>
      </c>
      <c r="K71" s="215"/>
      <c r="L71" s="868">
        <f>J71/J$71</f>
        <v>1</v>
      </c>
      <c r="M71" s="215"/>
      <c r="N71" s="1277">
        <v>2991</v>
      </c>
      <c r="O71" s="215"/>
      <c r="P71" s="868">
        <f>N71/N$71</f>
        <v>1</v>
      </c>
      <c r="Q71" s="215"/>
      <c r="R71" s="1277">
        <v>4712</v>
      </c>
      <c r="S71" s="215"/>
      <c r="T71" s="868">
        <f>R71/R$71</f>
        <v>1</v>
      </c>
      <c r="U71" s="215"/>
      <c r="V71" s="1277">
        <v>2382</v>
      </c>
      <c r="W71" s="215"/>
      <c r="X71" s="868">
        <f>V71/V$71</f>
        <v>1</v>
      </c>
      <c r="Y71" s="215"/>
      <c r="Z71" s="1277">
        <v>939</v>
      </c>
      <c r="AA71" s="215"/>
      <c r="AB71" s="868">
        <f>Z71/Z$71</f>
        <v>1</v>
      </c>
      <c r="AC71" s="215"/>
      <c r="AD71" s="1277">
        <v>966.6</v>
      </c>
      <c r="AE71" s="215"/>
      <c r="AF71" s="868">
        <f>AD71/AD$71</f>
        <v>1</v>
      </c>
      <c r="AG71" s="215"/>
      <c r="AH71" s="1277">
        <v>757.5</v>
      </c>
      <c r="AI71" s="215"/>
      <c r="AJ71" s="868">
        <f>AH71/AH$71</f>
        <v>1</v>
      </c>
      <c r="AK71" s="215"/>
      <c r="AL71" s="1277">
        <v>717.6</v>
      </c>
      <c r="AM71" s="215"/>
      <c r="AN71" s="868">
        <f>AL71/AL$71</f>
        <v>1</v>
      </c>
      <c r="AO71" s="215"/>
      <c r="AP71" s="1277">
        <v>688.4</v>
      </c>
      <c r="AQ71" s="215"/>
      <c r="AR71" s="868">
        <f>AP71/AP$71</f>
        <v>1</v>
      </c>
      <c r="AS71" s="260"/>
      <c r="AT71" s="230"/>
    </row>
    <row r="72" spans="1:86" x14ac:dyDescent="0.3">
      <c r="A72" s="214" t="s">
        <v>527</v>
      </c>
      <c r="B72" s="686"/>
      <c r="C72" s="215"/>
      <c r="D72" s="464">
        <f>B72/B$71</f>
        <v>0</v>
      </c>
      <c r="E72" s="215"/>
      <c r="F72" s="686"/>
      <c r="G72" s="215"/>
      <c r="H72" s="464">
        <f>F72/F$71</f>
        <v>0</v>
      </c>
      <c r="I72" s="215"/>
      <c r="J72" s="686"/>
      <c r="K72" s="215"/>
      <c r="L72" s="464">
        <f>J72/J$71</f>
        <v>0</v>
      </c>
      <c r="M72" s="215"/>
      <c r="N72" s="922">
        <v>3443</v>
      </c>
      <c r="O72" s="215"/>
      <c r="P72" s="464">
        <f>N72/N$71</f>
        <v>1.1511200267469075</v>
      </c>
      <c r="Q72" s="215"/>
      <c r="R72" s="922">
        <f>4766-6</f>
        <v>4760</v>
      </c>
      <c r="S72" s="215"/>
      <c r="T72" s="464">
        <f>R72/R$71</f>
        <v>1.0101867572156198</v>
      </c>
      <c r="U72" s="215"/>
      <c r="V72" s="922">
        <v>2573</v>
      </c>
      <c r="W72" s="215"/>
      <c r="X72" s="464">
        <f>V72/V$71</f>
        <v>1.0801847187237616</v>
      </c>
      <c r="Y72" s="215"/>
      <c r="Z72" s="922">
        <v>765</v>
      </c>
      <c r="AA72" s="215"/>
      <c r="AB72" s="464">
        <f>Z72/Z$71</f>
        <v>0.81469648562300323</v>
      </c>
      <c r="AC72" s="215"/>
      <c r="AD72" s="922">
        <v>675.8</v>
      </c>
      <c r="AE72" s="215"/>
      <c r="AF72" s="464">
        <f>AD72/AD$71</f>
        <v>0.69915166563211251</v>
      </c>
      <c r="AG72" s="215"/>
      <c r="AH72" s="922">
        <v>572.9</v>
      </c>
      <c r="AI72" s="215"/>
      <c r="AJ72" s="464">
        <f>AH72/AH$71</f>
        <v>0.75630363036303627</v>
      </c>
      <c r="AK72" s="215"/>
      <c r="AL72" s="922">
        <v>522</v>
      </c>
      <c r="AM72" s="215"/>
      <c r="AN72" s="464">
        <f>AL72/AL$71</f>
        <v>0.72742474916387956</v>
      </c>
      <c r="AO72" s="215"/>
      <c r="AP72" s="922">
        <v>476.9</v>
      </c>
      <c r="AQ72" s="215"/>
      <c r="AR72" s="464">
        <f>AP72/AP$71</f>
        <v>0.69276583381754797</v>
      </c>
      <c r="AS72" s="260"/>
      <c r="AT72" s="230"/>
    </row>
    <row r="73" spans="1:86" x14ac:dyDescent="0.3">
      <c r="A73" s="214" t="s">
        <v>102</v>
      </c>
      <c r="B73" s="2466"/>
      <c r="C73" s="215"/>
      <c r="D73" s="868">
        <f>B73/B$71</f>
        <v>0</v>
      </c>
      <c r="E73" s="215"/>
      <c r="F73" s="2466"/>
      <c r="G73" s="215"/>
      <c r="H73" s="868">
        <f>F73/F$71</f>
        <v>0</v>
      </c>
      <c r="I73" s="215"/>
      <c r="J73" s="2466"/>
      <c r="K73" s="215"/>
      <c r="L73" s="868">
        <f>J73/J$71</f>
        <v>0</v>
      </c>
      <c r="M73" s="215"/>
      <c r="N73" s="1232">
        <v>195</v>
      </c>
      <c r="O73" s="215"/>
      <c r="P73" s="868">
        <f>N73/N$71</f>
        <v>6.5195586760280838E-2</v>
      </c>
      <c r="Q73" s="215"/>
      <c r="R73" s="1232">
        <v>114</v>
      </c>
      <c r="S73" s="215"/>
      <c r="T73" s="868">
        <f>R73/R$71</f>
        <v>2.4193548387096774E-2</v>
      </c>
      <c r="U73" s="215"/>
      <c r="V73" s="1232">
        <v>65</v>
      </c>
      <c r="W73" s="215"/>
      <c r="X73" s="868">
        <f>V73/V$71</f>
        <v>2.7287993282955499E-2</v>
      </c>
      <c r="Y73" s="215"/>
      <c r="Z73" s="1232">
        <v>195</v>
      </c>
      <c r="AA73" s="215"/>
      <c r="AB73" s="868">
        <f>Z73/Z$71</f>
        <v>0.20766773162939298</v>
      </c>
      <c r="AC73" s="215"/>
      <c r="AD73" s="1232">
        <v>163</v>
      </c>
      <c r="AE73" s="215"/>
      <c r="AF73" s="868">
        <f>AD73/AD$71</f>
        <v>0.1686323194703083</v>
      </c>
      <c r="AG73" s="215"/>
      <c r="AH73" s="1232">
        <v>193</v>
      </c>
      <c r="AI73" s="215"/>
      <c r="AJ73" s="868">
        <f>AH73/AH$71</f>
        <v>0.25478547854785477</v>
      </c>
      <c r="AK73" s="215"/>
      <c r="AL73" s="1232">
        <v>216.6</v>
      </c>
      <c r="AM73" s="215"/>
      <c r="AN73" s="868">
        <f>AL73/AL$71</f>
        <v>0.30183946488294311</v>
      </c>
      <c r="AO73" s="215"/>
      <c r="AP73" s="1232">
        <v>130.80000000000001</v>
      </c>
      <c r="AQ73" s="215"/>
      <c r="AR73" s="868">
        <f>AP73/AP$71</f>
        <v>0.19000581057524696</v>
      </c>
      <c r="AS73" s="260"/>
      <c r="AT73" s="230"/>
    </row>
    <row r="74" spans="1:86" x14ac:dyDescent="0.3">
      <c r="A74" s="214" t="s">
        <v>685</v>
      </c>
      <c r="B74" s="922">
        <f>B71-B75</f>
        <v>3297</v>
      </c>
      <c r="C74" s="215"/>
      <c r="D74" s="464">
        <f>B74/B$71</f>
        <v>0.8877221324717286</v>
      </c>
      <c r="E74" s="215"/>
      <c r="F74" s="922">
        <f>F71-F75</f>
        <v>3383</v>
      </c>
      <c r="G74" s="215"/>
      <c r="H74" s="464">
        <f>F74/F$71</f>
        <v>0.76365688487584649</v>
      </c>
      <c r="I74" s="215"/>
      <c r="J74" s="922">
        <f>J71-J75</f>
        <v>2766</v>
      </c>
      <c r="K74" s="215"/>
      <c r="L74" s="464">
        <f>J74/J$71</f>
        <v>0.83818181818181814</v>
      </c>
      <c r="M74" s="215"/>
      <c r="N74" s="922">
        <f>N72+N73</f>
        <v>3638</v>
      </c>
      <c r="O74" s="215"/>
      <c r="P74" s="464">
        <f>N74/N$71</f>
        <v>1.2163156135071882</v>
      </c>
      <c r="Q74" s="215"/>
      <c r="R74" s="922">
        <f>R72+R73</f>
        <v>4874</v>
      </c>
      <c r="S74" s="215"/>
      <c r="T74" s="464">
        <f>R74/R$71</f>
        <v>1.0343803056027165</v>
      </c>
      <c r="U74" s="215"/>
      <c r="V74" s="922">
        <f>V72+V73</f>
        <v>2638</v>
      </c>
      <c r="W74" s="215"/>
      <c r="X74" s="464">
        <f>V74/V$71</f>
        <v>1.1074727120067172</v>
      </c>
      <c r="Y74" s="215"/>
      <c r="Z74" s="922">
        <f>Z72+Z73</f>
        <v>960</v>
      </c>
      <c r="AA74" s="215"/>
      <c r="AB74" s="464">
        <f>Z74/Z$71</f>
        <v>1.0223642172523961</v>
      </c>
      <c r="AC74" s="215"/>
      <c r="AD74" s="922">
        <f>AD72+AD73</f>
        <v>838.8</v>
      </c>
      <c r="AE74" s="215"/>
      <c r="AF74" s="464">
        <f>AD74/AD$71</f>
        <v>0.86778398510242083</v>
      </c>
      <c r="AG74" s="215"/>
      <c r="AH74" s="922">
        <f>AH72+AH73</f>
        <v>765.9</v>
      </c>
      <c r="AI74" s="215"/>
      <c r="AJ74" s="464">
        <f>AH74/AH$71</f>
        <v>1.0110891089108911</v>
      </c>
      <c r="AK74" s="215"/>
      <c r="AL74" s="922">
        <f>AL72+AL73</f>
        <v>738.6</v>
      </c>
      <c r="AM74" s="215"/>
      <c r="AN74" s="464">
        <f>AL74/AL$71</f>
        <v>1.0292642140468227</v>
      </c>
      <c r="AO74" s="215"/>
      <c r="AP74" s="922">
        <f>AP72+AP73</f>
        <v>607.70000000000005</v>
      </c>
      <c r="AQ74" s="215"/>
      <c r="AR74" s="464">
        <f>AP74/AP$71</f>
        <v>0.88277164439279499</v>
      </c>
      <c r="AS74" s="260"/>
      <c r="AT74" s="230"/>
    </row>
    <row r="75" spans="1:86" ht="16.2" thickBot="1" x14ac:dyDescent="0.35">
      <c r="A75" s="214" t="s">
        <v>686</v>
      </c>
      <c r="B75" s="1276">
        <v>417</v>
      </c>
      <c r="C75" s="1298"/>
      <c r="D75" s="1298"/>
      <c r="E75" s="1298"/>
      <c r="F75" s="1276">
        <v>1047</v>
      </c>
      <c r="G75" s="1298"/>
      <c r="H75" s="1298"/>
      <c r="I75" s="1298"/>
      <c r="J75" s="1276">
        <v>534</v>
      </c>
      <c r="K75" s="1298"/>
      <c r="L75" s="1298"/>
      <c r="M75" s="1298"/>
      <c r="N75" s="1276">
        <f>N71-N74</f>
        <v>-647</v>
      </c>
      <c r="O75" s="1298"/>
      <c r="P75" s="1298"/>
      <c r="Q75" s="1298"/>
      <c r="R75" s="1276">
        <f>R71-R74</f>
        <v>-162</v>
      </c>
      <c r="S75" s="1298"/>
      <c r="T75" s="1298"/>
      <c r="U75" s="1298"/>
      <c r="V75" s="1276">
        <f>V71-V74</f>
        <v>-256</v>
      </c>
      <c r="W75" s="1298"/>
      <c r="X75" s="1298"/>
      <c r="Y75" s="1298"/>
      <c r="Z75" s="1276">
        <f>Z71-Z74</f>
        <v>-21</v>
      </c>
      <c r="AA75" s="1298"/>
      <c r="AB75" s="1298"/>
      <c r="AC75" s="1298"/>
      <c r="AD75" s="1276">
        <f>AD71-AD74</f>
        <v>127.80000000000007</v>
      </c>
      <c r="AE75" s="1298"/>
      <c r="AF75" s="1298"/>
      <c r="AG75" s="1298"/>
      <c r="AH75" s="1276">
        <f>AH71-AH74</f>
        <v>-8.3999999999999773</v>
      </c>
      <c r="AI75" s="1298"/>
      <c r="AJ75" s="1298"/>
      <c r="AK75" s="1298"/>
      <c r="AL75" s="1276">
        <f>AL71-AL74</f>
        <v>-21</v>
      </c>
      <c r="AM75" s="1298"/>
      <c r="AN75" s="1298"/>
      <c r="AO75" s="1298"/>
      <c r="AP75" s="1276">
        <f>AP71-AP74</f>
        <v>80.699999999999932</v>
      </c>
      <c r="AQ75" s="215"/>
      <c r="AR75" s="215"/>
      <c r="AS75" s="260"/>
      <c r="AT75" s="230"/>
    </row>
    <row r="76" spans="1:86" ht="16.2" thickTop="1" x14ac:dyDescent="0.3">
      <c r="A76" s="214"/>
      <c r="B76" s="875"/>
      <c r="C76" s="215"/>
      <c r="D76" s="215"/>
      <c r="E76" s="215"/>
      <c r="F76" s="875"/>
      <c r="G76" s="215"/>
      <c r="H76" s="215"/>
      <c r="I76" s="215"/>
      <c r="J76" s="875"/>
      <c r="K76" s="215"/>
      <c r="L76" s="215"/>
      <c r="M76" s="215"/>
      <c r="N76" s="875"/>
      <c r="O76" s="215"/>
      <c r="P76" s="215"/>
      <c r="Q76" s="215"/>
      <c r="R76" s="875"/>
      <c r="S76" s="215"/>
      <c r="T76" s="215"/>
      <c r="U76" s="215"/>
      <c r="V76" s="875"/>
      <c r="W76" s="215"/>
      <c r="X76" s="215"/>
      <c r="Y76" s="215"/>
      <c r="Z76" s="875"/>
      <c r="AA76" s="215"/>
      <c r="AB76" s="215"/>
      <c r="AC76" s="215"/>
      <c r="AD76" s="875"/>
      <c r="AE76" s="215"/>
      <c r="AF76" s="215"/>
      <c r="AG76" s="215"/>
      <c r="AH76" s="875"/>
      <c r="AI76" s="215"/>
      <c r="AJ76" s="215"/>
      <c r="AK76" s="215"/>
      <c r="AL76" s="875"/>
      <c r="AM76" s="215"/>
      <c r="AN76" s="215"/>
      <c r="AO76" s="215"/>
      <c r="AP76" s="875"/>
      <c r="AQ76" s="215"/>
      <c r="AR76" s="215"/>
      <c r="AS76" s="260"/>
      <c r="AT76" s="230"/>
    </row>
    <row r="77" spans="1:86" s="309" customFormat="1" ht="62.4" hidden="1" outlineLevel="1" x14ac:dyDescent="0.3">
      <c r="A77" s="1285" t="s">
        <v>900</v>
      </c>
      <c r="B77" s="946"/>
      <c r="C77" s="428"/>
      <c r="D77" s="942"/>
      <c r="E77" s="428"/>
      <c r="F77" s="946"/>
      <c r="G77" s="428"/>
      <c r="H77" s="942"/>
      <c r="I77" s="428"/>
      <c r="J77" s="946"/>
      <c r="K77" s="428"/>
      <c r="L77" s="942"/>
      <c r="M77" s="428"/>
      <c r="N77" s="946"/>
      <c r="O77" s="428"/>
      <c r="P77" s="942"/>
      <c r="Q77" s="428"/>
      <c r="R77" s="946"/>
      <c r="S77" s="428"/>
      <c r="T77" s="942"/>
      <c r="U77" s="428"/>
      <c r="V77" s="946"/>
      <c r="W77" s="428"/>
      <c r="X77" s="942"/>
      <c r="Y77" s="428"/>
      <c r="Z77" s="946"/>
      <c r="AA77" s="428"/>
      <c r="AB77" s="942"/>
      <c r="AC77" s="428"/>
      <c r="AD77" s="946"/>
      <c r="AE77" s="428"/>
      <c r="AF77" s="942"/>
      <c r="AG77" s="1286"/>
      <c r="AH77" s="1287"/>
      <c r="AI77" s="1286"/>
      <c r="AJ77" s="1288"/>
      <c r="AK77" s="1286"/>
      <c r="AL77" s="1289">
        <v>30</v>
      </c>
      <c r="AM77" s="1286"/>
      <c r="AN77" s="1288">
        <f>AL77/AL71</f>
        <v>4.1806020066889632E-2</v>
      </c>
      <c r="AO77" s="1286"/>
      <c r="AP77" s="1289">
        <v>37</v>
      </c>
      <c r="AQ77" s="1286"/>
      <c r="AR77" s="1288">
        <f>1.024-AR74</f>
        <v>0.14122835560720504</v>
      </c>
      <c r="AS77" s="1290"/>
      <c r="AT77" s="230"/>
      <c r="AU77" s="211"/>
      <c r="AV77" s="211"/>
      <c r="AW77" s="211"/>
      <c r="AX77" s="211"/>
      <c r="AY77" s="211"/>
      <c r="AZ77" s="211"/>
      <c r="BA77" s="211"/>
      <c r="BB77" s="211"/>
      <c r="BC77" s="211"/>
      <c r="BD77" s="211"/>
      <c r="BE77" s="211"/>
      <c r="BF77" s="211"/>
      <c r="BG77" s="211"/>
      <c r="BH77" s="211"/>
      <c r="BI77" s="211"/>
      <c r="BJ77" s="211"/>
      <c r="BK77" s="211"/>
      <c r="BL77" s="211"/>
      <c r="BM77" s="211"/>
      <c r="BN77" s="211"/>
      <c r="BO77" s="211"/>
      <c r="BP77" s="211"/>
      <c r="BQ77" s="211"/>
      <c r="BR77" s="211"/>
      <c r="BS77" s="211"/>
      <c r="BT77" s="211"/>
      <c r="BU77" s="211"/>
      <c r="BV77" s="211"/>
      <c r="BW77" s="211"/>
      <c r="BX77" s="211"/>
      <c r="BY77" s="211"/>
      <c r="BZ77" s="211"/>
      <c r="CA77" s="211"/>
      <c r="CB77" s="211"/>
      <c r="CC77" s="211"/>
      <c r="CD77" s="211"/>
      <c r="CE77" s="211"/>
      <c r="CF77" s="211"/>
      <c r="CG77" s="211"/>
      <c r="CH77" s="211"/>
    </row>
    <row r="78" spans="1:86" s="597" customFormat="1" ht="4.5" customHeight="1" collapsed="1" x14ac:dyDescent="0.3">
      <c r="A78" s="1155"/>
      <c r="B78" s="1278"/>
      <c r="C78" s="686"/>
      <c r="D78" s="728"/>
      <c r="E78" s="728"/>
      <c r="F78" s="1278"/>
      <c r="G78" s="686"/>
      <c r="H78" s="728"/>
      <c r="I78" s="728"/>
      <c r="J78" s="1278"/>
      <c r="K78" s="686"/>
      <c r="L78" s="728"/>
      <c r="M78" s="728"/>
      <c r="N78" s="1278"/>
      <c r="O78" s="686"/>
      <c r="P78" s="728"/>
      <c r="Q78" s="728"/>
      <c r="R78" s="1278"/>
      <c r="S78" s="686"/>
      <c r="T78" s="728"/>
      <c r="U78" s="728"/>
      <c r="V78" s="1278"/>
      <c r="W78" s="686"/>
      <c r="X78" s="728"/>
      <c r="Y78" s="728"/>
      <c r="Z78" s="1278"/>
      <c r="AA78" s="686"/>
      <c r="AB78" s="728"/>
      <c r="AC78" s="728"/>
      <c r="AD78" s="1278"/>
      <c r="AE78" s="686"/>
      <c r="AF78" s="728"/>
      <c r="AG78" s="728"/>
      <c r="AH78" s="1278"/>
      <c r="AI78" s="686"/>
      <c r="AJ78" s="728"/>
      <c r="AK78" s="728"/>
      <c r="AL78" s="1278"/>
      <c r="AM78" s="686"/>
      <c r="AN78" s="728"/>
      <c r="AO78" s="728"/>
      <c r="AP78" s="1278"/>
      <c r="AQ78" s="686"/>
      <c r="AR78" s="728"/>
      <c r="AS78" s="1279"/>
    </row>
    <row r="79" spans="1:86" s="612" customFormat="1" ht="8.25" customHeight="1" x14ac:dyDescent="0.3">
      <c r="A79" s="734"/>
      <c r="B79" s="1280"/>
      <c r="C79" s="813"/>
      <c r="D79" s="827"/>
      <c r="E79" s="827"/>
      <c r="F79" s="1280"/>
      <c r="G79" s="813"/>
      <c r="H79" s="827"/>
      <c r="I79" s="827"/>
      <c r="J79" s="1280"/>
      <c r="K79" s="813"/>
      <c r="L79" s="827"/>
      <c r="M79" s="827"/>
      <c r="N79" s="1280"/>
      <c r="O79" s="813"/>
      <c r="P79" s="827"/>
      <c r="Q79" s="827"/>
      <c r="R79" s="1280"/>
      <c r="S79" s="813"/>
      <c r="T79" s="827"/>
      <c r="U79" s="827"/>
      <c r="V79" s="1280"/>
      <c r="W79" s="813"/>
      <c r="X79" s="827"/>
      <c r="Y79" s="827"/>
      <c r="Z79" s="1280"/>
      <c r="AA79" s="813"/>
      <c r="AB79" s="827"/>
      <c r="AC79" s="827"/>
      <c r="AD79" s="1280"/>
      <c r="AE79" s="813"/>
      <c r="AF79" s="827"/>
      <c r="AG79" s="827"/>
      <c r="AH79" s="1280"/>
      <c r="AI79" s="813"/>
      <c r="AJ79" s="827"/>
      <c r="AK79" s="827"/>
      <c r="AL79" s="1280"/>
      <c r="AM79" s="813"/>
      <c r="AN79" s="827"/>
      <c r="AO79" s="827"/>
      <c r="AP79" s="1280"/>
      <c r="AQ79" s="813"/>
      <c r="AR79" s="827"/>
      <c r="AS79" s="1281"/>
    </row>
    <row r="80" spans="1:86" x14ac:dyDescent="0.3">
      <c r="A80" s="1272" t="s">
        <v>1083</v>
      </c>
      <c r="B80" s="2929">
        <v>2004</v>
      </c>
      <c r="C80" s="2929"/>
      <c r="D80" s="2929"/>
      <c r="E80" s="1296"/>
      <c r="F80" s="2929">
        <v>2003</v>
      </c>
      <c r="G80" s="2929"/>
      <c r="H80" s="2929"/>
      <c r="I80" s="1296"/>
      <c r="J80" s="2929">
        <v>2002</v>
      </c>
      <c r="K80" s="2929"/>
      <c r="L80" s="2929"/>
      <c r="M80" s="1296"/>
      <c r="N80" s="2929">
        <v>2001</v>
      </c>
      <c r="O80" s="2929"/>
      <c r="P80" s="2929"/>
      <c r="Q80" s="1296"/>
      <c r="R80" s="2929">
        <v>2000</v>
      </c>
      <c r="S80" s="2929"/>
      <c r="T80" s="2929"/>
      <c r="U80" s="1296"/>
      <c r="V80" s="2929">
        <v>1999</v>
      </c>
      <c r="W80" s="2929"/>
      <c r="X80" s="2929"/>
      <c r="Y80" s="1296"/>
      <c r="Z80" s="2929">
        <v>1998</v>
      </c>
      <c r="AA80" s="2929"/>
      <c r="AB80" s="2929"/>
      <c r="AC80" s="1296"/>
      <c r="AD80" s="2929">
        <v>1997</v>
      </c>
      <c r="AE80" s="2929"/>
      <c r="AF80" s="2929"/>
      <c r="AG80" s="1296"/>
      <c r="AH80" s="2929">
        <v>1996</v>
      </c>
      <c r="AI80" s="2929"/>
      <c r="AJ80" s="2929"/>
      <c r="AK80" s="1296"/>
      <c r="AL80" s="2929">
        <v>1995</v>
      </c>
      <c r="AM80" s="2929"/>
      <c r="AN80" s="2929"/>
      <c r="AO80" s="1296"/>
      <c r="AP80" s="2929">
        <v>1994</v>
      </c>
      <c r="AQ80" s="2929"/>
      <c r="AR80" s="2929"/>
      <c r="AS80" s="223"/>
    </row>
    <row r="81" spans="1:86" x14ac:dyDescent="0.3">
      <c r="A81" s="1283" t="s">
        <v>1250</v>
      </c>
      <c r="B81" s="1269" t="s">
        <v>688</v>
      </c>
      <c r="C81" s="1270"/>
      <c r="D81" s="1269" t="s">
        <v>689</v>
      </c>
      <c r="E81" s="1271"/>
      <c r="F81" s="1269" t="s">
        <v>688</v>
      </c>
      <c r="G81" s="1270"/>
      <c r="H81" s="1269" t="s">
        <v>689</v>
      </c>
      <c r="I81" s="1271"/>
      <c r="J81" s="1269" t="s">
        <v>688</v>
      </c>
      <c r="K81" s="1270"/>
      <c r="L81" s="1269" t="s">
        <v>689</v>
      </c>
      <c r="M81" s="1271"/>
      <c r="N81" s="1269" t="s">
        <v>688</v>
      </c>
      <c r="O81" s="1270"/>
      <c r="P81" s="1269" t="s">
        <v>689</v>
      </c>
      <c r="Q81" s="1271"/>
      <c r="R81" s="1269" t="s">
        <v>688</v>
      </c>
      <c r="S81" s="1270"/>
      <c r="T81" s="1269" t="s">
        <v>689</v>
      </c>
      <c r="U81" s="1271"/>
      <c r="V81" s="1269" t="s">
        <v>688</v>
      </c>
      <c r="W81" s="1270"/>
      <c r="X81" s="1269" t="s">
        <v>689</v>
      </c>
      <c r="Y81" s="1271"/>
      <c r="Z81" s="1269" t="s">
        <v>688</v>
      </c>
      <c r="AA81" s="1270"/>
      <c r="AB81" s="1269" t="s">
        <v>689</v>
      </c>
      <c r="AC81" s="1271"/>
      <c r="AD81" s="1269" t="s">
        <v>688</v>
      </c>
      <c r="AE81" s="1270"/>
      <c r="AF81" s="1269" t="s">
        <v>689</v>
      </c>
      <c r="AG81" s="1271"/>
      <c r="AH81" s="1269" t="s">
        <v>688</v>
      </c>
      <c r="AI81" s="1270"/>
      <c r="AJ81" s="1269" t="s">
        <v>689</v>
      </c>
      <c r="AK81" s="1271"/>
      <c r="AL81" s="1269" t="s">
        <v>688</v>
      </c>
      <c r="AM81" s="1270"/>
      <c r="AN81" s="1269" t="s">
        <v>689</v>
      </c>
      <c r="AO81" s="1271"/>
      <c r="AP81" s="1269" t="s">
        <v>688</v>
      </c>
      <c r="AQ81" s="1270"/>
      <c r="AR81" s="1269" t="s">
        <v>689</v>
      </c>
      <c r="AS81" s="879"/>
    </row>
    <row r="82" spans="1:86" x14ac:dyDescent="0.3">
      <c r="A82" s="1272"/>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3"/>
    </row>
    <row r="83" spans="1:86" ht="16.2" thickBot="1" x14ac:dyDescent="0.35">
      <c r="A83" s="214" t="s">
        <v>526</v>
      </c>
      <c r="B83" s="2465"/>
      <c r="C83" s="392"/>
      <c r="D83" s="392"/>
      <c r="E83" s="392"/>
      <c r="F83" s="2465"/>
      <c r="G83" s="392"/>
      <c r="H83" s="392"/>
      <c r="I83" s="392"/>
      <c r="J83" s="2465"/>
      <c r="K83" s="392"/>
      <c r="L83" s="392"/>
      <c r="M83" s="392"/>
      <c r="N83" s="2465"/>
      <c r="O83" s="392"/>
      <c r="P83" s="392"/>
      <c r="Q83" s="392"/>
      <c r="R83" s="2465"/>
      <c r="S83" s="392"/>
      <c r="T83" s="392"/>
      <c r="U83" s="392"/>
      <c r="V83" s="2465"/>
      <c r="W83" s="392"/>
      <c r="X83" s="392"/>
      <c r="Y83" s="392"/>
      <c r="Z83" s="2465"/>
      <c r="AA83" s="392"/>
      <c r="AB83" s="392"/>
      <c r="AC83" s="392"/>
      <c r="AD83" s="1275">
        <f>3896.9-AD9</f>
        <v>308.5</v>
      </c>
      <c r="AE83" s="392"/>
      <c r="AF83" s="392"/>
      <c r="AG83" s="392"/>
      <c r="AH83" s="1284">
        <v>268</v>
      </c>
      <c r="AI83" s="402"/>
      <c r="AJ83" s="402"/>
      <c r="AK83" s="392"/>
      <c r="AL83" s="1275">
        <v>247.2</v>
      </c>
      <c r="AM83" s="392"/>
      <c r="AN83" s="392"/>
      <c r="AO83" s="392"/>
      <c r="AP83" s="1275">
        <v>225.7</v>
      </c>
      <c r="AQ83" s="392"/>
      <c r="AR83" s="392"/>
      <c r="AS83" s="253"/>
      <c r="AT83" s="252"/>
    </row>
    <row r="84" spans="1:86" ht="19.2" thickTop="1" x14ac:dyDescent="0.3">
      <c r="A84" s="214" t="s">
        <v>1674</v>
      </c>
      <c r="B84" s="1294">
        <v>1211</v>
      </c>
      <c r="C84" s="215"/>
      <c r="D84" s="868">
        <f>B84/B$84</f>
        <v>1</v>
      </c>
      <c r="E84" s="464"/>
      <c r="F84" s="1294">
        <v>1034</v>
      </c>
      <c r="G84" s="215"/>
      <c r="H84" s="868">
        <f>F84/F$84</f>
        <v>1</v>
      </c>
      <c r="I84" s="464"/>
      <c r="J84" s="1294">
        <v>712</v>
      </c>
      <c r="K84" s="215"/>
      <c r="L84" s="868">
        <f>J84/J$84</f>
        <v>1</v>
      </c>
      <c r="M84" s="464"/>
      <c r="N84" s="1294">
        <v>501</v>
      </c>
      <c r="O84" s="215"/>
      <c r="P84" s="868">
        <f>N84/N$84</f>
        <v>1</v>
      </c>
      <c r="Q84" s="464"/>
      <c r="R84" s="1294">
        <v>325</v>
      </c>
      <c r="S84" s="215"/>
      <c r="T84" s="868">
        <f>R84/R$84</f>
        <v>1</v>
      </c>
      <c r="U84" s="464"/>
      <c r="V84" s="1294">
        <v>262</v>
      </c>
      <c r="W84" s="215"/>
      <c r="X84" s="868">
        <f>V84/V$84</f>
        <v>1</v>
      </c>
      <c r="Y84" s="464"/>
      <c r="Z84" s="1294">
        <v>328</v>
      </c>
      <c r="AA84" s="215"/>
      <c r="AB84" s="868">
        <f>Z84/Z$84</f>
        <v>1</v>
      </c>
      <c r="AC84" s="464"/>
      <c r="AD84" s="1277">
        <f>3794.5-AD10</f>
        <v>312.69999999999982</v>
      </c>
      <c r="AE84" s="215"/>
      <c r="AF84" s="868">
        <f>AD84/AD$84</f>
        <v>1</v>
      </c>
      <c r="AG84" s="464"/>
      <c r="AH84" s="2421">
        <v>268</v>
      </c>
      <c r="AI84" s="813"/>
      <c r="AJ84" s="2422">
        <f>AH84/AH$84</f>
        <v>1</v>
      </c>
      <c r="AK84" s="464"/>
      <c r="AL84" s="1277">
        <v>239.9</v>
      </c>
      <c r="AM84" s="215"/>
      <c r="AN84" s="868">
        <f>AL84/AL$84</f>
        <v>1</v>
      </c>
      <c r="AO84" s="464"/>
      <c r="AP84" s="1277">
        <v>234.8</v>
      </c>
      <c r="AQ84" s="215"/>
      <c r="AR84" s="868">
        <f>AP84/AP$84</f>
        <v>1</v>
      </c>
      <c r="AS84" s="347"/>
      <c r="AT84" s="227"/>
    </row>
    <row r="85" spans="1:86" x14ac:dyDescent="0.3">
      <c r="A85" s="214" t="s">
        <v>527</v>
      </c>
      <c r="B85" s="686"/>
      <c r="C85" s="215"/>
      <c r="D85" s="464"/>
      <c r="E85" s="464"/>
      <c r="F85" s="686"/>
      <c r="G85" s="215"/>
      <c r="H85" s="464"/>
      <c r="I85" s="464"/>
      <c r="J85" s="686"/>
      <c r="K85" s="215"/>
      <c r="L85" s="464"/>
      <c r="M85" s="464"/>
      <c r="N85" s="686"/>
      <c r="O85" s="215"/>
      <c r="P85" s="464"/>
      <c r="Q85" s="464"/>
      <c r="R85" s="686"/>
      <c r="S85" s="215"/>
      <c r="T85" s="464"/>
      <c r="U85" s="464"/>
      <c r="V85" s="686"/>
      <c r="W85" s="215"/>
      <c r="X85" s="464"/>
      <c r="Y85" s="464"/>
      <c r="Z85" s="686"/>
      <c r="AA85" s="215"/>
      <c r="AB85" s="464"/>
      <c r="AC85" s="464"/>
      <c r="AD85" s="922">
        <f>2744.3-AD11</f>
        <v>114.20000000000027</v>
      </c>
      <c r="AE85" s="215"/>
      <c r="AF85" s="464">
        <f>AD85/AD$84</f>
        <v>0.36520626798848843</v>
      </c>
      <c r="AG85" s="464"/>
      <c r="AH85" s="1157">
        <f>2516.6-2424.9</f>
        <v>91.699999999999818</v>
      </c>
      <c r="AI85" s="813"/>
      <c r="AJ85" s="827">
        <f>AH85/AH$84</f>
        <v>0.34216417910447694</v>
      </c>
      <c r="AK85" s="464"/>
      <c r="AL85" s="922">
        <v>90</v>
      </c>
      <c r="AM85" s="215"/>
      <c r="AN85" s="464">
        <f>AL85/AL$84</f>
        <v>0.37515631513130471</v>
      </c>
      <c r="AO85" s="464"/>
      <c r="AP85" s="922">
        <v>88.4</v>
      </c>
      <c r="AQ85" s="215"/>
      <c r="AR85" s="464">
        <f>AP85/AP$84</f>
        <v>0.37649063032367974</v>
      </c>
      <c r="AS85" s="347"/>
      <c r="AT85" s="227"/>
    </row>
    <row r="86" spans="1:86" x14ac:dyDescent="0.3">
      <c r="A86" s="214" t="s">
        <v>102</v>
      </c>
      <c r="B86" s="2466"/>
      <c r="C86" s="215"/>
      <c r="D86" s="868"/>
      <c r="E86" s="464"/>
      <c r="F86" s="2466"/>
      <c r="G86" s="215"/>
      <c r="H86" s="868"/>
      <c r="I86" s="464"/>
      <c r="J86" s="2466"/>
      <c r="K86" s="215"/>
      <c r="L86" s="868"/>
      <c r="M86" s="464"/>
      <c r="N86" s="2466"/>
      <c r="O86" s="215"/>
      <c r="P86" s="868"/>
      <c r="Q86" s="464"/>
      <c r="R86" s="2466"/>
      <c r="S86" s="215"/>
      <c r="T86" s="868"/>
      <c r="U86" s="464"/>
      <c r="V86" s="2466"/>
      <c r="W86" s="215"/>
      <c r="X86" s="868"/>
      <c r="Y86" s="464"/>
      <c r="Z86" s="2466"/>
      <c r="AA86" s="215"/>
      <c r="AB86" s="868"/>
      <c r="AC86" s="464"/>
      <c r="AD86" s="1232">
        <f>716.6-AD12</f>
        <v>145.60000000000002</v>
      </c>
      <c r="AE86" s="215"/>
      <c r="AF86" s="868">
        <f>AD86/AD$84</f>
        <v>0.46562200191877234</v>
      </c>
      <c r="AG86" s="464"/>
      <c r="AH86" s="2410">
        <f>605.2-486.7</f>
        <v>118.50000000000006</v>
      </c>
      <c r="AI86" s="813"/>
      <c r="AJ86" s="2422">
        <f>AH86/AH$84</f>
        <v>0.44216417910447781</v>
      </c>
      <c r="AK86" s="464"/>
      <c r="AL86" s="1232">
        <v>109.3</v>
      </c>
      <c r="AM86" s="215"/>
      <c r="AN86" s="868">
        <f>AL86/AL$84</f>
        <v>0.45560650270946224</v>
      </c>
      <c r="AO86" s="464"/>
      <c r="AP86" s="1232">
        <v>98.1</v>
      </c>
      <c r="AQ86" s="215"/>
      <c r="AR86" s="868">
        <f>AP86/AP$84</f>
        <v>0.41780238500851785</v>
      </c>
      <c r="AS86" s="347"/>
      <c r="AT86" s="227"/>
    </row>
    <row r="87" spans="1:86" x14ac:dyDescent="0.3">
      <c r="A87" s="214" t="s">
        <v>685</v>
      </c>
      <c r="B87" s="922">
        <f>B84-B88</f>
        <v>1050</v>
      </c>
      <c r="C87" s="215"/>
      <c r="D87" s="464">
        <f>B87/B$84</f>
        <v>0.86705202312138729</v>
      </c>
      <c r="E87" s="464"/>
      <c r="F87" s="922">
        <f>F84-F88</f>
        <v>960</v>
      </c>
      <c r="G87" s="215"/>
      <c r="H87" s="464">
        <f>F87/F$84</f>
        <v>0.92843326885880073</v>
      </c>
      <c r="I87" s="464"/>
      <c r="J87" s="922">
        <f>J84-J88</f>
        <v>680</v>
      </c>
      <c r="K87" s="215"/>
      <c r="L87" s="464">
        <f>J87/J$84</f>
        <v>0.9550561797752809</v>
      </c>
      <c r="M87" s="464"/>
      <c r="N87" s="922">
        <f>N84-N88</f>
        <v>471</v>
      </c>
      <c r="O87" s="215"/>
      <c r="P87" s="464">
        <f>N87/N$84</f>
        <v>0.94011976047904189</v>
      </c>
      <c r="Q87" s="464"/>
      <c r="R87" s="922">
        <f>R84-R88</f>
        <v>300</v>
      </c>
      <c r="S87" s="215"/>
      <c r="T87" s="464">
        <f>R87/R$84</f>
        <v>0.92307692307692313</v>
      </c>
      <c r="U87" s="464"/>
      <c r="V87" s="922">
        <f>V84-V88</f>
        <v>240</v>
      </c>
      <c r="W87" s="215"/>
      <c r="X87" s="464">
        <f>V87/V$84</f>
        <v>0.91603053435114501</v>
      </c>
      <c r="Y87" s="464"/>
      <c r="Z87" s="922">
        <f>Z84-Z88</f>
        <v>311</v>
      </c>
      <c r="AA87" s="215"/>
      <c r="AB87" s="464">
        <f>Z87/Z$84</f>
        <v>0.94817073170731703</v>
      </c>
      <c r="AC87" s="464"/>
      <c r="AD87" s="922">
        <f>AD85+AD86</f>
        <v>259.8000000000003</v>
      </c>
      <c r="AE87" s="215"/>
      <c r="AF87" s="464">
        <f>AD87/AD$84</f>
        <v>0.83082826990726077</v>
      </c>
      <c r="AG87" s="464"/>
      <c r="AH87" s="1157">
        <f>AH85+AH86</f>
        <v>210.19999999999987</v>
      </c>
      <c r="AI87" s="813"/>
      <c r="AJ87" s="827">
        <f>AH87/AH$84</f>
        <v>0.78432835820895475</v>
      </c>
      <c r="AK87" s="464"/>
      <c r="AL87" s="922">
        <f>AL85+AL86</f>
        <v>199.3</v>
      </c>
      <c r="AM87" s="215"/>
      <c r="AN87" s="464">
        <f>AL87/AL$84</f>
        <v>0.830762817840767</v>
      </c>
      <c r="AO87" s="464"/>
      <c r="AP87" s="922">
        <f>AP85+AP86</f>
        <v>186.5</v>
      </c>
      <c r="AQ87" s="215"/>
      <c r="AR87" s="464">
        <f>AP87/AP$84</f>
        <v>0.79429301533219754</v>
      </c>
      <c r="AS87" s="347"/>
      <c r="AT87" s="227"/>
    </row>
    <row r="88" spans="1:86" ht="16.2" thickBot="1" x14ac:dyDescent="0.35">
      <c r="A88" s="214" t="s">
        <v>686</v>
      </c>
      <c r="B88" s="1276">
        <v>161</v>
      </c>
      <c r="C88" s="215"/>
      <c r="D88" s="464"/>
      <c r="E88" s="464"/>
      <c r="F88" s="1276">
        <v>74</v>
      </c>
      <c r="G88" s="215"/>
      <c r="H88" s="464"/>
      <c r="I88" s="464"/>
      <c r="J88" s="1276">
        <v>32</v>
      </c>
      <c r="K88" s="215"/>
      <c r="L88" s="464"/>
      <c r="M88" s="464"/>
      <c r="N88" s="1276">
        <v>30</v>
      </c>
      <c r="O88" s="215"/>
      <c r="P88" s="464"/>
      <c r="Q88" s="464"/>
      <c r="R88" s="1276">
        <v>25</v>
      </c>
      <c r="S88" s="215"/>
      <c r="T88" s="464"/>
      <c r="U88" s="464"/>
      <c r="V88" s="1276">
        <v>22</v>
      </c>
      <c r="W88" s="215"/>
      <c r="X88" s="464"/>
      <c r="Y88" s="464"/>
      <c r="Z88" s="1276">
        <v>17</v>
      </c>
      <c r="AA88" s="215"/>
      <c r="AB88" s="464"/>
      <c r="AC88" s="464"/>
      <c r="AD88" s="1276">
        <f>AD84-AD87</f>
        <v>52.899999999999523</v>
      </c>
      <c r="AE88" s="215"/>
      <c r="AF88" s="464"/>
      <c r="AG88" s="464"/>
      <c r="AH88" s="1304">
        <f>AH84-AH87+1</f>
        <v>58.800000000000125</v>
      </c>
      <c r="AI88" s="813"/>
      <c r="AJ88" s="827"/>
      <c r="AK88" s="464"/>
      <c r="AL88" s="1276">
        <f>AL84-AL87</f>
        <v>40.599999999999994</v>
      </c>
      <c r="AM88" s="215"/>
      <c r="AN88" s="464"/>
      <c r="AO88" s="464"/>
      <c r="AP88" s="1276">
        <f>AP84-AP87</f>
        <v>48.300000000000011</v>
      </c>
      <c r="AQ88" s="215"/>
      <c r="AR88" s="464"/>
      <c r="AS88" s="347"/>
      <c r="AT88" s="227"/>
    </row>
    <row r="89" spans="1:86" ht="16.2" thickTop="1" x14ac:dyDescent="0.3">
      <c r="A89" s="214"/>
      <c r="B89" s="875"/>
      <c r="C89" s="215"/>
      <c r="D89" s="464"/>
      <c r="E89" s="464"/>
      <c r="F89" s="875"/>
      <c r="G89" s="215"/>
      <c r="H89" s="464"/>
      <c r="I89" s="464"/>
      <c r="J89" s="875"/>
      <c r="K89" s="215"/>
      <c r="L89" s="464"/>
      <c r="M89" s="464"/>
      <c r="N89" s="875"/>
      <c r="O89" s="215"/>
      <c r="P89" s="464"/>
      <c r="Q89" s="464"/>
      <c r="R89" s="875"/>
      <c r="S89" s="215"/>
      <c r="T89" s="464"/>
      <c r="U89" s="464"/>
      <c r="V89" s="875"/>
      <c r="W89" s="215"/>
      <c r="X89" s="464"/>
      <c r="Y89" s="464"/>
      <c r="Z89" s="875"/>
      <c r="AA89" s="215"/>
      <c r="AB89" s="464"/>
      <c r="AC89" s="464"/>
      <c r="AD89" s="875"/>
      <c r="AE89" s="215"/>
      <c r="AF89" s="464"/>
      <c r="AG89" s="464"/>
      <c r="AH89" s="875"/>
      <c r="AI89" s="215"/>
      <c r="AJ89" s="464"/>
      <c r="AK89" s="464"/>
      <c r="AL89" s="875"/>
      <c r="AM89" s="215"/>
      <c r="AN89" s="464"/>
      <c r="AO89" s="464"/>
      <c r="AP89" s="875"/>
      <c r="AQ89" s="215"/>
      <c r="AR89" s="464"/>
      <c r="AS89" s="347"/>
      <c r="AT89" s="227"/>
    </row>
    <row r="90" spans="1:86" s="381" customFormat="1" ht="62.4" hidden="1" outlineLevel="1" x14ac:dyDescent="0.3">
      <c r="A90" s="940" t="s">
        <v>900</v>
      </c>
      <c r="B90" s="941"/>
      <c r="C90" s="428"/>
      <c r="D90" s="942"/>
      <c r="E90" s="943"/>
      <c r="F90" s="941"/>
      <c r="G90" s="428"/>
      <c r="H90" s="942"/>
      <c r="I90" s="943"/>
      <c r="J90" s="941"/>
      <c r="K90" s="428"/>
      <c r="L90" s="942"/>
      <c r="M90" s="943"/>
      <c r="N90" s="941"/>
      <c r="O90" s="428"/>
      <c r="P90" s="942"/>
      <c r="Q90" s="943"/>
      <c r="R90" s="941"/>
      <c r="S90" s="428"/>
      <c r="T90" s="942"/>
      <c r="U90" s="943"/>
      <c r="V90" s="941"/>
      <c r="W90" s="428"/>
      <c r="X90" s="942"/>
      <c r="Y90" s="943"/>
      <c r="Z90" s="941"/>
      <c r="AA90" s="428"/>
      <c r="AB90" s="942"/>
      <c r="AC90" s="943"/>
      <c r="AD90" s="941"/>
      <c r="AE90" s="428"/>
      <c r="AF90" s="942"/>
      <c r="AG90" s="1291"/>
      <c r="AH90" s="1292"/>
      <c r="AI90" s="1286"/>
      <c r="AJ90" s="1288"/>
      <c r="AK90" s="1291"/>
      <c r="AL90" s="1289">
        <v>-49.3</v>
      </c>
      <c r="AM90" s="1286"/>
      <c r="AN90" s="1288">
        <f>AL90/AL84</f>
        <v>-0.20550229262192579</v>
      </c>
      <c r="AO90" s="1291"/>
      <c r="AP90" s="1289">
        <f>AR90*AP84</f>
        <v>-53.935200000000023</v>
      </c>
      <c r="AQ90" s="1286"/>
      <c r="AR90" s="1288">
        <f>AR87-1.024</f>
        <v>-0.22970698466780248</v>
      </c>
      <c r="AS90" s="1293"/>
      <c r="AT90" s="1273"/>
      <c r="AU90" s="320"/>
      <c r="AV90" s="320"/>
      <c r="AW90" s="320"/>
      <c r="AX90" s="320"/>
      <c r="AY90" s="320"/>
      <c r="AZ90" s="320"/>
      <c r="BA90" s="320"/>
      <c r="BB90" s="320"/>
      <c r="BC90" s="320"/>
      <c r="BD90" s="320"/>
      <c r="BE90" s="320"/>
      <c r="BF90" s="320"/>
      <c r="BG90" s="320"/>
      <c r="BH90" s="320"/>
      <c r="BI90" s="320"/>
      <c r="BJ90" s="320"/>
      <c r="BK90" s="320"/>
      <c r="BL90" s="320"/>
      <c r="BM90" s="320"/>
      <c r="BN90" s="320"/>
      <c r="BO90" s="320"/>
      <c r="BP90" s="320"/>
      <c r="BQ90" s="320"/>
      <c r="BR90" s="320"/>
      <c r="BS90" s="320"/>
      <c r="BT90" s="320"/>
      <c r="BU90" s="320"/>
      <c r="BV90" s="320"/>
      <c r="BW90" s="320"/>
      <c r="BX90" s="320"/>
      <c r="BY90" s="320"/>
      <c r="BZ90" s="320"/>
      <c r="CA90" s="320"/>
      <c r="CB90" s="320"/>
      <c r="CC90" s="320"/>
      <c r="CD90" s="320"/>
      <c r="CE90" s="320"/>
      <c r="CF90" s="320"/>
      <c r="CG90" s="320"/>
      <c r="CH90" s="320"/>
    </row>
    <row r="91" spans="1:86" s="597" customFormat="1" ht="4.5" customHeight="1" collapsed="1" x14ac:dyDescent="0.3">
      <c r="A91" s="1155"/>
      <c r="B91" s="1278"/>
      <c r="C91" s="686"/>
      <c r="D91" s="728"/>
      <c r="E91" s="728"/>
      <c r="F91" s="1278"/>
      <c r="G91" s="686"/>
      <c r="H91" s="728"/>
      <c r="I91" s="728"/>
      <c r="J91" s="1278"/>
      <c r="K91" s="686"/>
      <c r="L91" s="728"/>
      <c r="M91" s="728"/>
      <c r="N91" s="1278"/>
      <c r="O91" s="686"/>
      <c r="P91" s="728"/>
      <c r="Q91" s="728"/>
      <c r="R91" s="1278"/>
      <c r="S91" s="686"/>
      <c r="T91" s="728"/>
      <c r="U91" s="728"/>
      <c r="V91" s="1278"/>
      <c r="W91" s="686"/>
      <c r="X91" s="728"/>
      <c r="Y91" s="728"/>
      <c r="Z91" s="1278"/>
      <c r="AA91" s="686"/>
      <c r="AB91" s="728"/>
      <c r="AC91" s="728"/>
      <c r="AD91" s="1278"/>
      <c r="AE91" s="686"/>
      <c r="AF91" s="728"/>
      <c r="AG91" s="728"/>
      <c r="AH91" s="1278"/>
      <c r="AI91" s="686"/>
      <c r="AJ91" s="728"/>
      <c r="AK91" s="728"/>
      <c r="AL91" s="1278"/>
      <c r="AM91" s="686"/>
      <c r="AN91" s="728"/>
      <c r="AO91" s="728"/>
      <c r="AP91" s="1278"/>
      <c r="AQ91" s="686"/>
      <c r="AR91" s="728"/>
      <c r="AS91" s="1279"/>
    </row>
    <row r="92" spans="1:86" s="612" customFormat="1" ht="8.25" customHeight="1" x14ac:dyDescent="0.3">
      <c r="A92" s="734"/>
      <c r="B92" s="1280"/>
      <c r="C92" s="813"/>
      <c r="D92" s="827"/>
      <c r="E92" s="827"/>
      <c r="F92" s="1280"/>
      <c r="G92" s="813"/>
      <c r="H92" s="827"/>
      <c r="I92" s="827"/>
      <c r="J92" s="1280"/>
      <c r="K92" s="813"/>
      <c r="L92" s="827"/>
      <c r="M92" s="827"/>
      <c r="N92" s="1280"/>
      <c r="O92" s="813"/>
      <c r="P92" s="827"/>
      <c r="Q92" s="827"/>
      <c r="R92" s="1280"/>
      <c r="S92" s="813"/>
      <c r="T92" s="827"/>
      <c r="U92" s="827"/>
      <c r="V92" s="1280"/>
      <c r="W92" s="813"/>
      <c r="X92" s="827"/>
      <c r="Y92" s="827"/>
      <c r="Z92" s="1280"/>
      <c r="AA92" s="813"/>
      <c r="AB92" s="827"/>
      <c r="AC92" s="827"/>
      <c r="AD92" s="1280"/>
      <c r="AE92" s="813"/>
      <c r="AF92" s="827"/>
      <c r="AG92" s="827"/>
      <c r="AH92" s="1280"/>
      <c r="AI92" s="813"/>
      <c r="AJ92" s="827"/>
      <c r="AK92" s="827"/>
      <c r="AL92" s="1280"/>
      <c r="AM92" s="813"/>
      <c r="AN92" s="827"/>
      <c r="AO92" s="827"/>
      <c r="AP92" s="1280"/>
      <c r="AQ92" s="813"/>
      <c r="AR92" s="827"/>
      <c r="AS92" s="1281"/>
    </row>
    <row r="93" spans="1:86" ht="18.600000000000001" x14ac:dyDescent="0.3">
      <c r="A93" s="214" t="s">
        <v>1675</v>
      </c>
      <c r="B93" s="1297">
        <v>419</v>
      </c>
      <c r="C93" s="220"/>
      <c r="D93" s="464">
        <f>B93/SUM(B84+B71+B32+B10)</f>
        <v>1.9871946881669433E-2</v>
      </c>
      <c r="E93" s="220"/>
      <c r="F93" s="1297">
        <v>480</v>
      </c>
      <c r="G93" s="220"/>
      <c r="H93" s="464">
        <f>F93/SUM(F84+F71+F32+F10)</f>
        <v>2.2332852556646351E-2</v>
      </c>
      <c r="I93" s="220"/>
      <c r="J93" s="1297">
        <v>1540</v>
      </c>
      <c r="K93" s="220"/>
      <c r="L93" s="464">
        <f>J93/SUM(J84+J71+J32+J10)</f>
        <v>8.0283599207590456E-2</v>
      </c>
      <c r="M93" s="220"/>
      <c r="N93" s="1297">
        <v>1165</v>
      </c>
      <c r="O93" s="220"/>
      <c r="P93" s="464">
        <f>N93/SUM(N84+N71+N32+N10)</f>
        <v>6.5065624127338725E-2</v>
      </c>
      <c r="Q93" s="220"/>
      <c r="R93" s="1297">
        <v>211</v>
      </c>
      <c r="S93" s="220"/>
      <c r="T93" s="464">
        <f>R93/SUM(R84+R71+R32+R10)</f>
        <v>1.0908338933981285E-2</v>
      </c>
      <c r="U93" s="220"/>
      <c r="V93" s="1297">
        <v>-192</v>
      </c>
      <c r="W93" s="220"/>
      <c r="X93" s="464">
        <f>V93/SUM(V84+V71+V32+V10)</f>
        <v>-1.3420942261987976E-2</v>
      </c>
      <c r="Y93" s="220"/>
      <c r="Z93" s="1297">
        <v>-195</v>
      </c>
      <c r="AA93" s="220"/>
      <c r="AB93" s="464">
        <f>Z93/SUM(Z84+Z71+Z32+Z10)</f>
        <v>-1.7112768758227294E-2</v>
      </c>
      <c r="AC93" s="220"/>
      <c r="AD93" s="1297">
        <v>-131.30000000000001</v>
      </c>
      <c r="AE93" s="220"/>
      <c r="AF93" s="464">
        <f>AD93/SUM(AD84+AD71+AD32+AD10)</f>
        <v>-2.7577660624645565E-2</v>
      </c>
      <c r="AG93" s="220"/>
      <c r="AH93" s="1297">
        <v>-90.2</v>
      </c>
      <c r="AI93" s="220"/>
      <c r="AJ93" s="464">
        <f>AH93/SUM(AH84+AH71+AH32+AH10)</f>
        <v>-2.1906496660595021E-2</v>
      </c>
      <c r="AK93" s="220"/>
      <c r="AL93" s="1297">
        <v>55.5</v>
      </c>
      <c r="AM93" s="220"/>
      <c r="AN93" s="464">
        <f>AL93/SUM(AL84+AL71+AL32+AL10)</f>
        <v>1.4821738549873148E-2</v>
      </c>
      <c r="AO93" s="220"/>
      <c r="AP93" s="1297">
        <v>60.2</v>
      </c>
      <c r="AQ93" s="220"/>
      <c r="AR93" s="464">
        <f>AP93/SUM(AP84+AP71+AP32+AP10)</f>
        <v>6.5207972270363956E-2</v>
      </c>
      <c r="AS93" s="223"/>
    </row>
    <row r="94" spans="1:86" ht="8.25" customHeight="1" collapsed="1" x14ac:dyDescent="0.3">
      <c r="A94" s="214"/>
      <c r="B94" s="875"/>
      <c r="C94" s="215"/>
      <c r="D94" s="464"/>
      <c r="E94" s="464"/>
      <c r="F94" s="875"/>
      <c r="G94" s="215"/>
      <c r="H94" s="464"/>
      <c r="I94" s="464"/>
      <c r="J94" s="875"/>
      <c r="K94" s="215"/>
      <c r="L94" s="464"/>
      <c r="M94" s="464"/>
      <c r="N94" s="875"/>
      <c r="O94" s="215"/>
      <c r="P94" s="464"/>
      <c r="Q94" s="464"/>
      <c r="R94" s="875"/>
      <c r="S94" s="215"/>
      <c r="T94" s="464"/>
      <c r="U94" s="464"/>
      <c r="V94" s="875"/>
      <c r="W94" s="215"/>
      <c r="X94" s="464"/>
      <c r="Y94" s="464"/>
      <c r="Z94" s="875"/>
      <c r="AA94" s="215"/>
      <c r="AB94" s="464"/>
      <c r="AC94" s="464"/>
      <c r="AD94" s="875"/>
      <c r="AE94" s="215"/>
      <c r="AF94" s="464"/>
      <c r="AG94" s="464"/>
      <c r="AH94" s="875"/>
      <c r="AI94" s="215"/>
      <c r="AJ94" s="464"/>
      <c r="AK94" s="464"/>
      <c r="AL94" s="875"/>
      <c r="AM94" s="215"/>
      <c r="AN94" s="464"/>
      <c r="AO94" s="464"/>
      <c r="AP94" s="875"/>
      <c r="AQ94" s="215"/>
      <c r="AR94" s="464"/>
      <c r="AS94" s="223"/>
    </row>
    <row r="95" spans="1:86" s="597" customFormat="1" ht="4.5" customHeight="1" x14ac:dyDescent="0.3">
      <c r="A95" s="1155"/>
      <c r="B95" s="1278"/>
      <c r="C95" s="686"/>
      <c r="D95" s="728"/>
      <c r="E95" s="728"/>
      <c r="F95" s="1278"/>
      <c r="G95" s="686"/>
      <c r="H95" s="728"/>
      <c r="I95" s="728"/>
      <c r="J95" s="1278"/>
      <c r="K95" s="686"/>
      <c r="L95" s="728"/>
      <c r="M95" s="728"/>
      <c r="N95" s="1278"/>
      <c r="O95" s="686"/>
      <c r="P95" s="728"/>
      <c r="Q95" s="728"/>
      <c r="R95" s="1278"/>
      <c r="S95" s="686"/>
      <c r="T95" s="728"/>
      <c r="U95" s="728"/>
      <c r="V95" s="1278"/>
      <c r="W95" s="686"/>
      <c r="X95" s="728"/>
      <c r="Y95" s="728"/>
      <c r="Z95" s="1278"/>
      <c r="AA95" s="686"/>
      <c r="AB95" s="728"/>
      <c r="AC95" s="728"/>
      <c r="AD95" s="1278"/>
      <c r="AE95" s="686"/>
      <c r="AF95" s="728"/>
      <c r="AG95" s="728"/>
      <c r="AH95" s="1278"/>
      <c r="AI95" s="686"/>
      <c r="AJ95" s="728"/>
      <c r="AK95" s="728"/>
      <c r="AL95" s="1278"/>
      <c r="AM95" s="686"/>
      <c r="AN95" s="728"/>
      <c r="AO95" s="728"/>
      <c r="AP95" s="1278"/>
      <c r="AQ95" s="686"/>
      <c r="AR95" s="728"/>
      <c r="AS95" s="1279"/>
    </row>
    <row r="96" spans="1:86" s="612" customFormat="1" ht="8.25" customHeight="1" x14ac:dyDescent="0.3">
      <c r="A96" s="734"/>
      <c r="B96" s="1280"/>
      <c r="C96" s="813"/>
      <c r="D96" s="827"/>
      <c r="E96" s="827"/>
      <c r="F96" s="1280"/>
      <c r="G96" s="813"/>
      <c r="H96" s="827"/>
      <c r="I96" s="827"/>
      <c r="J96" s="1280"/>
      <c r="K96" s="813"/>
      <c r="L96" s="827"/>
      <c r="M96" s="827"/>
      <c r="N96" s="1280"/>
      <c r="O96" s="813"/>
      <c r="P96" s="827"/>
      <c r="Q96" s="827"/>
      <c r="R96" s="1280"/>
      <c r="S96" s="813"/>
      <c r="T96" s="827"/>
      <c r="U96" s="827"/>
      <c r="V96" s="1280"/>
      <c r="W96" s="813"/>
      <c r="X96" s="827"/>
      <c r="Y96" s="827"/>
      <c r="Z96" s="1280"/>
      <c r="AA96" s="813"/>
      <c r="AB96" s="827"/>
      <c r="AC96" s="827"/>
      <c r="AD96" s="1280"/>
      <c r="AE96" s="813"/>
      <c r="AF96" s="827"/>
      <c r="AG96" s="827"/>
      <c r="AH96" s="1280"/>
      <c r="AI96" s="813"/>
      <c r="AJ96" s="827"/>
      <c r="AK96" s="827"/>
      <c r="AL96" s="1280"/>
      <c r="AM96" s="813"/>
      <c r="AN96" s="827"/>
      <c r="AO96" s="827"/>
      <c r="AP96" s="1280"/>
      <c r="AQ96" s="813"/>
      <c r="AR96" s="827"/>
      <c r="AS96" s="1281"/>
    </row>
    <row r="97" spans="1:86" s="1" customFormat="1" ht="19.5" customHeight="1" x14ac:dyDescent="0.25">
      <c r="A97" s="1377" t="s">
        <v>1681</v>
      </c>
      <c r="B97" s="1378"/>
      <c r="C97" s="1378"/>
      <c r="D97" s="1378"/>
      <c r="E97" s="1378"/>
      <c r="F97" s="1378"/>
      <c r="G97" s="1378"/>
      <c r="H97" s="1378"/>
      <c r="I97" s="1378"/>
      <c r="J97" s="1378"/>
      <c r="K97" s="1378"/>
      <c r="L97" s="1378"/>
      <c r="M97" s="1378"/>
      <c r="N97" s="1378"/>
      <c r="O97" s="1378"/>
      <c r="P97" s="1378"/>
      <c r="Q97" s="1378"/>
      <c r="R97" s="1378"/>
      <c r="S97" s="1378"/>
      <c r="T97" s="1378"/>
      <c r="U97" s="1378"/>
      <c r="V97" s="1378"/>
      <c r="W97" s="1378"/>
      <c r="X97" s="1378"/>
      <c r="Y97" s="1378"/>
      <c r="Z97" s="1378"/>
      <c r="AA97" s="1378"/>
      <c r="AB97" s="1378"/>
      <c r="AC97" s="1378"/>
      <c r="AD97" s="1378"/>
      <c r="AE97" s="1378"/>
      <c r="AF97" s="1378"/>
      <c r="AG97" s="1378"/>
      <c r="AH97" s="1378"/>
      <c r="AI97" s="1378"/>
      <c r="AJ97" s="1378"/>
      <c r="AK97" s="1378"/>
      <c r="AL97" s="1378"/>
      <c r="AM97" s="1378"/>
      <c r="AN97" s="1378"/>
      <c r="AO97" s="1378"/>
      <c r="AP97" s="1378"/>
      <c r="AQ97" s="1378"/>
      <c r="AR97" s="1378"/>
      <c r="AS97" s="1492"/>
      <c r="AT97" s="2"/>
    </row>
    <row r="98" spans="1:86" s="1" customFormat="1" ht="19.5" customHeight="1" x14ac:dyDescent="0.25">
      <c r="A98" s="2799" t="s">
        <v>1955</v>
      </c>
      <c r="B98" s="2800"/>
      <c r="C98" s="2800"/>
      <c r="D98" s="2800"/>
      <c r="E98" s="2800"/>
      <c r="F98" s="2800"/>
      <c r="G98" s="2800"/>
      <c r="H98" s="2800"/>
      <c r="I98" s="2800"/>
      <c r="J98" s="2800"/>
      <c r="K98" s="2800"/>
      <c r="L98" s="2800"/>
      <c r="M98" s="2800"/>
      <c r="N98" s="2800"/>
      <c r="O98" s="2800"/>
      <c r="P98" s="2800"/>
      <c r="Q98" s="2800"/>
      <c r="R98" s="2800"/>
      <c r="S98" s="2800"/>
      <c r="T98" s="1378"/>
      <c r="U98" s="1378"/>
      <c r="V98" s="1378"/>
      <c r="W98" s="1378"/>
      <c r="X98" s="1378"/>
      <c r="Y98" s="1378"/>
      <c r="Z98" s="1378"/>
      <c r="AA98" s="1378"/>
      <c r="AB98" s="1378"/>
      <c r="AC98" s="1378"/>
      <c r="AD98" s="1378"/>
      <c r="AE98" s="1378"/>
      <c r="AF98" s="1378"/>
      <c r="AG98" s="1378"/>
      <c r="AH98" s="1378"/>
      <c r="AI98" s="1260"/>
      <c r="AJ98" s="1260"/>
      <c r="AK98" s="1260"/>
      <c r="AL98" s="1260"/>
      <c r="AM98" s="1260"/>
      <c r="AN98" s="1260"/>
      <c r="AO98" s="1260"/>
      <c r="AP98" s="1260"/>
      <c r="AQ98" s="1260"/>
      <c r="AR98" s="1260"/>
      <c r="AS98" s="1261"/>
      <c r="AT98" s="2"/>
    </row>
    <row r="99" spans="1:86" s="1" customFormat="1" ht="30" customHeight="1" x14ac:dyDescent="0.25">
      <c r="A99" s="2799" t="s">
        <v>1682</v>
      </c>
      <c r="B99" s="2800"/>
      <c r="C99" s="2800"/>
      <c r="D99" s="2800"/>
      <c r="E99" s="2800"/>
      <c r="F99" s="2800"/>
      <c r="G99" s="2800"/>
      <c r="H99" s="2800"/>
      <c r="I99" s="2800"/>
      <c r="J99" s="2800"/>
      <c r="K99" s="2800"/>
      <c r="L99" s="2800"/>
      <c r="M99" s="2800"/>
      <c r="N99" s="2800"/>
      <c r="O99" s="2800"/>
      <c r="P99" s="2800"/>
      <c r="Q99" s="2800"/>
      <c r="R99" s="2800"/>
      <c r="S99" s="2800"/>
      <c r="T99" s="2800"/>
      <c r="U99" s="1295"/>
      <c r="V99" s="1295"/>
      <c r="W99" s="1295"/>
      <c r="X99" s="1295"/>
      <c r="Y99" s="1295"/>
      <c r="Z99" s="1295"/>
      <c r="AA99" s="1295"/>
      <c r="AB99" s="1295"/>
      <c r="AC99" s="1295"/>
      <c r="AD99" s="1295"/>
      <c r="AE99" s="1295"/>
      <c r="AF99" s="1295"/>
      <c r="AG99" s="1295"/>
      <c r="AH99" s="1295"/>
      <c r="AI99" s="1295"/>
      <c r="AJ99" s="1295"/>
      <c r="AK99" s="1260"/>
      <c r="AL99" s="1260"/>
      <c r="AM99" s="1260"/>
      <c r="AN99" s="1260"/>
      <c r="AO99" s="1260"/>
      <c r="AP99" s="1260"/>
      <c r="AQ99" s="1260"/>
      <c r="AR99" s="1260"/>
      <c r="AS99" s="1261"/>
      <c r="AT99" s="2"/>
    </row>
    <row r="100" spans="1:86" s="1" customFormat="1" ht="30" customHeight="1" x14ac:dyDescent="0.25">
      <c r="A100" s="2799" t="s">
        <v>3072</v>
      </c>
      <c r="B100" s="2800"/>
      <c r="C100" s="2800"/>
      <c r="D100" s="2800"/>
      <c r="E100" s="2800"/>
      <c r="F100" s="2800"/>
      <c r="G100" s="2800"/>
      <c r="H100" s="2800"/>
      <c r="I100" s="2800"/>
      <c r="J100" s="2800"/>
      <c r="K100" s="2800"/>
      <c r="L100" s="2800"/>
      <c r="M100" s="2800"/>
      <c r="N100" s="2800"/>
      <c r="O100" s="2800"/>
      <c r="P100" s="2800"/>
      <c r="Q100" s="2800"/>
      <c r="R100" s="2800"/>
      <c r="S100" s="2800"/>
      <c r="T100" s="280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1"/>
      <c r="AT100" s="2"/>
    </row>
    <row r="101" spans="1:86" s="1" customFormat="1" ht="13.8" x14ac:dyDescent="0.25">
      <c r="A101" s="2799" t="s">
        <v>1683</v>
      </c>
      <c r="B101" s="2800"/>
      <c r="C101" s="2800"/>
      <c r="D101" s="2800"/>
      <c r="E101" s="2800"/>
      <c r="F101" s="2800"/>
      <c r="G101" s="2800"/>
      <c r="H101" s="2800"/>
      <c r="I101" s="2800"/>
      <c r="J101" s="2800"/>
      <c r="K101" s="2800"/>
      <c r="L101" s="2800"/>
      <c r="M101" s="2800"/>
      <c r="N101" s="2800"/>
      <c r="O101" s="2800"/>
      <c r="P101" s="2800"/>
      <c r="Q101" s="2800"/>
      <c r="R101" s="2800"/>
      <c r="S101" s="280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1"/>
      <c r="AT101" s="2"/>
    </row>
    <row r="102" spans="1:86" s="1" customFormat="1" ht="74.400000000000006" customHeight="1" x14ac:dyDescent="0.25">
      <c r="A102" s="2799" t="s">
        <v>3764</v>
      </c>
      <c r="B102" s="2800"/>
      <c r="C102" s="2800"/>
      <c r="D102" s="2800"/>
      <c r="E102" s="2800"/>
      <c r="F102" s="2800"/>
      <c r="G102" s="2800"/>
      <c r="H102" s="2800"/>
      <c r="I102" s="2800"/>
      <c r="J102" s="2800"/>
      <c r="K102" s="2800"/>
      <c r="L102" s="2800"/>
      <c r="M102" s="2800"/>
      <c r="N102" s="2800"/>
      <c r="O102" s="2800"/>
      <c r="P102" s="2800"/>
      <c r="Q102" s="2800"/>
      <c r="R102" s="2800"/>
      <c r="S102" s="2800"/>
      <c r="T102" s="2800"/>
      <c r="U102" s="919"/>
      <c r="V102" s="919"/>
      <c r="W102" s="919"/>
      <c r="X102" s="919"/>
      <c r="Y102" s="919"/>
      <c r="Z102" s="919"/>
      <c r="AA102" s="919"/>
      <c r="AB102" s="919"/>
      <c r="AC102" s="919"/>
      <c r="AD102" s="919"/>
      <c r="AE102" s="919"/>
      <c r="AF102" s="919" t="s">
        <v>176</v>
      </c>
      <c r="AG102" s="919"/>
      <c r="AH102" s="919"/>
      <c r="AI102" s="919"/>
      <c r="AJ102" s="919"/>
      <c r="AK102" s="919"/>
      <c r="AL102" s="919"/>
      <c r="AM102" s="919"/>
      <c r="AN102" s="919"/>
      <c r="AO102" s="919"/>
      <c r="AP102" s="919"/>
      <c r="AQ102" s="1260"/>
      <c r="AR102" s="1260"/>
      <c r="AS102" s="1261"/>
      <c r="AT102" s="2"/>
    </row>
    <row r="103" spans="1:86" s="1" customFormat="1" ht="12.75" customHeight="1" x14ac:dyDescent="0.25">
      <c r="A103" s="1259"/>
      <c r="B103" s="1260"/>
      <c r="C103" s="1260"/>
      <c r="D103" s="1260"/>
      <c r="E103" s="1260"/>
      <c r="F103" s="1260"/>
      <c r="G103" s="1260"/>
      <c r="H103" s="1260"/>
      <c r="I103" s="1260"/>
      <c r="J103" s="1260"/>
      <c r="K103" s="1260"/>
      <c r="L103" s="1260"/>
      <c r="M103" s="1260"/>
      <c r="N103" s="1260"/>
      <c r="O103" s="1260"/>
      <c r="P103" s="1260"/>
      <c r="Q103" s="1260"/>
      <c r="R103" s="1260"/>
      <c r="S103" s="1260"/>
      <c r="T103" s="1260"/>
      <c r="U103" s="919"/>
      <c r="V103" s="919"/>
      <c r="W103" s="919"/>
      <c r="X103" s="919"/>
      <c r="Y103" s="919"/>
      <c r="Z103" s="919"/>
      <c r="AA103" s="919"/>
      <c r="AB103" s="919"/>
      <c r="AC103" s="919"/>
      <c r="AD103" s="919"/>
      <c r="AE103" s="919"/>
      <c r="AF103" s="919"/>
      <c r="AG103" s="919"/>
      <c r="AH103" s="919"/>
      <c r="AI103" s="919"/>
      <c r="AJ103" s="919"/>
      <c r="AK103" s="919"/>
      <c r="AL103" s="919"/>
      <c r="AM103" s="919"/>
      <c r="AN103" s="919"/>
      <c r="AO103" s="919"/>
      <c r="AP103" s="919"/>
      <c r="AQ103" s="1260"/>
      <c r="AR103" s="1260"/>
      <c r="AS103" s="1261"/>
      <c r="AT103" s="2"/>
    </row>
    <row r="104" spans="1:86" s="1" customFormat="1" ht="13.8" x14ac:dyDescent="0.25">
      <c r="A104" s="1377" t="s">
        <v>1398</v>
      </c>
      <c r="B104" s="1378"/>
      <c r="C104" s="1378"/>
      <c r="D104" s="1378"/>
      <c r="E104" s="1378"/>
      <c r="F104" s="1378"/>
      <c r="G104" s="1378"/>
      <c r="H104" s="1378"/>
      <c r="I104" s="1378"/>
      <c r="J104" s="1378"/>
      <c r="K104" s="1378"/>
      <c r="L104" s="1378"/>
      <c r="M104" s="1378"/>
      <c r="N104" s="1378"/>
      <c r="O104" s="1378"/>
      <c r="P104" s="1378"/>
      <c r="Q104" s="1378"/>
      <c r="R104" s="1378"/>
      <c r="S104" s="1378"/>
      <c r="T104" s="1378"/>
      <c r="U104" s="1378"/>
      <c r="V104" s="1378"/>
      <c r="W104" s="1378"/>
      <c r="X104" s="1378"/>
      <c r="Y104" s="1378"/>
      <c r="Z104" s="1378"/>
      <c r="AA104" s="1378"/>
      <c r="AB104" s="1378"/>
      <c r="AC104" s="1378"/>
      <c r="AD104" s="1378"/>
      <c r="AE104" s="1260"/>
      <c r="AF104" s="1260"/>
      <c r="AG104" s="1260"/>
      <c r="AH104" s="1260"/>
      <c r="AI104" s="1260"/>
      <c r="AJ104" s="1260"/>
      <c r="AK104" s="1260"/>
      <c r="AL104" s="1260"/>
      <c r="AM104" s="1260"/>
      <c r="AN104" s="1260"/>
      <c r="AO104" s="1260"/>
      <c r="AP104" s="1260"/>
      <c r="AQ104" s="1260"/>
      <c r="AR104" s="1260"/>
      <c r="AS104" s="1261"/>
      <c r="AT104" s="2"/>
    </row>
    <row r="105" spans="1:86" s="1" customFormat="1" ht="15" customHeight="1" x14ac:dyDescent="0.25">
      <c r="A105" s="2799" t="s">
        <v>2201</v>
      </c>
      <c r="B105" s="2800"/>
      <c r="C105" s="2800"/>
      <c r="D105" s="2800"/>
      <c r="E105" s="2800"/>
      <c r="F105" s="2800"/>
      <c r="G105" s="2800"/>
      <c r="H105" s="2800"/>
      <c r="I105" s="2800"/>
      <c r="J105" s="2800"/>
      <c r="K105" s="2800"/>
      <c r="L105" s="2800"/>
      <c r="M105" s="2800"/>
      <c r="N105" s="2800"/>
      <c r="O105" s="2800"/>
      <c r="P105" s="2800"/>
      <c r="Q105" s="2800"/>
      <c r="R105" s="2800"/>
      <c r="S105" s="2800"/>
      <c r="T105" s="2800"/>
      <c r="U105" s="1378"/>
      <c r="V105" s="1378"/>
      <c r="W105" s="1378"/>
      <c r="X105" s="1378"/>
      <c r="Y105" s="1378"/>
      <c r="Z105" s="1378"/>
      <c r="AA105" s="1378"/>
      <c r="AB105" s="1378"/>
      <c r="AC105" s="1378"/>
      <c r="AD105" s="1378"/>
      <c r="AE105" s="1378"/>
      <c r="AF105" s="1378"/>
      <c r="AG105" s="1378"/>
      <c r="AH105" s="1378"/>
      <c r="AI105" s="1260"/>
      <c r="AJ105" s="1260"/>
      <c r="AK105" s="1260"/>
      <c r="AL105" s="1260"/>
      <c r="AM105" s="1260"/>
      <c r="AN105" s="1260"/>
      <c r="AO105" s="1260"/>
      <c r="AP105" s="1260"/>
      <c r="AQ105" s="1260"/>
      <c r="AR105" s="1260"/>
      <c r="AS105" s="1261"/>
      <c r="AT105" s="2"/>
    </row>
    <row r="106" spans="1:86" s="1" customFormat="1" ht="13.8" x14ac:dyDescent="0.25">
      <c r="A106" s="2799" t="s">
        <v>912</v>
      </c>
      <c r="B106" s="2800"/>
      <c r="C106" s="2800"/>
      <c r="D106" s="2800"/>
      <c r="E106" s="2800"/>
      <c r="F106" s="2800"/>
      <c r="G106" s="2800"/>
      <c r="H106" s="2800"/>
      <c r="I106" s="2800"/>
      <c r="J106" s="2800"/>
      <c r="K106" s="2800"/>
      <c r="L106" s="2800"/>
      <c r="M106" s="2800"/>
      <c r="N106" s="2800"/>
      <c r="O106" s="280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1"/>
      <c r="AT106" s="2"/>
    </row>
    <row r="107" spans="1:86" s="1" customFormat="1" ht="17.100000000000001" customHeight="1" thickBot="1" x14ac:dyDescent="0.3">
      <c r="A107" s="9" t="s">
        <v>1041</v>
      </c>
      <c r="B107" s="125"/>
      <c r="C107" s="125"/>
      <c r="D107" s="71"/>
      <c r="E107" s="71"/>
      <c r="F107" s="125"/>
      <c r="G107" s="125"/>
      <c r="H107" s="71"/>
      <c r="I107" s="71"/>
      <c r="J107" s="125"/>
      <c r="K107" s="125"/>
      <c r="L107" s="71"/>
      <c r="M107" s="71"/>
      <c r="N107" s="125"/>
      <c r="O107" s="125"/>
      <c r="P107" s="71"/>
      <c r="Q107" s="71"/>
      <c r="R107" s="125"/>
      <c r="S107" s="125"/>
      <c r="T107" s="71"/>
      <c r="U107" s="71"/>
      <c r="V107" s="125"/>
      <c r="W107" s="125"/>
      <c r="X107" s="71"/>
      <c r="Y107" s="71"/>
      <c r="Z107" s="125"/>
      <c r="AA107" s="125"/>
      <c r="AB107" s="71"/>
      <c r="AC107" s="71"/>
      <c r="AD107" s="125"/>
      <c r="AE107" s="125"/>
      <c r="AF107" s="71"/>
      <c r="AG107" s="71"/>
      <c r="AH107" s="125"/>
      <c r="AI107" s="125"/>
      <c r="AJ107" s="71"/>
      <c r="AK107" s="71"/>
      <c r="AL107" s="125"/>
      <c r="AM107" s="125"/>
      <c r="AN107" s="71"/>
      <c r="AO107" s="71"/>
      <c r="AP107" s="125"/>
      <c r="AQ107" s="125"/>
      <c r="AR107" s="71"/>
      <c r="AS107" s="72"/>
      <c r="AT107" s="2"/>
    </row>
    <row r="108" spans="1:86" s="1" customFormat="1" ht="13.8" x14ac:dyDescent="0.25">
      <c r="A108" s="12" t="s">
        <v>2202</v>
      </c>
      <c r="B108" s="4"/>
      <c r="C108" s="4"/>
      <c r="D108" s="2"/>
      <c r="E108" s="2"/>
      <c r="F108" s="4"/>
      <c r="G108" s="4"/>
      <c r="H108" s="2"/>
      <c r="I108" s="2"/>
      <c r="J108" s="4"/>
      <c r="K108" s="4"/>
      <c r="L108" s="2"/>
      <c r="M108" s="2"/>
      <c r="N108" s="4"/>
      <c r="O108" s="4"/>
      <c r="P108" s="2"/>
      <c r="Q108" s="2"/>
      <c r="R108" s="4"/>
      <c r="S108" s="4"/>
      <c r="T108" s="2"/>
      <c r="U108" s="2"/>
      <c r="V108" s="4"/>
      <c r="W108" s="4"/>
      <c r="X108" s="2"/>
      <c r="Y108" s="2"/>
      <c r="Z108" s="4"/>
      <c r="AA108" s="4"/>
      <c r="AB108" s="2"/>
      <c r="AC108" s="2"/>
      <c r="AD108" s="4"/>
      <c r="AE108" s="4"/>
      <c r="AF108" s="2"/>
      <c r="AG108" s="2"/>
      <c r="AH108" s="4"/>
      <c r="AI108" s="4"/>
      <c r="AJ108" s="2"/>
      <c r="AK108" s="2"/>
      <c r="AL108" s="4"/>
      <c r="AM108" s="4"/>
      <c r="AN108" s="2"/>
      <c r="AO108" s="2"/>
      <c r="AP108" s="4"/>
      <c r="AQ108" s="4"/>
      <c r="AR108" s="2"/>
      <c r="AS108" s="2"/>
      <c r="AT108" s="2"/>
    </row>
    <row r="109" spans="1:86" ht="9.9" customHeight="1" x14ac:dyDescent="0.3">
      <c r="B109" s="278"/>
      <c r="C109" s="278"/>
      <c r="D109" s="230"/>
      <c r="E109" s="230"/>
      <c r="F109" s="278"/>
      <c r="G109" s="278"/>
      <c r="H109" s="230"/>
      <c r="I109" s="230"/>
      <c r="J109" s="278"/>
      <c r="K109" s="278"/>
      <c r="L109" s="230"/>
      <c r="M109" s="230"/>
      <c r="N109" s="278"/>
      <c r="O109" s="278"/>
      <c r="P109" s="230"/>
      <c r="Q109" s="230"/>
      <c r="R109" s="278"/>
      <c r="S109" s="278"/>
      <c r="T109" s="230"/>
      <c r="U109" s="230"/>
      <c r="V109" s="278"/>
      <c r="W109" s="278"/>
      <c r="X109" s="230"/>
      <c r="Y109" s="230"/>
      <c r="Z109" s="278"/>
      <c r="AA109" s="278"/>
      <c r="AB109" s="230"/>
      <c r="AC109" s="230"/>
      <c r="AD109" s="278"/>
      <c r="AE109" s="278"/>
      <c r="AF109" s="230"/>
      <c r="AG109" s="230"/>
      <c r="AH109" s="278"/>
      <c r="AI109" s="278"/>
      <c r="AJ109" s="230"/>
      <c r="AK109" s="230"/>
      <c r="AL109" s="278"/>
      <c r="AM109" s="278"/>
      <c r="AN109" s="230"/>
      <c r="AO109" s="230"/>
      <c r="AP109" s="278"/>
      <c r="AQ109" s="278"/>
      <c r="AR109" s="230"/>
      <c r="AS109" s="230"/>
      <c r="AT109" s="230"/>
    </row>
    <row r="110" spans="1:86" x14ac:dyDescent="0.3">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row>
    <row r="111" spans="1:86" s="322" customFormat="1" x14ac:dyDescent="0.3">
      <c r="A111" s="322" t="s">
        <v>910</v>
      </c>
      <c r="B111" s="1274">
        <f>B88+B75+B38+B14</f>
        <v>1551</v>
      </c>
      <c r="F111" s="1274">
        <f>F88+F75+F38+F14</f>
        <v>1718</v>
      </c>
      <c r="J111" s="1274">
        <f>J88+J75+J38+J14</f>
        <v>-411</v>
      </c>
      <c r="N111" s="1274">
        <f>N88+N75+N38+N14</f>
        <v>-4067</v>
      </c>
      <c r="R111" s="1274">
        <f>R88+R75+R38+R14</f>
        <v>-1615</v>
      </c>
      <c r="V111" s="1274">
        <f>V88+V75+V38+V14</f>
        <v>-1394</v>
      </c>
      <c r="Z111" s="1274">
        <f>Z88+Z75+Z38+Z14</f>
        <v>-105</v>
      </c>
      <c r="AD111" s="1274">
        <f>AD88+AD75+AD38+AD14</f>
        <v>461.39999999999986</v>
      </c>
      <c r="AH111" s="2423">
        <f>AH88+AH75+AH38+AH14</f>
        <v>221.40000000000015</v>
      </c>
      <c r="AL111" s="2423">
        <f>AL88+AL75+AL38</f>
        <v>19.599999999999994</v>
      </c>
      <c r="AT111" s="211"/>
      <c r="AU111" s="211"/>
      <c r="AV111" s="211"/>
      <c r="AW111" s="211"/>
      <c r="AX111" s="211"/>
      <c r="AY111" s="211"/>
      <c r="AZ111" s="211"/>
      <c r="BA111" s="211"/>
      <c r="BB111" s="211"/>
      <c r="BC111" s="211"/>
      <c r="BD111" s="211"/>
      <c r="BE111" s="211"/>
      <c r="BF111" s="211"/>
      <c r="BG111" s="211"/>
      <c r="BH111" s="211"/>
      <c r="BI111" s="211"/>
      <c r="BJ111" s="211"/>
      <c r="BK111" s="211"/>
      <c r="BL111" s="211"/>
      <c r="BM111" s="211"/>
      <c r="BN111" s="211"/>
      <c r="BO111" s="211"/>
      <c r="BP111" s="211"/>
      <c r="BQ111" s="211"/>
      <c r="BR111" s="211"/>
      <c r="BS111" s="211"/>
      <c r="BT111" s="211"/>
      <c r="BU111" s="211"/>
      <c r="BV111" s="211"/>
      <c r="BW111" s="211"/>
      <c r="BX111" s="211"/>
      <c r="BY111" s="211"/>
      <c r="BZ111" s="211"/>
      <c r="CA111" s="211"/>
      <c r="CB111" s="211"/>
      <c r="CC111" s="211"/>
      <c r="CD111" s="211"/>
      <c r="CE111" s="211"/>
      <c r="CF111" s="211"/>
      <c r="CG111" s="211"/>
      <c r="CH111" s="211"/>
    </row>
    <row r="112" spans="1:86" s="322" customFormat="1" x14ac:dyDescent="0.3">
      <c r="A112" s="322" t="s">
        <v>911</v>
      </c>
      <c r="AT112" s="211"/>
      <c r="AU112" s="211"/>
      <c r="AV112" s="211"/>
      <c r="AW112" s="211"/>
      <c r="AX112" s="211"/>
      <c r="AY112" s="211"/>
      <c r="AZ112" s="211"/>
      <c r="BA112" s="211"/>
      <c r="BB112" s="211"/>
      <c r="BC112" s="211"/>
      <c r="BD112" s="211"/>
      <c r="BE112" s="211"/>
      <c r="BF112" s="211"/>
      <c r="BG112" s="211"/>
      <c r="BH112" s="211"/>
      <c r="BI112" s="211"/>
      <c r="BJ112" s="211"/>
      <c r="BK112" s="211"/>
      <c r="BL112" s="211"/>
      <c r="BM112" s="211"/>
      <c r="BN112" s="211"/>
      <c r="BO112" s="211"/>
      <c r="BP112" s="211"/>
      <c r="BQ112" s="211"/>
      <c r="BR112" s="211"/>
      <c r="BS112" s="211"/>
      <c r="BT112" s="211"/>
      <c r="BU112" s="211"/>
      <c r="BV112" s="211"/>
      <c r="BW112" s="211"/>
      <c r="BX112" s="211"/>
      <c r="BY112" s="211"/>
      <c r="BZ112" s="211"/>
      <c r="CA112" s="211"/>
      <c r="CB112" s="211"/>
      <c r="CC112" s="211"/>
      <c r="CD112" s="211"/>
      <c r="CE112" s="211"/>
      <c r="CF112" s="211"/>
      <c r="CG112" s="211"/>
      <c r="CH112" s="211"/>
    </row>
    <row r="113" spans="2:86" s="322" customFormat="1" x14ac:dyDescent="0.3">
      <c r="AT113" s="211"/>
      <c r="AU113" s="211"/>
      <c r="AV113" s="211"/>
      <c r="AW113" s="211"/>
      <c r="AX113" s="211"/>
      <c r="AY113" s="211"/>
      <c r="AZ113" s="211"/>
      <c r="BA113" s="211"/>
      <c r="BB113" s="211"/>
      <c r="BC113" s="211"/>
      <c r="BD113" s="211"/>
      <c r="BE113" s="211"/>
      <c r="BF113" s="211"/>
      <c r="BG113" s="211"/>
      <c r="BH113" s="211"/>
      <c r="BI113" s="211"/>
      <c r="BJ113" s="211"/>
      <c r="BK113" s="211"/>
      <c r="BL113" s="211"/>
      <c r="BM113" s="211"/>
      <c r="BN113" s="211"/>
      <c r="BO113" s="211"/>
      <c r="BP113" s="211"/>
      <c r="BQ113" s="211"/>
      <c r="BR113" s="211"/>
      <c r="BS113" s="211"/>
      <c r="BT113" s="211"/>
      <c r="BU113" s="211"/>
      <c r="BV113" s="211"/>
      <c r="BW113" s="211"/>
      <c r="BX113" s="211"/>
      <c r="BY113" s="211"/>
      <c r="BZ113" s="211"/>
      <c r="CA113" s="211"/>
      <c r="CB113" s="211"/>
      <c r="CC113" s="211"/>
      <c r="CD113" s="211"/>
      <c r="CE113" s="211"/>
      <c r="CF113" s="211"/>
      <c r="CG113" s="211"/>
      <c r="CH113" s="211"/>
    </row>
    <row r="114" spans="2:86" s="322" customFormat="1" x14ac:dyDescent="0.3">
      <c r="AT114" s="211"/>
      <c r="AU114" s="211"/>
      <c r="AV114" s="211"/>
      <c r="AW114" s="211"/>
      <c r="AX114" s="211"/>
      <c r="AY114" s="211"/>
      <c r="AZ114" s="211"/>
      <c r="BA114" s="211"/>
      <c r="BB114" s="211"/>
      <c r="BC114" s="211"/>
      <c r="BD114" s="211"/>
      <c r="BE114" s="211"/>
      <c r="BF114" s="211"/>
      <c r="BG114" s="211"/>
      <c r="BH114" s="211"/>
      <c r="BI114" s="211"/>
      <c r="BJ114" s="211"/>
      <c r="BK114" s="211"/>
      <c r="BL114" s="211"/>
      <c r="BM114" s="211"/>
      <c r="BN114" s="211"/>
      <c r="BO114" s="211"/>
      <c r="BP114" s="211"/>
      <c r="BQ114" s="211"/>
      <c r="BR114" s="211"/>
      <c r="BS114" s="211"/>
      <c r="BT114" s="211"/>
      <c r="BU114" s="211"/>
      <c r="BV114" s="211"/>
      <c r="BW114" s="211"/>
      <c r="BX114" s="211"/>
      <c r="BY114" s="211"/>
      <c r="BZ114" s="211"/>
      <c r="CA114" s="211"/>
      <c r="CB114" s="211"/>
      <c r="CC114" s="211"/>
      <c r="CD114" s="211"/>
      <c r="CE114" s="211"/>
      <c r="CF114" s="211"/>
      <c r="CG114" s="211"/>
      <c r="CH114" s="211"/>
    </row>
    <row r="115" spans="2:86" s="322" customFormat="1" x14ac:dyDescent="0.3">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row>
    <row r="116" spans="2:86" s="322" customFormat="1" x14ac:dyDescent="0.3">
      <c r="AT116" s="211"/>
      <c r="AU116" s="211"/>
      <c r="AV116" s="211"/>
      <c r="AW116" s="211"/>
      <c r="AX116" s="211"/>
      <c r="AY116" s="211"/>
      <c r="AZ116" s="211"/>
      <c r="BA116" s="211"/>
      <c r="BB116" s="211"/>
      <c r="BC116" s="211"/>
      <c r="BD116" s="211"/>
      <c r="BE116" s="211"/>
      <c r="BF116" s="211"/>
      <c r="BG116" s="211"/>
      <c r="BH116" s="211"/>
      <c r="BI116" s="211"/>
      <c r="BJ116" s="211"/>
      <c r="BK116" s="211"/>
      <c r="BL116" s="211"/>
      <c r="BM116" s="211"/>
      <c r="BN116" s="211"/>
      <c r="BO116" s="211"/>
      <c r="BP116" s="211"/>
      <c r="BQ116" s="211"/>
      <c r="BR116" s="211"/>
      <c r="BS116" s="211"/>
      <c r="BT116" s="211"/>
      <c r="BU116" s="211"/>
      <c r="BV116" s="211"/>
      <c r="BW116" s="211"/>
      <c r="BX116" s="211"/>
      <c r="BY116" s="211"/>
      <c r="BZ116" s="211"/>
      <c r="CA116" s="211"/>
      <c r="CB116" s="211"/>
      <c r="CC116" s="211"/>
      <c r="CD116" s="211"/>
      <c r="CE116" s="211"/>
      <c r="CF116" s="211"/>
      <c r="CG116" s="211"/>
      <c r="CH116" s="211"/>
    </row>
    <row r="117" spans="2:86" s="322" customFormat="1" x14ac:dyDescent="0.3">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row>
    <row r="118" spans="2:86" s="322" customFormat="1" x14ac:dyDescent="0.3">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row>
    <row r="119" spans="2:86" s="322" customFormat="1" x14ac:dyDescent="0.3">
      <c r="AT119" s="211"/>
      <c r="AU119" s="211"/>
      <c r="AV119" s="211"/>
      <c r="AW119" s="211"/>
      <c r="AX119" s="211"/>
      <c r="AY119" s="211"/>
      <c r="AZ119" s="211"/>
      <c r="BA119" s="211"/>
      <c r="BB119" s="211"/>
      <c r="BC119" s="211"/>
      <c r="BD119" s="211"/>
      <c r="BE119" s="211"/>
      <c r="BF119" s="211"/>
      <c r="BG119" s="211"/>
      <c r="BH119" s="211"/>
      <c r="BI119" s="211"/>
      <c r="BJ119" s="211"/>
      <c r="BK119" s="211"/>
      <c r="BL119" s="211"/>
      <c r="BM119" s="211"/>
      <c r="BN119" s="211"/>
      <c r="BO119" s="211"/>
      <c r="BP119" s="211"/>
      <c r="BQ119" s="211"/>
      <c r="BR119" s="211"/>
      <c r="BS119" s="211"/>
      <c r="BT119" s="211"/>
      <c r="BU119" s="211"/>
      <c r="BV119" s="211"/>
      <c r="BW119" s="211"/>
      <c r="BX119" s="211"/>
      <c r="BY119" s="211"/>
      <c r="BZ119" s="211"/>
      <c r="CA119" s="211"/>
      <c r="CB119" s="211"/>
      <c r="CC119" s="211"/>
      <c r="CD119" s="211"/>
      <c r="CE119" s="211"/>
      <c r="CF119" s="211"/>
      <c r="CG119" s="211"/>
      <c r="CH119" s="211"/>
    </row>
    <row r="120" spans="2:86" s="322" customFormat="1" x14ac:dyDescent="0.3">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row>
    <row r="121" spans="2:86" s="322" customFormat="1" x14ac:dyDescent="0.3">
      <c r="AT121" s="211"/>
      <c r="AU121" s="211"/>
      <c r="AV121" s="211"/>
      <c r="AW121" s="211"/>
      <c r="AX121" s="211"/>
      <c r="AY121" s="211"/>
      <c r="AZ121" s="211"/>
      <c r="BA121" s="211"/>
      <c r="BB121" s="211"/>
      <c r="BC121" s="211"/>
      <c r="BD121" s="211"/>
      <c r="BE121" s="211"/>
      <c r="BF121" s="211"/>
      <c r="BG121" s="211"/>
      <c r="BH121" s="211"/>
      <c r="BI121" s="211"/>
      <c r="BJ121" s="211"/>
      <c r="BK121" s="211"/>
      <c r="BL121" s="211"/>
      <c r="BM121" s="211"/>
      <c r="BN121" s="211"/>
      <c r="BO121" s="211"/>
      <c r="BP121" s="211"/>
      <c r="BQ121" s="211"/>
      <c r="BR121" s="211"/>
      <c r="BS121" s="211"/>
      <c r="BT121" s="211"/>
      <c r="BU121" s="211"/>
      <c r="BV121" s="211"/>
      <c r="BW121" s="211"/>
      <c r="BX121" s="211"/>
      <c r="BY121" s="211"/>
      <c r="BZ121" s="211"/>
      <c r="CA121" s="211"/>
      <c r="CB121" s="211"/>
      <c r="CC121" s="211"/>
      <c r="CD121" s="211"/>
      <c r="CE121" s="211"/>
      <c r="CF121" s="211"/>
      <c r="CG121" s="211"/>
      <c r="CH121" s="211"/>
    </row>
    <row r="122" spans="2:86" s="322" customFormat="1" x14ac:dyDescent="0.3">
      <c r="AT122" s="211"/>
      <c r="AU122" s="211"/>
      <c r="AV122" s="211"/>
      <c r="AW122" s="211"/>
      <c r="AX122" s="211"/>
      <c r="AY122" s="211"/>
      <c r="AZ122" s="211"/>
      <c r="BA122" s="211"/>
      <c r="BB122" s="211"/>
      <c r="BC122" s="211"/>
      <c r="BD122" s="211"/>
      <c r="BE122" s="211"/>
      <c r="BF122" s="211"/>
      <c r="BG122" s="211"/>
      <c r="BH122" s="211"/>
      <c r="BI122" s="211"/>
      <c r="BJ122" s="211"/>
      <c r="BK122" s="211"/>
      <c r="BL122" s="211"/>
      <c r="BM122" s="211"/>
      <c r="BN122" s="211"/>
      <c r="BO122" s="211"/>
      <c r="BP122" s="211"/>
      <c r="BQ122" s="211"/>
      <c r="BR122" s="211"/>
      <c r="BS122" s="211"/>
      <c r="BT122" s="211"/>
      <c r="BU122" s="211"/>
      <c r="BV122" s="211"/>
      <c r="BW122" s="211"/>
      <c r="BX122" s="211"/>
      <c r="BY122" s="211"/>
      <c r="BZ122" s="211"/>
      <c r="CA122" s="211"/>
      <c r="CB122" s="211"/>
      <c r="CC122" s="211"/>
      <c r="CD122" s="211"/>
      <c r="CE122" s="211"/>
      <c r="CF122" s="211"/>
      <c r="CG122" s="211"/>
      <c r="CH122" s="211"/>
    </row>
    <row r="123" spans="2:86" s="322" customFormat="1" x14ac:dyDescent="0.3">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row>
    <row r="124" spans="2:86" s="322" customFormat="1" x14ac:dyDescent="0.3">
      <c r="AT124" s="211"/>
      <c r="AU124" s="211"/>
      <c r="AV124" s="211"/>
      <c r="AW124" s="211"/>
      <c r="AX124" s="211"/>
      <c r="AY124" s="211"/>
      <c r="AZ124" s="211"/>
      <c r="BA124" s="211"/>
      <c r="BB124" s="211"/>
      <c r="BC124" s="211"/>
      <c r="BD124" s="211"/>
      <c r="BE124" s="211"/>
      <c r="BF124" s="211"/>
      <c r="BG124" s="211"/>
      <c r="BH124" s="211"/>
      <c r="BI124" s="211"/>
      <c r="BJ124" s="211"/>
      <c r="BK124" s="211"/>
      <c r="BL124" s="211"/>
      <c r="BM124" s="211"/>
      <c r="BN124" s="211"/>
      <c r="BO124" s="211"/>
      <c r="BP124" s="211"/>
      <c r="BQ124" s="211"/>
      <c r="BR124" s="211"/>
      <c r="BS124" s="211"/>
      <c r="BT124" s="211"/>
      <c r="BU124" s="211"/>
      <c r="BV124" s="211"/>
      <c r="BW124" s="211"/>
      <c r="BX124" s="211"/>
      <c r="BY124" s="211"/>
      <c r="BZ124" s="211"/>
      <c r="CA124" s="211"/>
      <c r="CB124" s="211"/>
      <c r="CC124" s="211"/>
      <c r="CD124" s="211"/>
      <c r="CE124" s="211"/>
      <c r="CF124" s="211"/>
      <c r="CG124" s="211"/>
      <c r="CH124" s="211"/>
    </row>
    <row r="125" spans="2:86" x14ac:dyDescent="0.3">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row>
    <row r="126" spans="2:86" x14ac:dyDescent="0.3">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row>
    <row r="127" spans="2:86" x14ac:dyDescent="0.3">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row>
    <row r="128" spans="2:86" x14ac:dyDescent="0.3">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row>
    <row r="129" s="211" customFormat="1" x14ac:dyDescent="0.3"/>
    <row r="130" s="211" customFormat="1" x14ac:dyDescent="0.3"/>
    <row r="131" s="211" customFormat="1" x14ac:dyDescent="0.3"/>
    <row r="132" s="211" customFormat="1" x14ac:dyDescent="0.3"/>
    <row r="133" s="211" customFormat="1" x14ac:dyDescent="0.3"/>
    <row r="134" s="211" customFormat="1" x14ac:dyDescent="0.3"/>
    <row r="135" s="211" customFormat="1" x14ac:dyDescent="0.3"/>
    <row r="136" s="211" customFormat="1" x14ac:dyDescent="0.3"/>
    <row r="137" s="211" customFormat="1" x14ac:dyDescent="0.3"/>
    <row r="138" s="211" customFormat="1" x14ac:dyDescent="0.3"/>
    <row r="139" s="211" customFormat="1" x14ac:dyDescent="0.3"/>
    <row r="140" s="211" customFormat="1" x14ac:dyDescent="0.3"/>
    <row r="141" s="211" customFormat="1" x14ac:dyDescent="0.3"/>
    <row r="142" s="211" customFormat="1" x14ac:dyDescent="0.3"/>
    <row r="143" s="211" customFormat="1" x14ac:dyDescent="0.3"/>
    <row r="144" s="211" customFormat="1" x14ac:dyDescent="0.3"/>
    <row r="145" spans="2:45" x14ac:dyDescent="0.3">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row>
    <row r="146" spans="2:45" x14ac:dyDescent="0.3">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row>
    <row r="147" spans="2:45" x14ac:dyDescent="0.3">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row>
    <row r="148" spans="2:45" x14ac:dyDescent="0.3">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row>
    <row r="149" spans="2:45" x14ac:dyDescent="0.3">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row>
    <row r="150" spans="2:45" x14ac:dyDescent="0.3">
      <c r="N150" s="211"/>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row>
    <row r="151" spans="2:45" x14ac:dyDescent="0.3">
      <c r="N151" s="211"/>
      <c r="O151" s="211"/>
      <c r="P151" s="211"/>
      <c r="Q151" s="211"/>
      <c r="R151" s="211"/>
      <c r="S151" s="211"/>
      <c r="T151" s="211"/>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row>
    <row r="152" spans="2:45" x14ac:dyDescent="0.3">
      <c r="N152" s="211"/>
      <c r="O152" s="211"/>
      <c r="P152" s="211"/>
      <c r="Q152" s="211"/>
      <c r="R152" s="211"/>
      <c r="S152" s="211"/>
      <c r="T152" s="211"/>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row>
    <row r="153" spans="2:45" x14ac:dyDescent="0.3">
      <c r="N153" s="211"/>
      <c r="O153" s="211"/>
      <c r="P153" s="211"/>
      <c r="Q153" s="211"/>
      <c r="R153" s="211"/>
      <c r="S153" s="211"/>
      <c r="T153" s="211"/>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row>
    <row r="154" spans="2:45" x14ac:dyDescent="0.3">
      <c r="N154" s="211"/>
      <c r="O154" s="211"/>
      <c r="P154" s="211"/>
      <c r="Q154" s="211"/>
      <c r="R154" s="211"/>
      <c r="S154" s="211"/>
      <c r="T154" s="211"/>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row>
    <row r="155" spans="2:45" x14ac:dyDescent="0.3">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row>
    <row r="156" spans="2:45" x14ac:dyDescent="0.3">
      <c r="N156" s="211"/>
      <c r="O156" s="211"/>
      <c r="P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row>
    <row r="157" spans="2:45" x14ac:dyDescent="0.3">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row>
    <row r="158" spans="2:45" x14ac:dyDescent="0.3">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row>
    <row r="159" spans="2:45" x14ac:dyDescent="0.3">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row>
    <row r="160" spans="2:45" x14ac:dyDescent="0.3">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row>
    <row r="161" spans="14:45" x14ac:dyDescent="0.3">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row>
    <row r="162" spans="14:45" x14ac:dyDescent="0.3">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row>
    <row r="163" spans="14:45" x14ac:dyDescent="0.3">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row>
    <row r="164" spans="14:45" x14ac:dyDescent="0.3">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row>
    <row r="165" spans="14:45" x14ac:dyDescent="0.3">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row>
    <row r="166" spans="14:45" x14ac:dyDescent="0.3">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row>
    <row r="167" spans="14:45" x14ac:dyDescent="0.3">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row>
    <row r="168" spans="14:45" x14ac:dyDescent="0.3">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row>
    <row r="169" spans="14:45" x14ac:dyDescent="0.3">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row>
    <row r="170" spans="14:45" x14ac:dyDescent="0.3">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row>
    <row r="171" spans="14:45" x14ac:dyDescent="0.3">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row>
    <row r="172" spans="14:45" x14ac:dyDescent="0.3">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row>
    <row r="173" spans="14:45" x14ac:dyDescent="0.3">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row>
    <row r="174" spans="14:45" x14ac:dyDescent="0.3">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row>
    <row r="175" spans="14:45" x14ac:dyDescent="0.3">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row>
    <row r="176" spans="14:45" x14ac:dyDescent="0.3">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row>
    <row r="177" spans="14:45" x14ac:dyDescent="0.3">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row>
    <row r="178" spans="14:45" x14ac:dyDescent="0.3">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row>
    <row r="179" spans="14:45" x14ac:dyDescent="0.3">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row>
    <row r="180" spans="14:45" x14ac:dyDescent="0.3">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row>
    <row r="181" spans="14:45" x14ac:dyDescent="0.3">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row>
    <row r="182" spans="14:45" x14ac:dyDescent="0.3">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row>
    <row r="183" spans="14:45" x14ac:dyDescent="0.3">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row>
    <row r="184" spans="14:45" x14ac:dyDescent="0.3">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row>
    <row r="185" spans="14:45" x14ac:dyDescent="0.3">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row>
    <row r="186" spans="14:45" x14ac:dyDescent="0.3">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row>
    <row r="187" spans="14:45" x14ac:dyDescent="0.3">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row>
    <row r="188" spans="14:45" x14ac:dyDescent="0.3">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row>
    <row r="189" spans="14:45" x14ac:dyDescent="0.3">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row>
    <row r="190" spans="14:45" x14ac:dyDescent="0.3">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row>
    <row r="191" spans="14:45" x14ac:dyDescent="0.3">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row>
    <row r="192" spans="14:45" x14ac:dyDescent="0.3">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row>
    <row r="193" spans="14:45" x14ac:dyDescent="0.3">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row>
    <row r="194" spans="14:45" x14ac:dyDescent="0.3">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row>
    <row r="195" spans="14:45" x14ac:dyDescent="0.3">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row>
    <row r="196" spans="14:45" x14ac:dyDescent="0.3">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row>
    <row r="197" spans="14:45" x14ac:dyDescent="0.3">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row>
    <row r="198" spans="14:45" x14ac:dyDescent="0.3">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row>
    <row r="199" spans="14:45" x14ac:dyDescent="0.3">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row>
    <row r="200" spans="14:45" x14ac:dyDescent="0.3">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row>
    <row r="201" spans="14:45" x14ac:dyDescent="0.3">
      <c r="AP201" s="211"/>
      <c r="AQ201" s="211"/>
      <c r="AR201" s="211"/>
      <c r="AS201" s="211"/>
    </row>
  </sheetData>
  <mergeCells count="51">
    <mergeCell ref="A106:O106"/>
    <mergeCell ref="A100:T100"/>
    <mergeCell ref="A99:T99"/>
    <mergeCell ref="A98:S98"/>
    <mergeCell ref="A105:T105"/>
    <mergeCell ref="A101:S101"/>
    <mergeCell ref="A102:T102"/>
    <mergeCell ref="V80:X80"/>
    <mergeCell ref="Z80:AB80"/>
    <mergeCell ref="AD80:AF80"/>
    <mergeCell ref="B80:D80"/>
    <mergeCell ref="F80:H80"/>
    <mergeCell ref="J80:L80"/>
    <mergeCell ref="N80:P80"/>
    <mergeCell ref="R80:T80"/>
    <mergeCell ref="AH80:AJ80"/>
    <mergeCell ref="AL80:AN80"/>
    <mergeCell ref="AP80:AR80"/>
    <mergeCell ref="Z52:AB52"/>
    <mergeCell ref="AD52:AF52"/>
    <mergeCell ref="AH52:AJ52"/>
    <mergeCell ref="AL52:AN52"/>
    <mergeCell ref="AP52:AR52"/>
    <mergeCell ref="B52:D52"/>
    <mergeCell ref="F52:H52"/>
    <mergeCell ref="J52:L52"/>
    <mergeCell ref="N52:P52"/>
    <mergeCell ref="R52:T52"/>
    <mergeCell ref="V52:X52"/>
    <mergeCell ref="V20:X20"/>
    <mergeCell ref="Z20:AB20"/>
    <mergeCell ref="AD20:AF20"/>
    <mergeCell ref="AH20:AJ20"/>
    <mergeCell ref="AL20:AN20"/>
    <mergeCell ref="AP20:AR20"/>
    <mergeCell ref="Z6:AB6"/>
    <mergeCell ref="AD6:AF6"/>
    <mergeCell ref="AH6:AJ6"/>
    <mergeCell ref="AL6:AN6"/>
    <mergeCell ref="AP6:AR6"/>
    <mergeCell ref="B20:D20"/>
    <mergeCell ref="F20:H20"/>
    <mergeCell ref="J20:L20"/>
    <mergeCell ref="N20:P20"/>
    <mergeCell ref="R20:T20"/>
    <mergeCell ref="V6:X6"/>
    <mergeCell ref="B6:D6"/>
    <mergeCell ref="F6:H6"/>
    <mergeCell ref="J6:L6"/>
    <mergeCell ref="N6:P6"/>
    <mergeCell ref="R6:T6"/>
  </mergeCells>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71F58-4621-487E-9127-FF5E51B22FE3}">
  <sheetPr codeName="Sheet53">
    <tabColor theme="9" tint="0.59999389629810485"/>
  </sheetPr>
  <dimension ref="A1:D29"/>
  <sheetViews>
    <sheetView showGridLines="0" workbookViewId="0">
      <selection activeCell="N21" sqref="N21"/>
    </sheetView>
  </sheetViews>
  <sheetFormatPr defaultColWidth="8.6640625" defaultRowHeight="13.8" outlineLevelRow="1" x14ac:dyDescent="0.25"/>
  <cols>
    <col min="1" max="1" width="33.44140625" style="1" bestFit="1" customWidth="1"/>
    <col min="2" max="3" width="7.5546875" style="1" bestFit="1" customWidth="1"/>
    <col min="4" max="4" width="8.5546875" style="1" bestFit="1" customWidth="1"/>
    <col min="5" max="16384" width="8.6640625" style="1"/>
  </cols>
  <sheetData>
    <row r="1" spans="1:4" s="192" customFormat="1" outlineLevel="1" x14ac:dyDescent="0.25">
      <c r="A1" s="192" t="s">
        <v>708</v>
      </c>
      <c r="B1" s="192">
        <v>2004</v>
      </c>
      <c r="C1" s="192">
        <v>2004</v>
      </c>
      <c r="D1" s="192">
        <v>2003</v>
      </c>
    </row>
    <row r="3" spans="1:4" x14ac:dyDescent="0.25">
      <c r="A3" s="10" t="s">
        <v>947</v>
      </c>
      <c r="B3" s="11">
        <v>2004</v>
      </c>
      <c r="C3" s="11">
        <v>2003</v>
      </c>
      <c r="D3" s="11">
        <v>2002</v>
      </c>
    </row>
    <row r="4" spans="1:4" x14ac:dyDescent="0.25">
      <c r="A4" s="12" t="s">
        <v>1026</v>
      </c>
    </row>
    <row r="5" spans="1:4" x14ac:dyDescent="0.25">
      <c r="A5" s="1" t="s">
        <v>1027</v>
      </c>
      <c r="B5" s="13">
        <v>264</v>
      </c>
      <c r="C5" s="13">
        <v>355</v>
      </c>
      <c r="D5" s="13">
        <v>553</v>
      </c>
    </row>
    <row r="6" spans="1:4" x14ac:dyDescent="0.25">
      <c r="A6" s="1" t="s">
        <v>1028</v>
      </c>
      <c r="B6" s="2">
        <v>-44</v>
      </c>
      <c r="C6" s="2">
        <v>-99</v>
      </c>
      <c r="D6" s="2">
        <v>-173</v>
      </c>
    </row>
    <row r="7" spans="1:4" x14ac:dyDescent="0.25">
      <c r="A7" s="1" t="s">
        <v>1029</v>
      </c>
      <c r="B7" s="2">
        <v>-57</v>
      </c>
      <c r="C7" s="2">
        <v>85</v>
      </c>
      <c r="D7" s="2">
        <v>83</v>
      </c>
    </row>
    <row r="8" spans="1:4" x14ac:dyDescent="0.25">
      <c r="A8" s="1" t="s">
        <v>1030</v>
      </c>
      <c r="B8" s="2">
        <v>30</v>
      </c>
      <c r="C8" s="2">
        <v>31</v>
      </c>
      <c r="D8" s="2">
        <v>61</v>
      </c>
    </row>
    <row r="9" spans="1:4" x14ac:dyDescent="0.25">
      <c r="A9" s="1" t="s">
        <v>1031</v>
      </c>
      <c r="B9" s="2">
        <v>1</v>
      </c>
      <c r="C9" s="2">
        <v>101</v>
      </c>
      <c r="D9" s="2">
        <v>115</v>
      </c>
    </row>
    <row r="10" spans="1:4" x14ac:dyDescent="0.25">
      <c r="A10" s="1" t="s">
        <v>1032</v>
      </c>
      <c r="B10" s="2">
        <v>92</v>
      </c>
      <c r="C10" s="2">
        <v>34</v>
      </c>
      <c r="D10" s="2">
        <v>34</v>
      </c>
    </row>
    <row r="11" spans="1:4" ht="16.8" x14ac:dyDescent="0.25">
      <c r="A11" s="1" t="s">
        <v>1035</v>
      </c>
      <c r="B11" s="2">
        <v>220</v>
      </c>
      <c r="C11" s="2">
        <v>37</v>
      </c>
      <c r="D11" s="2">
        <v>0</v>
      </c>
    </row>
    <row r="12" spans="1:4" x14ac:dyDescent="0.25">
      <c r="A12" s="1" t="s">
        <v>15</v>
      </c>
      <c r="B12" s="2">
        <v>78</v>
      </c>
      <c r="C12" s="2">
        <v>75</v>
      </c>
      <c r="D12" s="2">
        <v>102</v>
      </c>
    </row>
    <row r="13" spans="1:4" x14ac:dyDescent="0.25">
      <c r="A13" s="1" t="s">
        <v>1033</v>
      </c>
      <c r="B13" s="80">
        <f>SUM(B5:B12)</f>
        <v>584</v>
      </c>
      <c r="C13" s="80">
        <f>SUM(C5:C12)</f>
        <v>619</v>
      </c>
      <c r="D13" s="80">
        <f>SUM(D5:D12)</f>
        <v>775</v>
      </c>
    </row>
    <row r="14" spans="1:4" x14ac:dyDescent="0.25">
      <c r="A14" s="1" t="s">
        <v>1034</v>
      </c>
      <c r="B14" s="2">
        <v>1750</v>
      </c>
      <c r="C14" s="2">
        <v>1215</v>
      </c>
      <c r="D14" s="2">
        <v>578</v>
      </c>
    </row>
    <row r="15" spans="1:4" ht="14.4" thickBot="1" x14ac:dyDescent="0.3">
      <c r="A15" s="1" t="s">
        <v>3</v>
      </c>
      <c r="B15" s="134">
        <f>B13+B14</f>
        <v>2334</v>
      </c>
      <c r="C15" s="134">
        <f>C13+C14</f>
        <v>1834</v>
      </c>
      <c r="D15" s="134">
        <f>D13+D14</f>
        <v>1353</v>
      </c>
    </row>
    <row r="16" spans="1:4" ht="14.4" thickTop="1" x14ac:dyDescent="0.25"/>
    <row r="18" spans="1:4" x14ac:dyDescent="0.25">
      <c r="A18" s="12" t="s">
        <v>1037</v>
      </c>
      <c r="B18" s="11">
        <f>B3</f>
        <v>2004</v>
      </c>
      <c r="C18" s="11">
        <f t="shared" ref="C18:D18" si="0">C3</f>
        <v>2003</v>
      </c>
      <c r="D18" s="11">
        <f t="shared" si="0"/>
        <v>2002</v>
      </c>
    </row>
    <row r="19" spans="1:4" x14ac:dyDescent="0.25">
      <c r="A19" s="1" t="s">
        <v>1027</v>
      </c>
      <c r="B19" s="13">
        <v>5751</v>
      </c>
      <c r="C19" s="13">
        <v>7826</v>
      </c>
      <c r="D19" s="13">
        <v>13762</v>
      </c>
    </row>
    <row r="20" spans="1:4" ht="16.8" x14ac:dyDescent="0.25">
      <c r="A20" s="1" t="s">
        <v>1040</v>
      </c>
      <c r="B20" s="2">
        <v>5437</v>
      </c>
      <c r="C20" s="2">
        <v>8041</v>
      </c>
      <c r="D20" s="2">
        <v>10631</v>
      </c>
    </row>
    <row r="21" spans="1:4" x14ac:dyDescent="0.25">
      <c r="A21" s="1" t="s">
        <v>1029</v>
      </c>
      <c r="B21" s="2">
        <v>2467</v>
      </c>
      <c r="C21" s="2">
        <v>2331</v>
      </c>
      <c r="D21" s="2">
        <v>1568</v>
      </c>
    </row>
    <row r="22" spans="1:4" x14ac:dyDescent="0.25">
      <c r="A22" s="1" t="s">
        <v>1030</v>
      </c>
      <c r="B22" s="193" t="s">
        <v>1039</v>
      </c>
      <c r="C22" s="193" t="s">
        <v>1039</v>
      </c>
      <c r="D22" s="193" t="s">
        <v>1039</v>
      </c>
    </row>
    <row r="23" spans="1:4" x14ac:dyDescent="0.25">
      <c r="A23" s="1" t="s">
        <v>1031</v>
      </c>
      <c r="B23" s="2">
        <v>0</v>
      </c>
      <c r="C23" s="2">
        <v>525</v>
      </c>
      <c r="D23" s="2">
        <v>2175</v>
      </c>
    </row>
    <row r="24" spans="1:4" x14ac:dyDescent="0.25">
      <c r="A24" s="1" t="s">
        <v>1032</v>
      </c>
      <c r="B24" s="2">
        <v>391</v>
      </c>
      <c r="C24" s="2">
        <v>482</v>
      </c>
      <c r="D24" s="2">
        <v>503</v>
      </c>
    </row>
    <row r="25" spans="1:4" ht="16.8" x14ac:dyDescent="0.25">
      <c r="A25" s="1" t="s">
        <v>1035</v>
      </c>
      <c r="B25" s="2">
        <v>3636</v>
      </c>
      <c r="C25" s="2">
        <v>2032</v>
      </c>
      <c r="D25" s="2">
        <v>0</v>
      </c>
    </row>
    <row r="26" spans="1:4" x14ac:dyDescent="0.25">
      <c r="A26" s="1" t="s">
        <v>15</v>
      </c>
      <c r="B26" s="193" t="s">
        <v>1039</v>
      </c>
      <c r="C26" s="193" t="s">
        <v>1039</v>
      </c>
      <c r="D26" s="193" t="s">
        <v>1039</v>
      </c>
    </row>
    <row r="28" spans="1:4" x14ac:dyDescent="0.25">
      <c r="A28" s="1" t="s">
        <v>1036</v>
      </c>
    </row>
    <row r="29" spans="1:4" x14ac:dyDescent="0.25">
      <c r="A29" s="1" t="s">
        <v>1038</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F0996-C256-408F-B8FD-1AB8CBFF3770}">
  <sheetPr>
    <tabColor theme="9" tint="0.59999389629810485"/>
  </sheetPr>
  <dimension ref="A1:U50"/>
  <sheetViews>
    <sheetView showGridLines="0" zoomScale="85" zoomScaleNormal="85" workbookViewId="0">
      <selection activeCell="P23" sqref="P23"/>
    </sheetView>
  </sheetViews>
  <sheetFormatPr defaultColWidth="9.109375" defaultRowHeight="15.6" x14ac:dyDescent="0.3"/>
  <cols>
    <col min="1" max="1" width="41.109375" style="211" customWidth="1"/>
    <col min="2" max="9" width="9.44140625" style="211" customWidth="1"/>
    <col min="10" max="16384" width="9.109375" style="211"/>
  </cols>
  <sheetData>
    <row r="1" spans="1:12" x14ac:dyDescent="0.3">
      <c r="A1" s="459" t="s">
        <v>1673</v>
      </c>
      <c r="B1" s="459"/>
      <c r="C1" s="459"/>
      <c r="D1" s="459"/>
    </row>
    <row r="2" spans="1:12" x14ac:dyDescent="0.3">
      <c r="A2" s="152" t="s">
        <v>1750</v>
      </c>
      <c r="B2" s="152"/>
      <c r="C2" s="152"/>
      <c r="D2" s="152"/>
    </row>
    <row r="3" spans="1:12" ht="8.25" customHeight="1" thickBot="1" x14ac:dyDescent="0.35"/>
    <row r="4" spans="1:12" x14ac:dyDescent="0.3">
      <c r="A4" s="212" t="s">
        <v>1250</v>
      </c>
      <c r="B4" s="712">
        <v>2004</v>
      </c>
      <c r="C4" s="712">
        <v>2003</v>
      </c>
      <c r="D4" s="712">
        <v>2002</v>
      </c>
      <c r="E4" s="712">
        <v>2001</v>
      </c>
      <c r="F4" s="712">
        <v>2000</v>
      </c>
      <c r="G4" s="712">
        <v>1999</v>
      </c>
      <c r="H4" s="712">
        <v>1998</v>
      </c>
      <c r="I4" s="712">
        <v>1997</v>
      </c>
      <c r="J4" s="712">
        <v>1996</v>
      </c>
      <c r="K4" s="712">
        <v>1995</v>
      </c>
      <c r="L4" s="713">
        <v>1994</v>
      </c>
    </row>
    <row r="5" spans="1:12" ht="34.200000000000003" x14ac:dyDescent="0.3">
      <c r="A5" s="282" t="s">
        <v>1777</v>
      </c>
      <c r="B5" s="1369">
        <v>40087</v>
      </c>
      <c r="C5" s="1369">
        <v>39709</v>
      </c>
      <c r="D5" s="1369">
        <v>37769</v>
      </c>
      <c r="E5" s="1369">
        <v>34373</v>
      </c>
      <c r="F5" s="1369">
        <v>27278</v>
      </c>
      <c r="G5" s="1369">
        <v>22751</v>
      </c>
      <c r="H5" s="1369">
        <v>20077</v>
      </c>
      <c r="I5" s="1369">
        <v>5883</v>
      </c>
      <c r="J5" s="1369">
        <v>5473</v>
      </c>
      <c r="K5" s="1369">
        <v>5045</v>
      </c>
      <c r="L5" s="1370">
        <v>2625</v>
      </c>
    </row>
    <row r="6" spans="1:12" ht="8.25" customHeight="1" x14ac:dyDescent="0.3">
      <c r="A6" s="214"/>
      <c r="B6" s="220"/>
      <c r="C6" s="220"/>
      <c r="D6" s="220"/>
      <c r="E6" s="926"/>
      <c r="F6" s="926"/>
      <c r="G6" s="926"/>
      <c r="H6" s="926"/>
      <c r="I6" s="926"/>
      <c r="J6" s="220"/>
      <c r="K6" s="220"/>
      <c r="L6" s="223"/>
    </row>
    <row r="7" spans="1:12" x14ac:dyDescent="0.3">
      <c r="A7" s="214" t="s">
        <v>1751</v>
      </c>
      <c r="B7" s="220"/>
      <c r="C7" s="220"/>
      <c r="D7" s="220"/>
      <c r="E7" s="926"/>
      <c r="F7" s="926"/>
      <c r="G7" s="926"/>
      <c r="H7" s="926"/>
      <c r="I7" s="926"/>
      <c r="J7" s="220"/>
      <c r="K7" s="220"/>
      <c r="L7" s="223"/>
    </row>
    <row r="8" spans="1:12" x14ac:dyDescent="0.3">
      <c r="A8" s="1371" t="s">
        <v>1752</v>
      </c>
      <c r="B8" s="509"/>
      <c r="C8" s="1389">
        <v>40618</v>
      </c>
      <c r="D8" s="1389">
        <v>39206</v>
      </c>
      <c r="E8" s="1387">
        <v>36289</v>
      </c>
      <c r="F8" s="1387">
        <v>28569</v>
      </c>
      <c r="G8" s="1387">
        <v>22239</v>
      </c>
      <c r="H8" s="1387">
        <v>19663</v>
      </c>
      <c r="I8" s="1387">
        <v>5673</v>
      </c>
      <c r="J8" s="926">
        <v>5324</v>
      </c>
      <c r="K8" s="926">
        <v>4936</v>
      </c>
      <c r="L8" s="927">
        <v>2662</v>
      </c>
    </row>
    <row r="9" spans="1:12" x14ac:dyDescent="0.3">
      <c r="A9" s="1371" t="s">
        <v>1753</v>
      </c>
      <c r="B9" s="509"/>
      <c r="C9" s="1389"/>
      <c r="D9" s="1389">
        <v>40663</v>
      </c>
      <c r="E9" s="1387">
        <v>38069</v>
      </c>
      <c r="F9" s="1387">
        <v>30667</v>
      </c>
      <c r="G9" s="1387">
        <v>22829</v>
      </c>
      <c r="H9" s="1387">
        <v>18132</v>
      </c>
      <c r="I9" s="1387">
        <v>5540</v>
      </c>
      <c r="J9" s="926">
        <v>5220</v>
      </c>
      <c r="K9" s="926">
        <v>4901</v>
      </c>
      <c r="L9" s="927">
        <v>2707</v>
      </c>
    </row>
    <row r="10" spans="1:12" x14ac:dyDescent="0.3">
      <c r="A10" s="1371" t="s">
        <v>1754</v>
      </c>
      <c r="B10" s="509"/>
      <c r="C10" s="1389"/>
      <c r="D10" s="1389"/>
      <c r="E10" s="1387">
        <v>40023</v>
      </c>
      <c r="F10" s="1387">
        <v>32156</v>
      </c>
      <c r="G10" s="1387">
        <v>24079</v>
      </c>
      <c r="H10" s="1387">
        <v>18464</v>
      </c>
      <c r="I10" s="1387">
        <v>5386</v>
      </c>
      <c r="J10" s="926">
        <v>5093</v>
      </c>
      <c r="K10" s="926">
        <v>4859</v>
      </c>
      <c r="L10" s="927">
        <v>2690</v>
      </c>
    </row>
    <row r="11" spans="1:12" x14ac:dyDescent="0.3">
      <c r="A11" s="1371" t="s">
        <v>1755</v>
      </c>
      <c r="B11" s="509"/>
      <c r="C11" s="1389"/>
      <c r="D11" s="1389"/>
      <c r="E11" s="1387"/>
      <c r="F11" s="1387">
        <v>33532</v>
      </c>
      <c r="G11" s="1387">
        <v>25158</v>
      </c>
      <c r="H11" s="1387">
        <v>19750</v>
      </c>
      <c r="I11" s="1387">
        <v>5293</v>
      </c>
      <c r="J11" s="926">
        <v>4973</v>
      </c>
      <c r="K11" s="926">
        <v>4795</v>
      </c>
      <c r="L11" s="927">
        <v>2696</v>
      </c>
    </row>
    <row r="12" spans="1:12" x14ac:dyDescent="0.3">
      <c r="A12" s="1371" t="s">
        <v>1756</v>
      </c>
      <c r="B12" s="509"/>
      <c r="C12" s="1389"/>
      <c r="D12" s="1389"/>
      <c r="E12" s="1387"/>
      <c r="F12" s="1387"/>
      <c r="G12" s="1387">
        <v>26894</v>
      </c>
      <c r="H12" s="1387">
        <v>20581</v>
      </c>
      <c r="I12" s="1387">
        <v>5304</v>
      </c>
      <c r="J12" s="926">
        <v>4906</v>
      </c>
      <c r="K12" s="926">
        <v>4707</v>
      </c>
      <c r="L12" s="927">
        <v>2658</v>
      </c>
    </row>
    <row r="13" spans="1:12" x14ac:dyDescent="0.3">
      <c r="A13" s="1371" t="s">
        <v>1771</v>
      </c>
      <c r="B13" s="220"/>
      <c r="C13" s="926"/>
      <c r="D13" s="926"/>
      <c r="E13" s="1387"/>
      <c r="F13" s="1387"/>
      <c r="G13" s="1387"/>
      <c r="H13" s="1387">
        <v>21172</v>
      </c>
      <c r="I13" s="1387">
        <v>5246</v>
      </c>
      <c r="J13" s="926">
        <v>4920</v>
      </c>
      <c r="K13" s="926">
        <v>4647</v>
      </c>
      <c r="L13" s="927">
        <v>2622</v>
      </c>
    </row>
    <row r="14" spans="1:12" x14ac:dyDescent="0.3">
      <c r="A14" s="1371" t="s">
        <v>1772</v>
      </c>
      <c r="B14" s="220"/>
      <c r="C14" s="926"/>
      <c r="D14" s="926"/>
      <c r="E14" s="1387"/>
      <c r="F14" s="1387"/>
      <c r="G14" s="1387"/>
      <c r="H14" s="1387"/>
      <c r="I14" s="1387">
        <v>5311</v>
      </c>
      <c r="J14" s="926">
        <v>4891</v>
      </c>
      <c r="K14" s="926">
        <v>4673</v>
      </c>
      <c r="L14" s="927">
        <v>2600</v>
      </c>
    </row>
    <row r="15" spans="1:12" x14ac:dyDescent="0.3">
      <c r="A15" s="1371" t="s">
        <v>1773</v>
      </c>
      <c r="B15" s="220"/>
      <c r="C15" s="926"/>
      <c r="D15" s="926"/>
      <c r="E15" s="1387"/>
      <c r="F15" s="1387"/>
      <c r="G15" s="1387"/>
      <c r="H15" s="1387"/>
      <c r="I15" s="1387"/>
      <c r="J15" s="926">
        <v>4958</v>
      </c>
      <c r="K15" s="926">
        <v>4660</v>
      </c>
      <c r="L15" s="927">
        <v>2617</v>
      </c>
    </row>
    <row r="16" spans="1:12" x14ac:dyDescent="0.3">
      <c r="A16" s="1371" t="s">
        <v>1774</v>
      </c>
      <c r="B16" s="220"/>
      <c r="C16" s="926"/>
      <c r="D16" s="926"/>
      <c r="E16" s="1387"/>
      <c r="F16" s="1387"/>
      <c r="G16" s="1387"/>
      <c r="H16" s="1387"/>
      <c r="I16" s="1387"/>
      <c r="J16" s="926"/>
      <c r="K16" s="926">
        <v>4728</v>
      </c>
      <c r="L16" s="927">
        <v>2611</v>
      </c>
    </row>
    <row r="17" spans="1:21" x14ac:dyDescent="0.3">
      <c r="A17" s="1371" t="s">
        <v>1775</v>
      </c>
      <c r="B17" s="220"/>
      <c r="C17" s="926"/>
      <c r="D17" s="926"/>
      <c r="E17" s="1387"/>
      <c r="F17" s="1387"/>
      <c r="G17" s="1387"/>
      <c r="H17" s="1387"/>
      <c r="I17" s="1387"/>
      <c r="J17" s="926"/>
      <c r="K17" s="926"/>
      <c r="L17" s="927">
        <v>2662</v>
      </c>
    </row>
    <row r="18" spans="1:21" x14ac:dyDescent="0.3">
      <c r="A18" s="214"/>
      <c r="B18" s="220"/>
      <c r="C18" s="926"/>
      <c r="D18" s="926"/>
      <c r="E18" s="1387"/>
      <c r="F18" s="1387"/>
      <c r="G18" s="1387"/>
      <c r="H18" s="1387"/>
      <c r="I18" s="1387"/>
      <c r="J18" s="926"/>
      <c r="K18" s="926"/>
      <c r="L18" s="927"/>
    </row>
    <row r="19" spans="1:21" x14ac:dyDescent="0.3">
      <c r="A19" s="214" t="s">
        <v>1757</v>
      </c>
      <c r="B19" s="220"/>
      <c r="C19" s="926">
        <f>C8-C5</f>
        <v>909</v>
      </c>
      <c r="D19" s="926">
        <f>D9-D5</f>
        <v>2894</v>
      </c>
      <c r="E19" s="926">
        <f>E10-E5</f>
        <v>5650</v>
      </c>
      <c r="F19" s="926">
        <f>F11-F5</f>
        <v>6254</v>
      </c>
      <c r="G19" s="926">
        <f>G12-G5</f>
        <v>4143</v>
      </c>
      <c r="H19" s="926">
        <f>H13-H5</f>
        <v>1095</v>
      </c>
      <c r="I19" s="926">
        <f>I14-I5</f>
        <v>-572</v>
      </c>
      <c r="J19" s="926">
        <f>J15-J5</f>
        <v>-515</v>
      </c>
      <c r="K19" s="926">
        <f>K16-K5</f>
        <v>-317</v>
      </c>
      <c r="L19" s="927">
        <f>L17-L5</f>
        <v>37</v>
      </c>
    </row>
    <row r="20" spans="1:21" x14ac:dyDescent="0.3">
      <c r="A20" s="214" t="s">
        <v>1758</v>
      </c>
      <c r="B20" s="220"/>
      <c r="C20" s="926">
        <v>-490</v>
      </c>
      <c r="D20" s="926">
        <v>-1485</v>
      </c>
      <c r="E20" s="1387">
        <v>-1909</v>
      </c>
      <c r="F20" s="1387">
        <v>-1827</v>
      </c>
      <c r="G20" s="1387">
        <v>-869</v>
      </c>
      <c r="H20" s="1387">
        <v>-550</v>
      </c>
      <c r="I20" s="1387">
        <v>0</v>
      </c>
      <c r="J20" s="926">
        <v>0</v>
      </c>
      <c r="K20" s="926">
        <v>0</v>
      </c>
      <c r="L20" s="927">
        <v>0</v>
      </c>
    </row>
    <row r="21" spans="1:21" x14ac:dyDescent="0.3">
      <c r="A21" s="214" t="s">
        <v>1759</v>
      </c>
      <c r="B21" s="220"/>
      <c r="C21" s="1388">
        <f t="shared" ref="C21:E21" si="0">C20+C19</f>
        <v>419</v>
      </c>
      <c r="D21" s="1388">
        <f t="shared" si="0"/>
        <v>1409</v>
      </c>
      <c r="E21" s="1388">
        <f t="shared" si="0"/>
        <v>3741</v>
      </c>
      <c r="F21" s="1388">
        <f>F20+F19</f>
        <v>4427</v>
      </c>
      <c r="G21" s="1388">
        <f t="shared" ref="G21:L21" si="1">G20+G19</f>
        <v>3274</v>
      </c>
      <c r="H21" s="1388">
        <f t="shared" si="1"/>
        <v>545</v>
      </c>
      <c r="I21" s="1388">
        <f t="shared" si="1"/>
        <v>-572</v>
      </c>
      <c r="J21" s="1388">
        <f t="shared" si="1"/>
        <v>-515</v>
      </c>
      <c r="K21" s="1388">
        <f t="shared" si="1"/>
        <v>-317</v>
      </c>
      <c r="L21" s="1392">
        <f t="shared" si="1"/>
        <v>37</v>
      </c>
    </row>
    <row r="22" spans="1:21" x14ac:dyDescent="0.3">
      <c r="A22" s="214"/>
      <c r="B22" s="220"/>
      <c r="C22" s="926"/>
      <c r="D22" s="926"/>
      <c r="E22" s="1387"/>
      <c r="F22" s="1387"/>
      <c r="G22" s="1387"/>
      <c r="H22" s="1387"/>
      <c r="I22" s="1387"/>
      <c r="J22" s="926"/>
      <c r="K22" s="926"/>
      <c r="L22" s="927"/>
    </row>
    <row r="23" spans="1:21" x14ac:dyDescent="0.3">
      <c r="A23" s="214" t="s">
        <v>1760</v>
      </c>
      <c r="B23" s="220"/>
      <c r="C23" s="926"/>
      <c r="D23" s="926"/>
      <c r="E23" s="1387"/>
      <c r="F23" s="1387"/>
      <c r="G23" s="1387"/>
      <c r="H23" s="1387"/>
      <c r="I23" s="1387"/>
      <c r="J23" s="926"/>
      <c r="K23" s="926"/>
      <c r="L23" s="927"/>
      <c r="U23" s="211" t="s">
        <v>176</v>
      </c>
    </row>
    <row r="24" spans="1:21" x14ac:dyDescent="0.3">
      <c r="A24" s="1371" t="s">
        <v>1752</v>
      </c>
      <c r="B24" s="509"/>
      <c r="C24" s="1389">
        <v>8828</v>
      </c>
      <c r="D24" s="1389">
        <v>8092</v>
      </c>
      <c r="E24" s="1387">
        <v>6653</v>
      </c>
      <c r="F24" s="1387">
        <v>5352</v>
      </c>
      <c r="G24" s="1387">
        <v>5825</v>
      </c>
      <c r="H24" s="1387">
        <v>4509</v>
      </c>
      <c r="I24" s="1387">
        <v>1811</v>
      </c>
      <c r="J24" s="926">
        <v>1385</v>
      </c>
      <c r="K24" s="926">
        <v>1166</v>
      </c>
      <c r="L24" s="927">
        <v>210</v>
      </c>
    </row>
    <row r="25" spans="1:21" x14ac:dyDescent="0.3">
      <c r="A25" s="1371" t="s">
        <v>1753</v>
      </c>
      <c r="B25" s="509"/>
      <c r="C25" s="220"/>
      <c r="D25" s="1389">
        <v>14262</v>
      </c>
      <c r="E25" s="1389">
        <v>11396</v>
      </c>
      <c r="F25" s="1387">
        <v>8744</v>
      </c>
      <c r="G25" s="1387">
        <v>8289</v>
      </c>
      <c r="H25" s="1387">
        <v>7596</v>
      </c>
      <c r="I25" s="1387">
        <v>2463</v>
      </c>
      <c r="J25" s="1387">
        <v>2379</v>
      </c>
      <c r="K25" s="926">
        <v>1912</v>
      </c>
      <c r="L25" s="927">
        <v>436</v>
      </c>
    </row>
    <row r="26" spans="1:21" x14ac:dyDescent="0.3">
      <c r="A26" s="1371" t="s">
        <v>1754</v>
      </c>
      <c r="B26" s="509"/>
      <c r="C26" s="220"/>
      <c r="D26" s="220"/>
      <c r="E26" s="1389">
        <v>16378</v>
      </c>
      <c r="F26" s="1389">
        <v>11625</v>
      </c>
      <c r="G26" s="1387">
        <v>9889</v>
      </c>
      <c r="H26" s="1387">
        <v>9384</v>
      </c>
      <c r="I26" s="1387">
        <v>3330</v>
      </c>
      <c r="J26" s="1387">
        <v>2891</v>
      </c>
      <c r="K26" s="1387">
        <v>2732</v>
      </c>
      <c r="L26" s="927">
        <v>775</v>
      </c>
    </row>
    <row r="27" spans="1:21" x14ac:dyDescent="0.3">
      <c r="A27" s="1371" t="s">
        <v>1755</v>
      </c>
      <c r="B27" s="509"/>
      <c r="C27" s="220"/>
      <c r="D27" s="220"/>
      <c r="E27" s="220"/>
      <c r="F27" s="1389">
        <v>15608</v>
      </c>
      <c r="G27" s="1389">
        <v>11513</v>
      </c>
      <c r="H27" s="1387">
        <v>10436</v>
      </c>
      <c r="I27" s="1387">
        <v>3507</v>
      </c>
      <c r="J27" s="1387">
        <v>3372</v>
      </c>
      <c r="K27" s="1387">
        <v>3129</v>
      </c>
      <c r="L27" s="1393">
        <v>1309</v>
      </c>
    </row>
    <row r="28" spans="1:21" x14ac:dyDescent="0.3">
      <c r="A28" s="1371" t="s">
        <v>1756</v>
      </c>
      <c r="B28" s="509"/>
      <c r="C28" s="220"/>
      <c r="D28" s="220"/>
      <c r="E28" s="220"/>
      <c r="F28" s="220"/>
      <c r="G28" s="1389">
        <v>13840</v>
      </c>
      <c r="H28" s="1389">
        <v>11421</v>
      </c>
      <c r="I28" s="1387">
        <v>3598</v>
      </c>
      <c r="J28" s="1387">
        <v>3465</v>
      </c>
      <c r="K28" s="1387">
        <v>3310</v>
      </c>
      <c r="L28" s="1393">
        <v>1460</v>
      </c>
      <c r="O28" s="211" t="s">
        <v>176</v>
      </c>
    </row>
    <row r="29" spans="1:21" x14ac:dyDescent="0.3">
      <c r="A29" s="1371" t="s">
        <v>1771</v>
      </c>
      <c r="B29" s="410"/>
      <c r="C29" s="1390"/>
      <c r="D29" s="1390"/>
      <c r="E29" s="926"/>
      <c r="F29" s="926"/>
      <c r="G29" s="926"/>
      <c r="H29" s="926">
        <v>12221</v>
      </c>
      <c r="I29" s="926">
        <v>3694</v>
      </c>
      <c r="J29" s="926">
        <v>3518</v>
      </c>
      <c r="K29" s="926">
        <v>3357</v>
      </c>
      <c r="L29" s="927">
        <v>1591</v>
      </c>
    </row>
    <row r="30" spans="1:21" x14ac:dyDescent="0.3">
      <c r="A30" s="1371" t="s">
        <v>1772</v>
      </c>
      <c r="B30" s="220"/>
      <c r="C30" s="926"/>
      <c r="D30" s="926"/>
      <c r="E30" s="926"/>
      <c r="F30" s="926"/>
      <c r="G30" s="926"/>
      <c r="H30" s="926"/>
      <c r="I30" s="926">
        <v>3752</v>
      </c>
      <c r="J30" s="926">
        <v>3586</v>
      </c>
      <c r="K30" s="926">
        <v>3388</v>
      </c>
      <c r="L30" s="927">
        <v>1624</v>
      </c>
    </row>
    <row r="31" spans="1:21" x14ac:dyDescent="0.3">
      <c r="A31" s="1371" t="s">
        <v>1773</v>
      </c>
      <c r="B31" s="220"/>
      <c r="C31" s="926"/>
      <c r="D31" s="926"/>
      <c r="E31" s="926"/>
      <c r="F31" s="926"/>
      <c r="G31" s="926"/>
      <c r="H31" s="926"/>
      <c r="I31" s="926"/>
      <c r="J31" s="926">
        <v>3635</v>
      </c>
      <c r="K31" s="926">
        <v>3449</v>
      </c>
      <c r="L31" s="927">
        <v>1639</v>
      </c>
    </row>
    <row r="32" spans="1:21" x14ac:dyDescent="0.3">
      <c r="A32" s="1371" t="s">
        <v>1774</v>
      </c>
      <c r="B32" s="220"/>
      <c r="C32" s="926"/>
      <c r="D32" s="926"/>
      <c r="E32" s="926"/>
      <c r="F32" s="926"/>
      <c r="G32" s="926"/>
      <c r="H32" s="926"/>
      <c r="I32" s="926"/>
      <c r="J32" s="926"/>
      <c r="K32" s="926">
        <v>3491</v>
      </c>
      <c r="L32" s="927">
        <v>1686</v>
      </c>
    </row>
    <row r="33" spans="1:12" x14ac:dyDescent="0.3">
      <c r="A33" s="1371" t="s">
        <v>1775</v>
      </c>
      <c r="B33" s="220"/>
      <c r="C33" s="926"/>
      <c r="D33" s="926"/>
      <c r="E33" s="926"/>
      <c r="F33" s="926"/>
      <c r="G33" s="926"/>
      <c r="H33" s="926"/>
      <c r="I33" s="926"/>
      <c r="J33" s="926"/>
      <c r="K33" s="926"/>
      <c r="L33" s="927">
        <v>1716</v>
      </c>
    </row>
    <row r="34" spans="1:12" x14ac:dyDescent="0.3">
      <c r="A34" s="1371"/>
      <c r="B34" s="220"/>
      <c r="C34" s="926"/>
      <c r="D34" s="926"/>
      <c r="E34" s="926"/>
      <c r="F34" s="926"/>
      <c r="G34" s="926"/>
      <c r="H34" s="926"/>
      <c r="I34" s="926"/>
      <c r="J34" s="926"/>
      <c r="K34" s="926"/>
      <c r="L34" s="927"/>
    </row>
    <row r="35" spans="1:12" x14ac:dyDescent="0.3">
      <c r="A35" s="1391" t="s">
        <v>1779</v>
      </c>
      <c r="B35" s="220"/>
      <c r="C35" s="1389">
        <f>C21</f>
        <v>419</v>
      </c>
      <c r="D35" s="1389">
        <f t="shared" ref="D35:L35" si="2">D21</f>
        <v>1409</v>
      </c>
      <c r="E35" s="1389">
        <f t="shared" si="2"/>
        <v>3741</v>
      </c>
      <c r="F35" s="1389">
        <f t="shared" si="2"/>
        <v>4427</v>
      </c>
      <c r="G35" s="1389">
        <f t="shared" si="2"/>
        <v>3274</v>
      </c>
      <c r="H35" s="1389">
        <f t="shared" si="2"/>
        <v>545</v>
      </c>
      <c r="I35" s="1389">
        <f t="shared" si="2"/>
        <v>-572</v>
      </c>
      <c r="J35" s="1389">
        <f t="shared" si="2"/>
        <v>-515</v>
      </c>
      <c r="K35" s="1389">
        <f t="shared" si="2"/>
        <v>-317</v>
      </c>
      <c r="L35" s="1532">
        <f t="shared" si="2"/>
        <v>37</v>
      </c>
    </row>
    <row r="36" spans="1:12" ht="31.2" x14ac:dyDescent="0.3">
      <c r="A36" s="282" t="s">
        <v>1761</v>
      </c>
      <c r="B36" s="1386"/>
      <c r="C36" s="1533">
        <v>332</v>
      </c>
      <c r="D36" s="1533">
        <v>333</v>
      </c>
      <c r="E36" s="1533">
        <v>334</v>
      </c>
      <c r="F36" s="1533">
        <v>335</v>
      </c>
      <c r="G36" s="1533">
        <v>336</v>
      </c>
      <c r="H36" s="1533">
        <v>337</v>
      </c>
      <c r="I36" s="1533">
        <v>338</v>
      </c>
      <c r="J36" s="1533">
        <v>339</v>
      </c>
      <c r="K36" s="1533">
        <v>340</v>
      </c>
      <c r="L36" s="1534">
        <v>341</v>
      </c>
    </row>
    <row r="37" spans="1:12" ht="31.2" x14ac:dyDescent="0.3">
      <c r="A37" s="282" t="s">
        <v>1780</v>
      </c>
      <c r="B37" s="1386"/>
      <c r="C37" s="1535">
        <f>C35-C36</f>
        <v>87</v>
      </c>
      <c r="D37" s="1535">
        <f t="shared" ref="D37:L37" si="3">D35-D36</f>
        <v>1076</v>
      </c>
      <c r="E37" s="1535">
        <f t="shared" si="3"/>
        <v>3407</v>
      </c>
      <c r="F37" s="1535">
        <f t="shared" si="3"/>
        <v>4092</v>
      </c>
      <c r="G37" s="1535">
        <f t="shared" si="3"/>
        <v>2938</v>
      </c>
      <c r="H37" s="1535">
        <f t="shared" si="3"/>
        <v>208</v>
      </c>
      <c r="I37" s="1535">
        <f t="shared" si="3"/>
        <v>-910</v>
      </c>
      <c r="J37" s="1535">
        <f t="shared" si="3"/>
        <v>-854</v>
      </c>
      <c r="K37" s="1535">
        <f t="shared" si="3"/>
        <v>-657</v>
      </c>
      <c r="L37" s="1536">
        <f t="shared" si="3"/>
        <v>-304</v>
      </c>
    </row>
    <row r="38" spans="1:12" ht="4.5" customHeight="1" x14ac:dyDescent="0.3">
      <c r="A38" s="1371"/>
      <c r="B38" s="220"/>
      <c r="C38" s="220"/>
      <c r="D38" s="220"/>
      <c r="E38" s="220"/>
      <c r="F38" s="220"/>
      <c r="G38" s="220"/>
      <c r="H38" s="220"/>
      <c r="I38" s="220"/>
      <c r="J38" s="220"/>
      <c r="K38" s="220"/>
      <c r="L38" s="223"/>
    </row>
    <row r="39" spans="1:12" ht="4.5" customHeight="1" x14ac:dyDescent="0.3">
      <c r="A39" s="1394"/>
      <c r="B39" s="684"/>
      <c r="C39" s="684"/>
      <c r="D39" s="684"/>
      <c r="E39" s="684"/>
      <c r="F39" s="684"/>
      <c r="G39" s="684"/>
      <c r="H39" s="684"/>
      <c r="I39" s="684"/>
      <c r="J39" s="684"/>
      <c r="K39" s="684"/>
      <c r="L39" s="1279"/>
    </row>
    <row r="40" spans="1:12" x14ac:dyDescent="0.3">
      <c r="A40" s="6" t="s">
        <v>1405</v>
      </c>
      <c r="B40" s="205"/>
      <c r="C40" s="205"/>
      <c r="D40" s="205"/>
      <c r="E40" s="205"/>
      <c r="F40" s="205"/>
      <c r="G40" s="205"/>
      <c r="H40" s="205"/>
      <c r="I40" s="205"/>
      <c r="J40" s="205"/>
      <c r="K40" s="205"/>
      <c r="L40" s="8"/>
    </row>
    <row r="41" spans="1:12" ht="31.5" customHeight="1" thickBot="1" x14ac:dyDescent="0.35">
      <c r="A41" s="2802" t="s">
        <v>1778</v>
      </c>
      <c r="B41" s="2803"/>
      <c r="C41" s="2803"/>
      <c r="D41" s="2803"/>
      <c r="E41" s="2803"/>
      <c r="F41" s="2803"/>
      <c r="G41" s="2803"/>
      <c r="H41" s="2803"/>
      <c r="I41" s="2803"/>
      <c r="J41" s="2803"/>
      <c r="K41" s="2803"/>
      <c r="L41" s="2804"/>
    </row>
    <row r="42" spans="1:12" x14ac:dyDescent="0.3">
      <c r="A42" s="12" t="s">
        <v>1776</v>
      </c>
      <c r="B42" s="1"/>
      <c r="C42" s="1"/>
      <c r="D42" s="1"/>
      <c r="E42" s="1"/>
      <c r="F42" s="1"/>
      <c r="G42" s="1"/>
      <c r="H42" s="1"/>
      <c r="I42" s="1"/>
      <c r="J42" s="1"/>
      <c r="K42" s="1"/>
      <c r="L42" s="1"/>
    </row>
    <row r="50" spans="4:4" x14ac:dyDescent="0.3">
      <c r="D50" s="211" t="s">
        <v>176</v>
      </c>
    </row>
  </sheetData>
  <mergeCells count="1">
    <mergeCell ref="A41:L41"/>
  </mergeCells>
  <phoneticPr fontId="49" type="noConversion"/>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8741-CDA4-45D8-8987-90F0F2591E9D}">
  <sheetPr codeName="Sheet57">
    <tabColor theme="9" tint="0.59999389629810485"/>
  </sheetPr>
  <dimension ref="A1:Y30"/>
  <sheetViews>
    <sheetView showGridLines="0" zoomScaleNormal="100" workbookViewId="0">
      <selection activeCell="W22" sqref="W22"/>
    </sheetView>
  </sheetViews>
  <sheetFormatPr defaultColWidth="8.6640625" defaultRowHeight="15.6" x14ac:dyDescent="0.3"/>
  <cols>
    <col min="1" max="1" width="5.88671875" style="211" customWidth="1"/>
    <col min="2" max="2" width="7.5546875" style="211" bestFit="1" customWidth="1"/>
    <col min="3" max="4" width="8.6640625" style="211" bestFit="1" customWidth="1"/>
    <col min="5" max="5" width="8.44140625" style="211" customWidth="1"/>
    <col min="6" max="6" width="8.6640625" style="211" bestFit="1" customWidth="1"/>
    <col min="7" max="7" width="1.33203125" style="211" customWidth="1"/>
    <col min="8" max="8" width="8.6640625" style="211" bestFit="1" customWidth="1"/>
    <col min="9" max="9" width="7.5546875" style="211" bestFit="1" customWidth="1"/>
    <col min="10" max="10" width="1.44140625" style="211" customWidth="1"/>
    <col min="11" max="11" width="5.5546875" style="211" bestFit="1" customWidth="1"/>
    <col min="12" max="12" width="7.88671875" style="211" customWidth="1"/>
    <col min="13" max="13" width="8.88671875" style="211" customWidth="1"/>
    <col min="14" max="14" width="7.5546875" style="211" bestFit="1" customWidth="1"/>
    <col min="15" max="15" width="8.109375" style="211" bestFit="1" customWidth="1"/>
    <col min="16" max="16" width="8.6640625" style="211" bestFit="1" customWidth="1"/>
    <col min="17" max="17" width="1.5546875" style="211" customWidth="1"/>
    <col min="18" max="18" width="8.6640625" style="211" bestFit="1" customWidth="1"/>
    <col min="19" max="19" width="1.5546875" style="211" customWidth="1"/>
    <col min="20" max="20" width="5.5546875" style="211" bestFit="1" customWidth="1"/>
    <col min="21" max="21" width="7.88671875" style="211" customWidth="1"/>
    <col min="22" max="22" width="8" style="211" customWidth="1"/>
    <col min="23" max="23" width="6.88671875" style="211" bestFit="1" customWidth="1"/>
    <col min="24" max="25" width="8" style="211" bestFit="1" customWidth="1"/>
    <col min="26" max="26" width="4" style="211" customWidth="1"/>
    <col min="27" max="16384" width="8.6640625" style="211"/>
  </cols>
  <sheetData>
    <row r="1" spans="1:25" x14ac:dyDescent="0.3">
      <c r="A1" s="459" t="s">
        <v>1673</v>
      </c>
      <c r="B1" s="356"/>
    </row>
    <row r="2" spans="1:25" x14ac:dyDescent="0.3">
      <c r="A2" s="152" t="s">
        <v>1810</v>
      </c>
    </row>
    <row r="3" spans="1:25" ht="6.6" customHeight="1" thickBot="1" x14ac:dyDescent="0.35"/>
    <row r="4" spans="1:25" x14ac:dyDescent="0.3">
      <c r="A4" s="453"/>
      <c r="B4" s="2931" t="s">
        <v>1043</v>
      </c>
      <c r="C4" s="2931"/>
      <c r="D4" s="2931"/>
      <c r="E4" s="2931"/>
      <c r="F4" s="2931"/>
      <c r="G4" s="522"/>
      <c r="H4" s="522"/>
      <c r="I4" s="389"/>
      <c r="K4" s="453"/>
      <c r="L4" s="2931" t="s">
        <v>1044</v>
      </c>
      <c r="M4" s="2931"/>
      <c r="N4" s="2931"/>
      <c r="O4" s="2931"/>
      <c r="P4" s="2931"/>
      <c r="Q4" s="522"/>
      <c r="R4" s="389"/>
      <c r="T4" s="453"/>
      <c r="U4" s="2931" t="s">
        <v>1045</v>
      </c>
      <c r="V4" s="2931"/>
      <c r="W4" s="2931"/>
      <c r="X4" s="2931"/>
      <c r="Y4" s="2932"/>
    </row>
    <row r="5" spans="1:25" s="1497" customFormat="1" ht="36" customHeight="1" x14ac:dyDescent="0.3">
      <c r="A5" s="1493" t="s">
        <v>156</v>
      </c>
      <c r="B5" s="1494" t="s">
        <v>497</v>
      </c>
      <c r="C5" s="1494" t="s">
        <v>1811</v>
      </c>
      <c r="D5" s="1494" t="s">
        <v>1812</v>
      </c>
      <c r="E5" s="1494" t="s">
        <v>1813</v>
      </c>
      <c r="F5" s="1494" t="s">
        <v>3</v>
      </c>
      <c r="G5" s="1495"/>
      <c r="H5" s="1495" t="s">
        <v>1814</v>
      </c>
      <c r="I5" s="1496" t="s">
        <v>1815</v>
      </c>
      <c r="K5" s="1493" t="s">
        <v>156</v>
      </c>
      <c r="L5" s="1498" t="s">
        <v>497</v>
      </c>
      <c r="M5" s="1494" t="s">
        <v>1811</v>
      </c>
      <c r="N5" s="1498" t="s">
        <v>1816</v>
      </c>
      <c r="O5" s="1498" t="s">
        <v>1817</v>
      </c>
      <c r="P5" s="1498" t="s">
        <v>3</v>
      </c>
      <c r="R5" s="1499" t="s">
        <v>1814</v>
      </c>
      <c r="T5" s="1493" t="s">
        <v>156</v>
      </c>
      <c r="U5" s="1498" t="s">
        <v>497</v>
      </c>
      <c r="V5" s="1494" t="s">
        <v>1811</v>
      </c>
      <c r="W5" s="1498" t="s">
        <v>1812</v>
      </c>
      <c r="X5" s="1498" t="s">
        <v>1813</v>
      </c>
      <c r="Y5" s="1500" t="s">
        <v>3</v>
      </c>
    </row>
    <row r="6" spans="1:25" x14ac:dyDescent="0.3">
      <c r="A6" s="214">
        <v>1994</v>
      </c>
      <c r="B6" s="603"/>
      <c r="C6" s="603"/>
      <c r="D6" s="603"/>
      <c r="E6" s="603"/>
      <c r="F6" s="603"/>
      <c r="H6" s="230">
        <v>3056.6</v>
      </c>
      <c r="I6" s="1762">
        <f>(-'6. "Summary Table"'!L18-0.1)/'6. Float Breakdown'!H6</f>
        <v>-4.2530916704835442E-2</v>
      </c>
      <c r="K6" s="214">
        <v>1994</v>
      </c>
      <c r="L6" s="603"/>
      <c r="M6" s="603"/>
      <c r="N6" s="603"/>
      <c r="O6" s="603"/>
      <c r="P6" s="603"/>
      <c r="R6" s="1762">
        <f>H6/2624.7-1</f>
        <v>0.16455213929210966</v>
      </c>
      <c r="T6" s="214">
        <v>1994</v>
      </c>
      <c r="U6" s="607"/>
      <c r="V6" s="607"/>
      <c r="W6" s="607"/>
      <c r="X6" s="607"/>
      <c r="Y6" s="1518"/>
    </row>
    <row r="7" spans="1:25" x14ac:dyDescent="0.3">
      <c r="A7" s="214">
        <v>1995</v>
      </c>
      <c r="B7" s="603"/>
      <c r="C7" s="603"/>
      <c r="D7" s="603"/>
      <c r="E7" s="603"/>
      <c r="F7" s="603"/>
      <c r="H7" s="230">
        <v>3607.2</v>
      </c>
      <c r="I7" s="1762">
        <f>-'6. "Summary Table"'!K18/'6. Float Breakdown'!H7</f>
        <v>-5.6830782878687074E-3</v>
      </c>
      <c r="K7" s="214">
        <v>1995</v>
      </c>
      <c r="L7" s="603"/>
      <c r="M7" s="603"/>
      <c r="N7" s="603"/>
      <c r="O7" s="603"/>
      <c r="P7" s="603"/>
      <c r="R7" s="1762">
        <f t="shared" ref="R7:R10" si="0">H7/H6-1</f>
        <v>0.18013479028986445</v>
      </c>
      <c r="T7" s="214">
        <v>1995</v>
      </c>
      <c r="U7" s="607"/>
      <c r="V7" s="607"/>
      <c r="W7" s="607"/>
      <c r="X7" s="607"/>
      <c r="Y7" s="1518"/>
    </row>
    <row r="8" spans="1:25" x14ac:dyDescent="0.3">
      <c r="A8" s="214">
        <v>1996</v>
      </c>
      <c r="B8" s="603"/>
      <c r="C8" s="603"/>
      <c r="D8" s="603"/>
      <c r="E8" s="603"/>
      <c r="F8" s="603"/>
      <c r="H8" s="230">
        <v>6702</v>
      </c>
      <c r="I8" s="1762">
        <f>-'6. "Summary Table"'!J18/'6. Float Breakdown'!H8</f>
        <v>-3.3139361384661295E-2</v>
      </c>
      <c r="K8" s="214">
        <v>1996</v>
      </c>
      <c r="L8" s="603"/>
      <c r="M8" s="603"/>
      <c r="N8" s="603"/>
      <c r="O8" s="603"/>
      <c r="P8" s="603"/>
      <c r="R8" s="1762">
        <f t="shared" si="0"/>
        <v>0.85795076513639401</v>
      </c>
      <c r="T8" s="214">
        <v>1996</v>
      </c>
      <c r="U8" s="607"/>
      <c r="V8" s="607"/>
      <c r="W8" s="607"/>
      <c r="X8" s="607"/>
      <c r="Y8" s="1518"/>
    </row>
    <row r="9" spans="1:25" x14ac:dyDescent="0.3">
      <c r="A9" s="214">
        <v>1997</v>
      </c>
      <c r="B9" s="230">
        <v>2917</v>
      </c>
      <c r="C9" s="1502" t="s">
        <v>1818</v>
      </c>
      <c r="D9" s="230">
        <v>4014</v>
      </c>
      <c r="E9" s="230">
        <v>455</v>
      </c>
      <c r="F9" s="230">
        <f>SUM(B9:E9)</f>
        <v>7386</v>
      </c>
      <c r="H9" s="230">
        <v>7093.1</v>
      </c>
      <c r="I9" s="1762">
        <f>-'6. "Summary Table"'!I18/'6. Float Breakdown'!H9</f>
        <v>-6.5133721503996836E-2</v>
      </c>
      <c r="K9" s="214">
        <v>1997</v>
      </c>
      <c r="L9" s="603"/>
      <c r="M9" s="603"/>
      <c r="N9" s="603"/>
      <c r="O9" s="603"/>
      <c r="P9" s="603"/>
      <c r="R9" s="1762">
        <f t="shared" si="0"/>
        <v>5.8355714712026385E-2</v>
      </c>
      <c r="T9" s="214">
        <v>1997</v>
      </c>
      <c r="U9" s="227">
        <f>B9/$F9</f>
        <v>0.39493636609802329</v>
      </c>
      <c r="V9" s="1502" t="s">
        <v>1818</v>
      </c>
      <c r="W9" s="227">
        <f t="shared" ref="W9" si="1">D9/$F9</f>
        <v>0.54346060113728678</v>
      </c>
      <c r="X9" s="227">
        <f t="shared" ref="X9" si="2">E9/$F9</f>
        <v>6.1603032764689952E-2</v>
      </c>
      <c r="Y9" s="347">
        <f t="shared" ref="Y9" si="3">F9/$F9</f>
        <v>1</v>
      </c>
    </row>
    <row r="10" spans="1:25" x14ac:dyDescent="0.3">
      <c r="A10" s="214">
        <v>1998</v>
      </c>
      <c r="B10" s="230">
        <v>3125</v>
      </c>
      <c r="C10" s="230">
        <v>14909</v>
      </c>
      <c r="D10" s="230">
        <v>4305</v>
      </c>
      <c r="E10" s="230">
        <v>415</v>
      </c>
      <c r="F10" s="230">
        <f t="shared" ref="F10:F13" si="4">SUM(B10:E10)</f>
        <v>22754</v>
      </c>
      <c r="H10" s="230">
        <f>(F10+F9)/2</f>
        <v>15070</v>
      </c>
      <c r="I10" s="1762">
        <f>-'6. "Summary Table"'!H18/'6. Float Breakdown'!H10</f>
        <v>-1.7584605175846053E-2</v>
      </c>
      <c r="K10" s="214">
        <v>1998</v>
      </c>
      <c r="L10" s="1765">
        <f>B10/B9-1</f>
        <v>7.1306136441549484E-2</v>
      </c>
      <c r="M10" s="2476" t="s">
        <v>1818</v>
      </c>
      <c r="N10" s="1765">
        <f t="shared" ref="N10:P10" si="5">D10/D9-1</f>
        <v>7.2496263079222745E-2</v>
      </c>
      <c r="O10" s="1765">
        <f t="shared" si="5"/>
        <v>-8.7912087912087933E-2</v>
      </c>
      <c r="P10" s="1765">
        <f t="shared" si="5"/>
        <v>2.0806932033577037</v>
      </c>
      <c r="Q10" s="1764"/>
      <c r="R10" s="1762">
        <f t="shared" si="0"/>
        <v>1.1245999633446586</v>
      </c>
      <c r="S10" s="227"/>
      <c r="T10" s="214">
        <v>1998</v>
      </c>
      <c r="U10" s="227">
        <f>B10/$F10</f>
        <v>0.13733848993583544</v>
      </c>
      <c r="V10" s="227">
        <f t="shared" ref="V10:Y10" si="6">C10/$F10</f>
        <v>0.65522545486507866</v>
      </c>
      <c r="W10" s="227">
        <f t="shared" si="6"/>
        <v>0.18919750373560693</v>
      </c>
      <c r="X10" s="227">
        <f t="shared" si="6"/>
        <v>1.8238551463478948E-2</v>
      </c>
      <c r="Y10" s="347">
        <f t="shared" si="6"/>
        <v>1</v>
      </c>
    </row>
    <row r="11" spans="1:25" x14ac:dyDescent="0.3">
      <c r="A11" s="214">
        <v>1999</v>
      </c>
      <c r="B11" s="230">
        <v>3444</v>
      </c>
      <c r="C11" s="230">
        <v>15166</v>
      </c>
      <c r="D11" s="230">
        <v>6285</v>
      </c>
      <c r="E11" s="230">
        <v>403</v>
      </c>
      <c r="F11" s="230">
        <f t="shared" si="4"/>
        <v>25298</v>
      </c>
      <c r="H11" s="230">
        <f t="shared" ref="H11:H13" si="7">(F11+F10)/2</f>
        <v>24026</v>
      </c>
      <c r="I11" s="1762">
        <f>-'6. "Summary Table"'!G18/'6. Float Breakdown'!H11</f>
        <v>5.8020477815699661E-2</v>
      </c>
      <c r="K11" s="214">
        <v>1999</v>
      </c>
      <c r="L11" s="1765">
        <f t="shared" ref="L11:L14" si="8">B11/B10-1</f>
        <v>0.10207999999999995</v>
      </c>
      <c r="M11" s="1765">
        <f t="shared" ref="M11:M14" si="9">C11/C10-1</f>
        <v>1.7237909987255939E-2</v>
      </c>
      <c r="N11" s="1765">
        <f t="shared" ref="N11:N14" si="10">D11/D10-1</f>
        <v>0.45993031358885017</v>
      </c>
      <c r="O11" s="1765">
        <f t="shared" ref="O11:O14" si="11">E11/E10-1</f>
        <v>-2.8915662650602414E-2</v>
      </c>
      <c r="P11" s="1765">
        <f t="shared" ref="P11:R14" si="12">F11/F10-1</f>
        <v>0.11180451788696488</v>
      </c>
      <c r="Q11" s="1764"/>
      <c r="R11" s="1762">
        <f>H11/H10-1</f>
        <v>0.59429329794293295</v>
      </c>
      <c r="S11" s="227"/>
      <c r="T11" s="214">
        <v>1999</v>
      </c>
      <c r="U11" s="227">
        <f t="shared" ref="U11:U14" si="13">B11/$F11</f>
        <v>0.13613724405091313</v>
      </c>
      <c r="V11" s="227">
        <f t="shared" ref="V11:V14" si="14">C11/$F11</f>
        <v>0.59949403114870736</v>
      </c>
      <c r="W11" s="227">
        <f t="shared" ref="W11:W14" si="15">D11/$F11</f>
        <v>0.24843861174796428</v>
      </c>
      <c r="X11" s="227">
        <f t="shared" ref="X11:X14" si="16">E11/$F11</f>
        <v>1.593011305241521E-2</v>
      </c>
      <c r="Y11" s="347">
        <f t="shared" ref="Y11:Y14" si="17">F11/$F11</f>
        <v>1</v>
      </c>
    </row>
    <row r="12" spans="1:25" x14ac:dyDescent="0.3">
      <c r="A12" s="214">
        <v>2000</v>
      </c>
      <c r="B12" s="230">
        <v>3943</v>
      </c>
      <c r="C12" s="230">
        <v>15525</v>
      </c>
      <c r="D12" s="230">
        <v>7805</v>
      </c>
      <c r="E12" s="230">
        <v>598</v>
      </c>
      <c r="F12" s="230">
        <f t="shared" si="4"/>
        <v>27871</v>
      </c>
      <c r="H12" s="230">
        <f t="shared" si="7"/>
        <v>26584.5</v>
      </c>
      <c r="I12" s="1762">
        <f>-'6. "Summary Table"'!F18/'6. Float Breakdown'!H12</f>
        <v>6.0749684966803962E-2</v>
      </c>
      <c r="K12" s="214">
        <v>2000</v>
      </c>
      <c r="L12" s="1765">
        <f t="shared" si="8"/>
        <v>0.1448896631823462</v>
      </c>
      <c r="M12" s="1765">
        <f t="shared" si="9"/>
        <v>2.3671370170117445E-2</v>
      </c>
      <c r="N12" s="1765">
        <f t="shared" si="10"/>
        <v>0.24184566428003174</v>
      </c>
      <c r="O12" s="1765">
        <f t="shared" si="11"/>
        <v>0.4838709677419355</v>
      </c>
      <c r="P12" s="1765">
        <f t="shared" si="12"/>
        <v>0.10170764487311246</v>
      </c>
      <c r="Q12" s="1764"/>
      <c r="R12" s="1762">
        <f t="shared" si="12"/>
        <v>0.10648880379588777</v>
      </c>
      <c r="S12" s="227"/>
      <c r="T12" s="214">
        <v>2000</v>
      </c>
      <c r="U12" s="227">
        <f t="shared" si="13"/>
        <v>0.1414732158874816</v>
      </c>
      <c r="V12" s="227">
        <f t="shared" si="14"/>
        <v>0.55703060528865134</v>
      </c>
      <c r="W12" s="227">
        <f t="shared" si="15"/>
        <v>0.28004018513867462</v>
      </c>
      <c r="X12" s="227">
        <f t="shared" si="16"/>
        <v>2.1455993685192493E-2</v>
      </c>
      <c r="Y12" s="347">
        <f t="shared" si="17"/>
        <v>1</v>
      </c>
    </row>
    <row r="13" spans="1:25" x14ac:dyDescent="0.3">
      <c r="A13" s="214">
        <v>2001</v>
      </c>
      <c r="B13" s="230">
        <v>4251</v>
      </c>
      <c r="C13" s="230">
        <v>19310</v>
      </c>
      <c r="D13" s="230">
        <v>11262</v>
      </c>
      <c r="E13" s="230">
        <v>685</v>
      </c>
      <c r="F13" s="230">
        <f t="shared" si="4"/>
        <v>35508</v>
      </c>
      <c r="H13" s="230">
        <f t="shared" si="7"/>
        <v>31689.5</v>
      </c>
      <c r="I13" s="1762">
        <f>-'6. "Summary Table"'!E18/'6. Float Breakdown'!H13</f>
        <v>0.12833903974502595</v>
      </c>
      <c r="K13" s="214">
        <v>2001</v>
      </c>
      <c r="L13" s="1765">
        <f t="shared" si="8"/>
        <v>7.8113111843773675E-2</v>
      </c>
      <c r="M13" s="1765">
        <f t="shared" si="9"/>
        <v>0.24380032206119173</v>
      </c>
      <c r="N13" s="1765">
        <f t="shared" si="10"/>
        <v>0.44292120435618187</v>
      </c>
      <c r="O13" s="1765">
        <f t="shared" si="11"/>
        <v>0.14548494983277593</v>
      </c>
      <c r="P13" s="1765">
        <f t="shared" si="12"/>
        <v>0.27401241433748336</v>
      </c>
      <c r="Q13" s="1764"/>
      <c r="R13" s="1762">
        <f t="shared" si="12"/>
        <v>0.19202918994150719</v>
      </c>
      <c r="S13" s="227"/>
      <c r="T13" s="214">
        <v>2001</v>
      </c>
      <c r="U13" s="227">
        <f t="shared" si="13"/>
        <v>0.11971949983102399</v>
      </c>
      <c r="V13" s="227">
        <f t="shared" si="14"/>
        <v>0.5438211107356089</v>
      </c>
      <c r="W13" s="227">
        <f t="shared" si="15"/>
        <v>0.31716796214937482</v>
      </c>
      <c r="X13" s="227">
        <f t="shared" si="16"/>
        <v>1.929142728399234E-2</v>
      </c>
      <c r="Y13" s="347">
        <f t="shared" si="17"/>
        <v>1</v>
      </c>
    </row>
    <row r="14" spans="1:25" x14ac:dyDescent="0.3">
      <c r="A14" s="214">
        <v>2002</v>
      </c>
      <c r="B14" s="230">
        <v>4678</v>
      </c>
      <c r="C14" s="230">
        <v>22207</v>
      </c>
      <c r="D14" s="230">
        <v>13396</v>
      </c>
      <c r="E14" s="230">
        <v>943</v>
      </c>
      <c r="F14" s="230">
        <f>SUM(B14:E14)</f>
        <v>41224</v>
      </c>
      <c r="H14" s="230">
        <f>(F14+F13)/2</f>
        <v>38366</v>
      </c>
      <c r="I14" s="1762">
        <f>-'6. "Summary Table"'!D18/'6. Float Breakdown'!H14</f>
        <v>1.0712610123546891E-2</v>
      </c>
      <c r="K14" s="214">
        <v>2002</v>
      </c>
      <c r="L14" s="1765">
        <f t="shared" si="8"/>
        <v>0.10044695365796286</v>
      </c>
      <c r="M14" s="1765">
        <f t="shared" si="9"/>
        <v>0.15002589331952354</v>
      </c>
      <c r="N14" s="1765">
        <f t="shared" si="10"/>
        <v>0.18948676966790989</v>
      </c>
      <c r="O14" s="1765">
        <f t="shared" si="11"/>
        <v>0.37664233576642325</v>
      </c>
      <c r="P14" s="1765">
        <f t="shared" si="12"/>
        <v>0.16097780781795645</v>
      </c>
      <c r="Q14" s="1764"/>
      <c r="R14" s="1762">
        <f t="shared" si="12"/>
        <v>0.21068492718408316</v>
      </c>
      <c r="S14" s="227"/>
      <c r="T14" s="214">
        <v>2002</v>
      </c>
      <c r="U14" s="227">
        <f t="shared" si="13"/>
        <v>0.1134775858723074</v>
      </c>
      <c r="V14" s="227">
        <f t="shared" si="14"/>
        <v>0.53869105375509407</v>
      </c>
      <c r="W14" s="227">
        <f t="shared" si="15"/>
        <v>0.32495633611488456</v>
      </c>
      <c r="X14" s="227">
        <f t="shared" si="16"/>
        <v>2.2875024257713952E-2</v>
      </c>
      <c r="Y14" s="347">
        <f t="shared" si="17"/>
        <v>1</v>
      </c>
    </row>
    <row r="15" spans="1:25" x14ac:dyDescent="0.3">
      <c r="A15" s="214">
        <v>2003</v>
      </c>
      <c r="B15" s="230">
        <v>5287</v>
      </c>
      <c r="C15" s="230">
        <v>23654</v>
      </c>
      <c r="D15" s="230">
        <v>13948</v>
      </c>
      <c r="E15" s="230">
        <v>1331</v>
      </c>
      <c r="F15" s="230">
        <f>SUM(B15:E15)</f>
        <v>44220</v>
      </c>
      <c r="H15" s="230">
        <f>(F15+F14)/2</f>
        <v>42722</v>
      </c>
      <c r="I15" s="1762">
        <f>-'6. "Summary Table"'!C18/'6. Float Breakdown'!H15</f>
        <v>-4.0213473152005991E-2</v>
      </c>
      <c r="K15" s="214">
        <v>2003</v>
      </c>
      <c r="L15" s="1765">
        <f t="shared" ref="L15" si="18">B15/B14-1</f>
        <v>0.13018383924754162</v>
      </c>
      <c r="M15" s="1765">
        <f t="shared" ref="M15" si="19">C15/C14-1</f>
        <v>6.5159634349529538E-2</v>
      </c>
      <c r="N15" s="1765">
        <f t="shared" ref="N15" si="20">D15/D14-1</f>
        <v>4.1206330247835155E-2</v>
      </c>
      <c r="O15" s="1765">
        <f t="shared" ref="O15" si="21">E15/E14-1</f>
        <v>0.41145281018027569</v>
      </c>
      <c r="P15" s="1765">
        <f t="shared" ref="P15" si="22">F15/F14-1</f>
        <v>7.267611100329896E-2</v>
      </c>
      <c r="Q15" s="1764"/>
      <c r="R15" s="1762">
        <f t="shared" ref="R15" si="23">H15/H14-1</f>
        <v>0.11353802846270145</v>
      </c>
      <c r="T15" s="214">
        <v>2003</v>
      </c>
      <c r="U15" s="227">
        <f t="shared" ref="U15:U16" si="24">B15/$F15</f>
        <v>0.11956128448665762</v>
      </c>
      <c r="V15" s="227">
        <f t="shared" ref="V15:V16" si="25">C15/$F15</f>
        <v>0.53491632745364093</v>
      </c>
      <c r="W15" s="227">
        <f t="shared" ref="W15:W16" si="26">D15/$F15</f>
        <v>0.31542288557213932</v>
      </c>
      <c r="X15" s="227">
        <f t="shared" ref="X15:X16" si="27">E15/$F15</f>
        <v>3.0099502487562189E-2</v>
      </c>
      <c r="Y15" s="347">
        <f t="shared" ref="Y15:Y16" si="28">F15/$F15</f>
        <v>1</v>
      </c>
    </row>
    <row r="16" spans="1:25" x14ac:dyDescent="0.3">
      <c r="A16" s="214">
        <v>2004</v>
      </c>
      <c r="B16" s="230">
        <v>5960</v>
      </c>
      <c r="C16" s="230">
        <v>23120</v>
      </c>
      <c r="D16" s="230">
        <v>15278</v>
      </c>
      <c r="E16" s="230">
        <v>1736</v>
      </c>
      <c r="F16" s="230">
        <f>SUM(B16:E16)</f>
        <v>46094</v>
      </c>
      <c r="H16" s="230">
        <f>(F16+F15)/2</f>
        <v>45157</v>
      </c>
      <c r="I16" s="1762">
        <f>-'6. "Summary Table"'!B18/'6. Float Breakdown'!H16</f>
        <v>-3.4346834377837324E-2</v>
      </c>
      <c r="K16" s="214">
        <v>2004</v>
      </c>
      <c r="L16" s="1765">
        <f t="shared" ref="L16" si="29">B16/B15-1</f>
        <v>0.1272933610743332</v>
      </c>
      <c r="M16" s="1765">
        <f t="shared" ref="M16" si="30">C16/C15-1</f>
        <v>-2.2575462923818401E-2</v>
      </c>
      <c r="N16" s="1765">
        <f t="shared" ref="N16" si="31">D16/D15-1</f>
        <v>9.5354172641238799E-2</v>
      </c>
      <c r="O16" s="1765">
        <f t="shared" ref="O16" si="32">E16/E15-1</f>
        <v>0.30428249436513899</v>
      </c>
      <c r="P16" s="1765">
        <f t="shared" ref="P16" si="33">F16/F15-1</f>
        <v>4.2379014020805128E-2</v>
      </c>
      <c r="Q16" s="1764"/>
      <c r="R16" s="1762">
        <f t="shared" ref="R16" si="34">H16/H15-1</f>
        <v>5.699639529984557E-2</v>
      </c>
      <c r="T16" s="214">
        <v>2004</v>
      </c>
      <c r="U16" s="227">
        <f t="shared" si="24"/>
        <v>0.1293009936217295</v>
      </c>
      <c r="V16" s="227">
        <f t="shared" si="25"/>
        <v>0.50158372022389031</v>
      </c>
      <c r="W16" s="227">
        <f t="shared" si="26"/>
        <v>0.33145311754241336</v>
      </c>
      <c r="X16" s="227">
        <f t="shared" si="27"/>
        <v>3.7662168611966848E-2</v>
      </c>
      <c r="Y16" s="347">
        <f t="shared" si="28"/>
        <v>1</v>
      </c>
    </row>
    <row r="17" spans="1:25" ht="5.4" customHeight="1" thickBot="1" x14ac:dyDescent="0.35">
      <c r="A17" s="224"/>
      <c r="B17" s="218"/>
      <c r="C17" s="218"/>
      <c r="D17" s="218"/>
      <c r="E17" s="218"/>
      <c r="F17" s="218"/>
      <c r="G17" s="218"/>
      <c r="H17" s="218"/>
      <c r="I17" s="219"/>
      <c r="K17" s="224"/>
      <c r="L17" s="218"/>
      <c r="M17" s="218"/>
      <c r="N17" s="218"/>
      <c r="O17" s="218"/>
      <c r="P17" s="218"/>
      <c r="Q17" s="218"/>
      <c r="R17" s="219"/>
      <c r="T17" s="224"/>
      <c r="U17" s="218"/>
      <c r="V17" s="218"/>
      <c r="W17" s="218"/>
      <c r="X17" s="218"/>
      <c r="Y17" s="219"/>
    </row>
    <row r="18" spans="1:25" x14ac:dyDescent="0.3">
      <c r="A18" s="320" t="s">
        <v>1578</v>
      </c>
    </row>
    <row r="23" spans="1:25" x14ac:dyDescent="0.3">
      <c r="O23" s="211" t="s">
        <v>176</v>
      </c>
    </row>
    <row r="28" spans="1:25" x14ac:dyDescent="0.3">
      <c r="W28" s="211" t="s">
        <v>176</v>
      </c>
    </row>
    <row r="30" spans="1:25" x14ac:dyDescent="0.3">
      <c r="O30" s="211" t="s">
        <v>176</v>
      </c>
    </row>
  </sheetData>
  <mergeCells count="3">
    <mergeCell ref="B4:F4"/>
    <mergeCell ref="L4:P4"/>
    <mergeCell ref="U4:Y4"/>
  </mergeCells>
  <pageMargins left="0.7" right="0.7" top="0.75" bottom="0.75" header="0.3" footer="0.3"/>
  <pageSetup orientation="portrait" r:id="rId1"/>
  <ignoredErrors>
    <ignoredError sqref="F9:F16" formulaRange="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0C9F-625F-4B87-995E-E45381FE27D2}">
  <sheetPr codeName="Sheet59">
    <tabColor theme="9" tint="0.59999389629810485"/>
  </sheetPr>
  <dimension ref="A1:M105"/>
  <sheetViews>
    <sheetView showGridLines="0" zoomScale="85" zoomScaleNormal="85" workbookViewId="0">
      <selection activeCell="M26" sqref="M26"/>
    </sheetView>
  </sheetViews>
  <sheetFormatPr defaultColWidth="8.6640625" defaultRowHeight="15.6" outlineLevelRow="1" x14ac:dyDescent="0.3"/>
  <cols>
    <col min="1" max="1" width="40.88671875" style="211" customWidth="1"/>
    <col min="2" max="4" width="12" style="356" bestFit="1" customWidth="1"/>
    <col min="5" max="6" width="12" style="211" bestFit="1" customWidth="1"/>
    <col min="7" max="7" width="13.77734375" style="211" bestFit="1" customWidth="1"/>
    <col min="8" max="8" width="10.88671875" style="211" bestFit="1" customWidth="1"/>
    <col min="9" max="16384" width="8.6640625" style="211"/>
  </cols>
  <sheetData>
    <row r="1" spans="1:8" s="309" customFormat="1" outlineLevel="1" x14ac:dyDescent="0.3">
      <c r="A1" s="309" t="s">
        <v>556</v>
      </c>
      <c r="B1" s="309">
        <v>2000</v>
      </c>
      <c r="C1" s="309">
        <v>1999</v>
      </c>
      <c r="D1" s="309">
        <v>1998</v>
      </c>
      <c r="E1" s="309">
        <v>1997</v>
      </c>
      <c r="F1" s="309">
        <v>1996</v>
      </c>
      <c r="G1" s="309">
        <v>1995</v>
      </c>
      <c r="H1" s="309">
        <v>1994</v>
      </c>
    </row>
    <row r="2" spans="1:8" x14ac:dyDescent="0.3">
      <c r="B2" s="211"/>
      <c r="C2" s="211"/>
      <c r="D2" s="211"/>
    </row>
    <row r="3" spans="1:8" x14ac:dyDescent="0.3">
      <c r="A3" s="459" t="s">
        <v>1673</v>
      </c>
      <c r="B3" s="211"/>
      <c r="C3" s="211"/>
      <c r="D3" s="211"/>
    </row>
    <row r="4" spans="1:8" x14ac:dyDescent="0.3">
      <c r="A4" s="152" t="s">
        <v>1820</v>
      </c>
      <c r="B4" s="211"/>
      <c r="C4" s="211"/>
      <c r="D4" s="211"/>
    </row>
    <row r="5" spans="1:8" ht="8.25" customHeight="1" thickBot="1" x14ac:dyDescent="0.35">
      <c r="B5" s="211"/>
      <c r="C5" s="211"/>
      <c r="D5" s="211"/>
    </row>
    <row r="6" spans="1:8" ht="5.25" customHeight="1" x14ac:dyDescent="0.3">
      <c r="A6" s="225"/>
      <c r="B6" s="522"/>
      <c r="C6" s="522"/>
      <c r="D6" s="522"/>
      <c r="E6" s="522"/>
      <c r="F6" s="522"/>
      <c r="G6" s="522"/>
      <c r="H6" s="389"/>
    </row>
    <row r="7" spans="1:8" x14ac:dyDescent="0.3">
      <c r="A7" s="221" t="s">
        <v>1250</v>
      </c>
      <c r="B7" s="1332">
        <v>2000</v>
      </c>
      <c r="C7" s="1332">
        <v>1999</v>
      </c>
      <c r="D7" s="1332">
        <v>1998</v>
      </c>
      <c r="E7" s="1332">
        <v>1997</v>
      </c>
      <c r="F7" s="1332">
        <v>1996</v>
      </c>
      <c r="G7" s="1332">
        <v>1995</v>
      </c>
      <c r="H7" s="1470">
        <v>1994</v>
      </c>
    </row>
    <row r="8" spans="1:8" x14ac:dyDescent="0.3">
      <c r="A8" s="214" t="s">
        <v>515</v>
      </c>
      <c r="B8" s="211"/>
      <c r="C8" s="211"/>
      <c r="D8" s="211"/>
      <c r="H8" s="223"/>
    </row>
    <row r="9" spans="1:8" x14ac:dyDescent="0.3">
      <c r="A9" s="214" t="s">
        <v>517</v>
      </c>
      <c r="B9" s="1506">
        <v>400</v>
      </c>
      <c r="C9" s="1506">
        <v>370</v>
      </c>
      <c r="D9" s="1506">
        <v>281</v>
      </c>
      <c r="E9" s="1506">
        <v>103.4</v>
      </c>
      <c r="F9" s="1506">
        <v>61.1</v>
      </c>
      <c r="G9" s="1506">
        <v>124.5</v>
      </c>
      <c r="H9" s="1463">
        <v>77</v>
      </c>
    </row>
    <row r="10" spans="1:8" x14ac:dyDescent="0.3">
      <c r="A10" s="214" t="s">
        <v>558</v>
      </c>
      <c r="B10" s="1223">
        <v>1226</v>
      </c>
      <c r="C10" s="1223">
        <v>923</v>
      </c>
      <c r="D10" s="1223">
        <v>823</v>
      </c>
      <c r="E10" s="1223">
        <v>624.4</v>
      </c>
      <c r="F10" s="1223">
        <v>563.1</v>
      </c>
      <c r="G10" s="1223">
        <v>454.7</v>
      </c>
      <c r="H10" s="923">
        <v>308.8</v>
      </c>
    </row>
    <row r="11" spans="1:8" x14ac:dyDescent="0.3">
      <c r="A11" s="214" t="s">
        <v>10</v>
      </c>
      <c r="B11" s="1223">
        <v>1215</v>
      </c>
      <c r="C11" s="1223">
        <v>806</v>
      </c>
      <c r="D11" s="1223">
        <v>727</v>
      </c>
      <c r="E11" s="1223">
        <v>598.6</v>
      </c>
      <c r="F11" s="1223">
        <v>578.70000000000005</v>
      </c>
      <c r="G11" s="1223">
        <v>556</v>
      </c>
      <c r="H11" s="923">
        <v>398.2</v>
      </c>
    </row>
    <row r="12" spans="1:8" x14ac:dyDescent="0.3">
      <c r="A12" s="214" t="s">
        <v>858</v>
      </c>
      <c r="B12" s="1223">
        <v>1719</v>
      </c>
      <c r="C12" s="2412"/>
      <c r="D12" s="2412"/>
      <c r="E12" s="2412"/>
      <c r="F12" s="2412"/>
      <c r="G12" s="2412"/>
      <c r="H12" s="1553"/>
    </row>
    <row r="13" spans="1:8" x14ac:dyDescent="0.3">
      <c r="A13" s="214" t="s">
        <v>559</v>
      </c>
      <c r="B13" s="1223">
        <v>2250</v>
      </c>
      <c r="C13" s="1223">
        <v>1509</v>
      </c>
      <c r="D13" s="1223">
        <v>1190</v>
      </c>
      <c r="E13" s="1223">
        <v>892.4</v>
      </c>
      <c r="F13" s="1223">
        <v>863.2</v>
      </c>
      <c r="G13" s="1223">
        <v>285.5</v>
      </c>
      <c r="H13" s="923">
        <v>219.6</v>
      </c>
    </row>
    <row r="14" spans="1:8" x14ac:dyDescent="0.3">
      <c r="A14" s="214" t="s">
        <v>15</v>
      </c>
      <c r="B14" s="1223">
        <v>921</v>
      </c>
      <c r="C14" s="1223">
        <v>388</v>
      </c>
      <c r="D14" s="1223">
        <v>331</v>
      </c>
      <c r="E14" s="1223">
        <v>156.30000000000001</v>
      </c>
      <c r="F14" s="1223">
        <v>97.9</v>
      </c>
      <c r="G14" s="1223">
        <v>34.299999999999997</v>
      </c>
      <c r="H14" s="923">
        <v>29.8</v>
      </c>
    </row>
    <row r="15" spans="1:8" ht="16.2" thickBot="1" x14ac:dyDescent="0.35">
      <c r="A15" s="214" t="s">
        <v>282</v>
      </c>
      <c r="B15" s="1467">
        <f t="shared" ref="B15:C15" si="0">SUM(B9:B14)</f>
        <v>7731</v>
      </c>
      <c r="C15" s="1467">
        <f t="shared" si="0"/>
        <v>3996</v>
      </c>
      <c r="D15" s="1467">
        <f t="shared" ref="D15:E15" si="1">SUM(D9:D14)</f>
        <v>3352</v>
      </c>
      <c r="E15" s="1467">
        <f t="shared" si="1"/>
        <v>2375.1000000000004</v>
      </c>
      <c r="F15" s="1467">
        <f t="shared" ref="F15:G15" si="2">SUM(F9:F14)</f>
        <v>2164.0000000000005</v>
      </c>
      <c r="G15" s="1467">
        <f t="shared" si="2"/>
        <v>1455</v>
      </c>
      <c r="H15" s="1468">
        <f t="shared" ref="H15" si="3">SUM(H9:H14)</f>
        <v>1033.4000000000001</v>
      </c>
    </row>
    <row r="16" spans="1:8" ht="16.2" thickTop="1" x14ac:dyDescent="0.3">
      <c r="A16" s="214"/>
      <c r="B16" s="1507"/>
      <c r="C16" s="1507"/>
      <c r="D16" s="1507"/>
      <c r="E16" s="1507"/>
      <c r="F16" s="1507"/>
      <c r="G16" s="1507"/>
      <c r="H16" s="1464"/>
    </row>
    <row r="17" spans="1:8" x14ac:dyDescent="0.3">
      <c r="A17" s="214" t="s">
        <v>519</v>
      </c>
      <c r="B17" s="1507"/>
      <c r="C17" s="1507"/>
      <c r="D17" s="1507"/>
      <c r="E17" s="1507"/>
      <c r="F17" s="1507"/>
      <c r="G17" s="1507"/>
      <c r="H17" s="1464"/>
    </row>
    <row r="18" spans="1:8" x14ac:dyDescent="0.3">
      <c r="A18" s="214" t="s">
        <v>521</v>
      </c>
      <c r="B18" s="1506">
        <v>1674</v>
      </c>
      <c r="C18" s="1506">
        <v>908</v>
      </c>
      <c r="D18" s="1506">
        <v>761</v>
      </c>
      <c r="E18" s="1506">
        <v>531.70000000000005</v>
      </c>
      <c r="F18" s="1506">
        <v>523.29999999999995</v>
      </c>
      <c r="G18" s="1506">
        <v>398.3</v>
      </c>
      <c r="H18" s="1463">
        <v>293.39999999999998</v>
      </c>
    </row>
    <row r="19" spans="1:8" x14ac:dyDescent="0.3">
      <c r="A19" s="214" t="s">
        <v>391</v>
      </c>
      <c r="B19" s="1223">
        <v>187</v>
      </c>
      <c r="C19" s="1223">
        <v>196</v>
      </c>
      <c r="D19" s="1223">
        <v>166</v>
      </c>
      <c r="E19" s="1223">
        <v>157.30000000000001</v>
      </c>
      <c r="F19" s="1223">
        <v>126.9</v>
      </c>
      <c r="G19" s="1223">
        <v>20.100000000000001</v>
      </c>
      <c r="H19" s="923">
        <v>30.5</v>
      </c>
    </row>
    <row r="20" spans="1:8" x14ac:dyDescent="0.3">
      <c r="A20" s="214" t="s">
        <v>560</v>
      </c>
      <c r="B20" s="1223">
        <v>1213</v>
      </c>
      <c r="C20" s="1223">
        <v>740</v>
      </c>
      <c r="D20" s="1223">
        <v>442</v>
      </c>
      <c r="E20" s="1223">
        <v>216.6</v>
      </c>
      <c r="F20" s="1223">
        <v>193.3</v>
      </c>
      <c r="G20" s="1223">
        <v>150.6</v>
      </c>
      <c r="H20" s="923">
        <v>21.7</v>
      </c>
    </row>
    <row r="21" spans="1:8" x14ac:dyDescent="0.3">
      <c r="A21" s="214" t="s">
        <v>136</v>
      </c>
      <c r="B21" s="1488">
        <f t="shared" ref="B21:C21" si="4">SUM(B18:B20)</f>
        <v>3074</v>
      </c>
      <c r="C21" s="1488">
        <f t="shared" si="4"/>
        <v>1844</v>
      </c>
      <c r="D21" s="1488">
        <f t="shared" ref="D21:E21" si="5">SUM(D18:D20)</f>
        <v>1369</v>
      </c>
      <c r="E21" s="1488">
        <f t="shared" si="5"/>
        <v>905.6</v>
      </c>
      <c r="F21" s="1488">
        <f t="shared" ref="F21:G21" si="6">SUM(F18:F20)</f>
        <v>843.5</v>
      </c>
      <c r="G21" s="1488">
        <f t="shared" si="6"/>
        <v>569</v>
      </c>
      <c r="H21" s="1489">
        <f t="shared" ref="H21" si="7">SUM(H18:H20)</f>
        <v>345.59999999999997</v>
      </c>
    </row>
    <row r="22" spans="1:8" x14ac:dyDescent="0.3">
      <c r="A22" s="214"/>
      <c r="B22" s="1223"/>
      <c r="C22" s="1223"/>
      <c r="D22" s="1223"/>
      <c r="E22" s="1223"/>
      <c r="F22" s="1223"/>
      <c r="G22" s="1223"/>
      <c r="H22" s="923"/>
    </row>
    <row r="23" spans="1:8" x14ac:dyDescent="0.3">
      <c r="A23" s="214" t="s">
        <v>95</v>
      </c>
      <c r="B23" s="1223"/>
      <c r="C23" s="1223"/>
      <c r="D23" s="1223"/>
      <c r="E23" s="1223"/>
      <c r="F23" s="1223"/>
      <c r="G23" s="1223"/>
      <c r="H23" s="923"/>
    </row>
    <row r="24" spans="1:8" x14ac:dyDescent="0.3">
      <c r="A24" s="214" t="s">
        <v>523</v>
      </c>
      <c r="B24" s="1223">
        <v>59</v>
      </c>
      <c r="C24" s="1223">
        <v>75</v>
      </c>
      <c r="D24" s="1223">
        <v>75</v>
      </c>
      <c r="E24" s="1223">
        <v>52.1</v>
      </c>
      <c r="F24" s="1223">
        <v>51.6</v>
      </c>
      <c r="G24" s="1223">
        <v>39.5</v>
      </c>
      <c r="H24" s="923">
        <v>40.1</v>
      </c>
    </row>
    <row r="25" spans="1:8" x14ac:dyDescent="0.3">
      <c r="A25" s="214" t="s">
        <v>524</v>
      </c>
      <c r="B25" s="1223">
        <v>4598</v>
      </c>
      <c r="C25" s="1223">
        <v>2077</v>
      </c>
      <c r="D25" s="1223">
        <v>1908</v>
      </c>
      <c r="E25" s="1223">
        <v>1417.4</v>
      </c>
      <c r="F25" s="1223">
        <v>1268.9000000000001</v>
      </c>
      <c r="G25" s="1223">
        <v>846.5</v>
      </c>
      <c r="H25" s="923">
        <v>647.70000000000005</v>
      </c>
    </row>
    <row r="26" spans="1:8" x14ac:dyDescent="0.3">
      <c r="A26" s="214" t="s">
        <v>256</v>
      </c>
      <c r="B26" s="1488">
        <f t="shared" ref="B26:C26" si="8">B24+B25</f>
        <v>4657</v>
      </c>
      <c r="C26" s="1488">
        <f t="shared" si="8"/>
        <v>2152</v>
      </c>
      <c r="D26" s="1488">
        <f t="shared" ref="D26:E26" si="9">D24+D25</f>
        <v>1983</v>
      </c>
      <c r="E26" s="1488">
        <f t="shared" si="9"/>
        <v>1469.5</v>
      </c>
      <c r="F26" s="1488">
        <f t="shared" ref="F26:G26" si="10">F24+F25</f>
        <v>1320.5</v>
      </c>
      <c r="G26" s="1488">
        <f t="shared" si="10"/>
        <v>886</v>
      </c>
      <c r="H26" s="1489">
        <f t="shared" ref="H26" si="11">H24+H25</f>
        <v>687.80000000000007</v>
      </c>
    </row>
    <row r="27" spans="1:8" ht="16.2" thickBot="1" x14ac:dyDescent="0.35">
      <c r="A27" s="214" t="s">
        <v>525</v>
      </c>
      <c r="B27" s="1467">
        <f t="shared" ref="B27:C27" si="12">B21+B26</f>
        <v>7731</v>
      </c>
      <c r="C27" s="1467">
        <f t="shared" si="12"/>
        <v>3996</v>
      </c>
      <c r="D27" s="1467">
        <f t="shared" ref="D27:E27" si="13">D21+D26</f>
        <v>3352</v>
      </c>
      <c r="E27" s="1467">
        <f t="shared" si="13"/>
        <v>2375.1</v>
      </c>
      <c r="F27" s="1467">
        <f t="shared" ref="F27:G27" si="14">F21+F26</f>
        <v>2164</v>
      </c>
      <c r="G27" s="1467">
        <f t="shared" si="14"/>
        <v>1455</v>
      </c>
      <c r="H27" s="1468">
        <f t="shared" ref="H27" si="15">H21+H26</f>
        <v>1033.4000000000001</v>
      </c>
    </row>
    <row r="28" spans="1:8" ht="4.5" customHeight="1" thickTop="1" x14ac:dyDescent="0.3">
      <c r="A28" s="214"/>
      <c r="B28" s="252"/>
      <c r="C28" s="252"/>
      <c r="D28" s="252"/>
      <c r="E28" s="1015"/>
      <c r="F28" s="1015"/>
      <c r="G28" s="1015"/>
      <c r="H28" s="1105"/>
    </row>
    <row r="29" spans="1:8" ht="4.5" customHeight="1" x14ac:dyDescent="0.3">
      <c r="A29" s="1155"/>
      <c r="B29" s="1508"/>
      <c r="C29" s="1508"/>
      <c r="D29" s="1508"/>
      <c r="E29" s="1509"/>
      <c r="F29" s="1509"/>
      <c r="G29" s="1509"/>
      <c r="H29" s="1510"/>
    </row>
    <row r="30" spans="1:8" ht="4.5" customHeight="1" x14ac:dyDescent="0.3">
      <c r="A30" s="214"/>
      <c r="B30" s="252"/>
      <c r="C30" s="252"/>
      <c r="D30" s="252"/>
      <c r="E30" s="1015"/>
      <c r="F30" s="1015"/>
      <c r="G30" s="1015"/>
      <c r="H30" s="1105"/>
    </row>
    <row r="31" spans="1:8" x14ac:dyDescent="0.3">
      <c r="A31" s="6" t="s">
        <v>998</v>
      </c>
      <c r="B31" s="252"/>
      <c r="C31" s="252"/>
      <c r="D31" s="252"/>
      <c r="E31" s="1015"/>
      <c r="F31" s="1015"/>
      <c r="G31" s="1015"/>
      <c r="H31" s="1105"/>
    </row>
    <row r="32" spans="1:8" x14ac:dyDescent="0.3">
      <c r="A32" s="6" t="s">
        <v>1801</v>
      </c>
      <c r="B32" s="252"/>
      <c r="C32" s="252"/>
      <c r="D32" s="252"/>
      <c r="E32" s="1015"/>
      <c r="F32" s="1015"/>
      <c r="G32" s="1015"/>
      <c r="H32" s="1105"/>
    </row>
    <row r="33" spans="1:8" ht="74.099999999999994" customHeight="1" x14ac:dyDescent="0.3">
      <c r="A33" s="2799" t="s">
        <v>1821</v>
      </c>
      <c r="B33" s="2827"/>
      <c r="C33" s="2827"/>
      <c r="D33" s="2827"/>
      <c r="E33" s="2827"/>
      <c r="F33" s="2827"/>
      <c r="G33" s="2827"/>
      <c r="H33" s="2801"/>
    </row>
    <row r="34" spans="1:8" s="309" customFormat="1" hidden="1" outlineLevel="1" x14ac:dyDescent="0.3">
      <c r="A34" s="35" t="s">
        <v>20</v>
      </c>
      <c r="B34" s="117">
        <f t="shared" ref="B34:H34" si="16">B15-B27</f>
        <v>0</v>
      </c>
      <c r="C34" s="117">
        <f t="shared" si="16"/>
        <v>0</v>
      </c>
      <c r="D34" s="117">
        <f t="shared" si="16"/>
        <v>0</v>
      </c>
      <c r="E34" s="118">
        <f t="shared" si="16"/>
        <v>0</v>
      </c>
      <c r="F34" s="118">
        <f t="shared" si="16"/>
        <v>0</v>
      </c>
      <c r="G34" s="118">
        <f t="shared" si="16"/>
        <v>0</v>
      </c>
      <c r="H34" s="147">
        <f t="shared" si="16"/>
        <v>0</v>
      </c>
    </row>
    <row r="35" spans="1:8" ht="5.25" customHeight="1" collapsed="1" thickBot="1" x14ac:dyDescent="0.35">
      <c r="A35" s="9"/>
      <c r="B35" s="133"/>
      <c r="C35" s="133"/>
      <c r="D35" s="133"/>
      <c r="E35" s="133"/>
      <c r="F35" s="133"/>
      <c r="G35" s="133"/>
      <c r="H35" s="146"/>
    </row>
    <row r="36" spans="1:8" x14ac:dyDescent="0.3">
      <c r="A36" s="410" t="s">
        <v>1802</v>
      </c>
      <c r="B36" s="1511"/>
      <c r="C36" s="1511"/>
      <c r="D36" s="1511"/>
      <c r="E36" s="1511"/>
      <c r="F36" s="1511"/>
      <c r="G36" s="1511"/>
      <c r="H36" s="1511"/>
    </row>
    <row r="37" spans="1:8" x14ac:dyDescent="0.3">
      <c r="B37" s="1018"/>
      <c r="C37" s="1018"/>
      <c r="D37" s="1018"/>
      <c r="E37" s="1018"/>
      <c r="F37" s="1018"/>
      <c r="G37" s="1018"/>
      <c r="H37" s="1018"/>
    </row>
    <row r="38" spans="1:8" s="309" customFormat="1" hidden="1" outlineLevel="1" x14ac:dyDescent="0.3">
      <c r="A38" s="309" t="s">
        <v>556</v>
      </c>
      <c r="B38" s="211">
        <v>1994</v>
      </c>
      <c r="C38" s="211">
        <v>1994</v>
      </c>
      <c r="D38" s="211">
        <v>1994</v>
      </c>
      <c r="E38" s="309">
        <v>1994</v>
      </c>
      <c r="F38" s="309">
        <v>1994</v>
      </c>
      <c r="G38" s="309">
        <v>1994</v>
      </c>
      <c r="H38" s="309">
        <v>1994</v>
      </c>
    </row>
    <row r="39" spans="1:8" collapsed="1" x14ac:dyDescent="0.3">
      <c r="A39" s="1070"/>
      <c r="B39" s="1018"/>
      <c r="C39" s="1018"/>
      <c r="D39" s="1018"/>
      <c r="E39" s="1018"/>
      <c r="F39" s="1018"/>
      <c r="G39" s="1018"/>
      <c r="H39" s="1018"/>
    </row>
    <row r="40" spans="1:8" x14ac:dyDescent="0.3">
      <c r="A40" s="1113" t="s">
        <v>1673</v>
      </c>
      <c r="B40" s="1018"/>
      <c r="C40" s="1018"/>
      <c r="D40" s="1018"/>
      <c r="E40" s="1018"/>
      <c r="F40" s="1018"/>
      <c r="G40" s="1018"/>
      <c r="H40" s="1018"/>
    </row>
    <row r="41" spans="1:8" x14ac:dyDescent="0.3">
      <c r="A41" s="441" t="s">
        <v>1822</v>
      </c>
      <c r="B41" s="1018"/>
      <c r="C41" s="1018"/>
      <c r="D41" s="1018"/>
      <c r="E41" s="1018"/>
      <c r="F41" s="1018"/>
      <c r="G41" s="1018"/>
      <c r="H41" s="1018"/>
    </row>
    <row r="42" spans="1:8" ht="8.25" customHeight="1" thickBot="1" x14ac:dyDescent="0.35">
      <c r="A42" s="1504"/>
      <c r="B42" s="1018"/>
      <c r="C42" s="1018"/>
      <c r="D42" s="1018"/>
      <c r="E42" s="1018"/>
      <c r="F42" s="1018"/>
      <c r="G42" s="1018"/>
      <c r="H42" s="1018"/>
    </row>
    <row r="43" spans="1:8" x14ac:dyDescent="0.3">
      <c r="A43" s="212" t="s">
        <v>1250</v>
      </c>
      <c r="B43" s="712">
        <f t="shared" ref="B43:H43" si="17">B7</f>
        <v>2000</v>
      </c>
      <c r="C43" s="712">
        <f t="shared" si="17"/>
        <v>1999</v>
      </c>
      <c r="D43" s="712">
        <f t="shared" si="17"/>
        <v>1998</v>
      </c>
      <c r="E43" s="712">
        <f t="shared" si="17"/>
        <v>1997</v>
      </c>
      <c r="F43" s="712">
        <f t="shared" si="17"/>
        <v>1996</v>
      </c>
      <c r="G43" s="712">
        <f t="shared" si="17"/>
        <v>1995</v>
      </c>
      <c r="H43" s="713">
        <f t="shared" si="17"/>
        <v>1994</v>
      </c>
    </row>
    <row r="44" spans="1:8" x14ac:dyDescent="0.3">
      <c r="A44" s="214" t="s">
        <v>561</v>
      </c>
      <c r="B44" s="1056"/>
      <c r="C44" s="1056"/>
      <c r="D44" s="1056"/>
      <c r="E44" s="1056"/>
      <c r="F44" s="1056"/>
      <c r="G44" s="1056"/>
      <c r="H44" s="1105"/>
    </row>
    <row r="45" spans="1:8" x14ac:dyDescent="0.3">
      <c r="A45" s="214" t="s">
        <v>562</v>
      </c>
      <c r="B45" s="1516">
        <v>7326</v>
      </c>
      <c r="C45" s="1516">
        <v>5918</v>
      </c>
      <c r="D45" s="1516">
        <v>4675</v>
      </c>
      <c r="E45" s="1516">
        <v>3577.5</v>
      </c>
      <c r="F45" s="1516">
        <v>3061.9</v>
      </c>
      <c r="G45" s="1516">
        <v>2755.9</v>
      </c>
      <c r="H45" s="1430">
        <v>2352</v>
      </c>
    </row>
    <row r="46" spans="1:8" x14ac:dyDescent="0.3">
      <c r="A46" s="214" t="s">
        <v>859</v>
      </c>
      <c r="B46" s="928">
        <v>197</v>
      </c>
      <c r="C46" s="2470"/>
      <c r="D46" s="2470"/>
      <c r="E46" s="2470"/>
      <c r="F46" s="2470"/>
      <c r="G46" s="2470"/>
      <c r="H46" s="2471"/>
    </row>
    <row r="47" spans="1:8" ht="18.600000000000001" x14ac:dyDescent="0.3">
      <c r="A47" s="214" t="s">
        <v>1819</v>
      </c>
      <c r="B47" s="922">
        <v>18</v>
      </c>
      <c r="C47" s="922">
        <v>11</v>
      </c>
      <c r="D47" s="922">
        <v>8</v>
      </c>
      <c r="E47" s="922">
        <v>44.9</v>
      </c>
      <c r="F47" s="922">
        <v>38.799999999999997</v>
      </c>
      <c r="G47" s="922">
        <v>25.1</v>
      </c>
      <c r="H47" s="923">
        <v>9</v>
      </c>
    </row>
    <row r="48" spans="1:8" x14ac:dyDescent="0.3">
      <c r="A48" s="214" t="s">
        <v>619</v>
      </c>
      <c r="B48" s="922">
        <v>0</v>
      </c>
      <c r="C48" s="922">
        <v>0</v>
      </c>
      <c r="D48" s="922">
        <v>0</v>
      </c>
      <c r="E48" s="922">
        <v>0</v>
      </c>
      <c r="F48" s="922">
        <v>0</v>
      </c>
      <c r="G48" s="922">
        <v>0</v>
      </c>
      <c r="H48" s="923">
        <v>0</v>
      </c>
    </row>
    <row r="49" spans="1:8" x14ac:dyDescent="0.3">
      <c r="A49" s="214"/>
      <c r="B49" s="1512">
        <f t="shared" ref="B49:H49" si="18">SUM(B45:B48)</f>
        <v>7541</v>
      </c>
      <c r="C49" s="1512">
        <f t="shared" si="18"/>
        <v>5929</v>
      </c>
      <c r="D49" s="1512">
        <f t="shared" si="18"/>
        <v>4683</v>
      </c>
      <c r="E49" s="1512">
        <f t="shared" si="18"/>
        <v>3622.4</v>
      </c>
      <c r="F49" s="1512">
        <f t="shared" si="18"/>
        <v>3100.7000000000003</v>
      </c>
      <c r="G49" s="1512">
        <f t="shared" si="18"/>
        <v>2781</v>
      </c>
      <c r="H49" s="1513">
        <f t="shared" si="18"/>
        <v>2361</v>
      </c>
    </row>
    <row r="50" spans="1:8" x14ac:dyDescent="0.3">
      <c r="A50" s="214"/>
      <c r="B50" s="1517"/>
      <c r="C50" s="1517"/>
      <c r="D50" s="1517"/>
      <c r="E50" s="1517"/>
      <c r="F50" s="1517"/>
      <c r="G50" s="1517"/>
      <c r="H50" s="1431"/>
    </row>
    <row r="51" spans="1:8" x14ac:dyDescent="0.3">
      <c r="A51" s="214" t="s">
        <v>567</v>
      </c>
      <c r="B51" s="1517"/>
      <c r="C51" s="1517"/>
      <c r="D51" s="1517"/>
      <c r="E51" s="1517"/>
      <c r="F51" s="1517"/>
      <c r="G51" s="1517"/>
      <c r="H51" s="1431"/>
    </row>
    <row r="52" spans="1:8" x14ac:dyDescent="0.3">
      <c r="A52" s="214" t="s">
        <v>564</v>
      </c>
      <c r="B52" s="1517">
        <v>4893</v>
      </c>
      <c r="C52" s="1517">
        <v>4061</v>
      </c>
      <c r="D52" s="1517">
        <v>3010</v>
      </c>
      <c r="E52" s="1517">
        <v>2179.3000000000002</v>
      </c>
      <c r="F52" s="1517">
        <v>1875.7</v>
      </c>
      <c r="G52" s="1517">
        <v>1698.4</v>
      </c>
      <c r="H52" s="1431">
        <v>1442.9</v>
      </c>
    </row>
    <row r="53" spans="1:8" x14ac:dyDescent="0.3">
      <c r="A53" s="214" t="s">
        <v>565</v>
      </c>
      <c r="B53" s="922">
        <v>1657</v>
      </c>
      <c r="C53" s="922">
        <v>1126</v>
      </c>
      <c r="D53" s="922">
        <v>1014</v>
      </c>
      <c r="E53" s="922">
        <v>899.2</v>
      </c>
      <c r="F53" s="922">
        <v>832.1</v>
      </c>
      <c r="G53" s="922">
        <v>741.4</v>
      </c>
      <c r="H53" s="923">
        <v>578.5</v>
      </c>
    </row>
    <row r="54" spans="1:8" x14ac:dyDescent="0.3">
      <c r="A54" s="214" t="s">
        <v>566</v>
      </c>
      <c r="B54" s="922">
        <v>85</v>
      </c>
      <c r="C54" s="922">
        <v>31</v>
      </c>
      <c r="D54" s="922">
        <v>19</v>
      </c>
      <c r="E54" s="922">
        <v>19.5</v>
      </c>
      <c r="F54" s="922">
        <v>15.3</v>
      </c>
      <c r="G54" s="922">
        <v>9.1</v>
      </c>
      <c r="H54" s="923">
        <v>3.7</v>
      </c>
    </row>
    <row r="55" spans="1:8" x14ac:dyDescent="0.3">
      <c r="A55" s="214"/>
      <c r="B55" s="1490">
        <f t="shared" ref="B55:C55" si="19">SUM(B52:B54)</f>
        <v>6635</v>
      </c>
      <c r="C55" s="1490">
        <f t="shared" si="19"/>
        <v>5218</v>
      </c>
      <c r="D55" s="1490">
        <f t="shared" ref="D55:E55" si="20">SUM(D52:D54)</f>
        <v>4043</v>
      </c>
      <c r="E55" s="1490">
        <f t="shared" si="20"/>
        <v>3098</v>
      </c>
      <c r="F55" s="1490">
        <f t="shared" ref="F55:G55" si="21">SUM(F52:F54)</f>
        <v>2723.1000000000004</v>
      </c>
      <c r="G55" s="1490">
        <f t="shared" si="21"/>
        <v>2448.9</v>
      </c>
      <c r="H55" s="1491">
        <f t="shared" ref="H55" si="22">SUM(H52:H54)</f>
        <v>2025.1000000000001</v>
      </c>
    </row>
    <row r="56" spans="1:8" x14ac:dyDescent="0.3">
      <c r="A56" s="214" t="s">
        <v>568</v>
      </c>
      <c r="B56" s="922">
        <f t="shared" ref="B56:C56" si="23">B49-B55</f>
        <v>906</v>
      </c>
      <c r="C56" s="922">
        <f t="shared" si="23"/>
        <v>711</v>
      </c>
      <c r="D56" s="922">
        <f t="shared" ref="D56:E56" si="24">D49-D55</f>
        <v>640</v>
      </c>
      <c r="E56" s="922">
        <f t="shared" si="24"/>
        <v>524.40000000000009</v>
      </c>
      <c r="F56" s="922">
        <f t="shared" ref="F56:G56" si="25">F49-F55</f>
        <v>377.59999999999991</v>
      </c>
      <c r="G56" s="922">
        <f t="shared" si="25"/>
        <v>332.09999999999991</v>
      </c>
      <c r="H56" s="923">
        <f t="shared" ref="H56" si="26">H49-H55</f>
        <v>335.89999999999986</v>
      </c>
    </row>
    <row r="57" spans="1:8" x14ac:dyDescent="0.3">
      <c r="A57" s="214" t="s">
        <v>533</v>
      </c>
      <c r="B57" s="922">
        <v>334</v>
      </c>
      <c r="C57" s="922">
        <v>267</v>
      </c>
      <c r="D57" s="922">
        <v>234</v>
      </c>
      <c r="E57" s="922">
        <v>199.9</v>
      </c>
      <c r="F57" s="922">
        <v>138.30000000000001</v>
      </c>
      <c r="G57" s="922">
        <v>126.4</v>
      </c>
      <c r="H57" s="923">
        <v>122.3</v>
      </c>
    </row>
    <row r="58" spans="1:8" x14ac:dyDescent="0.3">
      <c r="A58" s="214"/>
      <c r="B58" s="1490">
        <f t="shared" ref="B58:C58" si="27">B56-B57</f>
        <v>572</v>
      </c>
      <c r="C58" s="1490">
        <f t="shared" si="27"/>
        <v>444</v>
      </c>
      <c r="D58" s="1490">
        <f t="shared" ref="D58:E58" si="28">D56-D57</f>
        <v>406</v>
      </c>
      <c r="E58" s="1490">
        <f t="shared" si="28"/>
        <v>324.50000000000011</v>
      </c>
      <c r="F58" s="1490">
        <f t="shared" ref="F58:G58" si="29">F56-F57</f>
        <v>239.2999999999999</v>
      </c>
      <c r="G58" s="1490">
        <f t="shared" si="29"/>
        <v>205.6999999999999</v>
      </c>
      <c r="H58" s="1491">
        <f t="shared" ref="H58" si="30">H56-H57</f>
        <v>213.59999999999985</v>
      </c>
    </row>
    <row r="59" spans="1:8" x14ac:dyDescent="0.3">
      <c r="A59" s="282" t="s">
        <v>534</v>
      </c>
      <c r="B59" s="922">
        <v>21</v>
      </c>
      <c r="C59" s="922">
        <v>5</v>
      </c>
      <c r="D59" s="922">
        <v>5</v>
      </c>
      <c r="E59" s="922">
        <v>5.6</v>
      </c>
      <c r="F59" s="922">
        <v>5.0999999999999996</v>
      </c>
      <c r="G59" s="922">
        <v>4.5</v>
      </c>
      <c r="H59" s="923">
        <v>4.9000000000000004</v>
      </c>
    </row>
    <row r="60" spans="1:8" ht="16.2" thickBot="1" x14ac:dyDescent="0.35">
      <c r="A60" s="214" t="s">
        <v>301</v>
      </c>
      <c r="B60" s="1514">
        <f t="shared" ref="B60:C60" si="31">B58-B59</f>
        <v>551</v>
      </c>
      <c r="C60" s="1514">
        <f t="shared" si="31"/>
        <v>439</v>
      </c>
      <c r="D60" s="1514">
        <f t="shared" ref="D60:E60" si="32">D58-D59</f>
        <v>401</v>
      </c>
      <c r="E60" s="1514">
        <f t="shared" si="32"/>
        <v>318.90000000000009</v>
      </c>
      <c r="F60" s="1514">
        <f t="shared" ref="F60:G60" si="33">F58-F59</f>
        <v>234.1999999999999</v>
      </c>
      <c r="G60" s="1514">
        <f t="shared" si="33"/>
        <v>201.1999999999999</v>
      </c>
      <c r="H60" s="1515">
        <f t="shared" ref="H60" si="34">H58-H59</f>
        <v>208.69999999999985</v>
      </c>
    </row>
    <row r="61" spans="1:8" ht="10.5" customHeight="1" thickTop="1" x14ac:dyDescent="0.3">
      <c r="A61" s="214"/>
      <c r="B61" s="1047"/>
      <c r="C61" s="1047"/>
      <c r="D61" s="1047"/>
      <c r="E61" s="1047"/>
      <c r="F61" s="1047"/>
      <c r="G61" s="1047"/>
      <c r="H61" s="1106"/>
    </row>
    <row r="62" spans="1:8" ht="4.5" customHeight="1" x14ac:dyDescent="0.3">
      <c r="A62" s="214"/>
      <c r="B62" s="1047"/>
      <c r="C62" s="1047"/>
      <c r="D62" s="1047"/>
      <c r="E62" s="1047"/>
      <c r="F62" s="1047"/>
      <c r="G62" s="1047"/>
      <c r="H62" s="1106"/>
    </row>
    <row r="63" spans="1:8" ht="4.5" customHeight="1" x14ac:dyDescent="0.3">
      <c r="A63" s="1155"/>
      <c r="B63" s="1482"/>
      <c r="C63" s="1482"/>
      <c r="D63" s="1482"/>
      <c r="E63" s="1482"/>
      <c r="F63" s="1482"/>
      <c r="G63" s="1482"/>
      <c r="H63" s="1483"/>
    </row>
    <row r="64" spans="1:8" ht="4.5" customHeight="1" x14ac:dyDescent="0.3">
      <c r="A64" s="214"/>
      <c r="B64" s="1047"/>
      <c r="C64" s="1047"/>
      <c r="D64" s="1047"/>
      <c r="E64" s="1047"/>
      <c r="F64" s="1047"/>
      <c r="G64" s="1047"/>
      <c r="H64" s="1106"/>
    </row>
    <row r="65" spans="1:13" x14ac:dyDescent="0.3">
      <c r="A65" s="214" t="s">
        <v>1405</v>
      </c>
      <c r="B65" s="1047"/>
      <c r="C65" s="1047"/>
      <c r="D65" s="1047"/>
      <c r="E65" s="1047"/>
      <c r="F65" s="1047"/>
      <c r="G65" s="1047"/>
      <c r="H65" s="1106"/>
    </row>
    <row r="66" spans="1:13" ht="31.5" customHeight="1" thickBot="1" x14ac:dyDescent="0.35">
      <c r="A66" s="2802" t="s">
        <v>857</v>
      </c>
      <c r="B66" s="2803"/>
      <c r="C66" s="2803"/>
      <c r="D66" s="2803"/>
      <c r="E66" s="2803"/>
      <c r="F66" s="2803"/>
      <c r="G66" s="2803"/>
      <c r="H66" s="2804"/>
    </row>
    <row r="67" spans="1:13" x14ac:dyDescent="0.3">
      <c r="A67" s="410" t="s">
        <v>1802</v>
      </c>
      <c r="B67" s="1018"/>
      <c r="C67" s="1018"/>
      <c r="D67" s="1018"/>
      <c r="E67" s="1018"/>
      <c r="F67" s="1018"/>
      <c r="G67" s="1018"/>
      <c r="H67" s="1018"/>
    </row>
    <row r="68" spans="1:13" ht="10.5" customHeight="1" x14ac:dyDescent="0.3">
      <c r="B68" s="1018"/>
      <c r="C68" s="1018"/>
      <c r="D68" s="1018"/>
      <c r="E68" s="1018"/>
      <c r="F68" s="1018"/>
      <c r="G68" s="1018"/>
      <c r="H68" s="1018"/>
    </row>
    <row r="69" spans="1:13" ht="10.5" customHeight="1" x14ac:dyDescent="0.3">
      <c r="B69" s="1018"/>
      <c r="C69" s="1018"/>
      <c r="D69" s="1018"/>
      <c r="E69" s="1018"/>
      <c r="F69" s="1018"/>
      <c r="G69" s="1018"/>
      <c r="H69" s="1018"/>
    </row>
    <row r="70" spans="1:13" ht="10.5" customHeight="1" x14ac:dyDescent="0.3">
      <c r="B70" s="1018"/>
      <c r="C70" s="1018"/>
      <c r="D70" s="1018"/>
      <c r="E70" s="1018"/>
      <c r="F70" s="1018"/>
      <c r="G70" s="1018"/>
      <c r="H70" s="1018"/>
    </row>
    <row r="71" spans="1:13" x14ac:dyDescent="0.3">
      <c r="A71" s="1113" t="s">
        <v>1673</v>
      </c>
      <c r="B71" s="1018"/>
      <c r="C71" s="1018"/>
      <c r="D71" s="1018"/>
      <c r="E71" s="1018"/>
      <c r="F71" s="1018"/>
      <c r="G71" s="1018"/>
      <c r="H71" s="1018"/>
    </row>
    <row r="72" spans="1:13" x14ac:dyDescent="0.3">
      <c r="A72" s="441" t="s">
        <v>1823</v>
      </c>
      <c r="B72" s="1018"/>
      <c r="C72" s="1018"/>
      <c r="D72" s="1018"/>
      <c r="E72" s="1018"/>
      <c r="F72" s="1018"/>
      <c r="G72" s="1018"/>
      <c r="H72" s="1018"/>
    </row>
    <row r="73" spans="1:13" ht="8.25" customHeight="1" thickBot="1" x14ac:dyDescent="0.35">
      <c r="A73" s="1504"/>
      <c r="B73" s="1018"/>
      <c r="C73" s="1018"/>
      <c r="D73" s="1018"/>
      <c r="E73" s="1018"/>
      <c r="F73" s="1018"/>
      <c r="G73" s="1018"/>
      <c r="H73" s="1018"/>
    </row>
    <row r="74" spans="1:13" x14ac:dyDescent="0.3">
      <c r="A74" s="212" t="s">
        <v>554</v>
      </c>
      <c r="B74" s="712">
        <f t="shared" ref="B74:H74" si="35">B7</f>
        <v>2000</v>
      </c>
      <c r="C74" s="712">
        <f t="shared" si="35"/>
        <v>1999</v>
      </c>
      <c r="D74" s="712">
        <f t="shared" si="35"/>
        <v>1998</v>
      </c>
      <c r="E74" s="712">
        <f t="shared" si="35"/>
        <v>1997</v>
      </c>
      <c r="F74" s="712">
        <f t="shared" si="35"/>
        <v>1996</v>
      </c>
      <c r="G74" s="712">
        <f t="shared" si="35"/>
        <v>1995</v>
      </c>
      <c r="H74" s="713">
        <f t="shared" si="35"/>
        <v>1994</v>
      </c>
      <c r="J74" s="211" t="s">
        <v>176</v>
      </c>
    </row>
    <row r="75" spans="1:13" x14ac:dyDescent="0.3">
      <c r="A75" s="214" t="s">
        <v>2545</v>
      </c>
      <c r="B75" s="1793">
        <f t="shared" ref="B75:G75" si="36">B49/C49-1</f>
        <v>0.27188396019564842</v>
      </c>
      <c r="C75" s="1793">
        <f t="shared" si="36"/>
        <v>0.2660687593423019</v>
      </c>
      <c r="D75" s="1793">
        <f t="shared" si="36"/>
        <v>0.29278931095406358</v>
      </c>
      <c r="E75" s="1793">
        <f t="shared" si="36"/>
        <v>0.16825233011900531</v>
      </c>
      <c r="F75" s="1793">
        <f t="shared" si="36"/>
        <v>0.11495864796835686</v>
      </c>
      <c r="G75" s="1793">
        <f t="shared" si="36"/>
        <v>0.17789072426937746</v>
      </c>
      <c r="H75" s="1762">
        <f>'5. Manuf., Pub., Retail'!B63</f>
        <v>0.19792987975036769</v>
      </c>
    </row>
    <row r="76" spans="1:13" x14ac:dyDescent="0.3">
      <c r="A76" s="214" t="s">
        <v>805</v>
      </c>
      <c r="B76" s="1793">
        <f t="shared" ref="B76:G76" si="37">B56/C56-1</f>
        <v>0.27426160337552741</v>
      </c>
      <c r="C76" s="1793">
        <f t="shared" si="37"/>
        <v>0.11093749999999991</v>
      </c>
      <c r="D76" s="1793">
        <f t="shared" si="37"/>
        <v>0.22044241037376033</v>
      </c>
      <c r="E76" s="1793">
        <f t="shared" si="37"/>
        <v>0.38877118644067865</v>
      </c>
      <c r="F76" s="1793">
        <f t="shared" si="37"/>
        <v>0.13700692562481187</v>
      </c>
      <c r="G76" s="1793">
        <f t="shared" si="37"/>
        <v>-1.1312890741291937E-2</v>
      </c>
      <c r="H76" s="1762">
        <f>'5. Manuf., Pub., Retail'!B64</f>
        <v>0.23266055045871514</v>
      </c>
      <c r="M76" s="211" t="s">
        <v>176</v>
      </c>
    </row>
    <row r="77" spans="1:13" ht="4.5" customHeight="1" x14ac:dyDescent="0.3">
      <c r="A77" s="214"/>
      <c r="B77" s="1793"/>
      <c r="C77" s="1793"/>
      <c r="D77" s="1793"/>
      <c r="E77" s="1793"/>
      <c r="F77" s="1793"/>
      <c r="G77" s="1793"/>
      <c r="H77" s="1762"/>
    </row>
    <row r="78" spans="1:13" ht="4.5" customHeight="1" x14ac:dyDescent="0.3">
      <c r="A78" s="1155"/>
      <c r="B78" s="2712"/>
      <c r="C78" s="2712"/>
      <c r="D78" s="2712"/>
      <c r="E78" s="2712"/>
      <c r="F78" s="2712"/>
      <c r="G78" s="2712"/>
      <c r="H78" s="2713"/>
    </row>
    <row r="79" spans="1:13" ht="4.5" customHeight="1" x14ac:dyDescent="0.3">
      <c r="A79" s="221"/>
      <c r="B79" s="2714"/>
      <c r="C79" s="2714"/>
      <c r="D79" s="2714"/>
      <c r="E79" s="2714"/>
      <c r="F79" s="2714"/>
      <c r="G79" s="2714"/>
      <c r="H79" s="1762"/>
    </row>
    <row r="80" spans="1:13" x14ac:dyDescent="0.3">
      <c r="A80" s="214" t="s">
        <v>569</v>
      </c>
      <c r="B80" s="1793">
        <f t="shared" ref="B80:C80" si="38">(B45-B52)/B45</f>
        <v>0.3321048321048321</v>
      </c>
      <c r="C80" s="1793">
        <f t="shared" si="38"/>
        <v>0.31378844204123013</v>
      </c>
      <c r="D80" s="1793">
        <f t="shared" ref="D80:E80" si="39">(D45-D52)/D45</f>
        <v>0.35614973262032085</v>
      </c>
      <c r="E80" s="1793">
        <f t="shared" si="39"/>
        <v>0.39083158630328435</v>
      </c>
      <c r="F80" s="1793">
        <f t="shared" ref="F80:G80" si="40">(F45-F52)/F45</f>
        <v>0.38740651229628664</v>
      </c>
      <c r="G80" s="1793">
        <f t="shared" si="40"/>
        <v>0.38372219601582058</v>
      </c>
      <c r="H80" s="1762">
        <f>'5. Manuf., Pub., Retail'!B68</f>
        <v>0.38652210884353738</v>
      </c>
    </row>
    <row r="81" spans="1:8" ht="12" customHeight="1" x14ac:dyDescent="0.3">
      <c r="A81" s="214" t="s">
        <v>570</v>
      </c>
      <c r="B81" s="1793">
        <f t="shared" ref="B81:C81" si="41">B56/B49</f>
        <v>0.12014321707996287</v>
      </c>
      <c r="C81" s="1793">
        <f t="shared" si="41"/>
        <v>0.11991904199696407</v>
      </c>
      <c r="D81" s="1793">
        <f t="shared" ref="D81:E81" si="42">D56/D49</f>
        <v>0.13666453128336536</v>
      </c>
      <c r="E81" s="1793">
        <f t="shared" si="42"/>
        <v>0.1447659010600707</v>
      </c>
      <c r="F81" s="1793">
        <f t="shared" ref="F81:G81" si="43">F56/F49</f>
        <v>0.12177895313961359</v>
      </c>
      <c r="G81" s="1793">
        <f t="shared" si="43"/>
        <v>0.11941747572815531</v>
      </c>
      <c r="H81" s="1762">
        <f>'5. Manuf., Pub., Retail'!B69</f>
        <v>0.14227022448115201</v>
      </c>
    </row>
    <row r="82" spans="1:8" ht="4.5" customHeight="1" x14ac:dyDescent="0.3">
      <c r="A82" s="214"/>
      <c r="B82" s="1793"/>
      <c r="C82" s="1793"/>
      <c r="D82" s="1793"/>
      <c r="E82" s="1793"/>
      <c r="F82" s="1793"/>
      <c r="G82" s="1793"/>
      <c r="H82" s="1762"/>
    </row>
    <row r="83" spans="1:8" ht="4.5" customHeight="1" x14ac:dyDescent="0.3">
      <c r="A83" s="1155"/>
      <c r="B83" s="2712"/>
      <c r="C83" s="2712"/>
      <c r="D83" s="2712"/>
      <c r="E83" s="2712"/>
      <c r="F83" s="2712"/>
      <c r="G83" s="2712"/>
      <c r="H83" s="2713"/>
    </row>
    <row r="84" spans="1:8" ht="4.5" customHeight="1" x14ac:dyDescent="0.3">
      <c r="A84" s="221"/>
      <c r="B84" s="2714"/>
      <c r="C84" s="2714"/>
      <c r="D84" s="2714"/>
      <c r="E84" s="2714"/>
      <c r="F84" s="2714"/>
      <c r="G84" s="2714"/>
      <c r="H84" s="1762"/>
    </row>
    <row r="85" spans="1:8" s="309" customFormat="1" ht="12" hidden="1" customHeight="1" outlineLevel="1" x14ac:dyDescent="0.3">
      <c r="A85" s="305" t="s">
        <v>575</v>
      </c>
      <c r="B85" s="2715">
        <f t="shared" ref="B85:G85" si="44">(B26+B20+C26+C20)/2</f>
        <v>4381</v>
      </c>
      <c r="C85" s="2715">
        <f t="shared" si="44"/>
        <v>2658.5</v>
      </c>
      <c r="D85" s="2715">
        <f t="shared" si="44"/>
        <v>2055.5500000000002</v>
      </c>
      <c r="E85" s="2715">
        <f t="shared" si="44"/>
        <v>1599.95</v>
      </c>
      <c r="F85" s="2715">
        <f t="shared" si="44"/>
        <v>1275.2</v>
      </c>
      <c r="G85" s="2715">
        <f t="shared" si="44"/>
        <v>873.05000000000007</v>
      </c>
      <c r="H85" s="2716">
        <f>'5. Manuf., Pub., Retail'!B71</f>
        <v>681.55000000000007</v>
      </c>
    </row>
    <row r="86" spans="1:8" collapsed="1" x14ac:dyDescent="0.3">
      <c r="A86" s="214" t="s">
        <v>3749</v>
      </c>
      <c r="B86" s="1793">
        <f>B56/B85</f>
        <v>0.20680209997717416</v>
      </c>
      <c r="C86" s="1793">
        <f t="shared" ref="C86:H86" si="45">C56/C85</f>
        <v>0.26744404739514765</v>
      </c>
      <c r="D86" s="1793">
        <f t="shared" si="45"/>
        <v>0.31135219284376442</v>
      </c>
      <c r="E86" s="1793">
        <f t="shared" si="45"/>
        <v>0.3277602425075784</v>
      </c>
      <c r="F86" s="1793">
        <f t="shared" si="45"/>
        <v>0.29611041405269756</v>
      </c>
      <c r="G86" s="1793">
        <f t="shared" si="45"/>
        <v>0.38039058473168763</v>
      </c>
      <c r="H86" s="1762">
        <f t="shared" si="45"/>
        <v>0.49284718656004672</v>
      </c>
    </row>
    <row r="87" spans="1:8" x14ac:dyDescent="0.3">
      <c r="A87" s="214" t="s">
        <v>3750</v>
      </c>
      <c r="B87" s="1793">
        <f>B58/B85</f>
        <v>0.13056379821958458</v>
      </c>
      <c r="C87" s="1793">
        <f t="shared" ref="C87:H87" si="46">C58/C85</f>
        <v>0.16701147263494451</v>
      </c>
      <c r="D87" s="1793">
        <f t="shared" si="46"/>
        <v>0.19751404733526304</v>
      </c>
      <c r="E87" s="1793">
        <f t="shared" si="46"/>
        <v>0.20281883808869033</v>
      </c>
      <c r="F87" s="1793">
        <f t="shared" si="46"/>
        <v>0.1876568381430363</v>
      </c>
      <c r="G87" s="1793">
        <f t="shared" si="46"/>
        <v>0.23561078976003652</v>
      </c>
      <c r="H87" s="1762">
        <f t="shared" si="46"/>
        <v>0.31340327195363482</v>
      </c>
    </row>
    <row r="88" spans="1:8" ht="4.5" customHeight="1" x14ac:dyDescent="0.3">
      <c r="A88" s="214"/>
      <c r="B88" s="1793"/>
      <c r="C88" s="1793"/>
      <c r="D88" s="1793"/>
      <c r="E88" s="1793"/>
      <c r="F88" s="1793"/>
      <c r="G88" s="1793"/>
      <c r="H88" s="1762"/>
    </row>
    <row r="89" spans="1:8" ht="4.5" customHeight="1" x14ac:dyDescent="0.3">
      <c r="A89" s="1155"/>
      <c r="B89" s="2712"/>
      <c r="C89" s="2712"/>
      <c r="D89" s="2712"/>
      <c r="E89" s="2712"/>
      <c r="F89" s="2712"/>
      <c r="G89" s="2712"/>
      <c r="H89" s="2713"/>
    </row>
    <row r="90" spans="1:8" ht="4.5" customHeight="1" x14ac:dyDescent="0.3">
      <c r="A90" s="221"/>
      <c r="B90" s="2714"/>
      <c r="C90" s="2714"/>
      <c r="D90" s="2714"/>
      <c r="E90" s="2714"/>
      <c r="F90" s="2714"/>
      <c r="G90" s="2714"/>
      <c r="H90" s="1762"/>
    </row>
    <row r="91" spans="1:8" x14ac:dyDescent="0.3">
      <c r="A91" s="214" t="s">
        <v>572</v>
      </c>
      <c r="B91" s="1793">
        <f>B56/(AVERAGE(B26:C26))</f>
        <v>0.26611837274195915</v>
      </c>
      <c r="C91" s="1793">
        <f>C56/(AVERAGE(C26:D26))</f>
        <v>0.34389359129383312</v>
      </c>
      <c r="D91" s="1793">
        <f t="shared" ref="D91:F91" si="47">D56/(AVERAGE(D26:E26))</f>
        <v>0.37074583635047065</v>
      </c>
      <c r="E91" s="1793">
        <f t="shared" si="47"/>
        <v>0.37591397849462371</v>
      </c>
      <c r="F91" s="1793">
        <f t="shared" si="47"/>
        <v>0.34226150011330153</v>
      </c>
      <c r="G91" s="1793">
        <f>G56/(AVERAGE(G26:H26))</f>
        <v>0.42203583682805929</v>
      </c>
      <c r="H91" s="1762">
        <f>'5. Manuf., Pub., Retail'!B80</f>
        <v>0.51021493126756268</v>
      </c>
    </row>
    <row r="92" spans="1:8" x14ac:dyDescent="0.3">
      <c r="A92" s="214" t="s">
        <v>571</v>
      </c>
      <c r="B92" s="1793">
        <f t="shared" ref="B92:G92" si="48">B58/(AVERAGE(B26:C26))</f>
        <v>0.1680129240710824</v>
      </c>
      <c r="C92" s="1793">
        <f t="shared" si="48"/>
        <v>0.21475211608222491</v>
      </c>
      <c r="D92" s="1793">
        <f t="shared" si="48"/>
        <v>0.23519188993482984</v>
      </c>
      <c r="E92" s="1793">
        <f t="shared" si="48"/>
        <v>0.23261648745519722</v>
      </c>
      <c r="F92" s="1793">
        <f t="shared" si="48"/>
        <v>0.21690460004532056</v>
      </c>
      <c r="G92" s="1793">
        <f t="shared" si="48"/>
        <v>0.2614055153132544</v>
      </c>
      <c r="H92" s="1762">
        <f>'5. Manuf., Pub., Retail'!B81</f>
        <v>0.32444748234221893</v>
      </c>
    </row>
    <row r="93" spans="1:8" ht="4.5" customHeight="1" x14ac:dyDescent="0.3">
      <c r="A93" s="214"/>
      <c r="B93" s="464"/>
      <c r="C93" s="464"/>
      <c r="D93" s="464"/>
      <c r="E93" s="464"/>
      <c r="F93" s="464"/>
      <c r="G93" s="464"/>
      <c r="H93" s="347"/>
    </row>
    <row r="94" spans="1:8" ht="4.5" customHeight="1" x14ac:dyDescent="0.3">
      <c r="A94" s="1155"/>
      <c r="B94" s="728"/>
      <c r="C94" s="728"/>
      <c r="D94" s="728"/>
      <c r="E94" s="728"/>
      <c r="F94" s="728"/>
      <c r="G94" s="728"/>
      <c r="H94" s="1518"/>
    </row>
    <row r="95" spans="1:8" ht="4.5" customHeight="1" x14ac:dyDescent="0.3">
      <c r="A95" s="221"/>
      <c r="B95" s="1070"/>
      <c r="C95" s="1070"/>
      <c r="D95" s="1070"/>
      <c r="E95" s="1070"/>
      <c r="F95" s="1070"/>
      <c r="G95" s="1070"/>
      <c r="H95" s="347"/>
    </row>
    <row r="96" spans="1:8" ht="16.2" thickBot="1" x14ac:dyDescent="0.35">
      <c r="A96" s="224" t="s">
        <v>577</v>
      </c>
      <c r="B96" s="2448">
        <f t="shared" ref="B96:G96" si="49">B20/B26</f>
        <v>0.26046811251878893</v>
      </c>
      <c r="C96" s="2448">
        <f t="shared" si="49"/>
        <v>0.34386617100371747</v>
      </c>
      <c r="D96" s="2448">
        <f t="shared" si="49"/>
        <v>0.22289460413514878</v>
      </c>
      <c r="E96" s="2448">
        <f t="shared" si="49"/>
        <v>0.14739707383463763</v>
      </c>
      <c r="F96" s="2448">
        <f t="shared" si="49"/>
        <v>0.14638394547519878</v>
      </c>
      <c r="G96" s="2448">
        <f t="shared" si="49"/>
        <v>0.16997742663656884</v>
      </c>
      <c r="H96" s="2449">
        <f>'5. Manuf., Pub., Retail'!B85</f>
        <v>3.1549869148008135E-2</v>
      </c>
    </row>
    <row r="97" spans="1:8" x14ac:dyDescent="0.3">
      <c r="A97" s="410" t="s">
        <v>1954</v>
      </c>
      <c r="B97" s="211"/>
      <c r="C97" s="211"/>
      <c r="D97" s="211"/>
    </row>
    <row r="98" spans="1:8" x14ac:dyDescent="0.3">
      <c r="A98" s="410"/>
      <c r="B98" s="211"/>
      <c r="C98" s="211"/>
      <c r="D98" s="211"/>
    </row>
    <row r="99" spans="1:8" s="372" customFormat="1" x14ac:dyDescent="0.3">
      <c r="A99" s="2726"/>
    </row>
    <row r="100" spans="1:8" x14ac:dyDescent="0.3">
      <c r="B100" s="211"/>
      <c r="C100" s="211"/>
      <c r="D100" s="211"/>
    </row>
    <row r="101" spans="1:8" x14ac:dyDescent="0.3">
      <c r="A101" s="211" t="s">
        <v>3757</v>
      </c>
      <c r="B101" s="226">
        <f>B85/C85-1</f>
        <v>0.64792176039119798</v>
      </c>
      <c r="C101" s="226">
        <f>C85/D85-1</f>
        <v>0.29332781980491829</v>
      </c>
      <c r="D101" s="226">
        <f>D85/E85-1</f>
        <v>0.28475889871558491</v>
      </c>
      <c r="E101" s="226">
        <f>E85/F85-1</f>
        <v>0.25466593475533239</v>
      </c>
      <c r="F101" s="226">
        <f>F85/G85-1</f>
        <v>0.4606265391443789</v>
      </c>
    </row>
    <row r="102" spans="1:8" x14ac:dyDescent="0.3">
      <c r="B102" s="211"/>
      <c r="C102" s="211"/>
      <c r="D102" s="211"/>
    </row>
    <row r="103" spans="1:8" x14ac:dyDescent="0.3">
      <c r="B103" s="211"/>
      <c r="C103" s="211"/>
      <c r="D103" s="211"/>
    </row>
    <row r="104" spans="1:8" x14ac:dyDescent="0.3">
      <c r="B104" s="211"/>
      <c r="C104" s="211"/>
      <c r="D104" s="211"/>
      <c r="H104" s="211" t="s">
        <v>176</v>
      </c>
    </row>
    <row r="105" spans="1:8" x14ac:dyDescent="0.3">
      <c r="B105" s="211"/>
      <c r="C105" s="211"/>
      <c r="D105" s="211"/>
    </row>
  </sheetData>
  <mergeCells count="2">
    <mergeCell ref="A33:H33"/>
    <mergeCell ref="A66:H66"/>
  </mergeCells>
  <pageMargins left="0.7" right="0.7" top="0.75" bottom="0.75" header="0.3" footer="0.3"/>
  <pageSetup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3ABE9-2527-43CD-8F07-27DADDD4A538}">
  <sheetPr codeName="Sheet60">
    <tabColor theme="9" tint="0.59999389629810485"/>
  </sheetPr>
  <dimension ref="A1:K81"/>
  <sheetViews>
    <sheetView showGridLines="0" topLeftCell="A3" zoomScale="85" zoomScaleNormal="85" workbookViewId="0">
      <selection activeCell="O25" sqref="O25"/>
    </sheetView>
  </sheetViews>
  <sheetFormatPr defaultColWidth="8.6640625" defaultRowHeight="15.6" outlineLevelRow="1" x14ac:dyDescent="0.3"/>
  <cols>
    <col min="1" max="1" width="42.5546875" style="211" customWidth="1"/>
    <col min="2" max="4" width="10.5546875" style="211" bestFit="1" customWidth="1"/>
    <col min="5" max="16384" width="8.6640625" style="211"/>
  </cols>
  <sheetData>
    <row r="1" spans="1:11" s="1262" customFormat="1" ht="16.2" outlineLevel="1" x14ac:dyDescent="0.35">
      <c r="A1" s="1262" t="s">
        <v>556</v>
      </c>
      <c r="B1" s="1262">
        <v>2004</v>
      </c>
      <c r="C1" s="1262">
        <v>2003</v>
      </c>
    </row>
    <row r="2" spans="1:11" s="1519" customFormat="1" ht="16.2" x14ac:dyDescent="0.35">
      <c r="A2" s="459" t="s">
        <v>1673</v>
      </c>
    </row>
    <row r="3" spans="1:11" s="1519" customFormat="1" ht="16.2" x14ac:dyDescent="0.35">
      <c r="A3" s="499" t="s">
        <v>1825</v>
      </c>
    </row>
    <row r="4" spans="1:11" s="1519" customFormat="1" ht="9" customHeight="1" thickBot="1" x14ac:dyDescent="0.4"/>
    <row r="5" spans="1:11" x14ac:dyDescent="0.3">
      <c r="A5" s="212" t="s">
        <v>1250</v>
      </c>
      <c r="B5" s="712">
        <v>2004</v>
      </c>
      <c r="C5" s="713">
        <v>2003</v>
      </c>
    </row>
    <row r="6" spans="1:11" x14ac:dyDescent="0.3">
      <c r="A6" s="238" t="s">
        <v>515</v>
      </c>
      <c r="B6" s="1067"/>
      <c r="C6" s="1470"/>
      <c r="K6" s="211" t="s">
        <v>176</v>
      </c>
    </row>
    <row r="7" spans="1:11" x14ac:dyDescent="0.3">
      <c r="A7" s="214" t="s">
        <v>963</v>
      </c>
      <c r="B7" s="1516">
        <v>899</v>
      </c>
      <c r="C7" s="1430">
        <v>1250</v>
      </c>
    </row>
    <row r="8" spans="1:11" x14ac:dyDescent="0.3">
      <c r="A8" s="214" t="s">
        <v>964</v>
      </c>
      <c r="B8" s="922">
        <v>3074</v>
      </c>
      <c r="C8" s="923">
        <v>2796</v>
      </c>
    </row>
    <row r="9" spans="1:11" x14ac:dyDescent="0.3">
      <c r="A9" s="214" t="s">
        <v>965</v>
      </c>
      <c r="B9" s="922">
        <v>3842</v>
      </c>
      <c r="C9" s="923">
        <v>3656</v>
      </c>
    </row>
    <row r="10" spans="1:11" x14ac:dyDescent="0.3">
      <c r="A10" s="214" t="s">
        <v>966</v>
      </c>
      <c r="B10" s="922">
        <v>254</v>
      </c>
      <c r="C10" s="923">
        <v>262</v>
      </c>
    </row>
    <row r="11" spans="1:11" x14ac:dyDescent="0.3">
      <c r="A11" s="214" t="s">
        <v>967</v>
      </c>
      <c r="B11" s="1520">
        <f>SUM(B7:B10)</f>
        <v>8069</v>
      </c>
      <c r="C11" s="1521">
        <f>SUM(C7:C10)</f>
        <v>7964</v>
      </c>
    </row>
    <row r="12" spans="1:11" x14ac:dyDescent="0.3">
      <c r="A12" s="214"/>
      <c r="B12" s="922"/>
      <c r="C12" s="923"/>
    </row>
    <row r="13" spans="1:11" x14ac:dyDescent="0.3">
      <c r="A13" s="214" t="s">
        <v>968</v>
      </c>
      <c r="B13" s="922">
        <v>8362</v>
      </c>
      <c r="C13" s="923">
        <v>8351</v>
      </c>
    </row>
    <row r="14" spans="1:11" x14ac:dyDescent="0.3">
      <c r="A14" s="214" t="s">
        <v>969</v>
      </c>
      <c r="B14" s="922">
        <v>6161</v>
      </c>
      <c r="C14" s="923">
        <v>5898</v>
      </c>
    </row>
    <row r="15" spans="1:11" x14ac:dyDescent="0.3">
      <c r="A15" s="214" t="s">
        <v>348</v>
      </c>
      <c r="B15" s="922">
        <v>1044</v>
      </c>
      <c r="C15" s="923">
        <v>1054</v>
      </c>
    </row>
    <row r="16" spans="1:11" ht="16.2" thickBot="1" x14ac:dyDescent="0.35">
      <c r="A16" s="214"/>
      <c r="B16" s="1514">
        <f>SUM(B11:B15)</f>
        <v>23636</v>
      </c>
      <c r="C16" s="1515">
        <f>SUM(C11:C15)</f>
        <v>23267</v>
      </c>
      <c r="H16" s="211" t="s">
        <v>176</v>
      </c>
    </row>
    <row r="17" spans="1:3" ht="16.2" thickTop="1" x14ac:dyDescent="0.3">
      <c r="A17" s="214"/>
      <c r="B17" s="1517"/>
      <c r="C17" s="1431"/>
    </row>
    <row r="18" spans="1:3" x14ac:dyDescent="0.3">
      <c r="A18" s="238" t="s">
        <v>970</v>
      </c>
      <c r="B18" s="1517"/>
      <c r="C18" s="1431"/>
    </row>
    <row r="19" spans="1:3" x14ac:dyDescent="0.3">
      <c r="A19" s="214" t="s">
        <v>971</v>
      </c>
      <c r="B19" s="1516">
        <v>1143</v>
      </c>
      <c r="C19" s="1430">
        <v>1593</v>
      </c>
    </row>
    <row r="20" spans="1:3" x14ac:dyDescent="0.3">
      <c r="A20" s="214" t="s">
        <v>972</v>
      </c>
      <c r="B20" s="922">
        <v>4685</v>
      </c>
      <c r="C20" s="923">
        <v>4300</v>
      </c>
    </row>
    <row r="21" spans="1:3" x14ac:dyDescent="0.3">
      <c r="A21" s="214" t="s">
        <v>973</v>
      </c>
      <c r="B21" s="1490">
        <f>SUM(B19:B20)</f>
        <v>5828</v>
      </c>
      <c r="C21" s="1491">
        <f>SUM(C19:C20)</f>
        <v>5893</v>
      </c>
    </row>
    <row r="22" spans="1:3" x14ac:dyDescent="0.3">
      <c r="A22" s="214"/>
      <c r="B22" s="922"/>
      <c r="C22" s="923"/>
    </row>
    <row r="23" spans="1:3" x14ac:dyDescent="0.3">
      <c r="A23" s="214" t="s">
        <v>974</v>
      </c>
      <c r="B23" s="922">
        <v>248</v>
      </c>
      <c r="C23" s="923">
        <v>105</v>
      </c>
    </row>
    <row r="24" spans="1:3" x14ac:dyDescent="0.3">
      <c r="A24" s="214" t="s">
        <v>980</v>
      </c>
      <c r="B24" s="922">
        <v>1965</v>
      </c>
      <c r="C24" s="923">
        <v>1890</v>
      </c>
    </row>
    <row r="25" spans="1:3" x14ac:dyDescent="0.3">
      <c r="A25" s="214" t="s">
        <v>95</v>
      </c>
      <c r="B25" s="922">
        <v>15595</v>
      </c>
      <c r="C25" s="923">
        <v>15379</v>
      </c>
    </row>
    <row r="26" spans="1:3" ht="16.2" thickBot="1" x14ac:dyDescent="0.35">
      <c r="A26" s="214"/>
      <c r="B26" s="1514">
        <f>SUM(B21:B25)</f>
        <v>23636</v>
      </c>
      <c r="C26" s="1515">
        <f>SUM(C21:C25)</f>
        <v>23267</v>
      </c>
    </row>
    <row r="27" spans="1:3" ht="9.9" customHeight="1" thickTop="1" thickBot="1" x14ac:dyDescent="0.35">
      <c r="A27" s="224"/>
      <c r="B27" s="1427"/>
      <c r="C27" s="1428"/>
    </row>
    <row r="28" spans="1:3" s="309" customFormat="1" hidden="1" outlineLevel="1" x14ac:dyDescent="0.3">
      <c r="A28" s="309" t="s">
        <v>20</v>
      </c>
      <c r="B28" s="1409">
        <f>B26-B16</f>
        <v>0</v>
      </c>
      <c r="C28" s="1409">
        <f>C26-C16</f>
        <v>0</v>
      </c>
    </row>
    <row r="29" spans="1:3" collapsed="1" x14ac:dyDescent="0.3">
      <c r="A29" s="320" t="s">
        <v>1826</v>
      </c>
    </row>
    <row r="33" spans="1:6" s="1519" customFormat="1" ht="16.2" x14ac:dyDescent="0.35">
      <c r="A33" s="459" t="s">
        <v>1673</v>
      </c>
    </row>
    <row r="34" spans="1:6" s="1519" customFormat="1" ht="16.2" x14ac:dyDescent="0.35">
      <c r="A34" s="499" t="s">
        <v>1825</v>
      </c>
    </row>
    <row r="35" spans="1:6" s="1519" customFormat="1" ht="9" customHeight="1" thickBot="1" x14ac:dyDescent="0.4"/>
    <row r="36" spans="1:6" s="152" customFormat="1" x14ac:dyDescent="0.3">
      <c r="A36" s="212" t="s">
        <v>1250</v>
      </c>
      <c r="B36" s="712">
        <f>B5</f>
        <v>2004</v>
      </c>
      <c r="C36" s="712">
        <f>C5</f>
        <v>2003</v>
      </c>
      <c r="D36" s="713">
        <v>2002</v>
      </c>
    </row>
    <row r="37" spans="1:6" x14ac:dyDescent="0.3">
      <c r="A37" s="214" t="s">
        <v>975</v>
      </c>
      <c r="B37" s="1297">
        <v>44142</v>
      </c>
      <c r="C37" s="1297">
        <v>32106</v>
      </c>
      <c r="D37" s="1473">
        <v>16970</v>
      </c>
    </row>
    <row r="38" spans="1:6" x14ac:dyDescent="0.3">
      <c r="A38" s="214" t="s">
        <v>976</v>
      </c>
      <c r="B38" s="1522">
        <v>41604</v>
      </c>
      <c r="C38" s="1522">
        <v>29885</v>
      </c>
      <c r="D38" s="1523">
        <v>14921</v>
      </c>
    </row>
    <row r="39" spans="1:6" s="320" customFormat="1" x14ac:dyDescent="0.3">
      <c r="A39" s="221" t="s">
        <v>977</v>
      </c>
      <c r="B39" s="1524">
        <v>676</v>
      </c>
      <c r="C39" s="1524">
        <v>605</v>
      </c>
      <c r="D39" s="1525">
        <v>477</v>
      </c>
    </row>
    <row r="40" spans="1:6" x14ac:dyDescent="0.3">
      <c r="A40" s="214" t="s">
        <v>978</v>
      </c>
      <c r="B40" s="1522">
        <v>57</v>
      </c>
      <c r="C40" s="1522">
        <v>64</v>
      </c>
      <c r="D40" s="1523">
        <v>108</v>
      </c>
    </row>
    <row r="41" spans="1:6" x14ac:dyDescent="0.3">
      <c r="A41" s="214" t="s">
        <v>979</v>
      </c>
      <c r="B41" s="1526">
        <f>B37-B38-B40</f>
        <v>2481</v>
      </c>
      <c r="C41" s="1526">
        <f>C37-C38-C40</f>
        <v>2157</v>
      </c>
      <c r="D41" s="1527">
        <f>D37-D38-D40</f>
        <v>1941</v>
      </c>
    </row>
    <row r="42" spans="1:6" x14ac:dyDescent="0.3">
      <c r="A42" s="214" t="s">
        <v>391</v>
      </c>
      <c r="B42" s="1522">
        <v>941</v>
      </c>
      <c r="C42" s="1522">
        <v>813</v>
      </c>
      <c r="D42" s="1523">
        <v>743</v>
      </c>
    </row>
    <row r="43" spans="1:6" ht="16.2" thickBot="1" x14ac:dyDescent="0.35">
      <c r="A43" s="214" t="s">
        <v>99</v>
      </c>
      <c r="B43" s="1276">
        <f>B41-B42</f>
        <v>1540</v>
      </c>
      <c r="C43" s="1276">
        <f>C41-C42</f>
        <v>1344</v>
      </c>
      <c r="D43" s="1475">
        <f>D41-D42</f>
        <v>1198</v>
      </c>
    </row>
    <row r="44" spans="1:6" ht="4.5" customHeight="1" thickTop="1" x14ac:dyDescent="0.3">
      <c r="A44" s="214"/>
      <c r="B44" s="1417"/>
      <c r="C44" s="1417"/>
      <c r="D44" s="1422"/>
    </row>
    <row r="45" spans="1:6" ht="4.5" customHeight="1" x14ac:dyDescent="0.3">
      <c r="A45" s="1155"/>
      <c r="B45" s="1528"/>
      <c r="C45" s="1528"/>
      <c r="D45" s="1529"/>
    </row>
    <row r="46" spans="1:6" ht="4.5" customHeight="1" x14ac:dyDescent="0.3">
      <c r="A46" s="214"/>
      <c r="B46" s="1417"/>
      <c r="C46" s="1417"/>
      <c r="D46" s="1422"/>
    </row>
    <row r="47" spans="1:6" x14ac:dyDescent="0.3">
      <c r="A47" s="221" t="s">
        <v>986</v>
      </c>
      <c r="B47" s="1417"/>
      <c r="C47" s="1417"/>
      <c r="D47" s="1422"/>
      <c r="F47" s="211" t="s">
        <v>176</v>
      </c>
    </row>
    <row r="48" spans="1:6" x14ac:dyDescent="0.3">
      <c r="A48" s="214" t="s">
        <v>981</v>
      </c>
      <c r="B48" s="1297">
        <v>643</v>
      </c>
      <c r="C48" s="1297">
        <v>559</v>
      </c>
      <c r="D48" s="1473">
        <v>516</v>
      </c>
    </row>
    <row r="49" spans="1:4" x14ac:dyDescent="0.3">
      <c r="A49" s="214" t="s">
        <v>982</v>
      </c>
      <c r="B49" s="1522">
        <v>466</v>
      </c>
      <c r="C49" s="1522">
        <v>436</v>
      </c>
      <c r="D49" s="1523">
        <v>424</v>
      </c>
    </row>
    <row r="50" spans="1:4" x14ac:dyDescent="0.3">
      <c r="A50" s="214" t="s">
        <v>987</v>
      </c>
      <c r="B50" s="1522">
        <v>325</v>
      </c>
      <c r="C50" s="1522">
        <v>289</v>
      </c>
      <c r="D50" s="1523">
        <v>229</v>
      </c>
    </row>
    <row r="51" spans="1:4" x14ac:dyDescent="0.3">
      <c r="A51" s="214" t="s">
        <v>983</v>
      </c>
      <c r="B51" s="1522">
        <v>215</v>
      </c>
      <c r="C51" s="1522">
        <v>224</v>
      </c>
      <c r="D51" s="1523">
        <v>219</v>
      </c>
    </row>
    <row r="52" spans="1:4" x14ac:dyDescent="0.3">
      <c r="A52" s="214" t="s">
        <v>984</v>
      </c>
      <c r="B52" s="1522">
        <v>191</v>
      </c>
      <c r="C52" s="1522">
        <v>72</v>
      </c>
      <c r="D52" s="1523">
        <v>225</v>
      </c>
    </row>
    <row r="53" spans="1:4" ht="18.600000000000001" x14ac:dyDescent="0.3">
      <c r="A53" s="214" t="s">
        <v>1824</v>
      </c>
      <c r="B53" s="1522">
        <v>228</v>
      </c>
      <c r="C53" s="1522">
        <v>150</v>
      </c>
      <c r="D53" s="2472"/>
    </row>
    <row r="54" spans="1:4" x14ac:dyDescent="0.3">
      <c r="A54" s="214" t="s">
        <v>985</v>
      </c>
      <c r="B54" s="1522">
        <v>413</v>
      </c>
      <c r="C54" s="1522">
        <v>427</v>
      </c>
      <c r="D54" s="1523">
        <v>328</v>
      </c>
    </row>
    <row r="55" spans="1:4" ht="16.2" thickBot="1" x14ac:dyDescent="0.35">
      <c r="A55" s="214"/>
      <c r="B55" s="1276">
        <f>SUM(B48:B54)</f>
        <v>2481</v>
      </c>
      <c r="C55" s="1276">
        <f>SUM(C48:C54)</f>
        <v>2157</v>
      </c>
      <c r="D55" s="1475">
        <f>SUM(D48:D54)</f>
        <v>1941</v>
      </c>
    </row>
    <row r="56" spans="1:4" ht="4.5" customHeight="1" thickTop="1" x14ac:dyDescent="0.3">
      <c r="A56" s="214"/>
      <c r="B56" s="1417"/>
      <c r="C56" s="1417"/>
      <c r="D56" s="1422"/>
    </row>
    <row r="57" spans="1:4" ht="4.5" customHeight="1" x14ac:dyDescent="0.3">
      <c r="A57" s="1155"/>
      <c r="B57" s="1528"/>
      <c r="C57" s="1528"/>
      <c r="D57" s="1529"/>
    </row>
    <row r="58" spans="1:4" ht="4.5" customHeight="1" x14ac:dyDescent="0.3">
      <c r="A58" s="214"/>
      <c r="B58" s="1417"/>
      <c r="C58" s="1417"/>
      <c r="D58" s="1422"/>
    </row>
    <row r="59" spans="1:4" x14ac:dyDescent="0.3">
      <c r="A59" s="6" t="s">
        <v>1405</v>
      </c>
      <c r="B59" s="205"/>
      <c r="C59" s="205"/>
      <c r="D59" s="8"/>
    </row>
    <row r="60" spans="1:4" ht="16.2" thickBot="1" x14ac:dyDescent="0.35">
      <c r="A60" s="9" t="s">
        <v>1827</v>
      </c>
      <c r="B60" s="25"/>
      <c r="C60" s="25"/>
      <c r="D60" s="26"/>
    </row>
    <row r="61" spans="1:4" x14ac:dyDescent="0.3">
      <c r="A61" s="320" t="s">
        <v>1826</v>
      </c>
      <c r="B61" s="1"/>
      <c r="C61" s="1"/>
      <c r="D61" s="1"/>
    </row>
    <row r="65" spans="1:9" s="1519" customFormat="1" ht="16.2" x14ac:dyDescent="0.35">
      <c r="A65" s="459" t="s">
        <v>1673</v>
      </c>
    </row>
    <row r="66" spans="1:9" s="1519" customFormat="1" ht="16.2" x14ac:dyDescent="0.35">
      <c r="A66" s="499" t="s">
        <v>1828</v>
      </c>
    </row>
    <row r="67" spans="1:9" ht="9" customHeight="1" thickBot="1" x14ac:dyDescent="0.35"/>
    <row r="68" spans="1:9" s="152" customFormat="1" x14ac:dyDescent="0.3">
      <c r="A68" s="212"/>
      <c r="B68" s="712">
        <f>B36</f>
        <v>2004</v>
      </c>
      <c r="C68" s="712">
        <f t="shared" ref="C68:D68" si="0">C36</f>
        <v>2003</v>
      </c>
      <c r="D68" s="713">
        <f t="shared" si="0"/>
        <v>2002</v>
      </c>
    </row>
    <row r="69" spans="1:9" x14ac:dyDescent="0.3">
      <c r="A69" s="214" t="s">
        <v>988</v>
      </c>
      <c r="B69" s="464">
        <f>B43/AVERAGE(B25:C25)</f>
        <v>9.943823852263188E-2</v>
      </c>
      <c r="C69" s="684"/>
      <c r="D69" s="1279"/>
    </row>
    <row r="70" spans="1:9" x14ac:dyDescent="0.3">
      <c r="A70" s="214" t="s">
        <v>989</v>
      </c>
      <c r="B70" s="464">
        <f>B43/((AVERAGE((B25-B13),(C25-C13))))</f>
        <v>0.21597363438749037</v>
      </c>
      <c r="C70" s="684"/>
      <c r="D70" s="1279"/>
    </row>
    <row r="71" spans="1:9" ht="4.5" customHeight="1" x14ac:dyDescent="0.3">
      <c r="A71" s="214"/>
      <c r="B71" s="1417"/>
      <c r="C71" s="1417"/>
      <c r="D71" s="1422"/>
    </row>
    <row r="72" spans="1:9" ht="4.5" customHeight="1" x14ac:dyDescent="0.3">
      <c r="A72" s="1155"/>
      <c r="B72" s="1528"/>
      <c r="C72" s="1528"/>
      <c r="D72" s="1529"/>
    </row>
    <row r="73" spans="1:9" ht="4.5" customHeight="1" x14ac:dyDescent="0.3">
      <c r="A73" s="214"/>
      <c r="B73" s="1417"/>
      <c r="C73" s="1417"/>
      <c r="D73" s="1422"/>
    </row>
    <row r="74" spans="1:9" x14ac:dyDescent="0.3">
      <c r="A74" s="214" t="s">
        <v>1829</v>
      </c>
      <c r="B74" s="464">
        <f>B19/B25</f>
        <v>7.3292722026290474E-2</v>
      </c>
      <c r="C74" s="464">
        <f>C19/C25</f>
        <v>0.10358280772481956</v>
      </c>
      <c r="D74" s="1279"/>
      <c r="I74" s="211" t="s">
        <v>176</v>
      </c>
    </row>
    <row r="75" spans="1:9" ht="16.2" thickBot="1" x14ac:dyDescent="0.35">
      <c r="A75" s="224" t="s">
        <v>1830</v>
      </c>
      <c r="B75" s="1108">
        <f>B16/B25</f>
        <v>1.5156139788393717</v>
      </c>
      <c r="C75" s="1108">
        <f>C16/C25</f>
        <v>1.5129072111320632</v>
      </c>
      <c r="D75" s="1939"/>
      <c r="G75" s="211" t="s">
        <v>176</v>
      </c>
    </row>
    <row r="76" spans="1:9" x14ac:dyDescent="0.3">
      <c r="A76" s="2809" t="s">
        <v>1956</v>
      </c>
      <c r="B76" s="2809"/>
      <c r="C76" s="2809"/>
      <c r="D76" s="2809"/>
    </row>
    <row r="77" spans="1:9" x14ac:dyDescent="0.3">
      <c r="A77" s="2810"/>
      <c r="B77" s="2810"/>
      <c r="C77" s="2810"/>
      <c r="D77" s="2810"/>
    </row>
    <row r="81" spans="1:2" x14ac:dyDescent="0.3">
      <c r="A81" s="211" t="s">
        <v>934</v>
      </c>
      <c r="B81" s="226">
        <f>B19/B25</f>
        <v>7.3292722026290474E-2</v>
      </c>
    </row>
  </sheetData>
  <mergeCells count="1">
    <mergeCell ref="A76:D77"/>
  </mergeCells>
  <pageMargins left="0.7" right="0.7" top="0.75" bottom="0.75" header="0.3" footer="0.3"/>
  <ignoredErrors>
    <ignoredError sqref="B11:C11" formulaRange="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0C12-6198-45E5-A042-228E3833AF5B}">
  <sheetPr codeName="Sheet58">
    <tabColor theme="9" tint="0.59999389629810485"/>
  </sheetPr>
  <dimension ref="A1:L31"/>
  <sheetViews>
    <sheetView zoomScaleNormal="100" workbookViewId="0">
      <selection activeCell="W18" sqref="W18"/>
    </sheetView>
  </sheetViews>
  <sheetFormatPr defaultColWidth="8.6640625" defaultRowHeight="13.8" x14ac:dyDescent="0.25"/>
  <cols>
    <col min="1" max="1" width="8.6640625" style="1"/>
    <col min="2" max="2" width="10.44140625" style="1" bestFit="1" customWidth="1"/>
    <col min="3" max="3" width="10.44140625" style="1" customWidth="1"/>
    <col min="4" max="4" width="3.88671875" style="1" customWidth="1"/>
    <col min="5" max="5" width="8.6640625" style="1"/>
    <col min="6" max="6" width="8" style="1" customWidth="1"/>
    <col min="7" max="8" width="8.6640625" style="1"/>
    <col min="9" max="9" width="12.33203125" style="1" customWidth="1"/>
    <col min="10" max="10" width="2" style="1" customWidth="1"/>
    <col min="11" max="11" width="9.6640625" style="1" bestFit="1" customWidth="1"/>
    <col min="12" max="16384" width="8.6640625" style="1"/>
  </cols>
  <sheetData>
    <row r="1" spans="1:12" x14ac:dyDescent="0.25">
      <c r="A1" s="1" t="s">
        <v>914</v>
      </c>
    </row>
    <row r="3" spans="1:12" x14ac:dyDescent="0.25">
      <c r="A3" s="1" t="s">
        <v>915</v>
      </c>
    </row>
    <row r="5" spans="1:12" ht="14.4" thickBot="1" x14ac:dyDescent="0.3"/>
    <row r="6" spans="1:12" ht="41.4" x14ac:dyDescent="0.25">
      <c r="A6" s="154" t="s">
        <v>156</v>
      </c>
      <c r="B6" s="27" t="s">
        <v>95</v>
      </c>
      <c r="C6" s="87" t="s">
        <v>918</v>
      </c>
      <c r="D6" s="11"/>
      <c r="E6" s="27" t="s">
        <v>916</v>
      </c>
      <c r="F6" s="161" t="s">
        <v>922</v>
      </c>
      <c r="G6" s="161" t="s">
        <v>919</v>
      </c>
      <c r="H6" s="86" t="s">
        <v>920</v>
      </c>
      <c r="I6" s="161" t="s">
        <v>921</v>
      </c>
      <c r="J6" s="86"/>
      <c r="K6" s="86" t="s">
        <v>917</v>
      </c>
      <c r="L6" s="63"/>
    </row>
    <row r="7" spans="1:12" x14ac:dyDescent="0.25">
      <c r="A7" s="1">
        <v>0</v>
      </c>
      <c r="B7" s="162">
        <v>7000</v>
      </c>
      <c r="C7" s="168">
        <v>0.1</v>
      </c>
      <c r="D7" s="69"/>
      <c r="E7" s="162">
        <v>7000</v>
      </c>
      <c r="F7" s="163">
        <v>0</v>
      </c>
      <c r="G7" s="69">
        <f>C7</f>
        <v>0.1</v>
      </c>
      <c r="H7" s="13"/>
      <c r="I7" s="13">
        <f>H7</f>
        <v>0</v>
      </c>
      <c r="J7" s="13"/>
      <c r="K7" s="172">
        <v>0</v>
      </c>
      <c r="L7" s="139">
        <f t="shared" ref="L7:L17" si="0">E7*-K7</f>
        <v>0</v>
      </c>
    </row>
    <row r="8" spans="1:12" x14ac:dyDescent="0.25">
      <c r="A8" s="1">
        <v>1</v>
      </c>
      <c r="B8" s="162">
        <f>B7*(1+C7)</f>
        <v>7700.0000000000009</v>
      </c>
      <c r="C8" s="70">
        <f>C7</f>
        <v>0.1</v>
      </c>
      <c r="D8" s="69"/>
      <c r="E8" s="162">
        <f t="shared" ref="E8:E17" si="1">E7*(1+F7)</f>
        <v>7000</v>
      </c>
      <c r="F8" s="5">
        <f>F7</f>
        <v>0</v>
      </c>
      <c r="G8" s="69">
        <f>C8</f>
        <v>0.1</v>
      </c>
      <c r="H8" s="13">
        <f t="shared" ref="H8:H17" si="2">E8*G8</f>
        <v>700</v>
      </c>
      <c r="I8" s="13">
        <f>H8+(I7*(1+G8))</f>
        <v>700</v>
      </c>
      <c r="J8" s="13"/>
      <c r="K8" s="136">
        <f>K7</f>
        <v>0</v>
      </c>
      <c r="L8" s="139">
        <f t="shared" si="0"/>
        <v>0</v>
      </c>
    </row>
    <row r="9" spans="1:12" x14ac:dyDescent="0.25">
      <c r="A9" s="1">
        <v>2</v>
      </c>
      <c r="B9" s="162">
        <f t="shared" ref="B9:B17" si="3">B8*(1+C8)</f>
        <v>8470.0000000000018</v>
      </c>
      <c r="C9" s="70">
        <f t="shared" ref="C9:C17" si="4">C8</f>
        <v>0.1</v>
      </c>
      <c r="D9" s="69"/>
      <c r="E9" s="162">
        <f t="shared" si="1"/>
        <v>7000</v>
      </c>
      <c r="F9" s="5">
        <f t="shared" ref="F9:F17" si="5">F8</f>
        <v>0</v>
      </c>
      <c r="G9" s="69">
        <f t="shared" ref="G9:G17" si="6">C9</f>
        <v>0.1</v>
      </c>
      <c r="H9" s="13">
        <f t="shared" si="2"/>
        <v>700</v>
      </c>
      <c r="I9" s="13">
        <f t="shared" ref="I9:I16" si="7">H9+(I8*(1+G9))</f>
        <v>1470</v>
      </c>
      <c r="J9" s="13"/>
      <c r="K9" s="136">
        <f t="shared" ref="K9:K17" si="8">K8</f>
        <v>0</v>
      </c>
      <c r="L9" s="139">
        <f t="shared" si="0"/>
        <v>0</v>
      </c>
    </row>
    <row r="10" spans="1:12" x14ac:dyDescent="0.25">
      <c r="A10" s="1">
        <v>3</v>
      </c>
      <c r="B10" s="162">
        <f t="shared" si="3"/>
        <v>9317.0000000000036</v>
      </c>
      <c r="C10" s="70">
        <f t="shared" si="4"/>
        <v>0.1</v>
      </c>
      <c r="D10" s="69"/>
      <c r="E10" s="162">
        <f t="shared" si="1"/>
        <v>7000</v>
      </c>
      <c r="F10" s="5">
        <f t="shared" si="5"/>
        <v>0</v>
      </c>
      <c r="G10" s="69">
        <f t="shared" si="6"/>
        <v>0.1</v>
      </c>
      <c r="H10" s="13">
        <f t="shared" si="2"/>
        <v>700</v>
      </c>
      <c r="I10" s="13">
        <f t="shared" si="7"/>
        <v>2317</v>
      </c>
      <c r="J10" s="13"/>
      <c r="K10" s="136">
        <f t="shared" si="8"/>
        <v>0</v>
      </c>
      <c r="L10" s="139">
        <f t="shared" si="0"/>
        <v>0</v>
      </c>
    </row>
    <row r="11" spans="1:12" x14ac:dyDescent="0.25">
      <c r="A11" s="1">
        <v>4</v>
      </c>
      <c r="B11" s="162">
        <f t="shared" si="3"/>
        <v>10248.700000000004</v>
      </c>
      <c r="C11" s="70">
        <f t="shared" si="4"/>
        <v>0.1</v>
      </c>
      <c r="D11" s="69"/>
      <c r="E11" s="162">
        <f t="shared" si="1"/>
        <v>7000</v>
      </c>
      <c r="F11" s="5">
        <f t="shared" si="5"/>
        <v>0</v>
      </c>
      <c r="G11" s="69">
        <f t="shared" si="6"/>
        <v>0.1</v>
      </c>
      <c r="H11" s="13">
        <f t="shared" si="2"/>
        <v>700</v>
      </c>
      <c r="I11" s="13">
        <f t="shared" si="7"/>
        <v>3248.7000000000003</v>
      </c>
      <c r="J11" s="13"/>
      <c r="K11" s="136">
        <f t="shared" si="8"/>
        <v>0</v>
      </c>
      <c r="L11" s="139">
        <f t="shared" si="0"/>
        <v>0</v>
      </c>
    </row>
    <row r="12" spans="1:12" x14ac:dyDescent="0.25">
      <c r="A12" s="1">
        <v>5</v>
      </c>
      <c r="B12" s="162">
        <f t="shared" si="3"/>
        <v>11273.570000000005</v>
      </c>
      <c r="C12" s="70">
        <f t="shared" si="4"/>
        <v>0.1</v>
      </c>
      <c r="D12" s="69"/>
      <c r="E12" s="162">
        <f t="shared" si="1"/>
        <v>7000</v>
      </c>
      <c r="F12" s="5">
        <f t="shared" si="5"/>
        <v>0</v>
      </c>
      <c r="G12" s="69">
        <f t="shared" si="6"/>
        <v>0.1</v>
      </c>
      <c r="H12" s="13">
        <f t="shared" si="2"/>
        <v>700</v>
      </c>
      <c r="I12" s="13">
        <f t="shared" si="7"/>
        <v>4273.5700000000006</v>
      </c>
      <c r="J12" s="13"/>
      <c r="K12" s="136">
        <f t="shared" si="8"/>
        <v>0</v>
      </c>
      <c r="L12" s="139">
        <f t="shared" si="0"/>
        <v>0</v>
      </c>
    </row>
    <row r="13" spans="1:12" x14ac:dyDescent="0.25">
      <c r="A13" s="1">
        <v>6</v>
      </c>
      <c r="B13" s="162">
        <f t="shared" si="3"/>
        <v>12400.927000000007</v>
      </c>
      <c r="C13" s="70">
        <f t="shared" si="4"/>
        <v>0.1</v>
      </c>
      <c r="D13" s="69"/>
      <c r="E13" s="162">
        <f t="shared" si="1"/>
        <v>7000</v>
      </c>
      <c r="F13" s="5">
        <f t="shared" si="5"/>
        <v>0</v>
      </c>
      <c r="G13" s="69">
        <f t="shared" si="6"/>
        <v>0.1</v>
      </c>
      <c r="H13" s="13">
        <f t="shared" si="2"/>
        <v>700</v>
      </c>
      <c r="I13" s="13">
        <f t="shared" si="7"/>
        <v>5400.9270000000015</v>
      </c>
      <c r="J13" s="13"/>
      <c r="K13" s="136">
        <f t="shared" si="8"/>
        <v>0</v>
      </c>
      <c r="L13" s="139">
        <f t="shared" si="0"/>
        <v>0</v>
      </c>
    </row>
    <row r="14" spans="1:12" x14ac:dyDescent="0.25">
      <c r="A14" s="1">
        <v>7</v>
      </c>
      <c r="B14" s="162">
        <f t="shared" si="3"/>
        <v>13641.019700000008</v>
      </c>
      <c r="C14" s="70">
        <f t="shared" si="4"/>
        <v>0.1</v>
      </c>
      <c r="D14" s="69"/>
      <c r="E14" s="162">
        <f t="shared" si="1"/>
        <v>7000</v>
      </c>
      <c r="F14" s="5">
        <f t="shared" si="5"/>
        <v>0</v>
      </c>
      <c r="G14" s="69">
        <f t="shared" si="6"/>
        <v>0.1</v>
      </c>
      <c r="H14" s="13">
        <f t="shared" si="2"/>
        <v>700</v>
      </c>
      <c r="I14" s="13">
        <f>H14+(I13*(1+G14))</f>
        <v>6641.0197000000026</v>
      </c>
      <c r="J14" s="13"/>
      <c r="K14" s="136">
        <f t="shared" si="8"/>
        <v>0</v>
      </c>
      <c r="L14" s="139">
        <f t="shared" si="0"/>
        <v>0</v>
      </c>
    </row>
    <row r="15" spans="1:12" x14ac:dyDescent="0.25">
      <c r="A15" s="1">
        <v>8</v>
      </c>
      <c r="B15" s="162">
        <f t="shared" si="3"/>
        <v>15005.12167000001</v>
      </c>
      <c r="C15" s="70">
        <f t="shared" si="4"/>
        <v>0.1</v>
      </c>
      <c r="D15" s="69"/>
      <c r="E15" s="162">
        <f t="shared" si="1"/>
        <v>7000</v>
      </c>
      <c r="F15" s="5">
        <f t="shared" si="5"/>
        <v>0</v>
      </c>
      <c r="G15" s="69">
        <f t="shared" si="6"/>
        <v>0.1</v>
      </c>
      <c r="H15" s="13">
        <f t="shared" si="2"/>
        <v>700</v>
      </c>
      <c r="I15" s="13">
        <f t="shared" si="7"/>
        <v>8005.1216700000032</v>
      </c>
      <c r="J15" s="13"/>
      <c r="K15" s="136">
        <f t="shared" si="8"/>
        <v>0</v>
      </c>
      <c r="L15" s="139">
        <f t="shared" si="0"/>
        <v>0</v>
      </c>
    </row>
    <row r="16" spans="1:12" x14ac:dyDescent="0.25">
      <c r="A16" s="1">
        <v>9</v>
      </c>
      <c r="B16" s="162">
        <f t="shared" si="3"/>
        <v>16505.633837000012</v>
      </c>
      <c r="C16" s="70">
        <f t="shared" si="4"/>
        <v>0.1</v>
      </c>
      <c r="D16" s="69"/>
      <c r="E16" s="162">
        <f t="shared" si="1"/>
        <v>7000</v>
      </c>
      <c r="F16" s="5">
        <f t="shared" si="5"/>
        <v>0</v>
      </c>
      <c r="G16" s="69">
        <f t="shared" si="6"/>
        <v>0.1</v>
      </c>
      <c r="H16" s="13">
        <f t="shared" si="2"/>
        <v>700</v>
      </c>
      <c r="I16" s="13">
        <f t="shared" si="7"/>
        <v>9505.6338370000049</v>
      </c>
      <c r="J16" s="13"/>
      <c r="K16" s="136">
        <f t="shared" si="8"/>
        <v>0</v>
      </c>
      <c r="L16" s="139">
        <f t="shared" si="0"/>
        <v>0</v>
      </c>
    </row>
    <row r="17" spans="1:12" x14ac:dyDescent="0.25">
      <c r="A17" s="73">
        <v>10</v>
      </c>
      <c r="B17" s="169">
        <f t="shared" si="3"/>
        <v>18156.197220700014</v>
      </c>
      <c r="C17" s="170">
        <f t="shared" si="4"/>
        <v>0.1</v>
      </c>
      <c r="D17" s="155"/>
      <c r="E17" s="164">
        <f t="shared" si="1"/>
        <v>7000</v>
      </c>
      <c r="F17" s="156">
        <f t="shared" si="5"/>
        <v>0</v>
      </c>
      <c r="G17" s="69">
        <f t="shared" si="6"/>
        <v>0.1</v>
      </c>
      <c r="H17" s="13">
        <f t="shared" si="2"/>
        <v>700</v>
      </c>
      <c r="I17" s="13">
        <f>H17+(I16*(1+G17))</f>
        <v>11156.197220700005</v>
      </c>
      <c r="J17" s="13"/>
      <c r="K17" s="173">
        <f t="shared" si="8"/>
        <v>0</v>
      </c>
      <c r="L17" s="165">
        <f t="shared" si="0"/>
        <v>0</v>
      </c>
    </row>
    <row r="18" spans="1:12" ht="14.4" thickBot="1" x14ac:dyDescent="0.3">
      <c r="B18" s="9"/>
      <c r="C18" s="171"/>
      <c r="D18" s="13"/>
      <c r="E18" s="166"/>
      <c r="F18" s="103"/>
      <c r="G18" s="103"/>
      <c r="H18" s="103"/>
      <c r="I18" s="103"/>
      <c r="J18" s="103"/>
      <c r="K18" s="25"/>
      <c r="L18" s="167">
        <f>SUM(L7:L17)</f>
        <v>0</v>
      </c>
    </row>
    <row r="19" spans="1:12" ht="14.4" thickBot="1" x14ac:dyDescent="0.3">
      <c r="C19" s="13"/>
      <c r="D19" s="13"/>
      <c r="E19" s="13"/>
      <c r="F19" s="13"/>
      <c r="G19" s="13"/>
      <c r="H19" s="13"/>
      <c r="I19" s="13"/>
      <c r="J19" s="13"/>
      <c r="L19" s="14"/>
    </row>
    <row r="20" spans="1:12" ht="14.4" thickBot="1" x14ac:dyDescent="0.3">
      <c r="B20" s="157">
        <f>B17-B7</f>
        <v>11156.197220700014</v>
      </c>
      <c r="C20" s="158" t="s">
        <v>923</v>
      </c>
      <c r="D20" s="158"/>
      <c r="E20" s="158"/>
      <c r="F20" s="159"/>
      <c r="G20" s="160" t="s">
        <v>925</v>
      </c>
      <c r="I20" s="14">
        <f>I17+L18</f>
        <v>11156.197220700005</v>
      </c>
      <c r="K20" s="5">
        <f>I20/B20-1</f>
        <v>0</v>
      </c>
      <c r="L20" s="5">
        <f>(1+K20)^(1/10)-1</f>
        <v>0</v>
      </c>
    </row>
    <row r="21" spans="1:12" x14ac:dyDescent="0.25">
      <c r="K21" s="160" t="s">
        <v>926</v>
      </c>
      <c r="L21" s="160" t="s">
        <v>924</v>
      </c>
    </row>
    <row r="30" spans="1:12" x14ac:dyDescent="0.25">
      <c r="G30" s="91"/>
      <c r="H30" s="136"/>
      <c r="I30" s="69"/>
    </row>
    <row r="31" spans="1:12" x14ac:dyDescent="0.25">
      <c r="G31" s="91"/>
      <c r="H31" s="136"/>
      <c r="I31" s="69"/>
    </row>
  </sheetData>
  <pageMargins left="0.7" right="0.7" top="0.75" bottom="0.75" header="0.3" footer="0.3"/>
  <pageSetup orientation="portrait" r:id="rId1"/>
  <ignoredErrors>
    <ignoredError sqref="C8:C17" formula="1"/>
  </ignoredError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2A050-2C6C-42FE-AE27-9432146BEFDE}">
  <sheetPr codeName="Sheet61">
    <tabColor theme="9" tint="0.59999389629810485"/>
  </sheetPr>
  <dimension ref="A1:K81"/>
  <sheetViews>
    <sheetView showGridLines="0" zoomScale="85" zoomScaleNormal="85" workbookViewId="0">
      <selection activeCell="P26" sqref="P26"/>
    </sheetView>
  </sheetViews>
  <sheetFormatPr defaultColWidth="8.6640625" defaultRowHeight="15.6" outlineLevelRow="1" x14ac:dyDescent="0.3"/>
  <cols>
    <col min="1" max="1" width="46.33203125" style="211" customWidth="1"/>
    <col min="2" max="8" width="9.33203125" style="211" customWidth="1"/>
    <col min="9" max="16384" width="8.6640625" style="211"/>
  </cols>
  <sheetData>
    <row r="1" spans="1:8" s="309" customFormat="1" outlineLevel="1" x14ac:dyDescent="0.3">
      <c r="A1" s="309" t="s">
        <v>556</v>
      </c>
      <c r="B1" s="309">
        <v>2000</v>
      </c>
      <c r="C1" s="309">
        <v>2000</v>
      </c>
      <c r="D1" s="309">
        <v>1998</v>
      </c>
      <c r="E1" s="309">
        <v>1997</v>
      </c>
      <c r="F1" s="309">
        <v>1996</v>
      </c>
      <c r="G1" s="309">
        <v>1995</v>
      </c>
      <c r="H1" s="309">
        <v>1994</v>
      </c>
    </row>
    <row r="3" spans="1:8" x14ac:dyDescent="0.3">
      <c r="A3" s="459" t="s">
        <v>1673</v>
      </c>
    </row>
    <row r="4" spans="1:8" x14ac:dyDescent="0.3">
      <c r="A4" s="152" t="s">
        <v>1831</v>
      </c>
    </row>
    <row r="5" spans="1:8" ht="9" customHeight="1" thickBot="1" x14ac:dyDescent="0.35">
      <c r="A5" s="152"/>
    </row>
    <row r="6" spans="1:8" x14ac:dyDescent="0.3">
      <c r="A6" s="212" t="s">
        <v>1250</v>
      </c>
      <c r="B6" s="712">
        <v>2000</v>
      </c>
      <c r="C6" s="712">
        <v>1999</v>
      </c>
      <c r="D6" s="712">
        <v>1998</v>
      </c>
      <c r="E6" s="712">
        <v>1997</v>
      </c>
      <c r="F6" s="712">
        <v>1996</v>
      </c>
      <c r="G6" s="712">
        <v>1995</v>
      </c>
      <c r="H6" s="713">
        <v>1994</v>
      </c>
    </row>
    <row r="7" spans="1:8" x14ac:dyDescent="0.3">
      <c r="A7" s="214" t="s">
        <v>515</v>
      </c>
      <c r="H7" s="223"/>
    </row>
    <row r="8" spans="1:8" x14ac:dyDescent="0.3">
      <c r="A8" s="214" t="s">
        <v>517</v>
      </c>
      <c r="B8" s="746">
        <v>341</v>
      </c>
      <c r="C8" s="746">
        <v>623</v>
      </c>
      <c r="D8" s="746">
        <v>907</v>
      </c>
      <c r="E8" s="746">
        <v>56.1</v>
      </c>
      <c r="F8" s="746">
        <v>10.5</v>
      </c>
      <c r="G8" s="746">
        <v>40.700000000000003</v>
      </c>
      <c r="H8" s="1473">
        <v>16</v>
      </c>
    </row>
    <row r="9" spans="1:8" x14ac:dyDescent="0.3">
      <c r="A9" s="1118" t="s">
        <v>875</v>
      </c>
      <c r="B9" s="1223"/>
      <c r="C9" s="1223"/>
      <c r="D9" s="1223"/>
      <c r="E9" s="1223">
        <v>970.9</v>
      </c>
      <c r="F9" s="1223">
        <v>742.4</v>
      </c>
      <c r="G9" s="1223">
        <v>529.4</v>
      </c>
      <c r="H9" s="923">
        <v>538.9</v>
      </c>
    </row>
    <row r="10" spans="1:8" x14ac:dyDescent="0.3">
      <c r="A10" s="1118" t="s">
        <v>870</v>
      </c>
      <c r="B10" s="1223">
        <v>1826</v>
      </c>
      <c r="C10" s="1223">
        <v>2002</v>
      </c>
      <c r="D10" s="1223">
        <v>1227</v>
      </c>
      <c r="E10" s="2412"/>
      <c r="F10" s="2412"/>
      <c r="G10" s="2412"/>
      <c r="H10" s="1553"/>
    </row>
    <row r="11" spans="1:8" x14ac:dyDescent="0.3">
      <c r="A11" s="1118" t="s">
        <v>871</v>
      </c>
      <c r="B11" s="1223">
        <v>5327</v>
      </c>
      <c r="C11" s="1223">
        <v>11277</v>
      </c>
      <c r="D11" s="1223">
        <v>5219</v>
      </c>
      <c r="E11" s="2412"/>
      <c r="F11" s="2412"/>
      <c r="G11" s="2412"/>
      <c r="H11" s="1553"/>
    </row>
    <row r="12" spans="1:8" x14ac:dyDescent="0.3">
      <c r="A12" s="1118" t="s">
        <v>872</v>
      </c>
      <c r="B12" s="1223">
        <v>880</v>
      </c>
      <c r="C12" s="1223">
        <v>999</v>
      </c>
      <c r="D12" s="1223">
        <v>743</v>
      </c>
      <c r="E12" s="2412"/>
      <c r="F12" s="2412"/>
      <c r="G12" s="2412"/>
      <c r="H12" s="1553"/>
    </row>
    <row r="13" spans="1:8" x14ac:dyDescent="0.3">
      <c r="A13" s="1118" t="s">
        <v>873</v>
      </c>
      <c r="B13" s="1223">
        <v>5429</v>
      </c>
      <c r="C13" s="1223">
        <v>5881</v>
      </c>
      <c r="D13" s="1223">
        <v>6234</v>
      </c>
      <c r="E13" s="2412"/>
      <c r="F13" s="2412"/>
      <c r="G13" s="2412"/>
      <c r="H13" s="1553"/>
    </row>
    <row r="14" spans="1:8" x14ac:dyDescent="0.3">
      <c r="A14" s="1118" t="s">
        <v>874</v>
      </c>
      <c r="B14" s="1223">
        <v>680</v>
      </c>
      <c r="C14" s="1223">
        <v>1171</v>
      </c>
      <c r="D14" s="1223">
        <v>1083</v>
      </c>
      <c r="E14" s="2412"/>
      <c r="F14" s="2412"/>
      <c r="G14" s="2412"/>
      <c r="H14" s="1553"/>
    </row>
    <row r="15" spans="1:8" x14ac:dyDescent="0.3">
      <c r="A15" s="214" t="s">
        <v>578</v>
      </c>
      <c r="B15" s="1223">
        <v>0</v>
      </c>
      <c r="C15" s="1223">
        <v>0</v>
      </c>
      <c r="D15" s="1223">
        <v>0</v>
      </c>
      <c r="E15" s="1223">
        <v>226.2</v>
      </c>
      <c r="F15" s="1223">
        <v>228.4</v>
      </c>
      <c r="G15" s="1223">
        <v>195.7</v>
      </c>
      <c r="H15" s="923">
        <v>173.2</v>
      </c>
    </row>
    <row r="16" spans="1:8" x14ac:dyDescent="0.3">
      <c r="A16" s="214" t="s">
        <v>579</v>
      </c>
      <c r="B16" s="1223">
        <v>0</v>
      </c>
      <c r="C16" s="1223">
        <v>0</v>
      </c>
      <c r="D16" s="1223">
        <v>0</v>
      </c>
      <c r="E16" s="1223">
        <v>17.8</v>
      </c>
      <c r="F16" s="1223">
        <v>22.5</v>
      </c>
      <c r="G16" s="1223">
        <v>14.2</v>
      </c>
      <c r="H16" s="923">
        <v>6.2</v>
      </c>
    </row>
    <row r="17" spans="1:8" x14ac:dyDescent="0.3">
      <c r="A17" s="214" t="s">
        <v>15</v>
      </c>
      <c r="B17" s="1223">
        <v>2346</v>
      </c>
      <c r="C17" s="1223">
        <v>2276</v>
      </c>
      <c r="D17" s="1223">
        <v>1576</v>
      </c>
      <c r="E17" s="1223">
        <v>0</v>
      </c>
      <c r="F17" s="1223">
        <v>0.1</v>
      </c>
      <c r="G17" s="1223">
        <v>0.7</v>
      </c>
      <c r="H17" s="923">
        <v>1.5</v>
      </c>
    </row>
    <row r="18" spans="1:8" ht="16.2" thickBot="1" x14ac:dyDescent="0.35">
      <c r="A18" s="214"/>
      <c r="B18" s="1276">
        <f t="shared" ref="B18:H18" si="0">SUM(B8:B17)</f>
        <v>16829</v>
      </c>
      <c r="C18" s="1276">
        <f t="shared" si="0"/>
        <v>24229</v>
      </c>
      <c r="D18" s="1276">
        <f t="shared" si="0"/>
        <v>16989</v>
      </c>
      <c r="E18" s="1276">
        <f t="shared" si="0"/>
        <v>1271</v>
      </c>
      <c r="F18" s="1276">
        <f t="shared" si="0"/>
        <v>1003.9</v>
      </c>
      <c r="G18" s="1276">
        <f t="shared" si="0"/>
        <v>780.7</v>
      </c>
      <c r="H18" s="1475">
        <f t="shared" si="0"/>
        <v>735.8</v>
      </c>
    </row>
    <row r="19" spans="1:8" ht="16.2" thickTop="1" x14ac:dyDescent="0.3">
      <c r="A19" s="214"/>
      <c r="B19" s="1487"/>
      <c r="C19" s="1487"/>
      <c r="D19" s="1487"/>
      <c r="E19" s="1487"/>
      <c r="F19" s="1487"/>
      <c r="G19" s="1487"/>
      <c r="H19" s="1474"/>
    </row>
    <row r="20" spans="1:8" x14ac:dyDescent="0.3">
      <c r="A20" s="214" t="s">
        <v>519</v>
      </c>
      <c r="B20" s="1487"/>
      <c r="C20" s="1487"/>
      <c r="D20" s="1487"/>
      <c r="E20" s="1487"/>
      <c r="F20" s="1487"/>
      <c r="G20" s="1487"/>
      <c r="H20" s="1474"/>
    </row>
    <row r="21" spans="1:8" x14ac:dyDescent="0.3">
      <c r="A21" s="214" t="s">
        <v>876</v>
      </c>
      <c r="B21" s="1487">
        <v>868</v>
      </c>
      <c r="C21" s="1487">
        <v>843</v>
      </c>
      <c r="D21" s="1487">
        <v>816</v>
      </c>
      <c r="E21" s="1487">
        <v>697.4</v>
      </c>
      <c r="F21" s="1487">
        <v>434.8</v>
      </c>
      <c r="G21" s="1487">
        <v>116.7</v>
      </c>
      <c r="H21" s="1474">
        <v>41</v>
      </c>
    </row>
    <row r="22" spans="1:8" x14ac:dyDescent="0.3">
      <c r="A22" s="214" t="s">
        <v>877</v>
      </c>
      <c r="B22" s="1223">
        <v>3386</v>
      </c>
      <c r="C22" s="1223">
        <v>10216</v>
      </c>
      <c r="D22" s="1223">
        <v>4065</v>
      </c>
      <c r="E22" s="2412"/>
      <c r="F22" s="2412"/>
      <c r="G22" s="2412"/>
      <c r="H22" s="1553"/>
    </row>
    <row r="23" spans="1:8" x14ac:dyDescent="0.3">
      <c r="A23" s="214" t="s">
        <v>878</v>
      </c>
      <c r="B23" s="1223">
        <v>715</v>
      </c>
      <c r="C23" s="1223">
        <v>1174</v>
      </c>
      <c r="D23" s="1223">
        <v>1181</v>
      </c>
      <c r="E23" s="2412"/>
      <c r="F23" s="2412"/>
      <c r="G23" s="2412"/>
      <c r="H23" s="1553"/>
    </row>
    <row r="24" spans="1:8" x14ac:dyDescent="0.3">
      <c r="A24" s="214" t="s">
        <v>879</v>
      </c>
      <c r="B24" s="1223">
        <v>4974</v>
      </c>
      <c r="C24" s="1223">
        <v>5930</v>
      </c>
      <c r="D24" s="1223">
        <v>5834</v>
      </c>
      <c r="E24" s="2412"/>
      <c r="F24" s="2412"/>
      <c r="G24" s="2412"/>
      <c r="H24" s="1553"/>
    </row>
    <row r="25" spans="1:8" x14ac:dyDescent="0.3">
      <c r="A25" s="282" t="s">
        <v>880</v>
      </c>
      <c r="B25" s="1223">
        <v>2116</v>
      </c>
      <c r="C25" s="1223">
        <v>1998</v>
      </c>
      <c r="D25" s="1223">
        <v>1503</v>
      </c>
      <c r="E25" s="1231">
        <v>325.5</v>
      </c>
      <c r="F25" s="1231">
        <v>381.3</v>
      </c>
      <c r="G25" s="1231">
        <v>523.6</v>
      </c>
      <c r="H25" s="929">
        <v>601.6</v>
      </c>
    </row>
    <row r="26" spans="1:8" x14ac:dyDescent="0.3">
      <c r="A26" s="214" t="s">
        <v>581</v>
      </c>
      <c r="B26" s="1223">
        <v>3004</v>
      </c>
      <c r="C26" s="1223">
        <v>2304</v>
      </c>
      <c r="D26" s="1223">
        <v>2428</v>
      </c>
      <c r="E26" s="1223">
        <v>126.4</v>
      </c>
      <c r="F26" s="1223">
        <v>123.9</v>
      </c>
      <c r="G26" s="1223">
        <v>76.5</v>
      </c>
      <c r="H26" s="923">
        <v>31.5</v>
      </c>
    </row>
    <row r="27" spans="1:8" x14ac:dyDescent="0.3">
      <c r="A27" s="214"/>
      <c r="B27" s="1488">
        <f t="shared" ref="B27:H27" si="1">SUM(B21:B26)</f>
        <v>15063</v>
      </c>
      <c r="C27" s="1488">
        <f t="shared" si="1"/>
        <v>22465</v>
      </c>
      <c r="D27" s="1488">
        <f t="shared" si="1"/>
        <v>15827</v>
      </c>
      <c r="E27" s="1488">
        <f t="shared" si="1"/>
        <v>1149.3</v>
      </c>
      <c r="F27" s="1488">
        <f t="shared" si="1"/>
        <v>940</v>
      </c>
      <c r="G27" s="1488">
        <f t="shared" si="1"/>
        <v>716.80000000000007</v>
      </c>
      <c r="H27" s="1489">
        <f t="shared" si="1"/>
        <v>674.1</v>
      </c>
    </row>
    <row r="28" spans="1:8" x14ac:dyDescent="0.3">
      <c r="A28" s="214"/>
      <c r="B28" s="1223"/>
      <c r="C28" s="1223"/>
      <c r="D28" s="1223"/>
      <c r="E28" s="1223"/>
      <c r="F28" s="1223"/>
      <c r="G28" s="1223"/>
      <c r="H28" s="923"/>
    </row>
    <row r="29" spans="1:8" x14ac:dyDescent="0.3">
      <c r="A29" s="214" t="s">
        <v>95</v>
      </c>
      <c r="B29" s="1223"/>
      <c r="C29" s="1223"/>
      <c r="D29" s="1223"/>
      <c r="E29" s="1223"/>
      <c r="F29" s="1223"/>
      <c r="G29" s="1223"/>
      <c r="H29" s="923"/>
    </row>
    <row r="30" spans="1:8" x14ac:dyDescent="0.3">
      <c r="A30" s="214" t="s">
        <v>524</v>
      </c>
      <c r="B30" s="1223">
        <v>1766</v>
      </c>
      <c r="C30" s="1223">
        <v>1764</v>
      </c>
      <c r="D30" s="1223">
        <v>1162</v>
      </c>
      <c r="E30" s="1223">
        <v>121.7</v>
      </c>
      <c r="F30" s="1223">
        <v>63.9</v>
      </c>
      <c r="G30" s="1223">
        <v>63.9</v>
      </c>
      <c r="H30" s="923">
        <v>61.7</v>
      </c>
    </row>
    <row r="31" spans="1:8" ht="16.2" thickBot="1" x14ac:dyDescent="0.35">
      <c r="A31" s="214"/>
      <c r="B31" s="1276">
        <f>B27+B30</f>
        <v>16829</v>
      </c>
      <c r="C31" s="1276">
        <f t="shared" ref="C31:H31" si="2">C27+C30</f>
        <v>24229</v>
      </c>
      <c r="D31" s="1276">
        <f t="shared" si="2"/>
        <v>16989</v>
      </c>
      <c r="E31" s="1276">
        <f t="shared" si="2"/>
        <v>1271</v>
      </c>
      <c r="F31" s="1276">
        <f t="shared" si="2"/>
        <v>1003.9</v>
      </c>
      <c r="G31" s="1276">
        <f t="shared" si="2"/>
        <v>780.7</v>
      </c>
      <c r="H31" s="1475">
        <f t="shared" si="2"/>
        <v>735.80000000000007</v>
      </c>
    </row>
    <row r="32" spans="1:8" s="309" customFormat="1" ht="16.2" hidden="1" outlineLevel="1" thickTop="1" x14ac:dyDescent="0.3">
      <c r="A32" s="305" t="s">
        <v>20</v>
      </c>
      <c r="B32" s="1015">
        <f t="shared" ref="B32:H32" si="3">B18-B31</f>
        <v>0</v>
      </c>
      <c r="C32" s="1015">
        <f t="shared" si="3"/>
        <v>0</v>
      </c>
      <c r="D32" s="1015">
        <f t="shared" si="3"/>
        <v>0</v>
      </c>
      <c r="E32" s="1033">
        <f t="shared" si="3"/>
        <v>0</v>
      </c>
      <c r="F32" s="1033">
        <f t="shared" si="3"/>
        <v>0</v>
      </c>
      <c r="G32" s="1033">
        <f t="shared" si="3"/>
        <v>0</v>
      </c>
      <c r="H32" s="1471">
        <f t="shared" si="3"/>
        <v>0</v>
      </c>
    </row>
    <row r="33" spans="1:10" ht="4.5" customHeight="1" collapsed="1" thickTop="1" x14ac:dyDescent="0.3">
      <c r="A33" s="214"/>
      <c r="B33" s="1015"/>
      <c r="C33" s="1015"/>
      <c r="D33" s="1015"/>
      <c r="E33" s="1015"/>
      <c r="F33" s="1015"/>
      <c r="G33" s="1015"/>
      <c r="H33" s="1105"/>
    </row>
    <row r="34" spans="1:10" ht="4.5" customHeight="1" x14ac:dyDescent="0.3">
      <c r="A34" s="1155"/>
      <c r="B34" s="1509"/>
      <c r="C34" s="1509"/>
      <c r="D34" s="1509"/>
      <c r="E34" s="1509"/>
      <c r="F34" s="1509"/>
      <c r="G34" s="1509"/>
      <c r="H34" s="1510"/>
    </row>
    <row r="35" spans="1:10" ht="4.5" customHeight="1" x14ac:dyDescent="0.3">
      <c r="A35" s="214"/>
      <c r="B35" s="1018"/>
      <c r="C35" s="1018"/>
      <c r="D35" s="1018"/>
      <c r="E35" s="1018"/>
      <c r="F35" s="1018"/>
      <c r="G35" s="1018"/>
      <c r="H35" s="1106"/>
    </row>
    <row r="36" spans="1:10" x14ac:dyDescent="0.3">
      <c r="A36" s="6" t="s">
        <v>1591</v>
      </c>
      <c r="B36" s="116"/>
      <c r="C36" s="116"/>
      <c r="D36" s="116"/>
      <c r="E36" s="116"/>
      <c r="F36" s="116"/>
      <c r="G36" s="116"/>
      <c r="H36" s="132"/>
    </row>
    <row r="37" spans="1:10" ht="16.2" thickBot="1" x14ac:dyDescent="0.35">
      <c r="A37" s="9" t="s">
        <v>1801</v>
      </c>
      <c r="B37" s="130"/>
      <c r="C37" s="130"/>
      <c r="D37" s="130"/>
      <c r="E37" s="130"/>
      <c r="F37" s="130"/>
      <c r="G37" s="130"/>
      <c r="H37" s="145"/>
    </row>
    <row r="38" spans="1:10" x14ac:dyDescent="0.3">
      <c r="A38" s="410" t="s">
        <v>1954</v>
      </c>
      <c r="B38" s="116"/>
      <c r="C38" s="116"/>
      <c r="D38" s="116"/>
      <c r="E38" s="116"/>
      <c r="F38" s="116"/>
      <c r="G38" s="116"/>
      <c r="H38" s="116"/>
      <c r="J38" s="211" t="s">
        <v>176</v>
      </c>
    </row>
    <row r="39" spans="1:10" x14ac:dyDescent="0.3">
      <c r="B39" s="1018"/>
      <c r="C39" s="1018"/>
      <c r="D39" s="1018"/>
      <c r="E39" s="1018"/>
      <c r="F39" s="1018"/>
      <c r="G39" s="1018"/>
      <c r="H39" s="1018"/>
    </row>
    <row r="40" spans="1:10" x14ac:dyDescent="0.3">
      <c r="B40" s="1018"/>
      <c r="C40" s="1018"/>
      <c r="D40" s="1018"/>
      <c r="E40" s="1018"/>
      <c r="F40" s="1018"/>
      <c r="G40" s="1018"/>
      <c r="H40" s="1018"/>
    </row>
    <row r="41" spans="1:10" x14ac:dyDescent="0.3">
      <c r="A41" s="459" t="s">
        <v>1673</v>
      </c>
    </row>
    <row r="42" spans="1:10" x14ac:dyDescent="0.3">
      <c r="A42" s="152" t="s">
        <v>1832</v>
      </c>
    </row>
    <row r="43" spans="1:10" ht="9" customHeight="1" thickBot="1" x14ac:dyDescent="0.35">
      <c r="A43" s="1413"/>
      <c r="B43" s="1018"/>
      <c r="C43" s="1018"/>
      <c r="D43" s="1018"/>
      <c r="E43" s="1018"/>
      <c r="F43" s="1018"/>
      <c r="G43" s="1018"/>
      <c r="H43" s="1018"/>
    </row>
    <row r="44" spans="1:10" x14ac:dyDescent="0.3">
      <c r="A44" s="212" t="s">
        <v>1250</v>
      </c>
      <c r="B44" s="712">
        <f t="shared" ref="B44:H44" si="4">B6</f>
        <v>2000</v>
      </c>
      <c r="C44" s="712">
        <f t="shared" si="4"/>
        <v>1999</v>
      </c>
      <c r="D44" s="712">
        <f t="shared" si="4"/>
        <v>1998</v>
      </c>
      <c r="E44" s="712">
        <f t="shared" si="4"/>
        <v>1997</v>
      </c>
      <c r="F44" s="712">
        <f t="shared" si="4"/>
        <v>1996</v>
      </c>
      <c r="G44" s="712">
        <f t="shared" si="4"/>
        <v>1995</v>
      </c>
      <c r="H44" s="713">
        <f t="shared" si="4"/>
        <v>1994</v>
      </c>
    </row>
    <row r="45" spans="1:10" x14ac:dyDescent="0.3">
      <c r="A45" s="214" t="s">
        <v>561</v>
      </c>
      <c r="B45" s="1015"/>
      <c r="C45" s="1015"/>
      <c r="D45" s="1015"/>
      <c r="E45" s="1015"/>
      <c r="F45" s="1015"/>
      <c r="G45" s="1015"/>
      <c r="H45" s="1105"/>
    </row>
    <row r="46" spans="1:10" x14ac:dyDescent="0.3">
      <c r="A46" s="214" t="s">
        <v>587</v>
      </c>
      <c r="B46" s="746">
        <v>0</v>
      </c>
      <c r="C46" s="746">
        <v>0</v>
      </c>
      <c r="D46" s="746">
        <v>95</v>
      </c>
      <c r="E46" s="746">
        <v>248</v>
      </c>
      <c r="F46" s="746">
        <v>259.5</v>
      </c>
      <c r="G46" s="746">
        <v>75.2</v>
      </c>
      <c r="H46" s="1473">
        <v>36</v>
      </c>
    </row>
    <row r="47" spans="1:10" ht="31.2" x14ac:dyDescent="0.3">
      <c r="A47" s="282" t="s">
        <v>585</v>
      </c>
      <c r="B47" s="1223">
        <v>0</v>
      </c>
      <c r="C47" s="1223">
        <v>0</v>
      </c>
      <c r="D47" s="1223">
        <v>0</v>
      </c>
      <c r="E47" s="1223">
        <v>37.5</v>
      </c>
      <c r="F47" s="1223">
        <v>38.799999999999997</v>
      </c>
      <c r="G47" s="1223">
        <v>37.9</v>
      </c>
      <c r="H47" s="923">
        <v>37.799999999999997</v>
      </c>
    </row>
    <row r="48" spans="1:10" x14ac:dyDescent="0.3">
      <c r="A48" s="282" t="s">
        <v>586</v>
      </c>
      <c r="B48" s="1223">
        <v>0</v>
      </c>
      <c r="C48" s="1223">
        <v>0</v>
      </c>
      <c r="D48" s="1223">
        <v>0</v>
      </c>
      <c r="E48" s="1223">
        <v>74.5</v>
      </c>
      <c r="F48" s="1223">
        <v>54.9</v>
      </c>
      <c r="G48" s="1223">
        <v>43.7</v>
      </c>
      <c r="H48" s="923">
        <v>35.4</v>
      </c>
    </row>
    <row r="49" spans="1:11" x14ac:dyDescent="0.3">
      <c r="A49" s="282" t="s">
        <v>563</v>
      </c>
      <c r="B49" s="1223">
        <v>910</v>
      </c>
      <c r="C49" s="1223">
        <v>740</v>
      </c>
      <c r="D49" s="1223">
        <v>0</v>
      </c>
      <c r="E49" s="1223">
        <v>0</v>
      </c>
      <c r="F49" s="1223">
        <v>0</v>
      </c>
      <c r="G49" s="1223">
        <v>0</v>
      </c>
      <c r="H49" s="923">
        <v>0</v>
      </c>
    </row>
    <row r="50" spans="1:11" x14ac:dyDescent="0.3">
      <c r="A50" s="282" t="s">
        <v>881</v>
      </c>
      <c r="B50" s="1223">
        <v>595</v>
      </c>
      <c r="C50" s="1223">
        <v>247</v>
      </c>
      <c r="D50" s="1223">
        <v>293</v>
      </c>
      <c r="E50" s="1223">
        <v>0</v>
      </c>
      <c r="F50" s="1223">
        <v>0</v>
      </c>
      <c r="G50" s="1223">
        <v>0</v>
      </c>
      <c r="H50" s="923">
        <v>0</v>
      </c>
    </row>
    <row r="51" spans="1:11" x14ac:dyDescent="0.3">
      <c r="A51" s="214"/>
      <c r="B51" s="1476">
        <f>SUM(B46:B50)</f>
        <v>1505</v>
      </c>
      <c r="C51" s="1476">
        <f>SUM(C46:C50)</f>
        <v>987</v>
      </c>
      <c r="D51" s="1476">
        <f>SUM(D46:D50)</f>
        <v>388</v>
      </c>
      <c r="E51" s="1476">
        <f t="shared" ref="E51:H51" si="5">SUM(E46:E50)</f>
        <v>360</v>
      </c>
      <c r="F51" s="1476">
        <f t="shared" si="5"/>
        <v>353.2</v>
      </c>
      <c r="G51" s="1476">
        <f t="shared" si="5"/>
        <v>156.80000000000001</v>
      </c>
      <c r="H51" s="1477">
        <f t="shared" si="5"/>
        <v>109.19999999999999</v>
      </c>
    </row>
    <row r="52" spans="1:11" x14ac:dyDescent="0.3">
      <c r="A52" s="214"/>
      <c r="B52" s="1487"/>
      <c r="C52" s="1487"/>
      <c r="D52" s="1487"/>
      <c r="E52" s="1487"/>
      <c r="F52" s="1487"/>
      <c r="G52" s="1487"/>
      <c r="H52" s="1474"/>
    </row>
    <row r="53" spans="1:11" x14ac:dyDescent="0.3">
      <c r="A53" s="214" t="s">
        <v>588</v>
      </c>
      <c r="B53" s="1487"/>
      <c r="C53" s="1487"/>
      <c r="D53" s="1487"/>
      <c r="E53" s="1487"/>
      <c r="F53" s="1487"/>
      <c r="G53" s="1487"/>
      <c r="H53" s="1474"/>
    </row>
    <row r="54" spans="1:11" x14ac:dyDescent="0.3">
      <c r="A54" s="214" t="s">
        <v>293</v>
      </c>
      <c r="B54" s="1487">
        <v>798</v>
      </c>
      <c r="C54" s="1487">
        <v>596</v>
      </c>
      <c r="D54" s="1487">
        <v>27</v>
      </c>
      <c r="E54" s="1487">
        <v>24.3</v>
      </c>
      <c r="F54" s="1487">
        <v>32.6</v>
      </c>
      <c r="G54" s="1487">
        <v>38.700000000000003</v>
      </c>
      <c r="H54" s="1474">
        <v>35.5</v>
      </c>
    </row>
    <row r="55" spans="1:11" x14ac:dyDescent="0.3">
      <c r="A55" s="214" t="s">
        <v>589</v>
      </c>
      <c r="B55" s="1223">
        <v>55</v>
      </c>
      <c r="C55" s="1223">
        <v>54</v>
      </c>
      <c r="D55" s="1223">
        <v>146</v>
      </c>
      <c r="E55" s="1223">
        <v>286.60000000000002</v>
      </c>
      <c r="F55" s="1223">
        <v>276.7</v>
      </c>
      <c r="G55" s="1223">
        <v>80.8</v>
      </c>
      <c r="H55" s="923">
        <v>37.700000000000003</v>
      </c>
    </row>
    <row r="56" spans="1:11" x14ac:dyDescent="0.3">
      <c r="A56" s="214" t="s">
        <v>869</v>
      </c>
      <c r="B56" s="1223">
        <v>123</v>
      </c>
      <c r="C56" s="1223">
        <v>87</v>
      </c>
      <c r="D56" s="1223">
        <v>16</v>
      </c>
      <c r="E56" s="1223">
        <v>21</v>
      </c>
      <c r="F56" s="1223">
        <v>20.8</v>
      </c>
      <c r="G56" s="1223">
        <v>16.5</v>
      </c>
      <c r="H56" s="923">
        <v>13.9</v>
      </c>
    </row>
    <row r="57" spans="1:11" x14ac:dyDescent="0.3">
      <c r="A57" s="214"/>
      <c r="B57" s="1530">
        <f t="shared" ref="B57:C57" si="6">SUM(B54:B56)</f>
        <v>976</v>
      </c>
      <c r="C57" s="1530">
        <f t="shared" si="6"/>
        <v>737</v>
      </c>
      <c r="D57" s="1530">
        <f t="shared" ref="D57:E57" si="7">SUM(D54:D56)</f>
        <v>189</v>
      </c>
      <c r="E57" s="1530">
        <f t="shared" si="7"/>
        <v>331.90000000000003</v>
      </c>
      <c r="F57" s="1530">
        <f t="shared" ref="F57:G57" si="8">SUM(F54:F56)</f>
        <v>330.1</v>
      </c>
      <c r="G57" s="1530">
        <f t="shared" si="8"/>
        <v>136</v>
      </c>
      <c r="H57" s="1531">
        <f t="shared" ref="H57" si="9">SUM(H54:H56)</f>
        <v>87.100000000000009</v>
      </c>
    </row>
    <row r="58" spans="1:11" x14ac:dyDescent="0.3">
      <c r="A58" s="214" t="s">
        <v>568</v>
      </c>
      <c r="B58" s="1223">
        <f t="shared" ref="B58:H58" si="10">B51-B57</f>
        <v>529</v>
      </c>
      <c r="C58" s="1223">
        <f t="shared" si="10"/>
        <v>250</v>
      </c>
      <c r="D58" s="1223">
        <f t="shared" si="10"/>
        <v>199</v>
      </c>
      <c r="E58" s="1223">
        <f t="shared" si="10"/>
        <v>28.099999999999966</v>
      </c>
      <c r="F58" s="1223">
        <f t="shared" si="10"/>
        <v>23.099999999999966</v>
      </c>
      <c r="G58" s="1223">
        <f t="shared" si="10"/>
        <v>20.800000000000011</v>
      </c>
      <c r="H58" s="923">
        <f t="shared" si="10"/>
        <v>22.09999999999998</v>
      </c>
    </row>
    <row r="59" spans="1:11" x14ac:dyDescent="0.3">
      <c r="A59" s="214" t="s">
        <v>533</v>
      </c>
      <c r="B59" s="1223">
        <v>187</v>
      </c>
      <c r="C59" s="1223">
        <v>32</v>
      </c>
      <c r="D59" s="1223">
        <v>70</v>
      </c>
      <c r="E59" s="1223">
        <v>10.1</v>
      </c>
      <c r="F59" s="1223">
        <v>8.1999999999999993</v>
      </c>
      <c r="G59" s="1223">
        <v>8.1999999999999993</v>
      </c>
      <c r="H59" s="923">
        <v>7.5</v>
      </c>
      <c r="K59" s="211" t="s">
        <v>176</v>
      </c>
    </row>
    <row r="60" spans="1:11" ht="16.2" thickBot="1" x14ac:dyDescent="0.35">
      <c r="A60" s="214" t="s">
        <v>301</v>
      </c>
      <c r="B60" s="1276">
        <f>B58-B59</f>
        <v>342</v>
      </c>
      <c r="C60" s="1276">
        <f t="shared" ref="C60:H60" si="11">C58-C59</f>
        <v>218</v>
      </c>
      <c r="D60" s="1276">
        <f t="shared" si="11"/>
        <v>129</v>
      </c>
      <c r="E60" s="1276">
        <f t="shared" si="11"/>
        <v>17.999999999999964</v>
      </c>
      <c r="F60" s="1276">
        <f t="shared" si="11"/>
        <v>14.899999999999967</v>
      </c>
      <c r="G60" s="1276">
        <f t="shared" si="11"/>
        <v>12.600000000000012</v>
      </c>
      <c r="H60" s="1475">
        <f t="shared" si="11"/>
        <v>14.59999999999998</v>
      </c>
    </row>
    <row r="61" spans="1:11" ht="16.8" thickTop="1" thickBot="1" x14ac:dyDescent="0.35">
      <c r="A61" s="224"/>
      <c r="B61" s="1036"/>
      <c r="C61" s="1036"/>
      <c r="D61" s="1036"/>
      <c r="E61" s="1036"/>
      <c r="F61" s="1036"/>
      <c r="G61" s="1036"/>
      <c r="H61" s="1472"/>
    </row>
    <row r="62" spans="1:11" x14ac:dyDescent="0.3">
      <c r="A62" s="410" t="s">
        <v>1954</v>
      </c>
      <c r="B62" s="1018"/>
      <c r="C62" s="1018"/>
      <c r="D62" s="1018"/>
      <c r="E62" s="1018"/>
      <c r="F62" s="1018"/>
      <c r="G62" s="1018"/>
      <c r="H62" s="1018"/>
    </row>
    <row r="63" spans="1:11" x14ac:dyDescent="0.3">
      <c r="B63" s="1018"/>
      <c r="C63" s="1018"/>
      <c r="D63" s="1018"/>
      <c r="E63" s="1018"/>
      <c r="F63" s="1018"/>
      <c r="G63" s="1018"/>
      <c r="H63" s="1018"/>
    </row>
    <row r="64" spans="1:11" x14ac:dyDescent="0.3">
      <c r="B64" s="1018"/>
      <c r="C64" s="1018"/>
      <c r="D64" s="1018"/>
      <c r="E64" s="1018"/>
      <c r="F64" s="1018"/>
      <c r="G64" s="1018"/>
      <c r="H64" s="1018"/>
    </row>
    <row r="65" spans="1:8" x14ac:dyDescent="0.3">
      <c r="A65" s="459" t="s">
        <v>1673</v>
      </c>
      <c r="B65" s="1018"/>
      <c r="C65" s="1018"/>
      <c r="D65" s="1018"/>
      <c r="E65" s="1018"/>
      <c r="F65" s="1018"/>
      <c r="G65" s="1018"/>
      <c r="H65" s="1018"/>
    </row>
    <row r="66" spans="1:8" x14ac:dyDescent="0.3">
      <c r="A66" s="152" t="s">
        <v>1832</v>
      </c>
      <c r="B66" s="1018"/>
      <c r="C66" s="1018"/>
      <c r="D66" s="1018"/>
      <c r="E66" s="1018"/>
      <c r="F66" s="1018"/>
      <c r="G66" s="1018"/>
      <c r="H66" s="1018"/>
    </row>
    <row r="67" spans="1:8" ht="9" customHeight="1" thickBot="1" x14ac:dyDescent="0.35">
      <c r="A67" s="1413"/>
      <c r="B67" s="1018"/>
      <c r="C67" s="1018"/>
      <c r="D67" s="1018"/>
      <c r="E67" s="1018"/>
      <c r="F67" s="1018"/>
      <c r="G67" s="1018"/>
      <c r="H67" s="1018"/>
    </row>
    <row r="68" spans="1:8" x14ac:dyDescent="0.3">
      <c r="A68" s="212" t="s">
        <v>554</v>
      </c>
      <c r="B68" s="712">
        <f t="shared" ref="B68:H68" si="12">B6</f>
        <v>2000</v>
      </c>
      <c r="C68" s="712">
        <f t="shared" si="12"/>
        <v>1999</v>
      </c>
      <c r="D68" s="712">
        <f t="shared" si="12"/>
        <v>1998</v>
      </c>
      <c r="E68" s="712">
        <f t="shared" si="12"/>
        <v>1997</v>
      </c>
      <c r="F68" s="712">
        <f t="shared" si="12"/>
        <v>1996</v>
      </c>
      <c r="G68" s="712">
        <f t="shared" si="12"/>
        <v>1995</v>
      </c>
      <c r="H68" s="713">
        <f t="shared" si="12"/>
        <v>1994</v>
      </c>
    </row>
    <row r="69" spans="1:8" x14ac:dyDescent="0.3">
      <c r="A69" s="214" t="s">
        <v>1830</v>
      </c>
      <c r="B69" s="1018">
        <f t="shared" ref="B69:H69" si="13">B18/B30</f>
        <v>9.5294450736126848</v>
      </c>
      <c r="C69" s="1018">
        <f t="shared" si="13"/>
        <v>13.735260770975056</v>
      </c>
      <c r="D69" s="1018">
        <f t="shared" si="13"/>
        <v>14.620481927710843</v>
      </c>
      <c r="E69" s="1018">
        <f t="shared" si="13"/>
        <v>10.443714050944946</v>
      </c>
      <c r="F69" s="1018">
        <f t="shared" si="13"/>
        <v>15.710485133020343</v>
      </c>
      <c r="G69" s="1018">
        <f t="shared" si="13"/>
        <v>12.217527386541471</v>
      </c>
      <c r="H69" s="1106">
        <f t="shared" si="13"/>
        <v>11.925445705024311</v>
      </c>
    </row>
    <row r="70" spans="1:8" x14ac:dyDescent="0.3">
      <c r="A70" s="214" t="s">
        <v>603</v>
      </c>
      <c r="B70" s="227">
        <f t="shared" ref="B70:H70" si="14">1/B69</f>
        <v>0.10493790480717807</v>
      </c>
      <c r="C70" s="227">
        <f t="shared" si="14"/>
        <v>7.2805315943703833E-2</v>
      </c>
      <c r="D70" s="227">
        <f t="shared" si="14"/>
        <v>6.8397198187062219E-2</v>
      </c>
      <c r="E70" s="227">
        <f t="shared" si="14"/>
        <v>9.5751376868607407E-2</v>
      </c>
      <c r="F70" s="227">
        <f t="shared" si="14"/>
        <v>6.3651758143241366E-2</v>
      </c>
      <c r="G70" s="227">
        <f t="shared" si="14"/>
        <v>8.1849622133982322E-2</v>
      </c>
      <c r="H70" s="347">
        <f t="shared" si="14"/>
        <v>8.3854308235933678E-2</v>
      </c>
    </row>
    <row r="71" spans="1:8" ht="4.5" customHeight="1" x14ac:dyDescent="0.3">
      <c r="A71" s="214"/>
      <c r="B71" s="227"/>
      <c r="C71" s="227"/>
      <c r="D71" s="227"/>
      <c r="E71" s="227"/>
      <c r="F71" s="227"/>
      <c r="G71" s="227"/>
      <c r="H71" s="347"/>
    </row>
    <row r="72" spans="1:8" ht="4.5" customHeight="1" x14ac:dyDescent="0.3">
      <c r="A72" s="1155"/>
      <c r="B72" s="607"/>
      <c r="C72" s="607"/>
      <c r="D72" s="607"/>
      <c r="E72" s="607"/>
      <c r="F72" s="607"/>
      <c r="G72" s="607"/>
      <c r="H72" s="1518"/>
    </row>
    <row r="73" spans="1:8" ht="4.5" customHeight="1" x14ac:dyDescent="0.3">
      <c r="A73" s="214"/>
      <c r="H73" s="223"/>
    </row>
    <row r="74" spans="1:8" x14ac:dyDescent="0.3">
      <c r="A74" s="214" t="s">
        <v>605</v>
      </c>
      <c r="B74" s="350">
        <f t="shared" ref="B74:G74" si="15">B60/AVERAGE(B18:C18)</f>
        <v>1.6659359929855327E-2</v>
      </c>
      <c r="C74" s="350">
        <f t="shared" si="15"/>
        <v>1.0577902857974671E-2</v>
      </c>
      <c r="D74" s="350">
        <f t="shared" si="15"/>
        <v>1.4129244249726178E-2</v>
      </c>
      <c r="E74" s="350">
        <f t="shared" si="15"/>
        <v>1.5824871422919658E-2</v>
      </c>
      <c r="F74" s="350">
        <f t="shared" si="15"/>
        <v>1.6698419813963878E-2</v>
      </c>
      <c r="G74" s="350">
        <f t="shared" si="15"/>
        <v>1.6617210682492597E-2</v>
      </c>
      <c r="H74" s="351">
        <f>'5. Finance'!B77</f>
        <v>1.7963703475853559E-2</v>
      </c>
    </row>
    <row r="75" spans="1:8" ht="16.2" thickBot="1" x14ac:dyDescent="0.35">
      <c r="A75" s="224" t="s">
        <v>604</v>
      </c>
      <c r="B75" s="232">
        <f t="shared" ref="B75:G75" si="16">B60/AVERAGE(B30:C30)</f>
        <v>0.19376770538243626</v>
      </c>
      <c r="C75" s="232">
        <f t="shared" si="16"/>
        <v>0.14900888585099112</v>
      </c>
      <c r="D75" s="232">
        <f t="shared" si="16"/>
        <v>0.20098153774246319</v>
      </c>
      <c r="E75" s="232">
        <f t="shared" si="16"/>
        <v>0.19396551724137892</v>
      </c>
      <c r="F75" s="232">
        <f t="shared" si="16"/>
        <v>0.23317683881064111</v>
      </c>
      <c r="G75" s="232">
        <f t="shared" si="16"/>
        <v>0.20063694267515944</v>
      </c>
      <c r="H75" s="366">
        <f>'5. Finance'!B78</f>
        <v>0.24092409240924059</v>
      </c>
    </row>
    <row r="76" spans="1:8" x14ac:dyDescent="0.3">
      <c r="A76" s="410" t="s">
        <v>1954</v>
      </c>
    </row>
    <row r="81" spans="7:7" x14ac:dyDescent="0.3">
      <c r="G81" s="211" t="s">
        <v>176</v>
      </c>
    </row>
  </sheetData>
  <pageMargins left="0.7" right="0.7" top="0.75" bottom="0.75" header="0.3" footer="0.3"/>
  <pageSetup orientation="portrait" r:id="rId1"/>
  <ignoredErrors>
    <ignoredError sqref="B75:G75" formulaRange="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563B-01C1-45FC-8A47-4B300F0F09B3}">
  <sheetPr codeName="Sheet62">
    <tabColor theme="9" tint="0.59999389629810485"/>
  </sheetPr>
  <dimension ref="A1:M61"/>
  <sheetViews>
    <sheetView showGridLines="0" topLeftCell="A2" zoomScale="70" zoomScaleNormal="70" workbookViewId="0">
      <selection activeCell="U33" sqref="U33"/>
    </sheetView>
  </sheetViews>
  <sheetFormatPr defaultColWidth="8.6640625" defaultRowHeight="15.6" outlineLevelRow="1" x14ac:dyDescent="0.3"/>
  <cols>
    <col min="1" max="1" width="54.5546875" style="211" customWidth="1"/>
    <col min="2" max="4" width="9.88671875" style="211" bestFit="1" customWidth="1"/>
    <col min="5" max="8" width="10.44140625" style="211" bestFit="1" customWidth="1"/>
    <col min="9" max="16384" width="8.6640625" style="211"/>
  </cols>
  <sheetData>
    <row r="1" spans="1:11" s="309" customFormat="1" hidden="1" outlineLevel="1" x14ac:dyDescent="0.3">
      <c r="A1" s="309" t="s">
        <v>556</v>
      </c>
      <c r="B1" s="309">
        <v>2000</v>
      </c>
      <c r="C1" s="309">
        <v>1999</v>
      </c>
      <c r="D1" s="309">
        <v>1998</v>
      </c>
      <c r="E1" s="309">
        <v>1997</v>
      </c>
      <c r="F1" s="309">
        <v>1996</v>
      </c>
      <c r="G1" s="309">
        <v>1995</v>
      </c>
      <c r="H1" s="309">
        <v>1994</v>
      </c>
    </row>
    <row r="2" spans="1:11" collapsed="1" x14ac:dyDescent="0.3"/>
    <row r="3" spans="1:11" x14ac:dyDescent="0.3">
      <c r="A3" s="459" t="s">
        <v>1673</v>
      </c>
    </row>
    <row r="4" spans="1:11" x14ac:dyDescent="0.3">
      <c r="A4" s="152" t="s">
        <v>1833</v>
      </c>
    </row>
    <row r="5" spans="1:11" ht="9" customHeight="1" thickBot="1" x14ac:dyDescent="0.35">
      <c r="A5" s="152"/>
    </row>
    <row r="6" spans="1:11" x14ac:dyDescent="0.3">
      <c r="A6" s="212" t="s">
        <v>1250</v>
      </c>
      <c r="B6" s="712">
        <v>2000</v>
      </c>
      <c r="C6" s="712">
        <v>1999</v>
      </c>
      <c r="D6" s="712">
        <v>1998</v>
      </c>
      <c r="E6" s="712">
        <v>1997</v>
      </c>
      <c r="F6" s="712">
        <v>1996</v>
      </c>
      <c r="G6" s="712">
        <v>1995</v>
      </c>
      <c r="H6" s="713">
        <v>1994</v>
      </c>
    </row>
    <row r="7" spans="1:11" x14ac:dyDescent="0.3">
      <c r="A7" s="214" t="s">
        <v>515</v>
      </c>
      <c r="H7" s="223"/>
    </row>
    <row r="8" spans="1:11" x14ac:dyDescent="0.3">
      <c r="A8" s="214" t="s">
        <v>517</v>
      </c>
      <c r="B8" s="746">
        <v>163</v>
      </c>
      <c r="C8" s="746">
        <v>484</v>
      </c>
      <c r="D8" s="746">
        <v>220</v>
      </c>
      <c r="E8" s="746">
        <v>383.4</v>
      </c>
      <c r="F8" s="746">
        <v>765</v>
      </c>
      <c r="G8" s="746">
        <v>250.4</v>
      </c>
      <c r="H8" s="1473">
        <v>106.2</v>
      </c>
    </row>
    <row r="9" spans="1:11" x14ac:dyDescent="0.3">
      <c r="A9" s="214" t="s">
        <v>598</v>
      </c>
      <c r="B9" s="1231"/>
      <c r="C9" s="1231"/>
      <c r="D9" s="1231"/>
      <c r="E9" s="1231"/>
      <c r="F9" s="1231"/>
      <c r="G9" s="1231"/>
      <c r="H9" s="929"/>
    </row>
    <row r="10" spans="1:11" x14ac:dyDescent="0.3">
      <c r="A10" s="214" t="s">
        <v>599</v>
      </c>
      <c r="B10" s="1223">
        <v>184</v>
      </c>
      <c r="C10" s="1223">
        <v>2</v>
      </c>
      <c r="D10" s="1223">
        <v>30</v>
      </c>
      <c r="E10" s="2473"/>
      <c r="F10" s="2473"/>
      <c r="G10" s="2473"/>
      <c r="H10" s="2471"/>
    </row>
    <row r="11" spans="1:11" x14ac:dyDescent="0.3">
      <c r="A11" s="214" t="s">
        <v>600</v>
      </c>
      <c r="B11" s="2412"/>
      <c r="C11" s="2412"/>
      <c r="D11" s="2412"/>
      <c r="E11" s="1223">
        <v>205.6</v>
      </c>
      <c r="F11" s="1223">
        <v>942.5</v>
      </c>
      <c r="G11" s="1223">
        <v>8.1999999999999993</v>
      </c>
      <c r="H11" s="923">
        <v>286.8</v>
      </c>
    </row>
    <row r="12" spans="1:11" x14ac:dyDescent="0.3">
      <c r="A12" s="214" t="s">
        <v>601</v>
      </c>
      <c r="B12" s="2412"/>
      <c r="C12" s="2412"/>
      <c r="D12" s="2412"/>
      <c r="E12" s="1223">
        <v>64</v>
      </c>
      <c r="F12" s="1223">
        <v>42</v>
      </c>
      <c r="G12" s="1223">
        <v>46.6</v>
      </c>
      <c r="H12" s="923">
        <v>75.8</v>
      </c>
    </row>
    <row r="13" spans="1:11" x14ac:dyDescent="0.3">
      <c r="A13" s="214" t="s">
        <v>602</v>
      </c>
      <c r="B13" s="1223">
        <v>365</v>
      </c>
      <c r="C13" s="1223">
        <v>339</v>
      </c>
      <c r="D13" s="1223">
        <v>267</v>
      </c>
      <c r="E13" s="1223">
        <v>306.60000000000002</v>
      </c>
      <c r="F13" s="1223">
        <v>199</v>
      </c>
      <c r="G13" s="1223">
        <v>187.1</v>
      </c>
      <c r="H13" s="923">
        <v>113</v>
      </c>
    </row>
    <row r="14" spans="1:11" x14ac:dyDescent="0.3">
      <c r="A14" s="214" t="s">
        <v>590</v>
      </c>
      <c r="B14" s="1223">
        <v>18831</v>
      </c>
      <c r="C14" s="1223">
        <v>18489</v>
      </c>
      <c r="D14" s="1223">
        <v>18613</v>
      </c>
      <c r="E14" s="1223">
        <v>3098.6</v>
      </c>
      <c r="F14" s="1223">
        <v>3149.8</v>
      </c>
      <c r="G14" s="1223">
        <v>747.6</v>
      </c>
      <c r="H14" s="923">
        <v>520.4</v>
      </c>
    </row>
    <row r="15" spans="1:11" x14ac:dyDescent="0.3">
      <c r="A15" s="214" t="s">
        <v>579</v>
      </c>
      <c r="B15" s="1223">
        <v>62</v>
      </c>
      <c r="C15" s="1223">
        <v>80</v>
      </c>
      <c r="D15" s="1223">
        <v>130</v>
      </c>
      <c r="E15" s="1223">
        <v>135.6</v>
      </c>
      <c r="F15" s="1223">
        <v>31.3</v>
      </c>
      <c r="G15" s="1223">
        <v>2.4</v>
      </c>
      <c r="H15" s="923">
        <v>8</v>
      </c>
      <c r="K15" s="211" t="s">
        <v>176</v>
      </c>
    </row>
    <row r="16" spans="1:11" x14ac:dyDescent="0.3">
      <c r="A16" s="214" t="s">
        <v>15</v>
      </c>
      <c r="B16" s="1223">
        <v>69</v>
      </c>
      <c r="C16" s="1223">
        <v>50</v>
      </c>
      <c r="D16" s="1223">
        <v>128</v>
      </c>
      <c r="E16" s="1223">
        <v>104.5</v>
      </c>
      <c r="F16" s="1223">
        <v>258.8</v>
      </c>
      <c r="G16" s="1223">
        <v>56.6</v>
      </c>
      <c r="H16" s="923">
        <v>186.3</v>
      </c>
    </row>
    <row r="17" spans="1:10" ht="16.2" thickBot="1" x14ac:dyDescent="0.35">
      <c r="A17" s="214"/>
      <c r="B17" s="1276">
        <f t="shared" ref="B17:C17" si="0">SUM(B8:B16)</f>
        <v>19674</v>
      </c>
      <c r="C17" s="1276">
        <f t="shared" si="0"/>
        <v>19444</v>
      </c>
      <c r="D17" s="1276">
        <f t="shared" ref="D17:E17" si="1">SUM(D8:D16)</f>
        <v>19388</v>
      </c>
      <c r="E17" s="1276">
        <f t="shared" si="1"/>
        <v>4298.3</v>
      </c>
      <c r="F17" s="1276">
        <f t="shared" ref="F17:G17" si="2">SUM(F8:F16)</f>
        <v>5388.4000000000005</v>
      </c>
      <c r="G17" s="1276">
        <f t="shared" si="2"/>
        <v>1298.9000000000001</v>
      </c>
      <c r="H17" s="1475">
        <f t="shared" ref="H17" si="3">SUM(H8:H16)</f>
        <v>1296.4999999999998</v>
      </c>
    </row>
    <row r="18" spans="1:10" ht="16.2" thickTop="1" x14ac:dyDescent="0.3">
      <c r="A18" s="214"/>
      <c r="B18" s="1487"/>
      <c r="C18" s="1487"/>
      <c r="D18" s="1487"/>
      <c r="E18" s="1487"/>
      <c r="F18" s="1487"/>
      <c r="G18" s="1487"/>
      <c r="H18" s="1474"/>
    </row>
    <row r="19" spans="1:10" x14ac:dyDescent="0.3">
      <c r="A19" s="214" t="s">
        <v>519</v>
      </c>
      <c r="B19" s="1487"/>
      <c r="C19" s="1487"/>
      <c r="D19" s="1487"/>
      <c r="E19" s="1487"/>
      <c r="F19" s="1487"/>
      <c r="G19" s="1487"/>
      <c r="H19" s="1474"/>
    </row>
    <row r="20" spans="1:10" x14ac:dyDescent="0.3">
      <c r="A20" s="214" t="s">
        <v>581</v>
      </c>
      <c r="B20" s="746">
        <v>163</v>
      </c>
      <c r="C20" s="746">
        <v>76</v>
      </c>
      <c r="D20" s="746">
        <v>40</v>
      </c>
      <c r="E20" s="746">
        <v>39.4</v>
      </c>
      <c r="F20" s="746">
        <v>816.4</v>
      </c>
      <c r="G20" s="746">
        <v>50.6</v>
      </c>
      <c r="H20" s="1473">
        <v>62.2</v>
      </c>
    </row>
    <row r="21" spans="1:10" x14ac:dyDescent="0.3">
      <c r="A21" s="214" t="s">
        <v>391</v>
      </c>
      <c r="B21" s="1223">
        <v>236</v>
      </c>
      <c r="C21" s="1223">
        <v>86</v>
      </c>
      <c r="D21" s="1223">
        <v>158</v>
      </c>
      <c r="E21" s="1223">
        <v>152.30000000000001</v>
      </c>
      <c r="F21" s="1223">
        <v>142.69999999999999</v>
      </c>
      <c r="G21" s="1223">
        <v>94.4</v>
      </c>
      <c r="H21" s="923">
        <v>67.3</v>
      </c>
    </row>
    <row r="22" spans="1:10" x14ac:dyDescent="0.3">
      <c r="A22" s="214" t="s">
        <v>580</v>
      </c>
      <c r="B22" s="1223">
        <v>1372</v>
      </c>
      <c r="C22" s="1223">
        <v>1693</v>
      </c>
      <c r="D22" s="1223">
        <v>1863</v>
      </c>
      <c r="E22" s="1223">
        <v>2016.2</v>
      </c>
      <c r="F22" s="1223">
        <v>1718.2</v>
      </c>
      <c r="G22" s="1223">
        <v>918.6</v>
      </c>
      <c r="H22" s="923">
        <v>799</v>
      </c>
    </row>
    <row r="23" spans="1:10" x14ac:dyDescent="0.3">
      <c r="A23" s="214"/>
      <c r="B23" s="1488">
        <f t="shared" ref="B23:C23" si="4">SUM(B20:B22)</f>
        <v>1771</v>
      </c>
      <c r="C23" s="1488">
        <f t="shared" si="4"/>
        <v>1855</v>
      </c>
      <c r="D23" s="1488">
        <f t="shared" ref="D23:E23" si="5">SUM(D20:D22)</f>
        <v>2061</v>
      </c>
      <c r="E23" s="1488">
        <f t="shared" si="5"/>
        <v>2207.9</v>
      </c>
      <c r="F23" s="1488">
        <f t="shared" ref="F23:G23" si="6">SUM(F20:F22)</f>
        <v>2677.3</v>
      </c>
      <c r="G23" s="1488">
        <f t="shared" si="6"/>
        <v>1063.5999999999999</v>
      </c>
      <c r="H23" s="1489">
        <f t="shared" ref="H23" si="7">SUM(H20:H22)</f>
        <v>928.5</v>
      </c>
    </row>
    <row r="24" spans="1:10" x14ac:dyDescent="0.3">
      <c r="A24" s="214"/>
      <c r="B24" s="1223"/>
      <c r="C24" s="1223"/>
      <c r="D24" s="1223"/>
      <c r="E24" s="1223"/>
      <c r="F24" s="1223"/>
      <c r="G24" s="1223"/>
      <c r="H24" s="923"/>
      <c r="J24" s="211" t="s">
        <v>176</v>
      </c>
    </row>
    <row r="25" spans="1:10" x14ac:dyDescent="0.3">
      <c r="A25" s="214" t="s">
        <v>95</v>
      </c>
      <c r="B25" s="1223"/>
      <c r="C25" s="1223"/>
      <c r="D25" s="1223"/>
      <c r="E25" s="1223"/>
      <c r="F25" s="1223"/>
      <c r="G25" s="1223"/>
      <c r="H25" s="923"/>
    </row>
    <row r="26" spans="1:10" x14ac:dyDescent="0.3">
      <c r="A26" s="214" t="s">
        <v>523</v>
      </c>
      <c r="B26" s="1223">
        <v>53</v>
      </c>
      <c r="C26" s="1223">
        <v>11</v>
      </c>
      <c r="D26" s="1223">
        <v>15</v>
      </c>
      <c r="E26" s="1223">
        <v>45</v>
      </c>
      <c r="F26" s="1223">
        <v>25.4</v>
      </c>
      <c r="G26" s="1223">
        <v>28.6</v>
      </c>
      <c r="H26" s="923">
        <v>22.7</v>
      </c>
    </row>
    <row r="27" spans="1:10" x14ac:dyDescent="0.3">
      <c r="A27" s="214" t="s">
        <v>583</v>
      </c>
      <c r="B27" s="1232">
        <v>17850</v>
      </c>
      <c r="C27" s="1232">
        <v>17578</v>
      </c>
      <c r="D27" s="1232">
        <v>17312</v>
      </c>
      <c r="E27" s="1232">
        <v>2045.4</v>
      </c>
      <c r="F27" s="1232">
        <v>2685.7</v>
      </c>
      <c r="G27" s="1232">
        <v>206.7</v>
      </c>
      <c r="H27" s="1241">
        <v>345.3</v>
      </c>
    </row>
    <row r="28" spans="1:10" x14ac:dyDescent="0.3">
      <c r="A28" s="214"/>
      <c r="B28" s="1490">
        <f t="shared" ref="B28:C28" si="8">B26+B27</f>
        <v>17903</v>
      </c>
      <c r="C28" s="1490">
        <f t="shared" si="8"/>
        <v>17589</v>
      </c>
      <c r="D28" s="1490">
        <f t="shared" ref="D28:E28" si="9">D26+D27</f>
        <v>17327</v>
      </c>
      <c r="E28" s="1490">
        <f t="shared" si="9"/>
        <v>2090.4</v>
      </c>
      <c r="F28" s="1490">
        <f t="shared" ref="F28:G28" si="10">F26+F27</f>
        <v>2711.1</v>
      </c>
      <c r="G28" s="1490">
        <f t="shared" si="10"/>
        <v>235.29999999999998</v>
      </c>
      <c r="H28" s="1491">
        <f t="shared" ref="H28" si="11">H26+H27</f>
        <v>368</v>
      </c>
    </row>
    <row r="29" spans="1:10" ht="16.2" thickBot="1" x14ac:dyDescent="0.35">
      <c r="A29" s="214"/>
      <c r="B29" s="1276">
        <f t="shared" ref="B29:C29" si="12">B23+B28</f>
        <v>19674</v>
      </c>
      <c r="C29" s="1276">
        <f t="shared" si="12"/>
        <v>19444</v>
      </c>
      <c r="D29" s="1276">
        <f t="shared" ref="D29:E29" si="13">D23+D28</f>
        <v>19388</v>
      </c>
      <c r="E29" s="1276">
        <f t="shared" si="13"/>
        <v>4298.3</v>
      </c>
      <c r="F29" s="1276">
        <f t="shared" ref="F29:G29" si="14">F23+F28</f>
        <v>5388.4</v>
      </c>
      <c r="G29" s="1276">
        <f t="shared" si="14"/>
        <v>1298.8999999999999</v>
      </c>
      <c r="H29" s="1475">
        <f t="shared" ref="H29" si="15">H23+H28</f>
        <v>1296.5</v>
      </c>
      <c r="J29" s="211" t="s">
        <v>176</v>
      </c>
    </row>
    <row r="30" spans="1:10" ht="8.1" customHeight="1" thickTop="1" thickBot="1" x14ac:dyDescent="0.35">
      <c r="A30" s="224"/>
      <c r="B30" s="1130"/>
      <c r="C30" s="1130"/>
      <c r="D30" s="1130"/>
      <c r="E30" s="1130"/>
      <c r="F30" s="1130"/>
      <c r="G30" s="1130"/>
      <c r="H30" s="1503"/>
    </row>
    <row r="31" spans="1:10" s="309" customFormat="1" hidden="1" outlineLevel="1" x14ac:dyDescent="0.3">
      <c r="A31" s="309" t="s">
        <v>20</v>
      </c>
      <c r="B31" s="1033">
        <f t="shared" ref="B31:C31" si="16">B17-B29</f>
        <v>0</v>
      </c>
      <c r="C31" s="1033">
        <f t="shared" si="16"/>
        <v>0</v>
      </c>
      <c r="D31" s="1033">
        <f t="shared" ref="D31:E31" si="17">D17-D29</f>
        <v>0</v>
      </c>
      <c r="E31" s="1033">
        <f t="shared" si="17"/>
        <v>0</v>
      </c>
      <c r="F31" s="1033">
        <f t="shared" ref="F31:G31" si="18">F17-F29</f>
        <v>0</v>
      </c>
      <c r="G31" s="1033">
        <f t="shared" si="18"/>
        <v>0</v>
      </c>
      <c r="H31" s="1033">
        <f t="shared" ref="H31" si="19">H17-H29</f>
        <v>0</v>
      </c>
    </row>
    <row r="32" spans="1:10" collapsed="1" x14ac:dyDescent="0.3">
      <c r="A32" s="410" t="s">
        <v>1954</v>
      </c>
      <c r="B32" s="1015"/>
      <c r="C32" s="1015"/>
      <c r="D32" s="1015"/>
      <c r="E32" s="1015"/>
      <c r="F32" s="1015"/>
      <c r="G32" s="1015"/>
      <c r="H32" s="1015"/>
    </row>
    <row r="33" spans="1:8" x14ac:dyDescent="0.3">
      <c r="B33" s="1018"/>
      <c r="C33" s="1018"/>
      <c r="D33" s="1018"/>
      <c r="E33" s="1018"/>
      <c r="F33" s="1018"/>
      <c r="G33" s="1018"/>
      <c r="H33" s="1018"/>
    </row>
    <row r="34" spans="1:8" x14ac:dyDescent="0.3">
      <c r="B34" s="1018"/>
      <c r="C34" s="1018"/>
      <c r="D34" s="1018"/>
      <c r="E34" s="1018"/>
      <c r="F34" s="1018"/>
      <c r="G34" s="1018"/>
      <c r="H34" s="1018"/>
    </row>
    <row r="35" spans="1:8" x14ac:dyDescent="0.3">
      <c r="B35" s="1018"/>
      <c r="C35" s="1018"/>
      <c r="D35" s="1018"/>
      <c r="E35" s="1018"/>
      <c r="F35" s="1018"/>
      <c r="G35" s="1018"/>
      <c r="H35" s="1018"/>
    </row>
    <row r="36" spans="1:8" s="309" customFormat="1" outlineLevel="1" x14ac:dyDescent="0.3">
      <c r="A36" s="309" t="s">
        <v>556</v>
      </c>
      <c r="B36" s="309">
        <f t="shared" ref="B36:G36" si="20">B1</f>
        <v>2000</v>
      </c>
      <c r="C36" s="309">
        <f t="shared" si="20"/>
        <v>1999</v>
      </c>
      <c r="D36" s="309">
        <f t="shared" si="20"/>
        <v>1998</v>
      </c>
      <c r="E36" s="309">
        <f t="shared" si="20"/>
        <v>1997</v>
      </c>
      <c r="F36" s="309">
        <f t="shared" si="20"/>
        <v>1996</v>
      </c>
      <c r="G36" s="309">
        <f t="shared" si="20"/>
        <v>1995</v>
      </c>
      <c r="H36" s="309">
        <v>1994</v>
      </c>
    </row>
    <row r="38" spans="1:8" x14ac:dyDescent="0.3">
      <c r="A38" s="459" t="s">
        <v>1673</v>
      </c>
    </row>
    <row r="39" spans="1:8" x14ac:dyDescent="0.3">
      <c r="A39" s="152" t="s">
        <v>1834</v>
      </c>
    </row>
    <row r="40" spans="1:8" ht="9" customHeight="1" thickBot="1" x14ac:dyDescent="0.35">
      <c r="A40" s="152"/>
      <c r="B40" s="1018"/>
      <c r="C40" s="1018"/>
      <c r="D40" s="1018"/>
      <c r="E40" s="1018"/>
      <c r="F40" s="1018"/>
      <c r="G40" s="1018"/>
      <c r="H40" s="1018"/>
    </row>
    <row r="41" spans="1:8" x14ac:dyDescent="0.3">
      <c r="A41" s="212" t="s">
        <v>1250</v>
      </c>
      <c r="B41" s="712">
        <f t="shared" ref="B41:H41" si="21">B6</f>
        <v>2000</v>
      </c>
      <c r="C41" s="712">
        <f t="shared" si="21"/>
        <v>1999</v>
      </c>
      <c r="D41" s="712">
        <f t="shared" si="21"/>
        <v>1998</v>
      </c>
      <c r="E41" s="712">
        <f t="shared" si="21"/>
        <v>1997</v>
      </c>
      <c r="F41" s="712">
        <f t="shared" si="21"/>
        <v>1996</v>
      </c>
      <c r="G41" s="712">
        <f t="shared" si="21"/>
        <v>1995</v>
      </c>
      <c r="H41" s="713">
        <f t="shared" si="21"/>
        <v>1994</v>
      </c>
    </row>
    <row r="42" spans="1:8" x14ac:dyDescent="0.3">
      <c r="A42" s="214" t="s">
        <v>561</v>
      </c>
      <c r="B42" s="1015"/>
      <c r="C42" s="1015"/>
      <c r="D42" s="1015"/>
      <c r="E42" s="1015"/>
      <c r="F42" s="1015"/>
      <c r="G42" s="1015"/>
      <c r="H42" s="1105"/>
    </row>
    <row r="43" spans="1:8" x14ac:dyDescent="0.3">
      <c r="A43" s="214" t="s">
        <v>287</v>
      </c>
      <c r="B43" s="746">
        <v>35</v>
      </c>
      <c r="C43" s="746">
        <v>39</v>
      </c>
      <c r="D43" s="746">
        <v>63</v>
      </c>
      <c r="E43" s="746">
        <v>41</v>
      </c>
      <c r="F43" s="746">
        <v>54.6</v>
      </c>
      <c r="G43" s="746">
        <v>37.5</v>
      </c>
      <c r="H43" s="1473">
        <v>31.1</v>
      </c>
    </row>
    <row r="44" spans="1:8" x14ac:dyDescent="0.3">
      <c r="A44" s="214" t="s">
        <v>267</v>
      </c>
      <c r="B44" s="1223">
        <v>35</v>
      </c>
      <c r="C44" s="1223">
        <v>1</v>
      </c>
      <c r="D44" s="1223">
        <v>40</v>
      </c>
      <c r="E44" s="1223">
        <v>52.8</v>
      </c>
      <c r="F44" s="1223">
        <v>194.7</v>
      </c>
      <c r="G44" s="1223">
        <v>13</v>
      </c>
      <c r="H44" s="923">
        <v>-0.7</v>
      </c>
    </row>
    <row r="45" spans="1:8" x14ac:dyDescent="0.3">
      <c r="A45" s="214"/>
      <c r="B45" s="1488">
        <f t="shared" ref="B45:H45" si="22">SUM(B43:B44)</f>
        <v>70</v>
      </c>
      <c r="C45" s="1488">
        <f t="shared" si="22"/>
        <v>40</v>
      </c>
      <c r="D45" s="1488">
        <f t="shared" si="22"/>
        <v>103</v>
      </c>
      <c r="E45" s="1488">
        <f t="shared" si="22"/>
        <v>93.8</v>
      </c>
      <c r="F45" s="1488">
        <f t="shared" si="22"/>
        <v>249.29999999999998</v>
      </c>
      <c r="G45" s="1488">
        <f t="shared" si="22"/>
        <v>50.5</v>
      </c>
      <c r="H45" s="1489">
        <f t="shared" si="22"/>
        <v>30.400000000000002</v>
      </c>
    </row>
    <row r="46" spans="1:8" x14ac:dyDescent="0.3">
      <c r="A46" s="214"/>
      <c r="B46" s="1223"/>
      <c r="C46" s="1223"/>
      <c r="D46" s="1223"/>
      <c r="E46" s="1223"/>
      <c r="F46" s="1223"/>
      <c r="G46" s="1223"/>
      <c r="H46" s="923"/>
    </row>
    <row r="47" spans="1:8" x14ac:dyDescent="0.3">
      <c r="A47" s="214" t="s">
        <v>588</v>
      </c>
      <c r="B47" s="1223"/>
      <c r="C47" s="1223"/>
      <c r="D47" s="1223"/>
      <c r="E47" s="1223"/>
      <c r="F47" s="1223"/>
      <c r="G47" s="1223"/>
      <c r="H47" s="923"/>
    </row>
    <row r="48" spans="1:8" x14ac:dyDescent="0.3">
      <c r="A48" s="214" t="s">
        <v>591</v>
      </c>
      <c r="B48" s="1223">
        <v>6</v>
      </c>
      <c r="C48" s="1223">
        <v>6</v>
      </c>
      <c r="D48" s="1223">
        <v>6</v>
      </c>
      <c r="E48" s="1223">
        <v>6.6</v>
      </c>
      <c r="F48" s="1223">
        <v>5.0999999999999996</v>
      </c>
      <c r="G48" s="1223">
        <v>5.3</v>
      </c>
      <c r="H48" s="923">
        <v>5</v>
      </c>
    </row>
    <row r="49" spans="1:13" x14ac:dyDescent="0.3">
      <c r="A49" s="214" t="s">
        <v>592</v>
      </c>
      <c r="B49" s="1223">
        <v>17</v>
      </c>
      <c r="C49" s="1223">
        <v>17</v>
      </c>
      <c r="D49" s="1223">
        <v>17</v>
      </c>
      <c r="E49" s="1223">
        <v>15.4</v>
      </c>
      <c r="F49" s="1223">
        <v>13.3</v>
      </c>
      <c r="G49" s="1223">
        <v>11.6</v>
      </c>
      <c r="H49" s="923">
        <v>10.4</v>
      </c>
    </row>
    <row r="50" spans="1:13" x14ac:dyDescent="0.3">
      <c r="A50" s="214" t="s">
        <v>593</v>
      </c>
      <c r="B50" s="1223">
        <v>876</v>
      </c>
      <c r="C50" s="1223">
        <v>739</v>
      </c>
      <c r="D50" s="1223">
        <v>210</v>
      </c>
      <c r="E50" s="1223">
        <v>104.9</v>
      </c>
      <c r="F50" s="1223">
        <v>75.7</v>
      </c>
      <c r="G50" s="1223">
        <v>27</v>
      </c>
      <c r="H50" s="923">
        <v>22.5</v>
      </c>
    </row>
    <row r="51" spans="1:13" x14ac:dyDescent="0.3">
      <c r="A51" s="214" t="s">
        <v>566</v>
      </c>
      <c r="B51" s="1223">
        <v>98</v>
      </c>
      <c r="C51" s="1223">
        <v>106</v>
      </c>
      <c r="D51" s="1223">
        <v>96</v>
      </c>
      <c r="E51" s="1223">
        <v>101.1</v>
      </c>
      <c r="F51" s="1223">
        <v>90.9</v>
      </c>
      <c r="G51" s="1223">
        <v>55.3</v>
      </c>
      <c r="H51" s="923">
        <v>59.4</v>
      </c>
      <c r="M51" s="211" t="s">
        <v>176</v>
      </c>
    </row>
    <row r="52" spans="1:13" x14ac:dyDescent="0.3">
      <c r="A52" s="214" t="s">
        <v>594</v>
      </c>
      <c r="B52" s="1223">
        <v>0</v>
      </c>
      <c r="C52" s="1223">
        <v>0</v>
      </c>
      <c r="D52" s="1223">
        <v>0</v>
      </c>
      <c r="E52" s="1223">
        <v>-6.5</v>
      </c>
      <c r="F52" s="1223">
        <v>-2.8</v>
      </c>
      <c r="G52" s="1223">
        <v>-1.4</v>
      </c>
      <c r="H52" s="923">
        <v>1.7</v>
      </c>
    </row>
    <row r="53" spans="1:13" ht="31.2" x14ac:dyDescent="0.3">
      <c r="A53" s="282" t="s">
        <v>531</v>
      </c>
      <c r="B53" s="1223">
        <v>0</v>
      </c>
      <c r="C53" s="1223">
        <v>0</v>
      </c>
      <c r="D53" s="1223">
        <v>0</v>
      </c>
      <c r="E53" s="1223">
        <v>0</v>
      </c>
      <c r="F53" s="1223">
        <v>0</v>
      </c>
      <c r="G53" s="1223">
        <v>0</v>
      </c>
      <c r="H53" s="923">
        <v>7.5</v>
      </c>
    </row>
    <row r="54" spans="1:13" x14ac:dyDescent="0.3">
      <c r="A54" s="214"/>
      <c r="B54" s="1490">
        <f>SUM(B48:B53)</f>
        <v>997</v>
      </c>
      <c r="C54" s="1490">
        <f>SUM(C48:C53)</f>
        <v>868</v>
      </c>
      <c r="D54" s="1490">
        <f>SUM(D48:D53)</f>
        <v>329</v>
      </c>
      <c r="E54" s="1490">
        <f>SUM(E48:E53)</f>
        <v>221.5</v>
      </c>
      <c r="F54" s="1490">
        <f t="shared" ref="F54:G54" si="23">SUM(F48:F53)</f>
        <v>182.2</v>
      </c>
      <c r="G54" s="1490">
        <f t="shared" si="23"/>
        <v>97.799999999999983</v>
      </c>
      <c r="H54" s="1491">
        <f t="shared" ref="H54" si="24">SUM(H48:H53)</f>
        <v>106.5</v>
      </c>
    </row>
    <row r="55" spans="1:13" x14ac:dyDescent="0.3">
      <c r="A55" s="214" t="s">
        <v>597</v>
      </c>
      <c r="B55" s="1223">
        <f t="shared" ref="B55:C55" si="25">B45-B54</f>
        <v>-927</v>
      </c>
      <c r="C55" s="1223">
        <f t="shared" si="25"/>
        <v>-828</v>
      </c>
      <c r="D55" s="1223">
        <f t="shared" ref="D55:E55" si="26">D45-D54</f>
        <v>-226</v>
      </c>
      <c r="E55" s="1223">
        <f t="shared" si="26"/>
        <v>-127.7</v>
      </c>
      <c r="F55" s="1223">
        <f t="shared" ref="F55:G55" si="27">F45-F54</f>
        <v>67.099999999999994</v>
      </c>
      <c r="G55" s="1223">
        <f t="shared" si="27"/>
        <v>-47.299999999999983</v>
      </c>
      <c r="H55" s="923">
        <f t="shared" ref="H55" si="28">H45-H54</f>
        <v>-76.099999999999994</v>
      </c>
    </row>
    <row r="56" spans="1:13" x14ac:dyDescent="0.3">
      <c r="A56" s="214" t="s">
        <v>595</v>
      </c>
      <c r="B56" s="1223">
        <v>-55</v>
      </c>
      <c r="C56" s="1223">
        <v>-119</v>
      </c>
      <c r="D56" s="1223">
        <v>-33</v>
      </c>
      <c r="E56" s="1223">
        <v>-16.8</v>
      </c>
      <c r="F56" s="1223">
        <v>43.7</v>
      </c>
      <c r="G56" s="1223">
        <v>-13.3</v>
      </c>
      <c r="H56" s="923">
        <v>-22.8</v>
      </c>
    </row>
    <row r="57" spans="1:13" x14ac:dyDescent="0.3">
      <c r="A57" s="214"/>
      <c r="B57" s="1490">
        <f t="shared" ref="B57:C57" si="29">B55-B56</f>
        <v>-872</v>
      </c>
      <c r="C57" s="1490">
        <f t="shared" si="29"/>
        <v>-709</v>
      </c>
      <c r="D57" s="1490">
        <f t="shared" ref="D57:E57" si="30">D55-D56</f>
        <v>-193</v>
      </c>
      <c r="E57" s="1490">
        <f t="shared" si="30"/>
        <v>-110.9</v>
      </c>
      <c r="F57" s="1490">
        <f t="shared" ref="F57:G57" si="31">F55-F56</f>
        <v>23.399999999999991</v>
      </c>
      <c r="G57" s="1490">
        <f t="shared" si="31"/>
        <v>-33.999999999999986</v>
      </c>
      <c r="H57" s="1491">
        <f t="shared" ref="H57" si="32">H55-H56</f>
        <v>-53.3</v>
      </c>
    </row>
    <row r="58" spans="1:13" x14ac:dyDescent="0.3">
      <c r="A58" s="282" t="s">
        <v>534</v>
      </c>
      <c r="B58" s="1223">
        <v>5</v>
      </c>
      <c r="C58" s="1223">
        <v>1</v>
      </c>
      <c r="D58" s="1223">
        <v>5</v>
      </c>
      <c r="E58" s="1223">
        <v>7.7</v>
      </c>
      <c r="F58" s="1223">
        <v>7.8</v>
      </c>
      <c r="G58" s="1223">
        <v>1.3</v>
      </c>
      <c r="H58" s="923">
        <v>-0.5</v>
      </c>
    </row>
    <row r="59" spans="1:13" ht="16.2" thickBot="1" x14ac:dyDescent="0.35">
      <c r="A59" s="214" t="s">
        <v>596</v>
      </c>
      <c r="B59" s="1276">
        <f t="shared" ref="B59:C59" si="33">B57-B58</f>
        <v>-877</v>
      </c>
      <c r="C59" s="1276">
        <f t="shared" si="33"/>
        <v>-710</v>
      </c>
      <c r="D59" s="1276">
        <f t="shared" ref="D59:E59" si="34">D57-D58</f>
        <v>-198</v>
      </c>
      <c r="E59" s="1276">
        <f t="shared" si="34"/>
        <v>-118.60000000000001</v>
      </c>
      <c r="F59" s="1276">
        <f t="shared" ref="F59:G59" si="35">F57-F58</f>
        <v>15.599999999999991</v>
      </c>
      <c r="G59" s="1276">
        <f t="shared" si="35"/>
        <v>-35.299999999999983</v>
      </c>
      <c r="H59" s="1475">
        <f t="shared" ref="H59" si="36">H57-H58</f>
        <v>-52.8</v>
      </c>
    </row>
    <row r="60" spans="1:13" ht="16.8" thickTop="1" thickBot="1" x14ac:dyDescent="0.35">
      <c r="A60" s="224"/>
      <c r="B60" s="1036"/>
      <c r="C60" s="1036"/>
      <c r="D60" s="1036"/>
      <c r="E60" s="1036"/>
      <c r="F60" s="1036"/>
      <c r="G60" s="1036"/>
      <c r="H60" s="1472"/>
    </row>
    <row r="61" spans="1:13" x14ac:dyDescent="0.3">
      <c r="A61" s="410" t="s">
        <v>1954</v>
      </c>
      <c r="B61" s="1018"/>
      <c r="C61" s="1018"/>
      <c r="D61" s="1018"/>
      <c r="E61" s="1018"/>
      <c r="F61" s="1018"/>
      <c r="G61" s="1018"/>
      <c r="H61" s="1018"/>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FA321-C8B8-40A9-9B4E-708A594F7D3F}">
  <sheetPr codeName="Sheet63">
    <tabColor theme="9" tint="0.59999389629810485"/>
  </sheetPr>
  <dimension ref="A1:N130"/>
  <sheetViews>
    <sheetView showGridLines="0" zoomScale="85" zoomScaleNormal="85" workbookViewId="0">
      <pane xSplit="1" topLeftCell="B1" activePane="topRight" state="frozen"/>
      <selection pane="topRight" activeCell="N31" sqref="N31"/>
    </sheetView>
  </sheetViews>
  <sheetFormatPr defaultColWidth="8.6640625" defaultRowHeight="13.8" outlineLevelRow="1" outlineLevelCol="1" x14ac:dyDescent="0.25"/>
  <cols>
    <col min="1" max="1" width="51.5546875" style="1" customWidth="1"/>
    <col min="2" max="9" width="12.88671875" style="1" customWidth="1" outlineLevel="1"/>
    <col min="10" max="10" width="12.6640625" style="1" bestFit="1" customWidth="1"/>
    <col min="11" max="11" width="1.5546875" style="1" customWidth="1"/>
    <col min="12" max="12" width="12.6640625" style="1" bestFit="1" customWidth="1"/>
    <col min="13" max="13" width="11.109375" style="1" bestFit="1" customWidth="1"/>
    <col min="14" max="16384" width="8.6640625" style="1"/>
  </cols>
  <sheetData>
    <row r="1" spans="1:13" x14ac:dyDescent="0.25">
      <c r="A1" s="1" t="s">
        <v>1003</v>
      </c>
      <c r="B1" s="2">
        <v>1538756</v>
      </c>
      <c r="C1" s="2">
        <v>1536630</v>
      </c>
      <c r="D1" s="2">
        <v>1534657</v>
      </c>
      <c r="E1" s="2">
        <v>1528217</v>
      </c>
      <c r="F1" s="2">
        <v>1526230</v>
      </c>
      <c r="G1" s="2">
        <v>1520562</v>
      </c>
    </row>
    <row r="2" spans="1:13" ht="14.4" thickBot="1" x14ac:dyDescent="0.3"/>
    <row r="3" spans="1:13" x14ac:dyDescent="0.25">
      <c r="A3" s="85"/>
      <c r="B3" s="86">
        <v>2004</v>
      </c>
      <c r="C3" s="86">
        <v>2003</v>
      </c>
      <c r="D3" s="86">
        <v>2002</v>
      </c>
      <c r="E3" s="86">
        <v>2001</v>
      </c>
      <c r="F3" s="86">
        <v>2000</v>
      </c>
      <c r="G3" s="86">
        <v>1999</v>
      </c>
      <c r="H3" s="86">
        <v>1998</v>
      </c>
      <c r="I3" s="86">
        <v>1997</v>
      </c>
      <c r="J3" s="86">
        <v>1996</v>
      </c>
      <c r="K3" s="86"/>
      <c r="L3" s="87">
        <v>1995</v>
      </c>
    </row>
    <row r="4" spans="1:13" s="36" customFormat="1" hidden="1" outlineLevel="1" x14ac:dyDescent="0.25">
      <c r="A4" s="35" t="s">
        <v>939</v>
      </c>
      <c r="B4" s="178">
        <f>(40020+22846+37717+2346)/B1*1000000</f>
        <v>66891.047053593938</v>
      </c>
      <c r="C4" s="178">
        <f>(31262+26116+35287+2924)/C1*1000000</f>
        <v>62206.907323168234</v>
      </c>
      <c r="D4" s="178">
        <f>(10294+38096+28363+4044)/D1*1000000</f>
        <v>52648.246481135524</v>
      </c>
      <c r="E4" s="178">
        <f>(5313+36509+28675+1974)/1528217*1000000</f>
        <v>47421.930262521615</v>
      </c>
      <c r="F4" s="178">
        <f>(5263+32567+37619+1637)/1526230*1000000</f>
        <v>50507.459557209593</v>
      </c>
      <c r="G4" s="179"/>
      <c r="H4" s="179"/>
      <c r="I4" s="179"/>
      <c r="J4" s="179"/>
      <c r="K4" s="179"/>
      <c r="L4" s="180"/>
    </row>
    <row r="5" spans="1:13" s="36" customFormat="1" hidden="1" outlineLevel="1" x14ac:dyDescent="0.25">
      <c r="A5" s="35"/>
      <c r="B5" s="179"/>
      <c r="C5" s="179"/>
      <c r="D5" s="179"/>
      <c r="E5" s="179"/>
      <c r="F5" s="179"/>
      <c r="G5" s="179"/>
      <c r="H5" s="179"/>
      <c r="I5" s="179"/>
      <c r="J5" s="179"/>
      <c r="K5" s="179"/>
      <c r="L5" s="180"/>
    </row>
    <row r="6" spans="1:13" ht="16.8" collapsed="1" x14ac:dyDescent="0.25">
      <c r="A6" s="6" t="s">
        <v>940</v>
      </c>
      <c r="B6" s="3">
        <f>B4</f>
        <v>66891.047053593938</v>
      </c>
      <c r="C6" s="3">
        <f>C4</f>
        <v>62206.907323168234</v>
      </c>
      <c r="D6" s="3">
        <f>D4</f>
        <v>52648.246481135524</v>
      </c>
      <c r="E6" s="3">
        <f>E4</f>
        <v>47421.930262521615</v>
      </c>
      <c r="F6" s="3">
        <f>F4</f>
        <v>50507.459557209593</v>
      </c>
      <c r="G6" s="3">
        <v>47339</v>
      </c>
      <c r="H6" s="3">
        <v>47647</v>
      </c>
      <c r="I6" s="3">
        <v>38043</v>
      </c>
      <c r="J6" s="3">
        <v>28500</v>
      </c>
      <c r="K6" s="3"/>
      <c r="L6" s="68">
        <v>22088</v>
      </c>
    </row>
    <row r="7" spans="1:13" ht="16.8" x14ac:dyDescent="0.25">
      <c r="A7" s="67" t="s">
        <v>1008</v>
      </c>
      <c r="B7" s="181">
        <f>(7440-2824)/B1*1000000</f>
        <v>2999.8258333354997</v>
      </c>
      <c r="C7" s="181">
        <f>(7717-3223)/C1*1000000</f>
        <v>2924.5817145311494</v>
      </c>
      <c r="D7" s="181">
        <f>(6035-3050-500)/D1*1000000</f>
        <v>1619.2543350077576</v>
      </c>
      <c r="E7" s="181">
        <f>(863-2824)/E1*1000000</f>
        <v>-1283.194729544299</v>
      </c>
      <c r="F7" s="181">
        <f>(2493-2787)/F1*1000000</f>
        <v>-192.63151687491401</v>
      </c>
      <c r="G7" s="181">
        <v>-458.55</v>
      </c>
      <c r="H7" s="3">
        <v>474.45</v>
      </c>
      <c r="I7" s="3">
        <v>717.82</v>
      </c>
      <c r="J7" s="3">
        <v>421.39</v>
      </c>
      <c r="K7" s="3"/>
      <c r="L7" s="68">
        <v>258.2</v>
      </c>
    </row>
    <row r="8" spans="1:13" x14ac:dyDescent="0.25">
      <c r="A8" s="67" t="s">
        <v>931</v>
      </c>
      <c r="B8" s="174">
        <f t="shared" ref="B8:L8" si="0">B6+(10*B7)</f>
        <v>96889.305386948938</v>
      </c>
      <c r="C8" s="174">
        <f t="shared" si="0"/>
        <v>91452.724468479719</v>
      </c>
      <c r="D8" s="174">
        <f t="shared" si="0"/>
        <v>68840.7898312131</v>
      </c>
      <c r="E8" s="174">
        <f t="shared" si="0"/>
        <v>34589.982967078628</v>
      </c>
      <c r="F8" s="174">
        <f t="shared" si="0"/>
        <v>48581.144388460452</v>
      </c>
      <c r="G8" s="174">
        <f t="shared" si="0"/>
        <v>42753.5</v>
      </c>
      <c r="H8" s="174">
        <f t="shared" si="0"/>
        <v>52391.5</v>
      </c>
      <c r="I8" s="174">
        <f t="shared" si="0"/>
        <v>45221.2</v>
      </c>
      <c r="J8" s="174">
        <f t="shared" si="0"/>
        <v>32713.9</v>
      </c>
      <c r="K8" s="174"/>
      <c r="L8" s="175">
        <f t="shared" si="0"/>
        <v>24670</v>
      </c>
      <c r="M8" s="3"/>
    </row>
    <row r="9" spans="1:13" s="184" customFormat="1" ht="16.8" outlineLevel="1" x14ac:dyDescent="0.25">
      <c r="A9" s="182" t="s">
        <v>1005</v>
      </c>
      <c r="B9" s="185"/>
      <c r="C9" s="185"/>
      <c r="D9" s="185">
        <f>(6035-3050+1393-500)/D1*1000000*10</f>
        <v>25269.490185754861</v>
      </c>
      <c r="E9" s="185">
        <f>(863--1243)/E1*1000000*10</f>
        <v>13780.765427946424</v>
      </c>
      <c r="F9" s="185">
        <f>(2493-1202)/F1*1000000*10</f>
        <v>8458.7513022283674</v>
      </c>
      <c r="G9" s="185">
        <f>(1925-1088)/G1*1000000*10</f>
        <v>5504.543714758096</v>
      </c>
      <c r="H9" s="181"/>
      <c r="I9" s="181"/>
      <c r="J9" s="181"/>
      <c r="K9" s="181"/>
      <c r="L9" s="183"/>
      <c r="M9" s="181"/>
    </row>
    <row r="10" spans="1:13" s="184" customFormat="1" outlineLevel="1" x14ac:dyDescent="0.25">
      <c r="A10" s="182" t="s">
        <v>941</v>
      </c>
      <c r="B10" s="181"/>
      <c r="C10" s="181"/>
      <c r="D10" s="181">
        <f>D6+D9</f>
        <v>77917.736666890385</v>
      </c>
      <c r="E10" s="181">
        <f>E6+E9</f>
        <v>61202.695690468041</v>
      </c>
      <c r="F10" s="181">
        <f>F6+F9</f>
        <v>58966.210859437961</v>
      </c>
      <c r="G10" s="181">
        <f>G6+G9</f>
        <v>52843.543714758096</v>
      </c>
      <c r="H10" s="181"/>
      <c r="I10" s="181"/>
      <c r="J10" s="181"/>
      <c r="K10" s="181"/>
      <c r="L10" s="183"/>
      <c r="M10" s="181"/>
    </row>
    <row r="11" spans="1:13" s="184" customFormat="1" outlineLevel="1" x14ac:dyDescent="0.25">
      <c r="A11" s="182" t="s">
        <v>942</v>
      </c>
      <c r="B11" s="186">
        <f>B8/C8-1</f>
        <v>5.9446899478024839E-2</v>
      </c>
      <c r="C11" s="186">
        <f>C8/D10-1</f>
        <v>0.17370868791342553</v>
      </c>
      <c r="D11" s="186">
        <f>D10/E10-1</f>
        <v>0.27310955486272182</v>
      </c>
      <c r="E11" s="186">
        <f>E10/F10-1</f>
        <v>3.7928243962654262E-2</v>
      </c>
      <c r="F11" s="186">
        <f>F10/G10-1</f>
        <v>0.11586405290548174</v>
      </c>
      <c r="G11" s="186">
        <f>G8/H8-1</f>
        <v>-0.18396113873433673</v>
      </c>
      <c r="H11" s="186">
        <f>H8/I8-1</f>
        <v>0.15856058662751105</v>
      </c>
      <c r="I11" s="186">
        <f t="shared" ref="I11" si="1">I8/J8-1</f>
        <v>0.38232372172073625</v>
      </c>
      <c r="J11" s="186">
        <f>J8/L8-1</f>
        <v>0.3260599918929874</v>
      </c>
      <c r="K11" s="186"/>
      <c r="L11" s="194"/>
      <c r="M11" s="181"/>
    </row>
    <row r="12" spans="1:13" s="184" customFormat="1" outlineLevel="1" x14ac:dyDescent="0.25">
      <c r="A12" s="182" t="s">
        <v>936</v>
      </c>
      <c r="B12" s="185">
        <f>B16/B8</f>
        <v>0.90722087075505231</v>
      </c>
      <c r="C12" s="185">
        <f>C16/C8</f>
        <v>0.92124100719424462</v>
      </c>
      <c r="D12" s="185">
        <f>D16/D10</f>
        <v>0.93367701773752476</v>
      </c>
      <c r="E12" s="185">
        <f>E16/E10</f>
        <v>1.2352397087596625</v>
      </c>
      <c r="F12" s="185">
        <f>F16/F10</f>
        <v>1.2040794035290459</v>
      </c>
      <c r="G12" s="185">
        <f>G16/G10</f>
        <v>1.0616244872376424</v>
      </c>
      <c r="H12" s="185">
        <f>H16/H8</f>
        <v>1.3360945954973613</v>
      </c>
      <c r="I12" s="185">
        <f>I16/I8</f>
        <v>1.0172220109152346</v>
      </c>
      <c r="J12" s="185">
        <f>J16/J8</f>
        <v>1.0423703685589305</v>
      </c>
      <c r="K12" s="185"/>
      <c r="L12" s="195">
        <f>L16/L8</f>
        <v>1.3011755168220511</v>
      </c>
      <c r="M12" s="181"/>
    </row>
    <row r="13" spans="1:13" x14ac:dyDescent="0.25">
      <c r="A13" s="6"/>
      <c r="B13" s="11"/>
      <c r="C13" s="11"/>
      <c r="D13" s="11"/>
      <c r="E13" s="11"/>
      <c r="F13" s="11"/>
      <c r="G13" s="11"/>
      <c r="H13" s="11"/>
      <c r="I13" s="11"/>
      <c r="J13" s="11"/>
      <c r="K13" s="11"/>
      <c r="L13" s="64"/>
    </row>
    <row r="14" spans="1:13" x14ac:dyDescent="0.25">
      <c r="A14" s="6" t="s">
        <v>176</v>
      </c>
      <c r="L14" s="8"/>
    </row>
    <row r="15" spans="1:13" x14ac:dyDescent="0.25">
      <c r="A15" s="6"/>
      <c r="B15" s="187"/>
      <c r="C15" s="187"/>
      <c r="D15" s="187"/>
      <c r="E15" s="187"/>
      <c r="F15" s="187"/>
      <c r="G15" s="187"/>
      <c r="H15" s="187"/>
      <c r="I15" s="187"/>
      <c r="J15" s="3"/>
      <c r="K15" s="3"/>
      <c r="L15" s="68"/>
    </row>
    <row r="16" spans="1:13" x14ac:dyDescent="0.25">
      <c r="A16" s="6" t="s">
        <v>927</v>
      </c>
      <c r="B16" s="3">
        <v>87900</v>
      </c>
      <c r="C16" s="3">
        <v>84250</v>
      </c>
      <c r="D16" s="3">
        <v>72750</v>
      </c>
      <c r="E16" s="3">
        <v>75600</v>
      </c>
      <c r="F16" s="3">
        <v>71000</v>
      </c>
      <c r="G16" s="3">
        <v>56100</v>
      </c>
      <c r="H16" s="3">
        <v>70000</v>
      </c>
      <c r="I16" s="3">
        <v>46000</v>
      </c>
      <c r="J16" s="3">
        <v>34100</v>
      </c>
      <c r="K16" s="3"/>
      <c r="L16" s="68">
        <v>32100</v>
      </c>
    </row>
    <row r="17" spans="1:13" x14ac:dyDescent="0.25">
      <c r="A17" s="6" t="s">
        <v>930</v>
      </c>
      <c r="B17" s="3">
        <v>55824</v>
      </c>
      <c r="C17" s="3">
        <v>50498</v>
      </c>
      <c r="D17" s="3">
        <v>41727</v>
      </c>
      <c r="E17" s="3">
        <v>37920</v>
      </c>
      <c r="F17" s="3">
        <v>40442</v>
      </c>
      <c r="G17" s="3">
        <v>37987</v>
      </c>
      <c r="H17" s="3">
        <v>37801</v>
      </c>
      <c r="I17" s="3">
        <v>25488</v>
      </c>
      <c r="J17" s="3">
        <v>19011</v>
      </c>
      <c r="K17" s="3"/>
      <c r="L17" s="68">
        <v>14025</v>
      </c>
    </row>
    <row r="18" spans="1:13" x14ac:dyDescent="0.25">
      <c r="A18" s="6"/>
      <c r="B18" s="3"/>
      <c r="C18" s="3"/>
      <c r="D18" s="3"/>
      <c r="E18" s="3"/>
      <c r="F18" s="3"/>
      <c r="G18" s="3"/>
      <c r="H18" s="3"/>
      <c r="I18" s="3"/>
      <c r="J18" s="3"/>
      <c r="K18" s="3"/>
      <c r="L18" s="68"/>
    </row>
    <row r="19" spans="1:13" x14ac:dyDescent="0.25">
      <c r="A19" s="6" t="s">
        <v>936</v>
      </c>
      <c r="B19" s="31">
        <f>B16/B8</f>
        <v>0.90722087075505231</v>
      </c>
      <c r="C19" s="31">
        <f>C16/C8</f>
        <v>0.92124100719424462</v>
      </c>
      <c r="D19" s="31">
        <f>D16/D10</f>
        <v>0.93367701773752476</v>
      </c>
      <c r="E19" s="31">
        <f>E16/E10</f>
        <v>1.2352397087596625</v>
      </c>
      <c r="F19" s="31">
        <f>F16/F10</f>
        <v>1.2040794035290459</v>
      </c>
      <c r="G19" s="31">
        <f>G16/G8</f>
        <v>1.3121732723636661</v>
      </c>
      <c r="H19" s="31">
        <f>H16/H8</f>
        <v>1.3360945954973613</v>
      </c>
      <c r="I19" s="31">
        <f>I16/I8</f>
        <v>1.0172220109152346</v>
      </c>
      <c r="J19" s="31">
        <f>J16/J8</f>
        <v>1.0423703685589305</v>
      </c>
      <c r="K19" s="31"/>
      <c r="L19" s="89">
        <f>L16/L8</f>
        <v>1.3011755168220511</v>
      </c>
    </row>
    <row r="20" spans="1:13" x14ac:dyDescent="0.25">
      <c r="A20" s="6" t="s">
        <v>929</v>
      </c>
      <c r="B20" s="31">
        <f>B16/B17</f>
        <v>1.574591573516767</v>
      </c>
      <c r="C20" s="31">
        <f>C16/C17</f>
        <v>1.668382906253713</v>
      </c>
      <c r="D20" s="31">
        <f>D16/D17</f>
        <v>1.7434754475519447</v>
      </c>
      <c r="E20" s="31">
        <f t="shared" ref="E20" si="2">E16/E17</f>
        <v>1.9936708860759493</v>
      </c>
      <c r="F20" s="31">
        <f t="shared" ref="F20:L20" si="3">F16/F17</f>
        <v>1.7556006132238762</v>
      </c>
      <c r="G20" s="31">
        <f t="shared" si="3"/>
        <v>1.4768210177165872</v>
      </c>
      <c r="H20" s="31">
        <f t="shared" si="3"/>
        <v>1.8518028623581386</v>
      </c>
      <c r="I20" s="31">
        <f t="shared" si="3"/>
        <v>1.8047708725674827</v>
      </c>
      <c r="J20" s="31">
        <f t="shared" si="3"/>
        <v>1.7936983851454422</v>
      </c>
      <c r="K20" s="31"/>
      <c r="L20" s="89">
        <f t="shared" si="3"/>
        <v>2.2887700534759357</v>
      </c>
    </row>
    <row r="21" spans="1:13" x14ac:dyDescent="0.25">
      <c r="A21" s="6" t="s">
        <v>1004</v>
      </c>
      <c r="B21" s="31">
        <f>B8/B17</f>
        <v>1.7356209764070818</v>
      </c>
      <c r="C21" s="31">
        <f>C8/C17</f>
        <v>1.8110167624159317</v>
      </c>
      <c r="D21" s="31">
        <f>D10/D17</f>
        <v>1.8673217980418046</v>
      </c>
      <c r="E21" s="31">
        <f>E10/E17</f>
        <v>1.6139951395165624</v>
      </c>
      <c r="F21" s="31">
        <f>F10/F17</f>
        <v>1.4580438865396854</v>
      </c>
      <c r="G21" s="31">
        <f>G10/G17</f>
        <v>1.3910954725237079</v>
      </c>
      <c r="H21" s="31">
        <f>H8/H17</f>
        <v>1.3859818523319489</v>
      </c>
      <c r="I21" s="31">
        <f>I8/I17</f>
        <v>1.774215317011927</v>
      </c>
      <c r="J21" s="31">
        <f>J8/J17</f>
        <v>1.7207879648624482</v>
      </c>
      <c r="K21" s="31"/>
      <c r="L21" s="89">
        <f>L8/L17</f>
        <v>1.7590017825311943</v>
      </c>
    </row>
    <row r="22" spans="1:13" x14ac:dyDescent="0.25">
      <c r="A22" s="6"/>
      <c r="L22" s="8"/>
    </row>
    <row r="23" spans="1:13" x14ac:dyDescent="0.25">
      <c r="A23" s="6" t="s">
        <v>937</v>
      </c>
      <c r="B23" s="69">
        <f>B8/C8-1</f>
        <v>5.9446899478024839E-2</v>
      </c>
      <c r="C23" s="69">
        <f>C8/D10-1</f>
        <v>0.17370868791342553</v>
      </c>
      <c r="D23" s="69">
        <f>D10/E10-1</f>
        <v>0.27310955486272182</v>
      </c>
      <c r="E23" s="69">
        <f>E10/F10-1</f>
        <v>3.7928243962654262E-2</v>
      </c>
      <c r="F23" s="69">
        <f>F10/G8-1</f>
        <v>0.37921365173466404</v>
      </c>
      <c r="G23" s="69">
        <f>G8/H8-1</f>
        <v>-0.18396113873433673</v>
      </c>
      <c r="H23" s="69">
        <f>H8/I8-1</f>
        <v>0.15856058662751105</v>
      </c>
      <c r="I23" s="69">
        <f>I8/J8-1</f>
        <v>0.38232372172073625</v>
      </c>
      <c r="J23" s="69">
        <f>J8/L8-1</f>
        <v>0.3260599918929874</v>
      </c>
      <c r="K23" s="69"/>
      <c r="L23" s="68"/>
      <c r="M23" s="69"/>
    </row>
    <row r="24" spans="1:13" ht="14.4" thickBot="1" x14ac:dyDescent="0.3">
      <c r="A24" s="9" t="s">
        <v>928</v>
      </c>
      <c r="B24" s="176">
        <f t="shared" ref="B24:I24" si="4">B16/C16-1</f>
        <v>4.3323442136498524E-2</v>
      </c>
      <c r="C24" s="176">
        <f t="shared" si="4"/>
        <v>0.15807560137457055</v>
      </c>
      <c r="D24" s="176">
        <f t="shared" si="4"/>
        <v>-3.7698412698412676E-2</v>
      </c>
      <c r="E24" s="176">
        <f t="shared" si="4"/>
        <v>6.4788732394366111E-2</v>
      </c>
      <c r="F24" s="176">
        <f t="shared" si="4"/>
        <v>0.26559714795008915</v>
      </c>
      <c r="G24" s="176">
        <f t="shared" si="4"/>
        <v>-0.19857142857142862</v>
      </c>
      <c r="H24" s="176">
        <f t="shared" si="4"/>
        <v>0.52173913043478271</v>
      </c>
      <c r="I24" s="176">
        <f t="shared" si="4"/>
        <v>0.34897360703812308</v>
      </c>
      <c r="J24" s="176">
        <f>J16/L16-1</f>
        <v>6.230529595015577E-2</v>
      </c>
      <c r="K24" s="176"/>
      <c r="L24" s="56"/>
    </row>
    <row r="26" spans="1:13" x14ac:dyDescent="0.25">
      <c r="A26" s="1" t="s">
        <v>282</v>
      </c>
      <c r="B26" s="13">
        <v>188874</v>
      </c>
      <c r="C26" s="13">
        <v>180559</v>
      </c>
      <c r="D26" s="13">
        <v>169544</v>
      </c>
      <c r="E26" s="13">
        <v>162752</v>
      </c>
      <c r="F26" s="13">
        <v>135792</v>
      </c>
      <c r="G26" s="13">
        <v>131416</v>
      </c>
      <c r="H26" s="13">
        <v>122237</v>
      </c>
      <c r="I26" s="13">
        <v>56111</v>
      </c>
      <c r="J26" s="13">
        <v>43409</v>
      </c>
      <c r="K26" s="13"/>
      <c r="L26" s="13">
        <v>28711</v>
      </c>
    </row>
    <row r="27" spans="1:13" x14ac:dyDescent="0.25">
      <c r="A27" s="1" t="s">
        <v>932</v>
      </c>
      <c r="B27" s="13">
        <f>3450+5387</f>
        <v>8837</v>
      </c>
      <c r="C27" s="13">
        <f>4182+4937</f>
        <v>9119</v>
      </c>
      <c r="D27" s="13">
        <f>4775+4513</f>
        <v>9288</v>
      </c>
      <c r="E27" s="13">
        <f>3455+9049</f>
        <v>12504</v>
      </c>
      <c r="F27" s="13">
        <f>(2611+2168)</f>
        <v>4779</v>
      </c>
      <c r="G27" s="13">
        <v>2465</v>
      </c>
      <c r="H27" s="13">
        <v>2385</v>
      </c>
      <c r="I27" s="13">
        <v>2267</v>
      </c>
      <c r="J27" s="13">
        <v>1944</v>
      </c>
      <c r="K27" s="13"/>
      <c r="L27" s="13">
        <v>1062</v>
      </c>
    </row>
    <row r="28" spans="1:13" x14ac:dyDescent="0.25">
      <c r="A28" s="1" t="s">
        <v>933</v>
      </c>
      <c r="B28" s="13">
        <v>85900</v>
      </c>
      <c r="C28" s="13">
        <v>77596</v>
      </c>
      <c r="D28" s="13">
        <v>64037</v>
      </c>
      <c r="E28" s="13">
        <v>57950</v>
      </c>
      <c r="F28" s="13">
        <v>61724</v>
      </c>
      <c r="G28" s="13">
        <v>57761</v>
      </c>
      <c r="H28" s="13">
        <v>57403</v>
      </c>
      <c r="I28" s="13">
        <v>31455</v>
      </c>
      <c r="J28" s="13">
        <v>23427</v>
      </c>
      <c r="K28" s="13"/>
      <c r="L28" s="13">
        <v>16739</v>
      </c>
    </row>
    <row r="30" spans="1:13" x14ac:dyDescent="0.25">
      <c r="A30" s="1" t="s">
        <v>934</v>
      </c>
      <c r="B30" s="29">
        <f t="shared" ref="B30:C30" si="5">B27/B28</f>
        <v>0.10287543655413271</v>
      </c>
      <c r="C30" s="29">
        <f t="shared" si="5"/>
        <v>0.11751894427547811</v>
      </c>
      <c r="D30" s="29">
        <f t="shared" ref="D30:E30" si="6">D27/D28</f>
        <v>0.14504114808626262</v>
      </c>
      <c r="E30" s="29">
        <f t="shared" si="6"/>
        <v>0.21577221742881794</v>
      </c>
      <c r="F30" s="29">
        <f t="shared" ref="F30:L30" si="7">F27/F28</f>
        <v>7.7425312682262978E-2</v>
      </c>
      <c r="G30" s="29">
        <f t="shared" si="7"/>
        <v>4.2675853949896987E-2</v>
      </c>
      <c r="H30" s="29">
        <f t="shared" si="7"/>
        <v>4.1548351131473968E-2</v>
      </c>
      <c r="I30" s="29">
        <f t="shared" si="7"/>
        <v>7.2071212843745028E-2</v>
      </c>
      <c r="J30" s="29">
        <f t="shared" si="7"/>
        <v>8.2981175566653867E-2</v>
      </c>
      <c r="K30" s="29"/>
      <c r="L30" s="29">
        <f t="shared" si="7"/>
        <v>6.344465021805365E-2</v>
      </c>
    </row>
    <row r="31" spans="1:13" x14ac:dyDescent="0.25">
      <c r="A31" s="1" t="s">
        <v>935</v>
      </c>
      <c r="B31" s="31">
        <f>B26/B28</f>
        <v>2.198766006984866</v>
      </c>
      <c r="C31" s="31">
        <f>C26/C28</f>
        <v>2.3269111809887106</v>
      </c>
      <c r="D31" s="31">
        <f>D26/D28</f>
        <v>2.6475943595109079</v>
      </c>
      <c r="E31" s="31">
        <f>E26/E28</f>
        <v>2.8084900776531492</v>
      </c>
      <c r="F31" s="31">
        <f t="shared" ref="F31:L31" si="8">F26/F28</f>
        <v>2.1999870390771825</v>
      </c>
      <c r="G31" s="31">
        <f t="shared" si="8"/>
        <v>2.2751683661986459</v>
      </c>
      <c r="H31" s="31">
        <f t="shared" si="8"/>
        <v>2.1294531644687562</v>
      </c>
      <c r="I31" s="31">
        <f t="shared" si="8"/>
        <v>1.7838499443649658</v>
      </c>
      <c r="J31" s="31">
        <f t="shared" si="8"/>
        <v>1.8529474537926325</v>
      </c>
      <c r="K31" s="31"/>
      <c r="L31" s="31">
        <f t="shared" si="8"/>
        <v>1.7152159627217873</v>
      </c>
    </row>
    <row r="33" spans="1:11" x14ac:dyDescent="0.25">
      <c r="A33" s="1" t="s">
        <v>938</v>
      </c>
      <c r="B33" s="177" t="s">
        <v>826</v>
      </c>
      <c r="C33" s="177" t="s">
        <v>826</v>
      </c>
      <c r="D33" s="177" t="s">
        <v>826</v>
      </c>
      <c r="E33" s="177" t="s">
        <v>826</v>
      </c>
      <c r="F33" s="177" t="s">
        <v>826</v>
      </c>
      <c r="G33" s="177" t="s">
        <v>826</v>
      </c>
      <c r="H33" s="177" t="s">
        <v>826</v>
      </c>
      <c r="I33" s="13">
        <v>1930</v>
      </c>
      <c r="J33" s="13">
        <v>1522</v>
      </c>
      <c r="K33" s="13"/>
    </row>
    <row r="35" spans="1:11" x14ac:dyDescent="0.25">
      <c r="A35" s="50" t="s">
        <v>1007</v>
      </c>
    </row>
    <row r="36" spans="1:11" x14ac:dyDescent="0.25">
      <c r="A36" s="1" t="s">
        <v>1006</v>
      </c>
    </row>
    <row r="68" spans="1:14" ht="15.6" x14ac:dyDescent="0.3">
      <c r="A68" s="459" t="s">
        <v>1673</v>
      </c>
      <c r="B68" s="211"/>
      <c r="C68" s="211"/>
      <c r="D68" s="211"/>
      <c r="E68" s="211"/>
      <c r="F68" s="211"/>
      <c r="G68" s="211"/>
      <c r="H68" s="211"/>
      <c r="I68" s="211"/>
      <c r="J68" s="211"/>
      <c r="K68" s="211"/>
      <c r="L68" s="211"/>
    </row>
    <row r="69" spans="1:14" ht="15.6" x14ac:dyDescent="0.3">
      <c r="A69" s="152" t="s">
        <v>1698</v>
      </c>
      <c r="B69" s="211"/>
      <c r="C69" s="211"/>
      <c r="D69" s="211"/>
      <c r="E69" s="211"/>
      <c r="F69" s="211"/>
      <c r="G69" s="211"/>
      <c r="H69" s="211"/>
      <c r="I69" s="211"/>
      <c r="J69" s="211"/>
      <c r="K69" s="211"/>
      <c r="L69" s="211"/>
    </row>
    <row r="70" spans="1:14" ht="8.25" customHeight="1" thickBot="1" x14ac:dyDescent="0.35">
      <c r="A70" s="211"/>
      <c r="B70" s="211"/>
      <c r="C70" s="211"/>
      <c r="D70" s="211"/>
      <c r="E70" s="211"/>
      <c r="F70" s="211"/>
      <c r="G70" s="211"/>
      <c r="H70" s="211"/>
      <c r="I70" s="211"/>
      <c r="J70" s="211"/>
      <c r="K70" s="211"/>
      <c r="L70" s="211"/>
    </row>
    <row r="71" spans="1:14" ht="15.6" x14ac:dyDescent="0.3">
      <c r="A71" s="212" t="s">
        <v>1692</v>
      </c>
      <c r="B71" s="359">
        <v>2004</v>
      </c>
      <c r="C71" s="359">
        <v>2003</v>
      </c>
      <c r="D71" s="359">
        <v>2002</v>
      </c>
      <c r="E71" s="359">
        <v>2001</v>
      </c>
      <c r="F71" s="359">
        <v>2000</v>
      </c>
      <c r="G71" s="359">
        <v>1999</v>
      </c>
      <c r="H71" s="359">
        <v>1998</v>
      </c>
      <c r="I71" s="359">
        <v>1997</v>
      </c>
      <c r="J71" s="712">
        <v>1996</v>
      </c>
      <c r="K71" s="712"/>
      <c r="L71" s="713">
        <v>1995</v>
      </c>
    </row>
    <row r="72" spans="1:14" ht="15.6" x14ac:dyDescent="0.3">
      <c r="A72" s="214" t="s">
        <v>394</v>
      </c>
      <c r="B72" s="604" t="e">
        <f>#REF!</f>
        <v>#REF!</v>
      </c>
      <c r="C72" s="604" t="e">
        <f>#REF!</f>
        <v>#REF!</v>
      </c>
      <c r="D72" s="604" t="e">
        <f>#REF!</f>
        <v>#REF!</v>
      </c>
      <c r="E72" s="604" t="e">
        <f>#REF!</f>
        <v>#REF!</v>
      </c>
      <c r="F72" s="604" t="e">
        <f>#REF!</f>
        <v>#REF!</v>
      </c>
      <c r="G72" s="604">
        <v>47339</v>
      </c>
      <c r="H72" s="604">
        <v>47647</v>
      </c>
      <c r="I72" s="604">
        <v>38043</v>
      </c>
      <c r="J72" s="1316">
        <v>28500</v>
      </c>
      <c r="K72" s="1316"/>
      <c r="L72" s="1161">
        <v>22088</v>
      </c>
      <c r="N72" s="1" t="s">
        <v>176</v>
      </c>
    </row>
    <row r="73" spans="1:14" ht="15.6" x14ac:dyDescent="0.3">
      <c r="A73" s="282" t="s">
        <v>1048</v>
      </c>
      <c r="B73" s="1305" t="e">
        <f>(7440-2824)/B66*1000000</f>
        <v>#DIV/0!</v>
      </c>
      <c r="C73" s="1305" t="e">
        <f>(7717-3223)/C66*1000000</f>
        <v>#DIV/0!</v>
      </c>
      <c r="D73" s="1305" t="e">
        <f>(6035-3050-500)/D66*1000000</f>
        <v>#DIV/0!</v>
      </c>
      <c r="E73" s="1305" t="e">
        <f>(863-2824)/E66*1000000</f>
        <v>#DIV/0!</v>
      </c>
      <c r="F73" s="1305" t="e">
        <f>(2493-2787)/F66*1000000</f>
        <v>#DIV/0!</v>
      </c>
      <c r="G73" s="1305">
        <v>-458.55</v>
      </c>
      <c r="H73" s="604">
        <v>474.45</v>
      </c>
      <c r="I73" s="604">
        <v>717.82</v>
      </c>
      <c r="J73" s="1319">
        <v>421.39</v>
      </c>
      <c r="K73" s="1321"/>
      <c r="L73" s="1320">
        <v>258.2</v>
      </c>
    </row>
    <row r="74" spans="1:14" ht="15.6" x14ac:dyDescent="0.3">
      <c r="A74" s="282" t="s">
        <v>1693</v>
      </c>
      <c r="B74" s="1306" t="e">
        <f t="shared" ref="B74:L74" si="9">B72+(10*B73)</f>
        <v>#REF!</v>
      </c>
      <c r="C74" s="1306" t="e">
        <f t="shared" si="9"/>
        <v>#REF!</v>
      </c>
      <c r="D74" s="1306" t="e">
        <f t="shared" si="9"/>
        <v>#REF!</v>
      </c>
      <c r="E74" s="1306" t="e">
        <f t="shared" si="9"/>
        <v>#REF!</v>
      </c>
      <c r="F74" s="1306" t="e">
        <f t="shared" si="9"/>
        <v>#REF!</v>
      </c>
      <c r="G74" s="1306">
        <f t="shared" si="9"/>
        <v>42753.5</v>
      </c>
      <c r="H74" s="1306">
        <f t="shared" si="9"/>
        <v>52391.5</v>
      </c>
      <c r="I74" s="1306">
        <f t="shared" si="9"/>
        <v>45221.2</v>
      </c>
      <c r="J74" s="1317">
        <f t="shared" si="9"/>
        <v>32713.9</v>
      </c>
      <c r="K74" s="1317"/>
      <c r="L74" s="1318">
        <f t="shared" si="9"/>
        <v>24670</v>
      </c>
    </row>
    <row r="75" spans="1:14" ht="34.200000000000003" hidden="1" outlineLevel="1" x14ac:dyDescent="0.3">
      <c r="A75" s="1307" t="s">
        <v>1690</v>
      </c>
      <c r="B75" s="1308"/>
      <c r="C75" s="1308"/>
      <c r="D75" s="1308" t="e">
        <f>(6035-3050+1393-500)/D66*1000000*10</f>
        <v>#DIV/0!</v>
      </c>
      <c r="E75" s="1308" t="e">
        <f>(863--1243)/E66*1000000*10</f>
        <v>#DIV/0!</v>
      </c>
      <c r="F75" s="1308" t="e">
        <f>(2493-1202)/F66*1000000*10</f>
        <v>#DIV/0!</v>
      </c>
      <c r="G75" s="1308" t="e">
        <f>(1925-1088)/G66*1000000*10</f>
        <v>#DIV/0!</v>
      </c>
      <c r="H75" s="1305"/>
      <c r="I75" s="1305"/>
      <c r="J75" s="1305"/>
      <c r="K75" s="1305"/>
      <c r="L75" s="1309"/>
    </row>
    <row r="76" spans="1:14" ht="15.6" hidden="1" outlineLevel="1" x14ac:dyDescent="0.3">
      <c r="A76" s="1307" t="s">
        <v>941</v>
      </c>
      <c r="B76" s="1305"/>
      <c r="C76" s="1305"/>
      <c r="D76" s="1305" t="e">
        <f>D72+D75</f>
        <v>#REF!</v>
      </c>
      <c r="E76" s="1305" t="e">
        <f>E72+E75</f>
        <v>#REF!</v>
      </c>
      <c r="F76" s="1305" t="e">
        <f>F72+F75</f>
        <v>#REF!</v>
      </c>
      <c r="G76" s="1305" t="e">
        <f>G72+G75</f>
        <v>#DIV/0!</v>
      </c>
      <c r="H76" s="1305"/>
      <c r="I76" s="1305"/>
      <c r="J76" s="1305"/>
      <c r="K76" s="1305"/>
      <c r="L76" s="1309"/>
    </row>
    <row r="77" spans="1:14" ht="15.6" hidden="1" outlineLevel="1" x14ac:dyDescent="0.3">
      <c r="A77" s="1307" t="s">
        <v>942</v>
      </c>
      <c r="B77" s="1310" t="e">
        <f>B74/C74-1</f>
        <v>#REF!</v>
      </c>
      <c r="C77" s="1310" t="e">
        <f>C74/D76-1</f>
        <v>#REF!</v>
      </c>
      <c r="D77" s="1310" t="e">
        <f>D76/E76-1</f>
        <v>#REF!</v>
      </c>
      <c r="E77" s="1310" t="e">
        <f>E76/F76-1</f>
        <v>#REF!</v>
      </c>
      <c r="F77" s="1310" t="e">
        <f>F76/G76-1</f>
        <v>#REF!</v>
      </c>
      <c r="G77" s="1310">
        <f>G74/H74-1</f>
        <v>-0.18396113873433673</v>
      </c>
      <c r="H77" s="1310">
        <f>H74/I74-1</f>
        <v>0.15856058662751105</v>
      </c>
      <c r="I77" s="1310">
        <f t="shared" ref="I77" si="10">I74/J74-1</f>
        <v>0.38232372172073625</v>
      </c>
      <c r="J77" s="1310">
        <f t="shared" ref="J77" si="11">J74/L74-1</f>
        <v>0.3260599918929874</v>
      </c>
      <c r="K77" s="1310"/>
      <c r="L77" s="1311"/>
    </row>
    <row r="78" spans="1:14" ht="15.6" hidden="1" outlineLevel="1" x14ac:dyDescent="0.3">
      <c r="A78" s="1307" t="s">
        <v>936</v>
      </c>
      <c r="B78" s="1308" t="e">
        <f>B84/B74</f>
        <v>#REF!</v>
      </c>
      <c r="C78" s="1308" t="e">
        <f>C84/C74</f>
        <v>#REF!</v>
      </c>
      <c r="D78" s="1308" t="e">
        <f>D84/D76</f>
        <v>#REF!</v>
      </c>
      <c r="E78" s="1308" t="e">
        <f>E84/E76</f>
        <v>#REF!</v>
      </c>
      <c r="F78" s="1308" t="e">
        <f>F84/F76</f>
        <v>#REF!</v>
      </c>
      <c r="G78" s="1308" t="e">
        <f>G84/G76</f>
        <v>#DIV/0!</v>
      </c>
      <c r="H78" s="1308">
        <f>H84/H74</f>
        <v>1.3360945954973613</v>
      </c>
      <c r="I78" s="1308">
        <f>I84/I74</f>
        <v>1.0172220109152346</v>
      </c>
      <c r="J78" s="1308">
        <f>J84/J74</f>
        <v>1.0423703685589305</v>
      </c>
      <c r="K78" s="1308"/>
      <c r="L78" s="1312">
        <f>L84/L74</f>
        <v>1.3011755168220511</v>
      </c>
    </row>
    <row r="79" spans="1:14" ht="15.6" hidden="1" outlineLevel="1" x14ac:dyDescent="0.3">
      <c r="A79" s="214"/>
      <c r="B79" s="286"/>
      <c r="C79" s="286"/>
      <c r="D79" s="286"/>
      <c r="E79" s="286"/>
      <c r="F79" s="286"/>
      <c r="G79" s="286"/>
      <c r="H79" s="286"/>
      <c r="I79" s="286"/>
      <c r="J79" s="286"/>
      <c r="K79" s="286"/>
      <c r="L79" s="1107"/>
    </row>
    <row r="80" spans="1:14" ht="15.6" hidden="1" outlineLevel="1" x14ac:dyDescent="0.3">
      <c r="A80" s="214"/>
      <c r="B80" s="211"/>
      <c r="C80" s="211"/>
      <c r="D80" s="211"/>
      <c r="E80" s="211"/>
      <c r="F80" s="211"/>
      <c r="G80" s="211"/>
      <c r="H80" s="211"/>
      <c r="I80" s="211"/>
      <c r="J80" s="211"/>
      <c r="K80" s="211"/>
      <c r="L80" s="223"/>
    </row>
    <row r="81" spans="1:12" ht="4.5" customHeight="1" collapsed="1" x14ac:dyDescent="0.3">
      <c r="A81" s="214"/>
      <c r="B81" s="1313"/>
      <c r="C81" s="1313"/>
      <c r="D81" s="1313"/>
      <c r="E81" s="1313"/>
      <c r="F81" s="1313"/>
      <c r="G81" s="1313"/>
      <c r="H81" s="1313"/>
      <c r="I81" s="1313"/>
      <c r="J81" s="604"/>
      <c r="K81" s="604"/>
      <c r="L81" s="461"/>
    </row>
    <row r="82" spans="1:12" ht="4.5" customHeight="1" x14ac:dyDescent="0.3">
      <c r="A82" s="1155"/>
      <c r="B82" s="1322"/>
      <c r="C82" s="1322"/>
      <c r="D82" s="1322"/>
      <c r="E82" s="1322"/>
      <c r="F82" s="1322"/>
      <c r="G82" s="1322"/>
      <c r="H82" s="1322"/>
      <c r="I82" s="1322"/>
      <c r="J82" s="1323"/>
      <c r="K82" s="1323"/>
      <c r="L82" s="1324"/>
    </row>
    <row r="83" spans="1:12" ht="4.5" customHeight="1" x14ac:dyDescent="0.3">
      <c r="A83" s="214"/>
      <c r="B83" s="1313"/>
      <c r="C83" s="1313"/>
      <c r="D83" s="1313"/>
      <c r="E83" s="1313"/>
      <c r="F83" s="1313"/>
      <c r="G83" s="1313"/>
      <c r="H83" s="1313"/>
      <c r="I83" s="1313"/>
      <c r="J83" s="604"/>
      <c r="K83" s="604"/>
      <c r="L83" s="461"/>
    </row>
    <row r="84" spans="1:12" ht="15.6" x14ac:dyDescent="0.3">
      <c r="A84" s="214" t="s">
        <v>927</v>
      </c>
      <c r="B84" s="604">
        <v>87900</v>
      </c>
      <c r="C84" s="604">
        <v>84250</v>
      </c>
      <c r="D84" s="604">
        <v>72750</v>
      </c>
      <c r="E84" s="604">
        <v>75600</v>
      </c>
      <c r="F84" s="604">
        <v>71000</v>
      </c>
      <c r="G84" s="604">
        <v>56100</v>
      </c>
      <c r="H84" s="604">
        <v>70000</v>
      </c>
      <c r="I84" s="604">
        <v>46000</v>
      </c>
      <c r="J84" s="1317">
        <v>34100</v>
      </c>
      <c r="K84" s="1317"/>
      <c r="L84" s="1318">
        <v>32100</v>
      </c>
    </row>
    <row r="85" spans="1:12" ht="15.6" x14ac:dyDescent="0.3">
      <c r="A85" s="214" t="s">
        <v>1691</v>
      </c>
      <c r="B85" s="604">
        <v>55824</v>
      </c>
      <c r="C85" s="604">
        <v>50498</v>
      </c>
      <c r="D85" s="604">
        <v>41727</v>
      </c>
      <c r="E85" s="604">
        <v>37920</v>
      </c>
      <c r="F85" s="604">
        <v>40442</v>
      </c>
      <c r="G85" s="604">
        <v>37987</v>
      </c>
      <c r="H85" s="604">
        <v>37801</v>
      </c>
      <c r="I85" s="604">
        <v>25488</v>
      </c>
      <c r="J85" s="1317">
        <v>19011</v>
      </c>
      <c r="K85" s="1317"/>
      <c r="L85" s="1318">
        <v>14025</v>
      </c>
    </row>
    <row r="86" spans="1:12" ht="4.5" customHeight="1" collapsed="1" x14ac:dyDescent="0.3">
      <c r="A86" s="214"/>
      <c r="B86" s="1313"/>
      <c r="C86" s="1313"/>
      <c r="D86" s="1313"/>
      <c r="E86" s="1313"/>
      <c r="F86" s="1313"/>
      <c r="G86" s="1313"/>
      <c r="H86" s="1313"/>
      <c r="I86" s="1313"/>
      <c r="J86" s="604"/>
      <c r="K86" s="604"/>
      <c r="L86" s="461"/>
    </row>
    <row r="87" spans="1:12" ht="4.5" customHeight="1" x14ac:dyDescent="0.3">
      <c r="A87" s="1155"/>
      <c r="B87" s="1322"/>
      <c r="C87" s="1322"/>
      <c r="D87" s="1322"/>
      <c r="E87" s="1322"/>
      <c r="F87" s="1322"/>
      <c r="G87" s="1322"/>
      <c r="H87" s="1322"/>
      <c r="I87" s="1322"/>
      <c r="J87" s="1323"/>
      <c r="K87" s="1323"/>
      <c r="L87" s="1324"/>
    </row>
    <row r="88" spans="1:12" ht="4.5" customHeight="1" x14ac:dyDescent="0.3">
      <c r="A88" s="214"/>
      <c r="B88" s="1313"/>
      <c r="C88" s="1313"/>
      <c r="D88" s="1313"/>
      <c r="E88" s="1313"/>
      <c r="F88" s="1313"/>
      <c r="G88" s="1313"/>
      <c r="H88" s="1313"/>
      <c r="I88" s="1313"/>
      <c r="J88" s="604"/>
      <c r="K88" s="604"/>
      <c r="L88" s="461"/>
    </row>
    <row r="89" spans="1:12" ht="15.6" x14ac:dyDescent="0.3">
      <c r="A89" s="214" t="s">
        <v>1694</v>
      </c>
      <c r="B89" s="348" t="e">
        <f>B84/B74</f>
        <v>#REF!</v>
      </c>
      <c r="C89" s="348" t="e">
        <f>C84/C74</f>
        <v>#REF!</v>
      </c>
      <c r="D89" s="348" t="e">
        <f>D84/D76</f>
        <v>#REF!</v>
      </c>
      <c r="E89" s="348" t="e">
        <f>E84/E76</f>
        <v>#REF!</v>
      </c>
      <c r="F89" s="348" t="e">
        <f>F84/F76</f>
        <v>#REF!</v>
      </c>
      <c r="G89" s="348">
        <f>G84/G74</f>
        <v>1.3121732723636661</v>
      </c>
      <c r="H89" s="348">
        <f>H84/H74</f>
        <v>1.3360945954973613</v>
      </c>
      <c r="I89" s="348">
        <f>I84/I74</f>
        <v>1.0172220109152346</v>
      </c>
      <c r="J89" s="348">
        <f>J84/J74</f>
        <v>1.0423703685589305</v>
      </c>
      <c r="K89" s="348"/>
      <c r="L89" s="349">
        <f>L84/L74</f>
        <v>1.3011755168220511</v>
      </c>
    </row>
    <row r="90" spans="1:12" ht="15.6" x14ac:dyDescent="0.3">
      <c r="A90" s="214" t="s">
        <v>1695</v>
      </c>
      <c r="B90" s="348">
        <f>B84/B85</f>
        <v>1.574591573516767</v>
      </c>
      <c r="C90" s="348">
        <f>C84/C85</f>
        <v>1.668382906253713</v>
      </c>
      <c r="D90" s="348">
        <f>D84/D85</f>
        <v>1.7434754475519447</v>
      </c>
      <c r="E90" s="348">
        <f t="shared" ref="E90:L90" si="12">E84/E85</f>
        <v>1.9936708860759493</v>
      </c>
      <c r="F90" s="348">
        <f t="shared" si="12"/>
        <v>1.7556006132238762</v>
      </c>
      <c r="G90" s="348">
        <f t="shared" si="12"/>
        <v>1.4768210177165872</v>
      </c>
      <c r="H90" s="348">
        <f t="shared" si="12"/>
        <v>1.8518028623581386</v>
      </c>
      <c r="I90" s="348">
        <f t="shared" si="12"/>
        <v>1.8047708725674827</v>
      </c>
      <c r="J90" s="348">
        <f t="shared" si="12"/>
        <v>1.7936983851454422</v>
      </c>
      <c r="K90" s="348"/>
      <c r="L90" s="349">
        <f t="shared" si="12"/>
        <v>2.2887700534759357</v>
      </c>
    </row>
    <row r="91" spans="1:12" ht="15.6" x14ac:dyDescent="0.3">
      <c r="A91" s="214" t="s">
        <v>1696</v>
      </c>
      <c r="B91" s="348" t="e">
        <f>B74/B85</f>
        <v>#REF!</v>
      </c>
      <c r="C91" s="348" t="e">
        <f>C74/C85</f>
        <v>#REF!</v>
      </c>
      <c r="D91" s="348" t="e">
        <f>D76/D85</f>
        <v>#REF!</v>
      </c>
      <c r="E91" s="348" t="e">
        <f>E76/E85</f>
        <v>#REF!</v>
      </c>
      <c r="F91" s="348" t="e">
        <f>F76/F85</f>
        <v>#REF!</v>
      </c>
      <c r="G91" s="348" t="e">
        <f>G76/G85</f>
        <v>#DIV/0!</v>
      </c>
      <c r="H91" s="348">
        <f>H74/H85</f>
        <v>1.3859818523319489</v>
      </c>
      <c r="I91" s="348">
        <f>I74/I85</f>
        <v>1.774215317011927</v>
      </c>
      <c r="J91" s="348">
        <f>J74/J85</f>
        <v>1.7207879648624482</v>
      </c>
      <c r="K91" s="348"/>
      <c r="L91" s="349">
        <f>L74/L85</f>
        <v>1.7590017825311943</v>
      </c>
    </row>
    <row r="92" spans="1:12" ht="4.5" customHeight="1" collapsed="1" x14ac:dyDescent="0.3">
      <c r="A92" s="214"/>
      <c r="B92" s="1313"/>
      <c r="C92" s="1313"/>
      <c r="D92" s="1313"/>
      <c r="E92" s="1313"/>
      <c r="F92" s="1313"/>
      <c r="G92" s="1313"/>
      <c r="H92" s="1313"/>
      <c r="I92" s="1313"/>
      <c r="J92" s="604"/>
      <c r="K92" s="604"/>
      <c r="L92" s="461"/>
    </row>
    <row r="93" spans="1:12" ht="4.5" customHeight="1" x14ac:dyDescent="0.3">
      <c r="A93" s="1155"/>
      <c r="B93" s="1322"/>
      <c r="C93" s="1322"/>
      <c r="D93" s="1322"/>
      <c r="E93" s="1322"/>
      <c r="F93" s="1322"/>
      <c r="G93" s="1322"/>
      <c r="H93" s="1322"/>
      <c r="I93" s="1322"/>
      <c r="J93" s="1323"/>
      <c r="K93" s="1323"/>
      <c r="L93" s="1324"/>
    </row>
    <row r="94" spans="1:12" ht="4.5" customHeight="1" x14ac:dyDescent="0.3">
      <c r="A94" s="214"/>
      <c r="B94" s="1313"/>
      <c r="C94" s="1313"/>
      <c r="D94" s="1313"/>
      <c r="E94" s="1313"/>
      <c r="F94" s="1313"/>
      <c r="G94" s="1313"/>
      <c r="H94" s="1313"/>
      <c r="I94" s="1313"/>
      <c r="J94" s="604"/>
      <c r="K94" s="604"/>
      <c r="L94" s="461"/>
    </row>
    <row r="95" spans="1:12" ht="15.6" x14ac:dyDescent="0.3">
      <c r="A95" s="214" t="s">
        <v>937</v>
      </c>
      <c r="B95" s="226" t="e">
        <f>B74/C74-1</f>
        <v>#REF!</v>
      </c>
      <c r="C95" s="226" t="e">
        <f>C74/D76-1</f>
        <v>#REF!</v>
      </c>
      <c r="D95" s="226" t="e">
        <f>D76/E76-1</f>
        <v>#REF!</v>
      </c>
      <c r="E95" s="226" t="e">
        <f>E76/F76-1</f>
        <v>#REF!</v>
      </c>
      <c r="F95" s="226" t="e">
        <f>F76/G74-1</f>
        <v>#REF!</v>
      </c>
      <c r="G95" s="226">
        <f>G74/H74-1</f>
        <v>-0.18396113873433673</v>
      </c>
      <c r="H95" s="226">
        <f>H74/I74-1</f>
        <v>0.15856058662751105</v>
      </c>
      <c r="I95" s="226">
        <f>I74/J74-1</f>
        <v>0.38232372172073625</v>
      </c>
      <c r="J95" s="226">
        <f>J74/L74-1</f>
        <v>0.3260599918929874</v>
      </c>
      <c r="K95" s="226"/>
      <c r="L95" s="461"/>
    </row>
    <row r="96" spans="1:12" ht="16.2" thickBot="1" x14ac:dyDescent="0.35">
      <c r="A96" s="224" t="s">
        <v>928</v>
      </c>
      <c r="B96" s="1314">
        <f t="shared" ref="B96:I96" si="13">B84/C84-1</f>
        <v>4.3323442136498524E-2</v>
      </c>
      <c r="C96" s="1314">
        <f t="shared" si="13"/>
        <v>0.15807560137457055</v>
      </c>
      <c r="D96" s="1314">
        <f t="shared" si="13"/>
        <v>-3.7698412698412676E-2</v>
      </c>
      <c r="E96" s="1314">
        <f t="shared" si="13"/>
        <v>6.4788732394366111E-2</v>
      </c>
      <c r="F96" s="1314">
        <f t="shared" si="13"/>
        <v>0.26559714795008915</v>
      </c>
      <c r="G96" s="1314">
        <f t="shared" si="13"/>
        <v>-0.19857142857142862</v>
      </c>
      <c r="H96" s="1314">
        <f t="shared" si="13"/>
        <v>0.52173913043478271</v>
      </c>
      <c r="I96" s="1314">
        <f t="shared" si="13"/>
        <v>0.34897360703812308</v>
      </c>
      <c r="J96" s="1314">
        <f>J84/L84-1</f>
        <v>6.230529595015577E-2</v>
      </c>
      <c r="K96" s="1314"/>
      <c r="L96" s="1315"/>
    </row>
    <row r="97" spans="1:12" x14ac:dyDescent="0.25">
      <c r="A97" s="143" t="s">
        <v>1697</v>
      </c>
    </row>
    <row r="101" spans="1:12" ht="15.6" x14ac:dyDescent="0.3">
      <c r="A101" s="459" t="s">
        <v>1673</v>
      </c>
      <c r="B101" s="211"/>
      <c r="C101" s="211"/>
      <c r="D101" s="211"/>
      <c r="E101" s="211"/>
      <c r="F101" s="211"/>
      <c r="G101" s="211"/>
      <c r="H101" s="211"/>
      <c r="I101" s="211"/>
      <c r="J101" s="211"/>
      <c r="K101" s="211"/>
      <c r="L101" s="211"/>
    </row>
    <row r="102" spans="1:12" ht="15.6" x14ac:dyDescent="0.3">
      <c r="A102" s="152" t="s">
        <v>1698</v>
      </c>
      <c r="B102" s="211"/>
      <c r="C102" s="211"/>
      <c r="D102" s="211"/>
      <c r="E102" s="211"/>
      <c r="F102" s="211"/>
      <c r="G102" s="211"/>
      <c r="H102" s="211"/>
      <c r="I102" s="211"/>
      <c r="J102" s="211"/>
      <c r="K102" s="211"/>
      <c r="L102" s="211"/>
    </row>
    <row r="103" spans="1:12" ht="8.25" customHeight="1" thickBot="1" x14ac:dyDescent="0.35">
      <c r="A103" s="211"/>
      <c r="B103" s="211"/>
      <c r="C103" s="211"/>
      <c r="D103" s="211"/>
      <c r="E103" s="211"/>
      <c r="F103" s="211"/>
      <c r="G103" s="211"/>
      <c r="H103" s="211"/>
      <c r="I103" s="211"/>
      <c r="J103" s="211"/>
      <c r="K103" s="211"/>
      <c r="L103" s="211"/>
    </row>
    <row r="104" spans="1:12" ht="15.6" x14ac:dyDescent="0.3">
      <c r="A104" s="212" t="s">
        <v>1692</v>
      </c>
      <c r="B104" s="359">
        <v>2004</v>
      </c>
      <c r="C104" s="359">
        <v>2003</v>
      </c>
      <c r="D104" s="359">
        <v>2002</v>
      </c>
      <c r="E104" s="359">
        <v>2001</v>
      </c>
      <c r="F104" s="359">
        <v>2000</v>
      </c>
      <c r="G104" s="359">
        <v>1999</v>
      </c>
      <c r="H104" s="359">
        <v>1998</v>
      </c>
      <c r="I104" s="359">
        <v>1997</v>
      </c>
      <c r="J104" s="712">
        <v>1996</v>
      </c>
      <c r="K104" s="712"/>
      <c r="L104" s="713">
        <v>1995</v>
      </c>
    </row>
    <row r="105" spans="1:12" ht="15.6" x14ac:dyDescent="0.3">
      <c r="A105" s="214" t="s">
        <v>394</v>
      </c>
      <c r="B105" s="604" t="e">
        <f>#REF!</f>
        <v>#REF!</v>
      </c>
      <c r="C105" s="604" t="e">
        <f>#REF!</f>
        <v>#REF!</v>
      </c>
      <c r="D105" s="604" t="e">
        <f>#REF!</f>
        <v>#REF!</v>
      </c>
      <c r="E105" s="604" t="e">
        <f>#REF!</f>
        <v>#REF!</v>
      </c>
      <c r="F105" s="604" t="e">
        <f>#REF!</f>
        <v>#REF!</v>
      </c>
      <c r="G105" s="604">
        <v>47339</v>
      </c>
      <c r="H105" s="604">
        <v>47647</v>
      </c>
      <c r="I105" s="604">
        <v>38043</v>
      </c>
      <c r="J105" s="1316">
        <v>28500</v>
      </c>
      <c r="K105" s="1316"/>
      <c r="L105" s="1161">
        <v>22088</v>
      </c>
    </row>
    <row r="106" spans="1:12" ht="15.6" x14ac:dyDescent="0.3">
      <c r="A106" s="282" t="s">
        <v>1048</v>
      </c>
      <c r="B106" s="1305" t="e">
        <f>(7440-2824)/B99*1000000</f>
        <v>#DIV/0!</v>
      </c>
      <c r="C106" s="1305" t="e">
        <f>(7717-3223)/C99*1000000</f>
        <v>#DIV/0!</v>
      </c>
      <c r="D106" s="1305" t="e">
        <f>(6035-3050-500)/D99*1000000</f>
        <v>#DIV/0!</v>
      </c>
      <c r="E106" s="1305" t="e">
        <f>(863-2824)/E99*1000000</f>
        <v>#DIV/0!</v>
      </c>
      <c r="F106" s="1305" t="e">
        <f>(2493-2787)/F99*1000000</f>
        <v>#DIV/0!</v>
      </c>
      <c r="G106" s="1305">
        <v>-458.55</v>
      </c>
      <c r="H106" s="604">
        <v>474.45</v>
      </c>
      <c r="I106" s="604">
        <v>717.82</v>
      </c>
      <c r="J106" s="1319">
        <v>421.39</v>
      </c>
      <c r="K106" s="1321"/>
      <c r="L106" s="1320">
        <v>258.2</v>
      </c>
    </row>
    <row r="107" spans="1:12" ht="15.6" x14ac:dyDescent="0.3">
      <c r="A107" s="282" t="s">
        <v>1693</v>
      </c>
      <c r="B107" s="1306" t="e">
        <f t="shared" ref="B107:J107" si="14">B105+(10*B106)</f>
        <v>#REF!</v>
      </c>
      <c r="C107" s="1306" t="e">
        <f t="shared" si="14"/>
        <v>#REF!</v>
      </c>
      <c r="D107" s="1306" t="e">
        <f t="shared" si="14"/>
        <v>#REF!</v>
      </c>
      <c r="E107" s="1306" t="e">
        <f t="shared" si="14"/>
        <v>#REF!</v>
      </c>
      <c r="F107" s="1306" t="e">
        <f t="shared" si="14"/>
        <v>#REF!</v>
      </c>
      <c r="G107" s="1306">
        <f t="shared" si="14"/>
        <v>42753.5</v>
      </c>
      <c r="H107" s="1306">
        <f t="shared" si="14"/>
        <v>52391.5</v>
      </c>
      <c r="I107" s="1306">
        <f t="shared" si="14"/>
        <v>45221.2</v>
      </c>
      <c r="J107" s="1317">
        <f t="shared" si="14"/>
        <v>32713.9</v>
      </c>
      <c r="K107" s="1317"/>
      <c r="L107" s="1318">
        <f t="shared" ref="L107" si="15">L105+(10*L106)</f>
        <v>24670</v>
      </c>
    </row>
    <row r="108" spans="1:12" ht="34.200000000000003" hidden="1" outlineLevel="1" x14ac:dyDescent="0.3">
      <c r="A108" s="1307" t="s">
        <v>1690</v>
      </c>
      <c r="B108" s="1308"/>
      <c r="C108" s="1308"/>
      <c r="D108" s="1308" t="e">
        <f>(6035-3050+1393-500)/D99*1000000*10</f>
        <v>#DIV/0!</v>
      </c>
      <c r="E108" s="1308" t="e">
        <f>(863--1243)/E99*1000000*10</f>
        <v>#DIV/0!</v>
      </c>
      <c r="F108" s="1308" t="e">
        <f>(2493-1202)/F99*1000000*10</f>
        <v>#DIV/0!</v>
      </c>
      <c r="G108" s="1308" t="e">
        <f>(1925-1088)/G99*1000000*10</f>
        <v>#DIV/0!</v>
      </c>
      <c r="H108" s="1305"/>
      <c r="I108" s="1305"/>
      <c r="J108" s="1305"/>
      <c r="K108" s="1305"/>
      <c r="L108" s="1309"/>
    </row>
    <row r="109" spans="1:12" ht="15.6" hidden="1" outlineLevel="1" x14ac:dyDescent="0.3">
      <c r="A109" s="1307" t="s">
        <v>941</v>
      </c>
      <c r="B109" s="1305"/>
      <c r="C109" s="1305"/>
      <c r="D109" s="1305" t="e">
        <f>D105+D108</f>
        <v>#REF!</v>
      </c>
      <c r="E109" s="1305" t="e">
        <f>E105+E108</f>
        <v>#REF!</v>
      </c>
      <c r="F109" s="1305" t="e">
        <f>F105+F108</f>
        <v>#REF!</v>
      </c>
      <c r="G109" s="1305" t="e">
        <f>G105+G108</f>
        <v>#DIV/0!</v>
      </c>
      <c r="H109" s="1305"/>
      <c r="I109" s="1305"/>
      <c r="J109" s="1305"/>
      <c r="K109" s="1305"/>
      <c r="L109" s="1309"/>
    </row>
    <row r="110" spans="1:12" ht="15.6" hidden="1" outlineLevel="1" x14ac:dyDescent="0.3">
      <c r="A110" s="1307" t="s">
        <v>942</v>
      </c>
      <c r="B110" s="1310" t="e">
        <f>B107/C107-1</f>
        <v>#REF!</v>
      </c>
      <c r="C110" s="1310" t="e">
        <f>C107/D109-1</f>
        <v>#REF!</v>
      </c>
      <c r="D110" s="1310" t="e">
        <f>D109/E109-1</f>
        <v>#REF!</v>
      </c>
      <c r="E110" s="1310" t="e">
        <f>E109/F109-1</f>
        <v>#REF!</v>
      </c>
      <c r="F110" s="1310" t="e">
        <f>F109/G109-1</f>
        <v>#REF!</v>
      </c>
      <c r="G110" s="1310">
        <f>G107/H107-1</f>
        <v>-0.18396113873433673</v>
      </c>
      <c r="H110" s="1310">
        <f>H107/I107-1</f>
        <v>0.15856058662751105</v>
      </c>
      <c r="I110" s="1310">
        <f t="shared" ref="I110" si="16">I107/J107-1</f>
        <v>0.38232372172073625</v>
      </c>
      <c r="J110" s="1310">
        <f t="shared" ref="J110" si="17">J107/L107-1</f>
        <v>0.3260599918929874</v>
      </c>
      <c r="K110" s="1310"/>
      <c r="L110" s="1311"/>
    </row>
    <row r="111" spans="1:12" ht="15.6" hidden="1" outlineLevel="1" x14ac:dyDescent="0.3">
      <c r="A111" s="1307" t="s">
        <v>936</v>
      </c>
      <c r="B111" s="1308" t="e">
        <f>B117/B107</f>
        <v>#REF!</v>
      </c>
      <c r="C111" s="1308" t="e">
        <f>C117/C107</f>
        <v>#REF!</v>
      </c>
      <c r="D111" s="1308" t="e">
        <f>D117/D109</f>
        <v>#REF!</v>
      </c>
      <c r="E111" s="1308" t="e">
        <f>E117/E109</f>
        <v>#REF!</v>
      </c>
      <c r="F111" s="1308" t="e">
        <f>F117/F109</f>
        <v>#REF!</v>
      </c>
      <c r="G111" s="1308" t="e">
        <f>G117/G109</f>
        <v>#DIV/0!</v>
      </c>
      <c r="H111" s="1308">
        <f>H117/H107</f>
        <v>1.3360945954973613</v>
      </c>
      <c r="I111" s="1308">
        <f>I117/I107</f>
        <v>1.0172220109152346</v>
      </c>
      <c r="J111" s="1308">
        <f>J117/J107</f>
        <v>1.0423703685589305</v>
      </c>
      <c r="K111" s="1308"/>
      <c r="L111" s="1312">
        <f>L117/L107</f>
        <v>1.3011755168220511</v>
      </c>
    </row>
    <row r="112" spans="1:12" ht="15.6" hidden="1" outlineLevel="1" x14ac:dyDescent="0.3">
      <c r="A112" s="214"/>
      <c r="B112" s="286"/>
      <c r="C112" s="286"/>
      <c r="D112" s="286"/>
      <c r="E112" s="286"/>
      <c r="F112" s="286"/>
      <c r="G112" s="286"/>
      <c r="H112" s="286"/>
      <c r="I112" s="286"/>
      <c r="J112" s="286"/>
      <c r="K112" s="286"/>
      <c r="L112" s="1107"/>
    </row>
    <row r="113" spans="1:12" ht="15.6" hidden="1" outlineLevel="1" x14ac:dyDescent="0.3">
      <c r="A113" s="214"/>
      <c r="B113" s="211"/>
      <c r="C113" s="211"/>
      <c r="D113" s="211"/>
      <c r="E113" s="211"/>
      <c r="F113" s="211"/>
      <c r="G113" s="211"/>
      <c r="H113" s="211"/>
      <c r="I113" s="211"/>
      <c r="J113" s="211"/>
      <c r="K113" s="211"/>
      <c r="L113" s="223"/>
    </row>
    <row r="114" spans="1:12" ht="4.5" customHeight="1" collapsed="1" x14ac:dyDescent="0.3">
      <c r="A114" s="214"/>
      <c r="B114" s="1313"/>
      <c r="C114" s="1313"/>
      <c r="D114" s="1313"/>
      <c r="E114" s="1313"/>
      <c r="F114" s="1313"/>
      <c r="G114" s="1313"/>
      <c r="H114" s="1313"/>
      <c r="I114" s="1313"/>
      <c r="J114" s="604"/>
      <c r="K114" s="604"/>
      <c r="L114" s="461"/>
    </row>
    <row r="115" spans="1:12" ht="4.5" customHeight="1" x14ac:dyDescent="0.3">
      <c r="A115" s="1155"/>
      <c r="B115" s="1322"/>
      <c r="C115" s="1322"/>
      <c r="D115" s="1322"/>
      <c r="E115" s="1322"/>
      <c r="F115" s="1322"/>
      <c r="G115" s="1322"/>
      <c r="H115" s="1322"/>
      <c r="I115" s="1322"/>
      <c r="J115" s="1323"/>
      <c r="K115" s="1323"/>
      <c r="L115" s="1324"/>
    </row>
    <row r="116" spans="1:12" ht="4.5" customHeight="1" x14ac:dyDescent="0.3">
      <c r="A116" s="214"/>
      <c r="B116" s="1313"/>
      <c r="C116" s="1313"/>
      <c r="D116" s="1313"/>
      <c r="E116" s="1313"/>
      <c r="F116" s="1313"/>
      <c r="G116" s="1313"/>
      <c r="H116" s="1313"/>
      <c r="I116" s="1313"/>
      <c r="J116" s="604"/>
      <c r="K116" s="604"/>
      <c r="L116" s="461"/>
    </row>
    <row r="117" spans="1:12" ht="15.6" x14ac:dyDescent="0.3">
      <c r="A117" s="214" t="s">
        <v>927</v>
      </c>
      <c r="B117" s="604">
        <v>87900</v>
      </c>
      <c r="C117" s="604">
        <v>84250</v>
      </c>
      <c r="D117" s="604">
        <v>72750</v>
      </c>
      <c r="E117" s="604">
        <v>75600</v>
      </c>
      <c r="F117" s="604">
        <v>71000</v>
      </c>
      <c r="G117" s="604">
        <v>56100</v>
      </c>
      <c r="H117" s="604">
        <v>70000</v>
      </c>
      <c r="I117" s="604">
        <v>46000</v>
      </c>
      <c r="J117" s="1317">
        <v>34100</v>
      </c>
      <c r="K117" s="1317"/>
      <c r="L117" s="1318">
        <v>32100</v>
      </c>
    </row>
    <row r="118" spans="1:12" ht="15.6" x14ac:dyDescent="0.3">
      <c r="A118" s="214" t="s">
        <v>1691</v>
      </c>
      <c r="B118" s="604">
        <v>55824</v>
      </c>
      <c r="C118" s="604">
        <v>50498</v>
      </c>
      <c r="D118" s="604">
        <v>41727</v>
      </c>
      <c r="E118" s="604">
        <v>37920</v>
      </c>
      <c r="F118" s="604">
        <v>40442</v>
      </c>
      <c r="G118" s="604">
        <v>37987</v>
      </c>
      <c r="H118" s="604">
        <v>37801</v>
      </c>
      <c r="I118" s="604">
        <v>25488</v>
      </c>
      <c r="J118" s="1317">
        <v>19011</v>
      </c>
      <c r="K118" s="1317"/>
      <c r="L118" s="1318">
        <v>14025</v>
      </c>
    </row>
    <row r="119" spans="1:12" ht="4.5" customHeight="1" collapsed="1" x14ac:dyDescent="0.3">
      <c r="A119" s="214"/>
      <c r="B119" s="1313"/>
      <c r="C119" s="1313"/>
      <c r="D119" s="1313"/>
      <c r="E119" s="1313"/>
      <c r="F119" s="1313"/>
      <c r="G119" s="1313"/>
      <c r="H119" s="1313"/>
      <c r="I119" s="1313"/>
      <c r="J119" s="604"/>
      <c r="K119" s="604"/>
      <c r="L119" s="461"/>
    </row>
    <row r="120" spans="1:12" ht="4.5" customHeight="1" x14ac:dyDescent="0.3">
      <c r="A120" s="1155"/>
      <c r="B120" s="1322"/>
      <c r="C120" s="1322"/>
      <c r="D120" s="1322"/>
      <c r="E120" s="1322"/>
      <c r="F120" s="1322"/>
      <c r="G120" s="1322"/>
      <c r="H120" s="1322"/>
      <c r="I120" s="1322"/>
      <c r="J120" s="1323"/>
      <c r="K120" s="1323"/>
      <c r="L120" s="1324"/>
    </row>
    <row r="121" spans="1:12" ht="4.5" customHeight="1" x14ac:dyDescent="0.3">
      <c r="A121" s="214"/>
      <c r="B121" s="1313"/>
      <c r="C121" s="1313"/>
      <c r="D121" s="1313"/>
      <c r="E121" s="1313"/>
      <c r="F121" s="1313"/>
      <c r="G121" s="1313"/>
      <c r="H121" s="1313"/>
      <c r="I121" s="1313"/>
      <c r="J121" s="604"/>
      <c r="K121" s="604"/>
      <c r="L121" s="461"/>
    </row>
    <row r="122" spans="1:12" ht="15.6" x14ac:dyDescent="0.3">
      <c r="A122" s="214" t="s">
        <v>1694</v>
      </c>
      <c r="B122" s="348" t="e">
        <f>B117/B107</f>
        <v>#REF!</v>
      </c>
      <c r="C122" s="348" t="e">
        <f>C117/C107</f>
        <v>#REF!</v>
      </c>
      <c r="D122" s="348" t="e">
        <f>D117/D109</f>
        <v>#REF!</v>
      </c>
      <c r="E122" s="348" t="e">
        <f>E117/E109</f>
        <v>#REF!</v>
      </c>
      <c r="F122" s="348" t="e">
        <f>F117/F109</f>
        <v>#REF!</v>
      </c>
      <c r="G122" s="348">
        <f>G117/G107</f>
        <v>1.3121732723636661</v>
      </c>
      <c r="H122" s="348">
        <f>H117/H107</f>
        <v>1.3360945954973613</v>
      </c>
      <c r="I122" s="348">
        <f>I117/I107</f>
        <v>1.0172220109152346</v>
      </c>
      <c r="J122" s="348">
        <f>J117/J107</f>
        <v>1.0423703685589305</v>
      </c>
      <c r="K122" s="348"/>
      <c r="L122" s="349">
        <f>L117/L107</f>
        <v>1.3011755168220511</v>
      </c>
    </row>
    <row r="123" spans="1:12" ht="15.6" x14ac:dyDescent="0.3">
      <c r="A123" s="214" t="s">
        <v>1695</v>
      </c>
      <c r="B123" s="348">
        <f>B117/B118</f>
        <v>1.574591573516767</v>
      </c>
      <c r="C123" s="348">
        <f>C117/C118</f>
        <v>1.668382906253713</v>
      </c>
      <c r="D123" s="348">
        <f>D117/D118</f>
        <v>1.7434754475519447</v>
      </c>
      <c r="E123" s="348">
        <f t="shared" ref="E123:J123" si="18">E117/E118</f>
        <v>1.9936708860759493</v>
      </c>
      <c r="F123" s="348">
        <f t="shared" si="18"/>
        <v>1.7556006132238762</v>
      </c>
      <c r="G123" s="348">
        <f t="shared" si="18"/>
        <v>1.4768210177165872</v>
      </c>
      <c r="H123" s="348">
        <f t="shared" si="18"/>
        <v>1.8518028623581386</v>
      </c>
      <c r="I123" s="348">
        <f t="shared" si="18"/>
        <v>1.8047708725674827</v>
      </c>
      <c r="J123" s="348">
        <f t="shared" si="18"/>
        <v>1.7936983851454422</v>
      </c>
      <c r="K123" s="348"/>
      <c r="L123" s="349">
        <f t="shared" ref="L123" si="19">L117/L118</f>
        <v>2.2887700534759357</v>
      </c>
    </row>
    <row r="124" spans="1:12" ht="15.6" x14ac:dyDescent="0.3">
      <c r="A124" s="214" t="s">
        <v>1696</v>
      </c>
      <c r="B124" s="348" t="e">
        <f>B107/B118</f>
        <v>#REF!</v>
      </c>
      <c r="C124" s="348" t="e">
        <f>C107/C118</f>
        <v>#REF!</v>
      </c>
      <c r="D124" s="348" t="e">
        <f>D109/D118</f>
        <v>#REF!</v>
      </c>
      <c r="E124" s="348" t="e">
        <f>E109/E118</f>
        <v>#REF!</v>
      </c>
      <c r="F124" s="348" t="e">
        <f>F109/F118</f>
        <v>#REF!</v>
      </c>
      <c r="G124" s="348" t="e">
        <f>G109/G118</f>
        <v>#DIV/0!</v>
      </c>
      <c r="H124" s="348">
        <f>H107/H118</f>
        <v>1.3859818523319489</v>
      </c>
      <c r="I124" s="348">
        <f>I107/I118</f>
        <v>1.774215317011927</v>
      </c>
      <c r="J124" s="348">
        <f>J107/J118</f>
        <v>1.7207879648624482</v>
      </c>
      <c r="K124" s="348"/>
      <c r="L124" s="349">
        <f>L107/L118</f>
        <v>1.7590017825311943</v>
      </c>
    </row>
    <row r="125" spans="1:12" ht="4.5" customHeight="1" collapsed="1" x14ac:dyDescent="0.3">
      <c r="A125" s="214"/>
      <c r="B125" s="1313"/>
      <c r="C125" s="1313"/>
      <c r="D125" s="1313"/>
      <c r="E125" s="1313"/>
      <c r="F125" s="1313"/>
      <c r="G125" s="1313"/>
      <c r="H125" s="1313"/>
      <c r="I125" s="1313"/>
      <c r="J125" s="604"/>
      <c r="K125" s="604"/>
      <c r="L125" s="461"/>
    </row>
    <row r="126" spans="1:12" ht="4.5" customHeight="1" x14ac:dyDescent="0.3">
      <c r="A126" s="1155"/>
      <c r="B126" s="1322"/>
      <c r="C126" s="1322"/>
      <c r="D126" s="1322"/>
      <c r="E126" s="1322"/>
      <c r="F126" s="1322"/>
      <c r="G126" s="1322"/>
      <c r="H126" s="1322"/>
      <c r="I126" s="1322"/>
      <c r="J126" s="1323"/>
      <c r="K126" s="1323"/>
      <c r="L126" s="1324"/>
    </row>
    <row r="127" spans="1:12" ht="4.5" customHeight="1" x14ac:dyDescent="0.3">
      <c r="A127" s="214"/>
      <c r="B127" s="1313"/>
      <c r="C127" s="1313"/>
      <c r="D127" s="1313"/>
      <c r="E127" s="1313"/>
      <c r="F127" s="1313"/>
      <c r="G127" s="1313"/>
      <c r="H127" s="1313"/>
      <c r="I127" s="1313"/>
      <c r="J127" s="604"/>
      <c r="K127" s="604"/>
      <c r="L127" s="461"/>
    </row>
    <row r="128" spans="1:12" ht="15.6" x14ac:dyDescent="0.3">
      <c r="A128" s="214" t="s">
        <v>937</v>
      </c>
      <c r="B128" s="226" t="e">
        <f>B107/C107-1</f>
        <v>#REF!</v>
      </c>
      <c r="C128" s="226" t="e">
        <f>C107/D109-1</f>
        <v>#REF!</v>
      </c>
      <c r="D128" s="226" t="e">
        <f>D109/E109-1</f>
        <v>#REF!</v>
      </c>
      <c r="E128" s="226" t="e">
        <f>E109/F109-1</f>
        <v>#REF!</v>
      </c>
      <c r="F128" s="226" t="e">
        <f>F109/G107-1</f>
        <v>#REF!</v>
      </c>
      <c r="G128" s="226">
        <f>G107/H107-1</f>
        <v>-0.18396113873433673</v>
      </c>
      <c r="H128" s="226">
        <f>H107/I107-1</f>
        <v>0.15856058662751105</v>
      </c>
      <c r="I128" s="226">
        <f>I107/J107-1</f>
        <v>0.38232372172073625</v>
      </c>
      <c r="J128" s="226">
        <f>J107/L107-1</f>
        <v>0.3260599918929874</v>
      </c>
      <c r="K128" s="226"/>
      <c r="L128" s="461"/>
    </row>
    <row r="129" spans="1:12" ht="16.2" thickBot="1" x14ac:dyDescent="0.35">
      <c r="A129" s="224" t="s">
        <v>928</v>
      </c>
      <c r="B129" s="1314">
        <f t="shared" ref="B129" si="20">B117/C117-1</f>
        <v>4.3323442136498524E-2</v>
      </c>
      <c r="C129" s="1314">
        <f t="shared" ref="C129" si="21">C117/D117-1</f>
        <v>0.15807560137457055</v>
      </c>
      <c r="D129" s="1314">
        <f t="shared" ref="D129" si="22">D117/E117-1</f>
        <v>-3.7698412698412676E-2</v>
      </c>
      <c r="E129" s="1314">
        <f t="shared" ref="E129" si="23">E117/F117-1</f>
        <v>6.4788732394366111E-2</v>
      </c>
      <c r="F129" s="1314">
        <f t="shared" ref="F129" si="24">F117/G117-1</f>
        <v>0.26559714795008915</v>
      </c>
      <c r="G129" s="1314">
        <f t="shared" ref="G129" si="25">G117/H117-1</f>
        <v>-0.19857142857142862</v>
      </c>
      <c r="H129" s="1314">
        <f t="shared" ref="H129" si="26">H117/I117-1</f>
        <v>0.52173913043478271</v>
      </c>
      <c r="I129" s="1314">
        <f t="shared" ref="I129" si="27">I117/J117-1</f>
        <v>0.34897360703812308</v>
      </c>
      <c r="J129" s="1314">
        <f>J117/L117-1</f>
        <v>6.230529595015577E-2</v>
      </c>
      <c r="K129" s="1314"/>
      <c r="L129" s="1315"/>
    </row>
    <row r="130" spans="1:12" x14ac:dyDescent="0.25">
      <c r="A130" s="143" t="s">
        <v>1697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9A27-06E0-4B3A-B44A-1DD77D0EE157}">
  <sheetPr>
    <tabColor theme="9" tint="0.59999389629810485"/>
  </sheetPr>
  <dimension ref="A1:D9"/>
  <sheetViews>
    <sheetView showGridLines="0" workbookViewId="0">
      <selection activeCell="H26" sqref="H26"/>
    </sheetView>
  </sheetViews>
  <sheetFormatPr defaultColWidth="9.109375" defaultRowHeight="13.8" outlineLevelRow="1" x14ac:dyDescent="0.25"/>
  <cols>
    <col min="1" max="1" width="11.33203125" style="1" bestFit="1" customWidth="1"/>
    <col min="2" max="3" width="13.88671875" style="1" customWidth="1"/>
    <col min="4" max="4" width="10" style="1" bestFit="1" customWidth="1"/>
    <col min="5" max="16384" width="9.109375" style="1"/>
  </cols>
  <sheetData>
    <row r="1" spans="1:4" ht="15.6" x14ac:dyDescent="0.3">
      <c r="A1" s="152" t="s">
        <v>2635</v>
      </c>
      <c r="B1" s="211"/>
      <c r="C1" s="211"/>
      <c r="D1" s="211"/>
    </row>
    <row r="2" spans="1:4" ht="15.6" x14ac:dyDescent="0.3">
      <c r="A2" s="152" t="s">
        <v>2634</v>
      </c>
      <c r="B2" s="211"/>
      <c r="C2" s="211"/>
      <c r="D2" s="211"/>
    </row>
    <row r="3" spans="1:4" ht="6" customHeight="1" outlineLevel="1" thickBot="1" x14ac:dyDescent="0.35">
      <c r="A3" s="211"/>
      <c r="B3" s="211"/>
      <c r="C3" s="211"/>
      <c r="D3" s="211"/>
    </row>
    <row r="4" spans="1:4" ht="15.6" x14ac:dyDescent="0.3">
      <c r="A4" s="85"/>
      <c r="B4" s="522"/>
      <c r="C4" s="522"/>
      <c r="D4" s="389"/>
    </row>
    <row r="5" spans="1:4" ht="15.6" x14ac:dyDescent="0.3">
      <c r="A5" s="214"/>
      <c r="B5" s="1960" t="s">
        <v>2632</v>
      </c>
      <c r="C5" s="1960" t="s">
        <v>2633</v>
      </c>
      <c r="D5" s="1959" t="s">
        <v>1290</v>
      </c>
    </row>
    <row r="6" spans="1:4" ht="15.6" x14ac:dyDescent="0.3">
      <c r="A6" s="214" t="s">
        <v>678</v>
      </c>
      <c r="B6" s="511">
        <v>480980</v>
      </c>
      <c r="C6" s="511">
        <v>874332</v>
      </c>
      <c r="D6" s="1958">
        <f>B6/C6-1</f>
        <v>-0.4498886006688535</v>
      </c>
    </row>
    <row r="7" spans="1:4" ht="15.6" x14ac:dyDescent="0.3">
      <c r="A7" s="214" t="s">
        <v>679</v>
      </c>
      <c r="B7" s="511">
        <v>12610</v>
      </c>
      <c r="C7" s="511">
        <v>19214</v>
      </c>
      <c r="D7" s="1958">
        <f>B7/C7-1</f>
        <v>-0.34370771312584569</v>
      </c>
    </row>
    <row r="8" spans="1:4" ht="16.2" thickBot="1" x14ac:dyDescent="0.35">
      <c r="A8" s="224" t="s">
        <v>2631</v>
      </c>
      <c r="B8" s="1957">
        <v>8</v>
      </c>
      <c r="C8" s="1957">
        <v>14</v>
      </c>
      <c r="D8" s="1956">
        <f>B8/C8-1</f>
        <v>-0.4285714285714286</v>
      </c>
    </row>
    <row r="9" spans="1:4" x14ac:dyDescent="0.25">
      <c r="A9" s="12" t="s">
        <v>2957</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1A1E7-3941-4EB9-8170-7E5A93E1678E}">
  <sheetPr>
    <tabColor theme="9" tint="0.59999389629810485"/>
  </sheetPr>
  <dimension ref="A1:C3"/>
  <sheetViews>
    <sheetView workbookViewId="0"/>
  </sheetViews>
  <sheetFormatPr defaultRowHeight="14.4" x14ac:dyDescent="0.3"/>
  <sheetData>
    <row r="1" spans="1:3" x14ac:dyDescent="0.3">
      <c r="A1" t="s">
        <v>2592</v>
      </c>
    </row>
    <row r="2" spans="1:3" ht="409.6" x14ac:dyDescent="0.3">
      <c r="B2" t="s">
        <v>2593</v>
      </c>
      <c r="C2" s="61" t="s">
        <v>3798</v>
      </c>
    </row>
    <row r="3" spans="1:3" x14ac:dyDescent="0.3">
      <c r="B3" t="s">
        <v>2594</v>
      </c>
      <c r="C3" t="s">
        <v>3799</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F329-7B4D-46C9-8522-FEFA5E44B9D1}">
  <sheetPr>
    <tabColor theme="9" tint="0.59999389629810485"/>
  </sheetPr>
  <dimension ref="A1:K36"/>
  <sheetViews>
    <sheetView showGridLines="0" zoomScaleNormal="100" workbookViewId="0">
      <selection activeCell="P24" sqref="P24"/>
    </sheetView>
  </sheetViews>
  <sheetFormatPr defaultColWidth="9.109375" defaultRowHeight="15.6" x14ac:dyDescent="0.3"/>
  <cols>
    <col min="1" max="1" width="27.88671875" style="211" customWidth="1"/>
    <col min="2" max="2" width="10.33203125" style="211" bestFit="1" customWidth="1"/>
    <col min="3" max="3" width="11.109375" style="211" bestFit="1" customWidth="1"/>
    <col min="4" max="4" width="10.33203125" style="211" bestFit="1" customWidth="1"/>
    <col min="5" max="16384" width="9.109375" style="211"/>
  </cols>
  <sheetData>
    <row r="1" spans="1:11" x14ac:dyDescent="0.3">
      <c r="A1" s="459" t="s">
        <v>1673</v>
      </c>
    </row>
    <row r="2" spans="1:11" x14ac:dyDescent="0.3">
      <c r="A2" s="152" t="s">
        <v>1747</v>
      </c>
      <c r="I2" s="211" t="s">
        <v>1762</v>
      </c>
    </row>
    <row r="3" spans="1:11" ht="8.25" customHeight="1" thickBot="1" x14ac:dyDescent="0.35"/>
    <row r="4" spans="1:11" x14ac:dyDescent="0.3">
      <c r="A4" s="1336"/>
      <c r="B4" s="1337">
        <v>2000</v>
      </c>
      <c r="C4" s="1337">
        <v>1999</v>
      </c>
      <c r="D4" s="1338">
        <v>1998</v>
      </c>
      <c r="E4" s="211">
        <v>1997</v>
      </c>
      <c r="F4" s="211">
        <v>1996</v>
      </c>
      <c r="I4" s="211">
        <v>1996</v>
      </c>
      <c r="J4" s="211">
        <v>1995</v>
      </c>
      <c r="K4" s="211">
        <v>1994</v>
      </c>
    </row>
    <row r="5" spans="1:11" x14ac:dyDescent="0.3">
      <c r="A5" s="734" t="s">
        <v>1704</v>
      </c>
      <c r="B5" s="1339">
        <v>1549.8</v>
      </c>
      <c r="C5" s="1339">
        <v>1784.8</v>
      </c>
      <c r="D5" s="1340">
        <v>1942</v>
      </c>
      <c r="E5" s="211">
        <v>1901.8</v>
      </c>
      <c r="F5" s="211">
        <v>2232.1999999999998</v>
      </c>
      <c r="I5" s="211">
        <v>2447.4</v>
      </c>
      <c r="J5" s="211">
        <v>2403.1</v>
      </c>
      <c r="K5" s="211">
        <v>2297.8000000000002</v>
      </c>
    </row>
    <row r="6" spans="1:11" ht="18.600000000000001" x14ac:dyDescent="0.3">
      <c r="A6" s="734" t="s">
        <v>1737</v>
      </c>
      <c r="B6" s="1341">
        <f>B5/B32</f>
        <v>3.796668299853013</v>
      </c>
      <c r="C6" s="1341">
        <f>C5/C32</f>
        <v>2.3417962343370728</v>
      </c>
      <c r="D6" s="1342">
        <f>D5/D32</f>
        <v>1.9918970203600184</v>
      </c>
      <c r="F6" s="211" t="s">
        <v>176</v>
      </c>
      <c r="I6" s="1341">
        <f>I5/I32</f>
        <v>1.7655460972442647</v>
      </c>
    </row>
    <row r="7" spans="1:11" ht="18.600000000000001" x14ac:dyDescent="0.3">
      <c r="A7" s="734" t="s">
        <v>1736</v>
      </c>
      <c r="B7" s="827">
        <f>(-44.2+24.6)/B5</f>
        <v>-1.2646793134598013E-2</v>
      </c>
      <c r="C7" s="827">
        <f>(-292.3+24.6)/C5</f>
        <v>-0.14998879426266248</v>
      </c>
      <c r="D7" s="890">
        <f>(207.1+24.6)/D5</f>
        <v>0.11930998970133883</v>
      </c>
      <c r="F7" s="211">
        <f>(325.3+26.7)/F5</f>
        <v>0.15769196308574501</v>
      </c>
      <c r="I7" s="211">
        <f>(325.3+26.7)/I5</f>
        <v>0.14382610116858707</v>
      </c>
      <c r="J7" s="211">
        <f>(-108.1+158.5+37.3)/J5</f>
        <v>3.6494527901460613E-2</v>
      </c>
      <c r="K7" s="211">
        <f>(235+35.2)/K5</f>
        <v>0.11759073896770823</v>
      </c>
    </row>
    <row r="8" spans="1:11" x14ac:dyDescent="0.3">
      <c r="A8" s="734" t="s">
        <v>1563</v>
      </c>
      <c r="B8" s="827">
        <f>B6*B7</f>
        <v>-4.8015678588926997E-2</v>
      </c>
      <c r="C8" s="827">
        <f t="shared" ref="C8:D8" si="0">C6*C7</f>
        <v>-0.35124319359706097</v>
      </c>
      <c r="D8" s="890">
        <f t="shared" si="0"/>
        <v>0.23765321298528128</v>
      </c>
      <c r="F8" s="211" t="s">
        <v>176</v>
      </c>
      <c r="I8" s="827">
        <f t="shared" ref="I8" si="1">I6*I7</f>
        <v>0.25393161160005767</v>
      </c>
    </row>
    <row r="9" spans="1:11" ht="4.5" customHeight="1" x14ac:dyDescent="0.3">
      <c r="A9" s="734"/>
      <c r="B9" s="397"/>
      <c r="C9" s="397"/>
      <c r="D9" s="1281"/>
    </row>
    <row r="10" spans="1:11" ht="4.5" customHeight="1" x14ac:dyDescent="0.3">
      <c r="A10" s="1155"/>
      <c r="B10" s="684"/>
      <c r="C10" s="684"/>
      <c r="D10" s="1279"/>
    </row>
    <row r="11" spans="1:11" ht="4.5" customHeight="1" x14ac:dyDescent="0.3">
      <c r="A11" s="734"/>
      <c r="B11" s="397"/>
      <c r="C11" s="397"/>
      <c r="D11" s="1281"/>
    </row>
    <row r="12" spans="1:11" x14ac:dyDescent="0.3">
      <c r="A12" s="532" t="s">
        <v>1730</v>
      </c>
      <c r="B12" s="1364">
        <v>835</v>
      </c>
      <c r="C12" s="397"/>
      <c r="D12" s="1281"/>
      <c r="F12" s="211" t="s">
        <v>176</v>
      </c>
    </row>
    <row r="13" spans="1:11" x14ac:dyDescent="0.3">
      <c r="A13" s="532" t="s">
        <v>1731</v>
      </c>
      <c r="B13" s="1366">
        <v>0</v>
      </c>
      <c r="C13" s="397"/>
      <c r="D13" s="1281"/>
      <c r="J13" s="211" t="s">
        <v>176</v>
      </c>
    </row>
    <row r="14" spans="1:11" x14ac:dyDescent="0.3">
      <c r="A14" s="532" t="s">
        <v>1708</v>
      </c>
      <c r="B14" s="1367">
        <f>B12+B13</f>
        <v>835</v>
      </c>
      <c r="C14" s="397"/>
      <c r="D14" s="1281"/>
    </row>
    <row r="15" spans="1:11" ht="4.5" customHeight="1" x14ac:dyDescent="0.3">
      <c r="A15" s="734"/>
      <c r="B15" s="397"/>
      <c r="C15" s="397"/>
      <c r="D15" s="1281"/>
    </row>
    <row r="16" spans="1:11" ht="4.5" customHeight="1" x14ac:dyDescent="0.3">
      <c r="A16" s="1155"/>
      <c r="B16" s="684"/>
      <c r="C16" s="684"/>
      <c r="D16" s="1279"/>
    </row>
    <row r="17" spans="1:10" ht="4.5" customHeight="1" x14ac:dyDescent="0.3">
      <c r="A17" s="734"/>
      <c r="B17" s="397"/>
      <c r="C17" s="397"/>
      <c r="D17" s="1281"/>
    </row>
    <row r="18" spans="1:10" x14ac:dyDescent="0.3">
      <c r="A18" s="532" t="s">
        <v>1705</v>
      </c>
      <c r="B18" s="1368">
        <f>B14/B32</f>
        <v>2.0455658990690839</v>
      </c>
      <c r="C18" s="397"/>
      <c r="D18" s="1281"/>
    </row>
    <row r="19" spans="1:10" x14ac:dyDescent="0.3">
      <c r="A19" s="532" t="s">
        <v>1706</v>
      </c>
      <c r="B19" s="1365">
        <f>B8/B18</f>
        <v>-2.3473053892215566E-2</v>
      </c>
      <c r="C19" s="397"/>
      <c r="D19" s="1281"/>
    </row>
    <row r="20" spans="1:10" ht="4.5" customHeight="1" x14ac:dyDescent="0.3">
      <c r="A20" s="734"/>
      <c r="B20" s="397"/>
      <c r="C20" s="397"/>
      <c r="D20" s="1281"/>
    </row>
    <row r="21" spans="1:10" ht="4.5" customHeight="1" x14ac:dyDescent="0.3">
      <c r="A21" s="1155"/>
      <c r="B21" s="684"/>
      <c r="C21" s="684"/>
      <c r="D21" s="1279"/>
    </row>
    <row r="22" spans="1:10" x14ac:dyDescent="0.3">
      <c r="A22" s="1175" t="s">
        <v>1398</v>
      </c>
      <c r="B22" s="827"/>
      <c r="C22" s="397"/>
      <c r="D22" s="1281"/>
    </row>
    <row r="23" spans="1:10" ht="30" customHeight="1" thickBot="1" x14ac:dyDescent="0.35">
      <c r="A23" s="2918" t="s">
        <v>1749</v>
      </c>
      <c r="B23" s="2919"/>
      <c r="C23" s="2919"/>
      <c r="D23" s="2920"/>
    </row>
    <row r="24" spans="1:10" ht="45" customHeight="1" x14ac:dyDescent="0.3">
      <c r="A24" s="2933" t="s">
        <v>1746</v>
      </c>
      <c r="B24" s="2933"/>
      <c r="C24" s="2933"/>
      <c r="D24" s="2933"/>
    </row>
    <row r="26" spans="1:10" x14ac:dyDescent="0.3">
      <c r="A26" s="211" t="s">
        <v>1155</v>
      </c>
    </row>
    <row r="27" spans="1:10" x14ac:dyDescent="0.3">
      <c r="A27" s="211" t="s">
        <v>746</v>
      </c>
      <c r="B27" s="211">
        <v>-238.3</v>
      </c>
      <c r="C27" s="211">
        <v>-93.5</v>
      </c>
      <c r="D27" s="211">
        <v>548.9</v>
      </c>
      <c r="E27" s="211">
        <v>422.1</v>
      </c>
      <c r="I27" s="211">
        <v>1064.8</v>
      </c>
      <c r="J27" s="211">
        <v>895.6</v>
      </c>
    </row>
    <row r="28" spans="1:10" x14ac:dyDescent="0.3">
      <c r="A28" s="211" t="s">
        <v>333</v>
      </c>
      <c r="B28" s="211">
        <f>410.3+746.4</f>
        <v>1156.7</v>
      </c>
      <c r="C28" s="211">
        <f>593.5+635.8</f>
        <v>1229.3</v>
      </c>
      <c r="D28" s="211">
        <f>856.6+270</f>
        <v>1126.5999999999999</v>
      </c>
      <c r="E28" s="211">
        <f>1192.8+28.2</f>
        <v>1221</v>
      </c>
      <c r="I28" s="211">
        <f>867.4+18.2</f>
        <v>885.6</v>
      </c>
      <c r="J28" s="211">
        <f>1427.2+14.6</f>
        <v>1441.8</v>
      </c>
    </row>
    <row r="29" spans="1:10" x14ac:dyDescent="0.3">
      <c r="A29" s="211" t="s">
        <v>1735</v>
      </c>
      <c r="B29" s="211">
        <v>-606.6</v>
      </c>
      <c r="C29" s="211">
        <v>-631.20000000000005</v>
      </c>
      <c r="D29" s="211">
        <v>-655.8</v>
      </c>
      <c r="E29" s="211">
        <v>-712.9</v>
      </c>
      <c r="I29" s="211">
        <v>-744.3</v>
      </c>
      <c r="J29" s="211">
        <f>-771.1</f>
        <v>-771.1</v>
      </c>
    </row>
    <row r="30" spans="1:10" x14ac:dyDescent="0.3">
      <c r="A30" s="211" t="s">
        <v>1701</v>
      </c>
      <c r="B30" s="211">
        <f>SUM(B27:B29)</f>
        <v>311.80000000000007</v>
      </c>
      <c r="C30" s="211">
        <f>SUM(C27:C29)</f>
        <v>504.59999999999991</v>
      </c>
      <c r="D30" s="211">
        <f t="shared" ref="D30:E30" si="2">SUM(D27:D29)</f>
        <v>1019.7</v>
      </c>
      <c r="E30" s="211">
        <f t="shared" si="2"/>
        <v>930.19999999999993</v>
      </c>
      <c r="I30" s="211">
        <f t="shared" ref="I30:J30" si="3">SUM(I27:I29)</f>
        <v>1206.1000000000001</v>
      </c>
      <c r="J30" s="211">
        <f t="shared" si="3"/>
        <v>1566.3000000000002</v>
      </c>
    </row>
    <row r="32" spans="1:10" x14ac:dyDescent="0.3">
      <c r="A32" s="211" t="s">
        <v>1702</v>
      </c>
      <c r="B32" s="211">
        <f>AVERAGE(B30:C30)</f>
        <v>408.2</v>
      </c>
      <c r="C32" s="211">
        <f t="shared" ref="C32:D32" si="4">AVERAGE(C30:D30)</f>
        <v>762.15</v>
      </c>
      <c r="D32" s="211">
        <f t="shared" si="4"/>
        <v>974.95</v>
      </c>
      <c r="I32" s="211">
        <f t="shared" ref="I32" si="5">AVERAGE(I30:J30)</f>
        <v>1386.2000000000003</v>
      </c>
    </row>
    <row r="35" spans="1:4" x14ac:dyDescent="0.3">
      <c r="A35" s="211" t="s">
        <v>569</v>
      </c>
      <c r="B35" s="226">
        <f>248.5/B5</f>
        <v>0.16034327009936766</v>
      </c>
      <c r="C35" s="226">
        <f>92.1/C5</f>
        <v>5.1602420439264898E-2</v>
      </c>
      <c r="D35" s="226">
        <f>508.6/D5</f>
        <v>0.26189495365602472</v>
      </c>
    </row>
    <row r="36" spans="1:4" x14ac:dyDescent="0.3">
      <c r="A36" s="211" t="s">
        <v>1748</v>
      </c>
      <c r="B36" s="226">
        <f>268.1/B5</f>
        <v>0.17299006323396568</v>
      </c>
      <c r="C36" s="226">
        <f>359.8/C5</f>
        <v>0.2015912147019274</v>
      </c>
      <c r="D36" s="226">
        <f>276.9/D5</f>
        <v>0.14258496395468587</v>
      </c>
    </row>
  </sheetData>
  <mergeCells count="2">
    <mergeCell ref="A23:D23"/>
    <mergeCell ref="A24:D24"/>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273D-CD53-423B-AEA0-3A3F77270971}">
  <sheetPr>
    <tabColor theme="9" tint="0.59999389629810485"/>
  </sheetPr>
  <dimension ref="A1:D13"/>
  <sheetViews>
    <sheetView showGridLines="0" workbookViewId="0">
      <selection activeCell="N19" sqref="N19"/>
    </sheetView>
  </sheetViews>
  <sheetFormatPr defaultColWidth="9.109375" defaultRowHeight="15.6" x14ac:dyDescent="0.3"/>
  <cols>
    <col min="1" max="1" width="28.6640625" style="211" customWidth="1"/>
    <col min="2" max="2" width="9.109375" style="211"/>
    <col min="3" max="3" width="1" style="211" customWidth="1"/>
    <col min="4" max="16384" width="9.109375" style="211"/>
  </cols>
  <sheetData>
    <row r="1" spans="1:4" x14ac:dyDescent="0.3">
      <c r="A1" s="459" t="s">
        <v>1673</v>
      </c>
    </row>
    <row r="2" spans="1:4" x14ac:dyDescent="0.3">
      <c r="A2" s="152" t="s">
        <v>1769</v>
      </c>
    </row>
    <row r="3" spans="1:4" ht="8.25" customHeight="1" thickBot="1" x14ac:dyDescent="0.35"/>
    <row r="4" spans="1:4" x14ac:dyDescent="0.3">
      <c r="A4" s="212" t="s">
        <v>1250</v>
      </c>
      <c r="B4" s="522"/>
      <c r="C4" s="389"/>
    </row>
    <row r="5" spans="1:4" x14ac:dyDescent="0.3">
      <c r="A5" s="214" t="s">
        <v>975</v>
      </c>
      <c r="B5" s="518">
        <v>23000</v>
      </c>
      <c r="C5" s="223"/>
    </row>
    <row r="6" spans="1:4" x14ac:dyDescent="0.3">
      <c r="A6" s="214" t="s">
        <v>570</v>
      </c>
      <c r="B6" s="910">
        <v>0.01</v>
      </c>
      <c r="C6" s="223"/>
    </row>
    <row r="7" spans="1:4" x14ac:dyDescent="0.3">
      <c r="A7" s="214" t="s">
        <v>979</v>
      </c>
      <c r="B7" s="518">
        <f>B5*B6</f>
        <v>230</v>
      </c>
      <c r="C7" s="223"/>
    </row>
    <row r="8" spans="1:4" ht="4.5" customHeight="1" x14ac:dyDescent="0.3">
      <c r="A8" s="214"/>
      <c r="B8" s="220"/>
      <c r="C8" s="223"/>
    </row>
    <row r="9" spans="1:4" ht="4.5" customHeight="1" x14ac:dyDescent="0.3">
      <c r="A9" s="1155"/>
      <c r="B9" s="684"/>
      <c r="C9" s="1279"/>
    </row>
    <row r="10" spans="1:4" ht="4.5" customHeight="1" x14ac:dyDescent="0.3">
      <c r="A10" s="214"/>
      <c r="B10" s="220"/>
      <c r="C10" s="223"/>
    </row>
    <row r="11" spans="1:4" x14ac:dyDescent="0.3">
      <c r="A11" s="214" t="s">
        <v>1770</v>
      </c>
      <c r="B11" s="518">
        <v>1500</v>
      </c>
      <c r="C11" s="223"/>
    </row>
    <row r="12" spans="1:4" ht="16.2" thickBot="1" x14ac:dyDescent="0.35">
      <c r="A12" s="224" t="s">
        <v>1706</v>
      </c>
      <c r="B12" s="232">
        <f>B7/B11</f>
        <v>0.15333333333333332</v>
      </c>
      <c r="C12" s="219"/>
    </row>
    <row r="13" spans="1:4" ht="36" customHeight="1" x14ac:dyDescent="0.3">
      <c r="A13" s="2812" t="s">
        <v>1944</v>
      </c>
      <c r="B13" s="2812"/>
      <c r="D13" s="220"/>
    </row>
  </sheetData>
  <mergeCells count="1">
    <mergeCell ref="A13:B13"/>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24181-AB80-4867-9253-C658C54B78F1}">
  <sheetPr>
    <tabColor theme="4"/>
  </sheetPr>
  <dimension ref="A1:XFD34"/>
  <sheetViews>
    <sheetView showGridLines="0" zoomScale="85" zoomScaleNormal="85" workbookViewId="0">
      <selection activeCell="D21" sqref="D21:F21"/>
    </sheetView>
  </sheetViews>
  <sheetFormatPr defaultColWidth="9.109375" defaultRowHeight="13.8" x14ac:dyDescent="0.25"/>
  <cols>
    <col min="1" max="1" width="21.6640625" style="1" customWidth="1"/>
    <col min="2" max="3" width="28.44140625" style="1" customWidth="1"/>
    <col min="4" max="16384" width="9.109375" style="1"/>
  </cols>
  <sheetData>
    <row r="1" spans="1:5" s="198" customFormat="1" x14ac:dyDescent="0.25">
      <c r="A1" s="664" t="s">
        <v>2041</v>
      </c>
    </row>
    <row r="2" spans="1:5" s="198" customFormat="1" x14ac:dyDescent="0.25">
      <c r="A2" s="664" t="s">
        <v>2042</v>
      </c>
    </row>
    <row r="3" spans="1:5" s="198" customFormat="1" ht="8.25" customHeight="1" thickBot="1" x14ac:dyDescent="0.35">
      <c r="A3" s="2934"/>
      <c r="B3" s="2934"/>
      <c r="C3" s="2934"/>
    </row>
    <row r="4" spans="1:5" x14ac:dyDescent="0.25">
      <c r="A4" s="1657"/>
      <c r="B4" s="1658">
        <v>2004</v>
      </c>
      <c r="C4" s="1665">
        <v>2014</v>
      </c>
    </row>
    <row r="5" spans="1:5" ht="114.75" customHeight="1" x14ac:dyDescent="0.25">
      <c r="A5" s="1659" t="s">
        <v>45</v>
      </c>
      <c r="B5" s="1660" t="s">
        <v>2176</v>
      </c>
      <c r="C5" s="1669" t="s">
        <v>2492</v>
      </c>
      <c r="E5" s="1" t="s">
        <v>176</v>
      </c>
    </row>
    <row r="6" spans="1:5" ht="4.5" customHeight="1" x14ac:dyDescent="0.25">
      <c r="A6" s="1175"/>
      <c r="B6" s="1627"/>
      <c r="C6" s="1628"/>
    </row>
    <row r="7" spans="1:5" ht="29.25" customHeight="1" x14ac:dyDescent="0.25">
      <c r="A7" s="1659" t="s">
        <v>1241</v>
      </c>
      <c r="B7" s="1661" t="s">
        <v>467</v>
      </c>
      <c r="C7" s="1666" t="s">
        <v>467</v>
      </c>
    </row>
    <row r="8" spans="1:5" x14ac:dyDescent="0.25">
      <c r="A8" s="1175" t="s">
        <v>1242</v>
      </c>
      <c r="B8" s="1627" t="s">
        <v>2043</v>
      </c>
      <c r="C8" s="1628" t="s">
        <v>2046</v>
      </c>
    </row>
    <row r="9" spans="1:5" x14ac:dyDescent="0.25">
      <c r="A9" s="1175" t="s">
        <v>1418</v>
      </c>
      <c r="B9" s="1627" t="s">
        <v>2044</v>
      </c>
      <c r="C9" s="1628" t="s">
        <v>2047</v>
      </c>
    </row>
    <row r="10" spans="1:5" x14ac:dyDescent="0.25">
      <c r="A10" s="1175" t="s">
        <v>2049</v>
      </c>
      <c r="B10" s="1662">
        <v>55824</v>
      </c>
      <c r="C10" s="1667">
        <v>146186</v>
      </c>
    </row>
    <row r="11" spans="1:5" x14ac:dyDescent="0.25">
      <c r="A11" s="1175" t="s">
        <v>499</v>
      </c>
      <c r="B11" s="1663" t="s">
        <v>2045</v>
      </c>
      <c r="C11" s="1668" t="s">
        <v>2048</v>
      </c>
    </row>
    <row r="12" spans="1:5" ht="6.75" customHeight="1" x14ac:dyDescent="0.25">
      <c r="A12" s="1175"/>
      <c r="B12" s="1627"/>
      <c r="C12" s="1628"/>
    </row>
    <row r="13" spans="1:5" x14ac:dyDescent="0.25">
      <c r="A13" s="1664" t="s">
        <v>1632</v>
      </c>
      <c r="B13" s="1627"/>
      <c r="C13" s="1628"/>
    </row>
    <row r="14" spans="1:5" x14ac:dyDescent="0.25">
      <c r="A14" s="2824" t="s">
        <v>2488</v>
      </c>
      <c r="B14" s="2825"/>
      <c r="C14" s="2826"/>
    </row>
    <row r="15" spans="1:5" ht="32.25" customHeight="1" x14ac:dyDescent="0.25">
      <c r="A15" s="2824" t="s">
        <v>2057</v>
      </c>
      <c r="B15" s="2825"/>
      <c r="C15" s="2826"/>
    </row>
    <row r="16" spans="1:5" ht="30" customHeight="1" x14ac:dyDescent="0.25">
      <c r="A16" s="2824" t="s">
        <v>2058</v>
      </c>
      <c r="B16" s="2825"/>
      <c r="C16" s="2826"/>
      <c r="D16" s="1" t="s">
        <v>176</v>
      </c>
    </row>
    <row r="17" spans="1:16384" ht="30" customHeight="1" x14ac:dyDescent="0.25">
      <c r="A17" s="2824" t="s">
        <v>2059</v>
      </c>
      <c r="B17" s="2825"/>
      <c r="C17" s="2826"/>
    </row>
    <row r="18" spans="1:16384" x14ac:dyDescent="0.25">
      <c r="A18" s="2824" t="s">
        <v>2091</v>
      </c>
      <c r="B18" s="2825"/>
      <c r="C18" s="2826"/>
    </row>
    <row r="19" spans="1:16384" x14ac:dyDescent="0.25">
      <c r="A19" s="2824" t="s">
        <v>2092</v>
      </c>
      <c r="B19" s="2825"/>
      <c r="C19" s="2826"/>
    </row>
    <row r="20" spans="1:16384" x14ac:dyDescent="0.25">
      <c r="A20" s="2824" t="s">
        <v>2093</v>
      </c>
      <c r="B20" s="2825"/>
      <c r="C20" s="2826"/>
    </row>
    <row r="21" spans="1:16384" ht="32.25" customHeight="1" x14ac:dyDescent="0.25">
      <c r="A21" s="2824" t="s">
        <v>2489</v>
      </c>
      <c r="B21" s="2825"/>
      <c r="C21" s="2826"/>
      <c r="D21" s="2827"/>
      <c r="E21" s="2827"/>
      <c r="F21" s="2827"/>
      <c r="G21" s="2827"/>
      <c r="H21" s="2827"/>
      <c r="I21" s="2827"/>
      <c r="J21" s="2827"/>
      <c r="K21" s="2827"/>
      <c r="L21" s="2827"/>
      <c r="M21" s="2827"/>
      <c r="N21" s="2827"/>
      <c r="O21" s="2827"/>
      <c r="P21" s="2827"/>
      <c r="Q21" s="2827"/>
      <c r="R21" s="2867"/>
      <c r="S21" s="2866"/>
      <c r="T21" s="2827"/>
      <c r="U21" s="2867"/>
      <c r="V21" s="2866"/>
      <c r="W21" s="2827"/>
      <c r="X21" s="2867"/>
      <c r="Y21" s="2866"/>
      <c r="Z21" s="2827"/>
      <c r="AA21" s="2867"/>
      <c r="AB21" s="2866"/>
      <c r="AC21" s="2827"/>
      <c r="AD21" s="2867"/>
      <c r="AE21" s="2866"/>
      <c r="AF21" s="2827"/>
      <c r="AG21" s="2867"/>
      <c r="AH21" s="2866"/>
      <c r="AI21" s="2827"/>
      <c r="AJ21" s="2867"/>
      <c r="AK21" s="2866"/>
      <c r="AL21" s="2827"/>
      <c r="AM21" s="2867"/>
      <c r="AN21" s="2866"/>
      <c r="AO21" s="2827"/>
      <c r="AP21" s="2867"/>
      <c r="AQ21" s="2866"/>
      <c r="AR21" s="2827"/>
      <c r="AS21" s="2867"/>
      <c r="AT21" s="2866"/>
      <c r="AU21" s="2827"/>
      <c r="AV21" s="2867"/>
      <c r="AW21" s="2866"/>
      <c r="AX21" s="2827"/>
      <c r="AY21" s="2867"/>
      <c r="AZ21" s="2866"/>
      <c r="BA21" s="2827"/>
      <c r="BB21" s="2867"/>
      <c r="BC21" s="2866"/>
      <c r="BD21" s="2827"/>
      <c r="BE21" s="2867"/>
      <c r="BF21" s="2866"/>
      <c r="BG21" s="2827"/>
      <c r="BH21" s="2867"/>
      <c r="BI21" s="2866"/>
      <c r="BJ21" s="2827"/>
      <c r="BK21" s="2867"/>
      <c r="BL21" s="2866"/>
      <c r="BM21" s="2827"/>
      <c r="BN21" s="2867"/>
      <c r="BO21" s="2866"/>
      <c r="BP21" s="2827"/>
      <c r="BQ21" s="2867"/>
      <c r="BR21" s="2866"/>
      <c r="BS21" s="2827"/>
      <c r="BT21" s="2867"/>
      <c r="BU21" s="2866"/>
      <c r="BV21" s="2827"/>
      <c r="BW21" s="2867"/>
      <c r="BX21" s="2866"/>
      <c r="BY21" s="2827"/>
      <c r="BZ21" s="2867"/>
      <c r="CA21" s="2866"/>
      <c r="CB21" s="2827"/>
      <c r="CC21" s="2867"/>
      <c r="CD21" s="2866"/>
      <c r="CE21" s="2827"/>
      <c r="CF21" s="2867"/>
      <c r="CG21" s="2866"/>
      <c r="CH21" s="2827"/>
      <c r="CI21" s="2867"/>
      <c r="CJ21" s="2866"/>
      <c r="CK21" s="2827"/>
      <c r="CL21" s="2867"/>
      <c r="CM21" s="2866"/>
      <c r="CN21" s="2827"/>
      <c r="CO21" s="2867"/>
      <c r="CP21" s="2866"/>
      <c r="CQ21" s="2827"/>
      <c r="CR21" s="2867"/>
      <c r="CS21" s="2866"/>
      <c r="CT21" s="2827"/>
      <c r="CU21" s="2867"/>
      <c r="CV21" s="2866"/>
      <c r="CW21" s="2827"/>
      <c r="CX21" s="2867"/>
      <c r="CY21" s="2866"/>
      <c r="CZ21" s="2827"/>
      <c r="DA21" s="2867"/>
      <c r="DB21" s="2866"/>
      <c r="DC21" s="2827"/>
      <c r="DD21" s="2867"/>
      <c r="DE21" s="2866"/>
      <c r="DF21" s="2827"/>
      <c r="DG21" s="2867"/>
      <c r="DH21" s="2866"/>
      <c r="DI21" s="2827"/>
      <c r="DJ21" s="2867"/>
      <c r="DK21" s="2866"/>
      <c r="DL21" s="2827"/>
      <c r="DM21" s="2867"/>
      <c r="DN21" s="2866"/>
      <c r="DO21" s="2827"/>
      <c r="DP21" s="2867"/>
      <c r="DQ21" s="2866"/>
      <c r="DR21" s="2827"/>
      <c r="DS21" s="2867"/>
      <c r="DT21" s="2866"/>
      <c r="DU21" s="2827"/>
      <c r="DV21" s="2867"/>
      <c r="DW21" s="2866"/>
      <c r="DX21" s="2827"/>
      <c r="DY21" s="2867"/>
      <c r="DZ21" s="2866"/>
      <c r="EA21" s="2827"/>
      <c r="EB21" s="2867"/>
      <c r="EC21" s="2866"/>
      <c r="ED21" s="2827"/>
      <c r="EE21" s="2867"/>
      <c r="EF21" s="2866"/>
      <c r="EG21" s="2827"/>
      <c r="EH21" s="2867"/>
      <c r="EI21" s="2866"/>
      <c r="EJ21" s="2827"/>
      <c r="EK21" s="2867"/>
      <c r="EL21" s="2866"/>
      <c r="EM21" s="2827"/>
      <c r="EN21" s="2867"/>
      <c r="EO21" s="2866"/>
      <c r="EP21" s="2827"/>
      <c r="EQ21" s="2867"/>
      <c r="ER21" s="2866"/>
      <c r="ES21" s="2827"/>
      <c r="ET21" s="2867"/>
      <c r="EU21" s="2866"/>
      <c r="EV21" s="2827"/>
      <c r="EW21" s="2867"/>
      <c r="EX21" s="2866"/>
      <c r="EY21" s="2827"/>
      <c r="EZ21" s="2867"/>
      <c r="FA21" s="2866"/>
      <c r="FB21" s="2827"/>
      <c r="FC21" s="2867"/>
      <c r="FD21" s="2866"/>
      <c r="FE21" s="2827"/>
      <c r="FF21" s="2867"/>
      <c r="FG21" s="2866"/>
      <c r="FH21" s="2827"/>
      <c r="FI21" s="2867"/>
      <c r="FJ21" s="2866"/>
      <c r="FK21" s="2827"/>
      <c r="FL21" s="2867"/>
      <c r="FM21" s="2866"/>
      <c r="FN21" s="2827"/>
      <c r="FO21" s="2867"/>
      <c r="FP21" s="2866"/>
      <c r="FQ21" s="2827"/>
      <c r="FR21" s="2867"/>
      <c r="FS21" s="2866"/>
      <c r="FT21" s="2827"/>
      <c r="FU21" s="2867"/>
      <c r="FV21" s="2866"/>
      <c r="FW21" s="2827"/>
      <c r="FX21" s="2867"/>
      <c r="FY21" s="2866"/>
      <c r="FZ21" s="2827"/>
      <c r="GA21" s="2867"/>
      <c r="GB21" s="2866"/>
      <c r="GC21" s="2827"/>
      <c r="GD21" s="2867"/>
      <c r="GE21" s="2866"/>
      <c r="GF21" s="2827"/>
      <c r="GG21" s="2867"/>
      <c r="GH21" s="2866"/>
      <c r="GI21" s="2827"/>
      <c r="GJ21" s="2867"/>
      <c r="GK21" s="2866"/>
      <c r="GL21" s="2827"/>
      <c r="GM21" s="2867"/>
      <c r="GN21" s="2866"/>
      <c r="GO21" s="2827"/>
      <c r="GP21" s="2867"/>
      <c r="GQ21" s="2866"/>
      <c r="GR21" s="2827"/>
      <c r="GS21" s="2867"/>
      <c r="GT21" s="2866"/>
      <c r="GU21" s="2827"/>
      <c r="GV21" s="2867"/>
      <c r="GW21" s="2866"/>
      <c r="GX21" s="2827"/>
      <c r="GY21" s="2867"/>
      <c r="GZ21" s="2866"/>
      <c r="HA21" s="2827"/>
      <c r="HB21" s="2867"/>
      <c r="HC21" s="2866"/>
      <c r="HD21" s="2827"/>
      <c r="HE21" s="2867"/>
      <c r="HF21" s="2866"/>
      <c r="HG21" s="2827"/>
      <c r="HH21" s="2867"/>
      <c r="HI21" s="2866"/>
      <c r="HJ21" s="2827"/>
      <c r="HK21" s="2867"/>
      <c r="HL21" s="2866"/>
      <c r="HM21" s="2827"/>
      <c r="HN21" s="2867"/>
      <c r="HO21" s="2866"/>
      <c r="HP21" s="2827"/>
      <c r="HQ21" s="2867"/>
      <c r="HR21" s="2866"/>
      <c r="HS21" s="2827"/>
      <c r="HT21" s="2867"/>
      <c r="HU21" s="2866"/>
      <c r="HV21" s="2827"/>
      <c r="HW21" s="2867"/>
      <c r="HX21" s="2866"/>
      <c r="HY21" s="2827"/>
      <c r="HZ21" s="2867"/>
      <c r="IA21" s="2866"/>
      <c r="IB21" s="2827"/>
      <c r="IC21" s="2867"/>
      <c r="ID21" s="2866"/>
      <c r="IE21" s="2827"/>
      <c r="IF21" s="2867"/>
      <c r="IG21" s="2866"/>
      <c r="IH21" s="2827"/>
      <c r="II21" s="2867"/>
      <c r="IJ21" s="2866"/>
      <c r="IK21" s="2827"/>
      <c r="IL21" s="2867"/>
      <c r="IM21" s="2866"/>
      <c r="IN21" s="2827"/>
      <c r="IO21" s="2867"/>
      <c r="IP21" s="2866"/>
      <c r="IQ21" s="2827"/>
      <c r="IR21" s="2867"/>
      <c r="IS21" s="2866"/>
      <c r="IT21" s="2827"/>
      <c r="IU21" s="2867"/>
      <c r="IV21" s="2866"/>
      <c r="IW21" s="2827"/>
      <c r="IX21" s="2867"/>
      <c r="IY21" s="2866"/>
      <c r="IZ21" s="2827"/>
      <c r="JA21" s="2867"/>
      <c r="JB21" s="2866"/>
      <c r="JC21" s="2827"/>
      <c r="JD21" s="2867"/>
      <c r="JE21" s="2866"/>
      <c r="JF21" s="2827"/>
      <c r="JG21" s="2867"/>
      <c r="JH21" s="2866"/>
      <c r="JI21" s="2827"/>
      <c r="JJ21" s="2867"/>
      <c r="JK21" s="2866"/>
      <c r="JL21" s="2827"/>
      <c r="JM21" s="2867"/>
      <c r="JN21" s="2866"/>
      <c r="JO21" s="2827"/>
      <c r="JP21" s="2867"/>
      <c r="JQ21" s="2866"/>
      <c r="JR21" s="2827"/>
      <c r="JS21" s="2867"/>
      <c r="JT21" s="2866"/>
      <c r="JU21" s="2827"/>
      <c r="JV21" s="2867"/>
      <c r="JW21" s="2866"/>
      <c r="JX21" s="2827"/>
      <c r="JY21" s="2867"/>
      <c r="JZ21" s="2866"/>
      <c r="KA21" s="2827"/>
      <c r="KB21" s="2867"/>
      <c r="KC21" s="2866"/>
      <c r="KD21" s="2827"/>
      <c r="KE21" s="2867"/>
      <c r="KF21" s="2866"/>
      <c r="KG21" s="2827"/>
      <c r="KH21" s="2867"/>
      <c r="KI21" s="2866"/>
      <c r="KJ21" s="2827"/>
      <c r="KK21" s="2867"/>
      <c r="KL21" s="2866"/>
      <c r="KM21" s="2827"/>
      <c r="KN21" s="2867"/>
      <c r="KO21" s="2866"/>
      <c r="KP21" s="2827"/>
      <c r="KQ21" s="2867"/>
      <c r="KR21" s="2866"/>
      <c r="KS21" s="2827"/>
      <c r="KT21" s="2867"/>
      <c r="KU21" s="2866"/>
      <c r="KV21" s="2827"/>
      <c r="KW21" s="2867"/>
      <c r="KX21" s="2866"/>
      <c r="KY21" s="2827"/>
      <c r="KZ21" s="2867"/>
      <c r="LA21" s="2866"/>
      <c r="LB21" s="2827"/>
      <c r="LC21" s="2867"/>
      <c r="LD21" s="2866"/>
      <c r="LE21" s="2827"/>
      <c r="LF21" s="2867"/>
      <c r="LG21" s="2866"/>
      <c r="LH21" s="2827"/>
      <c r="LI21" s="2867"/>
      <c r="LJ21" s="2866"/>
      <c r="LK21" s="2827"/>
      <c r="LL21" s="2867"/>
      <c r="LM21" s="2866"/>
      <c r="LN21" s="2827"/>
      <c r="LO21" s="2867"/>
      <c r="LP21" s="2866"/>
      <c r="LQ21" s="2827"/>
      <c r="LR21" s="2867"/>
      <c r="LS21" s="2866"/>
      <c r="LT21" s="2827"/>
      <c r="LU21" s="2867"/>
      <c r="LV21" s="2866"/>
      <c r="LW21" s="2827"/>
      <c r="LX21" s="2867"/>
      <c r="LY21" s="2866"/>
      <c r="LZ21" s="2827"/>
      <c r="MA21" s="2867"/>
      <c r="MB21" s="2866"/>
      <c r="MC21" s="2827"/>
      <c r="MD21" s="2867"/>
      <c r="ME21" s="2866"/>
      <c r="MF21" s="2827"/>
      <c r="MG21" s="2867"/>
      <c r="MH21" s="2866"/>
      <c r="MI21" s="2827"/>
      <c r="MJ21" s="2867"/>
      <c r="MK21" s="2866"/>
      <c r="ML21" s="2827"/>
      <c r="MM21" s="2867"/>
      <c r="MN21" s="2866"/>
      <c r="MO21" s="2827"/>
      <c r="MP21" s="2867"/>
      <c r="MQ21" s="2866"/>
      <c r="MR21" s="2827"/>
      <c r="MS21" s="2867"/>
      <c r="MT21" s="2866"/>
      <c r="MU21" s="2827"/>
      <c r="MV21" s="2867"/>
      <c r="MW21" s="2866"/>
      <c r="MX21" s="2827"/>
      <c r="MY21" s="2867"/>
      <c r="MZ21" s="2866"/>
      <c r="NA21" s="2827"/>
      <c r="NB21" s="2867"/>
      <c r="NC21" s="2866"/>
      <c r="ND21" s="2827"/>
      <c r="NE21" s="2867"/>
      <c r="NF21" s="2866"/>
      <c r="NG21" s="2827"/>
      <c r="NH21" s="2867"/>
      <c r="NI21" s="2866"/>
      <c r="NJ21" s="2827"/>
      <c r="NK21" s="2867"/>
      <c r="NL21" s="2866"/>
      <c r="NM21" s="2827"/>
      <c r="NN21" s="2867"/>
      <c r="NO21" s="2866"/>
      <c r="NP21" s="2827"/>
      <c r="NQ21" s="2867"/>
      <c r="NR21" s="2866"/>
      <c r="NS21" s="2827"/>
      <c r="NT21" s="2867"/>
      <c r="NU21" s="2866"/>
      <c r="NV21" s="2827"/>
      <c r="NW21" s="2867"/>
      <c r="NX21" s="2866"/>
      <c r="NY21" s="2827"/>
      <c r="NZ21" s="2867"/>
      <c r="OA21" s="2866"/>
      <c r="OB21" s="2827"/>
      <c r="OC21" s="2867"/>
      <c r="OD21" s="2866"/>
      <c r="OE21" s="2827"/>
      <c r="OF21" s="2867"/>
      <c r="OG21" s="2866"/>
      <c r="OH21" s="2827"/>
      <c r="OI21" s="2867"/>
      <c r="OJ21" s="2866"/>
      <c r="OK21" s="2827"/>
      <c r="OL21" s="2867"/>
      <c r="OM21" s="2866"/>
      <c r="ON21" s="2827"/>
      <c r="OO21" s="2867"/>
      <c r="OP21" s="2866"/>
      <c r="OQ21" s="2827"/>
      <c r="OR21" s="2867"/>
      <c r="OS21" s="2866"/>
      <c r="OT21" s="2827"/>
      <c r="OU21" s="2867"/>
      <c r="OV21" s="2866"/>
      <c r="OW21" s="2827"/>
      <c r="OX21" s="2867"/>
      <c r="OY21" s="2866"/>
      <c r="OZ21" s="2827"/>
      <c r="PA21" s="2867"/>
      <c r="PB21" s="2866"/>
      <c r="PC21" s="2827"/>
      <c r="PD21" s="2867"/>
      <c r="PE21" s="2866"/>
      <c r="PF21" s="2827"/>
      <c r="PG21" s="2867"/>
      <c r="PH21" s="2866"/>
      <c r="PI21" s="2827"/>
      <c r="PJ21" s="2867"/>
      <c r="PK21" s="2866"/>
      <c r="PL21" s="2827"/>
      <c r="PM21" s="2867"/>
      <c r="PN21" s="2866"/>
      <c r="PO21" s="2827"/>
      <c r="PP21" s="2867"/>
      <c r="PQ21" s="2866"/>
      <c r="PR21" s="2827"/>
      <c r="PS21" s="2867"/>
      <c r="PT21" s="2866"/>
      <c r="PU21" s="2827"/>
      <c r="PV21" s="2867"/>
      <c r="PW21" s="2866"/>
      <c r="PX21" s="2827"/>
      <c r="PY21" s="2867"/>
      <c r="PZ21" s="2866"/>
      <c r="QA21" s="2827"/>
      <c r="QB21" s="2867"/>
      <c r="QC21" s="2866"/>
      <c r="QD21" s="2827"/>
      <c r="QE21" s="2867"/>
      <c r="QF21" s="2866"/>
      <c r="QG21" s="2827"/>
      <c r="QH21" s="2867"/>
      <c r="QI21" s="2866"/>
      <c r="QJ21" s="2827"/>
      <c r="QK21" s="2867"/>
      <c r="QL21" s="2866"/>
      <c r="QM21" s="2827"/>
      <c r="QN21" s="2867"/>
      <c r="QO21" s="2866"/>
      <c r="QP21" s="2827"/>
      <c r="QQ21" s="2867"/>
      <c r="QR21" s="2866"/>
      <c r="QS21" s="2827"/>
      <c r="QT21" s="2867"/>
      <c r="QU21" s="2866"/>
      <c r="QV21" s="2827"/>
      <c r="QW21" s="2867"/>
      <c r="QX21" s="2866"/>
      <c r="QY21" s="2827"/>
      <c r="QZ21" s="2867"/>
      <c r="RA21" s="2866"/>
      <c r="RB21" s="2827"/>
      <c r="RC21" s="2867"/>
      <c r="RD21" s="2866"/>
      <c r="RE21" s="2827"/>
      <c r="RF21" s="2867"/>
      <c r="RG21" s="2866"/>
      <c r="RH21" s="2827"/>
      <c r="RI21" s="2867"/>
      <c r="RJ21" s="2866"/>
      <c r="RK21" s="2827"/>
      <c r="RL21" s="2867"/>
      <c r="RM21" s="2866"/>
      <c r="RN21" s="2827"/>
      <c r="RO21" s="2867"/>
      <c r="RP21" s="2866"/>
      <c r="RQ21" s="2827"/>
      <c r="RR21" s="2867"/>
      <c r="RS21" s="2866"/>
      <c r="RT21" s="2827"/>
      <c r="RU21" s="2867"/>
      <c r="RV21" s="2866"/>
      <c r="RW21" s="2827"/>
      <c r="RX21" s="2867"/>
      <c r="RY21" s="2866"/>
      <c r="RZ21" s="2827"/>
      <c r="SA21" s="2867"/>
      <c r="SB21" s="2866"/>
      <c r="SC21" s="2827"/>
      <c r="SD21" s="2867"/>
      <c r="SE21" s="2866"/>
      <c r="SF21" s="2827"/>
      <c r="SG21" s="2867"/>
      <c r="SH21" s="2866"/>
      <c r="SI21" s="2827"/>
      <c r="SJ21" s="2867"/>
      <c r="SK21" s="2866"/>
      <c r="SL21" s="2827"/>
      <c r="SM21" s="2867"/>
      <c r="SN21" s="2866"/>
      <c r="SO21" s="2827"/>
      <c r="SP21" s="2867"/>
      <c r="SQ21" s="2866"/>
      <c r="SR21" s="2827"/>
      <c r="SS21" s="2867"/>
      <c r="ST21" s="2866"/>
      <c r="SU21" s="2827"/>
      <c r="SV21" s="2867"/>
      <c r="SW21" s="2866"/>
      <c r="SX21" s="2827"/>
      <c r="SY21" s="2867"/>
      <c r="SZ21" s="2866"/>
      <c r="TA21" s="2827"/>
      <c r="TB21" s="2867"/>
      <c r="TC21" s="2866"/>
      <c r="TD21" s="2827"/>
      <c r="TE21" s="2867"/>
      <c r="TF21" s="2866"/>
      <c r="TG21" s="2827"/>
      <c r="TH21" s="2867"/>
      <c r="TI21" s="2866"/>
      <c r="TJ21" s="2827"/>
      <c r="TK21" s="2867"/>
      <c r="TL21" s="2866"/>
      <c r="TM21" s="2827"/>
      <c r="TN21" s="2867"/>
      <c r="TO21" s="2866"/>
      <c r="TP21" s="2827"/>
      <c r="TQ21" s="2867"/>
      <c r="TR21" s="2866"/>
      <c r="TS21" s="2827"/>
      <c r="TT21" s="2867"/>
      <c r="TU21" s="2866"/>
      <c r="TV21" s="2827"/>
      <c r="TW21" s="2867"/>
      <c r="TX21" s="2866"/>
      <c r="TY21" s="2827"/>
      <c r="TZ21" s="2867"/>
      <c r="UA21" s="2866"/>
      <c r="UB21" s="2827"/>
      <c r="UC21" s="2867"/>
      <c r="UD21" s="2866"/>
      <c r="UE21" s="2827"/>
      <c r="UF21" s="2867"/>
      <c r="UG21" s="2866"/>
      <c r="UH21" s="2827"/>
      <c r="UI21" s="2867"/>
      <c r="UJ21" s="2866"/>
      <c r="UK21" s="2827"/>
      <c r="UL21" s="2867"/>
      <c r="UM21" s="2866"/>
      <c r="UN21" s="2827"/>
      <c r="UO21" s="2867"/>
      <c r="UP21" s="2866"/>
      <c r="UQ21" s="2827"/>
      <c r="UR21" s="2867"/>
      <c r="US21" s="2866"/>
      <c r="UT21" s="2827"/>
      <c r="UU21" s="2867"/>
      <c r="UV21" s="2866"/>
      <c r="UW21" s="2827"/>
      <c r="UX21" s="2867"/>
      <c r="UY21" s="2866"/>
      <c r="UZ21" s="2827"/>
      <c r="VA21" s="2867"/>
      <c r="VB21" s="2866"/>
      <c r="VC21" s="2827"/>
      <c r="VD21" s="2867"/>
      <c r="VE21" s="2866"/>
      <c r="VF21" s="2827"/>
      <c r="VG21" s="2867"/>
      <c r="VH21" s="2866"/>
      <c r="VI21" s="2827"/>
      <c r="VJ21" s="2867"/>
      <c r="VK21" s="2866"/>
      <c r="VL21" s="2827"/>
      <c r="VM21" s="2867"/>
      <c r="VN21" s="2866"/>
      <c r="VO21" s="2827"/>
      <c r="VP21" s="2867"/>
      <c r="VQ21" s="2866"/>
      <c r="VR21" s="2827"/>
      <c r="VS21" s="2867"/>
      <c r="VT21" s="2866"/>
      <c r="VU21" s="2827"/>
      <c r="VV21" s="2867"/>
      <c r="VW21" s="2866"/>
      <c r="VX21" s="2827"/>
      <c r="VY21" s="2867"/>
      <c r="VZ21" s="2866"/>
      <c r="WA21" s="2827"/>
      <c r="WB21" s="2867"/>
      <c r="WC21" s="2866"/>
      <c r="WD21" s="2827"/>
      <c r="WE21" s="2867"/>
      <c r="WF21" s="2866"/>
      <c r="WG21" s="2827"/>
      <c r="WH21" s="2867"/>
      <c r="WI21" s="2866"/>
      <c r="WJ21" s="2827"/>
      <c r="WK21" s="2867"/>
      <c r="WL21" s="2866"/>
      <c r="WM21" s="2827"/>
      <c r="WN21" s="2867"/>
      <c r="WO21" s="2866"/>
      <c r="WP21" s="2827"/>
      <c r="WQ21" s="2867"/>
      <c r="WR21" s="2866"/>
      <c r="WS21" s="2827"/>
      <c r="WT21" s="2867"/>
      <c r="WU21" s="2866"/>
      <c r="WV21" s="2827"/>
      <c r="WW21" s="2867"/>
      <c r="WX21" s="2866"/>
      <c r="WY21" s="2827"/>
      <c r="WZ21" s="2867"/>
      <c r="XA21" s="2866"/>
      <c r="XB21" s="2827"/>
      <c r="XC21" s="2867"/>
      <c r="XD21" s="2866"/>
      <c r="XE21" s="2827"/>
      <c r="XF21" s="2867"/>
      <c r="XG21" s="2866"/>
      <c r="XH21" s="2827"/>
      <c r="XI21" s="2867"/>
      <c r="XJ21" s="2866"/>
      <c r="XK21" s="2827"/>
      <c r="XL21" s="2867"/>
      <c r="XM21" s="2866"/>
      <c r="XN21" s="2827"/>
      <c r="XO21" s="2867"/>
      <c r="XP21" s="2866"/>
      <c r="XQ21" s="2827"/>
      <c r="XR21" s="2867"/>
      <c r="XS21" s="2866"/>
      <c r="XT21" s="2827"/>
      <c r="XU21" s="2867"/>
      <c r="XV21" s="2866"/>
      <c r="XW21" s="2827"/>
      <c r="XX21" s="2867"/>
      <c r="XY21" s="2866"/>
      <c r="XZ21" s="2827"/>
      <c r="YA21" s="2867"/>
      <c r="YB21" s="2866"/>
      <c r="YC21" s="2827"/>
      <c r="YD21" s="2867"/>
      <c r="YE21" s="2866"/>
      <c r="YF21" s="2827"/>
      <c r="YG21" s="2867"/>
      <c r="YH21" s="2866"/>
      <c r="YI21" s="2827"/>
      <c r="YJ21" s="2867"/>
      <c r="YK21" s="2866"/>
      <c r="YL21" s="2827"/>
      <c r="YM21" s="2867"/>
      <c r="YN21" s="2866"/>
      <c r="YO21" s="2827"/>
      <c r="YP21" s="2867"/>
      <c r="YQ21" s="2866"/>
      <c r="YR21" s="2827"/>
      <c r="YS21" s="2867"/>
      <c r="YT21" s="2866"/>
      <c r="YU21" s="2827"/>
      <c r="YV21" s="2867"/>
      <c r="YW21" s="2866"/>
      <c r="YX21" s="2827"/>
      <c r="YY21" s="2867"/>
      <c r="YZ21" s="2866"/>
      <c r="ZA21" s="2827"/>
      <c r="ZB21" s="2867"/>
      <c r="ZC21" s="2866"/>
      <c r="ZD21" s="2827"/>
      <c r="ZE21" s="2867"/>
      <c r="ZF21" s="2866"/>
      <c r="ZG21" s="2827"/>
      <c r="ZH21" s="2867"/>
      <c r="ZI21" s="2866"/>
      <c r="ZJ21" s="2827"/>
      <c r="ZK21" s="2867"/>
      <c r="ZL21" s="2866"/>
      <c r="ZM21" s="2827"/>
      <c r="ZN21" s="2867"/>
      <c r="ZO21" s="2866"/>
      <c r="ZP21" s="2827"/>
      <c r="ZQ21" s="2867"/>
      <c r="ZR21" s="2866"/>
      <c r="ZS21" s="2827"/>
      <c r="ZT21" s="2867"/>
      <c r="ZU21" s="2866"/>
      <c r="ZV21" s="2827"/>
      <c r="ZW21" s="2867"/>
      <c r="ZX21" s="2866"/>
      <c r="ZY21" s="2827"/>
      <c r="ZZ21" s="2867"/>
      <c r="AAA21" s="2866"/>
      <c r="AAB21" s="2827"/>
      <c r="AAC21" s="2867"/>
      <c r="AAD21" s="2866"/>
      <c r="AAE21" s="2827"/>
      <c r="AAF21" s="2867"/>
      <c r="AAG21" s="2866"/>
      <c r="AAH21" s="2827"/>
      <c r="AAI21" s="2867"/>
      <c r="AAJ21" s="2866"/>
      <c r="AAK21" s="2827"/>
      <c r="AAL21" s="2867"/>
      <c r="AAM21" s="2866"/>
      <c r="AAN21" s="2827"/>
      <c r="AAO21" s="2867"/>
      <c r="AAP21" s="2866"/>
      <c r="AAQ21" s="2827"/>
      <c r="AAR21" s="2867"/>
      <c r="AAS21" s="2866"/>
      <c r="AAT21" s="2827"/>
      <c r="AAU21" s="2867"/>
      <c r="AAV21" s="2866"/>
      <c r="AAW21" s="2827"/>
      <c r="AAX21" s="2867"/>
      <c r="AAY21" s="2866"/>
      <c r="AAZ21" s="2827"/>
      <c r="ABA21" s="2867"/>
      <c r="ABB21" s="2866"/>
      <c r="ABC21" s="2827"/>
      <c r="ABD21" s="2867"/>
      <c r="ABE21" s="2866"/>
      <c r="ABF21" s="2827"/>
      <c r="ABG21" s="2867"/>
      <c r="ABH21" s="2866"/>
      <c r="ABI21" s="2827"/>
      <c r="ABJ21" s="2867"/>
      <c r="ABK21" s="2866"/>
      <c r="ABL21" s="2827"/>
      <c r="ABM21" s="2867"/>
      <c r="ABN21" s="2866"/>
      <c r="ABO21" s="2827"/>
      <c r="ABP21" s="2867"/>
      <c r="ABQ21" s="2866"/>
      <c r="ABR21" s="2827"/>
      <c r="ABS21" s="2867"/>
      <c r="ABT21" s="2866"/>
      <c r="ABU21" s="2827"/>
      <c r="ABV21" s="2867"/>
      <c r="ABW21" s="2866"/>
      <c r="ABX21" s="2827"/>
      <c r="ABY21" s="2867"/>
      <c r="ABZ21" s="2866"/>
      <c r="ACA21" s="2827"/>
      <c r="ACB21" s="2867"/>
      <c r="ACC21" s="2866"/>
      <c r="ACD21" s="2827"/>
      <c r="ACE21" s="2867"/>
      <c r="ACF21" s="2866"/>
      <c r="ACG21" s="2827"/>
      <c r="ACH21" s="2867"/>
      <c r="ACI21" s="2866"/>
      <c r="ACJ21" s="2827"/>
      <c r="ACK21" s="2867"/>
      <c r="ACL21" s="2866"/>
      <c r="ACM21" s="2827"/>
      <c r="ACN21" s="2867"/>
      <c r="ACO21" s="2866"/>
      <c r="ACP21" s="2827"/>
      <c r="ACQ21" s="2867"/>
      <c r="ACR21" s="2866"/>
      <c r="ACS21" s="2827"/>
      <c r="ACT21" s="2867"/>
      <c r="ACU21" s="2866"/>
      <c r="ACV21" s="2827"/>
      <c r="ACW21" s="2867"/>
      <c r="ACX21" s="2866"/>
      <c r="ACY21" s="2827"/>
      <c r="ACZ21" s="2867"/>
      <c r="ADA21" s="2866"/>
      <c r="ADB21" s="2827"/>
      <c r="ADC21" s="2867"/>
      <c r="ADD21" s="2866"/>
      <c r="ADE21" s="2827"/>
      <c r="ADF21" s="2867"/>
      <c r="ADG21" s="2866"/>
      <c r="ADH21" s="2827"/>
      <c r="ADI21" s="2867"/>
      <c r="ADJ21" s="2866"/>
      <c r="ADK21" s="2827"/>
      <c r="ADL21" s="2867"/>
      <c r="ADM21" s="2866"/>
      <c r="ADN21" s="2827"/>
      <c r="ADO21" s="2867"/>
      <c r="ADP21" s="2866"/>
      <c r="ADQ21" s="2827"/>
      <c r="ADR21" s="2867"/>
      <c r="ADS21" s="2866"/>
      <c r="ADT21" s="2827"/>
      <c r="ADU21" s="2867"/>
      <c r="ADV21" s="2866"/>
      <c r="ADW21" s="2827"/>
      <c r="ADX21" s="2867"/>
      <c r="ADY21" s="2866"/>
      <c r="ADZ21" s="2827"/>
      <c r="AEA21" s="2867"/>
      <c r="AEB21" s="2866"/>
      <c r="AEC21" s="2827"/>
      <c r="AED21" s="2867"/>
      <c r="AEE21" s="2866"/>
      <c r="AEF21" s="2827"/>
      <c r="AEG21" s="2867"/>
      <c r="AEH21" s="2866"/>
      <c r="AEI21" s="2827"/>
      <c r="AEJ21" s="2867"/>
      <c r="AEK21" s="2866"/>
      <c r="AEL21" s="2827"/>
      <c r="AEM21" s="2867"/>
      <c r="AEN21" s="2866"/>
      <c r="AEO21" s="2827"/>
      <c r="AEP21" s="2867"/>
      <c r="AEQ21" s="2866"/>
      <c r="AER21" s="2827"/>
      <c r="AES21" s="2867"/>
      <c r="AET21" s="2866"/>
      <c r="AEU21" s="2827"/>
      <c r="AEV21" s="2867"/>
      <c r="AEW21" s="2866"/>
      <c r="AEX21" s="2827"/>
      <c r="AEY21" s="2867"/>
      <c r="AEZ21" s="2866"/>
      <c r="AFA21" s="2827"/>
      <c r="AFB21" s="2867"/>
      <c r="AFC21" s="2866"/>
      <c r="AFD21" s="2827"/>
      <c r="AFE21" s="2867"/>
      <c r="AFF21" s="2866"/>
      <c r="AFG21" s="2827"/>
      <c r="AFH21" s="2867"/>
      <c r="AFI21" s="2866"/>
      <c r="AFJ21" s="2827"/>
      <c r="AFK21" s="2867"/>
      <c r="AFL21" s="2866"/>
      <c r="AFM21" s="2827"/>
      <c r="AFN21" s="2867"/>
      <c r="AFO21" s="2866"/>
      <c r="AFP21" s="2827"/>
      <c r="AFQ21" s="2867"/>
      <c r="AFR21" s="2866"/>
      <c r="AFS21" s="2827"/>
      <c r="AFT21" s="2867"/>
      <c r="AFU21" s="2866"/>
      <c r="AFV21" s="2827"/>
      <c r="AFW21" s="2867"/>
      <c r="AFX21" s="2866"/>
      <c r="AFY21" s="2827"/>
      <c r="AFZ21" s="2867"/>
      <c r="AGA21" s="2866"/>
      <c r="AGB21" s="2827"/>
      <c r="AGC21" s="2867"/>
      <c r="AGD21" s="2866"/>
      <c r="AGE21" s="2827"/>
      <c r="AGF21" s="2867"/>
      <c r="AGG21" s="2866"/>
      <c r="AGH21" s="2827"/>
      <c r="AGI21" s="2867"/>
      <c r="AGJ21" s="2866"/>
      <c r="AGK21" s="2827"/>
      <c r="AGL21" s="2867"/>
      <c r="AGM21" s="2866"/>
      <c r="AGN21" s="2827"/>
      <c r="AGO21" s="2867"/>
      <c r="AGP21" s="2866"/>
      <c r="AGQ21" s="2827"/>
      <c r="AGR21" s="2867"/>
      <c r="AGS21" s="2866"/>
      <c r="AGT21" s="2827"/>
      <c r="AGU21" s="2867"/>
      <c r="AGV21" s="2866"/>
      <c r="AGW21" s="2827"/>
      <c r="AGX21" s="2867"/>
      <c r="AGY21" s="2866"/>
      <c r="AGZ21" s="2827"/>
      <c r="AHA21" s="2867"/>
      <c r="AHB21" s="2866"/>
      <c r="AHC21" s="2827"/>
      <c r="AHD21" s="2867"/>
      <c r="AHE21" s="2866"/>
      <c r="AHF21" s="2827"/>
      <c r="AHG21" s="2867"/>
      <c r="AHH21" s="2866"/>
      <c r="AHI21" s="2827"/>
      <c r="AHJ21" s="2867"/>
      <c r="AHK21" s="2866"/>
      <c r="AHL21" s="2827"/>
      <c r="AHM21" s="2867"/>
      <c r="AHN21" s="2866"/>
      <c r="AHO21" s="2827"/>
      <c r="AHP21" s="2867"/>
      <c r="AHQ21" s="2866"/>
      <c r="AHR21" s="2827"/>
      <c r="AHS21" s="2867"/>
      <c r="AHT21" s="2866"/>
      <c r="AHU21" s="2827"/>
      <c r="AHV21" s="2867"/>
      <c r="AHW21" s="2866"/>
      <c r="AHX21" s="2827"/>
      <c r="AHY21" s="2867"/>
      <c r="AHZ21" s="2866"/>
      <c r="AIA21" s="2827"/>
      <c r="AIB21" s="2867"/>
      <c r="AIC21" s="2866"/>
      <c r="AID21" s="2827"/>
      <c r="AIE21" s="2867"/>
      <c r="AIF21" s="2866"/>
      <c r="AIG21" s="2827"/>
      <c r="AIH21" s="2867"/>
      <c r="AII21" s="2866"/>
      <c r="AIJ21" s="2827"/>
      <c r="AIK21" s="2867"/>
      <c r="AIL21" s="2866"/>
      <c r="AIM21" s="2827"/>
      <c r="AIN21" s="2867"/>
      <c r="AIO21" s="2866"/>
      <c r="AIP21" s="2827"/>
      <c r="AIQ21" s="2867"/>
      <c r="AIR21" s="2866"/>
      <c r="AIS21" s="2827"/>
      <c r="AIT21" s="2867"/>
      <c r="AIU21" s="2866"/>
      <c r="AIV21" s="2827"/>
      <c r="AIW21" s="2867"/>
      <c r="AIX21" s="2866"/>
      <c r="AIY21" s="2827"/>
      <c r="AIZ21" s="2867"/>
      <c r="AJA21" s="2866"/>
      <c r="AJB21" s="2827"/>
      <c r="AJC21" s="2867"/>
      <c r="AJD21" s="2866"/>
      <c r="AJE21" s="2827"/>
      <c r="AJF21" s="2867"/>
      <c r="AJG21" s="2866"/>
      <c r="AJH21" s="2827"/>
      <c r="AJI21" s="2867"/>
      <c r="AJJ21" s="2866"/>
      <c r="AJK21" s="2827"/>
      <c r="AJL21" s="2867"/>
      <c r="AJM21" s="2866"/>
      <c r="AJN21" s="2827"/>
      <c r="AJO21" s="2867"/>
      <c r="AJP21" s="2866"/>
      <c r="AJQ21" s="2827"/>
      <c r="AJR21" s="2867"/>
      <c r="AJS21" s="2866"/>
      <c r="AJT21" s="2827"/>
      <c r="AJU21" s="2867"/>
      <c r="AJV21" s="2866"/>
      <c r="AJW21" s="2827"/>
      <c r="AJX21" s="2867"/>
      <c r="AJY21" s="2866"/>
      <c r="AJZ21" s="2827"/>
      <c r="AKA21" s="2867"/>
      <c r="AKB21" s="2866"/>
      <c r="AKC21" s="2827"/>
      <c r="AKD21" s="2867"/>
      <c r="AKE21" s="2866"/>
      <c r="AKF21" s="2827"/>
      <c r="AKG21" s="2867"/>
      <c r="AKH21" s="2866"/>
      <c r="AKI21" s="2827"/>
      <c r="AKJ21" s="2867"/>
      <c r="AKK21" s="2866"/>
      <c r="AKL21" s="2827"/>
      <c r="AKM21" s="2867"/>
      <c r="AKN21" s="2866"/>
      <c r="AKO21" s="2827"/>
      <c r="AKP21" s="2867"/>
      <c r="AKQ21" s="2866"/>
      <c r="AKR21" s="2827"/>
      <c r="AKS21" s="2867"/>
      <c r="AKT21" s="2866"/>
      <c r="AKU21" s="2827"/>
      <c r="AKV21" s="2867"/>
      <c r="AKW21" s="2866"/>
      <c r="AKX21" s="2827"/>
      <c r="AKY21" s="2867"/>
      <c r="AKZ21" s="2866"/>
      <c r="ALA21" s="2827"/>
      <c r="ALB21" s="2867"/>
      <c r="ALC21" s="2866"/>
      <c r="ALD21" s="2827"/>
      <c r="ALE21" s="2867"/>
      <c r="ALF21" s="2866"/>
      <c r="ALG21" s="2827"/>
      <c r="ALH21" s="2867"/>
      <c r="ALI21" s="2866"/>
      <c r="ALJ21" s="2827"/>
      <c r="ALK21" s="2867"/>
      <c r="ALL21" s="2866"/>
      <c r="ALM21" s="2827"/>
      <c r="ALN21" s="2867"/>
      <c r="ALO21" s="2866"/>
      <c r="ALP21" s="2827"/>
      <c r="ALQ21" s="2867"/>
      <c r="ALR21" s="2866"/>
      <c r="ALS21" s="2827"/>
      <c r="ALT21" s="2867"/>
      <c r="ALU21" s="2866"/>
      <c r="ALV21" s="2827"/>
      <c r="ALW21" s="2867"/>
      <c r="ALX21" s="2866"/>
      <c r="ALY21" s="2827"/>
      <c r="ALZ21" s="2867"/>
      <c r="AMA21" s="2866"/>
      <c r="AMB21" s="2827"/>
      <c r="AMC21" s="2867"/>
      <c r="AMD21" s="2866"/>
      <c r="AME21" s="2827"/>
      <c r="AMF21" s="2867"/>
      <c r="AMG21" s="2866"/>
      <c r="AMH21" s="2827"/>
      <c r="AMI21" s="2867"/>
      <c r="AMJ21" s="2866"/>
      <c r="AMK21" s="2827"/>
      <c r="AML21" s="2867"/>
      <c r="AMM21" s="2866"/>
      <c r="AMN21" s="2827"/>
      <c r="AMO21" s="2867"/>
      <c r="AMP21" s="2866"/>
      <c r="AMQ21" s="2827"/>
      <c r="AMR21" s="2867"/>
      <c r="AMS21" s="2866"/>
      <c r="AMT21" s="2827"/>
      <c r="AMU21" s="2867"/>
      <c r="AMV21" s="2866"/>
      <c r="AMW21" s="2827"/>
      <c r="AMX21" s="2867"/>
      <c r="AMY21" s="2866"/>
      <c r="AMZ21" s="2827"/>
      <c r="ANA21" s="2867"/>
      <c r="ANB21" s="2866"/>
      <c r="ANC21" s="2827"/>
      <c r="AND21" s="2867"/>
      <c r="ANE21" s="2866"/>
      <c r="ANF21" s="2827"/>
      <c r="ANG21" s="2867"/>
      <c r="ANH21" s="2866"/>
      <c r="ANI21" s="2827"/>
      <c r="ANJ21" s="2867"/>
      <c r="ANK21" s="2866"/>
      <c r="ANL21" s="2827"/>
      <c r="ANM21" s="2867"/>
      <c r="ANN21" s="2866"/>
      <c r="ANO21" s="2827"/>
      <c r="ANP21" s="2867"/>
      <c r="ANQ21" s="2866"/>
      <c r="ANR21" s="2827"/>
      <c r="ANS21" s="2867"/>
      <c r="ANT21" s="2866"/>
      <c r="ANU21" s="2827"/>
      <c r="ANV21" s="2867"/>
      <c r="ANW21" s="2866"/>
      <c r="ANX21" s="2827"/>
      <c r="ANY21" s="2867"/>
      <c r="ANZ21" s="2866"/>
      <c r="AOA21" s="2827"/>
      <c r="AOB21" s="2867"/>
      <c r="AOC21" s="2866"/>
      <c r="AOD21" s="2827"/>
      <c r="AOE21" s="2867"/>
      <c r="AOF21" s="2866"/>
      <c r="AOG21" s="2827"/>
      <c r="AOH21" s="2867"/>
      <c r="AOI21" s="2866"/>
      <c r="AOJ21" s="2827"/>
      <c r="AOK21" s="2867"/>
      <c r="AOL21" s="2866"/>
      <c r="AOM21" s="2827"/>
      <c r="AON21" s="2867"/>
      <c r="AOO21" s="2866"/>
      <c r="AOP21" s="2827"/>
      <c r="AOQ21" s="2867"/>
      <c r="AOR21" s="2866"/>
      <c r="AOS21" s="2827"/>
      <c r="AOT21" s="2867"/>
      <c r="AOU21" s="2866"/>
      <c r="AOV21" s="2827"/>
      <c r="AOW21" s="2867"/>
      <c r="AOX21" s="2866"/>
      <c r="AOY21" s="2827"/>
      <c r="AOZ21" s="2867"/>
      <c r="APA21" s="2866"/>
      <c r="APB21" s="2827"/>
      <c r="APC21" s="2867"/>
      <c r="APD21" s="2866"/>
      <c r="APE21" s="2827"/>
      <c r="APF21" s="2867"/>
      <c r="APG21" s="2866"/>
      <c r="APH21" s="2827"/>
      <c r="API21" s="2867"/>
      <c r="APJ21" s="2866"/>
      <c r="APK21" s="2827"/>
      <c r="APL21" s="2867"/>
      <c r="APM21" s="2866"/>
      <c r="APN21" s="2827"/>
      <c r="APO21" s="2867"/>
      <c r="APP21" s="2866"/>
      <c r="APQ21" s="2827"/>
      <c r="APR21" s="2867"/>
      <c r="APS21" s="2866"/>
      <c r="APT21" s="2827"/>
      <c r="APU21" s="2867"/>
      <c r="APV21" s="2866"/>
      <c r="APW21" s="2827"/>
      <c r="APX21" s="2867"/>
      <c r="APY21" s="2866"/>
      <c r="APZ21" s="2827"/>
      <c r="AQA21" s="2867"/>
      <c r="AQB21" s="2866"/>
      <c r="AQC21" s="2827"/>
      <c r="AQD21" s="2867"/>
      <c r="AQE21" s="2866"/>
      <c r="AQF21" s="2827"/>
      <c r="AQG21" s="2867"/>
      <c r="AQH21" s="2866"/>
      <c r="AQI21" s="2827"/>
      <c r="AQJ21" s="2867"/>
      <c r="AQK21" s="2866"/>
      <c r="AQL21" s="2827"/>
      <c r="AQM21" s="2867"/>
      <c r="AQN21" s="2866"/>
      <c r="AQO21" s="2827"/>
      <c r="AQP21" s="2867"/>
      <c r="AQQ21" s="2866"/>
      <c r="AQR21" s="2827"/>
      <c r="AQS21" s="2867"/>
      <c r="AQT21" s="2866"/>
      <c r="AQU21" s="2827"/>
      <c r="AQV21" s="2867"/>
      <c r="AQW21" s="2866"/>
      <c r="AQX21" s="2827"/>
      <c r="AQY21" s="2867"/>
      <c r="AQZ21" s="2866"/>
      <c r="ARA21" s="2827"/>
      <c r="ARB21" s="2867"/>
      <c r="ARC21" s="2866"/>
      <c r="ARD21" s="2827"/>
      <c r="ARE21" s="2867"/>
      <c r="ARF21" s="2866"/>
      <c r="ARG21" s="2827"/>
      <c r="ARH21" s="2867"/>
      <c r="ARI21" s="2866"/>
      <c r="ARJ21" s="2827"/>
      <c r="ARK21" s="2867"/>
      <c r="ARL21" s="2866"/>
      <c r="ARM21" s="2827"/>
      <c r="ARN21" s="2867"/>
      <c r="ARO21" s="2866"/>
      <c r="ARP21" s="2827"/>
      <c r="ARQ21" s="2867"/>
      <c r="ARR21" s="2866"/>
      <c r="ARS21" s="2827"/>
      <c r="ART21" s="2867"/>
      <c r="ARU21" s="2866"/>
      <c r="ARV21" s="2827"/>
      <c r="ARW21" s="2867"/>
      <c r="ARX21" s="2866"/>
      <c r="ARY21" s="2827"/>
      <c r="ARZ21" s="2867"/>
      <c r="ASA21" s="2866"/>
      <c r="ASB21" s="2827"/>
      <c r="ASC21" s="2867"/>
      <c r="ASD21" s="2866"/>
      <c r="ASE21" s="2827"/>
      <c r="ASF21" s="2867"/>
      <c r="ASG21" s="2866"/>
      <c r="ASH21" s="2827"/>
      <c r="ASI21" s="2867"/>
      <c r="ASJ21" s="2866"/>
      <c r="ASK21" s="2827"/>
      <c r="ASL21" s="2867"/>
      <c r="ASM21" s="2866"/>
      <c r="ASN21" s="2827"/>
      <c r="ASO21" s="2867"/>
      <c r="ASP21" s="2866"/>
      <c r="ASQ21" s="2827"/>
      <c r="ASR21" s="2867"/>
      <c r="ASS21" s="2866"/>
      <c r="AST21" s="2827"/>
      <c r="ASU21" s="2867"/>
      <c r="ASV21" s="2866"/>
      <c r="ASW21" s="2827"/>
      <c r="ASX21" s="2867"/>
      <c r="ASY21" s="2866"/>
      <c r="ASZ21" s="2827"/>
      <c r="ATA21" s="2867"/>
      <c r="ATB21" s="2866"/>
      <c r="ATC21" s="2827"/>
      <c r="ATD21" s="2867"/>
      <c r="ATE21" s="2866"/>
      <c r="ATF21" s="2827"/>
      <c r="ATG21" s="2867"/>
      <c r="ATH21" s="2866"/>
      <c r="ATI21" s="2827"/>
      <c r="ATJ21" s="2867"/>
      <c r="ATK21" s="2866"/>
      <c r="ATL21" s="2827"/>
      <c r="ATM21" s="2867"/>
      <c r="ATN21" s="2866"/>
      <c r="ATO21" s="2827"/>
      <c r="ATP21" s="2867"/>
      <c r="ATQ21" s="2866"/>
      <c r="ATR21" s="2827"/>
      <c r="ATS21" s="2867"/>
      <c r="ATT21" s="2866"/>
      <c r="ATU21" s="2827"/>
      <c r="ATV21" s="2867"/>
      <c r="ATW21" s="2866"/>
      <c r="ATX21" s="2827"/>
      <c r="ATY21" s="2867"/>
      <c r="ATZ21" s="2866"/>
      <c r="AUA21" s="2827"/>
      <c r="AUB21" s="2867"/>
      <c r="AUC21" s="2866"/>
      <c r="AUD21" s="2827"/>
      <c r="AUE21" s="2867"/>
      <c r="AUF21" s="2866"/>
      <c r="AUG21" s="2827"/>
      <c r="AUH21" s="2867"/>
      <c r="AUI21" s="2866"/>
      <c r="AUJ21" s="2827"/>
      <c r="AUK21" s="2867"/>
      <c r="AUL21" s="2866"/>
      <c r="AUM21" s="2827"/>
      <c r="AUN21" s="2867"/>
      <c r="AUO21" s="2866"/>
      <c r="AUP21" s="2827"/>
      <c r="AUQ21" s="2867"/>
      <c r="AUR21" s="2866"/>
      <c r="AUS21" s="2827"/>
      <c r="AUT21" s="2867"/>
      <c r="AUU21" s="2866"/>
      <c r="AUV21" s="2827"/>
      <c r="AUW21" s="2867"/>
      <c r="AUX21" s="2866"/>
      <c r="AUY21" s="2827"/>
      <c r="AUZ21" s="2867"/>
      <c r="AVA21" s="2866"/>
      <c r="AVB21" s="2827"/>
      <c r="AVC21" s="2867"/>
      <c r="AVD21" s="2866"/>
      <c r="AVE21" s="2827"/>
      <c r="AVF21" s="2867"/>
      <c r="AVG21" s="2866"/>
      <c r="AVH21" s="2827"/>
      <c r="AVI21" s="2867"/>
      <c r="AVJ21" s="2866"/>
      <c r="AVK21" s="2827"/>
      <c r="AVL21" s="2867"/>
      <c r="AVM21" s="2866"/>
      <c r="AVN21" s="2827"/>
      <c r="AVO21" s="2867"/>
      <c r="AVP21" s="2866"/>
      <c r="AVQ21" s="2827"/>
      <c r="AVR21" s="2867"/>
      <c r="AVS21" s="2866"/>
      <c r="AVT21" s="2827"/>
      <c r="AVU21" s="2867"/>
      <c r="AVV21" s="2866"/>
      <c r="AVW21" s="2827"/>
      <c r="AVX21" s="2867"/>
      <c r="AVY21" s="2866"/>
      <c r="AVZ21" s="2827"/>
      <c r="AWA21" s="2867"/>
      <c r="AWB21" s="2866"/>
      <c r="AWC21" s="2827"/>
      <c r="AWD21" s="2867"/>
      <c r="AWE21" s="2866"/>
      <c r="AWF21" s="2827"/>
      <c r="AWG21" s="2867"/>
      <c r="AWH21" s="2866"/>
      <c r="AWI21" s="2827"/>
      <c r="AWJ21" s="2867"/>
      <c r="AWK21" s="2866"/>
      <c r="AWL21" s="2827"/>
      <c r="AWM21" s="2867"/>
      <c r="AWN21" s="2866"/>
      <c r="AWO21" s="2827"/>
      <c r="AWP21" s="2867"/>
      <c r="AWQ21" s="2866"/>
      <c r="AWR21" s="2827"/>
      <c r="AWS21" s="2867"/>
      <c r="AWT21" s="2866"/>
      <c r="AWU21" s="2827"/>
      <c r="AWV21" s="2867"/>
      <c r="AWW21" s="2866"/>
      <c r="AWX21" s="2827"/>
      <c r="AWY21" s="2867"/>
      <c r="AWZ21" s="2866"/>
      <c r="AXA21" s="2827"/>
      <c r="AXB21" s="2867"/>
      <c r="AXC21" s="2866"/>
      <c r="AXD21" s="2827"/>
      <c r="AXE21" s="2867"/>
      <c r="AXF21" s="2866"/>
      <c r="AXG21" s="2827"/>
      <c r="AXH21" s="2867"/>
      <c r="AXI21" s="2866"/>
      <c r="AXJ21" s="2827"/>
      <c r="AXK21" s="2867"/>
      <c r="AXL21" s="2866"/>
      <c r="AXM21" s="2827"/>
      <c r="AXN21" s="2867"/>
      <c r="AXO21" s="2866"/>
      <c r="AXP21" s="2827"/>
      <c r="AXQ21" s="2867"/>
      <c r="AXR21" s="2866"/>
      <c r="AXS21" s="2827"/>
      <c r="AXT21" s="2867"/>
      <c r="AXU21" s="2866"/>
      <c r="AXV21" s="2827"/>
      <c r="AXW21" s="2867"/>
      <c r="AXX21" s="2866"/>
      <c r="AXY21" s="2827"/>
      <c r="AXZ21" s="2867"/>
      <c r="AYA21" s="2866"/>
      <c r="AYB21" s="2827"/>
      <c r="AYC21" s="2867"/>
      <c r="AYD21" s="2866"/>
      <c r="AYE21" s="2827"/>
      <c r="AYF21" s="2867"/>
      <c r="AYG21" s="2866"/>
      <c r="AYH21" s="2827"/>
      <c r="AYI21" s="2867"/>
      <c r="AYJ21" s="2866"/>
      <c r="AYK21" s="2827"/>
      <c r="AYL21" s="2867"/>
      <c r="AYM21" s="2866"/>
      <c r="AYN21" s="2827"/>
      <c r="AYO21" s="2867"/>
      <c r="AYP21" s="2866"/>
      <c r="AYQ21" s="2827"/>
      <c r="AYR21" s="2867"/>
      <c r="AYS21" s="2866"/>
      <c r="AYT21" s="2827"/>
      <c r="AYU21" s="2867"/>
      <c r="AYV21" s="2866"/>
      <c r="AYW21" s="2827"/>
      <c r="AYX21" s="2867"/>
      <c r="AYY21" s="2866"/>
      <c r="AYZ21" s="2827"/>
      <c r="AZA21" s="2867"/>
      <c r="AZB21" s="2866"/>
      <c r="AZC21" s="2827"/>
      <c r="AZD21" s="2867"/>
      <c r="AZE21" s="2866"/>
      <c r="AZF21" s="2827"/>
      <c r="AZG21" s="2867"/>
      <c r="AZH21" s="2866"/>
      <c r="AZI21" s="2827"/>
      <c r="AZJ21" s="2867"/>
      <c r="AZK21" s="2866"/>
      <c r="AZL21" s="2827"/>
      <c r="AZM21" s="2867"/>
      <c r="AZN21" s="2866"/>
      <c r="AZO21" s="2827"/>
      <c r="AZP21" s="2867"/>
      <c r="AZQ21" s="2866"/>
      <c r="AZR21" s="2827"/>
      <c r="AZS21" s="2867"/>
      <c r="AZT21" s="2866"/>
      <c r="AZU21" s="2827"/>
      <c r="AZV21" s="2867"/>
      <c r="AZW21" s="2866"/>
      <c r="AZX21" s="2827"/>
      <c r="AZY21" s="2867"/>
      <c r="AZZ21" s="2866"/>
      <c r="BAA21" s="2827"/>
      <c r="BAB21" s="2867"/>
      <c r="BAC21" s="2866"/>
      <c r="BAD21" s="2827"/>
      <c r="BAE21" s="2867"/>
      <c r="BAF21" s="2866"/>
      <c r="BAG21" s="2827"/>
      <c r="BAH21" s="2867"/>
      <c r="BAI21" s="2866"/>
      <c r="BAJ21" s="2827"/>
      <c r="BAK21" s="2867"/>
      <c r="BAL21" s="2866"/>
      <c r="BAM21" s="2827"/>
      <c r="BAN21" s="2867"/>
      <c r="BAO21" s="2866"/>
      <c r="BAP21" s="2827"/>
      <c r="BAQ21" s="2867"/>
      <c r="BAR21" s="2866"/>
      <c r="BAS21" s="2827"/>
      <c r="BAT21" s="2867"/>
      <c r="BAU21" s="2866"/>
      <c r="BAV21" s="2827"/>
      <c r="BAW21" s="2867"/>
      <c r="BAX21" s="2866"/>
      <c r="BAY21" s="2827"/>
      <c r="BAZ21" s="2867"/>
      <c r="BBA21" s="2866"/>
      <c r="BBB21" s="2827"/>
      <c r="BBC21" s="2867"/>
      <c r="BBD21" s="2866"/>
      <c r="BBE21" s="2827"/>
      <c r="BBF21" s="2867"/>
      <c r="BBG21" s="2866"/>
      <c r="BBH21" s="2827"/>
      <c r="BBI21" s="2867"/>
      <c r="BBJ21" s="2866"/>
      <c r="BBK21" s="2827"/>
      <c r="BBL21" s="2867"/>
      <c r="BBM21" s="2866"/>
      <c r="BBN21" s="2827"/>
      <c r="BBO21" s="2867"/>
      <c r="BBP21" s="2866"/>
      <c r="BBQ21" s="2827"/>
      <c r="BBR21" s="2867"/>
      <c r="BBS21" s="2866"/>
      <c r="BBT21" s="2827"/>
      <c r="BBU21" s="2867"/>
      <c r="BBV21" s="2866"/>
      <c r="BBW21" s="2827"/>
      <c r="BBX21" s="2867"/>
      <c r="BBY21" s="2866"/>
      <c r="BBZ21" s="2827"/>
      <c r="BCA21" s="2867"/>
      <c r="BCB21" s="2866"/>
      <c r="BCC21" s="2827"/>
      <c r="BCD21" s="2867"/>
      <c r="BCE21" s="2866"/>
      <c r="BCF21" s="2827"/>
      <c r="BCG21" s="2867"/>
      <c r="BCH21" s="2866"/>
      <c r="BCI21" s="2827"/>
      <c r="BCJ21" s="2867"/>
      <c r="BCK21" s="2866"/>
      <c r="BCL21" s="2827"/>
      <c r="BCM21" s="2867"/>
      <c r="BCN21" s="2866"/>
      <c r="BCO21" s="2827"/>
      <c r="BCP21" s="2867"/>
      <c r="BCQ21" s="2866"/>
      <c r="BCR21" s="2827"/>
      <c r="BCS21" s="2867"/>
      <c r="BCT21" s="2866"/>
      <c r="BCU21" s="2827"/>
      <c r="BCV21" s="2867"/>
      <c r="BCW21" s="2866"/>
      <c r="BCX21" s="2827"/>
      <c r="BCY21" s="2867"/>
      <c r="BCZ21" s="2866"/>
      <c r="BDA21" s="2827"/>
      <c r="BDB21" s="2867"/>
      <c r="BDC21" s="2866"/>
      <c r="BDD21" s="2827"/>
      <c r="BDE21" s="2867"/>
      <c r="BDF21" s="2866"/>
      <c r="BDG21" s="2827"/>
      <c r="BDH21" s="2867"/>
      <c r="BDI21" s="2866"/>
      <c r="BDJ21" s="2827"/>
      <c r="BDK21" s="2867"/>
      <c r="BDL21" s="2866"/>
      <c r="BDM21" s="2827"/>
      <c r="BDN21" s="2867"/>
      <c r="BDO21" s="2866"/>
      <c r="BDP21" s="2827"/>
      <c r="BDQ21" s="2867"/>
      <c r="BDR21" s="2866"/>
      <c r="BDS21" s="2827"/>
      <c r="BDT21" s="2867"/>
      <c r="BDU21" s="2866"/>
      <c r="BDV21" s="2827"/>
      <c r="BDW21" s="2867"/>
      <c r="BDX21" s="2866"/>
      <c r="BDY21" s="2827"/>
      <c r="BDZ21" s="2867"/>
      <c r="BEA21" s="2866"/>
      <c r="BEB21" s="2827"/>
      <c r="BEC21" s="2867"/>
      <c r="BED21" s="2866"/>
      <c r="BEE21" s="2827"/>
      <c r="BEF21" s="2867"/>
      <c r="BEG21" s="2866"/>
      <c r="BEH21" s="2827"/>
      <c r="BEI21" s="2867"/>
      <c r="BEJ21" s="2866"/>
      <c r="BEK21" s="2827"/>
      <c r="BEL21" s="2867"/>
      <c r="BEM21" s="2866"/>
      <c r="BEN21" s="2827"/>
      <c r="BEO21" s="2867"/>
      <c r="BEP21" s="2866"/>
      <c r="BEQ21" s="2827"/>
      <c r="BER21" s="2867"/>
      <c r="BES21" s="2866"/>
      <c r="BET21" s="2827"/>
      <c r="BEU21" s="2867"/>
      <c r="BEV21" s="2866"/>
      <c r="BEW21" s="2827"/>
      <c r="BEX21" s="2867"/>
      <c r="BEY21" s="2866"/>
      <c r="BEZ21" s="2827"/>
      <c r="BFA21" s="2867"/>
      <c r="BFB21" s="2866"/>
      <c r="BFC21" s="2827"/>
      <c r="BFD21" s="2867"/>
      <c r="BFE21" s="2866"/>
      <c r="BFF21" s="2827"/>
      <c r="BFG21" s="2867"/>
      <c r="BFH21" s="2866"/>
      <c r="BFI21" s="2827"/>
      <c r="BFJ21" s="2867"/>
      <c r="BFK21" s="2866"/>
      <c r="BFL21" s="2827"/>
      <c r="BFM21" s="2867"/>
      <c r="BFN21" s="2866"/>
      <c r="BFO21" s="2827"/>
      <c r="BFP21" s="2867"/>
      <c r="BFQ21" s="2866"/>
      <c r="BFR21" s="2827"/>
      <c r="BFS21" s="2867"/>
      <c r="BFT21" s="2866"/>
      <c r="BFU21" s="2827"/>
      <c r="BFV21" s="2867"/>
      <c r="BFW21" s="2866"/>
      <c r="BFX21" s="2827"/>
      <c r="BFY21" s="2867"/>
      <c r="BFZ21" s="2866"/>
      <c r="BGA21" s="2827"/>
      <c r="BGB21" s="2867"/>
      <c r="BGC21" s="2866"/>
      <c r="BGD21" s="2827"/>
      <c r="BGE21" s="2867"/>
      <c r="BGF21" s="2866"/>
      <c r="BGG21" s="2827"/>
      <c r="BGH21" s="2867"/>
      <c r="BGI21" s="2866"/>
      <c r="BGJ21" s="2827"/>
      <c r="BGK21" s="2867"/>
      <c r="BGL21" s="2866"/>
      <c r="BGM21" s="2827"/>
      <c r="BGN21" s="2867"/>
      <c r="BGO21" s="2866"/>
      <c r="BGP21" s="2827"/>
      <c r="BGQ21" s="2867"/>
      <c r="BGR21" s="2866"/>
      <c r="BGS21" s="2827"/>
      <c r="BGT21" s="2867"/>
      <c r="BGU21" s="2866"/>
      <c r="BGV21" s="2827"/>
      <c r="BGW21" s="2867"/>
      <c r="BGX21" s="2866"/>
      <c r="BGY21" s="2827"/>
      <c r="BGZ21" s="2867"/>
      <c r="BHA21" s="2866"/>
      <c r="BHB21" s="2827"/>
      <c r="BHC21" s="2867"/>
      <c r="BHD21" s="2866"/>
      <c r="BHE21" s="2827"/>
      <c r="BHF21" s="2867"/>
      <c r="BHG21" s="2866"/>
      <c r="BHH21" s="2827"/>
      <c r="BHI21" s="2867"/>
      <c r="BHJ21" s="2866"/>
      <c r="BHK21" s="2827"/>
      <c r="BHL21" s="2867"/>
      <c r="BHM21" s="2866"/>
      <c r="BHN21" s="2827"/>
      <c r="BHO21" s="2867"/>
      <c r="BHP21" s="2866"/>
      <c r="BHQ21" s="2827"/>
      <c r="BHR21" s="2867"/>
      <c r="BHS21" s="2866"/>
      <c r="BHT21" s="2827"/>
      <c r="BHU21" s="2867"/>
      <c r="BHV21" s="2866"/>
      <c r="BHW21" s="2827"/>
      <c r="BHX21" s="2867"/>
      <c r="BHY21" s="2866"/>
      <c r="BHZ21" s="2827"/>
      <c r="BIA21" s="2867"/>
      <c r="BIB21" s="2866"/>
      <c r="BIC21" s="2827"/>
      <c r="BID21" s="2867"/>
      <c r="BIE21" s="2866"/>
      <c r="BIF21" s="2827"/>
      <c r="BIG21" s="2867"/>
      <c r="BIH21" s="2866"/>
      <c r="BII21" s="2827"/>
      <c r="BIJ21" s="2867"/>
      <c r="BIK21" s="2866"/>
      <c r="BIL21" s="2827"/>
      <c r="BIM21" s="2867"/>
      <c r="BIN21" s="2866"/>
      <c r="BIO21" s="2827"/>
      <c r="BIP21" s="2867"/>
      <c r="BIQ21" s="2866"/>
      <c r="BIR21" s="2827"/>
      <c r="BIS21" s="2867"/>
      <c r="BIT21" s="2866"/>
      <c r="BIU21" s="2827"/>
      <c r="BIV21" s="2867"/>
      <c r="BIW21" s="2866"/>
      <c r="BIX21" s="2827"/>
      <c r="BIY21" s="2867"/>
      <c r="BIZ21" s="2866"/>
      <c r="BJA21" s="2827"/>
      <c r="BJB21" s="2867"/>
      <c r="BJC21" s="2866"/>
      <c r="BJD21" s="2827"/>
      <c r="BJE21" s="2867"/>
      <c r="BJF21" s="2866"/>
      <c r="BJG21" s="2827"/>
      <c r="BJH21" s="2867"/>
      <c r="BJI21" s="2866"/>
      <c r="BJJ21" s="2827"/>
      <c r="BJK21" s="2867"/>
      <c r="BJL21" s="2866"/>
      <c r="BJM21" s="2827"/>
      <c r="BJN21" s="2867"/>
      <c r="BJO21" s="2866"/>
      <c r="BJP21" s="2827"/>
      <c r="BJQ21" s="2867"/>
      <c r="BJR21" s="2866"/>
      <c r="BJS21" s="2827"/>
      <c r="BJT21" s="2867"/>
      <c r="BJU21" s="2866"/>
      <c r="BJV21" s="2827"/>
      <c r="BJW21" s="2867"/>
      <c r="BJX21" s="2866"/>
      <c r="BJY21" s="2827"/>
      <c r="BJZ21" s="2867"/>
      <c r="BKA21" s="2866"/>
      <c r="BKB21" s="2827"/>
      <c r="BKC21" s="2867"/>
      <c r="BKD21" s="2866"/>
      <c r="BKE21" s="2827"/>
      <c r="BKF21" s="2867"/>
      <c r="BKG21" s="2866"/>
      <c r="BKH21" s="2827"/>
      <c r="BKI21" s="2867"/>
      <c r="BKJ21" s="2866"/>
      <c r="BKK21" s="2827"/>
      <c r="BKL21" s="2867"/>
      <c r="BKM21" s="2866"/>
      <c r="BKN21" s="2827"/>
      <c r="BKO21" s="2867"/>
      <c r="BKP21" s="2866"/>
      <c r="BKQ21" s="2827"/>
      <c r="BKR21" s="2867"/>
      <c r="BKS21" s="2866"/>
      <c r="BKT21" s="2827"/>
      <c r="BKU21" s="2867"/>
      <c r="BKV21" s="2866"/>
      <c r="BKW21" s="2827"/>
      <c r="BKX21" s="2867"/>
      <c r="BKY21" s="2866"/>
      <c r="BKZ21" s="2827"/>
      <c r="BLA21" s="2867"/>
      <c r="BLB21" s="2866"/>
      <c r="BLC21" s="2827"/>
      <c r="BLD21" s="2867"/>
      <c r="BLE21" s="2866"/>
      <c r="BLF21" s="2827"/>
      <c r="BLG21" s="2867"/>
      <c r="BLH21" s="2866"/>
      <c r="BLI21" s="2827"/>
      <c r="BLJ21" s="2867"/>
      <c r="BLK21" s="2866"/>
      <c r="BLL21" s="2827"/>
      <c r="BLM21" s="2867"/>
      <c r="BLN21" s="2866"/>
      <c r="BLO21" s="2827"/>
      <c r="BLP21" s="2867"/>
      <c r="BLQ21" s="2866"/>
      <c r="BLR21" s="2827"/>
      <c r="BLS21" s="2867"/>
      <c r="BLT21" s="2866"/>
      <c r="BLU21" s="2827"/>
      <c r="BLV21" s="2867"/>
      <c r="BLW21" s="2866"/>
      <c r="BLX21" s="2827"/>
      <c r="BLY21" s="2867"/>
      <c r="BLZ21" s="2866"/>
      <c r="BMA21" s="2827"/>
      <c r="BMB21" s="2867"/>
      <c r="BMC21" s="2866"/>
      <c r="BMD21" s="2827"/>
      <c r="BME21" s="2867"/>
      <c r="BMF21" s="2866"/>
      <c r="BMG21" s="2827"/>
      <c r="BMH21" s="2867"/>
      <c r="BMI21" s="2866"/>
      <c r="BMJ21" s="2827"/>
      <c r="BMK21" s="2867"/>
      <c r="BML21" s="2866"/>
      <c r="BMM21" s="2827"/>
      <c r="BMN21" s="2867"/>
      <c r="BMO21" s="2866"/>
      <c r="BMP21" s="2827"/>
      <c r="BMQ21" s="2867"/>
      <c r="BMR21" s="2866"/>
      <c r="BMS21" s="2827"/>
      <c r="BMT21" s="2867"/>
      <c r="BMU21" s="2866"/>
      <c r="BMV21" s="2827"/>
      <c r="BMW21" s="2867"/>
      <c r="BMX21" s="2866"/>
      <c r="BMY21" s="2827"/>
      <c r="BMZ21" s="2867"/>
      <c r="BNA21" s="2866"/>
      <c r="BNB21" s="2827"/>
      <c r="BNC21" s="2867"/>
      <c r="BND21" s="2866"/>
      <c r="BNE21" s="2827"/>
      <c r="BNF21" s="2867"/>
      <c r="BNG21" s="2866"/>
      <c r="BNH21" s="2827"/>
      <c r="BNI21" s="2867"/>
      <c r="BNJ21" s="2866"/>
      <c r="BNK21" s="2827"/>
      <c r="BNL21" s="2867"/>
      <c r="BNM21" s="2866"/>
      <c r="BNN21" s="2827"/>
      <c r="BNO21" s="2867"/>
      <c r="BNP21" s="2866"/>
      <c r="BNQ21" s="2827"/>
      <c r="BNR21" s="2867"/>
      <c r="BNS21" s="2866"/>
      <c r="BNT21" s="2827"/>
      <c r="BNU21" s="2867"/>
      <c r="BNV21" s="2866"/>
      <c r="BNW21" s="2827"/>
      <c r="BNX21" s="2867"/>
      <c r="BNY21" s="2866"/>
      <c r="BNZ21" s="2827"/>
      <c r="BOA21" s="2867"/>
      <c r="BOB21" s="2866"/>
      <c r="BOC21" s="2827"/>
      <c r="BOD21" s="2867"/>
      <c r="BOE21" s="2866"/>
      <c r="BOF21" s="2827"/>
      <c r="BOG21" s="2867"/>
      <c r="BOH21" s="2866"/>
      <c r="BOI21" s="2827"/>
      <c r="BOJ21" s="2867"/>
      <c r="BOK21" s="2866"/>
      <c r="BOL21" s="2827"/>
      <c r="BOM21" s="2867"/>
      <c r="BON21" s="2866"/>
      <c r="BOO21" s="2827"/>
      <c r="BOP21" s="2867"/>
      <c r="BOQ21" s="2866"/>
      <c r="BOR21" s="2827"/>
      <c r="BOS21" s="2867"/>
      <c r="BOT21" s="2866"/>
      <c r="BOU21" s="2827"/>
      <c r="BOV21" s="2867"/>
      <c r="BOW21" s="2866"/>
      <c r="BOX21" s="2827"/>
      <c r="BOY21" s="2867"/>
      <c r="BOZ21" s="2866"/>
      <c r="BPA21" s="2827"/>
      <c r="BPB21" s="2867"/>
      <c r="BPC21" s="2866"/>
      <c r="BPD21" s="2827"/>
      <c r="BPE21" s="2867"/>
      <c r="BPF21" s="2866"/>
      <c r="BPG21" s="2827"/>
      <c r="BPH21" s="2867"/>
      <c r="BPI21" s="2866"/>
      <c r="BPJ21" s="2827"/>
      <c r="BPK21" s="2867"/>
      <c r="BPL21" s="2866"/>
      <c r="BPM21" s="2827"/>
      <c r="BPN21" s="2867"/>
      <c r="BPO21" s="2866"/>
      <c r="BPP21" s="2827"/>
      <c r="BPQ21" s="2867"/>
      <c r="BPR21" s="2866"/>
      <c r="BPS21" s="2827"/>
      <c r="BPT21" s="2867"/>
      <c r="BPU21" s="2866"/>
      <c r="BPV21" s="2827"/>
      <c r="BPW21" s="2867"/>
      <c r="BPX21" s="2866"/>
      <c r="BPY21" s="2827"/>
      <c r="BPZ21" s="2867"/>
      <c r="BQA21" s="2866"/>
      <c r="BQB21" s="2827"/>
      <c r="BQC21" s="2867"/>
      <c r="BQD21" s="2866"/>
      <c r="BQE21" s="2827"/>
      <c r="BQF21" s="2867"/>
      <c r="BQG21" s="2866"/>
      <c r="BQH21" s="2827"/>
      <c r="BQI21" s="2867"/>
      <c r="BQJ21" s="2866"/>
      <c r="BQK21" s="2827"/>
      <c r="BQL21" s="2867"/>
      <c r="BQM21" s="2866"/>
      <c r="BQN21" s="2827"/>
      <c r="BQO21" s="2867"/>
      <c r="BQP21" s="2866"/>
      <c r="BQQ21" s="2827"/>
      <c r="BQR21" s="2867"/>
      <c r="BQS21" s="2866"/>
      <c r="BQT21" s="2827"/>
      <c r="BQU21" s="2867"/>
      <c r="BQV21" s="2866"/>
      <c r="BQW21" s="2827"/>
      <c r="BQX21" s="2867"/>
      <c r="BQY21" s="2866"/>
      <c r="BQZ21" s="2827"/>
      <c r="BRA21" s="2867"/>
      <c r="BRB21" s="2866"/>
      <c r="BRC21" s="2827"/>
      <c r="BRD21" s="2867"/>
      <c r="BRE21" s="2866"/>
      <c r="BRF21" s="2827"/>
      <c r="BRG21" s="2867"/>
      <c r="BRH21" s="2866"/>
      <c r="BRI21" s="2827"/>
      <c r="BRJ21" s="2867"/>
      <c r="BRK21" s="2866"/>
      <c r="BRL21" s="2827"/>
      <c r="BRM21" s="2867"/>
      <c r="BRN21" s="2866"/>
      <c r="BRO21" s="2827"/>
      <c r="BRP21" s="2867"/>
      <c r="BRQ21" s="2866"/>
      <c r="BRR21" s="2827"/>
      <c r="BRS21" s="2867"/>
      <c r="BRT21" s="2866"/>
      <c r="BRU21" s="2827"/>
      <c r="BRV21" s="2867"/>
      <c r="BRW21" s="2866"/>
      <c r="BRX21" s="2827"/>
      <c r="BRY21" s="2867"/>
      <c r="BRZ21" s="2866"/>
      <c r="BSA21" s="2827"/>
      <c r="BSB21" s="2867"/>
      <c r="BSC21" s="2866"/>
      <c r="BSD21" s="2827"/>
      <c r="BSE21" s="2867"/>
      <c r="BSF21" s="2866"/>
      <c r="BSG21" s="2827"/>
      <c r="BSH21" s="2867"/>
      <c r="BSI21" s="2866"/>
      <c r="BSJ21" s="2827"/>
      <c r="BSK21" s="2867"/>
      <c r="BSL21" s="2866"/>
      <c r="BSM21" s="2827"/>
      <c r="BSN21" s="2867"/>
      <c r="BSO21" s="2866"/>
      <c r="BSP21" s="2827"/>
      <c r="BSQ21" s="2867"/>
      <c r="BSR21" s="2866"/>
      <c r="BSS21" s="2827"/>
      <c r="BST21" s="2867"/>
      <c r="BSU21" s="2866"/>
      <c r="BSV21" s="2827"/>
      <c r="BSW21" s="2867"/>
      <c r="BSX21" s="2866"/>
      <c r="BSY21" s="2827"/>
      <c r="BSZ21" s="2867"/>
      <c r="BTA21" s="2866"/>
      <c r="BTB21" s="2827"/>
      <c r="BTC21" s="2867"/>
      <c r="BTD21" s="2866"/>
      <c r="BTE21" s="2827"/>
      <c r="BTF21" s="2867"/>
      <c r="BTG21" s="2866"/>
      <c r="BTH21" s="2827"/>
      <c r="BTI21" s="2867"/>
      <c r="BTJ21" s="2866"/>
      <c r="BTK21" s="2827"/>
      <c r="BTL21" s="2867"/>
      <c r="BTM21" s="2866"/>
      <c r="BTN21" s="2827"/>
      <c r="BTO21" s="2867"/>
      <c r="BTP21" s="2866"/>
      <c r="BTQ21" s="2827"/>
      <c r="BTR21" s="2867"/>
      <c r="BTS21" s="2866"/>
      <c r="BTT21" s="2827"/>
      <c r="BTU21" s="2867"/>
      <c r="BTV21" s="2866"/>
      <c r="BTW21" s="2827"/>
      <c r="BTX21" s="2867"/>
      <c r="BTY21" s="2866"/>
      <c r="BTZ21" s="2827"/>
      <c r="BUA21" s="2867"/>
      <c r="BUB21" s="2866"/>
      <c r="BUC21" s="2827"/>
      <c r="BUD21" s="2867"/>
      <c r="BUE21" s="2866"/>
      <c r="BUF21" s="2827"/>
      <c r="BUG21" s="2867"/>
      <c r="BUH21" s="2866"/>
      <c r="BUI21" s="2827"/>
      <c r="BUJ21" s="2867"/>
      <c r="BUK21" s="2866"/>
      <c r="BUL21" s="2827"/>
      <c r="BUM21" s="2867"/>
      <c r="BUN21" s="2866"/>
      <c r="BUO21" s="2827"/>
      <c r="BUP21" s="2867"/>
      <c r="BUQ21" s="2866"/>
      <c r="BUR21" s="2827"/>
      <c r="BUS21" s="2867"/>
      <c r="BUT21" s="2866"/>
      <c r="BUU21" s="2827"/>
      <c r="BUV21" s="2867"/>
      <c r="BUW21" s="2866"/>
      <c r="BUX21" s="2827"/>
      <c r="BUY21" s="2867"/>
      <c r="BUZ21" s="2866"/>
      <c r="BVA21" s="2827"/>
      <c r="BVB21" s="2867"/>
      <c r="BVC21" s="2866"/>
      <c r="BVD21" s="2827"/>
      <c r="BVE21" s="2867"/>
      <c r="BVF21" s="2866"/>
      <c r="BVG21" s="2827"/>
      <c r="BVH21" s="2867"/>
      <c r="BVI21" s="2866"/>
      <c r="BVJ21" s="2827"/>
      <c r="BVK21" s="2867"/>
      <c r="BVL21" s="2866"/>
      <c r="BVM21" s="2827"/>
      <c r="BVN21" s="2867"/>
      <c r="BVO21" s="2866"/>
      <c r="BVP21" s="2827"/>
      <c r="BVQ21" s="2867"/>
      <c r="BVR21" s="2866"/>
      <c r="BVS21" s="2827"/>
      <c r="BVT21" s="2867"/>
      <c r="BVU21" s="2866"/>
      <c r="BVV21" s="2827"/>
      <c r="BVW21" s="2867"/>
      <c r="BVX21" s="2866"/>
      <c r="BVY21" s="2827"/>
      <c r="BVZ21" s="2867"/>
      <c r="BWA21" s="2866"/>
      <c r="BWB21" s="2827"/>
      <c r="BWC21" s="2867"/>
      <c r="BWD21" s="2866"/>
      <c r="BWE21" s="2827"/>
      <c r="BWF21" s="2867"/>
      <c r="BWG21" s="2866"/>
      <c r="BWH21" s="2827"/>
      <c r="BWI21" s="2867"/>
      <c r="BWJ21" s="2866"/>
      <c r="BWK21" s="2827"/>
      <c r="BWL21" s="2867"/>
      <c r="BWM21" s="2866"/>
      <c r="BWN21" s="2827"/>
      <c r="BWO21" s="2867"/>
      <c r="BWP21" s="2866"/>
      <c r="BWQ21" s="2827"/>
      <c r="BWR21" s="2867"/>
      <c r="BWS21" s="2866"/>
      <c r="BWT21" s="2827"/>
      <c r="BWU21" s="2867"/>
      <c r="BWV21" s="2866"/>
      <c r="BWW21" s="2827"/>
      <c r="BWX21" s="2867"/>
      <c r="BWY21" s="2866"/>
      <c r="BWZ21" s="2827"/>
      <c r="BXA21" s="2867"/>
      <c r="BXB21" s="2866"/>
      <c r="BXC21" s="2827"/>
      <c r="BXD21" s="2867"/>
      <c r="BXE21" s="2866"/>
      <c r="BXF21" s="2827"/>
      <c r="BXG21" s="2867"/>
      <c r="BXH21" s="2866"/>
      <c r="BXI21" s="2827"/>
      <c r="BXJ21" s="2867"/>
      <c r="BXK21" s="2866"/>
      <c r="BXL21" s="2827"/>
      <c r="BXM21" s="2867"/>
      <c r="BXN21" s="2866"/>
      <c r="BXO21" s="2827"/>
      <c r="BXP21" s="2867"/>
      <c r="BXQ21" s="2866"/>
      <c r="BXR21" s="2827"/>
      <c r="BXS21" s="2867"/>
      <c r="BXT21" s="2866"/>
      <c r="BXU21" s="2827"/>
      <c r="BXV21" s="2867"/>
      <c r="BXW21" s="2866"/>
      <c r="BXX21" s="2827"/>
      <c r="BXY21" s="2867"/>
      <c r="BXZ21" s="2866"/>
      <c r="BYA21" s="2827"/>
      <c r="BYB21" s="2867"/>
      <c r="BYC21" s="2866"/>
      <c r="BYD21" s="2827"/>
      <c r="BYE21" s="2867"/>
      <c r="BYF21" s="2866"/>
      <c r="BYG21" s="2827"/>
      <c r="BYH21" s="2867"/>
      <c r="BYI21" s="2866"/>
      <c r="BYJ21" s="2827"/>
      <c r="BYK21" s="2867"/>
      <c r="BYL21" s="2866"/>
      <c r="BYM21" s="2827"/>
      <c r="BYN21" s="2867"/>
      <c r="BYO21" s="2866"/>
      <c r="BYP21" s="2827"/>
      <c r="BYQ21" s="2867"/>
      <c r="BYR21" s="2866"/>
      <c r="BYS21" s="2827"/>
      <c r="BYT21" s="2867"/>
      <c r="BYU21" s="2866"/>
      <c r="BYV21" s="2827"/>
      <c r="BYW21" s="2867"/>
      <c r="BYX21" s="2866"/>
      <c r="BYY21" s="2827"/>
      <c r="BYZ21" s="2867"/>
      <c r="BZA21" s="2866"/>
      <c r="BZB21" s="2827"/>
      <c r="BZC21" s="2867"/>
      <c r="BZD21" s="2866"/>
      <c r="BZE21" s="2827"/>
      <c r="BZF21" s="2867"/>
      <c r="BZG21" s="2866"/>
      <c r="BZH21" s="2827"/>
      <c r="BZI21" s="2867"/>
      <c r="BZJ21" s="2866"/>
      <c r="BZK21" s="2827"/>
      <c r="BZL21" s="2867"/>
      <c r="BZM21" s="2866"/>
      <c r="BZN21" s="2827"/>
      <c r="BZO21" s="2867"/>
      <c r="BZP21" s="2866"/>
      <c r="BZQ21" s="2827"/>
      <c r="BZR21" s="2867"/>
      <c r="BZS21" s="2866"/>
      <c r="BZT21" s="2827"/>
      <c r="BZU21" s="2867"/>
      <c r="BZV21" s="2866"/>
      <c r="BZW21" s="2827"/>
      <c r="BZX21" s="2867"/>
      <c r="BZY21" s="2866"/>
      <c r="BZZ21" s="2827"/>
      <c r="CAA21" s="2867"/>
      <c r="CAB21" s="2866"/>
      <c r="CAC21" s="2827"/>
      <c r="CAD21" s="2867"/>
      <c r="CAE21" s="2866"/>
      <c r="CAF21" s="2827"/>
      <c r="CAG21" s="2867"/>
      <c r="CAH21" s="2866"/>
      <c r="CAI21" s="2827"/>
      <c r="CAJ21" s="2867"/>
      <c r="CAK21" s="2866"/>
      <c r="CAL21" s="2827"/>
      <c r="CAM21" s="2867"/>
      <c r="CAN21" s="2866"/>
      <c r="CAO21" s="2827"/>
      <c r="CAP21" s="2867"/>
      <c r="CAQ21" s="2866"/>
      <c r="CAR21" s="2827"/>
      <c r="CAS21" s="2867"/>
      <c r="CAT21" s="2866"/>
      <c r="CAU21" s="2827"/>
      <c r="CAV21" s="2867"/>
      <c r="CAW21" s="2866"/>
      <c r="CAX21" s="2827"/>
      <c r="CAY21" s="2867"/>
      <c r="CAZ21" s="2866"/>
      <c r="CBA21" s="2827"/>
      <c r="CBB21" s="2867"/>
      <c r="CBC21" s="2866"/>
      <c r="CBD21" s="2827"/>
      <c r="CBE21" s="2867"/>
      <c r="CBF21" s="2866"/>
      <c r="CBG21" s="2827"/>
      <c r="CBH21" s="2867"/>
      <c r="CBI21" s="2866"/>
      <c r="CBJ21" s="2827"/>
      <c r="CBK21" s="2867"/>
      <c r="CBL21" s="2866"/>
      <c r="CBM21" s="2827"/>
      <c r="CBN21" s="2867"/>
      <c r="CBO21" s="2866"/>
      <c r="CBP21" s="2827"/>
      <c r="CBQ21" s="2867"/>
      <c r="CBR21" s="2866"/>
      <c r="CBS21" s="2827"/>
      <c r="CBT21" s="2867"/>
      <c r="CBU21" s="2866"/>
      <c r="CBV21" s="2827"/>
      <c r="CBW21" s="2867"/>
      <c r="CBX21" s="2866"/>
      <c r="CBY21" s="2827"/>
      <c r="CBZ21" s="2867"/>
      <c r="CCA21" s="2866"/>
      <c r="CCB21" s="2827"/>
      <c r="CCC21" s="2867"/>
      <c r="CCD21" s="2866"/>
      <c r="CCE21" s="2827"/>
      <c r="CCF21" s="2867"/>
      <c r="CCG21" s="2866"/>
      <c r="CCH21" s="2827"/>
      <c r="CCI21" s="2867"/>
      <c r="CCJ21" s="2866"/>
      <c r="CCK21" s="2827"/>
      <c r="CCL21" s="2867"/>
      <c r="CCM21" s="2866"/>
      <c r="CCN21" s="2827"/>
      <c r="CCO21" s="2867"/>
      <c r="CCP21" s="2866"/>
      <c r="CCQ21" s="2827"/>
      <c r="CCR21" s="2867"/>
      <c r="CCS21" s="2866"/>
      <c r="CCT21" s="2827"/>
      <c r="CCU21" s="2867"/>
      <c r="CCV21" s="2866"/>
      <c r="CCW21" s="2827"/>
      <c r="CCX21" s="2867"/>
      <c r="CCY21" s="2866"/>
      <c r="CCZ21" s="2827"/>
      <c r="CDA21" s="2867"/>
      <c r="CDB21" s="2866"/>
      <c r="CDC21" s="2827"/>
      <c r="CDD21" s="2867"/>
      <c r="CDE21" s="2866"/>
      <c r="CDF21" s="2827"/>
      <c r="CDG21" s="2867"/>
      <c r="CDH21" s="2866"/>
      <c r="CDI21" s="2827"/>
      <c r="CDJ21" s="2867"/>
      <c r="CDK21" s="2866"/>
      <c r="CDL21" s="2827"/>
      <c r="CDM21" s="2867"/>
      <c r="CDN21" s="2866"/>
      <c r="CDO21" s="2827"/>
      <c r="CDP21" s="2867"/>
      <c r="CDQ21" s="2866"/>
      <c r="CDR21" s="2827"/>
      <c r="CDS21" s="2867"/>
      <c r="CDT21" s="2866"/>
      <c r="CDU21" s="2827"/>
      <c r="CDV21" s="2867"/>
      <c r="CDW21" s="2866"/>
      <c r="CDX21" s="2827"/>
      <c r="CDY21" s="2867"/>
      <c r="CDZ21" s="2866"/>
      <c r="CEA21" s="2827"/>
      <c r="CEB21" s="2867"/>
      <c r="CEC21" s="2866"/>
      <c r="CED21" s="2827"/>
      <c r="CEE21" s="2867"/>
      <c r="CEF21" s="2866"/>
      <c r="CEG21" s="2827"/>
      <c r="CEH21" s="2867"/>
      <c r="CEI21" s="2866"/>
      <c r="CEJ21" s="2827"/>
      <c r="CEK21" s="2867"/>
      <c r="CEL21" s="2866"/>
      <c r="CEM21" s="2827"/>
      <c r="CEN21" s="2867"/>
      <c r="CEO21" s="2866"/>
      <c r="CEP21" s="2827"/>
      <c r="CEQ21" s="2867"/>
      <c r="CER21" s="2866"/>
      <c r="CES21" s="2827"/>
      <c r="CET21" s="2867"/>
      <c r="CEU21" s="2866"/>
      <c r="CEV21" s="2827"/>
      <c r="CEW21" s="2867"/>
      <c r="CEX21" s="2866"/>
      <c r="CEY21" s="2827"/>
      <c r="CEZ21" s="2867"/>
      <c r="CFA21" s="2866"/>
      <c r="CFB21" s="2827"/>
      <c r="CFC21" s="2867"/>
      <c r="CFD21" s="2866"/>
      <c r="CFE21" s="2827"/>
      <c r="CFF21" s="2867"/>
      <c r="CFG21" s="2866"/>
      <c r="CFH21" s="2827"/>
      <c r="CFI21" s="2867"/>
      <c r="CFJ21" s="2866"/>
      <c r="CFK21" s="2827"/>
      <c r="CFL21" s="2867"/>
      <c r="CFM21" s="2866"/>
      <c r="CFN21" s="2827"/>
      <c r="CFO21" s="2867"/>
      <c r="CFP21" s="2866"/>
      <c r="CFQ21" s="2827"/>
      <c r="CFR21" s="2867"/>
      <c r="CFS21" s="2866"/>
      <c r="CFT21" s="2827"/>
      <c r="CFU21" s="2867"/>
      <c r="CFV21" s="2866"/>
      <c r="CFW21" s="2827"/>
      <c r="CFX21" s="2867"/>
      <c r="CFY21" s="2866"/>
      <c r="CFZ21" s="2827"/>
      <c r="CGA21" s="2867"/>
      <c r="CGB21" s="2866"/>
      <c r="CGC21" s="2827"/>
      <c r="CGD21" s="2867"/>
      <c r="CGE21" s="2866"/>
      <c r="CGF21" s="2827"/>
      <c r="CGG21" s="2867"/>
      <c r="CGH21" s="2866"/>
      <c r="CGI21" s="2827"/>
      <c r="CGJ21" s="2867"/>
      <c r="CGK21" s="2866"/>
      <c r="CGL21" s="2827"/>
      <c r="CGM21" s="2867"/>
      <c r="CGN21" s="2866"/>
      <c r="CGO21" s="2827"/>
      <c r="CGP21" s="2867"/>
      <c r="CGQ21" s="2866"/>
      <c r="CGR21" s="2827"/>
      <c r="CGS21" s="2867"/>
      <c r="CGT21" s="2866"/>
      <c r="CGU21" s="2827"/>
      <c r="CGV21" s="2867"/>
      <c r="CGW21" s="2866"/>
      <c r="CGX21" s="2827"/>
      <c r="CGY21" s="2867"/>
      <c r="CGZ21" s="2866"/>
      <c r="CHA21" s="2827"/>
      <c r="CHB21" s="2867"/>
      <c r="CHC21" s="2866"/>
      <c r="CHD21" s="2827"/>
      <c r="CHE21" s="2867"/>
      <c r="CHF21" s="2866"/>
      <c r="CHG21" s="2827"/>
      <c r="CHH21" s="2867"/>
      <c r="CHI21" s="2866"/>
      <c r="CHJ21" s="2827"/>
      <c r="CHK21" s="2867"/>
      <c r="CHL21" s="2866"/>
      <c r="CHM21" s="2827"/>
      <c r="CHN21" s="2867"/>
      <c r="CHO21" s="2866"/>
      <c r="CHP21" s="2827"/>
      <c r="CHQ21" s="2867"/>
      <c r="CHR21" s="2866"/>
      <c r="CHS21" s="2827"/>
      <c r="CHT21" s="2867"/>
      <c r="CHU21" s="2866"/>
      <c r="CHV21" s="2827"/>
      <c r="CHW21" s="2867"/>
      <c r="CHX21" s="2866"/>
      <c r="CHY21" s="2827"/>
      <c r="CHZ21" s="2867"/>
      <c r="CIA21" s="2866"/>
      <c r="CIB21" s="2827"/>
      <c r="CIC21" s="2867"/>
      <c r="CID21" s="2866"/>
      <c r="CIE21" s="2827"/>
      <c r="CIF21" s="2867"/>
      <c r="CIG21" s="2866"/>
      <c r="CIH21" s="2827"/>
      <c r="CII21" s="2867"/>
      <c r="CIJ21" s="2866"/>
      <c r="CIK21" s="2827"/>
      <c r="CIL21" s="2867"/>
      <c r="CIM21" s="2866"/>
      <c r="CIN21" s="2827"/>
      <c r="CIO21" s="2867"/>
      <c r="CIP21" s="2866"/>
      <c r="CIQ21" s="2827"/>
      <c r="CIR21" s="2867"/>
      <c r="CIS21" s="2866"/>
      <c r="CIT21" s="2827"/>
      <c r="CIU21" s="2867"/>
      <c r="CIV21" s="2866"/>
      <c r="CIW21" s="2827"/>
      <c r="CIX21" s="2867"/>
      <c r="CIY21" s="2866"/>
      <c r="CIZ21" s="2827"/>
      <c r="CJA21" s="2867"/>
      <c r="CJB21" s="2866"/>
      <c r="CJC21" s="2827"/>
      <c r="CJD21" s="2867"/>
      <c r="CJE21" s="2866"/>
      <c r="CJF21" s="2827"/>
      <c r="CJG21" s="2867"/>
      <c r="CJH21" s="2866"/>
      <c r="CJI21" s="2827"/>
      <c r="CJJ21" s="2867"/>
      <c r="CJK21" s="2866"/>
      <c r="CJL21" s="2827"/>
      <c r="CJM21" s="2867"/>
      <c r="CJN21" s="2866"/>
      <c r="CJO21" s="2827"/>
      <c r="CJP21" s="2867"/>
      <c r="CJQ21" s="2866"/>
      <c r="CJR21" s="2827"/>
      <c r="CJS21" s="2867"/>
      <c r="CJT21" s="2866"/>
      <c r="CJU21" s="2827"/>
      <c r="CJV21" s="2867"/>
      <c r="CJW21" s="2866"/>
      <c r="CJX21" s="2827"/>
      <c r="CJY21" s="2867"/>
      <c r="CJZ21" s="2866"/>
      <c r="CKA21" s="2827"/>
      <c r="CKB21" s="2867"/>
      <c r="CKC21" s="2866"/>
      <c r="CKD21" s="2827"/>
      <c r="CKE21" s="2867"/>
      <c r="CKF21" s="2866"/>
      <c r="CKG21" s="2827"/>
      <c r="CKH21" s="2867"/>
      <c r="CKI21" s="2866"/>
      <c r="CKJ21" s="2827"/>
      <c r="CKK21" s="2867"/>
      <c r="CKL21" s="2866"/>
      <c r="CKM21" s="2827"/>
      <c r="CKN21" s="2867"/>
      <c r="CKO21" s="2866"/>
      <c r="CKP21" s="2827"/>
      <c r="CKQ21" s="2867"/>
      <c r="CKR21" s="2866"/>
      <c r="CKS21" s="2827"/>
      <c r="CKT21" s="2867"/>
      <c r="CKU21" s="2866"/>
      <c r="CKV21" s="2827"/>
      <c r="CKW21" s="2867"/>
      <c r="CKX21" s="2866"/>
      <c r="CKY21" s="2827"/>
      <c r="CKZ21" s="2867"/>
      <c r="CLA21" s="2866"/>
      <c r="CLB21" s="2827"/>
      <c r="CLC21" s="2867"/>
      <c r="CLD21" s="2866"/>
      <c r="CLE21" s="2827"/>
      <c r="CLF21" s="2867"/>
      <c r="CLG21" s="2866"/>
      <c r="CLH21" s="2827"/>
      <c r="CLI21" s="2867"/>
      <c r="CLJ21" s="2866"/>
      <c r="CLK21" s="2827"/>
      <c r="CLL21" s="2867"/>
      <c r="CLM21" s="2866"/>
      <c r="CLN21" s="2827"/>
      <c r="CLO21" s="2867"/>
      <c r="CLP21" s="2866"/>
      <c r="CLQ21" s="2827"/>
      <c r="CLR21" s="2867"/>
      <c r="CLS21" s="2866"/>
      <c r="CLT21" s="2827"/>
      <c r="CLU21" s="2867"/>
      <c r="CLV21" s="2866"/>
      <c r="CLW21" s="2827"/>
      <c r="CLX21" s="2867"/>
      <c r="CLY21" s="2866"/>
      <c r="CLZ21" s="2827"/>
      <c r="CMA21" s="2867"/>
      <c r="CMB21" s="2866"/>
      <c r="CMC21" s="2827"/>
      <c r="CMD21" s="2867"/>
      <c r="CME21" s="2866"/>
      <c r="CMF21" s="2827"/>
      <c r="CMG21" s="2867"/>
      <c r="CMH21" s="2866"/>
      <c r="CMI21" s="2827"/>
      <c r="CMJ21" s="2867"/>
      <c r="CMK21" s="2866"/>
      <c r="CML21" s="2827"/>
      <c r="CMM21" s="2867"/>
      <c r="CMN21" s="2866"/>
      <c r="CMO21" s="2827"/>
      <c r="CMP21" s="2867"/>
      <c r="CMQ21" s="2866"/>
      <c r="CMR21" s="2827"/>
      <c r="CMS21" s="2867"/>
      <c r="CMT21" s="2866"/>
      <c r="CMU21" s="2827"/>
      <c r="CMV21" s="2867"/>
      <c r="CMW21" s="2866"/>
      <c r="CMX21" s="2827"/>
      <c r="CMY21" s="2867"/>
      <c r="CMZ21" s="2866"/>
      <c r="CNA21" s="2827"/>
      <c r="CNB21" s="2867"/>
      <c r="CNC21" s="2866"/>
      <c r="CND21" s="2827"/>
      <c r="CNE21" s="2867"/>
      <c r="CNF21" s="2866"/>
      <c r="CNG21" s="2827"/>
      <c r="CNH21" s="2867"/>
      <c r="CNI21" s="2866"/>
      <c r="CNJ21" s="2827"/>
      <c r="CNK21" s="2867"/>
      <c r="CNL21" s="2866"/>
      <c r="CNM21" s="2827"/>
      <c r="CNN21" s="2867"/>
      <c r="CNO21" s="2866"/>
      <c r="CNP21" s="2827"/>
      <c r="CNQ21" s="2867"/>
      <c r="CNR21" s="2866"/>
      <c r="CNS21" s="2827"/>
      <c r="CNT21" s="2867"/>
      <c r="CNU21" s="2866"/>
      <c r="CNV21" s="2827"/>
      <c r="CNW21" s="2867"/>
      <c r="CNX21" s="2866"/>
      <c r="CNY21" s="2827"/>
      <c r="CNZ21" s="2867"/>
      <c r="COA21" s="2866"/>
      <c r="COB21" s="2827"/>
      <c r="COC21" s="2867"/>
      <c r="COD21" s="2866"/>
      <c r="COE21" s="2827"/>
      <c r="COF21" s="2867"/>
      <c r="COG21" s="2866"/>
      <c r="COH21" s="2827"/>
      <c r="COI21" s="2867"/>
      <c r="COJ21" s="2866"/>
      <c r="COK21" s="2827"/>
      <c r="COL21" s="2867"/>
      <c r="COM21" s="2866"/>
      <c r="CON21" s="2827"/>
      <c r="COO21" s="2867"/>
      <c r="COP21" s="2866"/>
      <c r="COQ21" s="2827"/>
      <c r="COR21" s="2867"/>
      <c r="COS21" s="2866"/>
      <c r="COT21" s="2827"/>
      <c r="COU21" s="2867"/>
      <c r="COV21" s="2866"/>
      <c r="COW21" s="2827"/>
      <c r="COX21" s="2867"/>
      <c r="COY21" s="2866"/>
      <c r="COZ21" s="2827"/>
      <c r="CPA21" s="2867"/>
      <c r="CPB21" s="2866"/>
      <c r="CPC21" s="2827"/>
      <c r="CPD21" s="2867"/>
      <c r="CPE21" s="2866"/>
      <c r="CPF21" s="2827"/>
      <c r="CPG21" s="2867"/>
      <c r="CPH21" s="2866"/>
      <c r="CPI21" s="2827"/>
      <c r="CPJ21" s="2867"/>
      <c r="CPK21" s="2866"/>
      <c r="CPL21" s="2827"/>
      <c r="CPM21" s="2867"/>
      <c r="CPN21" s="2866"/>
      <c r="CPO21" s="2827"/>
      <c r="CPP21" s="2867"/>
      <c r="CPQ21" s="2866"/>
      <c r="CPR21" s="2827"/>
      <c r="CPS21" s="2867"/>
      <c r="CPT21" s="2866"/>
      <c r="CPU21" s="2827"/>
      <c r="CPV21" s="2867"/>
      <c r="CPW21" s="2866"/>
      <c r="CPX21" s="2827"/>
      <c r="CPY21" s="2867"/>
      <c r="CPZ21" s="2866"/>
      <c r="CQA21" s="2827"/>
      <c r="CQB21" s="2867"/>
      <c r="CQC21" s="2866"/>
      <c r="CQD21" s="2827"/>
      <c r="CQE21" s="2867"/>
      <c r="CQF21" s="2866"/>
      <c r="CQG21" s="2827"/>
      <c r="CQH21" s="2867"/>
      <c r="CQI21" s="2866"/>
      <c r="CQJ21" s="2827"/>
      <c r="CQK21" s="2867"/>
      <c r="CQL21" s="2866"/>
      <c r="CQM21" s="2827"/>
      <c r="CQN21" s="2867"/>
      <c r="CQO21" s="2866"/>
      <c r="CQP21" s="2827"/>
      <c r="CQQ21" s="2867"/>
      <c r="CQR21" s="2866"/>
      <c r="CQS21" s="2827"/>
      <c r="CQT21" s="2867"/>
      <c r="CQU21" s="2866"/>
      <c r="CQV21" s="2827"/>
      <c r="CQW21" s="2867"/>
      <c r="CQX21" s="2866"/>
      <c r="CQY21" s="2827"/>
      <c r="CQZ21" s="2867"/>
      <c r="CRA21" s="2866"/>
      <c r="CRB21" s="2827"/>
      <c r="CRC21" s="2867"/>
      <c r="CRD21" s="2866"/>
      <c r="CRE21" s="2827"/>
      <c r="CRF21" s="2867"/>
      <c r="CRG21" s="2866"/>
      <c r="CRH21" s="2827"/>
      <c r="CRI21" s="2867"/>
      <c r="CRJ21" s="2866"/>
      <c r="CRK21" s="2827"/>
      <c r="CRL21" s="2867"/>
      <c r="CRM21" s="2866"/>
      <c r="CRN21" s="2827"/>
      <c r="CRO21" s="2867"/>
      <c r="CRP21" s="2866"/>
      <c r="CRQ21" s="2827"/>
      <c r="CRR21" s="2867"/>
      <c r="CRS21" s="2866"/>
      <c r="CRT21" s="2827"/>
      <c r="CRU21" s="2867"/>
      <c r="CRV21" s="2866"/>
      <c r="CRW21" s="2827"/>
      <c r="CRX21" s="2867"/>
      <c r="CRY21" s="2866"/>
      <c r="CRZ21" s="2827"/>
      <c r="CSA21" s="2867"/>
      <c r="CSB21" s="2866"/>
      <c r="CSC21" s="2827"/>
      <c r="CSD21" s="2867"/>
      <c r="CSE21" s="2866"/>
      <c r="CSF21" s="2827"/>
      <c r="CSG21" s="2867"/>
      <c r="CSH21" s="2866"/>
      <c r="CSI21" s="2827"/>
      <c r="CSJ21" s="2867"/>
      <c r="CSK21" s="2866"/>
      <c r="CSL21" s="2827"/>
      <c r="CSM21" s="2867"/>
      <c r="CSN21" s="2866"/>
      <c r="CSO21" s="2827"/>
      <c r="CSP21" s="2867"/>
      <c r="CSQ21" s="2866"/>
      <c r="CSR21" s="2827"/>
      <c r="CSS21" s="2867"/>
      <c r="CST21" s="2866"/>
      <c r="CSU21" s="2827"/>
      <c r="CSV21" s="2867"/>
      <c r="CSW21" s="2866"/>
      <c r="CSX21" s="2827"/>
      <c r="CSY21" s="2867"/>
      <c r="CSZ21" s="2866"/>
      <c r="CTA21" s="2827"/>
      <c r="CTB21" s="2867"/>
      <c r="CTC21" s="2866"/>
      <c r="CTD21" s="2827"/>
      <c r="CTE21" s="2867"/>
      <c r="CTF21" s="2866"/>
      <c r="CTG21" s="2827"/>
      <c r="CTH21" s="2867"/>
      <c r="CTI21" s="2866"/>
      <c r="CTJ21" s="2827"/>
      <c r="CTK21" s="2867"/>
      <c r="CTL21" s="2866"/>
      <c r="CTM21" s="2827"/>
      <c r="CTN21" s="2867"/>
      <c r="CTO21" s="2866"/>
      <c r="CTP21" s="2827"/>
      <c r="CTQ21" s="2867"/>
      <c r="CTR21" s="2866"/>
      <c r="CTS21" s="2827"/>
      <c r="CTT21" s="2867"/>
      <c r="CTU21" s="2866"/>
      <c r="CTV21" s="2827"/>
      <c r="CTW21" s="2867"/>
      <c r="CTX21" s="2866"/>
      <c r="CTY21" s="2827"/>
      <c r="CTZ21" s="2867"/>
      <c r="CUA21" s="2866"/>
      <c r="CUB21" s="2827"/>
      <c r="CUC21" s="2867"/>
      <c r="CUD21" s="2866"/>
      <c r="CUE21" s="2827"/>
      <c r="CUF21" s="2867"/>
      <c r="CUG21" s="2866"/>
      <c r="CUH21" s="2827"/>
      <c r="CUI21" s="2867"/>
      <c r="CUJ21" s="2866"/>
      <c r="CUK21" s="2827"/>
      <c r="CUL21" s="2867"/>
      <c r="CUM21" s="2866"/>
      <c r="CUN21" s="2827"/>
      <c r="CUO21" s="2867"/>
      <c r="CUP21" s="2866"/>
      <c r="CUQ21" s="2827"/>
      <c r="CUR21" s="2867"/>
      <c r="CUS21" s="2866"/>
      <c r="CUT21" s="2827"/>
      <c r="CUU21" s="2867"/>
      <c r="CUV21" s="2866"/>
      <c r="CUW21" s="2827"/>
      <c r="CUX21" s="2867"/>
      <c r="CUY21" s="2866"/>
      <c r="CUZ21" s="2827"/>
      <c r="CVA21" s="2867"/>
      <c r="CVB21" s="2866"/>
      <c r="CVC21" s="2827"/>
      <c r="CVD21" s="2867"/>
      <c r="CVE21" s="2866"/>
      <c r="CVF21" s="2827"/>
      <c r="CVG21" s="2867"/>
      <c r="CVH21" s="2866"/>
      <c r="CVI21" s="2827"/>
      <c r="CVJ21" s="2867"/>
      <c r="CVK21" s="2866"/>
      <c r="CVL21" s="2827"/>
      <c r="CVM21" s="2867"/>
      <c r="CVN21" s="2866"/>
      <c r="CVO21" s="2827"/>
      <c r="CVP21" s="2867"/>
      <c r="CVQ21" s="2866"/>
      <c r="CVR21" s="2827"/>
      <c r="CVS21" s="2867"/>
      <c r="CVT21" s="2866"/>
      <c r="CVU21" s="2827"/>
      <c r="CVV21" s="2867"/>
      <c r="CVW21" s="2866"/>
      <c r="CVX21" s="2827"/>
      <c r="CVY21" s="2867"/>
      <c r="CVZ21" s="2866"/>
      <c r="CWA21" s="2827"/>
      <c r="CWB21" s="2867"/>
      <c r="CWC21" s="2866"/>
      <c r="CWD21" s="2827"/>
      <c r="CWE21" s="2867"/>
      <c r="CWF21" s="2866"/>
      <c r="CWG21" s="2827"/>
      <c r="CWH21" s="2867"/>
      <c r="CWI21" s="2866"/>
      <c r="CWJ21" s="2827"/>
      <c r="CWK21" s="2867"/>
      <c r="CWL21" s="2866"/>
      <c r="CWM21" s="2827"/>
      <c r="CWN21" s="2867"/>
      <c r="CWO21" s="2866"/>
      <c r="CWP21" s="2827"/>
      <c r="CWQ21" s="2867"/>
      <c r="CWR21" s="2866"/>
      <c r="CWS21" s="2827"/>
      <c r="CWT21" s="2867"/>
      <c r="CWU21" s="2866"/>
      <c r="CWV21" s="2827"/>
      <c r="CWW21" s="2867"/>
      <c r="CWX21" s="2866"/>
      <c r="CWY21" s="2827"/>
      <c r="CWZ21" s="2867"/>
      <c r="CXA21" s="2866"/>
      <c r="CXB21" s="2827"/>
      <c r="CXC21" s="2867"/>
      <c r="CXD21" s="2866"/>
      <c r="CXE21" s="2827"/>
      <c r="CXF21" s="2867"/>
      <c r="CXG21" s="2866"/>
      <c r="CXH21" s="2827"/>
      <c r="CXI21" s="2867"/>
      <c r="CXJ21" s="2866"/>
      <c r="CXK21" s="2827"/>
      <c r="CXL21" s="2867"/>
      <c r="CXM21" s="2866"/>
      <c r="CXN21" s="2827"/>
      <c r="CXO21" s="2867"/>
      <c r="CXP21" s="2866"/>
      <c r="CXQ21" s="2827"/>
      <c r="CXR21" s="2867"/>
      <c r="CXS21" s="2866"/>
      <c r="CXT21" s="2827"/>
      <c r="CXU21" s="2867"/>
      <c r="CXV21" s="2866"/>
      <c r="CXW21" s="2827"/>
      <c r="CXX21" s="2867"/>
      <c r="CXY21" s="2866"/>
      <c r="CXZ21" s="2827"/>
      <c r="CYA21" s="2867"/>
      <c r="CYB21" s="2866"/>
      <c r="CYC21" s="2827"/>
      <c r="CYD21" s="2867"/>
      <c r="CYE21" s="2866"/>
      <c r="CYF21" s="2827"/>
      <c r="CYG21" s="2867"/>
      <c r="CYH21" s="2866"/>
      <c r="CYI21" s="2827"/>
      <c r="CYJ21" s="2867"/>
      <c r="CYK21" s="2866"/>
      <c r="CYL21" s="2827"/>
      <c r="CYM21" s="2867"/>
      <c r="CYN21" s="2866"/>
      <c r="CYO21" s="2827"/>
      <c r="CYP21" s="2867"/>
      <c r="CYQ21" s="2866"/>
      <c r="CYR21" s="2827"/>
      <c r="CYS21" s="2867"/>
      <c r="CYT21" s="2866"/>
      <c r="CYU21" s="2827"/>
      <c r="CYV21" s="2867"/>
      <c r="CYW21" s="2866"/>
      <c r="CYX21" s="2827"/>
      <c r="CYY21" s="2867"/>
      <c r="CYZ21" s="2866"/>
      <c r="CZA21" s="2827"/>
      <c r="CZB21" s="2867"/>
      <c r="CZC21" s="2866"/>
      <c r="CZD21" s="2827"/>
      <c r="CZE21" s="2867"/>
      <c r="CZF21" s="2866"/>
      <c r="CZG21" s="2827"/>
      <c r="CZH21" s="2867"/>
      <c r="CZI21" s="2866"/>
      <c r="CZJ21" s="2827"/>
      <c r="CZK21" s="2867"/>
      <c r="CZL21" s="2866"/>
      <c r="CZM21" s="2827"/>
      <c r="CZN21" s="2867"/>
      <c r="CZO21" s="2866"/>
      <c r="CZP21" s="2827"/>
      <c r="CZQ21" s="2867"/>
      <c r="CZR21" s="2866"/>
      <c r="CZS21" s="2827"/>
      <c r="CZT21" s="2867"/>
      <c r="CZU21" s="2866"/>
      <c r="CZV21" s="2827"/>
      <c r="CZW21" s="2867"/>
      <c r="CZX21" s="2866"/>
      <c r="CZY21" s="2827"/>
      <c r="CZZ21" s="2867"/>
      <c r="DAA21" s="2866"/>
      <c r="DAB21" s="2827"/>
      <c r="DAC21" s="2867"/>
      <c r="DAD21" s="2866"/>
      <c r="DAE21" s="2827"/>
      <c r="DAF21" s="2867"/>
      <c r="DAG21" s="2866"/>
      <c r="DAH21" s="2827"/>
      <c r="DAI21" s="2867"/>
      <c r="DAJ21" s="2866"/>
      <c r="DAK21" s="2827"/>
      <c r="DAL21" s="2867"/>
      <c r="DAM21" s="2866"/>
      <c r="DAN21" s="2827"/>
      <c r="DAO21" s="2867"/>
      <c r="DAP21" s="2866"/>
      <c r="DAQ21" s="2827"/>
      <c r="DAR21" s="2867"/>
      <c r="DAS21" s="2866"/>
      <c r="DAT21" s="2827"/>
      <c r="DAU21" s="2867"/>
      <c r="DAV21" s="2866"/>
      <c r="DAW21" s="2827"/>
      <c r="DAX21" s="2867"/>
      <c r="DAY21" s="2866"/>
      <c r="DAZ21" s="2827"/>
      <c r="DBA21" s="2867"/>
      <c r="DBB21" s="2866"/>
      <c r="DBC21" s="2827"/>
      <c r="DBD21" s="2867"/>
      <c r="DBE21" s="2866"/>
      <c r="DBF21" s="2827"/>
      <c r="DBG21" s="2867"/>
      <c r="DBH21" s="2866"/>
      <c r="DBI21" s="2827"/>
      <c r="DBJ21" s="2867"/>
      <c r="DBK21" s="2866"/>
      <c r="DBL21" s="2827"/>
      <c r="DBM21" s="2867"/>
      <c r="DBN21" s="2866"/>
      <c r="DBO21" s="2827"/>
      <c r="DBP21" s="2867"/>
      <c r="DBQ21" s="2866"/>
      <c r="DBR21" s="2827"/>
      <c r="DBS21" s="2867"/>
      <c r="DBT21" s="2866"/>
      <c r="DBU21" s="2827"/>
      <c r="DBV21" s="2867"/>
      <c r="DBW21" s="2866"/>
      <c r="DBX21" s="2827"/>
      <c r="DBY21" s="2867"/>
      <c r="DBZ21" s="2866"/>
      <c r="DCA21" s="2827"/>
      <c r="DCB21" s="2867"/>
      <c r="DCC21" s="2866"/>
      <c r="DCD21" s="2827"/>
      <c r="DCE21" s="2867"/>
      <c r="DCF21" s="2866"/>
      <c r="DCG21" s="2827"/>
      <c r="DCH21" s="2867"/>
      <c r="DCI21" s="2866"/>
      <c r="DCJ21" s="2827"/>
      <c r="DCK21" s="2867"/>
      <c r="DCL21" s="2866"/>
      <c r="DCM21" s="2827"/>
      <c r="DCN21" s="2867"/>
      <c r="DCO21" s="2866"/>
      <c r="DCP21" s="2827"/>
      <c r="DCQ21" s="2867"/>
      <c r="DCR21" s="2866"/>
      <c r="DCS21" s="2827"/>
      <c r="DCT21" s="2867"/>
      <c r="DCU21" s="2866"/>
      <c r="DCV21" s="2827"/>
      <c r="DCW21" s="2867"/>
      <c r="DCX21" s="2866"/>
      <c r="DCY21" s="2827"/>
      <c r="DCZ21" s="2867"/>
      <c r="DDA21" s="2866"/>
      <c r="DDB21" s="2827"/>
      <c r="DDC21" s="2867"/>
      <c r="DDD21" s="2866"/>
      <c r="DDE21" s="2827"/>
      <c r="DDF21" s="2867"/>
      <c r="DDG21" s="2866"/>
      <c r="DDH21" s="2827"/>
      <c r="DDI21" s="2867"/>
      <c r="DDJ21" s="2866"/>
      <c r="DDK21" s="2827"/>
      <c r="DDL21" s="2867"/>
      <c r="DDM21" s="2866"/>
      <c r="DDN21" s="2827"/>
      <c r="DDO21" s="2867"/>
      <c r="DDP21" s="2866"/>
      <c r="DDQ21" s="2827"/>
      <c r="DDR21" s="2867"/>
      <c r="DDS21" s="2866"/>
      <c r="DDT21" s="2827"/>
      <c r="DDU21" s="2867"/>
      <c r="DDV21" s="2866"/>
      <c r="DDW21" s="2827"/>
      <c r="DDX21" s="2867"/>
      <c r="DDY21" s="2866"/>
      <c r="DDZ21" s="2827"/>
      <c r="DEA21" s="2867"/>
      <c r="DEB21" s="2866"/>
      <c r="DEC21" s="2827"/>
      <c r="DED21" s="2867"/>
      <c r="DEE21" s="2866"/>
      <c r="DEF21" s="2827"/>
      <c r="DEG21" s="2867"/>
      <c r="DEH21" s="2866"/>
      <c r="DEI21" s="2827"/>
      <c r="DEJ21" s="2867"/>
      <c r="DEK21" s="2866"/>
      <c r="DEL21" s="2827"/>
      <c r="DEM21" s="2867"/>
      <c r="DEN21" s="2866"/>
      <c r="DEO21" s="2827"/>
      <c r="DEP21" s="2867"/>
      <c r="DEQ21" s="2866"/>
      <c r="DER21" s="2827"/>
      <c r="DES21" s="2867"/>
      <c r="DET21" s="2866"/>
      <c r="DEU21" s="2827"/>
      <c r="DEV21" s="2867"/>
      <c r="DEW21" s="2866"/>
      <c r="DEX21" s="2827"/>
      <c r="DEY21" s="2867"/>
      <c r="DEZ21" s="2866"/>
      <c r="DFA21" s="2827"/>
      <c r="DFB21" s="2867"/>
      <c r="DFC21" s="2866"/>
      <c r="DFD21" s="2827"/>
      <c r="DFE21" s="2867"/>
      <c r="DFF21" s="2866"/>
      <c r="DFG21" s="2827"/>
      <c r="DFH21" s="2867"/>
      <c r="DFI21" s="2866"/>
      <c r="DFJ21" s="2827"/>
      <c r="DFK21" s="2867"/>
      <c r="DFL21" s="2866"/>
      <c r="DFM21" s="2827"/>
      <c r="DFN21" s="2867"/>
      <c r="DFO21" s="2866"/>
      <c r="DFP21" s="2827"/>
      <c r="DFQ21" s="2867"/>
      <c r="DFR21" s="2866"/>
      <c r="DFS21" s="2827"/>
      <c r="DFT21" s="2867"/>
      <c r="DFU21" s="2866"/>
      <c r="DFV21" s="2827"/>
      <c r="DFW21" s="2867"/>
      <c r="DFX21" s="2866"/>
      <c r="DFY21" s="2827"/>
      <c r="DFZ21" s="2867"/>
      <c r="DGA21" s="2866"/>
      <c r="DGB21" s="2827"/>
      <c r="DGC21" s="2867"/>
      <c r="DGD21" s="2866"/>
      <c r="DGE21" s="2827"/>
      <c r="DGF21" s="2867"/>
      <c r="DGG21" s="2866"/>
      <c r="DGH21" s="2827"/>
      <c r="DGI21" s="2867"/>
      <c r="DGJ21" s="2866"/>
      <c r="DGK21" s="2827"/>
      <c r="DGL21" s="2867"/>
      <c r="DGM21" s="2866"/>
      <c r="DGN21" s="2827"/>
      <c r="DGO21" s="2867"/>
      <c r="DGP21" s="2866"/>
      <c r="DGQ21" s="2827"/>
      <c r="DGR21" s="2867"/>
      <c r="DGS21" s="2866"/>
      <c r="DGT21" s="2827"/>
      <c r="DGU21" s="2867"/>
      <c r="DGV21" s="2866"/>
      <c r="DGW21" s="2827"/>
      <c r="DGX21" s="2867"/>
      <c r="DGY21" s="2866"/>
      <c r="DGZ21" s="2827"/>
      <c r="DHA21" s="2867"/>
      <c r="DHB21" s="2866"/>
      <c r="DHC21" s="2827"/>
      <c r="DHD21" s="2867"/>
      <c r="DHE21" s="2866"/>
      <c r="DHF21" s="2827"/>
      <c r="DHG21" s="2867"/>
      <c r="DHH21" s="2866"/>
      <c r="DHI21" s="2827"/>
      <c r="DHJ21" s="2867"/>
      <c r="DHK21" s="2866"/>
      <c r="DHL21" s="2827"/>
      <c r="DHM21" s="2867"/>
      <c r="DHN21" s="2866"/>
      <c r="DHO21" s="2827"/>
      <c r="DHP21" s="2867"/>
      <c r="DHQ21" s="2866"/>
      <c r="DHR21" s="2827"/>
      <c r="DHS21" s="2867"/>
      <c r="DHT21" s="2866"/>
      <c r="DHU21" s="2827"/>
      <c r="DHV21" s="2867"/>
      <c r="DHW21" s="2866"/>
      <c r="DHX21" s="2827"/>
      <c r="DHY21" s="2867"/>
      <c r="DHZ21" s="2866"/>
      <c r="DIA21" s="2827"/>
      <c r="DIB21" s="2867"/>
      <c r="DIC21" s="2866"/>
      <c r="DID21" s="2827"/>
      <c r="DIE21" s="2867"/>
      <c r="DIF21" s="2866"/>
      <c r="DIG21" s="2827"/>
      <c r="DIH21" s="2867"/>
      <c r="DII21" s="2866"/>
      <c r="DIJ21" s="2827"/>
      <c r="DIK21" s="2867"/>
      <c r="DIL21" s="2866"/>
      <c r="DIM21" s="2827"/>
      <c r="DIN21" s="2867"/>
      <c r="DIO21" s="2866"/>
      <c r="DIP21" s="2827"/>
      <c r="DIQ21" s="2867"/>
      <c r="DIR21" s="2866"/>
      <c r="DIS21" s="2827"/>
      <c r="DIT21" s="2867"/>
      <c r="DIU21" s="2866"/>
      <c r="DIV21" s="2827"/>
      <c r="DIW21" s="2867"/>
      <c r="DIX21" s="2866"/>
      <c r="DIY21" s="2827"/>
      <c r="DIZ21" s="2867"/>
      <c r="DJA21" s="2866"/>
      <c r="DJB21" s="2827"/>
      <c r="DJC21" s="2867"/>
      <c r="DJD21" s="2866"/>
      <c r="DJE21" s="2827"/>
      <c r="DJF21" s="2867"/>
      <c r="DJG21" s="2866"/>
      <c r="DJH21" s="2827"/>
      <c r="DJI21" s="2867"/>
      <c r="DJJ21" s="2866"/>
      <c r="DJK21" s="2827"/>
      <c r="DJL21" s="2867"/>
      <c r="DJM21" s="2866"/>
      <c r="DJN21" s="2827"/>
      <c r="DJO21" s="2867"/>
      <c r="DJP21" s="2866"/>
      <c r="DJQ21" s="2827"/>
      <c r="DJR21" s="2867"/>
      <c r="DJS21" s="2866"/>
      <c r="DJT21" s="2827"/>
      <c r="DJU21" s="2867"/>
      <c r="DJV21" s="2866"/>
      <c r="DJW21" s="2827"/>
      <c r="DJX21" s="2867"/>
      <c r="DJY21" s="2866"/>
      <c r="DJZ21" s="2827"/>
      <c r="DKA21" s="2867"/>
      <c r="DKB21" s="2866"/>
      <c r="DKC21" s="2827"/>
      <c r="DKD21" s="2867"/>
      <c r="DKE21" s="2866"/>
      <c r="DKF21" s="2827"/>
      <c r="DKG21" s="2867"/>
      <c r="DKH21" s="2866"/>
      <c r="DKI21" s="2827"/>
      <c r="DKJ21" s="2867"/>
      <c r="DKK21" s="2866"/>
      <c r="DKL21" s="2827"/>
      <c r="DKM21" s="2867"/>
      <c r="DKN21" s="2866"/>
      <c r="DKO21" s="2827"/>
      <c r="DKP21" s="2867"/>
      <c r="DKQ21" s="2866"/>
      <c r="DKR21" s="2827"/>
      <c r="DKS21" s="2867"/>
      <c r="DKT21" s="2866"/>
      <c r="DKU21" s="2827"/>
      <c r="DKV21" s="2867"/>
      <c r="DKW21" s="2866"/>
      <c r="DKX21" s="2827"/>
      <c r="DKY21" s="2867"/>
      <c r="DKZ21" s="2866"/>
      <c r="DLA21" s="2827"/>
      <c r="DLB21" s="2867"/>
      <c r="DLC21" s="2866"/>
      <c r="DLD21" s="2827"/>
      <c r="DLE21" s="2867"/>
      <c r="DLF21" s="2866"/>
      <c r="DLG21" s="2827"/>
      <c r="DLH21" s="2867"/>
      <c r="DLI21" s="2866"/>
      <c r="DLJ21" s="2827"/>
      <c r="DLK21" s="2867"/>
      <c r="DLL21" s="2866"/>
      <c r="DLM21" s="2827"/>
      <c r="DLN21" s="2867"/>
      <c r="DLO21" s="2866"/>
      <c r="DLP21" s="2827"/>
      <c r="DLQ21" s="2867"/>
      <c r="DLR21" s="2866"/>
      <c r="DLS21" s="2827"/>
      <c r="DLT21" s="2867"/>
      <c r="DLU21" s="2866"/>
      <c r="DLV21" s="2827"/>
      <c r="DLW21" s="2867"/>
      <c r="DLX21" s="2866"/>
      <c r="DLY21" s="2827"/>
      <c r="DLZ21" s="2867"/>
      <c r="DMA21" s="2866"/>
      <c r="DMB21" s="2827"/>
      <c r="DMC21" s="2867"/>
      <c r="DMD21" s="2866"/>
      <c r="DME21" s="2827"/>
      <c r="DMF21" s="2867"/>
      <c r="DMG21" s="2866"/>
      <c r="DMH21" s="2827"/>
      <c r="DMI21" s="2867"/>
      <c r="DMJ21" s="2866"/>
      <c r="DMK21" s="2827"/>
      <c r="DML21" s="2867"/>
      <c r="DMM21" s="2866"/>
      <c r="DMN21" s="2827"/>
      <c r="DMO21" s="2867"/>
      <c r="DMP21" s="2866"/>
      <c r="DMQ21" s="2827"/>
      <c r="DMR21" s="2867"/>
      <c r="DMS21" s="2866"/>
      <c r="DMT21" s="2827"/>
      <c r="DMU21" s="2867"/>
      <c r="DMV21" s="2866"/>
      <c r="DMW21" s="2827"/>
      <c r="DMX21" s="2867"/>
      <c r="DMY21" s="2866"/>
      <c r="DMZ21" s="2827"/>
      <c r="DNA21" s="2867"/>
      <c r="DNB21" s="2866"/>
      <c r="DNC21" s="2827"/>
      <c r="DND21" s="2867"/>
      <c r="DNE21" s="2866"/>
      <c r="DNF21" s="2827"/>
      <c r="DNG21" s="2867"/>
      <c r="DNH21" s="2866"/>
      <c r="DNI21" s="2827"/>
      <c r="DNJ21" s="2867"/>
      <c r="DNK21" s="2866"/>
      <c r="DNL21" s="2827"/>
      <c r="DNM21" s="2867"/>
      <c r="DNN21" s="2866"/>
      <c r="DNO21" s="2827"/>
      <c r="DNP21" s="2867"/>
      <c r="DNQ21" s="2866"/>
      <c r="DNR21" s="2827"/>
      <c r="DNS21" s="2867"/>
      <c r="DNT21" s="2866"/>
      <c r="DNU21" s="2827"/>
      <c r="DNV21" s="2867"/>
      <c r="DNW21" s="2866"/>
      <c r="DNX21" s="2827"/>
      <c r="DNY21" s="2867"/>
      <c r="DNZ21" s="2866"/>
      <c r="DOA21" s="2827"/>
      <c r="DOB21" s="2867"/>
      <c r="DOC21" s="2866"/>
      <c r="DOD21" s="2827"/>
      <c r="DOE21" s="2867"/>
      <c r="DOF21" s="2866"/>
      <c r="DOG21" s="2827"/>
      <c r="DOH21" s="2867"/>
      <c r="DOI21" s="2866"/>
      <c r="DOJ21" s="2827"/>
      <c r="DOK21" s="2867"/>
      <c r="DOL21" s="2866"/>
      <c r="DOM21" s="2827"/>
      <c r="DON21" s="2867"/>
      <c r="DOO21" s="2866"/>
      <c r="DOP21" s="2827"/>
      <c r="DOQ21" s="2867"/>
      <c r="DOR21" s="2866"/>
      <c r="DOS21" s="2827"/>
      <c r="DOT21" s="2867"/>
      <c r="DOU21" s="2866"/>
      <c r="DOV21" s="2827"/>
      <c r="DOW21" s="2867"/>
      <c r="DOX21" s="2866"/>
      <c r="DOY21" s="2827"/>
      <c r="DOZ21" s="2867"/>
      <c r="DPA21" s="2866"/>
      <c r="DPB21" s="2827"/>
      <c r="DPC21" s="2867"/>
      <c r="DPD21" s="2866"/>
      <c r="DPE21" s="2827"/>
      <c r="DPF21" s="2867"/>
      <c r="DPG21" s="2866"/>
      <c r="DPH21" s="2827"/>
      <c r="DPI21" s="2867"/>
      <c r="DPJ21" s="2866"/>
      <c r="DPK21" s="2827"/>
      <c r="DPL21" s="2867"/>
      <c r="DPM21" s="2866"/>
      <c r="DPN21" s="2827"/>
      <c r="DPO21" s="2867"/>
      <c r="DPP21" s="2866"/>
      <c r="DPQ21" s="2827"/>
      <c r="DPR21" s="2867"/>
      <c r="DPS21" s="2866"/>
      <c r="DPT21" s="2827"/>
      <c r="DPU21" s="2867"/>
      <c r="DPV21" s="2866"/>
      <c r="DPW21" s="2827"/>
      <c r="DPX21" s="2867"/>
      <c r="DPY21" s="2866"/>
      <c r="DPZ21" s="2827"/>
      <c r="DQA21" s="2867"/>
      <c r="DQB21" s="2866"/>
      <c r="DQC21" s="2827"/>
      <c r="DQD21" s="2867"/>
      <c r="DQE21" s="2866"/>
      <c r="DQF21" s="2827"/>
      <c r="DQG21" s="2867"/>
      <c r="DQH21" s="2866"/>
      <c r="DQI21" s="2827"/>
      <c r="DQJ21" s="2867"/>
      <c r="DQK21" s="2866"/>
      <c r="DQL21" s="2827"/>
      <c r="DQM21" s="2867"/>
      <c r="DQN21" s="2866"/>
      <c r="DQO21" s="2827"/>
      <c r="DQP21" s="2867"/>
      <c r="DQQ21" s="2866"/>
      <c r="DQR21" s="2827"/>
      <c r="DQS21" s="2867"/>
      <c r="DQT21" s="2866"/>
      <c r="DQU21" s="2827"/>
      <c r="DQV21" s="2867"/>
      <c r="DQW21" s="2866"/>
      <c r="DQX21" s="2827"/>
      <c r="DQY21" s="2867"/>
      <c r="DQZ21" s="2866"/>
      <c r="DRA21" s="2827"/>
      <c r="DRB21" s="2867"/>
      <c r="DRC21" s="2866"/>
      <c r="DRD21" s="2827"/>
      <c r="DRE21" s="2867"/>
      <c r="DRF21" s="2866"/>
      <c r="DRG21" s="2827"/>
      <c r="DRH21" s="2867"/>
      <c r="DRI21" s="2866"/>
      <c r="DRJ21" s="2827"/>
      <c r="DRK21" s="2867"/>
      <c r="DRL21" s="2866"/>
      <c r="DRM21" s="2827"/>
      <c r="DRN21" s="2867"/>
      <c r="DRO21" s="2866"/>
      <c r="DRP21" s="2827"/>
      <c r="DRQ21" s="2867"/>
      <c r="DRR21" s="2866"/>
      <c r="DRS21" s="2827"/>
      <c r="DRT21" s="2867"/>
      <c r="DRU21" s="2866"/>
      <c r="DRV21" s="2827"/>
      <c r="DRW21" s="2867"/>
      <c r="DRX21" s="2866"/>
      <c r="DRY21" s="2827"/>
      <c r="DRZ21" s="2867"/>
      <c r="DSA21" s="2866"/>
      <c r="DSB21" s="2827"/>
      <c r="DSC21" s="2867"/>
      <c r="DSD21" s="2866"/>
      <c r="DSE21" s="2827"/>
      <c r="DSF21" s="2867"/>
      <c r="DSG21" s="2866"/>
      <c r="DSH21" s="2827"/>
      <c r="DSI21" s="2867"/>
      <c r="DSJ21" s="2866"/>
      <c r="DSK21" s="2827"/>
      <c r="DSL21" s="2867"/>
      <c r="DSM21" s="2866"/>
      <c r="DSN21" s="2827"/>
      <c r="DSO21" s="2867"/>
      <c r="DSP21" s="2866"/>
      <c r="DSQ21" s="2827"/>
      <c r="DSR21" s="2867"/>
      <c r="DSS21" s="2866"/>
      <c r="DST21" s="2827"/>
      <c r="DSU21" s="2867"/>
      <c r="DSV21" s="2866"/>
      <c r="DSW21" s="2827"/>
      <c r="DSX21" s="2867"/>
      <c r="DSY21" s="2866"/>
      <c r="DSZ21" s="2827"/>
      <c r="DTA21" s="2867"/>
      <c r="DTB21" s="2866"/>
      <c r="DTC21" s="2827"/>
      <c r="DTD21" s="2867"/>
      <c r="DTE21" s="2866"/>
      <c r="DTF21" s="2827"/>
      <c r="DTG21" s="2867"/>
      <c r="DTH21" s="2866"/>
      <c r="DTI21" s="2827"/>
      <c r="DTJ21" s="2867"/>
      <c r="DTK21" s="2866"/>
      <c r="DTL21" s="2827"/>
      <c r="DTM21" s="2867"/>
      <c r="DTN21" s="2866"/>
      <c r="DTO21" s="2827"/>
      <c r="DTP21" s="2867"/>
      <c r="DTQ21" s="2866"/>
      <c r="DTR21" s="2827"/>
      <c r="DTS21" s="2867"/>
      <c r="DTT21" s="2866"/>
      <c r="DTU21" s="2827"/>
      <c r="DTV21" s="2867"/>
      <c r="DTW21" s="2866"/>
      <c r="DTX21" s="2827"/>
      <c r="DTY21" s="2867"/>
      <c r="DTZ21" s="2866"/>
      <c r="DUA21" s="2827"/>
      <c r="DUB21" s="2867"/>
      <c r="DUC21" s="2866"/>
      <c r="DUD21" s="2827"/>
      <c r="DUE21" s="2867"/>
      <c r="DUF21" s="2866"/>
      <c r="DUG21" s="2827"/>
      <c r="DUH21" s="2867"/>
      <c r="DUI21" s="2866"/>
      <c r="DUJ21" s="2827"/>
      <c r="DUK21" s="2867"/>
      <c r="DUL21" s="2866"/>
      <c r="DUM21" s="2827"/>
      <c r="DUN21" s="2867"/>
      <c r="DUO21" s="2866"/>
      <c r="DUP21" s="2827"/>
      <c r="DUQ21" s="2867"/>
      <c r="DUR21" s="2866"/>
      <c r="DUS21" s="2827"/>
      <c r="DUT21" s="2867"/>
      <c r="DUU21" s="2866"/>
      <c r="DUV21" s="2827"/>
      <c r="DUW21" s="2867"/>
      <c r="DUX21" s="2866"/>
      <c r="DUY21" s="2827"/>
      <c r="DUZ21" s="2867"/>
      <c r="DVA21" s="2866"/>
      <c r="DVB21" s="2827"/>
      <c r="DVC21" s="2867"/>
      <c r="DVD21" s="2866"/>
      <c r="DVE21" s="2827"/>
      <c r="DVF21" s="2867"/>
      <c r="DVG21" s="2866"/>
      <c r="DVH21" s="2827"/>
      <c r="DVI21" s="2867"/>
      <c r="DVJ21" s="2866"/>
      <c r="DVK21" s="2827"/>
      <c r="DVL21" s="2867"/>
      <c r="DVM21" s="2866"/>
      <c r="DVN21" s="2827"/>
      <c r="DVO21" s="2867"/>
      <c r="DVP21" s="2866"/>
      <c r="DVQ21" s="2827"/>
      <c r="DVR21" s="2867"/>
      <c r="DVS21" s="2866"/>
      <c r="DVT21" s="2827"/>
      <c r="DVU21" s="2867"/>
      <c r="DVV21" s="2866"/>
      <c r="DVW21" s="2827"/>
      <c r="DVX21" s="2867"/>
      <c r="DVY21" s="2866"/>
      <c r="DVZ21" s="2827"/>
      <c r="DWA21" s="2867"/>
      <c r="DWB21" s="2866"/>
      <c r="DWC21" s="2827"/>
      <c r="DWD21" s="2867"/>
      <c r="DWE21" s="2866"/>
      <c r="DWF21" s="2827"/>
      <c r="DWG21" s="2867"/>
      <c r="DWH21" s="2866"/>
      <c r="DWI21" s="2827"/>
      <c r="DWJ21" s="2867"/>
      <c r="DWK21" s="2866"/>
      <c r="DWL21" s="2827"/>
      <c r="DWM21" s="2867"/>
      <c r="DWN21" s="2866"/>
      <c r="DWO21" s="2827"/>
      <c r="DWP21" s="2867"/>
      <c r="DWQ21" s="2866"/>
      <c r="DWR21" s="2827"/>
      <c r="DWS21" s="2867"/>
      <c r="DWT21" s="2866"/>
      <c r="DWU21" s="2827"/>
      <c r="DWV21" s="2867"/>
      <c r="DWW21" s="2866"/>
      <c r="DWX21" s="2827"/>
      <c r="DWY21" s="2867"/>
      <c r="DWZ21" s="2866"/>
      <c r="DXA21" s="2827"/>
      <c r="DXB21" s="2867"/>
      <c r="DXC21" s="2866"/>
      <c r="DXD21" s="2827"/>
      <c r="DXE21" s="2867"/>
      <c r="DXF21" s="2866"/>
      <c r="DXG21" s="2827"/>
      <c r="DXH21" s="2867"/>
      <c r="DXI21" s="2866"/>
      <c r="DXJ21" s="2827"/>
      <c r="DXK21" s="2867"/>
      <c r="DXL21" s="2866"/>
      <c r="DXM21" s="2827"/>
      <c r="DXN21" s="2867"/>
      <c r="DXO21" s="2866"/>
      <c r="DXP21" s="2827"/>
      <c r="DXQ21" s="2867"/>
      <c r="DXR21" s="2866"/>
      <c r="DXS21" s="2827"/>
      <c r="DXT21" s="2867"/>
      <c r="DXU21" s="2866"/>
      <c r="DXV21" s="2827"/>
      <c r="DXW21" s="2867"/>
      <c r="DXX21" s="2866"/>
      <c r="DXY21" s="2827"/>
      <c r="DXZ21" s="2867"/>
      <c r="DYA21" s="2866"/>
      <c r="DYB21" s="2827"/>
      <c r="DYC21" s="2867"/>
      <c r="DYD21" s="2866"/>
      <c r="DYE21" s="2827"/>
      <c r="DYF21" s="2867"/>
      <c r="DYG21" s="2866"/>
      <c r="DYH21" s="2827"/>
      <c r="DYI21" s="2867"/>
      <c r="DYJ21" s="2866"/>
      <c r="DYK21" s="2827"/>
      <c r="DYL21" s="2867"/>
      <c r="DYM21" s="2866"/>
      <c r="DYN21" s="2827"/>
      <c r="DYO21" s="2867"/>
      <c r="DYP21" s="2866"/>
      <c r="DYQ21" s="2827"/>
      <c r="DYR21" s="2867"/>
      <c r="DYS21" s="2866"/>
      <c r="DYT21" s="2827"/>
      <c r="DYU21" s="2867"/>
      <c r="DYV21" s="2866"/>
      <c r="DYW21" s="2827"/>
      <c r="DYX21" s="2867"/>
      <c r="DYY21" s="2866"/>
      <c r="DYZ21" s="2827"/>
      <c r="DZA21" s="2867"/>
      <c r="DZB21" s="2866"/>
      <c r="DZC21" s="2827"/>
      <c r="DZD21" s="2867"/>
      <c r="DZE21" s="2866"/>
      <c r="DZF21" s="2827"/>
      <c r="DZG21" s="2867"/>
      <c r="DZH21" s="2866"/>
      <c r="DZI21" s="2827"/>
      <c r="DZJ21" s="2867"/>
      <c r="DZK21" s="2866"/>
      <c r="DZL21" s="2827"/>
      <c r="DZM21" s="2867"/>
      <c r="DZN21" s="2866"/>
      <c r="DZO21" s="2827"/>
      <c r="DZP21" s="2867"/>
      <c r="DZQ21" s="2866"/>
      <c r="DZR21" s="2827"/>
      <c r="DZS21" s="2867"/>
      <c r="DZT21" s="2866"/>
      <c r="DZU21" s="2827"/>
      <c r="DZV21" s="2867"/>
      <c r="DZW21" s="2866"/>
      <c r="DZX21" s="2827"/>
      <c r="DZY21" s="2867"/>
      <c r="DZZ21" s="2866"/>
      <c r="EAA21" s="2827"/>
      <c r="EAB21" s="2867"/>
      <c r="EAC21" s="2866"/>
      <c r="EAD21" s="2827"/>
      <c r="EAE21" s="2867"/>
      <c r="EAF21" s="2866"/>
      <c r="EAG21" s="2827"/>
      <c r="EAH21" s="2867"/>
      <c r="EAI21" s="2866"/>
      <c r="EAJ21" s="2827"/>
      <c r="EAK21" s="2867"/>
      <c r="EAL21" s="2866"/>
      <c r="EAM21" s="2827"/>
      <c r="EAN21" s="2867"/>
      <c r="EAO21" s="2866"/>
      <c r="EAP21" s="2827"/>
      <c r="EAQ21" s="2867"/>
      <c r="EAR21" s="2866"/>
      <c r="EAS21" s="2827"/>
      <c r="EAT21" s="2867"/>
      <c r="EAU21" s="2866"/>
      <c r="EAV21" s="2827"/>
      <c r="EAW21" s="2867"/>
      <c r="EAX21" s="2866"/>
      <c r="EAY21" s="2827"/>
      <c r="EAZ21" s="2867"/>
      <c r="EBA21" s="2866"/>
      <c r="EBB21" s="2827"/>
      <c r="EBC21" s="2867"/>
      <c r="EBD21" s="2866"/>
      <c r="EBE21" s="2827"/>
      <c r="EBF21" s="2867"/>
      <c r="EBG21" s="2866"/>
      <c r="EBH21" s="2827"/>
      <c r="EBI21" s="2867"/>
      <c r="EBJ21" s="2866"/>
      <c r="EBK21" s="2827"/>
      <c r="EBL21" s="2867"/>
      <c r="EBM21" s="2866"/>
      <c r="EBN21" s="2827"/>
      <c r="EBO21" s="2867"/>
      <c r="EBP21" s="2866"/>
      <c r="EBQ21" s="2827"/>
      <c r="EBR21" s="2867"/>
      <c r="EBS21" s="2866"/>
      <c r="EBT21" s="2827"/>
      <c r="EBU21" s="2867"/>
      <c r="EBV21" s="2866"/>
      <c r="EBW21" s="2827"/>
      <c r="EBX21" s="2867"/>
      <c r="EBY21" s="2866"/>
      <c r="EBZ21" s="2827"/>
      <c r="ECA21" s="2867"/>
      <c r="ECB21" s="2866"/>
      <c r="ECC21" s="2827"/>
      <c r="ECD21" s="2867"/>
      <c r="ECE21" s="2866"/>
      <c r="ECF21" s="2827"/>
      <c r="ECG21" s="2867"/>
      <c r="ECH21" s="2866"/>
      <c r="ECI21" s="2827"/>
      <c r="ECJ21" s="2867"/>
      <c r="ECK21" s="2866"/>
      <c r="ECL21" s="2827"/>
      <c r="ECM21" s="2867"/>
      <c r="ECN21" s="2866"/>
      <c r="ECO21" s="2827"/>
      <c r="ECP21" s="2867"/>
      <c r="ECQ21" s="2866"/>
      <c r="ECR21" s="2827"/>
      <c r="ECS21" s="2867"/>
      <c r="ECT21" s="2866"/>
      <c r="ECU21" s="2827"/>
      <c r="ECV21" s="2867"/>
      <c r="ECW21" s="2866"/>
      <c r="ECX21" s="2827"/>
      <c r="ECY21" s="2867"/>
      <c r="ECZ21" s="2866"/>
      <c r="EDA21" s="2827"/>
      <c r="EDB21" s="2867"/>
      <c r="EDC21" s="2866"/>
      <c r="EDD21" s="2827"/>
      <c r="EDE21" s="2867"/>
      <c r="EDF21" s="2866"/>
      <c r="EDG21" s="2827"/>
      <c r="EDH21" s="2867"/>
      <c r="EDI21" s="2866"/>
      <c r="EDJ21" s="2827"/>
      <c r="EDK21" s="2867"/>
      <c r="EDL21" s="2866"/>
      <c r="EDM21" s="2827"/>
      <c r="EDN21" s="2867"/>
      <c r="EDO21" s="2866"/>
      <c r="EDP21" s="2827"/>
      <c r="EDQ21" s="2867"/>
      <c r="EDR21" s="2866"/>
      <c r="EDS21" s="2827"/>
      <c r="EDT21" s="2867"/>
      <c r="EDU21" s="2866"/>
      <c r="EDV21" s="2827"/>
      <c r="EDW21" s="2867"/>
      <c r="EDX21" s="2866"/>
      <c r="EDY21" s="2827"/>
      <c r="EDZ21" s="2867"/>
      <c r="EEA21" s="2866"/>
      <c r="EEB21" s="2827"/>
      <c r="EEC21" s="2867"/>
      <c r="EED21" s="2866"/>
      <c r="EEE21" s="2827"/>
      <c r="EEF21" s="2867"/>
      <c r="EEG21" s="2866"/>
      <c r="EEH21" s="2827"/>
      <c r="EEI21" s="2867"/>
      <c r="EEJ21" s="2866"/>
      <c r="EEK21" s="2827"/>
      <c r="EEL21" s="2867"/>
      <c r="EEM21" s="2866"/>
      <c r="EEN21" s="2827"/>
      <c r="EEO21" s="2867"/>
      <c r="EEP21" s="2866"/>
      <c r="EEQ21" s="2827"/>
      <c r="EER21" s="2867"/>
      <c r="EES21" s="2866"/>
      <c r="EET21" s="2827"/>
      <c r="EEU21" s="2867"/>
      <c r="EEV21" s="2866"/>
      <c r="EEW21" s="2827"/>
      <c r="EEX21" s="2867"/>
      <c r="EEY21" s="2866"/>
      <c r="EEZ21" s="2827"/>
      <c r="EFA21" s="2867"/>
      <c r="EFB21" s="2866"/>
      <c r="EFC21" s="2827"/>
      <c r="EFD21" s="2867"/>
      <c r="EFE21" s="2866"/>
      <c r="EFF21" s="2827"/>
      <c r="EFG21" s="2867"/>
      <c r="EFH21" s="2866"/>
      <c r="EFI21" s="2827"/>
      <c r="EFJ21" s="2867"/>
      <c r="EFK21" s="2866"/>
      <c r="EFL21" s="2827"/>
      <c r="EFM21" s="2867"/>
      <c r="EFN21" s="2866"/>
      <c r="EFO21" s="2827"/>
      <c r="EFP21" s="2867"/>
      <c r="EFQ21" s="2866"/>
      <c r="EFR21" s="2827"/>
      <c r="EFS21" s="2867"/>
      <c r="EFT21" s="2866"/>
      <c r="EFU21" s="2827"/>
      <c r="EFV21" s="2867"/>
      <c r="EFW21" s="2866"/>
      <c r="EFX21" s="2827"/>
      <c r="EFY21" s="2867"/>
      <c r="EFZ21" s="2866"/>
      <c r="EGA21" s="2827"/>
      <c r="EGB21" s="2867"/>
      <c r="EGC21" s="2866"/>
      <c r="EGD21" s="2827"/>
      <c r="EGE21" s="2867"/>
      <c r="EGF21" s="2866"/>
      <c r="EGG21" s="2827"/>
      <c r="EGH21" s="2867"/>
      <c r="EGI21" s="2866"/>
      <c r="EGJ21" s="2827"/>
      <c r="EGK21" s="2867"/>
      <c r="EGL21" s="2866"/>
      <c r="EGM21" s="2827"/>
      <c r="EGN21" s="2867"/>
      <c r="EGO21" s="2866"/>
      <c r="EGP21" s="2827"/>
      <c r="EGQ21" s="2867"/>
      <c r="EGR21" s="2866"/>
      <c r="EGS21" s="2827"/>
      <c r="EGT21" s="2867"/>
      <c r="EGU21" s="2866"/>
      <c r="EGV21" s="2827"/>
      <c r="EGW21" s="2867"/>
      <c r="EGX21" s="2866"/>
      <c r="EGY21" s="2827"/>
      <c r="EGZ21" s="2867"/>
      <c r="EHA21" s="2866"/>
      <c r="EHB21" s="2827"/>
      <c r="EHC21" s="2867"/>
      <c r="EHD21" s="2866"/>
      <c r="EHE21" s="2827"/>
      <c r="EHF21" s="2867"/>
      <c r="EHG21" s="2866"/>
      <c r="EHH21" s="2827"/>
      <c r="EHI21" s="2867"/>
      <c r="EHJ21" s="2866"/>
      <c r="EHK21" s="2827"/>
      <c r="EHL21" s="2867"/>
      <c r="EHM21" s="2866"/>
      <c r="EHN21" s="2827"/>
      <c r="EHO21" s="2867"/>
      <c r="EHP21" s="2866"/>
      <c r="EHQ21" s="2827"/>
      <c r="EHR21" s="2867"/>
      <c r="EHS21" s="2866"/>
      <c r="EHT21" s="2827"/>
      <c r="EHU21" s="2867"/>
      <c r="EHV21" s="2866"/>
      <c r="EHW21" s="2827"/>
      <c r="EHX21" s="2867"/>
      <c r="EHY21" s="2866"/>
      <c r="EHZ21" s="2827"/>
      <c r="EIA21" s="2867"/>
      <c r="EIB21" s="2866"/>
      <c r="EIC21" s="2827"/>
      <c r="EID21" s="2867"/>
      <c r="EIE21" s="2866"/>
      <c r="EIF21" s="2827"/>
      <c r="EIG21" s="2867"/>
      <c r="EIH21" s="2866"/>
      <c r="EII21" s="2827"/>
      <c r="EIJ21" s="2867"/>
      <c r="EIK21" s="2866"/>
      <c r="EIL21" s="2827"/>
      <c r="EIM21" s="2867"/>
      <c r="EIN21" s="2866"/>
      <c r="EIO21" s="2827"/>
      <c r="EIP21" s="2867"/>
      <c r="EIQ21" s="2866"/>
      <c r="EIR21" s="2827"/>
      <c r="EIS21" s="2867"/>
      <c r="EIT21" s="2866"/>
      <c r="EIU21" s="2827"/>
      <c r="EIV21" s="2867"/>
      <c r="EIW21" s="2866"/>
      <c r="EIX21" s="2827"/>
      <c r="EIY21" s="2867"/>
      <c r="EIZ21" s="2866"/>
      <c r="EJA21" s="2827"/>
      <c r="EJB21" s="2867"/>
      <c r="EJC21" s="2866"/>
      <c r="EJD21" s="2827"/>
      <c r="EJE21" s="2867"/>
      <c r="EJF21" s="2866"/>
      <c r="EJG21" s="2827"/>
      <c r="EJH21" s="2867"/>
      <c r="EJI21" s="2866"/>
      <c r="EJJ21" s="2827"/>
      <c r="EJK21" s="2867"/>
      <c r="EJL21" s="2866"/>
      <c r="EJM21" s="2827"/>
      <c r="EJN21" s="2867"/>
      <c r="EJO21" s="2866"/>
      <c r="EJP21" s="2827"/>
      <c r="EJQ21" s="2867"/>
      <c r="EJR21" s="2866"/>
      <c r="EJS21" s="2827"/>
      <c r="EJT21" s="2867"/>
      <c r="EJU21" s="2866"/>
      <c r="EJV21" s="2827"/>
      <c r="EJW21" s="2867"/>
      <c r="EJX21" s="2866"/>
      <c r="EJY21" s="2827"/>
      <c r="EJZ21" s="2867"/>
      <c r="EKA21" s="2866"/>
      <c r="EKB21" s="2827"/>
      <c r="EKC21" s="2867"/>
      <c r="EKD21" s="2866"/>
      <c r="EKE21" s="2827"/>
      <c r="EKF21" s="2867"/>
      <c r="EKG21" s="2866"/>
      <c r="EKH21" s="2827"/>
      <c r="EKI21" s="2867"/>
      <c r="EKJ21" s="2866"/>
      <c r="EKK21" s="2827"/>
      <c r="EKL21" s="2867"/>
      <c r="EKM21" s="2866"/>
      <c r="EKN21" s="2827"/>
      <c r="EKO21" s="2867"/>
      <c r="EKP21" s="2866"/>
      <c r="EKQ21" s="2827"/>
      <c r="EKR21" s="2867"/>
      <c r="EKS21" s="2866"/>
      <c r="EKT21" s="2827"/>
      <c r="EKU21" s="2867"/>
      <c r="EKV21" s="2866"/>
      <c r="EKW21" s="2827"/>
      <c r="EKX21" s="2867"/>
      <c r="EKY21" s="2866"/>
      <c r="EKZ21" s="2827"/>
      <c r="ELA21" s="2867"/>
      <c r="ELB21" s="2866"/>
      <c r="ELC21" s="2827"/>
      <c r="ELD21" s="2867"/>
      <c r="ELE21" s="2866"/>
      <c r="ELF21" s="2827"/>
      <c r="ELG21" s="2867"/>
      <c r="ELH21" s="2866"/>
      <c r="ELI21" s="2827"/>
      <c r="ELJ21" s="2867"/>
      <c r="ELK21" s="2866"/>
      <c r="ELL21" s="2827"/>
      <c r="ELM21" s="2867"/>
      <c r="ELN21" s="2866"/>
      <c r="ELO21" s="2827"/>
      <c r="ELP21" s="2867"/>
      <c r="ELQ21" s="2866"/>
      <c r="ELR21" s="2827"/>
      <c r="ELS21" s="2867"/>
      <c r="ELT21" s="2866"/>
      <c r="ELU21" s="2827"/>
      <c r="ELV21" s="2867"/>
      <c r="ELW21" s="2866"/>
      <c r="ELX21" s="2827"/>
      <c r="ELY21" s="2867"/>
      <c r="ELZ21" s="2866"/>
      <c r="EMA21" s="2827"/>
      <c r="EMB21" s="2867"/>
      <c r="EMC21" s="2866"/>
      <c r="EMD21" s="2827"/>
      <c r="EME21" s="2867"/>
      <c r="EMF21" s="2866"/>
      <c r="EMG21" s="2827"/>
      <c r="EMH21" s="2867"/>
      <c r="EMI21" s="2866"/>
      <c r="EMJ21" s="2827"/>
      <c r="EMK21" s="2867"/>
      <c r="EML21" s="2866"/>
      <c r="EMM21" s="2827"/>
      <c r="EMN21" s="2867"/>
      <c r="EMO21" s="2866"/>
      <c r="EMP21" s="2827"/>
      <c r="EMQ21" s="2867"/>
      <c r="EMR21" s="2866"/>
      <c r="EMS21" s="2827"/>
      <c r="EMT21" s="2867"/>
      <c r="EMU21" s="2866"/>
      <c r="EMV21" s="2827"/>
      <c r="EMW21" s="2867"/>
      <c r="EMX21" s="2866"/>
      <c r="EMY21" s="2827"/>
      <c r="EMZ21" s="2867"/>
      <c r="ENA21" s="2866"/>
      <c r="ENB21" s="2827"/>
      <c r="ENC21" s="2867"/>
      <c r="END21" s="2866"/>
      <c r="ENE21" s="2827"/>
      <c r="ENF21" s="2867"/>
      <c r="ENG21" s="2866"/>
      <c r="ENH21" s="2827"/>
      <c r="ENI21" s="2867"/>
      <c r="ENJ21" s="2866"/>
      <c r="ENK21" s="2827"/>
      <c r="ENL21" s="2867"/>
      <c r="ENM21" s="2866"/>
      <c r="ENN21" s="2827"/>
      <c r="ENO21" s="2867"/>
      <c r="ENP21" s="2866"/>
      <c r="ENQ21" s="2827"/>
      <c r="ENR21" s="2867"/>
      <c r="ENS21" s="2866"/>
      <c r="ENT21" s="2827"/>
      <c r="ENU21" s="2867"/>
      <c r="ENV21" s="2866"/>
      <c r="ENW21" s="2827"/>
      <c r="ENX21" s="2867"/>
      <c r="ENY21" s="2866"/>
      <c r="ENZ21" s="2827"/>
      <c r="EOA21" s="2867"/>
      <c r="EOB21" s="2866"/>
      <c r="EOC21" s="2827"/>
      <c r="EOD21" s="2867"/>
      <c r="EOE21" s="2866"/>
      <c r="EOF21" s="2827"/>
      <c r="EOG21" s="2867"/>
      <c r="EOH21" s="2866"/>
      <c r="EOI21" s="2827"/>
      <c r="EOJ21" s="2867"/>
      <c r="EOK21" s="2866"/>
      <c r="EOL21" s="2827"/>
      <c r="EOM21" s="2867"/>
      <c r="EON21" s="2866"/>
      <c r="EOO21" s="2827"/>
      <c r="EOP21" s="2867"/>
      <c r="EOQ21" s="2866"/>
      <c r="EOR21" s="2827"/>
      <c r="EOS21" s="2867"/>
      <c r="EOT21" s="2866"/>
      <c r="EOU21" s="2827"/>
      <c r="EOV21" s="2867"/>
      <c r="EOW21" s="2866"/>
      <c r="EOX21" s="2827"/>
      <c r="EOY21" s="2867"/>
      <c r="EOZ21" s="2866"/>
      <c r="EPA21" s="2827"/>
      <c r="EPB21" s="2867"/>
      <c r="EPC21" s="2866"/>
      <c r="EPD21" s="2827"/>
      <c r="EPE21" s="2867"/>
      <c r="EPF21" s="2866"/>
      <c r="EPG21" s="2827"/>
      <c r="EPH21" s="2867"/>
      <c r="EPI21" s="2866"/>
      <c r="EPJ21" s="2827"/>
      <c r="EPK21" s="2867"/>
      <c r="EPL21" s="2866"/>
      <c r="EPM21" s="2827"/>
      <c r="EPN21" s="2867"/>
      <c r="EPO21" s="2866"/>
      <c r="EPP21" s="2827"/>
      <c r="EPQ21" s="2867"/>
      <c r="EPR21" s="2866"/>
      <c r="EPS21" s="2827"/>
      <c r="EPT21" s="2867"/>
      <c r="EPU21" s="2866"/>
      <c r="EPV21" s="2827"/>
      <c r="EPW21" s="2867"/>
      <c r="EPX21" s="2866"/>
      <c r="EPY21" s="2827"/>
      <c r="EPZ21" s="2867"/>
      <c r="EQA21" s="2866"/>
      <c r="EQB21" s="2827"/>
      <c r="EQC21" s="2867"/>
      <c r="EQD21" s="2866"/>
      <c r="EQE21" s="2827"/>
      <c r="EQF21" s="2867"/>
      <c r="EQG21" s="2866"/>
      <c r="EQH21" s="2827"/>
      <c r="EQI21" s="2867"/>
      <c r="EQJ21" s="2866"/>
      <c r="EQK21" s="2827"/>
      <c r="EQL21" s="2867"/>
      <c r="EQM21" s="2866"/>
      <c r="EQN21" s="2827"/>
      <c r="EQO21" s="2867"/>
      <c r="EQP21" s="2866"/>
      <c r="EQQ21" s="2827"/>
      <c r="EQR21" s="2867"/>
      <c r="EQS21" s="2866"/>
      <c r="EQT21" s="2827"/>
      <c r="EQU21" s="2867"/>
      <c r="EQV21" s="2866"/>
      <c r="EQW21" s="2827"/>
      <c r="EQX21" s="2867"/>
      <c r="EQY21" s="2866"/>
      <c r="EQZ21" s="2827"/>
      <c r="ERA21" s="2867"/>
      <c r="ERB21" s="2866"/>
      <c r="ERC21" s="2827"/>
      <c r="ERD21" s="2867"/>
      <c r="ERE21" s="2866"/>
      <c r="ERF21" s="2827"/>
      <c r="ERG21" s="2867"/>
      <c r="ERH21" s="2866"/>
      <c r="ERI21" s="2827"/>
      <c r="ERJ21" s="2867"/>
      <c r="ERK21" s="2866"/>
      <c r="ERL21" s="2827"/>
      <c r="ERM21" s="2867"/>
      <c r="ERN21" s="2866"/>
      <c r="ERO21" s="2827"/>
      <c r="ERP21" s="2867"/>
      <c r="ERQ21" s="2866"/>
      <c r="ERR21" s="2827"/>
      <c r="ERS21" s="2867"/>
      <c r="ERT21" s="2866"/>
      <c r="ERU21" s="2827"/>
      <c r="ERV21" s="2867"/>
      <c r="ERW21" s="2866"/>
      <c r="ERX21" s="2827"/>
      <c r="ERY21" s="2867"/>
      <c r="ERZ21" s="2866"/>
      <c r="ESA21" s="2827"/>
      <c r="ESB21" s="2867"/>
      <c r="ESC21" s="2866"/>
      <c r="ESD21" s="2827"/>
      <c r="ESE21" s="2867"/>
      <c r="ESF21" s="2866"/>
      <c r="ESG21" s="2827"/>
      <c r="ESH21" s="2867"/>
      <c r="ESI21" s="2866"/>
      <c r="ESJ21" s="2827"/>
      <c r="ESK21" s="2867"/>
      <c r="ESL21" s="2866"/>
      <c r="ESM21" s="2827"/>
      <c r="ESN21" s="2867"/>
      <c r="ESO21" s="2866"/>
      <c r="ESP21" s="2827"/>
      <c r="ESQ21" s="2867"/>
      <c r="ESR21" s="2866"/>
      <c r="ESS21" s="2827"/>
      <c r="EST21" s="2867"/>
      <c r="ESU21" s="2866"/>
      <c r="ESV21" s="2827"/>
      <c r="ESW21" s="2867"/>
      <c r="ESX21" s="2866"/>
      <c r="ESY21" s="2827"/>
      <c r="ESZ21" s="2867"/>
      <c r="ETA21" s="2866"/>
      <c r="ETB21" s="2827"/>
      <c r="ETC21" s="2867"/>
      <c r="ETD21" s="2866"/>
      <c r="ETE21" s="2827"/>
      <c r="ETF21" s="2867"/>
      <c r="ETG21" s="2866"/>
      <c r="ETH21" s="2827"/>
      <c r="ETI21" s="2867"/>
      <c r="ETJ21" s="2866"/>
      <c r="ETK21" s="2827"/>
      <c r="ETL21" s="2867"/>
      <c r="ETM21" s="2866"/>
      <c r="ETN21" s="2827"/>
      <c r="ETO21" s="2867"/>
      <c r="ETP21" s="2866"/>
      <c r="ETQ21" s="2827"/>
      <c r="ETR21" s="2867"/>
      <c r="ETS21" s="2866"/>
      <c r="ETT21" s="2827"/>
      <c r="ETU21" s="2867"/>
      <c r="ETV21" s="2866"/>
      <c r="ETW21" s="2827"/>
      <c r="ETX21" s="2867"/>
      <c r="ETY21" s="2866"/>
      <c r="ETZ21" s="2827"/>
      <c r="EUA21" s="2867"/>
      <c r="EUB21" s="2866"/>
      <c r="EUC21" s="2827"/>
      <c r="EUD21" s="2867"/>
      <c r="EUE21" s="2866"/>
      <c r="EUF21" s="2827"/>
      <c r="EUG21" s="2867"/>
      <c r="EUH21" s="2866"/>
      <c r="EUI21" s="2827"/>
      <c r="EUJ21" s="2867"/>
      <c r="EUK21" s="2866"/>
      <c r="EUL21" s="2827"/>
      <c r="EUM21" s="2867"/>
      <c r="EUN21" s="2866"/>
      <c r="EUO21" s="2827"/>
      <c r="EUP21" s="2867"/>
      <c r="EUQ21" s="2866"/>
      <c r="EUR21" s="2827"/>
      <c r="EUS21" s="2867"/>
      <c r="EUT21" s="2866"/>
      <c r="EUU21" s="2827"/>
      <c r="EUV21" s="2867"/>
      <c r="EUW21" s="2866"/>
      <c r="EUX21" s="2827"/>
      <c r="EUY21" s="2867"/>
      <c r="EUZ21" s="2866"/>
      <c r="EVA21" s="2827"/>
      <c r="EVB21" s="2867"/>
      <c r="EVC21" s="2866"/>
      <c r="EVD21" s="2827"/>
      <c r="EVE21" s="2867"/>
      <c r="EVF21" s="2866"/>
      <c r="EVG21" s="2827"/>
      <c r="EVH21" s="2867"/>
      <c r="EVI21" s="2866"/>
      <c r="EVJ21" s="2827"/>
      <c r="EVK21" s="2867"/>
      <c r="EVL21" s="2866"/>
      <c r="EVM21" s="2827"/>
      <c r="EVN21" s="2867"/>
      <c r="EVO21" s="2866"/>
      <c r="EVP21" s="2827"/>
      <c r="EVQ21" s="2867"/>
      <c r="EVR21" s="2866"/>
      <c r="EVS21" s="2827"/>
      <c r="EVT21" s="2867"/>
      <c r="EVU21" s="2866"/>
      <c r="EVV21" s="2827"/>
      <c r="EVW21" s="2867"/>
      <c r="EVX21" s="2866"/>
      <c r="EVY21" s="2827"/>
      <c r="EVZ21" s="2867"/>
      <c r="EWA21" s="2866"/>
      <c r="EWB21" s="2827"/>
      <c r="EWC21" s="2867"/>
      <c r="EWD21" s="2866"/>
      <c r="EWE21" s="2827"/>
      <c r="EWF21" s="2867"/>
      <c r="EWG21" s="2866"/>
      <c r="EWH21" s="2827"/>
      <c r="EWI21" s="2867"/>
      <c r="EWJ21" s="2866"/>
      <c r="EWK21" s="2827"/>
      <c r="EWL21" s="2867"/>
      <c r="EWM21" s="2866"/>
      <c r="EWN21" s="2827"/>
      <c r="EWO21" s="2867"/>
      <c r="EWP21" s="2866"/>
      <c r="EWQ21" s="2827"/>
      <c r="EWR21" s="2867"/>
      <c r="EWS21" s="2866"/>
      <c r="EWT21" s="2827"/>
      <c r="EWU21" s="2867"/>
      <c r="EWV21" s="2866"/>
      <c r="EWW21" s="2827"/>
      <c r="EWX21" s="2867"/>
      <c r="EWY21" s="2866"/>
      <c r="EWZ21" s="2827"/>
      <c r="EXA21" s="2867"/>
      <c r="EXB21" s="2866"/>
      <c r="EXC21" s="2827"/>
      <c r="EXD21" s="2867"/>
      <c r="EXE21" s="2866"/>
      <c r="EXF21" s="2827"/>
      <c r="EXG21" s="2867"/>
      <c r="EXH21" s="2866"/>
      <c r="EXI21" s="2827"/>
      <c r="EXJ21" s="2867"/>
      <c r="EXK21" s="2866"/>
      <c r="EXL21" s="2827"/>
      <c r="EXM21" s="2867"/>
      <c r="EXN21" s="2866"/>
      <c r="EXO21" s="2827"/>
      <c r="EXP21" s="2867"/>
      <c r="EXQ21" s="2866"/>
      <c r="EXR21" s="2827"/>
      <c r="EXS21" s="2867"/>
      <c r="EXT21" s="2866"/>
      <c r="EXU21" s="2827"/>
      <c r="EXV21" s="2867"/>
      <c r="EXW21" s="2866"/>
      <c r="EXX21" s="2827"/>
      <c r="EXY21" s="2867"/>
      <c r="EXZ21" s="2866"/>
      <c r="EYA21" s="2827"/>
      <c r="EYB21" s="2867"/>
      <c r="EYC21" s="2866"/>
      <c r="EYD21" s="2827"/>
      <c r="EYE21" s="2867"/>
      <c r="EYF21" s="2866"/>
      <c r="EYG21" s="2827"/>
      <c r="EYH21" s="2867"/>
      <c r="EYI21" s="2866"/>
      <c r="EYJ21" s="2827"/>
      <c r="EYK21" s="2867"/>
      <c r="EYL21" s="2866"/>
      <c r="EYM21" s="2827"/>
      <c r="EYN21" s="2867"/>
      <c r="EYO21" s="2866"/>
      <c r="EYP21" s="2827"/>
      <c r="EYQ21" s="2867"/>
      <c r="EYR21" s="2866"/>
      <c r="EYS21" s="2827"/>
      <c r="EYT21" s="2867"/>
      <c r="EYU21" s="2866"/>
      <c r="EYV21" s="2827"/>
      <c r="EYW21" s="2867"/>
      <c r="EYX21" s="2866"/>
      <c r="EYY21" s="2827"/>
      <c r="EYZ21" s="2867"/>
      <c r="EZA21" s="2866"/>
      <c r="EZB21" s="2827"/>
      <c r="EZC21" s="2867"/>
      <c r="EZD21" s="2866"/>
      <c r="EZE21" s="2827"/>
      <c r="EZF21" s="2867"/>
      <c r="EZG21" s="2866"/>
      <c r="EZH21" s="2827"/>
      <c r="EZI21" s="2867"/>
      <c r="EZJ21" s="2866"/>
      <c r="EZK21" s="2827"/>
      <c r="EZL21" s="2867"/>
      <c r="EZM21" s="2866"/>
      <c r="EZN21" s="2827"/>
      <c r="EZO21" s="2867"/>
      <c r="EZP21" s="2866"/>
      <c r="EZQ21" s="2827"/>
      <c r="EZR21" s="2867"/>
      <c r="EZS21" s="2866"/>
      <c r="EZT21" s="2827"/>
      <c r="EZU21" s="2867"/>
      <c r="EZV21" s="2866"/>
      <c r="EZW21" s="2827"/>
      <c r="EZX21" s="2867"/>
      <c r="EZY21" s="2866"/>
      <c r="EZZ21" s="2827"/>
      <c r="FAA21" s="2867"/>
      <c r="FAB21" s="2866"/>
      <c r="FAC21" s="2827"/>
      <c r="FAD21" s="2867"/>
      <c r="FAE21" s="2866"/>
      <c r="FAF21" s="2827"/>
      <c r="FAG21" s="2867"/>
      <c r="FAH21" s="2866"/>
      <c r="FAI21" s="2827"/>
      <c r="FAJ21" s="2867"/>
      <c r="FAK21" s="2866"/>
      <c r="FAL21" s="2827"/>
      <c r="FAM21" s="2867"/>
      <c r="FAN21" s="2866"/>
      <c r="FAO21" s="2827"/>
      <c r="FAP21" s="2867"/>
      <c r="FAQ21" s="2866"/>
      <c r="FAR21" s="2827"/>
      <c r="FAS21" s="2867"/>
      <c r="FAT21" s="2866"/>
      <c r="FAU21" s="2827"/>
      <c r="FAV21" s="2867"/>
      <c r="FAW21" s="2866"/>
      <c r="FAX21" s="2827"/>
      <c r="FAY21" s="2867"/>
      <c r="FAZ21" s="2866"/>
      <c r="FBA21" s="2827"/>
      <c r="FBB21" s="2867"/>
      <c r="FBC21" s="2866"/>
      <c r="FBD21" s="2827"/>
      <c r="FBE21" s="2867"/>
      <c r="FBF21" s="2866"/>
      <c r="FBG21" s="2827"/>
      <c r="FBH21" s="2867"/>
      <c r="FBI21" s="2866"/>
      <c r="FBJ21" s="2827"/>
      <c r="FBK21" s="2867"/>
      <c r="FBL21" s="2866"/>
      <c r="FBM21" s="2827"/>
      <c r="FBN21" s="2867"/>
      <c r="FBO21" s="2866"/>
      <c r="FBP21" s="2827"/>
      <c r="FBQ21" s="2867"/>
      <c r="FBR21" s="2866"/>
      <c r="FBS21" s="2827"/>
      <c r="FBT21" s="2867"/>
      <c r="FBU21" s="2866"/>
      <c r="FBV21" s="2827"/>
      <c r="FBW21" s="2867"/>
      <c r="FBX21" s="2866"/>
      <c r="FBY21" s="2827"/>
      <c r="FBZ21" s="2867"/>
      <c r="FCA21" s="2866"/>
      <c r="FCB21" s="2827"/>
      <c r="FCC21" s="2867"/>
      <c r="FCD21" s="2866"/>
      <c r="FCE21" s="2827"/>
      <c r="FCF21" s="2867"/>
      <c r="FCG21" s="2866"/>
      <c r="FCH21" s="2827"/>
      <c r="FCI21" s="2867"/>
      <c r="FCJ21" s="2866"/>
      <c r="FCK21" s="2827"/>
      <c r="FCL21" s="2867"/>
      <c r="FCM21" s="2866"/>
      <c r="FCN21" s="2827"/>
      <c r="FCO21" s="2867"/>
      <c r="FCP21" s="2866"/>
      <c r="FCQ21" s="2827"/>
      <c r="FCR21" s="2867"/>
      <c r="FCS21" s="2866"/>
      <c r="FCT21" s="2827"/>
      <c r="FCU21" s="2867"/>
      <c r="FCV21" s="2866"/>
      <c r="FCW21" s="2827"/>
      <c r="FCX21" s="2867"/>
      <c r="FCY21" s="2866"/>
      <c r="FCZ21" s="2827"/>
      <c r="FDA21" s="2867"/>
      <c r="FDB21" s="2866"/>
      <c r="FDC21" s="2827"/>
      <c r="FDD21" s="2867"/>
      <c r="FDE21" s="2866"/>
      <c r="FDF21" s="2827"/>
      <c r="FDG21" s="2867"/>
      <c r="FDH21" s="2866"/>
      <c r="FDI21" s="2827"/>
      <c r="FDJ21" s="2867"/>
      <c r="FDK21" s="2866"/>
      <c r="FDL21" s="2827"/>
      <c r="FDM21" s="2867"/>
      <c r="FDN21" s="2866"/>
      <c r="FDO21" s="2827"/>
      <c r="FDP21" s="2867"/>
      <c r="FDQ21" s="2866"/>
      <c r="FDR21" s="2827"/>
      <c r="FDS21" s="2867"/>
      <c r="FDT21" s="2866"/>
      <c r="FDU21" s="2827"/>
      <c r="FDV21" s="2867"/>
      <c r="FDW21" s="2866"/>
      <c r="FDX21" s="2827"/>
      <c r="FDY21" s="2867"/>
      <c r="FDZ21" s="2866"/>
      <c r="FEA21" s="2827"/>
      <c r="FEB21" s="2867"/>
      <c r="FEC21" s="2866"/>
      <c r="FED21" s="2827"/>
      <c r="FEE21" s="2867"/>
      <c r="FEF21" s="2866"/>
      <c r="FEG21" s="2827"/>
      <c r="FEH21" s="2867"/>
      <c r="FEI21" s="2866"/>
      <c r="FEJ21" s="2827"/>
      <c r="FEK21" s="2867"/>
      <c r="FEL21" s="2866"/>
      <c r="FEM21" s="2827"/>
      <c r="FEN21" s="2867"/>
      <c r="FEO21" s="2866"/>
      <c r="FEP21" s="2827"/>
      <c r="FEQ21" s="2867"/>
      <c r="FER21" s="2866"/>
      <c r="FES21" s="2827"/>
      <c r="FET21" s="2867"/>
      <c r="FEU21" s="2866"/>
      <c r="FEV21" s="2827"/>
      <c r="FEW21" s="2867"/>
      <c r="FEX21" s="2866"/>
      <c r="FEY21" s="2827"/>
      <c r="FEZ21" s="2867"/>
      <c r="FFA21" s="2866"/>
      <c r="FFB21" s="2827"/>
      <c r="FFC21" s="2867"/>
      <c r="FFD21" s="2866"/>
      <c r="FFE21" s="2827"/>
      <c r="FFF21" s="2867"/>
      <c r="FFG21" s="2866"/>
      <c r="FFH21" s="2827"/>
      <c r="FFI21" s="2867"/>
      <c r="FFJ21" s="2866"/>
      <c r="FFK21" s="2827"/>
      <c r="FFL21" s="2867"/>
      <c r="FFM21" s="2866"/>
      <c r="FFN21" s="2827"/>
      <c r="FFO21" s="2867"/>
      <c r="FFP21" s="2866"/>
      <c r="FFQ21" s="2827"/>
      <c r="FFR21" s="2867"/>
      <c r="FFS21" s="2866"/>
      <c r="FFT21" s="2827"/>
      <c r="FFU21" s="2867"/>
      <c r="FFV21" s="2866"/>
      <c r="FFW21" s="2827"/>
      <c r="FFX21" s="2867"/>
      <c r="FFY21" s="2866"/>
      <c r="FFZ21" s="2827"/>
      <c r="FGA21" s="2867"/>
      <c r="FGB21" s="2866"/>
      <c r="FGC21" s="2827"/>
      <c r="FGD21" s="2867"/>
      <c r="FGE21" s="2866"/>
      <c r="FGF21" s="2827"/>
      <c r="FGG21" s="2867"/>
      <c r="FGH21" s="2866"/>
      <c r="FGI21" s="2827"/>
      <c r="FGJ21" s="2867"/>
      <c r="FGK21" s="2866"/>
      <c r="FGL21" s="2827"/>
      <c r="FGM21" s="2867"/>
      <c r="FGN21" s="2866"/>
      <c r="FGO21" s="2827"/>
      <c r="FGP21" s="2867"/>
      <c r="FGQ21" s="2866"/>
      <c r="FGR21" s="2827"/>
      <c r="FGS21" s="2867"/>
      <c r="FGT21" s="2866"/>
      <c r="FGU21" s="2827"/>
      <c r="FGV21" s="2867"/>
      <c r="FGW21" s="2866"/>
      <c r="FGX21" s="2827"/>
      <c r="FGY21" s="2867"/>
      <c r="FGZ21" s="2866"/>
      <c r="FHA21" s="2827"/>
      <c r="FHB21" s="2867"/>
      <c r="FHC21" s="2866"/>
      <c r="FHD21" s="2827"/>
      <c r="FHE21" s="2867"/>
      <c r="FHF21" s="2866"/>
      <c r="FHG21" s="2827"/>
      <c r="FHH21" s="2867"/>
      <c r="FHI21" s="2866"/>
      <c r="FHJ21" s="2827"/>
      <c r="FHK21" s="2867"/>
      <c r="FHL21" s="2866"/>
      <c r="FHM21" s="2827"/>
      <c r="FHN21" s="2867"/>
      <c r="FHO21" s="2866"/>
      <c r="FHP21" s="2827"/>
      <c r="FHQ21" s="2867"/>
      <c r="FHR21" s="2866"/>
      <c r="FHS21" s="2827"/>
      <c r="FHT21" s="2867"/>
      <c r="FHU21" s="2866"/>
      <c r="FHV21" s="2827"/>
      <c r="FHW21" s="2867"/>
      <c r="FHX21" s="2866"/>
      <c r="FHY21" s="2827"/>
      <c r="FHZ21" s="2867"/>
      <c r="FIA21" s="2866"/>
      <c r="FIB21" s="2827"/>
      <c r="FIC21" s="2867"/>
      <c r="FID21" s="2866"/>
      <c r="FIE21" s="2827"/>
      <c r="FIF21" s="2867"/>
      <c r="FIG21" s="2866"/>
      <c r="FIH21" s="2827"/>
      <c r="FII21" s="2867"/>
      <c r="FIJ21" s="2866"/>
      <c r="FIK21" s="2827"/>
      <c r="FIL21" s="2867"/>
      <c r="FIM21" s="2866"/>
      <c r="FIN21" s="2827"/>
      <c r="FIO21" s="2867"/>
      <c r="FIP21" s="2866"/>
      <c r="FIQ21" s="2827"/>
      <c r="FIR21" s="2867"/>
      <c r="FIS21" s="2866"/>
      <c r="FIT21" s="2827"/>
      <c r="FIU21" s="2867"/>
      <c r="FIV21" s="2866"/>
      <c r="FIW21" s="2827"/>
      <c r="FIX21" s="2867"/>
      <c r="FIY21" s="2866"/>
      <c r="FIZ21" s="2827"/>
      <c r="FJA21" s="2867"/>
      <c r="FJB21" s="2866"/>
      <c r="FJC21" s="2827"/>
      <c r="FJD21" s="2867"/>
      <c r="FJE21" s="2866"/>
      <c r="FJF21" s="2827"/>
      <c r="FJG21" s="2867"/>
      <c r="FJH21" s="2866"/>
      <c r="FJI21" s="2827"/>
      <c r="FJJ21" s="2867"/>
      <c r="FJK21" s="2866"/>
      <c r="FJL21" s="2827"/>
      <c r="FJM21" s="2867"/>
      <c r="FJN21" s="2866"/>
      <c r="FJO21" s="2827"/>
      <c r="FJP21" s="2867"/>
      <c r="FJQ21" s="2866"/>
      <c r="FJR21" s="2827"/>
      <c r="FJS21" s="2867"/>
      <c r="FJT21" s="2866"/>
      <c r="FJU21" s="2827"/>
      <c r="FJV21" s="2867"/>
      <c r="FJW21" s="2866"/>
      <c r="FJX21" s="2827"/>
      <c r="FJY21" s="2867"/>
      <c r="FJZ21" s="2866"/>
      <c r="FKA21" s="2827"/>
      <c r="FKB21" s="2867"/>
      <c r="FKC21" s="2866"/>
      <c r="FKD21" s="2827"/>
      <c r="FKE21" s="2867"/>
      <c r="FKF21" s="2866"/>
      <c r="FKG21" s="2827"/>
      <c r="FKH21" s="2867"/>
      <c r="FKI21" s="2866"/>
      <c r="FKJ21" s="2827"/>
      <c r="FKK21" s="2867"/>
      <c r="FKL21" s="2866"/>
      <c r="FKM21" s="2827"/>
      <c r="FKN21" s="2867"/>
      <c r="FKO21" s="2866"/>
      <c r="FKP21" s="2827"/>
      <c r="FKQ21" s="2867"/>
      <c r="FKR21" s="2866"/>
      <c r="FKS21" s="2827"/>
      <c r="FKT21" s="2867"/>
      <c r="FKU21" s="2866"/>
      <c r="FKV21" s="2827"/>
      <c r="FKW21" s="2867"/>
      <c r="FKX21" s="2866"/>
      <c r="FKY21" s="2827"/>
      <c r="FKZ21" s="2867"/>
      <c r="FLA21" s="2866"/>
      <c r="FLB21" s="2827"/>
      <c r="FLC21" s="2867"/>
      <c r="FLD21" s="2866"/>
      <c r="FLE21" s="2827"/>
      <c r="FLF21" s="2867"/>
      <c r="FLG21" s="2866"/>
      <c r="FLH21" s="2827"/>
      <c r="FLI21" s="2867"/>
      <c r="FLJ21" s="2866"/>
      <c r="FLK21" s="2827"/>
      <c r="FLL21" s="2867"/>
      <c r="FLM21" s="2866"/>
      <c r="FLN21" s="2827"/>
      <c r="FLO21" s="2867"/>
      <c r="FLP21" s="2866"/>
      <c r="FLQ21" s="2827"/>
      <c r="FLR21" s="2867"/>
      <c r="FLS21" s="2866"/>
      <c r="FLT21" s="2827"/>
      <c r="FLU21" s="2867"/>
      <c r="FLV21" s="2866"/>
      <c r="FLW21" s="2827"/>
      <c r="FLX21" s="2867"/>
      <c r="FLY21" s="2866"/>
      <c r="FLZ21" s="2827"/>
      <c r="FMA21" s="2867"/>
      <c r="FMB21" s="2866"/>
      <c r="FMC21" s="2827"/>
      <c r="FMD21" s="2867"/>
      <c r="FME21" s="2866"/>
      <c r="FMF21" s="2827"/>
      <c r="FMG21" s="2867"/>
      <c r="FMH21" s="2866"/>
      <c r="FMI21" s="2827"/>
      <c r="FMJ21" s="2867"/>
      <c r="FMK21" s="2866"/>
      <c r="FML21" s="2827"/>
      <c r="FMM21" s="2867"/>
      <c r="FMN21" s="2866"/>
      <c r="FMO21" s="2827"/>
      <c r="FMP21" s="2867"/>
      <c r="FMQ21" s="2866"/>
      <c r="FMR21" s="2827"/>
      <c r="FMS21" s="2867"/>
      <c r="FMT21" s="2866"/>
      <c r="FMU21" s="2827"/>
      <c r="FMV21" s="2867"/>
      <c r="FMW21" s="2866"/>
      <c r="FMX21" s="2827"/>
      <c r="FMY21" s="2867"/>
      <c r="FMZ21" s="2866"/>
      <c r="FNA21" s="2827"/>
      <c r="FNB21" s="2867"/>
      <c r="FNC21" s="2866"/>
      <c r="FND21" s="2827"/>
      <c r="FNE21" s="2867"/>
      <c r="FNF21" s="2866"/>
      <c r="FNG21" s="2827"/>
      <c r="FNH21" s="2867"/>
      <c r="FNI21" s="2866"/>
      <c r="FNJ21" s="2827"/>
      <c r="FNK21" s="2867"/>
      <c r="FNL21" s="2866"/>
      <c r="FNM21" s="2827"/>
      <c r="FNN21" s="2867"/>
      <c r="FNO21" s="2866"/>
      <c r="FNP21" s="2827"/>
      <c r="FNQ21" s="2867"/>
      <c r="FNR21" s="2866"/>
      <c r="FNS21" s="2827"/>
      <c r="FNT21" s="2867"/>
      <c r="FNU21" s="2866"/>
      <c r="FNV21" s="2827"/>
      <c r="FNW21" s="2867"/>
      <c r="FNX21" s="2866"/>
      <c r="FNY21" s="2827"/>
      <c r="FNZ21" s="2867"/>
      <c r="FOA21" s="2866"/>
      <c r="FOB21" s="2827"/>
      <c r="FOC21" s="2867"/>
      <c r="FOD21" s="2866"/>
      <c r="FOE21" s="2827"/>
      <c r="FOF21" s="2867"/>
      <c r="FOG21" s="2866"/>
      <c r="FOH21" s="2827"/>
      <c r="FOI21" s="2867"/>
      <c r="FOJ21" s="2866"/>
      <c r="FOK21" s="2827"/>
      <c r="FOL21" s="2867"/>
      <c r="FOM21" s="2866"/>
      <c r="FON21" s="2827"/>
      <c r="FOO21" s="2867"/>
      <c r="FOP21" s="2866"/>
      <c r="FOQ21" s="2827"/>
      <c r="FOR21" s="2867"/>
      <c r="FOS21" s="2866"/>
      <c r="FOT21" s="2827"/>
      <c r="FOU21" s="2867"/>
      <c r="FOV21" s="2866"/>
      <c r="FOW21" s="2827"/>
      <c r="FOX21" s="2867"/>
      <c r="FOY21" s="2866"/>
      <c r="FOZ21" s="2827"/>
      <c r="FPA21" s="2867"/>
      <c r="FPB21" s="2866"/>
      <c r="FPC21" s="2827"/>
      <c r="FPD21" s="2867"/>
      <c r="FPE21" s="2866"/>
      <c r="FPF21" s="2827"/>
      <c r="FPG21" s="2867"/>
      <c r="FPH21" s="2866"/>
      <c r="FPI21" s="2827"/>
      <c r="FPJ21" s="2867"/>
      <c r="FPK21" s="2866"/>
      <c r="FPL21" s="2827"/>
      <c r="FPM21" s="2867"/>
      <c r="FPN21" s="2866"/>
      <c r="FPO21" s="2827"/>
      <c r="FPP21" s="2867"/>
      <c r="FPQ21" s="2866"/>
      <c r="FPR21" s="2827"/>
      <c r="FPS21" s="2867"/>
      <c r="FPT21" s="2866"/>
      <c r="FPU21" s="2827"/>
      <c r="FPV21" s="2867"/>
      <c r="FPW21" s="2866"/>
      <c r="FPX21" s="2827"/>
      <c r="FPY21" s="2867"/>
      <c r="FPZ21" s="2866"/>
      <c r="FQA21" s="2827"/>
      <c r="FQB21" s="2867"/>
      <c r="FQC21" s="2866"/>
      <c r="FQD21" s="2827"/>
      <c r="FQE21" s="2867"/>
      <c r="FQF21" s="2866"/>
      <c r="FQG21" s="2827"/>
      <c r="FQH21" s="2867"/>
      <c r="FQI21" s="2866"/>
      <c r="FQJ21" s="2827"/>
      <c r="FQK21" s="2867"/>
      <c r="FQL21" s="2866"/>
      <c r="FQM21" s="2827"/>
      <c r="FQN21" s="2867"/>
      <c r="FQO21" s="2866"/>
      <c r="FQP21" s="2827"/>
      <c r="FQQ21" s="2867"/>
      <c r="FQR21" s="2866"/>
      <c r="FQS21" s="2827"/>
      <c r="FQT21" s="2867"/>
      <c r="FQU21" s="2866"/>
      <c r="FQV21" s="2827"/>
      <c r="FQW21" s="2867"/>
      <c r="FQX21" s="2866"/>
      <c r="FQY21" s="2827"/>
      <c r="FQZ21" s="2867"/>
      <c r="FRA21" s="2866"/>
      <c r="FRB21" s="2827"/>
      <c r="FRC21" s="2867"/>
      <c r="FRD21" s="2866"/>
      <c r="FRE21" s="2827"/>
      <c r="FRF21" s="2867"/>
      <c r="FRG21" s="2866"/>
      <c r="FRH21" s="2827"/>
      <c r="FRI21" s="2867"/>
      <c r="FRJ21" s="2866"/>
      <c r="FRK21" s="2827"/>
      <c r="FRL21" s="2867"/>
      <c r="FRM21" s="2866"/>
      <c r="FRN21" s="2827"/>
      <c r="FRO21" s="2867"/>
      <c r="FRP21" s="2866"/>
      <c r="FRQ21" s="2827"/>
      <c r="FRR21" s="2867"/>
      <c r="FRS21" s="2866"/>
      <c r="FRT21" s="2827"/>
      <c r="FRU21" s="2867"/>
      <c r="FRV21" s="2866"/>
      <c r="FRW21" s="2827"/>
      <c r="FRX21" s="2867"/>
      <c r="FRY21" s="2866"/>
      <c r="FRZ21" s="2827"/>
      <c r="FSA21" s="2867"/>
      <c r="FSB21" s="2866"/>
      <c r="FSC21" s="2827"/>
      <c r="FSD21" s="2867"/>
      <c r="FSE21" s="2866"/>
      <c r="FSF21" s="2827"/>
      <c r="FSG21" s="2867"/>
      <c r="FSH21" s="2866"/>
      <c r="FSI21" s="2827"/>
      <c r="FSJ21" s="2867"/>
      <c r="FSK21" s="2866"/>
      <c r="FSL21" s="2827"/>
      <c r="FSM21" s="2867"/>
      <c r="FSN21" s="2866"/>
      <c r="FSO21" s="2827"/>
      <c r="FSP21" s="2867"/>
      <c r="FSQ21" s="2866"/>
      <c r="FSR21" s="2827"/>
      <c r="FSS21" s="2867"/>
      <c r="FST21" s="2866"/>
      <c r="FSU21" s="2827"/>
      <c r="FSV21" s="2867"/>
      <c r="FSW21" s="2866"/>
      <c r="FSX21" s="2827"/>
      <c r="FSY21" s="2867"/>
      <c r="FSZ21" s="2866"/>
      <c r="FTA21" s="2827"/>
      <c r="FTB21" s="2867"/>
      <c r="FTC21" s="2866"/>
      <c r="FTD21" s="2827"/>
      <c r="FTE21" s="2867"/>
      <c r="FTF21" s="2866"/>
      <c r="FTG21" s="2827"/>
      <c r="FTH21" s="2867"/>
      <c r="FTI21" s="2866"/>
      <c r="FTJ21" s="2827"/>
      <c r="FTK21" s="2867"/>
      <c r="FTL21" s="2866"/>
      <c r="FTM21" s="2827"/>
      <c r="FTN21" s="2867"/>
      <c r="FTO21" s="2866"/>
      <c r="FTP21" s="2827"/>
      <c r="FTQ21" s="2867"/>
      <c r="FTR21" s="2866"/>
      <c r="FTS21" s="2827"/>
      <c r="FTT21" s="2867"/>
      <c r="FTU21" s="2866"/>
      <c r="FTV21" s="2827"/>
      <c r="FTW21" s="2867"/>
      <c r="FTX21" s="2866"/>
      <c r="FTY21" s="2827"/>
      <c r="FTZ21" s="2867"/>
      <c r="FUA21" s="2866"/>
      <c r="FUB21" s="2827"/>
      <c r="FUC21" s="2867"/>
      <c r="FUD21" s="2866"/>
      <c r="FUE21" s="2827"/>
      <c r="FUF21" s="2867"/>
      <c r="FUG21" s="2866"/>
      <c r="FUH21" s="2827"/>
      <c r="FUI21" s="2867"/>
      <c r="FUJ21" s="2866"/>
      <c r="FUK21" s="2827"/>
      <c r="FUL21" s="2867"/>
      <c r="FUM21" s="2866"/>
      <c r="FUN21" s="2827"/>
      <c r="FUO21" s="2867"/>
      <c r="FUP21" s="2866"/>
      <c r="FUQ21" s="2827"/>
      <c r="FUR21" s="2867"/>
      <c r="FUS21" s="2866"/>
      <c r="FUT21" s="2827"/>
      <c r="FUU21" s="2867"/>
      <c r="FUV21" s="2866"/>
      <c r="FUW21" s="2827"/>
      <c r="FUX21" s="2867"/>
      <c r="FUY21" s="2866"/>
      <c r="FUZ21" s="2827"/>
      <c r="FVA21" s="2867"/>
      <c r="FVB21" s="2866"/>
      <c r="FVC21" s="2827"/>
      <c r="FVD21" s="2867"/>
      <c r="FVE21" s="2866"/>
      <c r="FVF21" s="2827"/>
      <c r="FVG21" s="2867"/>
      <c r="FVH21" s="2866"/>
      <c r="FVI21" s="2827"/>
      <c r="FVJ21" s="2867"/>
      <c r="FVK21" s="2866"/>
      <c r="FVL21" s="2827"/>
      <c r="FVM21" s="2867"/>
      <c r="FVN21" s="2866"/>
      <c r="FVO21" s="2827"/>
      <c r="FVP21" s="2867"/>
      <c r="FVQ21" s="2866"/>
      <c r="FVR21" s="2827"/>
      <c r="FVS21" s="2867"/>
      <c r="FVT21" s="2866"/>
      <c r="FVU21" s="2827"/>
      <c r="FVV21" s="2867"/>
      <c r="FVW21" s="2866"/>
      <c r="FVX21" s="2827"/>
      <c r="FVY21" s="2867"/>
      <c r="FVZ21" s="2866"/>
      <c r="FWA21" s="2827"/>
      <c r="FWB21" s="2867"/>
      <c r="FWC21" s="2866"/>
      <c r="FWD21" s="2827"/>
      <c r="FWE21" s="2867"/>
      <c r="FWF21" s="2866"/>
      <c r="FWG21" s="2827"/>
      <c r="FWH21" s="2867"/>
      <c r="FWI21" s="2866"/>
      <c r="FWJ21" s="2827"/>
      <c r="FWK21" s="2867"/>
      <c r="FWL21" s="2866"/>
      <c r="FWM21" s="2827"/>
      <c r="FWN21" s="2867"/>
      <c r="FWO21" s="2866"/>
      <c r="FWP21" s="2827"/>
      <c r="FWQ21" s="2867"/>
      <c r="FWR21" s="2866"/>
      <c r="FWS21" s="2827"/>
      <c r="FWT21" s="2867"/>
      <c r="FWU21" s="2866"/>
      <c r="FWV21" s="2827"/>
      <c r="FWW21" s="2867"/>
      <c r="FWX21" s="2866"/>
      <c r="FWY21" s="2827"/>
      <c r="FWZ21" s="2867"/>
      <c r="FXA21" s="2866"/>
      <c r="FXB21" s="2827"/>
      <c r="FXC21" s="2867"/>
      <c r="FXD21" s="2866"/>
      <c r="FXE21" s="2827"/>
      <c r="FXF21" s="2867"/>
      <c r="FXG21" s="2866"/>
      <c r="FXH21" s="2827"/>
      <c r="FXI21" s="2867"/>
      <c r="FXJ21" s="2866"/>
      <c r="FXK21" s="2827"/>
      <c r="FXL21" s="2867"/>
      <c r="FXM21" s="2866"/>
      <c r="FXN21" s="2827"/>
      <c r="FXO21" s="2867"/>
      <c r="FXP21" s="2866"/>
      <c r="FXQ21" s="2827"/>
      <c r="FXR21" s="2867"/>
      <c r="FXS21" s="2866"/>
      <c r="FXT21" s="2827"/>
      <c r="FXU21" s="2867"/>
      <c r="FXV21" s="2866"/>
      <c r="FXW21" s="2827"/>
      <c r="FXX21" s="2867"/>
      <c r="FXY21" s="2866"/>
      <c r="FXZ21" s="2827"/>
      <c r="FYA21" s="2867"/>
      <c r="FYB21" s="2866"/>
      <c r="FYC21" s="2827"/>
      <c r="FYD21" s="2867"/>
      <c r="FYE21" s="2866"/>
      <c r="FYF21" s="2827"/>
      <c r="FYG21" s="2867"/>
      <c r="FYH21" s="2866"/>
      <c r="FYI21" s="2827"/>
      <c r="FYJ21" s="2867"/>
      <c r="FYK21" s="2866"/>
      <c r="FYL21" s="2827"/>
      <c r="FYM21" s="2867"/>
      <c r="FYN21" s="2866"/>
      <c r="FYO21" s="2827"/>
      <c r="FYP21" s="2867"/>
      <c r="FYQ21" s="2866"/>
      <c r="FYR21" s="2827"/>
      <c r="FYS21" s="2867"/>
      <c r="FYT21" s="2866"/>
      <c r="FYU21" s="2827"/>
      <c r="FYV21" s="2867"/>
      <c r="FYW21" s="2866"/>
      <c r="FYX21" s="2827"/>
      <c r="FYY21" s="2867"/>
      <c r="FYZ21" s="2866"/>
      <c r="FZA21" s="2827"/>
      <c r="FZB21" s="2867"/>
      <c r="FZC21" s="2866"/>
      <c r="FZD21" s="2827"/>
      <c r="FZE21" s="2867"/>
      <c r="FZF21" s="2866"/>
      <c r="FZG21" s="2827"/>
      <c r="FZH21" s="2867"/>
      <c r="FZI21" s="2866"/>
      <c r="FZJ21" s="2827"/>
      <c r="FZK21" s="2867"/>
      <c r="FZL21" s="2866"/>
      <c r="FZM21" s="2827"/>
      <c r="FZN21" s="2867"/>
      <c r="FZO21" s="2866"/>
      <c r="FZP21" s="2827"/>
      <c r="FZQ21" s="2867"/>
      <c r="FZR21" s="2866"/>
      <c r="FZS21" s="2827"/>
      <c r="FZT21" s="2867"/>
      <c r="FZU21" s="2866"/>
      <c r="FZV21" s="2827"/>
      <c r="FZW21" s="2867"/>
      <c r="FZX21" s="2866"/>
      <c r="FZY21" s="2827"/>
      <c r="FZZ21" s="2867"/>
      <c r="GAA21" s="2866"/>
      <c r="GAB21" s="2827"/>
      <c r="GAC21" s="2867"/>
      <c r="GAD21" s="2866"/>
      <c r="GAE21" s="2827"/>
      <c r="GAF21" s="2867"/>
      <c r="GAG21" s="2866"/>
      <c r="GAH21" s="2827"/>
      <c r="GAI21" s="2867"/>
      <c r="GAJ21" s="2866"/>
      <c r="GAK21" s="2827"/>
      <c r="GAL21" s="2867"/>
      <c r="GAM21" s="2866"/>
      <c r="GAN21" s="2827"/>
      <c r="GAO21" s="2867"/>
      <c r="GAP21" s="2866"/>
      <c r="GAQ21" s="2827"/>
      <c r="GAR21" s="2867"/>
      <c r="GAS21" s="2866"/>
      <c r="GAT21" s="2827"/>
      <c r="GAU21" s="2867"/>
      <c r="GAV21" s="2866"/>
      <c r="GAW21" s="2827"/>
      <c r="GAX21" s="2867"/>
      <c r="GAY21" s="2866"/>
      <c r="GAZ21" s="2827"/>
      <c r="GBA21" s="2867"/>
      <c r="GBB21" s="2866"/>
      <c r="GBC21" s="2827"/>
      <c r="GBD21" s="2867"/>
      <c r="GBE21" s="2866"/>
      <c r="GBF21" s="2827"/>
      <c r="GBG21" s="2867"/>
      <c r="GBH21" s="2866"/>
      <c r="GBI21" s="2827"/>
      <c r="GBJ21" s="2867"/>
      <c r="GBK21" s="2866"/>
      <c r="GBL21" s="2827"/>
      <c r="GBM21" s="2867"/>
      <c r="GBN21" s="2866"/>
      <c r="GBO21" s="2827"/>
      <c r="GBP21" s="2867"/>
      <c r="GBQ21" s="2866"/>
      <c r="GBR21" s="2827"/>
      <c r="GBS21" s="2867"/>
      <c r="GBT21" s="2866"/>
      <c r="GBU21" s="2827"/>
      <c r="GBV21" s="2867"/>
      <c r="GBW21" s="2866"/>
      <c r="GBX21" s="2827"/>
      <c r="GBY21" s="2867"/>
      <c r="GBZ21" s="2866"/>
      <c r="GCA21" s="2827"/>
      <c r="GCB21" s="2867"/>
      <c r="GCC21" s="2866"/>
      <c r="GCD21" s="2827"/>
      <c r="GCE21" s="2867"/>
      <c r="GCF21" s="2866"/>
      <c r="GCG21" s="2827"/>
      <c r="GCH21" s="2867"/>
      <c r="GCI21" s="2866"/>
      <c r="GCJ21" s="2827"/>
      <c r="GCK21" s="2867"/>
      <c r="GCL21" s="2866"/>
      <c r="GCM21" s="2827"/>
      <c r="GCN21" s="2867"/>
      <c r="GCO21" s="2866"/>
      <c r="GCP21" s="2827"/>
      <c r="GCQ21" s="2867"/>
      <c r="GCR21" s="2866"/>
      <c r="GCS21" s="2827"/>
      <c r="GCT21" s="2867"/>
      <c r="GCU21" s="2866"/>
      <c r="GCV21" s="2827"/>
      <c r="GCW21" s="2867"/>
      <c r="GCX21" s="2866"/>
      <c r="GCY21" s="2827"/>
      <c r="GCZ21" s="2867"/>
      <c r="GDA21" s="2866"/>
      <c r="GDB21" s="2827"/>
      <c r="GDC21" s="2867"/>
      <c r="GDD21" s="2866"/>
      <c r="GDE21" s="2827"/>
      <c r="GDF21" s="2867"/>
      <c r="GDG21" s="2866"/>
      <c r="GDH21" s="2827"/>
      <c r="GDI21" s="2867"/>
      <c r="GDJ21" s="2866"/>
      <c r="GDK21" s="2827"/>
      <c r="GDL21" s="2867"/>
      <c r="GDM21" s="2866"/>
      <c r="GDN21" s="2827"/>
      <c r="GDO21" s="2867"/>
      <c r="GDP21" s="2866"/>
      <c r="GDQ21" s="2827"/>
      <c r="GDR21" s="2867"/>
      <c r="GDS21" s="2866"/>
      <c r="GDT21" s="2827"/>
      <c r="GDU21" s="2867"/>
      <c r="GDV21" s="2866"/>
      <c r="GDW21" s="2827"/>
      <c r="GDX21" s="2867"/>
      <c r="GDY21" s="2866"/>
      <c r="GDZ21" s="2827"/>
      <c r="GEA21" s="2867"/>
      <c r="GEB21" s="2866"/>
      <c r="GEC21" s="2827"/>
      <c r="GED21" s="2867"/>
      <c r="GEE21" s="2866"/>
      <c r="GEF21" s="2827"/>
      <c r="GEG21" s="2867"/>
      <c r="GEH21" s="2866"/>
      <c r="GEI21" s="2827"/>
      <c r="GEJ21" s="2867"/>
      <c r="GEK21" s="2866"/>
      <c r="GEL21" s="2827"/>
      <c r="GEM21" s="2867"/>
      <c r="GEN21" s="2866"/>
      <c r="GEO21" s="2827"/>
      <c r="GEP21" s="2867"/>
      <c r="GEQ21" s="2866"/>
      <c r="GER21" s="2827"/>
      <c r="GES21" s="2867"/>
      <c r="GET21" s="2866"/>
      <c r="GEU21" s="2827"/>
      <c r="GEV21" s="2867"/>
      <c r="GEW21" s="2866"/>
      <c r="GEX21" s="2827"/>
      <c r="GEY21" s="2867"/>
      <c r="GEZ21" s="2866"/>
      <c r="GFA21" s="2827"/>
      <c r="GFB21" s="2867"/>
      <c r="GFC21" s="2866"/>
      <c r="GFD21" s="2827"/>
      <c r="GFE21" s="2867"/>
      <c r="GFF21" s="2866"/>
      <c r="GFG21" s="2827"/>
      <c r="GFH21" s="2867"/>
      <c r="GFI21" s="2866"/>
      <c r="GFJ21" s="2827"/>
      <c r="GFK21" s="2867"/>
      <c r="GFL21" s="2866"/>
      <c r="GFM21" s="2827"/>
      <c r="GFN21" s="2867"/>
      <c r="GFO21" s="2866"/>
      <c r="GFP21" s="2827"/>
      <c r="GFQ21" s="2867"/>
      <c r="GFR21" s="2866"/>
      <c r="GFS21" s="2827"/>
      <c r="GFT21" s="2867"/>
      <c r="GFU21" s="2866"/>
      <c r="GFV21" s="2827"/>
      <c r="GFW21" s="2867"/>
      <c r="GFX21" s="2866"/>
      <c r="GFY21" s="2827"/>
      <c r="GFZ21" s="2867"/>
      <c r="GGA21" s="2866"/>
      <c r="GGB21" s="2827"/>
      <c r="GGC21" s="2867"/>
      <c r="GGD21" s="2866"/>
      <c r="GGE21" s="2827"/>
      <c r="GGF21" s="2867"/>
      <c r="GGG21" s="2866"/>
      <c r="GGH21" s="2827"/>
      <c r="GGI21" s="2867"/>
      <c r="GGJ21" s="2866"/>
      <c r="GGK21" s="2827"/>
      <c r="GGL21" s="2867"/>
      <c r="GGM21" s="2866"/>
      <c r="GGN21" s="2827"/>
      <c r="GGO21" s="2867"/>
      <c r="GGP21" s="2866"/>
      <c r="GGQ21" s="2827"/>
      <c r="GGR21" s="2867"/>
      <c r="GGS21" s="2866"/>
      <c r="GGT21" s="2827"/>
      <c r="GGU21" s="2867"/>
      <c r="GGV21" s="2866"/>
      <c r="GGW21" s="2827"/>
      <c r="GGX21" s="2867"/>
      <c r="GGY21" s="2866"/>
      <c r="GGZ21" s="2827"/>
      <c r="GHA21" s="2867"/>
      <c r="GHB21" s="2866"/>
      <c r="GHC21" s="2827"/>
      <c r="GHD21" s="2867"/>
      <c r="GHE21" s="2866"/>
      <c r="GHF21" s="2827"/>
      <c r="GHG21" s="2867"/>
      <c r="GHH21" s="2866"/>
      <c r="GHI21" s="2827"/>
      <c r="GHJ21" s="2867"/>
      <c r="GHK21" s="2866"/>
      <c r="GHL21" s="2827"/>
      <c r="GHM21" s="2867"/>
      <c r="GHN21" s="2866"/>
      <c r="GHO21" s="2827"/>
      <c r="GHP21" s="2867"/>
      <c r="GHQ21" s="2866"/>
      <c r="GHR21" s="2827"/>
      <c r="GHS21" s="2867"/>
      <c r="GHT21" s="2866"/>
      <c r="GHU21" s="2827"/>
      <c r="GHV21" s="2867"/>
      <c r="GHW21" s="2866"/>
      <c r="GHX21" s="2827"/>
      <c r="GHY21" s="2867"/>
      <c r="GHZ21" s="2866"/>
      <c r="GIA21" s="2827"/>
      <c r="GIB21" s="2867"/>
      <c r="GIC21" s="2866"/>
      <c r="GID21" s="2827"/>
      <c r="GIE21" s="2867"/>
      <c r="GIF21" s="2866"/>
      <c r="GIG21" s="2827"/>
      <c r="GIH21" s="2867"/>
      <c r="GII21" s="2866"/>
      <c r="GIJ21" s="2827"/>
      <c r="GIK21" s="2867"/>
      <c r="GIL21" s="2866"/>
      <c r="GIM21" s="2827"/>
      <c r="GIN21" s="2867"/>
      <c r="GIO21" s="2866"/>
      <c r="GIP21" s="2827"/>
      <c r="GIQ21" s="2867"/>
      <c r="GIR21" s="2866"/>
      <c r="GIS21" s="2827"/>
      <c r="GIT21" s="2867"/>
      <c r="GIU21" s="2866"/>
      <c r="GIV21" s="2827"/>
      <c r="GIW21" s="2867"/>
      <c r="GIX21" s="2866"/>
      <c r="GIY21" s="2827"/>
      <c r="GIZ21" s="2867"/>
      <c r="GJA21" s="2866"/>
      <c r="GJB21" s="2827"/>
      <c r="GJC21" s="2867"/>
      <c r="GJD21" s="2866"/>
      <c r="GJE21" s="2827"/>
      <c r="GJF21" s="2867"/>
      <c r="GJG21" s="2866"/>
      <c r="GJH21" s="2827"/>
      <c r="GJI21" s="2867"/>
      <c r="GJJ21" s="2866"/>
      <c r="GJK21" s="2827"/>
      <c r="GJL21" s="2867"/>
      <c r="GJM21" s="2866"/>
      <c r="GJN21" s="2827"/>
      <c r="GJO21" s="2867"/>
      <c r="GJP21" s="2866"/>
      <c r="GJQ21" s="2827"/>
      <c r="GJR21" s="2867"/>
      <c r="GJS21" s="2866"/>
      <c r="GJT21" s="2827"/>
      <c r="GJU21" s="2867"/>
      <c r="GJV21" s="2866"/>
      <c r="GJW21" s="2827"/>
      <c r="GJX21" s="2867"/>
      <c r="GJY21" s="2866"/>
      <c r="GJZ21" s="2827"/>
      <c r="GKA21" s="2867"/>
      <c r="GKB21" s="2866"/>
      <c r="GKC21" s="2827"/>
      <c r="GKD21" s="2867"/>
      <c r="GKE21" s="2866"/>
      <c r="GKF21" s="2827"/>
      <c r="GKG21" s="2867"/>
      <c r="GKH21" s="2866"/>
      <c r="GKI21" s="2827"/>
      <c r="GKJ21" s="2867"/>
      <c r="GKK21" s="2866"/>
      <c r="GKL21" s="2827"/>
      <c r="GKM21" s="2867"/>
      <c r="GKN21" s="2866"/>
      <c r="GKO21" s="2827"/>
      <c r="GKP21" s="2867"/>
      <c r="GKQ21" s="2866"/>
      <c r="GKR21" s="2827"/>
      <c r="GKS21" s="2867"/>
      <c r="GKT21" s="2866"/>
      <c r="GKU21" s="2827"/>
      <c r="GKV21" s="2867"/>
      <c r="GKW21" s="2866"/>
      <c r="GKX21" s="2827"/>
      <c r="GKY21" s="2867"/>
      <c r="GKZ21" s="2866"/>
      <c r="GLA21" s="2827"/>
      <c r="GLB21" s="2867"/>
      <c r="GLC21" s="2866"/>
      <c r="GLD21" s="2827"/>
      <c r="GLE21" s="2867"/>
      <c r="GLF21" s="2866"/>
      <c r="GLG21" s="2827"/>
      <c r="GLH21" s="2867"/>
      <c r="GLI21" s="2866"/>
      <c r="GLJ21" s="2827"/>
      <c r="GLK21" s="2867"/>
      <c r="GLL21" s="2866"/>
      <c r="GLM21" s="2827"/>
      <c r="GLN21" s="2867"/>
      <c r="GLO21" s="2866"/>
      <c r="GLP21" s="2827"/>
      <c r="GLQ21" s="2867"/>
      <c r="GLR21" s="2866"/>
      <c r="GLS21" s="2827"/>
      <c r="GLT21" s="2867"/>
      <c r="GLU21" s="2866"/>
      <c r="GLV21" s="2827"/>
      <c r="GLW21" s="2867"/>
      <c r="GLX21" s="2866"/>
      <c r="GLY21" s="2827"/>
      <c r="GLZ21" s="2867"/>
      <c r="GMA21" s="2866"/>
      <c r="GMB21" s="2827"/>
      <c r="GMC21" s="2867"/>
      <c r="GMD21" s="2866"/>
      <c r="GME21" s="2827"/>
      <c r="GMF21" s="2867"/>
      <c r="GMG21" s="2866"/>
      <c r="GMH21" s="2827"/>
      <c r="GMI21" s="2867"/>
      <c r="GMJ21" s="2866"/>
      <c r="GMK21" s="2827"/>
      <c r="GML21" s="2867"/>
      <c r="GMM21" s="2866"/>
      <c r="GMN21" s="2827"/>
      <c r="GMO21" s="2867"/>
      <c r="GMP21" s="2866"/>
      <c r="GMQ21" s="2827"/>
      <c r="GMR21" s="2867"/>
      <c r="GMS21" s="2866"/>
      <c r="GMT21" s="2827"/>
      <c r="GMU21" s="2867"/>
      <c r="GMV21" s="2866"/>
      <c r="GMW21" s="2827"/>
      <c r="GMX21" s="2867"/>
      <c r="GMY21" s="2866"/>
      <c r="GMZ21" s="2827"/>
      <c r="GNA21" s="2867"/>
      <c r="GNB21" s="2866"/>
      <c r="GNC21" s="2827"/>
      <c r="GND21" s="2867"/>
      <c r="GNE21" s="2866"/>
      <c r="GNF21" s="2827"/>
      <c r="GNG21" s="2867"/>
      <c r="GNH21" s="2866"/>
      <c r="GNI21" s="2827"/>
      <c r="GNJ21" s="2867"/>
      <c r="GNK21" s="2866"/>
      <c r="GNL21" s="2827"/>
      <c r="GNM21" s="2867"/>
      <c r="GNN21" s="2866"/>
      <c r="GNO21" s="2827"/>
      <c r="GNP21" s="2867"/>
      <c r="GNQ21" s="2866"/>
      <c r="GNR21" s="2827"/>
      <c r="GNS21" s="2867"/>
      <c r="GNT21" s="2866"/>
      <c r="GNU21" s="2827"/>
      <c r="GNV21" s="2867"/>
      <c r="GNW21" s="2866"/>
      <c r="GNX21" s="2827"/>
      <c r="GNY21" s="2867"/>
      <c r="GNZ21" s="2866"/>
      <c r="GOA21" s="2827"/>
      <c r="GOB21" s="2867"/>
      <c r="GOC21" s="2866"/>
      <c r="GOD21" s="2827"/>
      <c r="GOE21" s="2867"/>
      <c r="GOF21" s="2866"/>
      <c r="GOG21" s="2827"/>
      <c r="GOH21" s="2867"/>
      <c r="GOI21" s="2866"/>
      <c r="GOJ21" s="2827"/>
      <c r="GOK21" s="2867"/>
      <c r="GOL21" s="2866"/>
      <c r="GOM21" s="2827"/>
      <c r="GON21" s="2867"/>
      <c r="GOO21" s="2866"/>
      <c r="GOP21" s="2827"/>
      <c r="GOQ21" s="2867"/>
      <c r="GOR21" s="2866"/>
      <c r="GOS21" s="2827"/>
      <c r="GOT21" s="2867"/>
      <c r="GOU21" s="2866"/>
      <c r="GOV21" s="2827"/>
      <c r="GOW21" s="2867"/>
      <c r="GOX21" s="2866"/>
      <c r="GOY21" s="2827"/>
      <c r="GOZ21" s="2867"/>
      <c r="GPA21" s="2866"/>
      <c r="GPB21" s="2827"/>
      <c r="GPC21" s="2867"/>
      <c r="GPD21" s="2866"/>
      <c r="GPE21" s="2827"/>
      <c r="GPF21" s="2867"/>
      <c r="GPG21" s="2866"/>
      <c r="GPH21" s="2827"/>
      <c r="GPI21" s="2867"/>
      <c r="GPJ21" s="2866"/>
      <c r="GPK21" s="2827"/>
      <c r="GPL21" s="2867"/>
      <c r="GPM21" s="2866"/>
      <c r="GPN21" s="2827"/>
      <c r="GPO21" s="2867"/>
      <c r="GPP21" s="2866"/>
      <c r="GPQ21" s="2827"/>
      <c r="GPR21" s="2867"/>
      <c r="GPS21" s="2866"/>
      <c r="GPT21" s="2827"/>
      <c r="GPU21" s="2867"/>
      <c r="GPV21" s="2866"/>
      <c r="GPW21" s="2827"/>
      <c r="GPX21" s="2867"/>
      <c r="GPY21" s="2866"/>
      <c r="GPZ21" s="2827"/>
      <c r="GQA21" s="2867"/>
      <c r="GQB21" s="2866"/>
      <c r="GQC21" s="2827"/>
      <c r="GQD21" s="2867"/>
      <c r="GQE21" s="2866"/>
      <c r="GQF21" s="2827"/>
      <c r="GQG21" s="2867"/>
      <c r="GQH21" s="2866"/>
      <c r="GQI21" s="2827"/>
      <c r="GQJ21" s="2867"/>
      <c r="GQK21" s="2866"/>
      <c r="GQL21" s="2827"/>
      <c r="GQM21" s="2867"/>
      <c r="GQN21" s="2866"/>
      <c r="GQO21" s="2827"/>
      <c r="GQP21" s="2867"/>
      <c r="GQQ21" s="2866"/>
      <c r="GQR21" s="2827"/>
      <c r="GQS21" s="2867"/>
      <c r="GQT21" s="2866"/>
      <c r="GQU21" s="2827"/>
      <c r="GQV21" s="2867"/>
      <c r="GQW21" s="2866"/>
      <c r="GQX21" s="2827"/>
      <c r="GQY21" s="2867"/>
      <c r="GQZ21" s="2866"/>
      <c r="GRA21" s="2827"/>
      <c r="GRB21" s="2867"/>
      <c r="GRC21" s="2866"/>
      <c r="GRD21" s="2827"/>
      <c r="GRE21" s="2867"/>
      <c r="GRF21" s="2866"/>
      <c r="GRG21" s="2827"/>
      <c r="GRH21" s="2867"/>
      <c r="GRI21" s="2866"/>
      <c r="GRJ21" s="2827"/>
      <c r="GRK21" s="2867"/>
      <c r="GRL21" s="2866"/>
      <c r="GRM21" s="2827"/>
      <c r="GRN21" s="2867"/>
      <c r="GRO21" s="2866"/>
      <c r="GRP21" s="2827"/>
      <c r="GRQ21" s="2867"/>
      <c r="GRR21" s="2866"/>
      <c r="GRS21" s="2827"/>
      <c r="GRT21" s="2867"/>
      <c r="GRU21" s="2866"/>
      <c r="GRV21" s="2827"/>
      <c r="GRW21" s="2867"/>
      <c r="GRX21" s="2866"/>
      <c r="GRY21" s="2827"/>
      <c r="GRZ21" s="2867"/>
      <c r="GSA21" s="2866"/>
      <c r="GSB21" s="2827"/>
      <c r="GSC21" s="2867"/>
      <c r="GSD21" s="2866"/>
      <c r="GSE21" s="2827"/>
      <c r="GSF21" s="2867"/>
      <c r="GSG21" s="2866"/>
      <c r="GSH21" s="2827"/>
      <c r="GSI21" s="2867"/>
      <c r="GSJ21" s="2866"/>
      <c r="GSK21" s="2827"/>
      <c r="GSL21" s="2867"/>
      <c r="GSM21" s="2866"/>
      <c r="GSN21" s="2827"/>
      <c r="GSO21" s="2867"/>
      <c r="GSP21" s="2866"/>
      <c r="GSQ21" s="2827"/>
      <c r="GSR21" s="2867"/>
      <c r="GSS21" s="2866"/>
      <c r="GST21" s="2827"/>
      <c r="GSU21" s="2867"/>
      <c r="GSV21" s="2866"/>
      <c r="GSW21" s="2827"/>
      <c r="GSX21" s="2867"/>
      <c r="GSY21" s="2866"/>
      <c r="GSZ21" s="2827"/>
      <c r="GTA21" s="2867"/>
      <c r="GTB21" s="2866"/>
      <c r="GTC21" s="2827"/>
      <c r="GTD21" s="2867"/>
      <c r="GTE21" s="2866"/>
      <c r="GTF21" s="2827"/>
      <c r="GTG21" s="2867"/>
      <c r="GTH21" s="2866"/>
      <c r="GTI21" s="2827"/>
      <c r="GTJ21" s="2867"/>
      <c r="GTK21" s="2866"/>
      <c r="GTL21" s="2827"/>
      <c r="GTM21" s="2867"/>
      <c r="GTN21" s="2866"/>
      <c r="GTO21" s="2827"/>
      <c r="GTP21" s="2867"/>
      <c r="GTQ21" s="2866"/>
      <c r="GTR21" s="2827"/>
      <c r="GTS21" s="2867"/>
      <c r="GTT21" s="2866"/>
      <c r="GTU21" s="2827"/>
      <c r="GTV21" s="2867"/>
      <c r="GTW21" s="2866"/>
      <c r="GTX21" s="2827"/>
      <c r="GTY21" s="2867"/>
      <c r="GTZ21" s="2866"/>
      <c r="GUA21" s="2827"/>
      <c r="GUB21" s="2867"/>
      <c r="GUC21" s="2866"/>
      <c r="GUD21" s="2827"/>
      <c r="GUE21" s="2867"/>
      <c r="GUF21" s="2866"/>
      <c r="GUG21" s="2827"/>
      <c r="GUH21" s="2867"/>
      <c r="GUI21" s="2866"/>
      <c r="GUJ21" s="2827"/>
      <c r="GUK21" s="2867"/>
      <c r="GUL21" s="2866"/>
      <c r="GUM21" s="2827"/>
      <c r="GUN21" s="2867"/>
      <c r="GUO21" s="2866"/>
      <c r="GUP21" s="2827"/>
      <c r="GUQ21" s="2867"/>
      <c r="GUR21" s="2866"/>
      <c r="GUS21" s="2827"/>
      <c r="GUT21" s="2867"/>
      <c r="GUU21" s="2866"/>
      <c r="GUV21" s="2827"/>
      <c r="GUW21" s="2867"/>
      <c r="GUX21" s="2866"/>
      <c r="GUY21" s="2827"/>
      <c r="GUZ21" s="2867"/>
      <c r="GVA21" s="2866"/>
      <c r="GVB21" s="2827"/>
      <c r="GVC21" s="2867"/>
      <c r="GVD21" s="2866"/>
      <c r="GVE21" s="2827"/>
      <c r="GVF21" s="2867"/>
      <c r="GVG21" s="2866"/>
      <c r="GVH21" s="2827"/>
      <c r="GVI21" s="2867"/>
      <c r="GVJ21" s="2866"/>
      <c r="GVK21" s="2827"/>
      <c r="GVL21" s="2867"/>
      <c r="GVM21" s="2866"/>
      <c r="GVN21" s="2827"/>
      <c r="GVO21" s="2867"/>
      <c r="GVP21" s="2866"/>
      <c r="GVQ21" s="2827"/>
      <c r="GVR21" s="2867"/>
      <c r="GVS21" s="2866"/>
      <c r="GVT21" s="2827"/>
      <c r="GVU21" s="2867"/>
      <c r="GVV21" s="2866"/>
      <c r="GVW21" s="2827"/>
      <c r="GVX21" s="2867"/>
      <c r="GVY21" s="2866"/>
      <c r="GVZ21" s="2827"/>
      <c r="GWA21" s="2867"/>
      <c r="GWB21" s="2866"/>
      <c r="GWC21" s="2827"/>
      <c r="GWD21" s="2867"/>
      <c r="GWE21" s="2866"/>
      <c r="GWF21" s="2827"/>
      <c r="GWG21" s="2867"/>
      <c r="GWH21" s="2866"/>
      <c r="GWI21" s="2827"/>
      <c r="GWJ21" s="2867"/>
      <c r="GWK21" s="2866"/>
      <c r="GWL21" s="2827"/>
      <c r="GWM21" s="2867"/>
      <c r="GWN21" s="2866"/>
      <c r="GWO21" s="2827"/>
      <c r="GWP21" s="2867"/>
      <c r="GWQ21" s="2866"/>
      <c r="GWR21" s="2827"/>
      <c r="GWS21" s="2867"/>
      <c r="GWT21" s="2866"/>
      <c r="GWU21" s="2827"/>
      <c r="GWV21" s="2867"/>
      <c r="GWW21" s="2866"/>
      <c r="GWX21" s="2827"/>
      <c r="GWY21" s="2867"/>
      <c r="GWZ21" s="2866"/>
      <c r="GXA21" s="2827"/>
      <c r="GXB21" s="2867"/>
      <c r="GXC21" s="2866"/>
      <c r="GXD21" s="2827"/>
      <c r="GXE21" s="2867"/>
      <c r="GXF21" s="2866"/>
      <c r="GXG21" s="2827"/>
      <c r="GXH21" s="2867"/>
      <c r="GXI21" s="2866"/>
      <c r="GXJ21" s="2827"/>
      <c r="GXK21" s="2867"/>
      <c r="GXL21" s="2866"/>
      <c r="GXM21" s="2827"/>
      <c r="GXN21" s="2867"/>
      <c r="GXO21" s="2866"/>
      <c r="GXP21" s="2827"/>
      <c r="GXQ21" s="2867"/>
      <c r="GXR21" s="2866"/>
      <c r="GXS21" s="2827"/>
      <c r="GXT21" s="2867"/>
      <c r="GXU21" s="2866"/>
      <c r="GXV21" s="2827"/>
      <c r="GXW21" s="2867"/>
      <c r="GXX21" s="2866"/>
      <c r="GXY21" s="2827"/>
      <c r="GXZ21" s="2867"/>
      <c r="GYA21" s="2866"/>
      <c r="GYB21" s="2827"/>
      <c r="GYC21" s="2867"/>
      <c r="GYD21" s="2866"/>
      <c r="GYE21" s="2827"/>
      <c r="GYF21" s="2867"/>
      <c r="GYG21" s="2866"/>
      <c r="GYH21" s="2827"/>
      <c r="GYI21" s="2867"/>
      <c r="GYJ21" s="2866"/>
      <c r="GYK21" s="2827"/>
      <c r="GYL21" s="2867"/>
      <c r="GYM21" s="2866"/>
      <c r="GYN21" s="2827"/>
      <c r="GYO21" s="2867"/>
      <c r="GYP21" s="2866"/>
      <c r="GYQ21" s="2827"/>
      <c r="GYR21" s="2867"/>
      <c r="GYS21" s="2866"/>
      <c r="GYT21" s="2827"/>
      <c r="GYU21" s="2867"/>
      <c r="GYV21" s="2866"/>
      <c r="GYW21" s="2827"/>
      <c r="GYX21" s="2867"/>
      <c r="GYY21" s="2866"/>
      <c r="GYZ21" s="2827"/>
      <c r="GZA21" s="2867"/>
      <c r="GZB21" s="2866"/>
      <c r="GZC21" s="2827"/>
      <c r="GZD21" s="2867"/>
      <c r="GZE21" s="2866"/>
      <c r="GZF21" s="2827"/>
      <c r="GZG21" s="2867"/>
      <c r="GZH21" s="2866"/>
      <c r="GZI21" s="2827"/>
      <c r="GZJ21" s="2867"/>
      <c r="GZK21" s="2866"/>
      <c r="GZL21" s="2827"/>
      <c r="GZM21" s="2867"/>
      <c r="GZN21" s="2866"/>
      <c r="GZO21" s="2827"/>
      <c r="GZP21" s="2867"/>
      <c r="GZQ21" s="2866"/>
      <c r="GZR21" s="2827"/>
      <c r="GZS21" s="2867"/>
      <c r="GZT21" s="2866"/>
      <c r="GZU21" s="2827"/>
      <c r="GZV21" s="2867"/>
      <c r="GZW21" s="2866"/>
      <c r="GZX21" s="2827"/>
      <c r="GZY21" s="2867"/>
      <c r="GZZ21" s="2866"/>
      <c r="HAA21" s="2827"/>
      <c r="HAB21" s="2867"/>
      <c r="HAC21" s="2866"/>
      <c r="HAD21" s="2827"/>
      <c r="HAE21" s="2867"/>
      <c r="HAF21" s="2866"/>
      <c r="HAG21" s="2827"/>
      <c r="HAH21" s="2867"/>
      <c r="HAI21" s="2866"/>
      <c r="HAJ21" s="2827"/>
      <c r="HAK21" s="2867"/>
      <c r="HAL21" s="2866"/>
      <c r="HAM21" s="2827"/>
      <c r="HAN21" s="2867"/>
      <c r="HAO21" s="2866"/>
      <c r="HAP21" s="2827"/>
      <c r="HAQ21" s="2867"/>
      <c r="HAR21" s="2866"/>
      <c r="HAS21" s="2827"/>
      <c r="HAT21" s="2867"/>
      <c r="HAU21" s="2866"/>
      <c r="HAV21" s="2827"/>
      <c r="HAW21" s="2867"/>
      <c r="HAX21" s="2866"/>
      <c r="HAY21" s="2827"/>
      <c r="HAZ21" s="2867"/>
      <c r="HBA21" s="2866"/>
      <c r="HBB21" s="2827"/>
      <c r="HBC21" s="2867"/>
      <c r="HBD21" s="2866"/>
      <c r="HBE21" s="2827"/>
      <c r="HBF21" s="2867"/>
      <c r="HBG21" s="2866"/>
      <c r="HBH21" s="2827"/>
      <c r="HBI21" s="2867"/>
      <c r="HBJ21" s="2866"/>
      <c r="HBK21" s="2827"/>
      <c r="HBL21" s="2867"/>
      <c r="HBM21" s="2866"/>
      <c r="HBN21" s="2827"/>
      <c r="HBO21" s="2867"/>
      <c r="HBP21" s="2866"/>
      <c r="HBQ21" s="2827"/>
      <c r="HBR21" s="2867"/>
      <c r="HBS21" s="2866"/>
      <c r="HBT21" s="2827"/>
      <c r="HBU21" s="2867"/>
      <c r="HBV21" s="2866"/>
      <c r="HBW21" s="2827"/>
      <c r="HBX21" s="2867"/>
      <c r="HBY21" s="2866"/>
      <c r="HBZ21" s="2827"/>
      <c r="HCA21" s="2867"/>
      <c r="HCB21" s="2866"/>
      <c r="HCC21" s="2827"/>
      <c r="HCD21" s="2867"/>
      <c r="HCE21" s="2866"/>
      <c r="HCF21" s="2827"/>
      <c r="HCG21" s="2867"/>
      <c r="HCH21" s="2866"/>
      <c r="HCI21" s="2827"/>
      <c r="HCJ21" s="2867"/>
      <c r="HCK21" s="2866"/>
      <c r="HCL21" s="2827"/>
      <c r="HCM21" s="2867"/>
      <c r="HCN21" s="2866"/>
      <c r="HCO21" s="2827"/>
      <c r="HCP21" s="2867"/>
      <c r="HCQ21" s="2866"/>
      <c r="HCR21" s="2827"/>
      <c r="HCS21" s="2867"/>
      <c r="HCT21" s="2866"/>
      <c r="HCU21" s="2827"/>
      <c r="HCV21" s="2867"/>
      <c r="HCW21" s="2866"/>
      <c r="HCX21" s="2827"/>
      <c r="HCY21" s="2867"/>
      <c r="HCZ21" s="2866"/>
      <c r="HDA21" s="2827"/>
      <c r="HDB21" s="2867"/>
      <c r="HDC21" s="2866"/>
      <c r="HDD21" s="2827"/>
      <c r="HDE21" s="2867"/>
      <c r="HDF21" s="2866"/>
      <c r="HDG21" s="2827"/>
      <c r="HDH21" s="2867"/>
      <c r="HDI21" s="2866"/>
      <c r="HDJ21" s="2827"/>
      <c r="HDK21" s="2867"/>
      <c r="HDL21" s="2866"/>
      <c r="HDM21" s="2827"/>
      <c r="HDN21" s="2867"/>
      <c r="HDO21" s="2866"/>
      <c r="HDP21" s="2827"/>
      <c r="HDQ21" s="2867"/>
      <c r="HDR21" s="2866"/>
      <c r="HDS21" s="2827"/>
      <c r="HDT21" s="2867"/>
      <c r="HDU21" s="2866"/>
      <c r="HDV21" s="2827"/>
      <c r="HDW21" s="2867"/>
      <c r="HDX21" s="2866"/>
      <c r="HDY21" s="2827"/>
      <c r="HDZ21" s="2867"/>
      <c r="HEA21" s="2866"/>
      <c r="HEB21" s="2827"/>
      <c r="HEC21" s="2867"/>
      <c r="HED21" s="2866"/>
      <c r="HEE21" s="2827"/>
      <c r="HEF21" s="2867"/>
      <c r="HEG21" s="2866"/>
      <c r="HEH21" s="2827"/>
      <c r="HEI21" s="2867"/>
      <c r="HEJ21" s="2866"/>
      <c r="HEK21" s="2827"/>
      <c r="HEL21" s="2867"/>
      <c r="HEM21" s="2866"/>
      <c r="HEN21" s="2827"/>
      <c r="HEO21" s="2867"/>
      <c r="HEP21" s="2866"/>
      <c r="HEQ21" s="2827"/>
      <c r="HER21" s="2867"/>
      <c r="HES21" s="2866"/>
      <c r="HET21" s="2827"/>
      <c r="HEU21" s="2867"/>
      <c r="HEV21" s="2866"/>
      <c r="HEW21" s="2827"/>
      <c r="HEX21" s="2867"/>
      <c r="HEY21" s="2866"/>
      <c r="HEZ21" s="2827"/>
      <c r="HFA21" s="2867"/>
      <c r="HFB21" s="2866"/>
      <c r="HFC21" s="2827"/>
      <c r="HFD21" s="2867"/>
      <c r="HFE21" s="2866"/>
      <c r="HFF21" s="2827"/>
      <c r="HFG21" s="2867"/>
      <c r="HFH21" s="2866"/>
      <c r="HFI21" s="2827"/>
      <c r="HFJ21" s="2867"/>
      <c r="HFK21" s="2866"/>
      <c r="HFL21" s="2827"/>
      <c r="HFM21" s="2867"/>
      <c r="HFN21" s="2866"/>
      <c r="HFO21" s="2827"/>
      <c r="HFP21" s="2867"/>
      <c r="HFQ21" s="2866"/>
      <c r="HFR21" s="2827"/>
      <c r="HFS21" s="2867"/>
      <c r="HFT21" s="2866"/>
      <c r="HFU21" s="2827"/>
      <c r="HFV21" s="2867"/>
      <c r="HFW21" s="2866"/>
      <c r="HFX21" s="2827"/>
      <c r="HFY21" s="2867"/>
      <c r="HFZ21" s="2866"/>
      <c r="HGA21" s="2827"/>
      <c r="HGB21" s="2867"/>
      <c r="HGC21" s="2866"/>
      <c r="HGD21" s="2827"/>
      <c r="HGE21" s="2867"/>
      <c r="HGF21" s="2866"/>
      <c r="HGG21" s="2827"/>
      <c r="HGH21" s="2867"/>
      <c r="HGI21" s="2866"/>
      <c r="HGJ21" s="2827"/>
      <c r="HGK21" s="2867"/>
      <c r="HGL21" s="2866"/>
      <c r="HGM21" s="2827"/>
      <c r="HGN21" s="2867"/>
      <c r="HGO21" s="2866"/>
      <c r="HGP21" s="2827"/>
      <c r="HGQ21" s="2867"/>
      <c r="HGR21" s="2866"/>
      <c r="HGS21" s="2827"/>
      <c r="HGT21" s="2867"/>
      <c r="HGU21" s="2866"/>
      <c r="HGV21" s="2827"/>
      <c r="HGW21" s="2867"/>
      <c r="HGX21" s="2866"/>
      <c r="HGY21" s="2827"/>
      <c r="HGZ21" s="2867"/>
      <c r="HHA21" s="2866"/>
      <c r="HHB21" s="2827"/>
      <c r="HHC21" s="2867"/>
      <c r="HHD21" s="2866"/>
      <c r="HHE21" s="2827"/>
      <c r="HHF21" s="2867"/>
      <c r="HHG21" s="2866"/>
      <c r="HHH21" s="2827"/>
      <c r="HHI21" s="2867"/>
      <c r="HHJ21" s="2866"/>
      <c r="HHK21" s="2827"/>
      <c r="HHL21" s="2867"/>
      <c r="HHM21" s="2866"/>
      <c r="HHN21" s="2827"/>
      <c r="HHO21" s="2867"/>
      <c r="HHP21" s="2866"/>
      <c r="HHQ21" s="2827"/>
      <c r="HHR21" s="2867"/>
      <c r="HHS21" s="2866"/>
      <c r="HHT21" s="2827"/>
      <c r="HHU21" s="2867"/>
      <c r="HHV21" s="2866"/>
      <c r="HHW21" s="2827"/>
      <c r="HHX21" s="2867"/>
      <c r="HHY21" s="2866"/>
      <c r="HHZ21" s="2827"/>
      <c r="HIA21" s="2867"/>
      <c r="HIB21" s="2866"/>
      <c r="HIC21" s="2827"/>
      <c r="HID21" s="2867"/>
      <c r="HIE21" s="2866"/>
      <c r="HIF21" s="2827"/>
      <c r="HIG21" s="2867"/>
      <c r="HIH21" s="2866"/>
      <c r="HII21" s="2827"/>
      <c r="HIJ21" s="2867"/>
      <c r="HIK21" s="2866"/>
      <c r="HIL21" s="2827"/>
      <c r="HIM21" s="2867"/>
      <c r="HIN21" s="2866"/>
      <c r="HIO21" s="2827"/>
      <c r="HIP21" s="2867"/>
      <c r="HIQ21" s="2866"/>
      <c r="HIR21" s="2827"/>
      <c r="HIS21" s="2867"/>
      <c r="HIT21" s="2866"/>
      <c r="HIU21" s="2827"/>
      <c r="HIV21" s="2867"/>
      <c r="HIW21" s="2866"/>
      <c r="HIX21" s="2827"/>
      <c r="HIY21" s="2867"/>
      <c r="HIZ21" s="2866"/>
      <c r="HJA21" s="2827"/>
      <c r="HJB21" s="2867"/>
      <c r="HJC21" s="2866"/>
      <c r="HJD21" s="2827"/>
      <c r="HJE21" s="2867"/>
      <c r="HJF21" s="2866"/>
      <c r="HJG21" s="2827"/>
      <c r="HJH21" s="2867"/>
      <c r="HJI21" s="2866"/>
      <c r="HJJ21" s="2827"/>
      <c r="HJK21" s="2867"/>
      <c r="HJL21" s="2866"/>
      <c r="HJM21" s="2827"/>
      <c r="HJN21" s="2867"/>
      <c r="HJO21" s="2866"/>
      <c r="HJP21" s="2827"/>
      <c r="HJQ21" s="2867"/>
      <c r="HJR21" s="2866"/>
      <c r="HJS21" s="2827"/>
      <c r="HJT21" s="2867"/>
      <c r="HJU21" s="2866"/>
      <c r="HJV21" s="2827"/>
      <c r="HJW21" s="2867"/>
      <c r="HJX21" s="2866"/>
      <c r="HJY21" s="2827"/>
      <c r="HJZ21" s="2867"/>
      <c r="HKA21" s="2866"/>
      <c r="HKB21" s="2827"/>
      <c r="HKC21" s="2867"/>
      <c r="HKD21" s="2866"/>
      <c r="HKE21" s="2827"/>
      <c r="HKF21" s="2867"/>
      <c r="HKG21" s="2866"/>
      <c r="HKH21" s="2827"/>
      <c r="HKI21" s="2867"/>
      <c r="HKJ21" s="2866"/>
      <c r="HKK21" s="2827"/>
      <c r="HKL21" s="2867"/>
      <c r="HKM21" s="2866"/>
      <c r="HKN21" s="2827"/>
      <c r="HKO21" s="2867"/>
      <c r="HKP21" s="2866"/>
      <c r="HKQ21" s="2827"/>
      <c r="HKR21" s="2867"/>
      <c r="HKS21" s="2866"/>
      <c r="HKT21" s="2827"/>
      <c r="HKU21" s="2867"/>
      <c r="HKV21" s="2866"/>
      <c r="HKW21" s="2827"/>
      <c r="HKX21" s="2867"/>
      <c r="HKY21" s="2866"/>
      <c r="HKZ21" s="2827"/>
      <c r="HLA21" s="2867"/>
      <c r="HLB21" s="2866"/>
      <c r="HLC21" s="2827"/>
      <c r="HLD21" s="2867"/>
      <c r="HLE21" s="2866"/>
      <c r="HLF21" s="2827"/>
      <c r="HLG21" s="2867"/>
      <c r="HLH21" s="2866"/>
      <c r="HLI21" s="2827"/>
      <c r="HLJ21" s="2867"/>
      <c r="HLK21" s="2866"/>
      <c r="HLL21" s="2827"/>
      <c r="HLM21" s="2867"/>
      <c r="HLN21" s="2866"/>
      <c r="HLO21" s="2827"/>
      <c r="HLP21" s="2867"/>
      <c r="HLQ21" s="2866"/>
      <c r="HLR21" s="2827"/>
      <c r="HLS21" s="2867"/>
      <c r="HLT21" s="2866"/>
      <c r="HLU21" s="2827"/>
      <c r="HLV21" s="2867"/>
      <c r="HLW21" s="2866"/>
      <c r="HLX21" s="2827"/>
      <c r="HLY21" s="2867"/>
      <c r="HLZ21" s="2866"/>
      <c r="HMA21" s="2827"/>
      <c r="HMB21" s="2867"/>
      <c r="HMC21" s="2866"/>
      <c r="HMD21" s="2827"/>
      <c r="HME21" s="2867"/>
      <c r="HMF21" s="2866"/>
      <c r="HMG21" s="2827"/>
      <c r="HMH21" s="2867"/>
      <c r="HMI21" s="2866"/>
      <c r="HMJ21" s="2827"/>
      <c r="HMK21" s="2867"/>
      <c r="HML21" s="2866"/>
      <c r="HMM21" s="2827"/>
      <c r="HMN21" s="2867"/>
      <c r="HMO21" s="2866"/>
      <c r="HMP21" s="2827"/>
      <c r="HMQ21" s="2867"/>
      <c r="HMR21" s="2866"/>
      <c r="HMS21" s="2827"/>
      <c r="HMT21" s="2867"/>
      <c r="HMU21" s="2866"/>
      <c r="HMV21" s="2827"/>
      <c r="HMW21" s="2867"/>
      <c r="HMX21" s="2866"/>
      <c r="HMY21" s="2827"/>
      <c r="HMZ21" s="2867"/>
      <c r="HNA21" s="2866"/>
      <c r="HNB21" s="2827"/>
      <c r="HNC21" s="2867"/>
      <c r="HND21" s="2866"/>
      <c r="HNE21" s="2827"/>
      <c r="HNF21" s="2867"/>
      <c r="HNG21" s="2866"/>
      <c r="HNH21" s="2827"/>
      <c r="HNI21" s="2867"/>
      <c r="HNJ21" s="2866"/>
      <c r="HNK21" s="2827"/>
      <c r="HNL21" s="2867"/>
      <c r="HNM21" s="2866"/>
      <c r="HNN21" s="2827"/>
      <c r="HNO21" s="2867"/>
      <c r="HNP21" s="2866"/>
      <c r="HNQ21" s="2827"/>
      <c r="HNR21" s="2867"/>
      <c r="HNS21" s="2866"/>
      <c r="HNT21" s="2827"/>
      <c r="HNU21" s="2867"/>
      <c r="HNV21" s="2866"/>
      <c r="HNW21" s="2827"/>
      <c r="HNX21" s="2867"/>
      <c r="HNY21" s="2866"/>
      <c r="HNZ21" s="2827"/>
      <c r="HOA21" s="2867"/>
      <c r="HOB21" s="2866"/>
      <c r="HOC21" s="2827"/>
      <c r="HOD21" s="2867"/>
      <c r="HOE21" s="2866"/>
      <c r="HOF21" s="2827"/>
      <c r="HOG21" s="2867"/>
      <c r="HOH21" s="2866"/>
      <c r="HOI21" s="2827"/>
      <c r="HOJ21" s="2867"/>
      <c r="HOK21" s="2866"/>
      <c r="HOL21" s="2827"/>
      <c r="HOM21" s="2867"/>
      <c r="HON21" s="2866"/>
      <c r="HOO21" s="2827"/>
      <c r="HOP21" s="2867"/>
      <c r="HOQ21" s="2866"/>
      <c r="HOR21" s="2827"/>
      <c r="HOS21" s="2867"/>
      <c r="HOT21" s="2866"/>
      <c r="HOU21" s="2827"/>
      <c r="HOV21" s="2867"/>
      <c r="HOW21" s="2866"/>
      <c r="HOX21" s="2827"/>
      <c r="HOY21" s="2867"/>
      <c r="HOZ21" s="2866"/>
      <c r="HPA21" s="2827"/>
      <c r="HPB21" s="2867"/>
      <c r="HPC21" s="2866"/>
      <c r="HPD21" s="2827"/>
      <c r="HPE21" s="2867"/>
      <c r="HPF21" s="2866"/>
      <c r="HPG21" s="2827"/>
      <c r="HPH21" s="2867"/>
      <c r="HPI21" s="2866"/>
      <c r="HPJ21" s="2827"/>
      <c r="HPK21" s="2867"/>
      <c r="HPL21" s="2866"/>
      <c r="HPM21" s="2827"/>
      <c r="HPN21" s="2867"/>
      <c r="HPO21" s="2866"/>
      <c r="HPP21" s="2827"/>
      <c r="HPQ21" s="2867"/>
      <c r="HPR21" s="2866"/>
      <c r="HPS21" s="2827"/>
      <c r="HPT21" s="2867"/>
      <c r="HPU21" s="2866"/>
      <c r="HPV21" s="2827"/>
      <c r="HPW21" s="2867"/>
      <c r="HPX21" s="2866"/>
      <c r="HPY21" s="2827"/>
      <c r="HPZ21" s="2867"/>
      <c r="HQA21" s="2866"/>
      <c r="HQB21" s="2827"/>
      <c r="HQC21" s="2867"/>
      <c r="HQD21" s="2866"/>
      <c r="HQE21" s="2827"/>
      <c r="HQF21" s="2867"/>
      <c r="HQG21" s="2866"/>
      <c r="HQH21" s="2827"/>
      <c r="HQI21" s="2867"/>
      <c r="HQJ21" s="2866"/>
      <c r="HQK21" s="2827"/>
      <c r="HQL21" s="2867"/>
      <c r="HQM21" s="2866"/>
      <c r="HQN21" s="2827"/>
      <c r="HQO21" s="2867"/>
      <c r="HQP21" s="2866"/>
      <c r="HQQ21" s="2827"/>
      <c r="HQR21" s="2867"/>
      <c r="HQS21" s="2866"/>
      <c r="HQT21" s="2827"/>
      <c r="HQU21" s="2867"/>
      <c r="HQV21" s="2866"/>
      <c r="HQW21" s="2827"/>
      <c r="HQX21" s="2867"/>
      <c r="HQY21" s="2866"/>
      <c r="HQZ21" s="2827"/>
      <c r="HRA21" s="2867"/>
      <c r="HRB21" s="2866"/>
      <c r="HRC21" s="2827"/>
      <c r="HRD21" s="2867"/>
      <c r="HRE21" s="2866"/>
      <c r="HRF21" s="2827"/>
      <c r="HRG21" s="2867"/>
      <c r="HRH21" s="2866"/>
      <c r="HRI21" s="2827"/>
      <c r="HRJ21" s="2867"/>
      <c r="HRK21" s="2866"/>
      <c r="HRL21" s="2827"/>
      <c r="HRM21" s="2867"/>
      <c r="HRN21" s="2866"/>
      <c r="HRO21" s="2827"/>
      <c r="HRP21" s="2867"/>
      <c r="HRQ21" s="2866"/>
      <c r="HRR21" s="2827"/>
      <c r="HRS21" s="2867"/>
      <c r="HRT21" s="2866"/>
      <c r="HRU21" s="2827"/>
      <c r="HRV21" s="2867"/>
      <c r="HRW21" s="2866"/>
      <c r="HRX21" s="2827"/>
      <c r="HRY21" s="2867"/>
      <c r="HRZ21" s="2866"/>
      <c r="HSA21" s="2827"/>
      <c r="HSB21" s="2867"/>
      <c r="HSC21" s="2866"/>
      <c r="HSD21" s="2827"/>
      <c r="HSE21" s="2867"/>
      <c r="HSF21" s="2866"/>
      <c r="HSG21" s="2827"/>
      <c r="HSH21" s="2867"/>
      <c r="HSI21" s="2866"/>
      <c r="HSJ21" s="2827"/>
      <c r="HSK21" s="2867"/>
      <c r="HSL21" s="2866"/>
      <c r="HSM21" s="2827"/>
      <c r="HSN21" s="2867"/>
      <c r="HSO21" s="2866"/>
      <c r="HSP21" s="2827"/>
      <c r="HSQ21" s="2867"/>
      <c r="HSR21" s="2866"/>
      <c r="HSS21" s="2827"/>
      <c r="HST21" s="2867"/>
      <c r="HSU21" s="2866"/>
      <c r="HSV21" s="2827"/>
      <c r="HSW21" s="2867"/>
      <c r="HSX21" s="2866"/>
      <c r="HSY21" s="2827"/>
      <c r="HSZ21" s="2867"/>
      <c r="HTA21" s="2866"/>
      <c r="HTB21" s="2827"/>
      <c r="HTC21" s="2867"/>
      <c r="HTD21" s="2866"/>
      <c r="HTE21" s="2827"/>
      <c r="HTF21" s="2867"/>
      <c r="HTG21" s="2866"/>
      <c r="HTH21" s="2827"/>
      <c r="HTI21" s="2867"/>
      <c r="HTJ21" s="2866"/>
      <c r="HTK21" s="2827"/>
      <c r="HTL21" s="2867"/>
      <c r="HTM21" s="2866"/>
      <c r="HTN21" s="2827"/>
      <c r="HTO21" s="2867"/>
      <c r="HTP21" s="2866"/>
      <c r="HTQ21" s="2827"/>
      <c r="HTR21" s="2867"/>
      <c r="HTS21" s="2866"/>
      <c r="HTT21" s="2827"/>
      <c r="HTU21" s="2867"/>
      <c r="HTV21" s="2866"/>
      <c r="HTW21" s="2827"/>
      <c r="HTX21" s="2867"/>
      <c r="HTY21" s="2866"/>
      <c r="HTZ21" s="2827"/>
      <c r="HUA21" s="2867"/>
      <c r="HUB21" s="2866"/>
      <c r="HUC21" s="2827"/>
      <c r="HUD21" s="2867"/>
      <c r="HUE21" s="2866"/>
      <c r="HUF21" s="2827"/>
      <c r="HUG21" s="2867"/>
      <c r="HUH21" s="2866"/>
      <c r="HUI21" s="2827"/>
      <c r="HUJ21" s="2867"/>
      <c r="HUK21" s="2866"/>
      <c r="HUL21" s="2827"/>
      <c r="HUM21" s="2867"/>
      <c r="HUN21" s="2866"/>
      <c r="HUO21" s="2827"/>
      <c r="HUP21" s="2867"/>
      <c r="HUQ21" s="2866"/>
      <c r="HUR21" s="2827"/>
      <c r="HUS21" s="2867"/>
      <c r="HUT21" s="2866"/>
      <c r="HUU21" s="2827"/>
      <c r="HUV21" s="2867"/>
      <c r="HUW21" s="2866"/>
      <c r="HUX21" s="2827"/>
      <c r="HUY21" s="2867"/>
      <c r="HUZ21" s="2866"/>
      <c r="HVA21" s="2827"/>
      <c r="HVB21" s="2867"/>
      <c r="HVC21" s="2866"/>
      <c r="HVD21" s="2827"/>
      <c r="HVE21" s="2867"/>
      <c r="HVF21" s="2866"/>
      <c r="HVG21" s="2827"/>
      <c r="HVH21" s="2867"/>
      <c r="HVI21" s="2866"/>
      <c r="HVJ21" s="2827"/>
      <c r="HVK21" s="2867"/>
      <c r="HVL21" s="2866"/>
      <c r="HVM21" s="2827"/>
      <c r="HVN21" s="2867"/>
      <c r="HVO21" s="2866"/>
      <c r="HVP21" s="2827"/>
      <c r="HVQ21" s="2867"/>
      <c r="HVR21" s="2866"/>
      <c r="HVS21" s="2827"/>
      <c r="HVT21" s="2867"/>
      <c r="HVU21" s="2866"/>
      <c r="HVV21" s="2827"/>
      <c r="HVW21" s="2867"/>
      <c r="HVX21" s="2866"/>
      <c r="HVY21" s="2827"/>
      <c r="HVZ21" s="2867"/>
      <c r="HWA21" s="2866"/>
      <c r="HWB21" s="2827"/>
      <c r="HWC21" s="2867"/>
      <c r="HWD21" s="2866"/>
      <c r="HWE21" s="2827"/>
      <c r="HWF21" s="2867"/>
      <c r="HWG21" s="2866"/>
      <c r="HWH21" s="2827"/>
      <c r="HWI21" s="2867"/>
      <c r="HWJ21" s="2866"/>
      <c r="HWK21" s="2827"/>
      <c r="HWL21" s="2867"/>
      <c r="HWM21" s="2866"/>
      <c r="HWN21" s="2827"/>
      <c r="HWO21" s="2867"/>
      <c r="HWP21" s="2866"/>
      <c r="HWQ21" s="2827"/>
      <c r="HWR21" s="2867"/>
      <c r="HWS21" s="2866"/>
      <c r="HWT21" s="2827"/>
      <c r="HWU21" s="2867"/>
      <c r="HWV21" s="2866"/>
      <c r="HWW21" s="2827"/>
      <c r="HWX21" s="2867"/>
      <c r="HWY21" s="2866"/>
      <c r="HWZ21" s="2827"/>
      <c r="HXA21" s="2867"/>
      <c r="HXB21" s="2866"/>
      <c r="HXC21" s="2827"/>
      <c r="HXD21" s="2867"/>
      <c r="HXE21" s="2866"/>
      <c r="HXF21" s="2827"/>
      <c r="HXG21" s="2867"/>
      <c r="HXH21" s="2866"/>
      <c r="HXI21" s="2827"/>
      <c r="HXJ21" s="2867"/>
      <c r="HXK21" s="2866"/>
      <c r="HXL21" s="2827"/>
      <c r="HXM21" s="2867"/>
      <c r="HXN21" s="2866"/>
      <c r="HXO21" s="2827"/>
      <c r="HXP21" s="2867"/>
      <c r="HXQ21" s="2866"/>
      <c r="HXR21" s="2827"/>
      <c r="HXS21" s="2867"/>
      <c r="HXT21" s="2866"/>
      <c r="HXU21" s="2827"/>
      <c r="HXV21" s="2867"/>
      <c r="HXW21" s="2866"/>
      <c r="HXX21" s="2827"/>
      <c r="HXY21" s="2867"/>
      <c r="HXZ21" s="2866"/>
      <c r="HYA21" s="2827"/>
      <c r="HYB21" s="2867"/>
      <c r="HYC21" s="2866"/>
      <c r="HYD21" s="2827"/>
      <c r="HYE21" s="2867"/>
      <c r="HYF21" s="2866"/>
      <c r="HYG21" s="2827"/>
      <c r="HYH21" s="2867"/>
      <c r="HYI21" s="2866"/>
      <c r="HYJ21" s="2827"/>
      <c r="HYK21" s="2867"/>
      <c r="HYL21" s="2866"/>
      <c r="HYM21" s="2827"/>
      <c r="HYN21" s="2867"/>
      <c r="HYO21" s="2866"/>
      <c r="HYP21" s="2827"/>
      <c r="HYQ21" s="2867"/>
      <c r="HYR21" s="2866"/>
      <c r="HYS21" s="2827"/>
      <c r="HYT21" s="2867"/>
      <c r="HYU21" s="2866"/>
      <c r="HYV21" s="2827"/>
      <c r="HYW21" s="2867"/>
      <c r="HYX21" s="2866"/>
      <c r="HYY21" s="2827"/>
      <c r="HYZ21" s="2867"/>
      <c r="HZA21" s="2866"/>
      <c r="HZB21" s="2827"/>
      <c r="HZC21" s="2867"/>
      <c r="HZD21" s="2866"/>
      <c r="HZE21" s="2827"/>
      <c r="HZF21" s="2867"/>
      <c r="HZG21" s="2866"/>
      <c r="HZH21" s="2827"/>
      <c r="HZI21" s="2867"/>
      <c r="HZJ21" s="2866"/>
      <c r="HZK21" s="2827"/>
      <c r="HZL21" s="2867"/>
      <c r="HZM21" s="2866"/>
      <c r="HZN21" s="2827"/>
      <c r="HZO21" s="2867"/>
      <c r="HZP21" s="2866"/>
      <c r="HZQ21" s="2827"/>
      <c r="HZR21" s="2867"/>
      <c r="HZS21" s="2866"/>
      <c r="HZT21" s="2827"/>
      <c r="HZU21" s="2867"/>
      <c r="HZV21" s="2866"/>
      <c r="HZW21" s="2827"/>
      <c r="HZX21" s="2867"/>
      <c r="HZY21" s="2866"/>
      <c r="HZZ21" s="2827"/>
      <c r="IAA21" s="2867"/>
      <c r="IAB21" s="2866"/>
      <c r="IAC21" s="2827"/>
      <c r="IAD21" s="2867"/>
      <c r="IAE21" s="2866"/>
      <c r="IAF21" s="2827"/>
      <c r="IAG21" s="2867"/>
      <c r="IAH21" s="2866"/>
      <c r="IAI21" s="2827"/>
      <c r="IAJ21" s="2867"/>
      <c r="IAK21" s="2866"/>
      <c r="IAL21" s="2827"/>
      <c r="IAM21" s="2867"/>
      <c r="IAN21" s="2866"/>
      <c r="IAO21" s="2827"/>
      <c r="IAP21" s="2867"/>
      <c r="IAQ21" s="2866"/>
      <c r="IAR21" s="2827"/>
      <c r="IAS21" s="2867"/>
      <c r="IAT21" s="2866"/>
      <c r="IAU21" s="2827"/>
      <c r="IAV21" s="2867"/>
      <c r="IAW21" s="2866"/>
      <c r="IAX21" s="2827"/>
      <c r="IAY21" s="2867"/>
      <c r="IAZ21" s="2866"/>
      <c r="IBA21" s="2827"/>
      <c r="IBB21" s="2867"/>
      <c r="IBC21" s="2866"/>
      <c r="IBD21" s="2827"/>
      <c r="IBE21" s="2867"/>
      <c r="IBF21" s="2866"/>
      <c r="IBG21" s="2827"/>
      <c r="IBH21" s="2867"/>
      <c r="IBI21" s="2866"/>
      <c r="IBJ21" s="2827"/>
      <c r="IBK21" s="2867"/>
      <c r="IBL21" s="2866"/>
      <c r="IBM21" s="2827"/>
      <c r="IBN21" s="2867"/>
      <c r="IBO21" s="2866"/>
      <c r="IBP21" s="2827"/>
      <c r="IBQ21" s="2867"/>
      <c r="IBR21" s="2866"/>
      <c r="IBS21" s="2827"/>
      <c r="IBT21" s="2867"/>
      <c r="IBU21" s="2866"/>
      <c r="IBV21" s="2827"/>
      <c r="IBW21" s="2867"/>
      <c r="IBX21" s="2866"/>
      <c r="IBY21" s="2827"/>
      <c r="IBZ21" s="2867"/>
      <c r="ICA21" s="2866"/>
      <c r="ICB21" s="2827"/>
      <c r="ICC21" s="2867"/>
      <c r="ICD21" s="2866"/>
      <c r="ICE21" s="2827"/>
      <c r="ICF21" s="2867"/>
      <c r="ICG21" s="2866"/>
      <c r="ICH21" s="2827"/>
      <c r="ICI21" s="2867"/>
      <c r="ICJ21" s="2866"/>
      <c r="ICK21" s="2827"/>
      <c r="ICL21" s="2867"/>
      <c r="ICM21" s="2866"/>
      <c r="ICN21" s="2827"/>
      <c r="ICO21" s="2867"/>
      <c r="ICP21" s="2866"/>
      <c r="ICQ21" s="2827"/>
      <c r="ICR21" s="2867"/>
      <c r="ICS21" s="2866"/>
      <c r="ICT21" s="2827"/>
      <c r="ICU21" s="2867"/>
      <c r="ICV21" s="2866"/>
      <c r="ICW21" s="2827"/>
      <c r="ICX21" s="2867"/>
      <c r="ICY21" s="2866"/>
      <c r="ICZ21" s="2827"/>
      <c r="IDA21" s="2867"/>
      <c r="IDB21" s="2866"/>
      <c r="IDC21" s="2827"/>
      <c r="IDD21" s="2867"/>
      <c r="IDE21" s="2866"/>
      <c r="IDF21" s="2827"/>
      <c r="IDG21" s="2867"/>
      <c r="IDH21" s="2866"/>
      <c r="IDI21" s="2827"/>
      <c r="IDJ21" s="2867"/>
      <c r="IDK21" s="2866"/>
      <c r="IDL21" s="2827"/>
      <c r="IDM21" s="2867"/>
      <c r="IDN21" s="2866"/>
      <c r="IDO21" s="2827"/>
      <c r="IDP21" s="2867"/>
      <c r="IDQ21" s="2866"/>
      <c r="IDR21" s="2827"/>
      <c r="IDS21" s="2867"/>
      <c r="IDT21" s="2866"/>
      <c r="IDU21" s="2827"/>
      <c r="IDV21" s="2867"/>
      <c r="IDW21" s="2866"/>
      <c r="IDX21" s="2827"/>
      <c r="IDY21" s="2867"/>
      <c r="IDZ21" s="2866"/>
      <c r="IEA21" s="2827"/>
      <c r="IEB21" s="2867"/>
      <c r="IEC21" s="2866"/>
      <c r="IED21" s="2827"/>
      <c r="IEE21" s="2867"/>
      <c r="IEF21" s="2866"/>
      <c r="IEG21" s="2827"/>
      <c r="IEH21" s="2867"/>
      <c r="IEI21" s="2866"/>
      <c r="IEJ21" s="2827"/>
      <c r="IEK21" s="2867"/>
      <c r="IEL21" s="2866"/>
      <c r="IEM21" s="2827"/>
      <c r="IEN21" s="2867"/>
      <c r="IEO21" s="2866"/>
      <c r="IEP21" s="2827"/>
      <c r="IEQ21" s="2867"/>
      <c r="IER21" s="2866"/>
      <c r="IES21" s="2827"/>
      <c r="IET21" s="2867"/>
      <c r="IEU21" s="2866"/>
      <c r="IEV21" s="2827"/>
      <c r="IEW21" s="2867"/>
      <c r="IEX21" s="2866"/>
      <c r="IEY21" s="2827"/>
      <c r="IEZ21" s="2867"/>
      <c r="IFA21" s="2866"/>
      <c r="IFB21" s="2827"/>
      <c r="IFC21" s="2867"/>
      <c r="IFD21" s="2866"/>
      <c r="IFE21" s="2827"/>
      <c r="IFF21" s="2867"/>
      <c r="IFG21" s="2866"/>
      <c r="IFH21" s="2827"/>
      <c r="IFI21" s="2867"/>
      <c r="IFJ21" s="2866"/>
      <c r="IFK21" s="2827"/>
      <c r="IFL21" s="2867"/>
      <c r="IFM21" s="2866"/>
      <c r="IFN21" s="2827"/>
      <c r="IFO21" s="2867"/>
      <c r="IFP21" s="2866"/>
      <c r="IFQ21" s="2827"/>
      <c r="IFR21" s="2867"/>
      <c r="IFS21" s="2866"/>
      <c r="IFT21" s="2827"/>
      <c r="IFU21" s="2867"/>
      <c r="IFV21" s="2866"/>
      <c r="IFW21" s="2827"/>
      <c r="IFX21" s="2867"/>
      <c r="IFY21" s="2866"/>
      <c r="IFZ21" s="2827"/>
      <c r="IGA21" s="2867"/>
      <c r="IGB21" s="2866"/>
      <c r="IGC21" s="2827"/>
      <c r="IGD21" s="2867"/>
      <c r="IGE21" s="2866"/>
      <c r="IGF21" s="2827"/>
      <c r="IGG21" s="2867"/>
      <c r="IGH21" s="2866"/>
      <c r="IGI21" s="2827"/>
      <c r="IGJ21" s="2867"/>
      <c r="IGK21" s="2866"/>
      <c r="IGL21" s="2827"/>
      <c r="IGM21" s="2867"/>
      <c r="IGN21" s="2866"/>
      <c r="IGO21" s="2827"/>
      <c r="IGP21" s="2867"/>
      <c r="IGQ21" s="2866"/>
      <c r="IGR21" s="2827"/>
      <c r="IGS21" s="2867"/>
      <c r="IGT21" s="2866"/>
      <c r="IGU21" s="2827"/>
      <c r="IGV21" s="2867"/>
      <c r="IGW21" s="2866"/>
      <c r="IGX21" s="2827"/>
      <c r="IGY21" s="2867"/>
      <c r="IGZ21" s="2866"/>
      <c r="IHA21" s="2827"/>
      <c r="IHB21" s="2867"/>
      <c r="IHC21" s="2866"/>
      <c r="IHD21" s="2827"/>
      <c r="IHE21" s="2867"/>
      <c r="IHF21" s="2866"/>
      <c r="IHG21" s="2827"/>
      <c r="IHH21" s="2867"/>
      <c r="IHI21" s="2866"/>
      <c r="IHJ21" s="2827"/>
      <c r="IHK21" s="2867"/>
      <c r="IHL21" s="2866"/>
      <c r="IHM21" s="2827"/>
      <c r="IHN21" s="2867"/>
      <c r="IHO21" s="2866"/>
      <c r="IHP21" s="2827"/>
      <c r="IHQ21" s="2867"/>
      <c r="IHR21" s="2866"/>
      <c r="IHS21" s="2827"/>
      <c r="IHT21" s="2867"/>
      <c r="IHU21" s="2866"/>
      <c r="IHV21" s="2827"/>
      <c r="IHW21" s="2867"/>
      <c r="IHX21" s="2866"/>
      <c r="IHY21" s="2827"/>
      <c r="IHZ21" s="2867"/>
      <c r="IIA21" s="2866"/>
      <c r="IIB21" s="2827"/>
      <c r="IIC21" s="2867"/>
      <c r="IID21" s="2866"/>
      <c r="IIE21" s="2827"/>
      <c r="IIF21" s="2867"/>
      <c r="IIG21" s="2866"/>
      <c r="IIH21" s="2827"/>
      <c r="III21" s="2867"/>
      <c r="IIJ21" s="2866"/>
      <c r="IIK21" s="2827"/>
      <c r="IIL21" s="2867"/>
      <c r="IIM21" s="2866"/>
      <c r="IIN21" s="2827"/>
      <c r="IIO21" s="2867"/>
      <c r="IIP21" s="2866"/>
      <c r="IIQ21" s="2827"/>
      <c r="IIR21" s="2867"/>
      <c r="IIS21" s="2866"/>
      <c r="IIT21" s="2827"/>
      <c r="IIU21" s="2867"/>
      <c r="IIV21" s="2866"/>
      <c r="IIW21" s="2827"/>
      <c r="IIX21" s="2867"/>
      <c r="IIY21" s="2866"/>
      <c r="IIZ21" s="2827"/>
      <c r="IJA21" s="2867"/>
      <c r="IJB21" s="2866"/>
      <c r="IJC21" s="2827"/>
      <c r="IJD21" s="2867"/>
      <c r="IJE21" s="2866"/>
      <c r="IJF21" s="2827"/>
      <c r="IJG21" s="2867"/>
      <c r="IJH21" s="2866"/>
      <c r="IJI21" s="2827"/>
      <c r="IJJ21" s="2867"/>
      <c r="IJK21" s="2866"/>
      <c r="IJL21" s="2827"/>
      <c r="IJM21" s="2867"/>
      <c r="IJN21" s="2866"/>
      <c r="IJO21" s="2827"/>
      <c r="IJP21" s="2867"/>
      <c r="IJQ21" s="2866"/>
      <c r="IJR21" s="2827"/>
      <c r="IJS21" s="2867"/>
      <c r="IJT21" s="2866"/>
      <c r="IJU21" s="2827"/>
      <c r="IJV21" s="2867"/>
      <c r="IJW21" s="2866"/>
      <c r="IJX21" s="2827"/>
      <c r="IJY21" s="2867"/>
      <c r="IJZ21" s="2866"/>
      <c r="IKA21" s="2827"/>
      <c r="IKB21" s="2867"/>
      <c r="IKC21" s="2866"/>
      <c r="IKD21" s="2827"/>
      <c r="IKE21" s="2867"/>
      <c r="IKF21" s="2866"/>
      <c r="IKG21" s="2827"/>
      <c r="IKH21" s="2867"/>
      <c r="IKI21" s="2866"/>
      <c r="IKJ21" s="2827"/>
      <c r="IKK21" s="2867"/>
      <c r="IKL21" s="2866"/>
      <c r="IKM21" s="2827"/>
      <c r="IKN21" s="2867"/>
      <c r="IKO21" s="2866"/>
      <c r="IKP21" s="2827"/>
      <c r="IKQ21" s="2867"/>
      <c r="IKR21" s="2866"/>
      <c r="IKS21" s="2827"/>
      <c r="IKT21" s="2867"/>
      <c r="IKU21" s="2866"/>
      <c r="IKV21" s="2827"/>
      <c r="IKW21" s="2867"/>
      <c r="IKX21" s="2866"/>
      <c r="IKY21" s="2827"/>
      <c r="IKZ21" s="2867"/>
      <c r="ILA21" s="2866"/>
      <c r="ILB21" s="2827"/>
      <c r="ILC21" s="2867"/>
      <c r="ILD21" s="2866"/>
      <c r="ILE21" s="2827"/>
      <c r="ILF21" s="2867"/>
      <c r="ILG21" s="2866"/>
      <c r="ILH21" s="2827"/>
      <c r="ILI21" s="2867"/>
      <c r="ILJ21" s="2866"/>
      <c r="ILK21" s="2827"/>
      <c r="ILL21" s="2867"/>
      <c r="ILM21" s="2866"/>
      <c r="ILN21" s="2827"/>
      <c r="ILO21" s="2867"/>
      <c r="ILP21" s="2866"/>
      <c r="ILQ21" s="2827"/>
      <c r="ILR21" s="2867"/>
      <c r="ILS21" s="2866"/>
      <c r="ILT21" s="2827"/>
      <c r="ILU21" s="2867"/>
      <c r="ILV21" s="2866"/>
      <c r="ILW21" s="2827"/>
      <c r="ILX21" s="2867"/>
      <c r="ILY21" s="2866"/>
      <c r="ILZ21" s="2827"/>
      <c r="IMA21" s="2867"/>
      <c r="IMB21" s="2866"/>
      <c r="IMC21" s="2827"/>
      <c r="IMD21" s="2867"/>
      <c r="IME21" s="2866"/>
      <c r="IMF21" s="2827"/>
      <c r="IMG21" s="2867"/>
      <c r="IMH21" s="2866"/>
      <c r="IMI21" s="2827"/>
      <c r="IMJ21" s="2867"/>
      <c r="IMK21" s="2866"/>
      <c r="IML21" s="2827"/>
      <c r="IMM21" s="2867"/>
      <c r="IMN21" s="2866"/>
      <c r="IMO21" s="2827"/>
      <c r="IMP21" s="2867"/>
      <c r="IMQ21" s="2866"/>
      <c r="IMR21" s="2827"/>
      <c r="IMS21" s="2867"/>
      <c r="IMT21" s="2866"/>
      <c r="IMU21" s="2827"/>
      <c r="IMV21" s="2867"/>
      <c r="IMW21" s="2866"/>
      <c r="IMX21" s="2827"/>
      <c r="IMY21" s="2867"/>
      <c r="IMZ21" s="2866"/>
      <c r="INA21" s="2827"/>
      <c r="INB21" s="2867"/>
      <c r="INC21" s="2866"/>
      <c r="IND21" s="2827"/>
      <c r="INE21" s="2867"/>
      <c r="INF21" s="2866"/>
      <c r="ING21" s="2827"/>
      <c r="INH21" s="2867"/>
      <c r="INI21" s="2866"/>
      <c r="INJ21" s="2827"/>
      <c r="INK21" s="2867"/>
      <c r="INL21" s="2866"/>
      <c r="INM21" s="2827"/>
      <c r="INN21" s="2867"/>
      <c r="INO21" s="2866"/>
      <c r="INP21" s="2827"/>
      <c r="INQ21" s="2867"/>
      <c r="INR21" s="2866"/>
      <c r="INS21" s="2827"/>
      <c r="INT21" s="2867"/>
      <c r="INU21" s="2866"/>
      <c r="INV21" s="2827"/>
      <c r="INW21" s="2867"/>
      <c r="INX21" s="2866"/>
      <c r="INY21" s="2827"/>
      <c r="INZ21" s="2867"/>
      <c r="IOA21" s="2866"/>
      <c r="IOB21" s="2827"/>
      <c r="IOC21" s="2867"/>
      <c r="IOD21" s="2866"/>
      <c r="IOE21" s="2827"/>
      <c r="IOF21" s="2867"/>
      <c r="IOG21" s="2866"/>
      <c r="IOH21" s="2827"/>
      <c r="IOI21" s="2867"/>
      <c r="IOJ21" s="2866"/>
      <c r="IOK21" s="2827"/>
      <c r="IOL21" s="2867"/>
      <c r="IOM21" s="2866"/>
      <c r="ION21" s="2827"/>
      <c r="IOO21" s="2867"/>
      <c r="IOP21" s="2866"/>
      <c r="IOQ21" s="2827"/>
      <c r="IOR21" s="2867"/>
      <c r="IOS21" s="2866"/>
      <c r="IOT21" s="2827"/>
      <c r="IOU21" s="2867"/>
      <c r="IOV21" s="2866"/>
      <c r="IOW21" s="2827"/>
      <c r="IOX21" s="2867"/>
      <c r="IOY21" s="2866"/>
      <c r="IOZ21" s="2827"/>
      <c r="IPA21" s="2867"/>
      <c r="IPB21" s="2866"/>
      <c r="IPC21" s="2827"/>
      <c r="IPD21" s="2867"/>
      <c r="IPE21" s="2866"/>
      <c r="IPF21" s="2827"/>
      <c r="IPG21" s="2867"/>
      <c r="IPH21" s="2866"/>
      <c r="IPI21" s="2827"/>
      <c r="IPJ21" s="2867"/>
      <c r="IPK21" s="2866"/>
      <c r="IPL21" s="2827"/>
      <c r="IPM21" s="2867"/>
      <c r="IPN21" s="2866"/>
      <c r="IPO21" s="2827"/>
      <c r="IPP21" s="2867"/>
      <c r="IPQ21" s="2866"/>
      <c r="IPR21" s="2827"/>
      <c r="IPS21" s="2867"/>
      <c r="IPT21" s="2866"/>
      <c r="IPU21" s="2827"/>
      <c r="IPV21" s="2867"/>
      <c r="IPW21" s="2866"/>
      <c r="IPX21" s="2827"/>
      <c r="IPY21" s="2867"/>
      <c r="IPZ21" s="2866"/>
      <c r="IQA21" s="2827"/>
      <c r="IQB21" s="2867"/>
      <c r="IQC21" s="2866"/>
      <c r="IQD21" s="2827"/>
      <c r="IQE21" s="2867"/>
      <c r="IQF21" s="2866"/>
      <c r="IQG21" s="2827"/>
      <c r="IQH21" s="2867"/>
      <c r="IQI21" s="2866"/>
      <c r="IQJ21" s="2827"/>
      <c r="IQK21" s="2867"/>
      <c r="IQL21" s="2866"/>
      <c r="IQM21" s="2827"/>
      <c r="IQN21" s="2867"/>
      <c r="IQO21" s="2866"/>
      <c r="IQP21" s="2827"/>
      <c r="IQQ21" s="2867"/>
      <c r="IQR21" s="2866"/>
      <c r="IQS21" s="2827"/>
      <c r="IQT21" s="2867"/>
      <c r="IQU21" s="2866"/>
      <c r="IQV21" s="2827"/>
      <c r="IQW21" s="2867"/>
      <c r="IQX21" s="2866"/>
      <c r="IQY21" s="2827"/>
      <c r="IQZ21" s="2867"/>
      <c r="IRA21" s="2866"/>
      <c r="IRB21" s="2827"/>
      <c r="IRC21" s="2867"/>
      <c r="IRD21" s="2866"/>
      <c r="IRE21" s="2827"/>
      <c r="IRF21" s="2867"/>
      <c r="IRG21" s="2866"/>
      <c r="IRH21" s="2827"/>
      <c r="IRI21" s="2867"/>
      <c r="IRJ21" s="2866"/>
      <c r="IRK21" s="2827"/>
      <c r="IRL21" s="2867"/>
      <c r="IRM21" s="2866"/>
      <c r="IRN21" s="2827"/>
      <c r="IRO21" s="2867"/>
      <c r="IRP21" s="2866"/>
      <c r="IRQ21" s="2827"/>
      <c r="IRR21" s="2867"/>
      <c r="IRS21" s="2866"/>
      <c r="IRT21" s="2827"/>
      <c r="IRU21" s="2867"/>
      <c r="IRV21" s="2866"/>
      <c r="IRW21" s="2827"/>
      <c r="IRX21" s="2867"/>
      <c r="IRY21" s="2866"/>
      <c r="IRZ21" s="2827"/>
      <c r="ISA21" s="2867"/>
      <c r="ISB21" s="2866"/>
      <c r="ISC21" s="2827"/>
      <c r="ISD21" s="2867"/>
      <c r="ISE21" s="2866"/>
      <c r="ISF21" s="2827"/>
      <c r="ISG21" s="2867"/>
      <c r="ISH21" s="2866"/>
      <c r="ISI21" s="2827"/>
      <c r="ISJ21" s="2867"/>
      <c r="ISK21" s="2866"/>
      <c r="ISL21" s="2827"/>
      <c r="ISM21" s="2867"/>
      <c r="ISN21" s="2866"/>
      <c r="ISO21" s="2827"/>
      <c r="ISP21" s="2867"/>
      <c r="ISQ21" s="2866"/>
      <c r="ISR21" s="2827"/>
      <c r="ISS21" s="2867"/>
      <c r="IST21" s="2866"/>
      <c r="ISU21" s="2827"/>
      <c r="ISV21" s="2867"/>
      <c r="ISW21" s="2866"/>
      <c r="ISX21" s="2827"/>
      <c r="ISY21" s="2867"/>
      <c r="ISZ21" s="2866"/>
      <c r="ITA21" s="2827"/>
      <c r="ITB21" s="2867"/>
      <c r="ITC21" s="2866"/>
      <c r="ITD21" s="2827"/>
      <c r="ITE21" s="2867"/>
      <c r="ITF21" s="2866"/>
      <c r="ITG21" s="2827"/>
      <c r="ITH21" s="2867"/>
      <c r="ITI21" s="2866"/>
      <c r="ITJ21" s="2827"/>
      <c r="ITK21" s="2867"/>
      <c r="ITL21" s="2866"/>
      <c r="ITM21" s="2827"/>
      <c r="ITN21" s="2867"/>
      <c r="ITO21" s="2866"/>
      <c r="ITP21" s="2827"/>
      <c r="ITQ21" s="2867"/>
      <c r="ITR21" s="2866"/>
      <c r="ITS21" s="2827"/>
      <c r="ITT21" s="2867"/>
      <c r="ITU21" s="2866"/>
      <c r="ITV21" s="2827"/>
      <c r="ITW21" s="2867"/>
      <c r="ITX21" s="2866"/>
      <c r="ITY21" s="2827"/>
      <c r="ITZ21" s="2867"/>
      <c r="IUA21" s="2866"/>
      <c r="IUB21" s="2827"/>
      <c r="IUC21" s="2867"/>
      <c r="IUD21" s="2866"/>
      <c r="IUE21" s="2827"/>
      <c r="IUF21" s="2867"/>
      <c r="IUG21" s="2866"/>
      <c r="IUH21" s="2827"/>
      <c r="IUI21" s="2867"/>
      <c r="IUJ21" s="2866"/>
      <c r="IUK21" s="2827"/>
      <c r="IUL21" s="2867"/>
      <c r="IUM21" s="2866"/>
      <c r="IUN21" s="2827"/>
      <c r="IUO21" s="2867"/>
      <c r="IUP21" s="2866"/>
      <c r="IUQ21" s="2827"/>
      <c r="IUR21" s="2867"/>
      <c r="IUS21" s="2866"/>
      <c r="IUT21" s="2827"/>
      <c r="IUU21" s="2867"/>
      <c r="IUV21" s="2866"/>
      <c r="IUW21" s="2827"/>
      <c r="IUX21" s="2867"/>
      <c r="IUY21" s="2866"/>
      <c r="IUZ21" s="2827"/>
      <c r="IVA21" s="2867"/>
      <c r="IVB21" s="2866"/>
      <c r="IVC21" s="2827"/>
      <c r="IVD21" s="2867"/>
      <c r="IVE21" s="2866"/>
      <c r="IVF21" s="2827"/>
      <c r="IVG21" s="2867"/>
      <c r="IVH21" s="2866"/>
      <c r="IVI21" s="2827"/>
      <c r="IVJ21" s="2867"/>
      <c r="IVK21" s="2866"/>
      <c r="IVL21" s="2827"/>
      <c r="IVM21" s="2867"/>
      <c r="IVN21" s="2866"/>
      <c r="IVO21" s="2827"/>
      <c r="IVP21" s="2867"/>
      <c r="IVQ21" s="2866"/>
      <c r="IVR21" s="2827"/>
      <c r="IVS21" s="2867"/>
      <c r="IVT21" s="2866"/>
      <c r="IVU21" s="2827"/>
      <c r="IVV21" s="2867"/>
      <c r="IVW21" s="2866"/>
      <c r="IVX21" s="2827"/>
      <c r="IVY21" s="2867"/>
      <c r="IVZ21" s="2866"/>
      <c r="IWA21" s="2827"/>
      <c r="IWB21" s="2867"/>
      <c r="IWC21" s="2866"/>
      <c r="IWD21" s="2827"/>
      <c r="IWE21" s="2867"/>
      <c r="IWF21" s="2866"/>
      <c r="IWG21" s="2827"/>
      <c r="IWH21" s="2867"/>
      <c r="IWI21" s="2866"/>
      <c r="IWJ21" s="2827"/>
      <c r="IWK21" s="2867"/>
      <c r="IWL21" s="2866"/>
      <c r="IWM21" s="2827"/>
      <c r="IWN21" s="2867"/>
      <c r="IWO21" s="2866"/>
      <c r="IWP21" s="2827"/>
      <c r="IWQ21" s="2867"/>
      <c r="IWR21" s="2866"/>
      <c r="IWS21" s="2827"/>
      <c r="IWT21" s="2867"/>
      <c r="IWU21" s="2866"/>
      <c r="IWV21" s="2827"/>
      <c r="IWW21" s="2867"/>
      <c r="IWX21" s="2866"/>
      <c r="IWY21" s="2827"/>
      <c r="IWZ21" s="2867"/>
      <c r="IXA21" s="2866"/>
      <c r="IXB21" s="2827"/>
      <c r="IXC21" s="2867"/>
      <c r="IXD21" s="2866"/>
      <c r="IXE21" s="2827"/>
      <c r="IXF21" s="2867"/>
      <c r="IXG21" s="2866"/>
      <c r="IXH21" s="2827"/>
      <c r="IXI21" s="2867"/>
      <c r="IXJ21" s="2866"/>
      <c r="IXK21" s="2827"/>
      <c r="IXL21" s="2867"/>
      <c r="IXM21" s="2866"/>
      <c r="IXN21" s="2827"/>
      <c r="IXO21" s="2867"/>
      <c r="IXP21" s="2866"/>
      <c r="IXQ21" s="2827"/>
      <c r="IXR21" s="2867"/>
      <c r="IXS21" s="2866"/>
      <c r="IXT21" s="2827"/>
      <c r="IXU21" s="2867"/>
      <c r="IXV21" s="2866"/>
      <c r="IXW21" s="2827"/>
      <c r="IXX21" s="2867"/>
      <c r="IXY21" s="2866"/>
      <c r="IXZ21" s="2827"/>
      <c r="IYA21" s="2867"/>
      <c r="IYB21" s="2866"/>
      <c r="IYC21" s="2827"/>
      <c r="IYD21" s="2867"/>
      <c r="IYE21" s="2866"/>
      <c r="IYF21" s="2827"/>
      <c r="IYG21" s="2867"/>
      <c r="IYH21" s="2866"/>
      <c r="IYI21" s="2827"/>
      <c r="IYJ21" s="2867"/>
      <c r="IYK21" s="2866"/>
      <c r="IYL21" s="2827"/>
      <c r="IYM21" s="2867"/>
      <c r="IYN21" s="2866"/>
      <c r="IYO21" s="2827"/>
      <c r="IYP21" s="2867"/>
      <c r="IYQ21" s="2866"/>
      <c r="IYR21" s="2827"/>
      <c r="IYS21" s="2867"/>
      <c r="IYT21" s="2866"/>
      <c r="IYU21" s="2827"/>
      <c r="IYV21" s="2867"/>
      <c r="IYW21" s="2866"/>
      <c r="IYX21" s="2827"/>
      <c r="IYY21" s="2867"/>
      <c r="IYZ21" s="2866"/>
      <c r="IZA21" s="2827"/>
      <c r="IZB21" s="2867"/>
      <c r="IZC21" s="2866"/>
      <c r="IZD21" s="2827"/>
      <c r="IZE21" s="2867"/>
      <c r="IZF21" s="2866"/>
      <c r="IZG21" s="2827"/>
      <c r="IZH21" s="2867"/>
      <c r="IZI21" s="2866"/>
      <c r="IZJ21" s="2827"/>
      <c r="IZK21" s="2867"/>
      <c r="IZL21" s="2866"/>
      <c r="IZM21" s="2827"/>
      <c r="IZN21" s="2867"/>
      <c r="IZO21" s="2866"/>
      <c r="IZP21" s="2827"/>
      <c r="IZQ21" s="2867"/>
      <c r="IZR21" s="2866"/>
      <c r="IZS21" s="2827"/>
      <c r="IZT21" s="2867"/>
      <c r="IZU21" s="2866"/>
      <c r="IZV21" s="2827"/>
      <c r="IZW21" s="2867"/>
      <c r="IZX21" s="2866"/>
      <c r="IZY21" s="2827"/>
      <c r="IZZ21" s="2867"/>
      <c r="JAA21" s="2866"/>
      <c r="JAB21" s="2827"/>
      <c r="JAC21" s="2867"/>
      <c r="JAD21" s="2866"/>
      <c r="JAE21" s="2827"/>
      <c r="JAF21" s="2867"/>
      <c r="JAG21" s="2866"/>
      <c r="JAH21" s="2827"/>
      <c r="JAI21" s="2867"/>
      <c r="JAJ21" s="2866"/>
      <c r="JAK21" s="2827"/>
      <c r="JAL21" s="2867"/>
      <c r="JAM21" s="2866"/>
      <c r="JAN21" s="2827"/>
      <c r="JAO21" s="2867"/>
      <c r="JAP21" s="2866"/>
      <c r="JAQ21" s="2827"/>
      <c r="JAR21" s="2867"/>
      <c r="JAS21" s="2866"/>
      <c r="JAT21" s="2827"/>
      <c r="JAU21" s="2867"/>
      <c r="JAV21" s="2866"/>
      <c r="JAW21" s="2827"/>
      <c r="JAX21" s="2867"/>
      <c r="JAY21" s="2866"/>
      <c r="JAZ21" s="2827"/>
      <c r="JBA21" s="2867"/>
      <c r="JBB21" s="2866"/>
      <c r="JBC21" s="2827"/>
      <c r="JBD21" s="2867"/>
      <c r="JBE21" s="2866"/>
      <c r="JBF21" s="2827"/>
      <c r="JBG21" s="2867"/>
      <c r="JBH21" s="2866"/>
      <c r="JBI21" s="2827"/>
      <c r="JBJ21" s="2867"/>
      <c r="JBK21" s="2866"/>
      <c r="JBL21" s="2827"/>
      <c r="JBM21" s="2867"/>
      <c r="JBN21" s="2866"/>
      <c r="JBO21" s="2827"/>
      <c r="JBP21" s="2867"/>
      <c r="JBQ21" s="2866"/>
      <c r="JBR21" s="2827"/>
      <c r="JBS21" s="2867"/>
      <c r="JBT21" s="2866"/>
      <c r="JBU21" s="2827"/>
      <c r="JBV21" s="2867"/>
      <c r="JBW21" s="2866"/>
      <c r="JBX21" s="2827"/>
      <c r="JBY21" s="2867"/>
      <c r="JBZ21" s="2866"/>
      <c r="JCA21" s="2827"/>
      <c r="JCB21" s="2867"/>
      <c r="JCC21" s="2866"/>
      <c r="JCD21" s="2827"/>
      <c r="JCE21" s="2867"/>
      <c r="JCF21" s="2866"/>
      <c r="JCG21" s="2827"/>
      <c r="JCH21" s="2867"/>
      <c r="JCI21" s="2866"/>
      <c r="JCJ21" s="2827"/>
      <c r="JCK21" s="2867"/>
      <c r="JCL21" s="2866"/>
      <c r="JCM21" s="2827"/>
      <c r="JCN21" s="2867"/>
      <c r="JCO21" s="2866"/>
      <c r="JCP21" s="2827"/>
      <c r="JCQ21" s="2867"/>
      <c r="JCR21" s="2866"/>
      <c r="JCS21" s="2827"/>
      <c r="JCT21" s="2867"/>
      <c r="JCU21" s="2866"/>
      <c r="JCV21" s="2827"/>
      <c r="JCW21" s="2867"/>
      <c r="JCX21" s="2866"/>
      <c r="JCY21" s="2827"/>
      <c r="JCZ21" s="2867"/>
      <c r="JDA21" s="2866"/>
      <c r="JDB21" s="2827"/>
      <c r="JDC21" s="2867"/>
      <c r="JDD21" s="2866"/>
      <c r="JDE21" s="2827"/>
      <c r="JDF21" s="2867"/>
      <c r="JDG21" s="2866"/>
      <c r="JDH21" s="2827"/>
      <c r="JDI21" s="2867"/>
      <c r="JDJ21" s="2866"/>
      <c r="JDK21" s="2827"/>
      <c r="JDL21" s="2867"/>
      <c r="JDM21" s="2866"/>
      <c r="JDN21" s="2827"/>
      <c r="JDO21" s="2867"/>
      <c r="JDP21" s="2866"/>
      <c r="JDQ21" s="2827"/>
      <c r="JDR21" s="2867"/>
      <c r="JDS21" s="2866"/>
      <c r="JDT21" s="2827"/>
      <c r="JDU21" s="2867"/>
      <c r="JDV21" s="2866"/>
      <c r="JDW21" s="2827"/>
      <c r="JDX21" s="2867"/>
      <c r="JDY21" s="2866"/>
      <c r="JDZ21" s="2827"/>
      <c r="JEA21" s="2867"/>
      <c r="JEB21" s="2866"/>
      <c r="JEC21" s="2827"/>
      <c r="JED21" s="2867"/>
      <c r="JEE21" s="2866"/>
      <c r="JEF21" s="2827"/>
      <c r="JEG21" s="2867"/>
      <c r="JEH21" s="2866"/>
      <c r="JEI21" s="2827"/>
      <c r="JEJ21" s="2867"/>
      <c r="JEK21" s="2866"/>
      <c r="JEL21" s="2827"/>
      <c r="JEM21" s="2867"/>
      <c r="JEN21" s="2866"/>
      <c r="JEO21" s="2827"/>
      <c r="JEP21" s="2867"/>
      <c r="JEQ21" s="2866"/>
      <c r="JER21" s="2827"/>
      <c r="JES21" s="2867"/>
      <c r="JET21" s="2866"/>
      <c r="JEU21" s="2827"/>
      <c r="JEV21" s="2867"/>
      <c r="JEW21" s="2866"/>
      <c r="JEX21" s="2827"/>
      <c r="JEY21" s="2867"/>
      <c r="JEZ21" s="2866"/>
      <c r="JFA21" s="2827"/>
      <c r="JFB21" s="2867"/>
      <c r="JFC21" s="2866"/>
      <c r="JFD21" s="2827"/>
      <c r="JFE21" s="2867"/>
      <c r="JFF21" s="2866"/>
      <c r="JFG21" s="2827"/>
      <c r="JFH21" s="2867"/>
      <c r="JFI21" s="2866"/>
      <c r="JFJ21" s="2827"/>
      <c r="JFK21" s="2867"/>
      <c r="JFL21" s="2866"/>
      <c r="JFM21" s="2827"/>
      <c r="JFN21" s="2867"/>
      <c r="JFO21" s="2866"/>
      <c r="JFP21" s="2827"/>
      <c r="JFQ21" s="2867"/>
      <c r="JFR21" s="2866"/>
      <c r="JFS21" s="2827"/>
      <c r="JFT21" s="2867"/>
      <c r="JFU21" s="2866"/>
      <c r="JFV21" s="2827"/>
      <c r="JFW21" s="2867"/>
      <c r="JFX21" s="2866"/>
      <c r="JFY21" s="2827"/>
      <c r="JFZ21" s="2867"/>
      <c r="JGA21" s="2866"/>
      <c r="JGB21" s="2827"/>
      <c r="JGC21" s="2867"/>
      <c r="JGD21" s="2866"/>
      <c r="JGE21" s="2827"/>
      <c r="JGF21" s="2867"/>
      <c r="JGG21" s="2866"/>
      <c r="JGH21" s="2827"/>
      <c r="JGI21" s="2867"/>
      <c r="JGJ21" s="2866"/>
      <c r="JGK21" s="2827"/>
      <c r="JGL21" s="2867"/>
      <c r="JGM21" s="2866"/>
      <c r="JGN21" s="2827"/>
      <c r="JGO21" s="2867"/>
      <c r="JGP21" s="2866"/>
      <c r="JGQ21" s="2827"/>
      <c r="JGR21" s="2867"/>
      <c r="JGS21" s="2866"/>
      <c r="JGT21" s="2827"/>
      <c r="JGU21" s="2867"/>
      <c r="JGV21" s="2866"/>
      <c r="JGW21" s="2827"/>
      <c r="JGX21" s="2867"/>
      <c r="JGY21" s="2866"/>
      <c r="JGZ21" s="2827"/>
      <c r="JHA21" s="2867"/>
      <c r="JHB21" s="2866"/>
      <c r="JHC21" s="2827"/>
      <c r="JHD21" s="2867"/>
      <c r="JHE21" s="2866"/>
      <c r="JHF21" s="2827"/>
      <c r="JHG21" s="2867"/>
      <c r="JHH21" s="2866"/>
      <c r="JHI21" s="2827"/>
      <c r="JHJ21" s="2867"/>
      <c r="JHK21" s="2866"/>
      <c r="JHL21" s="2827"/>
      <c r="JHM21" s="2867"/>
      <c r="JHN21" s="2866"/>
      <c r="JHO21" s="2827"/>
      <c r="JHP21" s="2867"/>
      <c r="JHQ21" s="2866"/>
      <c r="JHR21" s="2827"/>
      <c r="JHS21" s="2867"/>
      <c r="JHT21" s="2866"/>
      <c r="JHU21" s="2827"/>
      <c r="JHV21" s="2867"/>
      <c r="JHW21" s="2866"/>
      <c r="JHX21" s="2827"/>
      <c r="JHY21" s="2867"/>
      <c r="JHZ21" s="2866"/>
      <c r="JIA21" s="2827"/>
      <c r="JIB21" s="2867"/>
      <c r="JIC21" s="2866"/>
      <c r="JID21" s="2827"/>
      <c r="JIE21" s="2867"/>
      <c r="JIF21" s="2866"/>
      <c r="JIG21" s="2827"/>
      <c r="JIH21" s="2867"/>
      <c r="JII21" s="2866"/>
      <c r="JIJ21" s="2827"/>
      <c r="JIK21" s="2867"/>
      <c r="JIL21" s="2866"/>
      <c r="JIM21" s="2827"/>
      <c r="JIN21" s="2867"/>
      <c r="JIO21" s="2866"/>
      <c r="JIP21" s="2827"/>
      <c r="JIQ21" s="2867"/>
      <c r="JIR21" s="2866"/>
      <c r="JIS21" s="2827"/>
      <c r="JIT21" s="2867"/>
      <c r="JIU21" s="2866"/>
      <c r="JIV21" s="2827"/>
      <c r="JIW21" s="2867"/>
      <c r="JIX21" s="2866"/>
      <c r="JIY21" s="2827"/>
      <c r="JIZ21" s="2867"/>
      <c r="JJA21" s="2866"/>
      <c r="JJB21" s="2827"/>
      <c r="JJC21" s="2867"/>
      <c r="JJD21" s="2866"/>
      <c r="JJE21" s="2827"/>
      <c r="JJF21" s="2867"/>
      <c r="JJG21" s="2866"/>
      <c r="JJH21" s="2827"/>
      <c r="JJI21" s="2867"/>
      <c r="JJJ21" s="2866"/>
      <c r="JJK21" s="2827"/>
      <c r="JJL21" s="2867"/>
      <c r="JJM21" s="2866"/>
      <c r="JJN21" s="2827"/>
      <c r="JJO21" s="2867"/>
      <c r="JJP21" s="2866"/>
      <c r="JJQ21" s="2827"/>
      <c r="JJR21" s="2867"/>
      <c r="JJS21" s="2866"/>
      <c r="JJT21" s="2827"/>
      <c r="JJU21" s="2867"/>
      <c r="JJV21" s="2866"/>
      <c r="JJW21" s="2827"/>
      <c r="JJX21" s="2867"/>
      <c r="JJY21" s="2866"/>
      <c r="JJZ21" s="2827"/>
      <c r="JKA21" s="2867"/>
      <c r="JKB21" s="2866"/>
      <c r="JKC21" s="2827"/>
      <c r="JKD21" s="2867"/>
      <c r="JKE21" s="2866"/>
      <c r="JKF21" s="2827"/>
      <c r="JKG21" s="2867"/>
      <c r="JKH21" s="2866"/>
      <c r="JKI21" s="2827"/>
      <c r="JKJ21" s="2867"/>
      <c r="JKK21" s="2866"/>
      <c r="JKL21" s="2827"/>
      <c r="JKM21" s="2867"/>
      <c r="JKN21" s="2866"/>
      <c r="JKO21" s="2827"/>
      <c r="JKP21" s="2867"/>
      <c r="JKQ21" s="2866"/>
      <c r="JKR21" s="2827"/>
      <c r="JKS21" s="2867"/>
      <c r="JKT21" s="2866"/>
      <c r="JKU21" s="2827"/>
      <c r="JKV21" s="2867"/>
      <c r="JKW21" s="2866"/>
      <c r="JKX21" s="2827"/>
      <c r="JKY21" s="2867"/>
      <c r="JKZ21" s="2866"/>
      <c r="JLA21" s="2827"/>
      <c r="JLB21" s="2867"/>
      <c r="JLC21" s="2866"/>
      <c r="JLD21" s="2827"/>
      <c r="JLE21" s="2867"/>
      <c r="JLF21" s="2866"/>
      <c r="JLG21" s="2827"/>
      <c r="JLH21" s="2867"/>
      <c r="JLI21" s="2866"/>
      <c r="JLJ21" s="2827"/>
      <c r="JLK21" s="2867"/>
      <c r="JLL21" s="2866"/>
      <c r="JLM21" s="2827"/>
      <c r="JLN21" s="2867"/>
      <c r="JLO21" s="2866"/>
      <c r="JLP21" s="2827"/>
      <c r="JLQ21" s="2867"/>
      <c r="JLR21" s="2866"/>
      <c r="JLS21" s="2827"/>
      <c r="JLT21" s="2867"/>
      <c r="JLU21" s="2866"/>
      <c r="JLV21" s="2827"/>
      <c r="JLW21" s="2867"/>
      <c r="JLX21" s="2866"/>
      <c r="JLY21" s="2827"/>
      <c r="JLZ21" s="2867"/>
      <c r="JMA21" s="2866"/>
      <c r="JMB21" s="2827"/>
      <c r="JMC21" s="2867"/>
      <c r="JMD21" s="2866"/>
      <c r="JME21" s="2827"/>
      <c r="JMF21" s="2867"/>
      <c r="JMG21" s="2866"/>
      <c r="JMH21" s="2827"/>
      <c r="JMI21" s="2867"/>
      <c r="JMJ21" s="2866"/>
      <c r="JMK21" s="2827"/>
      <c r="JML21" s="2867"/>
      <c r="JMM21" s="2866"/>
      <c r="JMN21" s="2827"/>
      <c r="JMO21" s="2867"/>
      <c r="JMP21" s="2866"/>
      <c r="JMQ21" s="2827"/>
      <c r="JMR21" s="2867"/>
      <c r="JMS21" s="2866"/>
      <c r="JMT21" s="2827"/>
      <c r="JMU21" s="2867"/>
      <c r="JMV21" s="2866"/>
      <c r="JMW21" s="2827"/>
      <c r="JMX21" s="2867"/>
      <c r="JMY21" s="2866"/>
      <c r="JMZ21" s="2827"/>
      <c r="JNA21" s="2867"/>
      <c r="JNB21" s="2866"/>
      <c r="JNC21" s="2827"/>
      <c r="JND21" s="2867"/>
      <c r="JNE21" s="2866"/>
      <c r="JNF21" s="2827"/>
      <c r="JNG21" s="2867"/>
      <c r="JNH21" s="2866"/>
      <c r="JNI21" s="2827"/>
      <c r="JNJ21" s="2867"/>
      <c r="JNK21" s="2866"/>
      <c r="JNL21" s="2827"/>
      <c r="JNM21" s="2867"/>
      <c r="JNN21" s="2866"/>
      <c r="JNO21" s="2827"/>
      <c r="JNP21" s="2867"/>
      <c r="JNQ21" s="2866"/>
      <c r="JNR21" s="2827"/>
      <c r="JNS21" s="2867"/>
      <c r="JNT21" s="2866"/>
      <c r="JNU21" s="2827"/>
      <c r="JNV21" s="2867"/>
      <c r="JNW21" s="2866"/>
      <c r="JNX21" s="2827"/>
      <c r="JNY21" s="2867"/>
      <c r="JNZ21" s="2866"/>
      <c r="JOA21" s="2827"/>
      <c r="JOB21" s="2867"/>
      <c r="JOC21" s="2866"/>
      <c r="JOD21" s="2827"/>
      <c r="JOE21" s="2867"/>
      <c r="JOF21" s="2866"/>
      <c r="JOG21" s="2827"/>
      <c r="JOH21" s="2867"/>
      <c r="JOI21" s="2866"/>
      <c r="JOJ21" s="2827"/>
      <c r="JOK21" s="2867"/>
      <c r="JOL21" s="2866"/>
      <c r="JOM21" s="2827"/>
      <c r="JON21" s="2867"/>
      <c r="JOO21" s="2866"/>
      <c r="JOP21" s="2827"/>
      <c r="JOQ21" s="2867"/>
      <c r="JOR21" s="2866"/>
      <c r="JOS21" s="2827"/>
      <c r="JOT21" s="2867"/>
      <c r="JOU21" s="2866"/>
      <c r="JOV21" s="2827"/>
      <c r="JOW21" s="2867"/>
      <c r="JOX21" s="2866"/>
      <c r="JOY21" s="2827"/>
      <c r="JOZ21" s="2867"/>
      <c r="JPA21" s="2866"/>
      <c r="JPB21" s="2827"/>
      <c r="JPC21" s="2867"/>
      <c r="JPD21" s="2866"/>
      <c r="JPE21" s="2827"/>
      <c r="JPF21" s="2867"/>
      <c r="JPG21" s="2866"/>
      <c r="JPH21" s="2827"/>
      <c r="JPI21" s="2867"/>
      <c r="JPJ21" s="2866"/>
      <c r="JPK21" s="2827"/>
      <c r="JPL21" s="2867"/>
      <c r="JPM21" s="2866"/>
      <c r="JPN21" s="2827"/>
      <c r="JPO21" s="2867"/>
      <c r="JPP21" s="2866"/>
      <c r="JPQ21" s="2827"/>
      <c r="JPR21" s="2867"/>
      <c r="JPS21" s="2866"/>
      <c r="JPT21" s="2827"/>
      <c r="JPU21" s="2867"/>
      <c r="JPV21" s="2866"/>
      <c r="JPW21" s="2827"/>
      <c r="JPX21" s="2867"/>
      <c r="JPY21" s="2866"/>
      <c r="JPZ21" s="2827"/>
      <c r="JQA21" s="2867"/>
      <c r="JQB21" s="2866"/>
      <c r="JQC21" s="2827"/>
      <c r="JQD21" s="2867"/>
      <c r="JQE21" s="2866"/>
      <c r="JQF21" s="2827"/>
      <c r="JQG21" s="2867"/>
      <c r="JQH21" s="2866"/>
      <c r="JQI21" s="2827"/>
      <c r="JQJ21" s="2867"/>
      <c r="JQK21" s="2866"/>
      <c r="JQL21" s="2827"/>
      <c r="JQM21" s="2867"/>
      <c r="JQN21" s="2866"/>
      <c r="JQO21" s="2827"/>
      <c r="JQP21" s="2867"/>
      <c r="JQQ21" s="2866"/>
      <c r="JQR21" s="2827"/>
      <c r="JQS21" s="2867"/>
      <c r="JQT21" s="2866"/>
      <c r="JQU21" s="2827"/>
      <c r="JQV21" s="2867"/>
      <c r="JQW21" s="2866"/>
      <c r="JQX21" s="2827"/>
      <c r="JQY21" s="2867"/>
      <c r="JQZ21" s="2866"/>
      <c r="JRA21" s="2827"/>
      <c r="JRB21" s="2867"/>
      <c r="JRC21" s="2866"/>
      <c r="JRD21" s="2827"/>
      <c r="JRE21" s="2867"/>
      <c r="JRF21" s="2866"/>
      <c r="JRG21" s="2827"/>
      <c r="JRH21" s="2867"/>
      <c r="JRI21" s="2866"/>
      <c r="JRJ21" s="2827"/>
      <c r="JRK21" s="2867"/>
      <c r="JRL21" s="2866"/>
      <c r="JRM21" s="2827"/>
      <c r="JRN21" s="2867"/>
      <c r="JRO21" s="2866"/>
      <c r="JRP21" s="2827"/>
      <c r="JRQ21" s="2867"/>
      <c r="JRR21" s="2866"/>
      <c r="JRS21" s="2827"/>
      <c r="JRT21" s="2867"/>
      <c r="JRU21" s="2866"/>
      <c r="JRV21" s="2827"/>
      <c r="JRW21" s="2867"/>
      <c r="JRX21" s="2866"/>
      <c r="JRY21" s="2827"/>
      <c r="JRZ21" s="2867"/>
      <c r="JSA21" s="2866"/>
      <c r="JSB21" s="2827"/>
      <c r="JSC21" s="2867"/>
      <c r="JSD21" s="2866"/>
      <c r="JSE21" s="2827"/>
      <c r="JSF21" s="2867"/>
      <c r="JSG21" s="2866"/>
      <c r="JSH21" s="2827"/>
      <c r="JSI21" s="2867"/>
      <c r="JSJ21" s="2866"/>
      <c r="JSK21" s="2827"/>
      <c r="JSL21" s="2867"/>
      <c r="JSM21" s="2866"/>
      <c r="JSN21" s="2827"/>
      <c r="JSO21" s="2867"/>
      <c r="JSP21" s="2866"/>
      <c r="JSQ21" s="2827"/>
      <c r="JSR21" s="2867"/>
      <c r="JSS21" s="2866"/>
      <c r="JST21" s="2827"/>
      <c r="JSU21" s="2867"/>
      <c r="JSV21" s="2866"/>
      <c r="JSW21" s="2827"/>
      <c r="JSX21" s="2867"/>
      <c r="JSY21" s="2866"/>
      <c r="JSZ21" s="2827"/>
      <c r="JTA21" s="2867"/>
      <c r="JTB21" s="2866"/>
      <c r="JTC21" s="2827"/>
      <c r="JTD21" s="2867"/>
      <c r="JTE21" s="2866"/>
      <c r="JTF21" s="2827"/>
      <c r="JTG21" s="2867"/>
      <c r="JTH21" s="2866"/>
      <c r="JTI21" s="2827"/>
      <c r="JTJ21" s="2867"/>
      <c r="JTK21" s="2866"/>
      <c r="JTL21" s="2827"/>
      <c r="JTM21" s="2867"/>
      <c r="JTN21" s="2866"/>
      <c r="JTO21" s="2827"/>
      <c r="JTP21" s="2867"/>
      <c r="JTQ21" s="2866"/>
      <c r="JTR21" s="2827"/>
      <c r="JTS21" s="2867"/>
      <c r="JTT21" s="2866"/>
      <c r="JTU21" s="2827"/>
      <c r="JTV21" s="2867"/>
      <c r="JTW21" s="2866"/>
      <c r="JTX21" s="2827"/>
      <c r="JTY21" s="2867"/>
      <c r="JTZ21" s="2866"/>
      <c r="JUA21" s="2827"/>
      <c r="JUB21" s="2867"/>
      <c r="JUC21" s="2866"/>
      <c r="JUD21" s="2827"/>
      <c r="JUE21" s="2867"/>
      <c r="JUF21" s="2866"/>
      <c r="JUG21" s="2827"/>
      <c r="JUH21" s="2867"/>
      <c r="JUI21" s="2866"/>
      <c r="JUJ21" s="2827"/>
      <c r="JUK21" s="2867"/>
      <c r="JUL21" s="2866"/>
      <c r="JUM21" s="2827"/>
      <c r="JUN21" s="2867"/>
      <c r="JUO21" s="2866"/>
      <c r="JUP21" s="2827"/>
      <c r="JUQ21" s="2867"/>
      <c r="JUR21" s="2866"/>
      <c r="JUS21" s="2827"/>
      <c r="JUT21" s="2867"/>
      <c r="JUU21" s="2866"/>
      <c r="JUV21" s="2827"/>
      <c r="JUW21" s="2867"/>
      <c r="JUX21" s="2866"/>
      <c r="JUY21" s="2827"/>
      <c r="JUZ21" s="2867"/>
      <c r="JVA21" s="2866"/>
      <c r="JVB21" s="2827"/>
      <c r="JVC21" s="2867"/>
      <c r="JVD21" s="2866"/>
      <c r="JVE21" s="2827"/>
      <c r="JVF21" s="2867"/>
      <c r="JVG21" s="2866"/>
      <c r="JVH21" s="2827"/>
      <c r="JVI21" s="2867"/>
      <c r="JVJ21" s="2866"/>
      <c r="JVK21" s="2827"/>
      <c r="JVL21" s="2867"/>
      <c r="JVM21" s="2866"/>
      <c r="JVN21" s="2827"/>
      <c r="JVO21" s="2867"/>
      <c r="JVP21" s="2866"/>
      <c r="JVQ21" s="2827"/>
      <c r="JVR21" s="2867"/>
      <c r="JVS21" s="2866"/>
      <c r="JVT21" s="2827"/>
      <c r="JVU21" s="2867"/>
      <c r="JVV21" s="2866"/>
      <c r="JVW21" s="2827"/>
      <c r="JVX21" s="2867"/>
      <c r="JVY21" s="2866"/>
      <c r="JVZ21" s="2827"/>
      <c r="JWA21" s="2867"/>
      <c r="JWB21" s="2866"/>
      <c r="JWC21" s="2827"/>
      <c r="JWD21" s="2867"/>
      <c r="JWE21" s="2866"/>
      <c r="JWF21" s="2827"/>
      <c r="JWG21" s="2867"/>
      <c r="JWH21" s="2866"/>
      <c r="JWI21" s="2827"/>
      <c r="JWJ21" s="2867"/>
      <c r="JWK21" s="2866"/>
      <c r="JWL21" s="2827"/>
      <c r="JWM21" s="2867"/>
      <c r="JWN21" s="2866"/>
      <c r="JWO21" s="2827"/>
      <c r="JWP21" s="2867"/>
      <c r="JWQ21" s="2866"/>
      <c r="JWR21" s="2827"/>
      <c r="JWS21" s="2867"/>
      <c r="JWT21" s="2866"/>
      <c r="JWU21" s="2827"/>
      <c r="JWV21" s="2867"/>
      <c r="JWW21" s="2866"/>
      <c r="JWX21" s="2827"/>
      <c r="JWY21" s="2867"/>
      <c r="JWZ21" s="2866"/>
      <c r="JXA21" s="2827"/>
      <c r="JXB21" s="2867"/>
      <c r="JXC21" s="2866"/>
      <c r="JXD21" s="2827"/>
      <c r="JXE21" s="2867"/>
      <c r="JXF21" s="2866"/>
      <c r="JXG21" s="2827"/>
      <c r="JXH21" s="2867"/>
      <c r="JXI21" s="2866"/>
      <c r="JXJ21" s="2827"/>
      <c r="JXK21" s="2867"/>
      <c r="JXL21" s="2866"/>
      <c r="JXM21" s="2827"/>
      <c r="JXN21" s="2867"/>
      <c r="JXO21" s="2866"/>
      <c r="JXP21" s="2827"/>
      <c r="JXQ21" s="2867"/>
      <c r="JXR21" s="2866"/>
      <c r="JXS21" s="2827"/>
      <c r="JXT21" s="2867"/>
      <c r="JXU21" s="2866"/>
      <c r="JXV21" s="2827"/>
      <c r="JXW21" s="2867"/>
      <c r="JXX21" s="2866"/>
      <c r="JXY21" s="2827"/>
      <c r="JXZ21" s="2867"/>
      <c r="JYA21" s="2866"/>
      <c r="JYB21" s="2827"/>
      <c r="JYC21" s="2867"/>
      <c r="JYD21" s="2866"/>
      <c r="JYE21" s="2827"/>
      <c r="JYF21" s="2867"/>
      <c r="JYG21" s="2866"/>
      <c r="JYH21" s="2827"/>
      <c r="JYI21" s="2867"/>
      <c r="JYJ21" s="2866"/>
      <c r="JYK21" s="2827"/>
      <c r="JYL21" s="2867"/>
      <c r="JYM21" s="2866"/>
      <c r="JYN21" s="2827"/>
      <c r="JYO21" s="2867"/>
      <c r="JYP21" s="2866"/>
      <c r="JYQ21" s="2827"/>
      <c r="JYR21" s="2867"/>
      <c r="JYS21" s="2866"/>
      <c r="JYT21" s="2827"/>
      <c r="JYU21" s="2867"/>
      <c r="JYV21" s="2866"/>
      <c r="JYW21" s="2827"/>
      <c r="JYX21" s="2867"/>
      <c r="JYY21" s="2866"/>
      <c r="JYZ21" s="2827"/>
      <c r="JZA21" s="2867"/>
      <c r="JZB21" s="2866"/>
      <c r="JZC21" s="2827"/>
      <c r="JZD21" s="2867"/>
      <c r="JZE21" s="2866"/>
      <c r="JZF21" s="2827"/>
      <c r="JZG21" s="2867"/>
      <c r="JZH21" s="2866"/>
      <c r="JZI21" s="2827"/>
      <c r="JZJ21" s="2867"/>
      <c r="JZK21" s="2866"/>
      <c r="JZL21" s="2827"/>
      <c r="JZM21" s="2867"/>
      <c r="JZN21" s="2866"/>
      <c r="JZO21" s="2827"/>
      <c r="JZP21" s="2867"/>
      <c r="JZQ21" s="2866"/>
      <c r="JZR21" s="2827"/>
      <c r="JZS21" s="2867"/>
      <c r="JZT21" s="2866"/>
      <c r="JZU21" s="2827"/>
      <c r="JZV21" s="2867"/>
      <c r="JZW21" s="2866"/>
      <c r="JZX21" s="2827"/>
      <c r="JZY21" s="2867"/>
      <c r="JZZ21" s="2866"/>
      <c r="KAA21" s="2827"/>
      <c r="KAB21" s="2867"/>
      <c r="KAC21" s="2866"/>
      <c r="KAD21" s="2827"/>
      <c r="KAE21" s="2867"/>
      <c r="KAF21" s="2866"/>
      <c r="KAG21" s="2827"/>
      <c r="KAH21" s="2867"/>
      <c r="KAI21" s="2866"/>
      <c r="KAJ21" s="2827"/>
      <c r="KAK21" s="2867"/>
      <c r="KAL21" s="2866"/>
      <c r="KAM21" s="2827"/>
      <c r="KAN21" s="2867"/>
      <c r="KAO21" s="2866"/>
      <c r="KAP21" s="2827"/>
      <c r="KAQ21" s="2867"/>
      <c r="KAR21" s="2866"/>
      <c r="KAS21" s="2827"/>
      <c r="KAT21" s="2867"/>
      <c r="KAU21" s="2866"/>
      <c r="KAV21" s="2827"/>
      <c r="KAW21" s="2867"/>
      <c r="KAX21" s="2866"/>
      <c r="KAY21" s="2827"/>
      <c r="KAZ21" s="2867"/>
      <c r="KBA21" s="2866"/>
      <c r="KBB21" s="2827"/>
      <c r="KBC21" s="2867"/>
      <c r="KBD21" s="2866"/>
      <c r="KBE21" s="2827"/>
      <c r="KBF21" s="2867"/>
      <c r="KBG21" s="2866"/>
      <c r="KBH21" s="2827"/>
      <c r="KBI21" s="2867"/>
      <c r="KBJ21" s="2866"/>
      <c r="KBK21" s="2827"/>
      <c r="KBL21" s="2867"/>
      <c r="KBM21" s="2866"/>
      <c r="KBN21" s="2827"/>
      <c r="KBO21" s="2867"/>
      <c r="KBP21" s="2866"/>
      <c r="KBQ21" s="2827"/>
      <c r="KBR21" s="2867"/>
      <c r="KBS21" s="2866"/>
      <c r="KBT21" s="2827"/>
      <c r="KBU21" s="2867"/>
      <c r="KBV21" s="2866"/>
      <c r="KBW21" s="2827"/>
      <c r="KBX21" s="2867"/>
      <c r="KBY21" s="2866"/>
      <c r="KBZ21" s="2827"/>
      <c r="KCA21" s="2867"/>
      <c r="KCB21" s="2866"/>
      <c r="KCC21" s="2827"/>
      <c r="KCD21" s="2867"/>
      <c r="KCE21" s="2866"/>
      <c r="KCF21" s="2827"/>
      <c r="KCG21" s="2867"/>
      <c r="KCH21" s="2866"/>
      <c r="KCI21" s="2827"/>
      <c r="KCJ21" s="2867"/>
      <c r="KCK21" s="2866"/>
      <c r="KCL21" s="2827"/>
      <c r="KCM21" s="2867"/>
      <c r="KCN21" s="2866"/>
      <c r="KCO21" s="2827"/>
      <c r="KCP21" s="2867"/>
      <c r="KCQ21" s="2866"/>
      <c r="KCR21" s="2827"/>
      <c r="KCS21" s="2867"/>
      <c r="KCT21" s="2866"/>
      <c r="KCU21" s="2827"/>
      <c r="KCV21" s="2867"/>
      <c r="KCW21" s="2866"/>
      <c r="KCX21" s="2827"/>
      <c r="KCY21" s="2867"/>
      <c r="KCZ21" s="2866"/>
      <c r="KDA21" s="2827"/>
      <c r="KDB21" s="2867"/>
      <c r="KDC21" s="2866"/>
      <c r="KDD21" s="2827"/>
      <c r="KDE21" s="2867"/>
      <c r="KDF21" s="2866"/>
      <c r="KDG21" s="2827"/>
      <c r="KDH21" s="2867"/>
      <c r="KDI21" s="2866"/>
      <c r="KDJ21" s="2827"/>
      <c r="KDK21" s="2867"/>
      <c r="KDL21" s="2866"/>
      <c r="KDM21" s="2827"/>
      <c r="KDN21" s="2867"/>
      <c r="KDO21" s="2866"/>
      <c r="KDP21" s="2827"/>
      <c r="KDQ21" s="2867"/>
      <c r="KDR21" s="2866"/>
      <c r="KDS21" s="2827"/>
      <c r="KDT21" s="2867"/>
      <c r="KDU21" s="2866"/>
      <c r="KDV21" s="2827"/>
      <c r="KDW21" s="2867"/>
      <c r="KDX21" s="2866"/>
      <c r="KDY21" s="2827"/>
      <c r="KDZ21" s="2867"/>
      <c r="KEA21" s="2866"/>
      <c r="KEB21" s="2827"/>
      <c r="KEC21" s="2867"/>
      <c r="KED21" s="2866"/>
      <c r="KEE21" s="2827"/>
      <c r="KEF21" s="2867"/>
      <c r="KEG21" s="2866"/>
      <c r="KEH21" s="2827"/>
      <c r="KEI21" s="2867"/>
      <c r="KEJ21" s="2866"/>
      <c r="KEK21" s="2827"/>
      <c r="KEL21" s="2867"/>
      <c r="KEM21" s="2866"/>
      <c r="KEN21" s="2827"/>
      <c r="KEO21" s="2867"/>
      <c r="KEP21" s="2866"/>
      <c r="KEQ21" s="2827"/>
      <c r="KER21" s="2867"/>
      <c r="KES21" s="2866"/>
      <c r="KET21" s="2827"/>
      <c r="KEU21" s="2867"/>
      <c r="KEV21" s="2866"/>
      <c r="KEW21" s="2827"/>
      <c r="KEX21" s="2867"/>
      <c r="KEY21" s="2866"/>
      <c r="KEZ21" s="2827"/>
      <c r="KFA21" s="2867"/>
      <c r="KFB21" s="2866"/>
      <c r="KFC21" s="2827"/>
      <c r="KFD21" s="2867"/>
      <c r="KFE21" s="2866"/>
      <c r="KFF21" s="2827"/>
      <c r="KFG21" s="2867"/>
      <c r="KFH21" s="2866"/>
      <c r="KFI21" s="2827"/>
      <c r="KFJ21" s="2867"/>
      <c r="KFK21" s="2866"/>
      <c r="KFL21" s="2827"/>
      <c r="KFM21" s="2867"/>
      <c r="KFN21" s="2866"/>
      <c r="KFO21" s="2827"/>
      <c r="KFP21" s="2867"/>
      <c r="KFQ21" s="2866"/>
      <c r="KFR21" s="2827"/>
      <c r="KFS21" s="2867"/>
      <c r="KFT21" s="2866"/>
      <c r="KFU21" s="2827"/>
      <c r="KFV21" s="2867"/>
      <c r="KFW21" s="2866"/>
      <c r="KFX21" s="2827"/>
      <c r="KFY21" s="2867"/>
      <c r="KFZ21" s="2866"/>
      <c r="KGA21" s="2827"/>
      <c r="KGB21" s="2867"/>
      <c r="KGC21" s="2866"/>
      <c r="KGD21" s="2827"/>
      <c r="KGE21" s="2867"/>
      <c r="KGF21" s="2866"/>
      <c r="KGG21" s="2827"/>
      <c r="KGH21" s="2867"/>
      <c r="KGI21" s="2866"/>
      <c r="KGJ21" s="2827"/>
      <c r="KGK21" s="2867"/>
      <c r="KGL21" s="2866"/>
      <c r="KGM21" s="2827"/>
      <c r="KGN21" s="2867"/>
      <c r="KGO21" s="2866"/>
      <c r="KGP21" s="2827"/>
      <c r="KGQ21" s="2867"/>
      <c r="KGR21" s="2866"/>
      <c r="KGS21" s="2827"/>
      <c r="KGT21" s="2867"/>
      <c r="KGU21" s="2866"/>
      <c r="KGV21" s="2827"/>
      <c r="KGW21" s="2867"/>
      <c r="KGX21" s="2866"/>
      <c r="KGY21" s="2827"/>
      <c r="KGZ21" s="2867"/>
      <c r="KHA21" s="2866"/>
      <c r="KHB21" s="2827"/>
      <c r="KHC21" s="2867"/>
      <c r="KHD21" s="2866"/>
      <c r="KHE21" s="2827"/>
      <c r="KHF21" s="2867"/>
      <c r="KHG21" s="2866"/>
      <c r="KHH21" s="2827"/>
      <c r="KHI21" s="2867"/>
      <c r="KHJ21" s="2866"/>
      <c r="KHK21" s="2827"/>
      <c r="KHL21" s="2867"/>
      <c r="KHM21" s="2866"/>
      <c r="KHN21" s="2827"/>
      <c r="KHO21" s="2867"/>
      <c r="KHP21" s="2866"/>
      <c r="KHQ21" s="2827"/>
      <c r="KHR21" s="2867"/>
      <c r="KHS21" s="2866"/>
      <c r="KHT21" s="2827"/>
      <c r="KHU21" s="2867"/>
      <c r="KHV21" s="2866"/>
      <c r="KHW21" s="2827"/>
      <c r="KHX21" s="2867"/>
      <c r="KHY21" s="2866"/>
      <c r="KHZ21" s="2827"/>
      <c r="KIA21" s="2867"/>
      <c r="KIB21" s="2866"/>
      <c r="KIC21" s="2827"/>
      <c r="KID21" s="2867"/>
      <c r="KIE21" s="2866"/>
      <c r="KIF21" s="2827"/>
      <c r="KIG21" s="2867"/>
      <c r="KIH21" s="2866"/>
      <c r="KII21" s="2827"/>
      <c r="KIJ21" s="2867"/>
      <c r="KIK21" s="2866"/>
      <c r="KIL21" s="2827"/>
      <c r="KIM21" s="2867"/>
      <c r="KIN21" s="2866"/>
      <c r="KIO21" s="2827"/>
      <c r="KIP21" s="2867"/>
      <c r="KIQ21" s="2866"/>
      <c r="KIR21" s="2827"/>
      <c r="KIS21" s="2867"/>
      <c r="KIT21" s="2866"/>
      <c r="KIU21" s="2827"/>
      <c r="KIV21" s="2867"/>
      <c r="KIW21" s="2866"/>
      <c r="KIX21" s="2827"/>
      <c r="KIY21" s="2867"/>
      <c r="KIZ21" s="2866"/>
      <c r="KJA21" s="2827"/>
      <c r="KJB21" s="2867"/>
      <c r="KJC21" s="2866"/>
      <c r="KJD21" s="2827"/>
      <c r="KJE21" s="2867"/>
      <c r="KJF21" s="2866"/>
      <c r="KJG21" s="2827"/>
      <c r="KJH21" s="2867"/>
      <c r="KJI21" s="2866"/>
      <c r="KJJ21" s="2827"/>
      <c r="KJK21" s="2867"/>
      <c r="KJL21" s="2866"/>
      <c r="KJM21" s="2827"/>
      <c r="KJN21" s="2867"/>
      <c r="KJO21" s="2866"/>
      <c r="KJP21" s="2827"/>
      <c r="KJQ21" s="2867"/>
      <c r="KJR21" s="2866"/>
      <c r="KJS21" s="2827"/>
      <c r="KJT21" s="2867"/>
      <c r="KJU21" s="2866"/>
      <c r="KJV21" s="2827"/>
      <c r="KJW21" s="2867"/>
      <c r="KJX21" s="2866"/>
      <c r="KJY21" s="2827"/>
      <c r="KJZ21" s="2867"/>
      <c r="KKA21" s="2866"/>
      <c r="KKB21" s="2827"/>
      <c r="KKC21" s="2867"/>
      <c r="KKD21" s="2866"/>
      <c r="KKE21" s="2827"/>
      <c r="KKF21" s="2867"/>
      <c r="KKG21" s="2866"/>
      <c r="KKH21" s="2827"/>
      <c r="KKI21" s="2867"/>
      <c r="KKJ21" s="2866"/>
      <c r="KKK21" s="2827"/>
      <c r="KKL21" s="2867"/>
      <c r="KKM21" s="2866"/>
      <c r="KKN21" s="2827"/>
      <c r="KKO21" s="2867"/>
      <c r="KKP21" s="2866"/>
      <c r="KKQ21" s="2827"/>
      <c r="KKR21" s="2867"/>
      <c r="KKS21" s="2866"/>
      <c r="KKT21" s="2827"/>
      <c r="KKU21" s="2867"/>
      <c r="KKV21" s="2866"/>
      <c r="KKW21" s="2827"/>
      <c r="KKX21" s="2867"/>
      <c r="KKY21" s="2866"/>
      <c r="KKZ21" s="2827"/>
      <c r="KLA21" s="2867"/>
      <c r="KLB21" s="2866"/>
      <c r="KLC21" s="2827"/>
      <c r="KLD21" s="2867"/>
      <c r="KLE21" s="2866"/>
      <c r="KLF21" s="2827"/>
      <c r="KLG21" s="2867"/>
      <c r="KLH21" s="2866"/>
      <c r="KLI21" s="2827"/>
      <c r="KLJ21" s="2867"/>
      <c r="KLK21" s="2866"/>
      <c r="KLL21" s="2827"/>
      <c r="KLM21" s="2867"/>
      <c r="KLN21" s="2866"/>
      <c r="KLO21" s="2827"/>
      <c r="KLP21" s="2867"/>
      <c r="KLQ21" s="2866"/>
      <c r="KLR21" s="2827"/>
      <c r="KLS21" s="2867"/>
      <c r="KLT21" s="2866"/>
      <c r="KLU21" s="2827"/>
      <c r="KLV21" s="2867"/>
      <c r="KLW21" s="2866"/>
      <c r="KLX21" s="2827"/>
      <c r="KLY21" s="2867"/>
      <c r="KLZ21" s="2866"/>
      <c r="KMA21" s="2827"/>
      <c r="KMB21" s="2867"/>
      <c r="KMC21" s="2866"/>
      <c r="KMD21" s="2827"/>
      <c r="KME21" s="2867"/>
      <c r="KMF21" s="2866"/>
      <c r="KMG21" s="2827"/>
      <c r="KMH21" s="2867"/>
      <c r="KMI21" s="2866"/>
      <c r="KMJ21" s="2827"/>
      <c r="KMK21" s="2867"/>
      <c r="KML21" s="2866"/>
      <c r="KMM21" s="2827"/>
      <c r="KMN21" s="2867"/>
      <c r="KMO21" s="2866"/>
      <c r="KMP21" s="2827"/>
      <c r="KMQ21" s="2867"/>
      <c r="KMR21" s="2866"/>
      <c r="KMS21" s="2827"/>
      <c r="KMT21" s="2867"/>
      <c r="KMU21" s="2866"/>
      <c r="KMV21" s="2827"/>
      <c r="KMW21" s="2867"/>
      <c r="KMX21" s="2866"/>
      <c r="KMY21" s="2827"/>
      <c r="KMZ21" s="2867"/>
      <c r="KNA21" s="2866"/>
      <c r="KNB21" s="2827"/>
      <c r="KNC21" s="2867"/>
      <c r="KND21" s="2866"/>
      <c r="KNE21" s="2827"/>
      <c r="KNF21" s="2867"/>
      <c r="KNG21" s="2866"/>
      <c r="KNH21" s="2827"/>
      <c r="KNI21" s="2867"/>
      <c r="KNJ21" s="2866"/>
      <c r="KNK21" s="2827"/>
      <c r="KNL21" s="2867"/>
      <c r="KNM21" s="2866"/>
      <c r="KNN21" s="2827"/>
      <c r="KNO21" s="2867"/>
      <c r="KNP21" s="2866"/>
      <c r="KNQ21" s="2827"/>
      <c r="KNR21" s="2867"/>
      <c r="KNS21" s="2866"/>
      <c r="KNT21" s="2827"/>
      <c r="KNU21" s="2867"/>
      <c r="KNV21" s="2866"/>
      <c r="KNW21" s="2827"/>
      <c r="KNX21" s="2867"/>
      <c r="KNY21" s="2866"/>
      <c r="KNZ21" s="2827"/>
      <c r="KOA21" s="2867"/>
      <c r="KOB21" s="2866"/>
      <c r="KOC21" s="2827"/>
      <c r="KOD21" s="2867"/>
      <c r="KOE21" s="2866"/>
      <c r="KOF21" s="2827"/>
      <c r="KOG21" s="2867"/>
      <c r="KOH21" s="2866"/>
      <c r="KOI21" s="2827"/>
      <c r="KOJ21" s="2867"/>
      <c r="KOK21" s="2866"/>
      <c r="KOL21" s="2827"/>
      <c r="KOM21" s="2867"/>
      <c r="KON21" s="2866"/>
      <c r="KOO21" s="2827"/>
      <c r="KOP21" s="2867"/>
      <c r="KOQ21" s="2866"/>
      <c r="KOR21" s="2827"/>
      <c r="KOS21" s="2867"/>
      <c r="KOT21" s="2866"/>
      <c r="KOU21" s="2827"/>
      <c r="KOV21" s="2867"/>
      <c r="KOW21" s="2866"/>
      <c r="KOX21" s="2827"/>
      <c r="KOY21" s="2867"/>
      <c r="KOZ21" s="2866"/>
      <c r="KPA21" s="2827"/>
      <c r="KPB21" s="2867"/>
      <c r="KPC21" s="2866"/>
      <c r="KPD21" s="2827"/>
      <c r="KPE21" s="2867"/>
      <c r="KPF21" s="2866"/>
      <c r="KPG21" s="2827"/>
      <c r="KPH21" s="2867"/>
      <c r="KPI21" s="2866"/>
      <c r="KPJ21" s="2827"/>
      <c r="KPK21" s="2867"/>
      <c r="KPL21" s="2866"/>
      <c r="KPM21" s="2827"/>
      <c r="KPN21" s="2867"/>
      <c r="KPO21" s="2866"/>
      <c r="KPP21" s="2827"/>
      <c r="KPQ21" s="2867"/>
      <c r="KPR21" s="2866"/>
      <c r="KPS21" s="2827"/>
      <c r="KPT21" s="2867"/>
      <c r="KPU21" s="2866"/>
      <c r="KPV21" s="2827"/>
      <c r="KPW21" s="2867"/>
      <c r="KPX21" s="2866"/>
      <c r="KPY21" s="2827"/>
      <c r="KPZ21" s="2867"/>
      <c r="KQA21" s="2866"/>
      <c r="KQB21" s="2827"/>
      <c r="KQC21" s="2867"/>
      <c r="KQD21" s="2866"/>
      <c r="KQE21" s="2827"/>
      <c r="KQF21" s="2867"/>
      <c r="KQG21" s="2866"/>
      <c r="KQH21" s="2827"/>
      <c r="KQI21" s="2867"/>
      <c r="KQJ21" s="2866"/>
      <c r="KQK21" s="2827"/>
      <c r="KQL21" s="2867"/>
      <c r="KQM21" s="2866"/>
      <c r="KQN21" s="2827"/>
      <c r="KQO21" s="2867"/>
      <c r="KQP21" s="2866"/>
      <c r="KQQ21" s="2827"/>
      <c r="KQR21" s="2867"/>
      <c r="KQS21" s="2866"/>
      <c r="KQT21" s="2827"/>
      <c r="KQU21" s="2867"/>
      <c r="KQV21" s="2866"/>
      <c r="KQW21" s="2827"/>
      <c r="KQX21" s="2867"/>
      <c r="KQY21" s="2866"/>
      <c r="KQZ21" s="2827"/>
      <c r="KRA21" s="2867"/>
      <c r="KRB21" s="2866"/>
      <c r="KRC21" s="2827"/>
      <c r="KRD21" s="2867"/>
      <c r="KRE21" s="2866"/>
      <c r="KRF21" s="2827"/>
      <c r="KRG21" s="2867"/>
      <c r="KRH21" s="2866"/>
      <c r="KRI21" s="2827"/>
      <c r="KRJ21" s="2867"/>
      <c r="KRK21" s="2866"/>
      <c r="KRL21" s="2827"/>
      <c r="KRM21" s="2867"/>
      <c r="KRN21" s="2866"/>
      <c r="KRO21" s="2827"/>
      <c r="KRP21" s="2867"/>
      <c r="KRQ21" s="2866"/>
      <c r="KRR21" s="2827"/>
      <c r="KRS21" s="2867"/>
      <c r="KRT21" s="2866"/>
      <c r="KRU21" s="2827"/>
      <c r="KRV21" s="2867"/>
      <c r="KRW21" s="2866"/>
      <c r="KRX21" s="2827"/>
      <c r="KRY21" s="2867"/>
      <c r="KRZ21" s="2866"/>
      <c r="KSA21" s="2827"/>
      <c r="KSB21" s="2867"/>
      <c r="KSC21" s="2866"/>
      <c r="KSD21" s="2827"/>
      <c r="KSE21" s="2867"/>
      <c r="KSF21" s="2866"/>
      <c r="KSG21" s="2827"/>
      <c r="KSH21" s="2867"/>
      <c r="KSI21" s="2866"/>
      <c r="KSJ21" s="2827"/>
      <c r="KSK21" s="2867"/>
      <c r="KSL21" s="2866"/>
      <c r="KSM21" s="2827"/>
      <c r="KSN21" s="2867"/>
      <c r="KSO21" s="2866"/>
      <c r="KSP21" s="2827"/>
      <c r="KSQ21" s="2867"/>
      <c r="KSR21" s="2866"/>
      <c r="KSS21" s="2827"/>
      <c r="KST21" s="2867"/>
      <c r="KSU21" s="2866"/>
      <c r="KSV21" s="2827"/>
      <c r="KSW21" s="2867"/>
      <c r="KSX21" s="2866"/>
      <c r="KSY21" s="2827"/>
      <c r="KSZ21" s="2867"/>
      <c r="KTA21" s="2866"/>
      <c r="KTB21" s="2827"/>
      <c r="KTC21" s="2867"/>
      <c r="KTD21" s="2866"/>
      <c r="KTE21" s="2827"/>
      <c r="KTF21" s="2867"/>
      <c r="KTG21" s="2866"/>
      <c r="KTH21" s="2827"/>
      <c r="KTI21" s="2867"/>
      <c r="KTJ21" s="2866"/>
      <c r="KTK21" s="2827"/>
      <c r="KTL21" s="2867"/>
      <c r="KTM21" s="2866"/>
      <c r="KTN21" s="2827"/>
      <c r="KTO21" s="2867"/>
      <c r="KTP21" s="2866"/>
      <c r="KTQ21" s="2827"/>
      <c r="KTR21" s="2867"/>
      <c r="KTS21" s="2866"/>
      <c r="KTT21" s="2827"/>
      <c r="KTU21" s="2867"/>
      <c r="KTV21" s="2866"/>
      <c r="KTW21" s="2827"/>
      <c r="KTX21" s="2867"/>
      <c r="KTY21" s="2866"/>
      <c r="KTZ21" s="2827"/>
      <c r="KUA21" s="2867"/>
      <c r="KUB21" s="2866"/>
      <c r="KUC21" s="2827"/>
      <c r="KUD21" s="2867"/>
      <c r="KUE21" s="2866"/>
      <c r="KUF21" s="2827"/>
      <c r="KUG21" s="2867"/>
      <c r="KUH21" s="2866"/>
      <c r="KUI21" s="2827"/>
      <c r="KUJ21" s="2867"/>
      <c r="KUK21" s="2866"/>
      <c r="KUL21" s="2827"/>
      <c r="KUM21" s="2867"/>
      <c r="KUN21" s="2866"/>
      <c r="KUO21" s="2827"/>
      <c r="KUP21" s="2867"/>
      <c r="KUQ21" s="2866"/>
      <c r="KUR21" s="2827"/>
      <c r="KUS21" s="2867"/>
      <c r="KUT21" s="2866"/>
      <c r="KUU21" s="2827"/>
      <c r="KUV21" s="2867"/>
      <c r="KUW21" s="2866"/>
      <c r="KUX21" s="2827"/>
      <c r="KUY21" s="2867"/>
      <c r="KUZ21" s="2866"/>
      <c r="KVA21" s="2827"/>
      <c r="KVB21" s="2867"/>
      <c r="KVC21" s="2866"/>
      <c r="KVD21" s="2827"/>
      <c r="KVE21" s="2867"/>
      <c r="KVF21" s="2866"/>
      <c r="KVG21" s="2827"/>
      <c r="KVH21" s="2867"/>
      <c r="KVI21" s="2866"/>
      <c r="KVJ21" s="2827"/>
      <c r="KVK21" s="2867"/>
      <c r="KVL21" s="2866"/>
      <c r="KVM21" s="2827"/>
      <c r="KVN21" s="2867"/>
      <c r="KVO21" s="2866"/>
      <c r="KVP21" s="2827"/>
      <c r="KVQ21" s="2867"/>
      <c r="KVR21" s="2866"/>
      <c r="KVS21" s="2827"/>
      <c r="KVT21" s="2867"/>
      <c r="KVU21" s="2866"/>
      <c r="KVV21" s="2827"/>
      <c r="KVW21" s="2867"/>
      <c r="KVX21" s="2866"/>
      <c r="KVY21" s="2827"/>
      <c r="KVZ21" s="2867"/>
      <c r="KWA21" s="2866"/>
      <c r="KWB21" s="2827"/>
      <c r="KWC21" s="2867"/>
      <c r="KWD21" s="2866"/>
      <c r="KWE21" s="2827"/>
      <c r="KWF21" s="2867"/>
      <c r="KWG21" s="2866"/>
      <c r="KWH21" s="2827"/>
      <c r="KWI21" s="2867"/>
      <c r="KWJ21" s="2866"/>
      <c r="KWK21" s="2827"/>
      <c r="KWL21" s="2867"/>
      <c r="KWM21" s="2866"/>
      <c r="KWN21" s="2827"/>
      <c r="KWO21" s="2867"/>
      <c r="KWP21" s="2866"/>
      <c r="KWQ21" s="2827"/>
      <c r="KWR21" s="2867"/>
      <c r="KWS21" s="2866"/>
      <c r="KWT21" s="2827"/>
      <c r="KWU21" s="2867"/>
      <c r="KWV21" s="2866"/>
      <c r="KWW21" s="2827"/>
      <c r="KWX21" s="2867"/>
      <c r="KWY21" s="2866"/>
      <c r="KWZ21" s="2827"/>
      <c r="KXA21" s="2867"/>
      <c r="KXB21" s="2866"/>
      <c r="KXC21" s="2827"/>
      <c r="KXD21" s="2867"/>
      <c r="KXE21" s="2866"/>
      <c r="KXF21" s="2827"/>
      <c r="KXG21" s="2867"/>
      <c r="KXH21" s="2866"/>
      <c r="KXI21" s="2827"/>
      <c r="KXJ21" s="2867"/>
      <c r="KXK21" s="2866"/>
      <c r="KXL21" s="2827"/>
      <c r="KXM21" s="2867"/>
      <c r="KXN21" s="2866"/>
      <c r="KXO21" s="2827"/>
      <c r="KXP21" s="2867"/>
      <c r="KXQ21" s="2866"/>
      <c r="KXR21" s="2827"/>
      <c r="KXS21" s="2867"/>
      <c r="KXT21" s="2866"/>
      <c r="KXU21" s="2827"/>
      <c r="KXV21" s="2867"/>
      <c r="KXW21" s="2866"/>
      <c r="KXX21" s="2827"/>
      <c r="KXY21" s="2867"/>
      <c r="KXZ21" s="2866"/>
      <c r="KYA21" s="2827"/>
      <c r="KYB21" s="2867"/>
      <c r="KYC21" s="2866"/>
      <c r="KYD21" s="2827"/>
      <c r="KYE21" s="2867"/>
      <c r="KYF21" s="2866"/>
      <c r="KYG21" s="2827"/>
      <c r="KYH21" s="2867"/>
      <c r="KYI21" s="2866"/>
      <c r="KYJ21" s="2827"/>
      <c r="KYK21" s="2867"/>
      <c r="KYL21" s="2866"/>
      <c r="KYM21" s="2827"/>
      <c r="KYN21" s="2867"/>
      <c r="KYO21" s="2866"/>
      <c r="KYP21" s="2827"/>
      <c r="KYQ21" s="2867"/>
      <c r="KYR21" s="2866"/>
      <c r="KYS21" s="2827"/>
      <c r="KYT21" s="2867"/>
      <c r="KYU21" s="2866"/>
      <c r="KYV21" s="2827"/>
      <c r="KYW21" s="2867"/>
      <c r="KYX21" s="2866"/>
      <c r="KYY21" s="2827"/>
      <c r="KYZ21" s="2867"/>
      <c r="KZA21" s="2866"/>
      <c r="KZB21" s="2827"/>
      <c r="KZC21" s="2867"/>
      <c r="KZD21" s="2866"/>
      <c r="KZE21" s="2827"/>
      <c r="KZF21" s="2867"/>
      <c r="KZG21" s="2866"/>
      <c r="KZH21" s="2827"/>
      <c r="KZI21" s="2867"/>
      <c r="KZJ21" s="2866"/>
      <c r="KZK21" s="2827"/>
      <c r="KZL21" s="2867"/>
      <c r="KZM21" s="2866"/>
      <c r="KZN21" s="2827"/>
      <c r="KZO21" s="2867"/>
      <c r="KZP21" s="2866"/>
      <c r="KZQ21" s="2827"/>
      <c r="KZR21" s="2867"/>
      <c r="KZS21" s="2866"/>
      <c r="KZT21" s="2827"/>
      <c r="KZU21" s="2867"/>
      <c r="KZV21" s="2866"/>
      <c r="KZW21" s="2827"/>
      <c r="KZX21" s="2867"/>
      <c r="KZY21" s="2866"/>
      <c r="KZZ21" s="2827"/>
      <c r="LAA21" s="2867"/>
      <c r="LAB21" s="2866"/>
      <c r="LAC21" s="2827"/>
      <c r="LAD21" s="2867"/>
      <c r="LAE21" s="2866"/>
      <c r="LAF21" s="2827"/>
      <c r="LAG21" s="2867"/>
      <c r="LAH21" s="2866"/>
      <c r="LAI21" s="2827"/>
      <c r="LAJ21" s="2867"/>
      <c r="LAK21" s="2866"/>
      <c r="LAL21" s="2827"/>
      <c r="LAM21" s="2867"/>
      <c r="LAN21" s="2866"/>
      <c r="LAO21" s="2827"/>
      <c r="LAP21" s="2867"/>
      <c r="LAQ21" s="2866"/>
      <c r="LAR21" s="2827"/>
      <c r="LAS21" s="2867"/>
      <c r="LAT21" s="2866"/>
      <c r="LAU21" s="2827"/>
      <c r="LAV21" s="2867"/>
      <c r="LAW21" s="2866"/>
      <c r="LAX21" s="2827"/>
      <c r="LAY21" s="2867"/>
      <c r="LAZ21" s="2866"/>
      <c r="LBA21" s="2827"/>
      <c r="LBB21" s="2867"/>
      <c r="LBC21" s="2866"/>
      <c r="LBD21" s="2827"/>
      <c r="LBE21" s="2867"/>
      <c r="LBF21" s="2866"/>
      <c r="LBG21" s="2827"/>
      <c r="LBH21" s="2867"/>
      <c r="LBI21" s="2866"/>
      <c r="LBJ21" s="2827"/>
      <c r="LBK21" s="2867"/>
      <c r="LBL21" s="2866"/>
      <c r="LBM21" s="2827"/>
      <c r="LBN21" s="2867"/>
      <c r="LBO21" s="2866"/>
      <c r="LBP21" s="2827"/>
      <c r="LBQ21" s="2867"/>
      <c r="LBR21" s="2866"/>
      <c r="LBS21" s="2827"/>
      <c r="LBT21" s="2867"/>
      <c r="LBU21" s="2866"/>
      <c r="LBV21" s="2827"/>
      <c r="LBW21" s="2867"/>
      <c r="LBX21" s="2866"/>
      <c r="LBY21" s="2827"/>
      <c r="LBZ21" s="2867"/>
      <c r="LCA21" s="2866"/>
      <c r="LCB21" s="2827"/>
      <c r="LCC21" s="2867"/>
      <c r="LCD21" s="2866"/>
      <c r="LCE21" s="2827"/>
      <c r="LCF21" s="2867"/>
      <c r="LCG21" s="2866"/>
      <c r="LCH21" s="2827"/>
      <c r="LCI21" s="2867"/>
      <c r="LCJ21" s="2866"/>
      <c r="LCK21" s="2827"/>
      <c r="LCL21" s="2867"/>
      <c r="LCM21" s="2866"/>
      <c r="LCN21" s="2827"/>
      <c r="LCO21" s="2867"/>
      <c r="LCP21" s="2866"/>
      <c r="LCQ21" s="2827"/>
      <c r="LCR21" s="2867"/>
      <c r="LCS21" s="2866"/>
      <c r="LCT21" s="2827"/>
      <c r="LCU21" s="2867"/>
      <c r="LCV21" s="2866"/>
      <c r="LCW21" s="2827"/>
      <c r="LCX21" s="2867"/>
      <c r="LCY21" s="2866"/>
      <c r="LCZ21" s="2827"/>
      <c r="LDA21" s="2867"/>
      <c r="LDB21" s="2866"/>
      <c r="LDC21" s="2827"/>
      <c r="LDD21" s="2867"/>
      <c r="LDE21" s="2866"/>
      <c r="LDF21" s="2827"/>
      <c r="LDG21" s="2867"/>
      <c r="LDH21" s="2866"/>
      <c r="LDI21" s="2827"/>
      <c r="LDJ21" s="2867"/>
      <c r="LDK21" s="2866"/>
      <c r="LDL21" s="2827"/>
      <c r="LDM21" s="2867"/>
      <c r="LDN21" s="2866"/>
      <c r="LDO21" s="2827"/>
      <c r="LDP21" s="2867"/>
      <c r="LDQ21" s="2866"/>
      <c r="LDR21" s="2827"/>
      <c r="LDS21" s="2867"/>
      <c r="LDT21" s="2866"/>
      <c r="LDU21" s="2827"/>
      <c r="LDV21" s="2867"/>
      <c r="LDW21" s="2866"/>
      <c r="LDX21" s="2827"/>
      <c r="LDY21" s="2867"/>
      <c r="LDZ21" s="2866"/>
      <c r="LEA21" s="2827"/>
      <c r="LEB21" s="2867"/>
      <c r="LEC21" s="2866"/>
      <c r="LED21" s="2827"/>
      <c r="LEE21" s="2867"/>
      <c r="LEF21" s="2866"/>
      <c r="LEG21" s="2827"/>
      <c r="LEH21" s="2867"/>
      <c r="LEI21" s="2866"/>
      <c r="LEJ21" s="2827"/>
      <c r="LEK21" s="2867"/>
      <c r="LEL21" s="2866"/>
      <c r="LEM21" s="2827"/>
      <c r="LEN21" s="2867"/>
      <c r="LEO21" s="2866"/>
      <c r="LEP21" s="2827"/>
      <c r="LEQ21" s="2867"/>
      <c r="LER21" s="2866"/>
      <c r="LES21" s="2827"/>
      <c r="LET21" s="2867"/>
      <c r="LEU21" s="2866"/>
      <c r="LEV21" s="2827"/>
      <c r="LEW21" s="2867"/>
      <c r="LEX21" s="2866"/>
      <c r="LEY21" s="2827"/>
      <c r="LEZ21" s="2867"/>
      <c r="LFA21" s="2866"/>
      <c r="LFB21" s="2827"/>
      <c r="LFC21" s="2867"/>
      <c r="LFD21" s="2866"/>
      <c r="LFE21" s="2827"/>
      <c r="LFF21" s="2867"/>
      <c r="LFG21" s="2866"/>
      <c r="LFH21" s="2827"/>
      <c r="LFI21" s="2867"/>
      <c r="LFJ21" s="2866"/>
      <c r="LFK21" s="2827"/>
      <c r="LFL21" s="2867"/>
      <c r="LFM21" s="2866"/>
      <c r="LFN21" s="2827"/>
      <c r="LFO21" s="2867"/>
      <c r="LFP21" s="2866"/>
      <c r="LFQ21" s="2827"/>
      <c r="LFR21" s="2867"/>
      <c r="LFS21" s="2866"/>
      <c r="LFT21" s="2827"/>
      <c r="LFU21" s="2867"/>
      <c r="LFV21" s="2866"/>
      <c r="LFW21" s="2827"/>
      <c r="LFX21" s="2867"/>
      <c r="LFY21" s="2866"/>
      <c r="LFZ21" s="2827"/>
      <c r="LGA21" s="2867"/>
      <c r="LGB21" s="2866"/>
      <c r="LGC21" s="2827"/>
      <c r="LGD21" s="2867"/>
      <c r="LGE21" s="2866"/>
      <c r="LGF21" s="2827"/>
      <c r="LGG21" s="2867"/>
      <c r="LGH21" s="2866"/>
      <c r="LGI21" s="2827"/>
      <c r="LGJ21" s="2867"/>
      <c r="LGK21" s="2866"/>
      <c r="LGL21" s="2827"/>
      <c r="LGM21" s="2867"/>
      <c r="LGN21" s="2866"/>
      <c r="LGO21" s="2827"/>
      <c r="LGP21" s="2867"/>
      <c r="LGQ21" s="2866"/>
      <c r="LGR21" s="2827"/>
      <c r="LGS21" s="2867"/>
      <c r="LGT21" s="2866"/>
      <c r="LGU21" s="2827"/>
      <c r="LGV21" s="2867"/>
      <c r="LGW21" s="2866"/>
      <c r="LGX21" s="2827"/>
      <c r="LGY21" s="2867"/>
      <c r="LGZ21" s="2866"/>
      <c r="LHA21" s="2827"/>
      <c r="LHB21" s="2867"/>
      <c r="LHC21" s="2866"/>
      <c r="LHD21" s="2827"/>
      <c r="LHE21" s="2867"/>
      <c r="LHF21" s="2866"/>
      <c r="LHG21" s="2827"/>
      <c r="LHH21" s="2867"/>
      <c r="LHI21" s="2866"/>
      <c r="LHJ21" s="2827"/>
      <c r="LHK21" s="2867"/>
      <c r="LHL21" s="2866"/>
      <c r="LHM21" s="2827"/>
      <c r="LHN21" s="2867"/>
      <c r="LHO21" s="2866"/>
      <c r="LHP21" s="2827"/>
      <c r="LHQ21" s="2867"/>
      <c r="LHR21" s="2866"/>
      <c r="LHS21" s="2827"/>
      <c r="LHT21" s="2867"/>
      <c r="LHU21" s="2866"/>
      <c r="LHV21" s="2827"/>
      <c r="LHW21" s="2867"/>
      <c r="LHX21" s="2866"/>
      <c r="LHY21" s="2827"/>
      <c r="LHZ21" s="2867"/>
      <c r="LIA21" s="2866"/>
      <c r="LIB21" s="2827"/>
      <c r="LIC21" s="2867"/>
      <c r="LID21" s="2866"/>
      <c r="LIE21" s="2827"/>
      <c r="LIF21" s="2867"/>
      <c r="LIG21" s="2866"/>
      <c r="LIH21" s="2827"/>
      <c r="LII21" s="2867"/>
      <c r="LIJ21" s="2866"/>
      <c r="LIK21" s="2827"/>
      <c r="LIL21" s="2867"/>
      <c r="LIM21" s="2866"/>
      <c r="LIN21" s="2827"/>
      <c r="LIO21" s="2867"/>
      <c r="LIP21" s="2866"/>
      <c r="LIQ21" s="2827"/>
      <c r="LIR21" s="2867"/>
      <c r="LIS21" s="2866"/>
      <c r="LIT21" s="2827"/>
      <c r="LIU21" s="2867"/>
      <c r="LIV21" s="2866"/>
      <c r="LIW21" s="2827"/>
      <c r="LIX21" s="2867"/>
      <c r="LIY21" s="2866"/>
      <c r="LIZ21" s="2827"/>
      <c r="LJA21" s="2867"/>
      <c r="LJB21" s="2866"/>
      <c r="LJC21" s="2827"/>
      <c r="LJD21" s="2867"/>
      <c r="LJE21" s="2866"/>
      <c r="LJF21" s="2827"/>
      <c r="LJG21" s="2867"/>
      <c r="LJH21" s="2866"/>
      <c r="LJI21" s="2827"/>
      <c r="LJJ21" s="2867"/>
      <c r="LJK21" s="2866"/>
      <c r="LJL21" s="2827"/>
      <c r="LJM21" s="2867"/>
      <c r="LJN21" s="2866"/>
      <c r="LJO21" s="2827"/>
      <c r="LJP21" s="2867"/>
      <c r="LJQ21" s="2866"/>
      <c r="LJR21" s="2827"/>
      <c r="LJS21" s="2867"/>
      <c r="LJT21" s="2866"/>
      <c r="LJU21" s="2827"/>
      <c r="LJV21" s="2867"/>
      <c r="LJW21" s="2866"/>
      <c r="LJX21" s="2827"/>
      <c r="LJY21" s="2867"/>
      <c r="LJZ21" s="2866"/>
      <c r="LKA21" s="2827"/>
      <c r="LKB21" s="2867"/>
      <c r="LKC21" s="2866"/>
      <c r="LKD21" s="2827"/>
      <c r="LKE21" s="2867"/>
      <c r="LKF21" s="2866"/>
      <c r="LKG21" s="2827"/>
      <c r="LKH21" s="2867"/>
      <c r="LKI21" s="2866"/>
      <c r="LKJ21" s="2827"/>
      <c r="LKK21" s="2867"/>
      <c r="LKL21" s="2866"/>
      <c r="LKM21" s="2827"/>
      <c r="LKN21" s="2867"/>
      <c r="LKO21" s="2866"/>
      <c r="LKP21" s="2827"/>
      <c r="LKQ21" s="2867"/>
      <c r="LKR21" s="2866"/>
      <c r="LKS21" s="2827"/>
      <c r="LKT21" s="2867"/>
      <c r="LKU21" s="2866"/>
      <c r="LKV21" s="2827"/>
      <c r="LKW21" s="2867"/>
      <c r="LKX21" s="2866"/>
      <c r="LKY21" s="2827"/>
      <c r="LKZ21" s="2867"/>
      <c r="LLA21" s="2866"/>
      <c r="LLB21" s="2827"/>
      <c r="LLC21" s="2867"/>
      <c r="LLD21" s="2866"/>
      <c r="LLE21" s="2827"/>
      <c r="LLF21" s="2867"/>
      <c r="LLG21" s="2866"/>
      <c r="LLH21" s="2827"/>
      <c r="LLI21" s="2867"/>
      <c r="LLJ21" s="2866"/>
      <c r="LLK21" s="2827"/>
      <c r="LLL21" s="2867"/>
      <c r="LLM21" s="2866"/>
      <c r="LLN21" s="2827"/>
      <c r="LLO21" s="2867"/>
      <c r="LLP21" s="2866"/>
      <c r="LLQ21" s="2827"/>
      <c r="LLR21" s="2867"/>
      <c r="LLS21" s="2866"/>
      <c r="LLT21" s="2827"/>
      <c r="LLU21" s="2867"/>
      <c r="LLV21" s="2866"/>
      <c r="LLW21" s="2827"/>
      <c r="LLX21" s="2867"/>
      <c r="LLY21" s="2866"/>
      <c r="LLZ21" s="2827"/>
      <c r="LMA21" s="2867"/>
      <c r="LMB21" s="2866"/>
      <c r="LMC21" s="2827"/>
      <c r="LMD21" s="2867"/>
      <c r="LME21" s="2866"/>
      <c r="LMF21" s="2827"/>
      <c r="LMG21" s="2867"/>
      <c r="LMH21" s="2866"/>
      <c r="LMI21" s="2827"/>
      <c r="LMJ21" s="2867"/>
      <c r="LMK21" s="2866"/>
      <c r="LML21" s="2827"/>
      <c r="LMM21" s="2867"/>
      <c r="LMN21" s="2866"/>
      <c r="LMO21" s="2827"/>
      <c r="LMP21" s="2867"/>
      <c r="LMQ21" s="2866"/>
      <c r="LMR21" s="2827"/>
      <c r="LMS21" s="2867"/>
      <c r="LMT21" s="2866"/>
      <c r="LMU21" s="2827"/>
      <c r="LMV21" s="2867"/>
      <c r="LMW21" s="2866"/>
      <c r="LMX21" s="2827"/>
      <c r="LMY21" s="2867"/>
      <c r="LMZ21" s="2866"/>
      <c r="LNA21" s="2827"/>
      <c r="LNB21" s="2867"/>
      <c r="LNC21" s="2866"/>
      <c r="LND21" s="2827"/>
      <c r="LNE21" s="2867"/>
      <c r="LNF21" s="2866"/>
      <c r="LNG21" s="2827"/>
      <c r="LNH21" s="2867"/>
      <c r="LNI21" s="2866"/>
      <c r="LNJ21" s="2827"/>
      <c r="LNK21" s="2867"/>
      <c r="LNL21" s="2866"/>
      <c r="LNM21" s="2827"/>
      <c r="LNN21" s="2867"/>
      <c r="LNO21" s="2866"/>
      <c r="LNP21" s="2827"/>
      <c r="LNQ21" s="2867"/>
      <c r="LNR21" s="2866"/>
      <c r="LNS21" s="2827"/>
      <c r="LNT21" s="2867"/>
      <c r="LNU21" s="2866"/>
      <c r="LNV21" s="2827"/>
      <c r="LNW21" s="2867"/>
      <c r="LNX21" s="2866"/>
      <c r="LNY21" s="2827"/>
      <c r="LNZ21" s="2867"/>
      <c r="LOA21" s="2866"/>
      <c r="LOB21" s="2827"/>
      <c r="LOC21" s="2867"/>
      <c r="LOD21" s="2866"/>
      <c r="LOE21" s="2827"/>
      <c r="LOF21" s="2867"/>
      <c r="LOG21" s="2866"/>
      <c r="LOH21" s="2827"/>
      <c r="LOI21" s="2867"/>
      <c r="LOJ21" s="2866"/>
      <c r="LOK21" s="2827"/>
      <c r="LOL21" s="2867"/>
      <c r="LOM21" s="2866"/>
      <c r="LON21" s="2827"/>
      <c r="LOO21" s="2867"/>
      <c r="LOP21" s="2866"/>
      <c r="LOQ21" s="2827"/>
      <c r="LOR21" s="2867"/>
      <c r="LOS21" s="2866"/>
      <c r="LOT21" s="2827"/>
      <c r="LOU21" s="2867"/>
      <c r="LOV21" s="2866"/>
      <c r="LOW21" s="2827"/>
      <c r="LOX21" s="2867"/>
      <c r="LOY21" s="2866"/>
      <c r="LOZ21" s="2827"/>
      <c r="LPA21" s="2867"/>
      <c r="LPB21" s="2866"/>
      <c r="LPC21" s="2827"/>
      <c r="LPD21" s="2867"/>
      <c r="LPE21" s="2866"/>
      <c r="LPF21" s="2827"/>
      <c r="LPG21" s="2867"/>
      <c r="LPH21" s="2866"/>
      <c r="LPI21" s="2827"/>
      <c r="LPJ21" s="2867"/>
      <c r="LPK21" s="2866"/>
      <c r="LPL21" s="2827"/>
      <c r="LPM21" s="2867"/>
      <c r="LPN21" s="2866"/>
      <c r="LPO21" s="2827"/>
      <c r="LPP21" s="2867"/>
      <c r="LPQ21" s="2866"/>
      <c r="LPR21" s="2827"/>
      <c r="LPS21" s="2867"/>
      <c r="LPT21" s="2866"/>
      <c r="LPU21" s="2827"/>
      <c r="LPV21" s="2867"/>
      <c r="LPW21" s="2866"/>
      <c r="LPX21" s="2827"/>
      <c r="LPY21" s="2867"/>
      <c r="LPZ21" s="2866"/>
      <c r="LQA21" s="2827"/>
      <c r="LQB21" s="2867"/>
      <c r="LQC21" s="2866"/>
      <c r="LQD21" s="2827"/>
      <c r="LQE21" s="2867"/>
      <c r="LQF21" s="2866"/>
      <c r="LQG21" s="2827"/>
      <c r="LQH21" s="2867"/>
      <c r="LQI21" s="2866"/>
      <c r="LQJ21" s="2827"/>
      <c r="LQK21" s="2867"/>
      <c r="LQL21" s="2866"/>
      <c r="LQM21" s="2827"/>
      <c r="LQN21" s="2867"/>
      <c r="LQO21" s="2866"/>
      <c r="LQP21" s="2827"/>
      <c r="LQQ21" s="2867"/>
      <c r="LQR21" s="2866"/>
      <c r="LQS21" s="2827"/>
      <c r="LQT21" s="2867"/>
      <c r="LQU21" s="2866"/>
      <c r="LQV21" s="2827"/>
      <c r="LQW21" s="2867"/>
      <c r="LQX21" s="2866"/>
      <c r="LQY21" s="2827"/>
      <c r="LQZ21" s="2867"/>
      <c r="LRA21" s="2866"/>
      <c r="LRB21" s="2827"/>
      <c r="LRC21" s="2867"/>
      <c r="LRD21" s="2866"/>
      <c r="LRE21" s="2827"/>
      <c r="LRF21" s="2867"/>
      <c r="LRG21" s="2866"/>
      <c r="LRH21" s="2827"/>
      <c r="LRI21" s="2867"/>
      <c r="LRJ21" s="2866"/>
      <c r="LRK21" s="2827"/>
      <c r="LRL21" s="2867"/>
      <c r="LRM21" s="2866"/>
      <c r="LRN21" s="2827"/>
      <c r="LRO21" s="2867"/>
      <c r="LRP21" s="2866"/>
      <c r="LRQ21" s="2827"/>
      <c r="LRR21" s="2867"/>
      <c r="LRS21" s="2866"/>
      <c r="LRT21" s="2827"/>
      <c r="LRU21" s="2867"/>
      <c r="LRV21" s="2866"/>
      <c r="LRW21" s="2827"/>
      <c r="LRX21" s="2867"/>
      <c r="LRY21" s="2866"/>
      <c r="LRZ21" s="2827"/>
      <c r="LSA21" s="2867"/>
      <c r="LSB21" s="2866"/>
      <c r="LSC21" s="2827"/>
      <c r="LSD21" s="2867"/>
      <c r="LSE21" s="2866"/>
      <c r="LSF21" s="2827"/>
      <c r="LSG21" s="2867"/>
      <c r="LSH21" s="2866"/>
      <c r="LSI21" s="2827"/>
      <c r="LSJ21" s="2867"/>
      <c r="LSK21" s="2866"/>
      <c r="LSL21" s="2827"/>
      <c r="LSM21" s="2867"/>
      <c r="LSN21" s="2866"/>
      <c r="LSO21" s="2827"/>
      <c r="LSP21" s="2867"/>
      <c r="LSQ21" s="2866"/>
      <c r="LSR21" s="2827"/>
      <c r="LSS21" s="2867"/>
      <c r="LST21" s="2866"/>
      <c r="LSU21" s="2827"/>
      <c r="LSV21" s="2867"/>
      <c r="LSW21" s="2866"/>
      <c r="LSX21" s="2827"/>
      <c r="LSY21" s="2867"/>
      <c r="LSZ21" s="2866"/>
      <c r="LTA21" s="2827"/>
      <c r="LTB21" s="2867"/>
      <c r="LTC21" s="2866"/>
      <c r="LTD21" s="2827"/>
      <c r="LTE21" s="2867"/>
      <c r="LTF21" s="2866"/>
      <c r="LTG21" s="2827"/>
      <c r="LTH21" s="2867"/>
      <c r="LTI21" s="2866"/>
      <c r="LTJ21" s="2827"/>
      <c r="LTK21" s="2867"/>
      <c r="LTL21" s="2866"/>
      <c r="LTM21" s="2827"/>
      <c r="LTN21" s="2867"/>
      <c r="LTO21" s="2866"/>
      <c r="LTP21" s="2827"/>
      <c r="LTQ21" s="2867"/>
      <c r="LTR21" s="2866"/>
      <c r="LTS21" s="2827"/>
      <c r="LTT21" s="2867"/>
      <c r="LTU21" s="2866"/>
      <c r="LTV21" s="2827"/>
      <c r="LTW21" s="2867"/>
      <c r="LTX21" s="2866"/>
      <c r="LTY21" s="2827"/>
      <c r="LTZ21" s="2867"/>
      <c r="LUA21" s="2866"/>
      <c r="LUB21" s="2827"/>
      <c r="LUC21" s="2867"/>
      <c r="LUD21" s="2866"/>
      <c r="LUE21" s="2827"/>
      <c r="LUF21" s="2867"/>
      <c r="LUG21" s="2866"/>
      <c r="LUH21" s="2827"/>
      <c r="LUI21" s="2867"/>
      <c r="LUJ21" s="2866"/>
      <c r="LUK21" s="2827"/>
      <c r="LUL21" s="2867"/>
      <c r="LUM21" s="2866"/>
      <c r="LUN21" s="2827"/>
      <c r="LUO21" s="2867"/>
      <c r="LUP21" s="2866"/>
      <c r="LUQ21" s="2827"/>
      <c r="LUR21" s="2867"/>
      <c r="LUS21" s="2866"/>
      <c r="LUT21" s="2827"/>
      <c r="LUU21" s="2867"/>
      <c r="LUV21" s="2866"/>
      <c r="LUW21" s="2827"/>
      <c r="LUX21" s="2867"/>
      <c r="LUY21" s="2866"/>
      <c r="LUZ21" s="2827"/>
      <c r="LVA21" s="2867"/>
      <c r="LVB21" s="2866"/>
      <c r="LVC21" s="2827"/>
      <c r="LVD21" s="2867"/>
      <c r="LVE21" s="2866"/>
      <c r="LVF21" s="2827"/>
      <c r="LVG21" s="2867"/>
      <c r="LVH21" s="2866"/>
      <c r="LVI21" s="2827"/>
      <c r="LVJ21" s="2867"/>
      <c r="LVK21" s="2866"/>
      <c r="LVL21" s="2827"/>
      <c r="LVM21" s="2867"/>
      <c r="LVN21" s="2866"/>
      <c r="LVO21" s="2827"/>
      <c r="LVP21" s="2867"/>
      <c r="LVQ21" s="2866"/>
      <c r="LVR21" s="2827"/>
      <c r="LVS21" s="2867"/>
      <c r="LVT21" s="2866"/>
      <c r="LVU21" s="2827"/>
      <c r="LVV21" s="2867"/>
      <c r="LVW21" s="2866"/>
      <c r="LVX21" s="2827"/>
      <c r="LVY21" s="2867"/>
      <c r="LVZ21" s="2866"/>
      <c r="LWA21" s="2827"/>
      <c r="LWB21" s="2867"/>
      <c r="LWC21" s="2866"/>
      <c r="LWD21" s="2827"/>
      <c r="LWE21" s="2867"/>
      <c r="LWF21" s="2866"/>
      <c r="LWG21" s="2827"/>
      <c r="LWH21" s="2867"/>
      <c r="LWI21" s="2866"/>
      <c r="LWJ21" s="2827"/>
      <c r="LWK21" s="2867"/>
      <c r="LWL21" s="2866"/>
      <c r="LWM21" s="2827"/>
      <c r="LWN21" s="2867"/>
      <c r="LWO21" s="2866"/>
      <c r="LWP21" s="2827"/>
      <c r="LWQ21" s="2867"/>
      <c r="LWR21" s="2866"/>
      <c r="LWS21" s="2827"/>
      <c r="LWT21" s="2867"/>
      <c r="LWU21" s="2866"/>
      <c r="LWV21" s="2827"/>
      <c r="LWW21" s="2867"/>
      <c r="LWX21" s="2866"/>
      <c r="LWY21" s="2827"/>
      <c r="LWZ21" s="2867"/>
      <c r="LXA21" s="2866"/>
      <c r="LXB21" s="2827"/>
      <c r="LXC21" s="2867"/>
      <c r="LXD21" s="2866"/>
      <c r="LXE21" s="2827"/>
      <c r="LXF21" s="2867"/>
      <c r="LXG21" s="2866"/>
      <c r="LXH21" s="2827"/>
      <c r="LXI21" s="2867"/>
      <c r="LXJ21" s="2866"/>
      <c r="LXK21" s="2827"/>
      <c r="LXL21" s="2867"/>
      <c r="LXM21" s="2866"/>
      <c r="LXN21" s="2827"/>
      <c r="LXO21" s="2867"/>
      <c r="LXP21" s="2866"/>
      <c r="LXQ21" s="2827"/>
      <c r="LXR21" s="2867"/>
      <c r="LXS21" s="2866"/>
      <c r="LXT21" s="2827"/>
      <c r="LXU21" s="2867"/>
      <c r="LXV21" s="2866"/>
      <c r="LXW21" s="2827"/>
      <c r="LXX21" s="2867"/>
      <c r="LXY21" s="2866"/>
      <c r="LXZ21" s="2827"/>
      <c r="LYA21" s="2867"/>
      <c r="LYB21" s="2866"/>
      <c r="LYC21" s="2827"/>
      <c r="LYD21" s="2867"/>
      <c r="LYE21" s="2866"/>
      <c r="LYF21" s="2827"/>
      <c r="LYG21" s="2867"/>
      <c r="LYH21" s="2866"/>
      <c r="LYI21" s="2827"/>
      <c r="LYJ21" s="2867"/>
      <c r="LYK21" s="2866"/>
      <c r="LYL21" s="2827"/>
      <c r="LYM21" s="2867"/>
      <c r="LYN21" s="2866"/>
      <c r="LYO21" s="2827"/>
      <c r="LYP21" s="2867"/>
      <c r="LYQ21" s="2866"/>
      <c r="LYR21" s="2827"/>
      <c r="LYS21" s="2867"/>
      <c r="LYT21" s="2866"/>
      <c r="LYU21" s="2827"/>
      <c r="LYV21" s="2867"/>
      <c r="LYW21" s="2866"/>
      <c r="LYX21" s="2827"/>
      <c r="LYY21" s="2867"/>
      <c r="LYZ21" s="2866"/>
      <c r="LZA21" s="2827"/>
      <c r="LZB21" s="2867"/>
      <c r="LZC21" s="2866"/>
      <c r="LZD21" s="2827"/>
      <c r="LZE21" s="2867"/>
      <c r="LZF21" s="2866"/>
      <c r="LZG21" s="2827"/>
      <c r="LZH21" s="2867"/>
      <c r="LZI21" s="2866"/>
      <c r="LZJ21" s="2827"/>
      <c r="LZK21" s="2867"/>
      <c r="LZL21" s="2866"/>
      <c r="LZM21" s="2827"/>
      <c r="LZN21" s="2867"/>
      <c r="LZO21" s="2866"/>
      <c r="LZP21" s="2827"/>
      <c r="LZQ21" s="2867"/>
      <c r="LZR21" s="2866"/>
      <c r="LZS21" s="2827"/>
      <c r="LZT21" s="2867"/>
      <c r="LZU21" s="2866"/>
      <c r="LZV21" s="2827"/>
      <c r="LZW21" s="2867"/>
      <c r="LZX21" s="2866"/>
      <c r="LZY21" s="2827"/>
      <c r="LZZ21" s="2867"/>
      <c r="MAA21" s="2866"/>
      <c r="MAB21" s="2827"/>
      <c r="MAC21" s="2867"/>
      <c r="MAD21" s="2866"/>
      <c r="MAE21" s="2827"/>
      <c r="MAF21" s="2867"/>
      <c r="MAG21" s="2866"/>
      <c r="MAH21" s="2827"/>
      <c r="MAI21" s="2867"/>
      <c r="MAJ21" s="2866"/>
      <c r="MAK21" s="2827"/>
      <c r="MAL21" s="2867"/>
      <c r="MAM21" s="2866"/>
      <c r="MAN21" s="2827"/>
      <c r="MAO21" s="2867"/>
      <c r="MAP21" s="2866"/>
      <c r="MAQ21" s="2827"/>
      <c r="MAR21" s="2867"/>
      <c r="MAS21" s="2866"/>
      <c r="MAT21" s="2827"/>
      <c r="MAU21" s="2867"/>
      <c r="MAV21" s="2866"/>
      <c r="MAW21" s="2827"/>
      <c r="MAX21" s="2867"/>
      <c r="MAY21" s="2866"/>
      <c r="MAZ21" s="2827"/>
      <c r="MBA21" s="2867"/>
      <c r="MBB21" s="2866"/>
      <c r="MBC21" s="2827"/>
      <c r="MBD21" s="2867"/>
      <c r="MBE21" s="2866"/>
      <c r="MBF21" s="2827"/>
      <c r="MBG21" s="2867"/>
      <c r="MBH21" s="2866"/>
      <c r="MBI21" s="2827"/>
      <c r="MBJ21" s="2867"/>
      <c r="MBK21" s="2866"/>
      <c r="MBL21" s="2827"/>
      <c r="MBM21" s="2867"/>
      <c r="MBN21" s="2866"/>
      <c r="MBO21" s="2827"/>
      <c r="MBP21" s="2867"/>
      <c r="MBQ21" s="2866"/>
      <c r="MBR21" s="2827"/>
      <c r="MBS21" s="2867"/>
      <c r="MBT21" s="2866"/>
      <c r="MBU21" s="2827"/>
      <c r="MBV21" s="2867"/>
      <c r="MBW21" s="2866"/>
      <c r="MBX21" s="2827"/>
      <c r="MBY21" s="2867"/>
      <c r="MBZ21" s="2866"/>
      <c r="MCA21" s="2827"/>
      <c r="MCB21" s="2867"/>
      <c r="MCC21" s="2866"/>
      <c r="MCD21" s="2827"/>
      <c r="MCE21" s="2867"/>
      <c r="MCF21" s="2866"/>
      <c r="MCG21" s="2827"/>
      <c r="MCH21" s="2867"/>
      <c r="MCI21" s="2866"/>
      <c r="MCJ21" s="2827"/>
      <c r="MCK21" s="2867"/>
      <c r="MCL21" s="2866"/>
      <c r="MCM21" s="2827"/>
      <c r="MCN21" s="2867"/>
      <c r="MCO21" s="2866"/>
      <c r="MCP21" s="2827"/>
      <c r="MCQ21" s="2867"/>
      <c r="MCR21" s="2866"/>
      <c r="MCS21" s="2827"/>
      <c r="MCT21" s="2867"/>
      <c r="MCU21" s="2866"/>
      <c r="MCV21" s="2827"/>
      <c r="MCW21" s="2867"/>
      <c r="MCX21" s="2866"/>
      <c r="MCY21" s="2827"/>
      <c r="MCZ21" s="2867"/>
      <c r="MDA21" s="2866"/>
      <c r="MDB21" s="2827"/>
      <c r="MDC21" s="2867"/>
      <c r="MDD21" s="2866"/>
      <c r="MDE21" s="2827"/>
      <c r="MDF21" s="2867"/>
      <c r="MDG21" s="2866"/>
      <c r="MDH21" s="2827"/>
      <c r="MDI21" s="2867"/>
      <c r="MDJ21" s="2866"/>
      <c r="MDK21" s="2827"/>
      <c r="MDL21" s="2867"/>
      <c r="MDM21" s="2866"/>
      <c r="MDN21" s="2827"/>
      <c r="MDO21" s="2867"/>
      <c r="MDP21" s="2866"/>
      <c r="MDQ21" s="2827"/>
      <c r="MDR21" s="2867"/>
      <c r="MDS21" s="2866"/>
      <c r="MDT21" s="2827"/>
      <c r="MDU21" s="2867"/>
      <c r="MDV21" s="2866"/>
      <c r="MDW21" s="2827"/>
      <c r="MDX21" s="2867"/>
      <c r="MDY21" s="2866"/>
      <c r="MDZ21" s="2827"/>
      <c r="MEA21" s="2867"/>
      <c r="MEB21" s="2866"/>
      <c r="MEC21" s="2827"/>
      <c r="MED21" s="2867"/>
      <c r="MEE21" s="2866"/>
      <c r="MEF21" s="2827"/>
      <c r="MEG21" s="2867"/>
      <c r="MEH21" s="2866"/>
      <c r="MEI21" s="2827"/>
      <c r="MEJ21" s="2867"/>
      <c r="MEK21" s="2866"/>
      <c r="MEL21" s="2827"/>
      <c r="MEM21" s="2867"/>
      <c r="MEN21" s="2866"/>
      <c r="MEO21" s="2827"/>
      <c r="MEP21" s="2867"/>
      <c r="MEQ21" s="2866"/>
      <c r="MER21" s="2827"/>
      <c r="MES21" s="2867"/>
      <c r="MET21" s="2866"/>
      <c r="MEU21" s="2827"/>
      <c r="MEV21" s="2867"/>
      <c r="MEW21" s="2866"/>
      <c r="MEX21" s="2827"/>
      <c r="MEY21" s="2867"/>
      <c r="MEZ21" s="2866"/>
      <c r="MFA21" s="2827"/>
      <c r="MFB21" s="2867"/>
      <c r="MFC21" s="2866"/>
      <c r="MFD21" s="2827"/>
      <c r="MFE21" s="2867"/>
      <c r="MFF21" s="2866"/>
      <c r="MFG21" s="2827"/>
      <c r="MFH21" s="2867"/>
      <c r="MFI21" s="2866"/>
      <c r="MFJ21" s="2827"/>
      <c r="MFK21" s="2867"/>
      <c r="MFL21" s="2866"/>
      <c r="MFM21" s="2827"/>
      <c r="MFN21" s="2867"/>
      <c r="MFO21" s="2866"/>
      <c r="MFP21" s="2827"/>
      <c r="MFQ21" s="2867"/>
      <c r="MFR21" s="2866"/>
      <c r="MFS21" s="2827"/>
      <c r="MFT21" s="2867"/>
      <c r="MFU21" s="2866"/>
      <c r="MFV21" s="2827"/>
      <c r="MFW21" s="2867"/>
      <c r="MFX21" s="2866"/>
      <c r="MFY21" s="2827"/>
      <c r="MFZ21" s="2867"/>
      <c r="MGA21" s="2866"/>
      <c r="MGB21" s="2827"/>
      <c r="MGC21" s="2867"/>
      <c r="MGD21" s="2866"/>
      <c r="MGE21" s="2827"/>
      <c r="MGF21" s="2867"/>
      <c r="MGG21" s="2866"/>
      <c r="MGH21" s="2827"/>
      <c r="MGI21" s="2867"/>
      <c r="MGJ21" s="2866"/>
      <c r="MGK21" s="2827"/>
      <c r="MGL21" s="2867"/>
      <c r="MGM21" s="2866"/>
      <c r="MGN21" s="2827"/>
      <c r="MGO21" s="2867"/>
      <c r="MGP21" s="2866"/>
      <c r="MGQ21" s="2827"/>
      <c r="MGR21" s="2867"/>
      <c r="MGS21" s="2866"/>
      <c r="MGT21" s="2827"/>
      <c r="MGU21" s="2867"/>
      <c r="MGV21" s="2866"/>
      <c r="MGW21" s="2827"/>
      <c r="MGX21" s="2867"/>
      <c r="MGY21" s="2866"/>
      <c r="MGZ21" s="2827"/>
      <c r="MHA21" s="2867"/>
      <c r="MHB21" s="2866"/>
      <c r="MHC21" s="2827"/>
      <c r="MHD21" s="2867"/>
      <c r="MHE21" s="2866"/>
      <c r="MHF21" s="2827"/>
      <c r="MHG21" s="2867"/>
      <c r="MHH21" s="2866"/>
      <c r="MHI21" s="2827"/>
      <c r="MHJ21" s="2867"/>
      <c r="MHK21" s="2866"/>
      <c r="MHL21" s="2827"/>
      <c r="MHM21" s="2867"/>
      <c r="MHN21" s="2866"/>
      <c r="MHO21" s="2827"/>
      <c r="MHP21" s="2867"/>
      <c r="MHQ21" s="2866"/>
      <c r="MHR21" s="2827"/>
      <c r="MHS21" s="2867"/>
      <c r="MHT21" s="2866"/>
      <c r="MHU21" s="2827"/>
      <c r="MHV21" s="2867"/>
      <c r="MHW21" s="2866"/>
      <c r="MHX21" s="2827"/>
      <c r="MHY21" s="2867"/>
      <c r="MHZ21" s="2866"/>
      <c r="MIA21" s="2827"/>
      <c r="MIB21" s="2867"/>
      <c r="MIC21" s="2866"/>
      <c r="MID21" s="2827"/>
      <c r="MIE21" s="2867"/>
      <c r="MIF21" s="2866"/>
      <c r="MIG21" s="2827"/>
      <c r="MIH21" s="2867"/>
      <c r="MII21" s="2866"/>
      <c r="MIJ21" s="2827"/>
      <c r="MIK21" s="2867"/>
      <c r="MIL21" s="2866"/>
      <c r="MIM21" s="2827"/>
      <c r="MIN21" s="2867"/>
      <c r="MIO21" s="2866"/>
      <c r="MIP21" s="2827"/>
      <c r="MIQ21" s="2867"/>
      <c r="MIR21" s="2866"/>
      <c r="MIS21" s="2827"/>
      <c r="MIT21" s="2867"/>
      <c r="MIU21" s="2866"/>
      <c r="MIV21" s="2827"/>
      <c r="MIW21" s="2867"/>
      <c r="MIX21" s="2866"/>
      <c r="MIY21" s="2827"/>
      <c r="MIZ21" s="2867"/>
      <c r="MJA21" s="2866"/>
      <c r="MJB21" s="2827"/>
      <c r="MJC21" s="2867"/>
      <c r="MJD21" s="2866"/>
      <c r="MJE21" s="2827"/>
      <c r="MJF21" s="2867"/>
      <c r="MJG21" s="2866"/>
      <c r="MJH21" s="2827"/>
      <c r="MJI21" s="2867"/>
      <c r="MJJ21" s="2866"/>
      <c r="MJK21" s="2827"/>
      <c r="MJL21" s="2867"/>
      <c r="MJM21" s="2866"/>
      <c r="MJN21" s="2827"/>
      <c r="MJO21" s="2867"/>
      <c r="MJP21" s="2866"/>
      <c r="MJQ21" s="2827"/>
      <c r="MJR21" s="2867"/>
      <c r="MJS21" s="2866"/>
      <c r="MJT21" s="2827"/>
      <c r="MJU21" s="2867"/>
      <c r="MJV21" s="2866"/>
      <c r="MJW21" s="2827"/>
      <c r="MJX21" s="2867"/>
      <c r="MJY21" s="2866"/>
      <c r="MJZ21" s="2827"/>
      <c r="MKA21" s="2867"/>
      <c r="MKB21" s="2866"/>
      <c r="MKC21" s="2827"/>
      <c r="MKD21" s="2867"/>
      <c r="MKE21" s="2866"/>
      <c r="MKF21" s="2827"/>
      <c r="MKG21" s="2867"/>
      <c r="MKH21" s="2866"/>
      <c r="MKI21" s="2827"/>
      <c r="MKJ21" s="2867"/>
      <c r="MKK21" s="2866"/>
      <c r="MKL21" s="2827"/>
      <c r="MKM21" s="2867"/>
      <c r="MKN21" s="2866"/>
      <c r="MKO21" s="2827"/>
      <c r="MKP21" s="2867"/>
      <c r="MKQ21" s="2866"/>
      <c r="MKR21" s="2827"/>
      <c r="MKS21" s="2867"/>
      <c r="MKT21" s="2866"/>
      <c r="MKU21" s="2827"/>
      <c r="MKV21" s="2867"/>
      <c r="MKW21" s="2866"/>
      <c r="MKX21" s="2827"/>
      <c r="MKY21" s="2867"/>
      <c r="MKZ21" s="2866"/>
      <c r="MLA21" s="2827"/>
      <c r="MLB21" s="2867"/>
      <c r="MLC21" s="2866"/>
      <c r="MLD21" s="2827"/>
      <c r="MLE21" s="2867"/>
      <c r="MLF21" s="2866"/>
      <c r="MLG21" s="2827"/>
      <c r="MLH21" s="2867"/>
      <c r="MLI21" s="2866"/>
      <c r="MLJ21" s="2827"/>
      <c r="MLK21" s="2867"/>
      <c r="MLL21" s="2866"/>
      <c r="MLM21" s="2827"/>
      <c r="MLN21" s="2867"/>
      <c r="MLO21" s="2866"/>
      <c r="MLP21" s="2827"/>
      <c r="MLQ21" s="2867"/>
      <c r="MLR21" s="2866"/>
      <c r="MLS21" s="2827"/>
      <c r="MLT21" s="2867"/>
      <c r="MLU21" s="2866"/>
      <c r="MLV21" s="2827"/>
      <c r="MLW21" s="2867"/>
      <c r="MLX21" s="2866"/>
      <c r="MLY21" s="2827"/>
      <c r="MLZ21" s="2867"/>
      <c r="MMA21" s="2866"/>
      <c r="MMB21" s="2827"/>
      <c r="MMC21" s="2867"/>
      <c r="MMD21" s="2866"/>
      <c r="MME21" s="2827"/>
      <c r="MMF21" s="2867"/>
      <c r="MMG21" s="2866"/>
      <c r="MMH21" s="2827"/>
      <c r="MMI21" s="2867"/>
      <c r="MMJ21" s="2866"/>
      <c r="MMK21" s="2827"/>
      <c r="MML21" s="2867"/>
      <c r="MMM21" s="2866"/>
      <c r="MMN21" s="2827"/>
      <c r="MMO21" s="2867"/>
      <c r="MMP21" s="2866"/>
      <c r="MMQ21" s="2827"/>
      <c r="MMR21" s="2867"/>
      <c r="MMS21" s="2866"/>
      <c r="MMT21" s="2827"/>
      <c r="MMU21" s="2867"/>
      <c r="MMV21" s="2866"/>
      <c r="MMW21" s="2827"/>
      <c r="MMX21" s="2867"/>
      <c r="MMY21" s="2866"/>
      <c r="MMZ21" s="2827"/>
      <c r="MNA21" s="2867"/>
      <c r="MNB21" s="2866"/>
      <c r="MNC21" s="2827"/>
      <c r="MND21" s="2867"/>
      <c r="MNE21" s="2866"/>
      <c r="MNF21" s="2827"/>
      <c r="MNG21" s="2867"/>
      <c r="MNH21" s="2866"/>
      <c r="MNI21" s="2827"/>
      <c r="MNJ21" s="2867"/>
      <c r="MNK21" s="2866"/>
      <c r="MNL21" s="2827"/>
      <c r="MNM21" s="2867"/>
      <c r="MNN21" s="2866"/>
      <c r="MNO21" s="2827"/>
      <c r="MNP21" s="2867"/>
      <c r="MNQ21" s="2866"/>
      <c r="MNR21" s="2827"/>
      <c r="MNS21" s="2867"/>
      <c r="MNT21" s="2866"/>
      <c r="MNU21" s="2827"/>
      <c r="MNV21" s="2867"/>
      <c r="MNW21" s="2866"/>
      <c r="MNX21" s="2827"/>
      <c r="MNY21" s="2867"/>
      <c r="MNZ21" s="2866"/>
      <c r="MOA21" s="2827"/>
      <c r="MOB21" s="2867"/>
      <c r="MOC21" s="2866"/>
      <c r="MOD21" s="2827"/>
      <c r="MOE21" s="2867"/>
      <c r="MOF21" s="2866"/>
      <c r="MOG21" s="2827"/>
      <c r="MOH21" s="2867"/>
      <c r="MOI21" s="2866"/>
      <c r="MOJ21" s="2827"/>
      <c r="MOK21" s="2867"/>
      <c r="MOL21" s="2866"/>
      <c r="MOM21" s="2827"/>
      <c r="MON21" s="2867"/>
      <c r="MOO21" s="2866"/>
      <c r="MOP21" s="2827"/>
      <c r="MOQ21" s="2867"/>
      <c r="MOR21" s="2866"/>
      <c r="MOS21" s="2827"/>
      <c r="MOT21" s="2867"/>
      <c r="MOU21" s="2866"/>
      <c r="MOV21" s="2827"/>
      <c r="MOW21" s="2867"/>
      <c r="MOX21" s="2866"/>
      <c r="MOY21" s="2827"/>
      <c r="MOZ21" s="2867"/>
      <c r="MPA21" s="2866"/>
      <c r="MPB21" s="2827"/>
      <c r="MPC21" s="2867"/>
      <c r="MPD21" s="2866"/>
      <c r="MPE21" s="2827"/>
      <c r="MPF21" s="2867"/>
      <c r="MPG21" s="2866"/>
      <c r="MPH21" s="2827"/>
      <c r="MPI21" s="2867"/>
      <c r="MPJ21" s="2866"/>
      <c r="MPK21" s="2827"/>
      <c r="MPL21" s="2867"/>
      <c r="MPM21" s="2866"/>
      <c r="MPN21" s="2827"/>
      <c r="MPO21" s="2867"/>
      <c r="MPP21" s="2866"/>
      <c r="MPQ21" s="2827"/>
      <c r="MPR21" s="2867"/>
      <c r="MPS21" s="2866"/>
      <c r="MPT21" s="2827"/>
      <c r="MPU21" s="2867"/>
      <c r="MPV21" s="2866"/>
      <c r="MPW21" s="2827"/>
      <c r="MPX21" s="2867"/>
      <c r="MPY21" s="2866"/>
      <c r="MPZ21" s="2827"/>
      <c r="MQA21" s="2867"/>
      <c r="MQB21" s="2866"/>
      <c r="MQC21" s="2827"/>
      <c r="MQD21" s="2867"/>
      <c r="MQE21" s="2866"/>
      <c r="MQF21" s="2827"/>
      <c r="MQG21" s="2867"/>
      <c r="MQH21" s="2866"/>
      <c r="MQI21" s="2827"/>
      <c r="MQJ21" s="2867"/>
      <c r="MQK21" s="2866"/>
      <c r="MQL21" s="2827"/>
      <c r="MQM21" s="2867"/>
      <c r="MQN21" s="2866"/>
      <c r="MQO21" s="2827"/>
      <c r="MQP21" s="2867"/>
      <c r="MQQ21" s="2866"/>
      <c r="MQR21" s="2827"/>
      <c r="MQS21" s="2867"/>
      <c r="MQT21" s="2866"/>
      <c r="MQU21" s="2827"/>
      <c r="MQV21" s="2867"/>
      <c r="MQW21" s="2866"/>
      <c r="MQX21" s="2827"/>
      <c r="MQY21" s="2867"/>
      <c r="MQZ21" s="2866"/>
      <c r="MRA21" s="2827"/>
      <c r="MRB21" s="2867"/>
      <c r="MRC21" s="2866"/>
      <c r="MRD21" s="2827"/>
      <c r="MRE21" s="2867"/>
      <c r="MRF21" s="2866"/>
      <c r="MRG21" s="2827"/>
      <c r="MRH21" s="2867"/>
      <c r="MRI21" s="2866"/>
      <c r="MRJ21" s="2827"/>
      <c r="MRK21" s="2867"/>
      <c r="MRL21" s="2866"/>
      <c r="MRM21" s="2827"/>
      <c r="MRN21" s="2867"/>
      <c r="MRO21" s="2866"/>
      <c r="MRP21" s="2827"/>
      <c r="MRQ21" s="2867"/>
      <c r="MRR21" s="2866"/>
      <c r="MRS21" s="2827"/>
      <c r="MRT21" s="2867"/>
      <c r="MRU21" s="2866"/>
      <c r="MRV21" s="2827"/>
      <c r="MRW21" s="2867"/>
      <c r="MRX21" s="2866"/>
      <c r="MRY21" s="2827"/>
      <c r="MRZ21" s="2867"/>
      <c r="MSA21" s="2866"/>
      <c r="MSB21" s="2827"/>
      <c r="MSC21" s="2867"/>
      <c r="MSD21" s="2866"/>
      <c r="MSE21" s="2827"/>
      <c r="MSF21" s="2867"/>
      <c r="MSG21" s="2866"/>
      <c r="MSH21" s="2827"/>
      <c r="MSI21" s="2867"/>
      <c r="MSJ21" s="2866"/>
      <c r="MSK21" s="2827"/>
      <c r="MSL21" s="2867"/>
      <c r="MSM21" s="2866"/>
      <c r="MSN21" s="2827"/>
      <c r="MSO21" s="2867"/>
      <c r="MSP21" s="2866"/>
      <c r="MSQ21" s="2827"/>
      <c r="MSR21" s="2867"/>
      <c r="MSS21" s="2866"/>
      <c r="MST21" s="2827"/>
      <c r="MSU21" s="2867"/>
      <c r="MSV21" s="2866"/>
      <c r="MSW21" s="2827"/>
      <c r="MSX21" s="2867"/>
      <c r="MSY21" s="2866"/>
      <c r="MSZ21" s="2827"/>
      <c r="MTA21" s="2867"/>
      <c r="MTB21" s="2866"/>
      <c r="MTC21" s="2827"/>
      <c r="MTD21" s="2867"/>
      <c r="MTE21" s="2866"/>
      <c r="MTF21" s="2827"/>
      <c r="MTG21" s="2867"/>
      <c r="MTH21" s="2866"/>
      <c r="MTI21" s="2827"/>
      <c r="MTJ21" s="2867"/>
      <c r="MTK21" s="2866"/>
      <c r="MTL21" s="2827"/>
      <c r="MTM21" s="2867"/>
      <c r="MTN21" s="2866"/>
      <c r="MTO21" s="2827"/>
      <c r="MTP21" s="2867"/>
      <c r="MTQ21" s="2866"/>
      <c r="MTR21" s="2827"/>
      <c r="MTS21" s="2867"/>
      <c r="MTT21" s="2866"/>
      <c r="MTU21" s="2827"/>
      <c r="MTV21" s="2867"/>
      <c r="MTW21" s="2866"/>
      <c r="MTX21" s="2827"/>
      <c r="MTY21" s="2867"/>
      <c r="MTZ21" s="2866"/>
      <c r="MUA21" s="2827"/>
      <c r="MUB21" s="2867"/>
      <c r="MUC21" s="2866"/>
      <c r="MUD21" s="2827"/>
      <c r="MUE21" s="2867"/>
      <c r="MUF21" s="2866"/>
      <c r="MUG21" s="2827"/>
      <c r="MUH21" s="2867"/>
      <c r="MUI21" s="2866"/>
      <c r="MUJ21" s="2827"/>
      <c r="MUK21" s="2867"/>
      <c r="MUL21" s="2866"/>
      <c r="MUM21" s="2827"/>
      <c r="MUN21" s="2867"/>
      <c r="MUO21" s="2866"/>
      <c r="MUP21" s="2827"/>
      <c r="MUQ21" s="2867"/>
      <c r="MUR21" s="2866"/>
      <c r="MUS21" s="2827"/>
      <c r="MUT21" s="2867"/>
      <c r="MUU21" s="2866"/>
      <c r="MUV21" s="2827"/>
      <c r="MUW21" s="2867"/>
      <c r="MUX21" s="2866"/>
      <c r="MUY21" s="2827"/>
      <c r="MUZ21" s="2867"/>
      <c r="MVA21" s="2866"/>
      <c r="MVB21" s="2827"/>
      <c r="MVC21" s="2867"/>
      <c r="MVD21" s="2866"/>
      <c r="MVE21" s="2827"/>
      <c r="MVF21" s="2867"/>
      <c r="MVG21" s="2866"/>
      <c r="MVH21" s="2827"/>
      <c r="MVI21" s="2867"/>
      <c r="MVJ21" s="2866"/>
      <c r="MVK21" s="2827"/>
      <c r="MVL21" s="2867"/>
      <c r="MVM21" s="2866"/>
      <c r="MVN21" s="2827"/>
      <c r="MVO21" s="2867"/>
      <c r="MVP21" s="2866"/>
      <c r="MVQ21" s="2827"/>
      <c r="MVR21" s="2867"/>
      <c r="MVS21" s="2866"/>
      <c r="MVT21" s="2827"/>
      <c r="MVU21" s="2867"/>
      <c r="MVV21" s="2866"/>
      <c r="MVW21" s="2827"/>
      <c r="MVX21" s="2867"/>
      <c r="MVY21" s="2866"/>
      <c r="MVZ21" s="2827"/>
      <c r="MWA21" s="2867"/>
      <c r="MWB21" s="2866"/>
      <c r="MWC21" s="2827"/>
      <c r="MWD21" s="2867"/>
      <c r="MWE21" s="2866"/>
      <c r="MWF21" s="2827"/>
      <c r="MWG21" s="2867"/>
      <c r="MWH21" s="2866"/>
      <c r="MWI21" s="2827"/>
      <c r="MWJ21" s="2867"/>
      <c r="MWK21" s="2866"/>
      <c r="MWL21" s="2827"/>
      <c r="MWM21" s="2867"/>
      <c r="MWN21" s="2866"/>
      <c r="MWO21" s="2827"/>
      <c r="MWP21" s="2867"/>
      <c r="MWQ21" s="2866"/>
      <c r="MWR21" s="2827"/>
      <c r="MWS21" s="2867"/>
      <c r="MWT21" s="2866"/>
      <c r="MWU21" s="2827"/>
      <c r="MWV21" s="2867"/>
      <c r="MWW21" s="2866"/>
      <c r="MWX21" s="2827"/>
      <c r="MWY21" s="2867"/>
      <c r="MWZ21" s="2866"/>
      <c r="MXA21" s="2827"/>
      <c r="MXB21" s="2867"/>
      <c r="MXC21" s="2866"/>
      <c r="MXD21" s="2827"/>
      <c r="MXE21" s="2867"/>
      <c r="MXF21" s="2866"/>
      <c r="MXG21" s="2827"/>
      <c r="MXH21" s="2867"/>
      <c r="MXI21" s="2866"/>
      <c r="MXJ21" s="2827"/>
      <c r="MXK21" s="2867"/>
      <c r="MXL21" s="2866"/>
      <c r="MXM21" s="2827"/>
      <c r="MXN21" s="2867"/>
      <c r="MXO21" s="2866"/>
      <c r="MXP21" s="2827"/>
      <c r="MXQ21" s="2867"/>
      <c r="MXR21" s="2866"/>
      <c r="MXS21" s="2827"/>
      <c r="MXT21" s="2867"/>
      <c r="MXU21" s="2866"/>
      <c r="MXV21" s="2827"/>
      <c r="MXW21" s="2867"/>
      <c r="MXX21" s="2866"/>
      <c r="MXY21" s="2827"/>
      <c r="MXZ21" s="2867"/>
      <c r="MYA21" s="2866"/>
      <c r="MYB21" s="2827"/>
      <c r="MYC21" s="2867"/>
      <c r="MYD21" s="2866"/>
      <c r="MYE21" s="2827"/>
      <c r="MYF21" s="2867"/>
      <c r="MYG21" s="2866"/>
      <c r="MYH21" s="2827"/>
      <c r="MYI21" s="2867"/>
      <c r="MYJ21" s="2866"/>
      <c r="MYK21" s="2827"/>
      <c r="MYL21" s="2867"/>
      <c r="MYM21" s="2866"/>
      <c r="MYN21" s="2827"/>
      <c r="MYO21" s="2867"/>
      <c r="MYP21" s="2866"/>
      <c r="MYQ21" s="2827"/>
      <c r="MYR21" s="2867"/>
      <c r="MYS21" s="2866"/>
      <c r="MYT21" s="2827"/>
      <c r="MYU21" s="2867"/>
      <c r="MYV21" s="2866"/>
      <c r="MYW21" s="2827"/>
      <c r="MYX21" s="2867"/>
      <c r="MYY21" s="2866"/>
      <c r="MYZ21" s="2827"/>
      <c r="MZA21" s="2867"/>
      <c r="MZB21" s="2866"/>
      <c r="MZC21" s="2827"/>
      <c r="MZD21" s="2867"/>
      <c r="MZE21" s="2866"/>
      <c r="MZF21" s="2827"/>
      <c r="MZG21" s="2867"/>
      <c r="MZH21" s="2866"/>
      <c r="MZI21" s="2827"/>
      <c r="MZJ21" s="2867"/>
      <c r="MZK21" s="2866"/>
      <c r="MZL21" s="2827"/>
      <c r="MZM21" s="2867"/>
      <c r="MZN21" s="2866"/>
      <c r="MZO21" s="2827"/>
      <c r="MZP21" s="2867"/>
      <c r="MZQ21" s="2866"/>
      <c r="MZR21" s="2827"/>
      <c r="MZS21" s="2867"/>
      <c r="MZT21" s="2866"/>
      <c r="MZU21" s="2827"/>
      <c r="MZV21" s="2867"/>
      <c r="MZW21" s="2866"/>
      <c r="MZX21" s="2827"/>
      <c r="MZY21" s="2867"/>
      <c r="MZZ21" s="2866"/>
      <c r="NAA21" s="2827"/>
      <c r="NAB21" s="2867"/>
      <c r="NAC21" s="2866"/>
      <c r="NAD21" s="2827"/>
      <c r="NAE21" s="2867"/>
      <c r="NAF21" s="2866"/>
      <c r="NAG21" s="2827"/>
      <c r="NAH21" s="2867"/>
      <c r="NAI21" s="2866"/>
      <c r="NAJ21" s="2827"/>
      <c r="NAK21" s="2867"/>
      <c r="NAL21" s="2866"/>
      <c r="NAM21" s="2827"/>
      <c r="NAN21" s="2867"/>
      <c r="NAO21" s="2866"/>
      <c r="NAP21" s="2827"/>
      <c r="NAQ21" s="2867"/>
      <c r="NAR21" s="2866"/>
      <c r="NAS21" s="2827"/>
      <c r="NAT21" s="2867"/>
      <c r="NAU21" s="2866"/>
      <c r="NAV21" s="2827"/>
      <c r="NAW21" s="2867"/>
      <c r="NAX21" s="2866"/>
      <c r="NAY21" s="2827"/>
      <c r="NAZ21" s="2867"/>
      <c r="NBA21" s="2866"/>
      <c r="NBB21" s="2827"/>
      <c r="NBC21" s="2867"/>
      <c r="NBD21" s="2866"/>
      <c r="NBE21" s="2827"/>
      <c r="NBF21" s="2867"/>
      <c r="NBG21" s="2866"/>
      <c r="NBH21" s="2827"/>
      <c r="NBI21" s="2867"/>
      <c r="NBJ21" s="2866"/>
      <c r="NBK21" s="2827"/>
      <c r="NBL21" s="2867"/>
      <c r="NBM21" s="2866"/>
      <c r="NBN21" s="2827"/>
      <c r="NBO21" s="2867"/>
      <c r="NBP21" s="2866"/>
      <c r="NBQ21" s="2827"/>
      <c r="NBR21" s="2867"/>
      <c r="NBS21" s="2866"/>
      <c r="NBT21" s="2827"/>
      <c r="NBU21" s="2867"/>
      <c r="NBV21" s="2866"/>
      <c r="NBW21" s="2827"/>
      <c r="NBX21" s="2867"/>
      <c r="NBY21" s="2866"/>
      <c r="NBZ21" s="2827"/>
      <c r="NCA21" s="2867"/>
      <c r="NCB21" s="2866"/>
      <c r="NCC21" s="2827"/>
      <c r="NCD21" s="2867"/>
      <c r="NCE21" s="2866"/>
      <c r="NCF21" s="2827"/>
      <c r="NCG21" s="2867"/>
      <c r="NCH21" s="2866"/>
      <c r="NCI21" s="2827"/>
      <c r="NCJ21" s="2867"/>
      <c r="NCK21" s="2866"/>
      <c r="NCL21" s="2827"/>
      <c r="NCM21" s="2867"/>
      <c r="NCN21" s="2866"/>
      <c r="NCO21" s="2827"/>
      <c r="NCP21" s="2867"/>
      <c r="NCQ21" s="2866"/>
      <c r="NCR21" s="2827"/>
      <c r="NCS21" s="2867"/>
      <c r="NCT21" s="2866"/>
      <c r="NCU21" s="2827"/>
      <c r="NCV21" s="2867"/>
      <c r="NCW21" s="2866"/>
      <c r="NCX21" s="2827"/>
      <c r="NCY21" s="2867"/>
      <c r="NCZ21" s="2866"/>
      <c r="NDA21" s="2827"/>
      <c r="NDB21" s="2867"/>
      <c r="NDC21" s="2866"/>
      <c r="NDD21" s="2827"/>
      <c r="NDE21" s="2867"/>
      <c r="NDF21" s="2866"/>
      <c r="NDG21" s="2827"/>
      <c r="NDH21" s="2867"/>
      <c r="NDI21" s="2866"/>
      <c r="NDJ21" s="2827"/>
      <c r="NDK21" s="2867"/>
      <c r="NDL21" s="2866"/>
      <c r="NDM21" s="2827"/>
      <c r="NDN21" s="2867"/>
      <c r="NDO21" s="2866"/>
      <c r="NDP21" s="2827"/>
      <c r="NDQ21" s="2867"/>
      <c r="NDR21" s="2866"/>
      <c r="NDS21" s="2827"/>
      <c r="NDT21" s="2867"/>
      <c r="NDU21" s="2866"/>
      <c r="NDV21" s="2827"/>
      <c r="NDW21" s="2867"/>
      <c r="NDX21" s="2866"/>
      <c r="NDY21" s="2827"/>
      <c r="NDZ21" s="2867"/>
      <c r="NEA21" s="2866"/>
      <c r="NEB21" s="2827"/>
      <c r="NEC21" s="2867"/>
      <c r="NED21" s="2866"/>
      <c r="NEE21" s="2827"/>
      <c r="NEF21" s="2867"/>
      <c r="NEG21" s="2866"/>
      <c r="NEH21" s="2827"/>
      <c r="NEI21" s="2867"/>
      <c r="NEJ21" s="2866"/>
      <c r="NEK21" s="2827"/>
      <c r="NEL21" s="2867"/>
      <c r="NEM21" s="2866"/>
      <c r="NEN21" s="2827"/>
      <c r="NEO21" s="2867"/>
      <c r="NEP21" s="2866"/>
      <c r="NEQ21" s="2827"/>
      <c r="NER21" s="2867"/>
      <c r="NES21" s="2866"/>
      <c r="NET21" s="2827"/>
      <c r="NEU21" s="2867"/>
      <c r="NEV21" s="2866"/>
      <c r="NEW21" s="2827"/>
      <c r="NEX21" s="2867"/>
      <c r="NEY21" s="2866"/>
      <c r="NEZ21" s="2827"/>
      <c r="NFA21" s="2867"/>
      <c r="NFB21" s="2866"/>
      <c r="NFC21" s="2827"/>
      <c r="NFD21" s="2867"/>
      <c r="NFE21" s="2866"/>
      <c r="NFF21" s="2827"/>
      <c r="NFG21" s="2867"/>
      <c r="NFH21" s="2866"/>
      <c r="NFI21" s="2827"/>
      <c r="NFJ21" s="2867"/>
      <c r="NFK21" s="2866"/>
      <c r="NFL21" s="2827"/>
      <c r="NFM21" s="2867"/>
      <c r="NFN21" s="2866"/>
      <c r="NFO21" s="2827"/>
      <c r="NFP21" s="2867"/>
      <c r="NFQ21" s="2866"/>
      <c r="NFR21" s="2827"/>
      <c r="NFS21" s="2867"/>
      <c r="NFT21" s="2866"/>
      <c r="NFU21" s="2827"/>
      <c r="NFV21" s="2867"/>
      <c r="NFW21" s="2866"/>
      <c r="NFX21" s="2827"/>
      <c r="NFY21" s="2867"/>
      <c r="NFZ21" s="2866"/>
      <c r="NGA21" s="2827"/>
      <c r="NGB21" s="2867"/>
      <c r="NGC21" s="2866"/>
      <c r="NGD21" s="2827"/>
      <c r="NGE21" s="2867"/>
      <c r="NGF21" s="2866"/>
      <c r="NGG21" s="2827"/>
      <c r="NGH21" s="2867"/>
      <c r="NGI21" s="2866"/>
      <c r="NGJ21" s="2827"/>
      <c r="NGK21" s="2867"/>
      <c r="NGL21" s="2866"/>
      <c r="NGM21" s="2827"/>
      <c r="NGN21" s="2867"/>
      <c r="NGO21" s="2866"/>
      <c r="NGP21" s="2827"/>
      <c r="NGQ21" s="2867"/>
      <c r="NGR21" s="2866"/>
      <c r="NGS21" s="2827"/>
      <c r="NGT21" s="2867"/>
      <c r="NGU21" s="2866"/>
      <c r="NGV21" s="2827"/>
      <c r="NGW21" s="2867"/>
      <c r="NGX21" s="2866"/>
      <c r="NGY21" s="2827"/>
      <c r="NGZ21" s="2867"/>
      <c r="NHA21" s="2866"/>
      <c r="NHB21" s="2827"/>
      <c r="NHC21" s="2867"/>
      <c r="NHD21" s="2866"/>
      <c r="NHE21" s="2827"/>
      <c r="NHF21" s="2867"/>
      <c r="NHG21" s="2866"/>
      <c r="NHH21" s="2827"/>
      <c r="NHI21" s="2867"/>
      <c r="NHJ21" s="2866"/>
      <c r="NHK21" s="2827"/>
      <c r="NHL21" s="2867"/>
      <c r="NHM21" s="2866"/>
      <c r="NHN21" s="2827"/>
      <c r="NHO21" s="2867"/>
      <c r="NHP21" s="2866"/>
      <c r="NHQ21" s="2827"/>
      <c r="NHR21" s="2867"/>
      <c r="NHS21" s="2866"/>
      <c r="NHT21" s="2827"/>
      <c r="NHU21" s="2867"/>
      <c r="NHV21" s="2866"/>
      <c r="NHW21" s="2827"/>
      <c r="NHX21" s="2867"/>
      <c r="NHY21" s="2866"/>
      <c r="NHZ21" s="2827"/>
      <c r="NIA21" s="2867"/>
      <c r="NIB21" s="2866"/>
      <c r="NIC21" s="2827"/>
      <c r="NID21" s="2867"/>
      <c r="NIE21" s="2866"/>
      <c r="NIF21" s="2827"/>
      <c r="NIG21" s="2867"/>
      <c r="NIH21" s="2866"/>
      <c r="NII21" s="2827"/>
      <c r="NIJ21" s="2867"/>
      <c r="NIK21" s="2866"/>
      <c r="NIL21" s="2827"/>
      <c r="NIM21" s="2867"/>
      <c r="NIN21" s="2866"/>
      <c r="NIO21" s="2827"/>
      <c r="NIP21" s="2867"/>
      <c r="NIQ21" s="2866"/>
      <c r="NIR21" s="2827"/>
      <c r="NIS21" s="2867"/>
      <c r="NIT21" s="2866"/>
      <c r="NIU21" s="2827"/>
      <c r="NIV21" s="2867"/>
      <c r="NIW21" s="2866"/>
      <c r="NIX21" s="2827"/>
      <c r="NIY21" s="2867"/>
      <c r="NIZ21" s="2866"/>
      <c r="NJA21" s="2827"/>
      <c r="NJB21" s="2867"/>
      <c r="NJC21" s="2866"/>
      <c r="NJD21" s="2827"/>
      <c r="NJE21" s="2867"/>
      <c r="NJF21" s="2866"/>
      <c r="NJG21" s="2827"/>
      <c r="NJH21" s="2867"/>
      <c r="NJI21" s="2866"/>
      <c r="NJJ21" s="2827"/>
      <c r="NJK21" s="2867"/>
      <c r="NJL21" s="2866"/>
      <c r="NJM21" s="2827"/>
      <c r="NJN21" s="2867"/>
      <c r="NJO21" s="2866"/>
      <c r="NJP21" s="2827"/>
      <c r="NJQ21" s="2867"/>
      <c r="NJR21" s="2866"/>
      <c r="NJS21" s="2827"/>
      <c r="NJT21" s="2867"/>
      <c r="NJU21" s="2866"/>
      <c r="NJV21" s="2827"/>
      <c r="NJW21" s="2867"/>
      <c r="NJX21" s="2866"/>
      <c r="NJY21" s="2827"/>
      <c r="NJZ21" s="2867"/>
      <c r="NKA21" s="2866"/>
      <c r="NKB21" s="2827"/>
      <c r="NKC21" s="2867"/>
      <c r="NKD21" s="2866"/>
      <c r="NKE21" s="2827"/>
      <c r="NKF21" s="2867"/>
      <c r="NKG21" s="2866"/>
      <c r="NKH21" s="2827"/>
      <c r="NKI21" s="2867"/>
      <c r="NKJ21" s="2866"/>
      <c r="NKK21" s="2827"/>
      <c r="NKL21" s="2867"/>
      <c r="NKM21" s="2866"/>
      <c r="NKN21" s="2827"/>
      <c r="NKO21" s="2867"/>
      <c r="NKP21" s="2866"/>
      <c r="NKQ21" s="2827"/>
      <c r="NKR21" s="2867"/>
      <c r="NKS21" s="2866"/>
      <c r="NKT21" s="2827"/>
      <c r="NKU21" s="2867"/>
      <c r="NKV21" s="2866"/>
      <c r="NKW21" s="2827"/>
      <c r="NKX21" s="2867"/>
      <c r="NKY21" s="2866"/>
      <c r="NKZ21" s="2827"/>
      <c r="NLA21" s="2867"/>
      <c r="NLB21" s="2866"/>
      <c r="NLC21" s="2827"/>
      <c r="NLD21" s="2867"/>
      <c r="NLE21" s="2866"/>
      <c r="NLF21" s="2827"/>
      <c r="NLG21" s="2867"/>
      <c r="NLH21" s="2866"/>
      <c r="NLI21" s="2827"/>
      <c r="NLJ21" s="2867"/>
      <c r="NLK21" s="2866"/>
      <c r="NLL21" s="2827"/>
      <c r="NLM21" s="2867"/>
      <c r="NLN21" s="2866"/>
      <c r="NLO21" s="2827"/>
      <c r="NLP21" s="2867"/>
      <c r="NLQ21" s="2866"/>
      <c r="NLR21" s="2827"/>
      <c r="NLS21" s="2867"/>
      <c r="NLT21" s="2866"/>
      <c r="NLU21" s="2827"/>
      <c r="NLV21" s="2867"/>
      <c r="NLW21" s="2866"/>
      <c r="NLX21" s="2827"/>
      <c r="NLY21" s="2867"/>
      <c r="NLZ21" s="2866"/>
      <c r="NMA21" s="2827"/>
      <c r="NMB21" s="2867"/>
      <c r="NMC21" s="2866"/>
      <c r="NMD21" s="2827"/>
      <c r="NME21" s="2867"/>
      <c r="NMF21" s="2866"/>
      <c r="NMG21" s="2827"/>
      <c r="NMH21" s="2867"/>
      <c r="NMI21" s="2866"/>
      <c r="NMJ21" s="2827"/>
      <c r="NMK21" s="2867"/>
      <c r="NML21" s="2866"/>
      <c r="NMM21" s="2827"/>
      <c r="NMN21" s="2867"/>
      <c r="NMO21" s="2866"/>
      <c r="NMP21" s="2827"/>
      <c r="NMQ21" s="2867"/>
      <c r="NMR21" s="2866"/>
      <c r="NMS21" s="2827"/>
      <c r="NMT21" s="2867"/>
      <c r="NMU21" s="2866"/>
      <c r="NMV21" s="2827"/>
      <c r="NMW21" s="2867"/>
      <c r="NMX21" s="2866"/>
      <c r="NMY21" s="2827"/>
      <c r="NMZ21" s="2867"/>
      <c r="NNA21" s="2866"/>
      <c r="NNB21" s="2827"/>
      <c r="NNC21" s="2867"/>
      <c r="NND21" s="2866"/>
      <c r="NNE21" s="2827"/>
      <c r="NNF21" s="2867"/>
      <c r="NNG21" s="2866"/>
      <c r="NNH21" s="2827"/>
      <c r="NNI21" s="2867"/>
      <c r="NNJ21" s="2866"/>
      <c r="NNK21" s="2827"/>
      <c r="NNL21" s="2867"/>
      <c r="NNM21" s="2866"/>
      <c r="NNN21" s="2827"/>
      <c r="NNO21" s="2867"/>
      <c r="NNP21" s="2866"/>
      <c r="NNQ21" s="2827"/>
      <c r="NNR21" s="2867"/>
      <c r="NNS21" s="2866"/>
      <c r="NNT21" s="2827"/>
      <c r="NNU21" s="2867"/>
      <c r="NNV21" s="2866"/>
      <c r="NNW21" s="2827"/>
      <c r="NNX21" s="2867"/>
      <c r="NNY21" s="2866"/>
      <c r="NNZ21" s="2827"/>
      <c r="NOA21" s="2867"/>
      <c r="NOB21" s="2866"/>
      <c r="NOC21" s="2827"/>
      <c r="NOD21" s="2867"/>
      <c r="NOE21" s="2866"/>
      <c r="NOF21" s="2827"/>
      <c r="NOG21" s="2867"/>
      <c r="NOH21" s="2866"/>
      <c r="NOI21" s="2827"/>
      <c r="NOJ21" s="2867"/>
      <c r="NOK21" s="2866"/>
      <c r="NOL21" s="2827"/>
      <c r="NOM21" s="2867"/>
      <c r="NON21" s="2866"/>
      <c r="NOO21" s="2827"/>
      <c r="NOP21" s="2867"/>
      <c r="NOQ21" s="2866"/>
      <c r="NOR21" s="2827"/>
      <c r="NOS21" s="2867"/>
      <c r="NOT21" s="2866"/>
      <c r="NOU21" s="2827"/>
      <c r="NOV21" s="2867"/>
      <c r="NOW21" s="2866"/>
      <c r="NOX21" s="2827"/>
      <c r="NOY21" s="2867"/>
      <c r="NOZ21" s="2866"/>
      <c r="NPA21" s="2827"/>
      <c r="NPB21" s="2867"/>
      <c r="NPC21" s="2866"/>
      <c r="NPD21" s="2827"/>
      <c r="NPE21" s="2867"/>
      <c r="NPF21" s="2866"/>
      <c r="NPG21" s="2827"/>
      <c r="NPH21" s="2867"/>
      <c r="NPI21" s="2866"/>
      <c r="NPJ21" s="2827"/>
      <c r="NPK21" s="2867"/>
      <c r="NPL21" s="2866"/>
      <c r="NPM21" s="2827"/>
      <c r="NPN21" s="2867"/>
      <c r="NPO21" s="2866"/>
      <c r="NPP21" s="2827"/>
      <c r="NPQ21" s="2867"/>
      <c r="NPR21" s="2866"/>
      <c r="NPS21" s="2827"/>
      <c r="NPT21" s="2867"/>
      <c r="NPU21" s="2866"/>
      <c r="NPV21" s="2827"/>
      <c r="NPW21" s="2867"/>
      <c r="NPX21" s="2866"/>
      <c r="NPY21" s="2827"/>
      <c r="NPZ21" s="2867"/>
      <c r="NQA21" s="2866"/>
      <c r="NQB21" s="2827"/>
      <c r="NQC21" s="2867"/>
      <c r="NQD21" s="2866"/>
      <c r="NQE21" s="2827"/>
      <c r="NQF21" s="2867"/>
      <c r="NQG21" s="2866"/>
      <c r="NQH21" s="2827"/>
      <c r="NQI21" s="2867"/>
      <c r="NQJ21" s="2866"/>
      <c r="NQK21" s="2827"/>
      <c r="NQL21" s="2867"/>
      <c r="NQM21" s="2866"/>
      <c r="NQN21" s="2827"/>
      <c r="NQO21" s="2867"/>
      <c r="NQP21" s="2866"/>
      <c r="NQQ21" s="2827"/>
      <c r="NQR21" s="2867"/>
      <c r="NQS21" s="2866"/>
      <c r="NQT21" s="2827"/>
      <c r="NQU21" s="2867"/>
      <c r="NQV21" s="2866"/>
      <c r="NQW21" s="2827"/>
      <c r="NQX21" s="2867"/>
      <c r="NQY21" s="2866"/>
      <c r="NQZ21" s="2827"/>
      <c r="NRA21" s="2867"/>
      <c r="NRB21" s="2866"/>
      <c r="NRC21" s="2827"/>
      <c r="NRD21" s="2867"/>
      <c r="NRE21" s="2866"/>
      <c r="NRF21" s="2827"/>
      <c r="NRG21" s="2867"/>
      <c r="NRH21" s="2866"/>
      <c r="NRI21" s="2827"/>
      <c r="NRJ21" s="2867"/>
      <c r="NRK21" s="2866"/>
      <c r="NRL21" s="2827"/>
      <c r="NRM21" s="2867"/>
      <c r="NRN21" s="2866"/>
      <c r="NRO21" s="2827"/>
      <c r="NRP21" s="2867"/>
      <c r="NRQ21" s="2866"/>
      <c r="NRR21" s="2827"/>
      <c r="NRS21" s="2867"/>
      <c r="NRT21" s="2866"/>
      <c r="NRU21" s="2827"/>
      <c r="NRV21" s="2867"/>
      <c r="NRW21" s="2866"/>
      <c r="NRX21" s="2827"/>
      <c r="NRY21" s="2867"/>
      <c r="NRZ21" s="2866"/>
      <c r="NSA21" s="2827"/>
      <c r="NSB21" s="2867"/>
      <c r="NSC21" s="2866"/>
      <c r="NSD21" s="2827"/>
      <c r="NSE21" s="2867"/>
      <c r="NSF21" s="2866"/>
      <c r="NSG21" s="2827"/>
      <c r="NSH21" s="2867"/>
      <c r="NSI21" s="2866"/>
      <c r="NSJ21" s="2827"/>
      <c r="NSK21" s="2867"/>
      <c r="NSL21" s="2866"/>
      <c r="NSM21" s="2827"/>
      <c r="NSN21" s="2867"/>
      <c r="NSO21" s="2866"/>
      <c r="NSP21" s="2827"/>
      <c r="NSQ21" s="2867"/>
      <c r="NSR21" s="2866"/>
      <c r="NSS21" s="2827"/>
      <c r="NST21" s="2867"/>
      <c r="NSU21" s="2866"/>
      <c r="NSV21" s="2827"/>
      <c r="NSW21" s="2867"/>
      <c r="NSX21" s="2866"/>
      <c r="NSY21" s="2827"/>
      <c r="NSZ21" s="2867"/>
      <c r="NTA21" s="2866"/>
      <c r="NTB21" s="2827"/>
      <c r="NTC21" s="2867"/>
      <c r="NTD21" s="2866"/>
      <c r="NTE21" s="2827"/>
      <c r="NTF21" s="2867"/>
      <c r="NTG21" s="2866"/>
      <c r="NTH21" s="2827"/>
      <c r="NTI21" s="2867"/>
      <c r="NTJ21" s="2866"/>
      <c r="NTK21" s="2827"/>
      <c r="NTL21" s="2867"/>
      <c r="NTM21" s="2866"/>
      <c r="NTN21" s="2827"/>
      <c r="NTO21" s="2867"/>
      <c r="NTP21" s="2866"/>
      <c r="NTQ21" s="2827"/>
      <c r="NTR21" s="2867"/>
      <c r="NTS21" s="2866"/>
      <c r="NTT21" s="2827"/>
      <c r="NTU21" s="2867"/>
      <c r="NTV21" s="2866"/>
      <c r="NTW21" s="2827"/>
      <c r="NTX21" s="2867"/>
      <c r="NTY21" s="2866"/>
      <c r="NTZ21" s="2827"/>
      <c r="NUA21" s="2867"/>
      <c r="NUB21" s="2866"/>
      <c r="NUC21" s="2827"/>
      <c r="NUD21" s="2867"/>
      <c r="NUE21" s="2866"/>
      <c r="NUF21" s="2827"/>
      <c r="NUG21" s="2867"/>
      <c r="NUH21" s="2866"/>
      <c r="NUI21" s="2827"/>
      <c r="NUJ21" s="2867"/>
      <c r="NUK21" s="2866"/>
      <c r="NUL21" s="2827"/>
      <c r="NUM21" s="2867"/>
      <c r="NUN21" s="2866"/>
      <c r="NUO21" s="2827"/>
      <c r="NUP21" s="2867"/>
      <c r="NUQ21" s="2866"/>
      <c r="NUR21" s="2827"/>
      <c r="NUS21" s="2867"/>
      <c r="NUT21" s="2866"/>
      <c r="NUU21" s="2827"/>
      <c r="NUV21" s="2867"/>
      <c r="NUW21" s="2866"/>
      <c r="NUX21" s="2827"/>
      <c r="NUY21" s="2867"/>
      <c r="NUZ21" s="2866"/>
      <c r="NVA21" s="2827"/>
      <c r="NVB21" s="2867"/>
      <c r="NVC21" s="2866"/>
      <c r="NVD21" s="2827"/>
      <c r="NVE21" s="2867"/>
      <c r="NVF21" s="2866"/>
      <c r="NVG21" s="2827"/>
      <c r="NVH21" s="2867"/>
      <c r="NVI21" s="2866"/>
      <c r="NVJ21" s="2827"/>
      <c r="NVK21" s="2867"/>
      <c r="NVL21" s="2866"/>
      <c r="NVM21" s="2827"/>
      <c r="NVN21" s="2867"/>
      <c r="NVO21" s="2866"/>
      <c r="NVP21" s="2827"/>
      <c r="NVQ21" s="2867"/>
      <c r="NVR21" s="2866"/>
      <c r="NVS21" s="2827"/>
      <c r="NVT21" s="2867"/>
      <c r="NVU21" s="2866"/>
      <c r="NVV21" s="2827"/>
      <c r="NVW21" s="2867"/>
      <c r="NVX21" s="2866"/>
      <c r="NVY21" s="2827"/>
      <c r="NVZ21" s="2867"/>
      <c r="NWA21" s="2866"/>
      <c r="NWB21" s="2827"/>
      <c r="NWC21" s="2867"/>
      <c r="NWD21" s="2866"/>
      <c r="NWE21" s="2827"/>
      <c r="NWF21" s="2867"/>
      <c r="NWG21" s="2866"/>
      <c r="NWH21" s="2827"/>
      <c r="NWI21" s="2867"/>
      <c r="NWJ21" s="2866"/>
      <c r="NWK21" s="2827"/>
      <c r="NWL21" s="2867"/>
      <c r="NWM21" s="2866"/>
      <c r="NWN21" s="2827"/>
      <c r="NWO21" s="2867"/>
      <c r="NWP21" s="2866"/>
      <c r="NWQ21" s="2827"/>
      <c r="NWR21" s="2867"/>
      <c r="NWS21" s="2866"/>
      <c r="NWT21" s="2827"/>
      <c r="NWU21" s="2867"/>
      <c r="NWV21" s="2866"/>
      <c r="NWW21" s="2827"/>
      <c r="NWX21" s="2867"/>
      <c r="NWY21" s="2866"/>
      <c r="NWZ21" s="2827"/>
      <c r="NXA21" s="2867"/>
      <c r="NXB21" s="2866"/>
      <c r="NXC21" s="2827"/>
      <c r="NXD21" s="2867"/>
      <c r="NXE21" s="2866"/>
      <c r="NXF21" s="2827"/>
      <c r="NXG21" s="2867"/>
      <c r="NXH21" s="2866"/>
      <c r="NXI21" s="2827"/>
      <c r="NXJ21" s="2867"/>
      <c r="NXK21" s="2866"/>
      <c r="NXL21" s="2827"/>
      <c r="NXM21" s="2867"/>
      <c r="NXN21" s="2866"/>
      <c r="NXO21" s="2827"/>
      <c r="NXP21" s="2867"/>
      <c r="NXQ21" s="2866"/>
      <c r="NXR21" s="2827"/>
      <c r="NXS21" s="2867"/>
      <c r="NXT21" s="2866"/>
      <c r="NXU21" s="2827"/>
      <c r="NXV21" s="2867"/>
      <c r="NXW21" s="2866"/>
      <c r="NXX21" s="2827"/>
      <c r="NXY21" s="2867"/>
      <c r="NXZ21" s="2866"/>
      <c r="NYA21" s="2827"/>
      <c r="NYB21" s="2867"/>
      <c r="NYC21" s="2866"/>
      <c r="NYD21" s="2827"/>
      <c r="NYE21" s="2867"/>
      <c r="NYF21" s="2866"/>
      <c r="NYG21" s="2827"/>
      <c r="NYH21" s="2867"/>
      <c r="NYI21" s="2866"/>
      <c r="NYJ21" s="2827"/>
      <c r="NYK21" s="2867"/>
      <c r="NYL21" s="2866"/>
      <c r="NYM21" s="2827"/>
      <c r="NYN21" s="2867"/>
      <c r="NYO21" s="2866"/>
      <c r="NYP21" s="2827"/>
      <c r="NYQ21" s="2867"/>
      <c r="NYR21" s="2866"/>
      <c r="NYS21" s="2827"/>
      <c r="NYT21" s="2867"/>
      <c r="NYU21" s="2866"/>
      <c r="NYV21" s="2827"/>
      <c r="NYW21" s="2867"/>
      <c r="NYX21" s="2866"/>
      <c r="NYY21" s="2827"/>
      <c r="NYZ21" s="2867"/>
      <c r="NZA21" s="2866"/>
      <c r="NZB21" s="2827"/>
      <c r="NZC21" s="2867"/>
      <c r="NZD21" s="2866"/>
      <c r="NZE21" s="2827"/>
      <c r="NZF21" s="2867"/>
      <c r="NZG21" s="2866"/>
      <c r="NZH21" s="2827"/>
      <c r="NZI21" s="2867"/>
      <c r="NZJ21" s="2866"/>
      <c r="NZK21" s="2827"/>
      <c r="NZL21" s="2867"/>
      <c r="NZM21" s="2866"/>
      <c r="NZN21" s="2827"/>
      <c r="NZO21" s="2867"/>
      <c r="NZP21" s="2866"/>
      <c r="NZQ21" s="2827"/>
      <c r="NZR21" s="2867"/>
      <c r="NZS21" s="2866"/>
      <c r="NZT21" s="2827"/>
      <c r="NZU21" s="2867"/>
      <c r="NZV21" s="2866"/>
      <c r="NZW21" s="2827"/>
      <c r="NZX21" s="2867"/>
      <c r="NZY21" s="2866"/>
      <c r="NZZ21" s="2827"/>
      <c r="OAA21" s="2867"/>
      <c r="OAB21" s="2866"/>
      <c r="OAC21" s="2827"/>
      <c r="OAD21" s="2867"/>
      <c r="OAE21" s="2866"/>
      <c r="OAF21" s="2827"/>
      <c r="OAG21" s="2867"/>
      <c r="OAH21" s="2866"/>
      <c r="OAI21" s="2827"/>
      <c r="OAJ21" s="2867"/>
      <c r="OAK21" s="2866"/>
      <c r="OAL21" s="2827"/>
      <c r="OAM21" s="2867"/>
      <c r="OAN21" s="2866"/>
      <c r="OAO21" s="2827"/>
      <c r="OAP21" s="2867"/>
      <c r="OAQ21" s="2866"/>
      <c r="OAR21" s="2827"/>
      <c r="OAS21" s="2867"/>
      <c r="OAT21" s="2866"/>
      <c r="OAU21" s="2827"/>
      <c r="OAV21" s="2867"/>
      <c r="OAW21" s="2866"/>
      <c r="OAX21" s="2827"/>
      <c r="OAY21" s="2867"/>
      <c r="OAZ21" s="2866"/>
      <c r="OBA21" s="2827"/>
      <c r="OBB21" s="2867"/>
      <c r="OBC21" s="2866"/>
      <c r="OBD21" s="2827"/>
      <c r="OBE21" s="2867"/>
      <c r="OBF21" s="2866"/>
      <c r="OBG21" s="2827"/>
      <c r="OBH21" s="2867"/>
      <c r="OBI21" s="2866"/>
      <c r="OBJ21" s="2827"/>
      <c r="OBK21" s="2867"/>
      <c r="OBL21" s="2866"/>
      <c r="OBM21" s="2827"/>
      <c r="OBN21" s="2867"/>
      <c r="OBO21" s="2866"/>
      <c r="OBP21" s="2827"/>
      <c r="OBQ21" s="2867"/>
      <c r="OBR21" s="2866"/>
      <c r="OBS21" s="2827"/>
      <c r="OBT21" s="2867"/>
      <c r="OBU21" s="2866"/>
      <c r="OBV21" s="2827"/>
      <c r="OBW21" s="2867"/>
      <c r="OBX21" s="2866"/>
      <c r="OBY21" s="2827"/>
      <c r="OBZ21" s="2867"/>
      <c r="OCA21" s="2866"/>
      <c r="OCB21" s="2827"/>
      <c r="OCC21" s="2867"/>
      <c r="OCD21" s="2866"/>
      <c r="OCE21" s="2827"/>
      <c r="OCF21" s="2867"/>
      <c r="OCG21" s="2866"/>
      <c r="OCH21" s="2827"/>
      <c r="OCI21" s="2867"/>
      <c r="OCJ21" s="2866"/>
      <c r="OCK21" s="2827"/>
      <c r="OCL21" s="2867"/>
      <c r="OCM21" s="2866"/>
      <c r="OCN21" s="2827"/>
      <c r="OCO21" s="2867"/>
      <c r="OCP21" s="2866"/>
      <c r="OCQ21" s="2827"/>
      <c r="OCR21" s="2867"/>
      <c r="OCS21" s="2866"/>
      <c r="OCT21" s="2827"/>
      <c r="OCU21" s="2867"/>
      <c r="OCV21" s="2866"/>
      <c r="OCW21" s="2827"/>
      <c r="OCX21" s="2867"/>
      <c r="OCY21" s="2866"/>
      <c r="OCZ21" s="2827"/>
      <c r="ODA21" s="2867"/>
      <c r="ODB21" s="2866"/>
      <c r="ODC21" s="2827"/>
      <c r="ODD21" s="2867"/>
      <c r="ODE21" s="2866"/>
      <c r="ODF21" s="2827"/>
      <c r="ODG21" s="2867"/>
      <c r="ODH21" s="2866"/>
      <c r="ODI21" s="2827"/>
      <c r="ODJ21" s="2867"/>
      <c r="ODK21" s="2866"/>
      <c r="ODL21" s="2827"/>
      <c r="ODM21" s="2867"/>
      <c r="ODN21" s="2866"/>
      <c r="ODO21" s="2827"/>
      <c r="ODP21" s="2867"/>
      <c r="ODQ21" s="2866"/>
      <c r="ODR21" s="2827"/>
      <c r="ODS21" s="2867"/>
      <c r="ODT21" s="2866"/>
      <c r="ODU21" s="2827"/>
      <c r="ODV21" s="2867"/>
      <c r="ODW21" s="2866"/>
      <c r="ODX21" s="2827"/>
      <c r="ODY21" s="2867"/>
      <c r="ODZ21" s="2866"/>
      <c r="OEA21" s="2827"/>
      <c r="OEB21" s="2867"/>
      <c r="OEC21" s="2866"/>
      <c r="OED21" s="2827"/>
      <c r="OEE21" s="2867"/>
      <c r="OEF21" s="2866"/>
      <c r="OEG21" s="2827"/>
      <c r="OEH21" s="2867"/>
      <c r="OEI21" s="2866"/>
      <c r="OEJ21" s="2827"/>
      <c r="OEK21" s="2867"/>
      <c r="OEL21" s="2866"/>
      <c r="OEM21" s="2827"/>
      <c r="OEN21" s="2867"/>
      <c r="OEO21" s="2866"/>
      <c r="OEP21" s="2827"/>
      <c r="OEQ21" s="2867"/>
      <c r="OER21" s="2866"/>
      <c r="OES21" s="2827"/>
      <c r="OET21" s="2867"/>
      <c r="OEU21" s="2866"/>
      <c r="OEV21" s="2827"/>
      <c r="OEW21" s="2867"/>
      <c r="OEX21" s="2866"/>
      <c r="OEY21" s="2827"/>
      <c r="OEZ21" s="2867"/>
      <c r="OFA21" s="2866"/>
      <c r="OFB21" s="2827"/>
      <c r="OFC21" s="2867"/>
      <c r="OFD21" s="2866"/>
      <c r="OFE21" s="2827"/>
      <c r="OFF21" s="2867"/>
      <c r="OFG21" s="2866"/>
      <c r="OFH21" s="2827"/>
      <c r="OFI21" s="2867"/>
      <c r="OFJ21" s="2866"/>
      <c r="OFK21" s="2827"/>
      <c r="OFL21" s="2867"/>
      <c r="OFM21" s="2866"/>
      <c r="OFN21" s="2827"/>
      <c r="OFO21" s="2867"/>
      <c r="OFP21" s="2866"/>
      <c r="OFQ21" s="2827"/>
      <c r="OFR21" s="2867"/>
      <c r="OFS21" s="2866"/>
      <c r="OFT21" s="2827"/>
      <c r="OFU21" s="2867"/>
      <c r="OFV21" s="2866"/>
      <c r="OFW21" s="2827"/>
      <c r="OFX21" s="2867"/>
      <c r="OFY21" s="2866"/>
      <c r="OFZ21" s="2827"/>
      <c r="OGA21" s="2867"/>
      <c r="OGB21" s="2866"/>
      <c r="OGC21" s="2827"/>
      <c r="OGD21" s="2867"/>
      <c r="OGE21" s="2866"/>
      <c r="OGF21" s="2827"/>
      <c r="OGG21" s="2867"/>
      <c r="OGH21" s="2866"/>
      <c r="OGI21" s="2827"/>
      <c r="OGJ21" s="2867"/>
      <c r="OGK21" s="2866"/>
      <c r="OGL21" s="2827"/>
      <c r="OGM21" s="2867"/>
      <c r="OGN21" s="2866"/>
      <c r="OGO21" s="2827"/>
      <c r="OGP21" s="2867"/>
      <c r="OGQ21" s="2866"/>
      <c r="OGR21" s="2827"/>
      <c r="OGS21" s="2867"/>
      <c r="OGT21" s="2866"/>
      <c r="OGU21" s="2827"/>
      <c r="OGV21" s="2867"/>
      <c r="OGW21" s="2866"/>
      <c r="OGX21" s="2827"/>
      <c r="OGY21" s="2867"/>
      <c r="OGZ21" s="2866"/>
      <c r="OHA21" s="2827"/>
      <c r="OHB21" s="2867"/>
      <c r="OHC21" s="2866"/>
      <c r="OHD21" s="2827"/>
      <c r="OHE21" s="2867"/>
      <c r="OHF21" s="2866"/>
      <c r="OHG21" s="2827"/>
      <c r="OHH21" s="2867"/>
      <c r="OHI21" s="2866"/>
      <c r="OHJ21" s="2827"/>
      <c r="OHK21" s="2867"/>
      <c r="OHL21" s="2866"/>
      <c r="OHM21" s="2827"/>
      <c r="OHN21" s="2867"/>
      <c r="OHO21" s="2866"/>
      <c r="OHP21" s="2827"/>
      <c r="OHQ21" s="2867"/>
      <c r="OHR21" s="2866"/>
      <c r="OHS21" s="2827"/>
      <c r="OHT21" s="2867"/>
      <c r="OHU21" s="2866"/>
      <c r="OHV21" s="2827"/>
      <c r="OHW21" s="2867"/>
      <c r="OHX21" s="2866"/>
      <c r="OHY21" s="2827"/>
      <c r="OHZ21" s="2867"/>
      <c r="OIA21" s="2866"/>
      <c r="OIB21" s="2827"/>
      <c r="OIC21" s="2867"/>
      <c r="OID21" s="2866"/>
      <c r="OIE21" s="2827"/>
      <c r="OIF21" s="2867"/>
      <c r="OIG21" s="2866"/>
      <c r="OIH21" s="2827"/>
      <c r="OII21" s="2867"/>
      <c r="OIJ21" s="2866"/>
      <c r="OIK21" s="2827"/>
      <c r="OIL21" s="2867"/>
      <c r="OIM21" s="2866"/>
      <c r="OIN21" s="2827"/>
      <c r="OIO21" s="2867"/>
      <c r="OIP21" s="2866"/>
      <c r="OIQ21" s="2827"/>
      <c r="OIR21" s="2867"/>
      <c r="OIS21" s="2866"/>
      <c r="OIT21" s="2827"/>
      <c r="OIU21" s="2867"/>
      <c r="OIV21" s="2866"/>
      <c r="OIW21" s="2827"/>
      <c r="OIX21" s="2867"/>
      <c r="OIY21" s="2866"/>
      <c r="OIZ21" s="2827"/>
      <c r="OJA21" s="2867"/>
      <c r="OJB21" s="2866"/>
      <c r="OJC21" s="2827"/>
      <c r="OJD21" s="2867"/>
      <c r="OJE21" s="2866"/>
      <c r="OJF21" s="2827"/>
      <c r="OJG21" s="2867"/>
      <c r="OJH21" s="2866"/>
      <c r="OJI21" s="2827"/>
      <c r="OJJ21" s="2867"/>
      <c r="OJK21" s="2866"/>
      <c r="OJL21" s="2827"/>
      <c r="OJM21" s="2867"/>
      <c r="OJN21" s="2866"/>
      <c r="OJO21" s="2827"/>
      <c r="OJP21" s="2867"/>
      <c r="OJQ21" s="2866"/>
      <c r="OJR21" s="2827"/>
      <c r="OJS21" s="2867"/>
      <c r="OJT21" s="2866"/>
      <c r="OJU21" s="2827"/>
      <c r="OJV21" s="2867"/>
      <c r="OJW21" s="2866"/>
      <c r="OJX21" s="2827"/>
      <c r="OJY21" s="2867"/>
      <c r="OJZ21" s="2866"/>
      <c r="OKA21" s="2827"/>
      <c r="OKB21" s="2867"/>
      <c r="OKC21" s="2866"/>
      <c r="OKD21" s="2827"/>
      <c r="OKE21" s="2867"/>
      <c r="OKF21" s="2866"/>
      <c r="OKG21" s="2827"/>
      <c r="OKH21" s="2867"/>
      <c r="OKI21" s="2866"/>
      <c r="OKJ21" s="2827"/>
      <c r="OKK21" s="2867"/>
      <c r="OKL21" s="2866"/>
      <c r="OKM21" s="2827"/>
      <c r="OKN21" s="2867"/>
      <c r="OKO21" s="2866"/>
      <c r="OKP21" s="2827"/>
      <c r="OKQ21" s="2867"/>
      <c r="OKR21" s="2866"/>
      <c r="OKS21" s="2827"/>
      <c r="OKT21" s="2867"/>
      <c r="OKU21" s="2866"/>
      <c r="OKV21" s="2827"/>
      <c r="OKW21" s="2867"/>
      <c r="OKX21" s="2866"/>
      <c r="OKY21" s="2827"/>
      <c r="OKZ21" s="2867"/>
      <c r="OLA21" s="2866"/>
      <c r="OLB21" s="2827"/>
      <c r="OLC21" s="2867"/>
      <c r="OLD21" s="2866"/>
      <c r="OLE21" s="2827"/>
      <c r="OLF21" s="2867"/>
      <c r="OLG21" s="2866"/>
      <c r="OLH21" s="2827"/>
      <c r="OLI21" s="2867"/>
      <c r="OLJ21" s="2866"/>
      <c r="OLK21" s="2827"/>
      <c r="OLL21" s="2867"/>
      <c r="OLM21" s="2866"/>
      <c r="OLN21" s="2827"/>
      <c r="OLO21" s="2867"/>
      <c r="OLP21" s="2866"/>
      <c r="OLQ21" s="2827"/>
      <c r="OLR21" s="2867"/>
      <c r="OLS21" s="2866"/>
      <c r="OLT21" s="2827"/>
      <c r="OLU21" s="2867"/>
      <c r="OLV21" s="2866"/>
      <c r="OLW21" s="2827"/>
      <c r="OLX21" s="2867"/>
      <c r="OLY21" s="2866"/>
      <c r="OLZ21" s="2827"/>
      <c r="OMA21" s="2867"/>
      <c r="OMB21" s="2866"/>
      <c r="OMC21" s="2827"/>
      <c r="OMD21" s="2867"/>
      <c r="OME21" s="2866"/>
      <c r="OMF21" s="2827"/>
      <c r="OMG21" s="2867"/>
      <c r="OMH21" s="2866"/>
      <c r="OMI21" s="2827"/>
      <c r="OMJ21" s="2867"/>
      <c r="OMK21" s="2866"/>
      <c r="OML21" s="2827"/>
      <c r="OMM21" s="2867"/>
      <c r="OMN21" s="2866"/>
      <c r="OMO21" s="2827"/>
      <c r="OMP21" s="2867"/>
      <c r="OMQ21" s="2866"/>
      <c r="OMR21" s="2827"/>
      <c r="OMS21" s="2867"/>
      <c r="OMT21" s="2866"/>
      <c r="OMU21" s="2827"/>
      <c r="OMV21" s="2867"/>
      <c r="OMW21" s="2866"/>
      <c r="OMX21" s="2827"/>
      <c r="OMY21" s="2867"/>
      <c r="OMZ21" s="2866"/>
      <c r="ONA21" s="2827"/>
      <c r="ONB21" s="2867"/>
      <c r="ONC21" s="2866"/>
      <c r="OND21" s="2827"/>
      <c r="ONE21" s="2867"/>
      <c r="ONF21" s="2866"/>
      <c r="ONG21" s="2827"/>
      <c r="ONH21" s="2867"/>
      <c r="ONI21" s="2866"/>
      <c r="ONJ21" s="2827"/>
      <c r="ONK21" s="2867"/>
      <c r="ONL21" s="2866"/>
      <c r="ONM21" s="2827"/>
      <c r="ONN21" s="2867"/>
      <c r="ONO21" s="2866"/>
      <c r="ONP21" s="2827"/>
      <c r="ONQ21" s="2867"/>
      <c r="ONR21" s="2866"/>
      <c r="ONS21" s="2827"/>
      <c r="ONT21" s="2867"/>
      <c r="ONU21" s="2866"/>
      <c r="ONV21" s="2827"/>
      <c r="ONW21" s="2867"/>
      <c r="ONX21" s="2866"/>
      <c r="ONY21" s="2827"/>
      <c r="ONZ21" s="2867"/>
      <c r="OOA21" s="2866"/>
      <c r="OOB21" s="2827"/>
      <c r="OOC21" s="2867"/>
      <c r="OOD21" s="2866"/>
      <c r="OOE21" s="2827"/>
      <c r="OOF21" s="2867"/>
      <c r="OOG21" s="2866"/>
      <c r="OOH21" s="2827"/>
      <c r="OOI21" s="2867"/>
      <c r="OOJ21" s="2866"/>
      <c r="OOK21" s="2827"/>
      <c r="OOL21" s="2867"/>
      <c r="OOM21" s="2866"/>
      <c r="OON21" s="2827"/>
      <c r="OOO21" s="2867"/>
      <c r="OOP21" s="2866"/>
      <c r="OOQ21" s="2827"/>
      <c r="OOR21" s="2867"/>
      <c r="OOS21" s="2866"/>
      <c r="OOT21" s="2827"/>
      <c r="OOU21" s="2867"/>
      <c r="OOV21" s="2866"/>
      <c r="OOW21" s="2827"/>
      <c r="OOX21" s="2867"/>
      <c r="OOY21" s="2866"/>
      <c r="OOZ21" s="2827"/>
      <c r="OPA21" s="2867"/>
      <c r="OPB21" s="2866"/>
      <c r="OPC21" s="2827"/>
      <c r="OPD21" s="2867"/>
      <c r="OPE21" s="2866"/>
      <c r="OPF21" s="2827"/>
      <c r="OPG21" s="2867"/>
      <c r="OPH21" s="2866"/>
      <c r="OPI21" s="2827"/>
      <c r="OPJ21" s="2867"/>
      <c r="OPK21" s="2866"/>
      <c r="OPL21" s="2827"/>
      <c r="OPM21" s="2867"/>
      <c r="OPN21" s="2866"/>
      <c r="OPO21" s="2827"/>
      <c r="OPP21" s="2867"/>
      <c r="OPQ21" s="2866"/>
      <c r="OPR21" s="2827"/>
      <c r="OPS21" s="2867"/>
      <c r="OPT21" s="2866"/>
      <c r="OPU21" s="2827"/>
      <c r="OPV21" s="2867"/>
      <c r="OPW21" s="2866"/>
      <c r="OPX21" s="2827"/>
      <c r="OPY21" s="2867"/>
      <c r="OPZ21" s="2866"/>
      <c r="OQA21" s="2827"/>
      <c r="OQB21" s="2867"/>
      <c r="OQC21" s="2866"/>
      <c r="OQD21" s="2827"/>
      <c r="OQE21" s="2867"/>
      <c r="OQF21" s="2866"/>
      <c r="OQG21" s="2827"/>
      <c r="OQH21" s="2867"/>
      <c r="OQI21" s="2866"/>
      <c r="OQJ21" s="2827"/>
      <c r="OQK21" s="2867"/>
      <c r="OQL21" s="2866"/>
      <c r="OQM21" s="2827"/>
      <c r="OQN21" s="2867"/>
      <c r="OQO21" s="2866"/>
      <c r="OQP21" s="2827"/>
      <c r="OQQ21" s="2867"/>
      <c r="OQR21" s="2866"/>
      <c r="OQS21" s="2827"/>
      <c r="OQT21" s="2867"/>
      <c r="OQU21" s="2866"/>
      <c r="OQV21" s="2827"/>
      <c r="OQW21" s="2867"/>
      <c r="OQX21" s="2866"/>
      <c r="OQY21" s="2827"/>
      <c r="OQZ21" s="2867"/>
      <c r="ORA21" s="2866"/>
      <c r="ORB21" s="2827"/>
      <c r="ORC21" s="2867"/>
      <c r="ORD21" s="2866"/>
      <c r="ORE21" s="2827"/>
      <c r="ORF21" s="2867"/>
      <c r="ORG21" s="2866"/>
      <c r="ORH21" s="2827"/>
      <c r="ORI21" s="2867"/>
      <c r="ORJ21" s="2866"/>
      <c r="ORK21" s="2827"/>
      <c r="ORL21" s="2867"/>
      <c r="ORM21" s="2866"/>
      <c r="ORN21" s="2827"/>
      <c r="ORO21" s="2867"/>
      <c r="ORP21" s="2866"/>
      <c r="ORQ21" s="2827"/>
      <c r="ORR21" s="2867"/>
      <c r="ORS21" s="2866"/>
      <c r="ORT21" s="2827"/>
      <c r="ORU21" s="2867"/>
      <c r="ORV21" s="2866"/>
      <c r="ORW21" s="2827"/>
      <c r="ORX21" s="2867"/>
      <c r="ORY21" s="2866"/>
      <c r="ORZ21" s="2827"/>
      <c r="OSA21" s="2867"/>
      <c r="OSB21" s="2866"/>
      <c r="OSC21" s="2827"/>
      <c r="OSD21" s="2867"/>
      <c r="OSE21" s="2866"/>
      <c r="OSF21" s="2827"/>
      <c r="OSG21" s="2867"/>
      <c r="OSH21" s="2866"/>
      <c r="OSI21" s="2827"/>
      <c r="OSJ21" s="2867"/>
      <c r="OSK21" s="2866"/>
      <c r="OSL21" s="2827"/>
      <c r="OSM21" s="2867"/>
      <c r="OSN21" s="2866"/>
      <c r="OSO21" s="2827"/>
      <c r="OSP21" s="2867"/>
      <c r="OSQ21" s="2866"/>
      <c r="OSR21" s="2827"/>
      <c r="OSS21" s="2867"/>
      <c r="OST21" s="2866"/>
      <c r="OSU21" s="2827"/>
      <c r="OSV21" s="2867"/>
      <c r="OSW21" s="2866"/>
      <c r="OSX21" s="2827"/>
      <c r="OSY21" s="2867"/>
      <c r="OSZ21" s="2866"/>
      <c r="OTA21" s="2827"/>
      <c r="OTB21" s="2867"/>
      <c r="OTC21" s="2866"/>
      <c r="OTD21" s="2827"/>
      <c r="OTE21" s="2867"/>
      <c r="OTF21" s="2866"/>
      <c r="OTG21" s="2827"/>
      <c r="OTH21" s="2867"/>
      <c r="OTI21" s="2866"/>
      <c r="OTJ21" s="2827"/>
      <c r="OTK21" s="2867"/>
      <c r="OTL21" s="2866"/>
      <c r="OTM21" s="2827"/>
      <c r="OTN21" s="2867"/>
      <c r="OTO21" s="2866"/>
      <c r="OTP21" s="2827"/>
      <c r="OTQ21" s="2867"/>
      <c r="OTR21" s="2866"/>
      <c r="OTS21" s="2827"/>
      <c r="OTT21" s="2867"/>
      <c r="OTU21" s="2866"/>
      <c r="OTV21" s="2827"/>
      <c r="OTW21" s="2867"/>
      <c r="OTX21" s="2866"/>
      <c r="OTY21" s="2827"/>
      <c r="OTZ21" s="2867"/>
      <c r="OUA21" s="2866"/>
      <c r="OUB21" s="2827"/>
      <c r="OUC21" s="2867"/>
      <c r="OUD21" s="2866"/>
      <c r="OUE21" s="2827"/>
      <c r="OUF21" s="2867"/>
      <c r="OUG21" s="2866"/>
      <c r="OUH21" s="2827"/>
      <c r="OUI21" s="2867"/>
      <c r="OUJ21" s="2866"/>
      <c r="OUK21" s="2827"/>
      <c r="OUL21" s="2867"/>
      <c r="OUM21" s="2866"/>
      <c r="OUN21" s="2827"/>
      <c r="OUO21" s="2867"/>
      <c r="OUP21" s="2866"/>
      <c r="OUQ21" s="2827"/>
      <c r="OUR21" s="2867"/>
      <c r="OUS21" s="2866"/>
      <c r="OUT21" s="2827"/>
      <c r="OUU21" s="2867"/>
      <c r="OUV21" s="2866"/>
      <c r="OUW21" s="2827"/>
      <c r="OUX21" s="2867"/>
      <c r="OUY21" s="2866"/>
      <c r="OUZ21" s="2827"/>
      <c r="OVA21" s="2867"/>
      <c r="OVB21" s="2866"/>
      <c r="OVC21" s="2827"/>
      <c r="OVD21" s="2867"/>
      <c r="OVE21" s="2866"/>
      <c r="OVF21" s="2827"/>
      <c r="OVG21" s="2867"/>
      <c r="OVH21" s="2866"/>
      <c r="OVI21" s="2827"/>
      <c r="OVJ21" s="2867"/>
      <c r="OVK21" s="2866"/>
      <c r="OVL21" s="2827"/>
      <c r="OVM21" s="2867"/>
      <c r="OVN21" s="2866"/>
      <c r="OVO21" s="2827"/>
      <c r="OVP21" s="2867"/>
      <c r="OVQ21" s="2866"/>
      <c r="OVR21" s="2827"/>
      <c r="OVS21" s="2867"/>
      <c r="OVT21" s="2866"/>
      <c r="OVU21" s="2827"/>
      <c r="OVV21" s="2867"/>
      <c r="OVW21" s="2866"/>
      <c r="OVX21" s="2827"/>
      <c r="OVY21" s="2867"/>
      <c r="OVZ21" s="2866"/>
      <c r="OWA21" s="2827"/>
      <c r="OWB21" s="2867"/>
      <c r="OWC21" s="2866"/>
      <c r="OWD21" s="2827"/>
      <c r="OWE21" s="2867"/>
      <c r="OWF21" s="2866"/>
      <c r="OWG21" s="2827"/>
      <c r="OWH21" s="2867"/>
      <c r="OWI21" s="2866"/>
      <c r="OWJ21" s="2827"/>
      <c r="OWK21" s="2867"/>
      <c r="OWL21" s="2866"/>
      <c r="OWM21" s="2827"/>
      <c r="OWN21" s="2867"/>
      <c r="OWO21" s="2866"/>
      <c r="OWP21" s="2827"/>
      <c r="OWQ21" s="2867"/>
      <c r="OWR21" s="2866"/>
      <c r="OWS21" s="2827"/>
      <c r="OWT21" s="2867"/>
      <c r="OWU21" s="2866"/>
      <c r="OWV21" s="2827"/>
      <c r="OWW21" s="2867"/>
      <c r="OWX21" s="2866"/>
      <c r="OWY21" s="2827"/>
      <c r="OWZ21" s="2867"/>
      <c r="OXA21" s="2866"/>
      <c r="OXB21" s="2827"/>
      <c r="OXC21" s="2867"/>
      <c r="OXD21" s="2866"/>
      <c r="OXE21" s="2827"/>
      <c r="OXF21" s="2867"/>
      <c r="OXG21" s="2866"/>
      <c r="OXH21" s="2827"/>
      <c r="OXI21" s="2867"/>
      <c r="OXJ21" s="2866"/>
      <c r="OXK21" s="2827"/>
      <c r="OXL21" s="2867"/>
      <c r="OXM21" s="2866"/>
      <c r="OXN21" s="2827"/>
      <c r="OXO21" s="2867"/>
      <c r="OXP21" s="2866"/>
      <c r="OXQ21" s="2827"/>
      <c r="OXR21" s="2867"/>
      <c r="OXS21" s="2866"/>
      <c r="OXT21" s="2827"/>
      <c r="OXU21" s="2867"/>
      <c r="OXV21" s="2866"/>
      <c r="OXW21" s="2827"/>
      <c r="OXX21" s="2867"/>
      <c r="OXY21" s="2866"/>
      <c r="OXZ21" s="2827"/>
      <c r="OYA21" s="2867"/>
      <c r="OYB21" s="2866"/>
      <c r="OYC21" s="2827"/>
      <c r="OYD21" s="2867"/>
      <c r="OYE21" s="2866"/>
      <c r="OYF21" s="2827"/>
      <c r="OYG21" s="2867"/>
      <c r="OYH21" s="2866"/>
      <c r="OYI21" s="2827"/>
      <c r="OYJ21" s="2867"/>
      <c r="OYK21" s="2866"/>
      <c r="OYL21" s="2827"/>
      <c r="OYM21" s="2867"/>
      <c r="OYN21" s="2866"/>
      <c r="OYO21" s="2827"/>
      <c r="OYP21" s="2867"/>
      <c r="OYQ21" s="2866"/>
      <c r="OYR21" s="2827"/>
      <c r="OYS21" s="2867"/>
      <c r="OYT21" s="2866"/>
      <c r="OYU21" s="2827"/>
      <c r="OYV21" s="2867"/>
      <c r="OYW21" s="2866"/>
      <c r="OYX21" s="2827"/>
      <c r="OYY21" s="2867"/>
      <c r="OYZ21" s="2866"/>
      <c r="OZA21" s="2827"/>
      <c r="OZB21" s="2867"/>
      <c r="OZC21" s="2866"/>
      <c r="OZD21" s="2827"/>
      <c r="OZE21" s="2867"/>
      <c r="OZF21" s="2866"/>
      <c r="OZG21" s="2827"/>
      <c r="OZH21" s="2867"/>
      <c r="OZI21" s="2866"/>
      <c r="OZJ21" s="2827"/>
      <c r="OZK21" s="2867"/>
      <c r="OZL21" s="2866"/>
      <c r="OZM21" s="2827"/>
      <c r="OZN21" s="2867"/>
      <c r="OZO21" s="2866"/>
      <c r="OZP21" s="2827"/>
      <c r="OZQ21" s="2867"/>
      <c r="OZR21" s="2866"/>
      <c r="OZS21" s="2827"/>
      <c r="OZT21" s="2867"/>
      <c r="OZU21" s="2866"/>
      <c r="OZV21" s="2827"/>
      <c r="OZW21" s="2867"/>
      <c r="OZX21" s="2866"/>
      <c r="OZY21" s="2827"/>
      <c r="OZZ21" s="2867"/>
      <c r="PAA21" s="2866"/>
      <c r="PAB21" s="2827"/>
      <c r="PAC21" s="2867"/>
      <c r="PAD21" s="2866"/>
      <c r="PAE21" s="2827"/>
      <c r="PAF21" s="2867"/>
      <c r="PAG21" s="2866"/>
      <c r="PAH21" s="2827"/>
      <c r="PAI21" s="2867"/>
      <c r="PAJ21" s="2866"/>
      <c r="PAK21" s="2827"/>
      <c r="PAL21" s="2867"/>
      <c r="PAM21" s="2866"/>
      <c r="PAN21" s="2827"/>
      <c r="PAO21" s="2867"/>
      <c r="PAP21" s="2866"/>
      <c r="PAQ21" s="2827"/>
      <c r="PAR21" s="2867"/>
      <c r="PAS21" s="2866"/>
      <c r="PAT21" s="2827"/>
      <c r="PAU21" s="2867"/>
      <c r="PAV21" s="2866"/>
      <c r="PAW21" s="2827"/>
      <c r="PAX21" s="2867"/>
      <c r="PAY21" s="2866"/>
      <c r="PAZ21" s="2827"/>
      <c r="PBA21" s="2867"/>
      <c r="PBB21" s="2866"/>
      <c r="PBC21" s="2827"/>
      <c r="PBD21" s="2867"/>
      <c r="PBE21" s="2866"/>
      <c r="PBF21" s="2827"/>
      <c r="PBG21" s="2867"/>
      <c r="PBH21" s="2866"/>
      <c r="PBI21" s="2827"/>
      <c r="PBJ21" s="2867"/>
      <c r="PBK21" s="2866"/>
      <c r="PBL21" s="2827"/>
      <c r="PBM21" s="2867"/>
      <c r="PBN21" s="2866"/>
      <c r="PBO21" s="2827"/>
      <c r="PBP21" s="2867"/>
      <c r="PBQ21" s="2866"/>
      <c r="PBR21" s="2827"/>
      <c r="PBS21" s="2867"/>
      <c r="PBT21" s="2866"/>
      <c r="PBU21" s="2827"/>
      <c r="PBV21" s="2867"/>
      <c r="PBW21" s="2866"/>
      <c r="PBX21" s="2827"/>
      <c r="PBY21" s="2867"/>
      <c r="PBZ21" s="2866"/>
      <c r="PCA21" s="2827"/>
      <c r="PCB21" s="2867"/>
      <c r="PCC21" s="2866"/>
      <c r="PCD21" s="2827"/>
      <c r="PCE21" s="2867"/>
      <c r="PCF21" s="2866"/>
      <c r="PCG21" s="2827"/>
      <c r="PCH21" s="2867"/>
      <c r="PCI21" s="2866"/>
      <c r="PCJ21" s="2827"/>
      <c r="PCK21" s="2867"/>
      <c r="PCL21" s="2866"/>
      <c r="PCM21" s="2827"/>
      <c r="PCN21" s="2867"/>
      <c r="PCO21" s="2866"/>
      <c r="PCP21" s="2827"/>
      <c r="PCQ21" s="2867"/>
      <c r="PCR21" s="2866"/>
      <c r="PCS21" s="2827"/>
      <c r="PCT21" s="2867"/>
      <c r="PCU21" s="2866"/>
      <c r="PCV21" s="2827"/>
      <c r="PCW21" s="2867"/>
      <c r="PCX21" s="2866"/>
      <c r="PCY21" s="2827"/>
      <c r="PCZ21" s="2867"/>
      <c r="PDA21" s="2866"/>
      <c r="PDB21" s="2827"/>
      <c r="PDC21" s="2867"/>
      <c r="PDD21" s="2866"/>
      <c r="PDE21" s="2827"/>
      <c r="PDF21" s="2867"/>
      <c r="PDG21" s="2866"/>
      <c r="PDH21" s="2827"/>
      <c r="PDI21" s="2867"/>
      <c r="PDJ21" s="2866"/>
      <c r="PDK21" s="2827"/>
      <c r="PDL21" s="2867"/>
      <c r="PDM21" s="2866"/>
      <c r="PDN21" s="2827"/>
      <c r="PDO21" s="2867"/>
      <c r="PDP21" s="2866"/>
      <c r="PDQ21" s="2827"/>
      <c r="PDR21" s="2867"/>
      <c r="PDS21" s="2866"/>
      <c r="PDT21" s="2827"/>
      <c r="PDU21" s="2867"/>
      <c r="PDV21" s="2866"/>
      <c r="PDW21" s="2827"/>
      <c r="PDX21" s="2867"/>
      <c r="PDY21" s="2866"/>
      <c r="PDZ21" s="2827"/>
      <c r="PEA21" s="2867"/>
      <c r="PEB21" s="2866"/>
      <c r="PEC21" s="2827"/>
      <c r="PED21" s="2867"/>
      <c r="PEE21" s="2866"/>
      <c r="PEF21" s="2827"/>
      <c r="PEG21" s="2867"/>
      <c r="PEH21" s="2866"/>
      <c r="PEI21" s="2827"/>
      <c r="PEJ21" s="2867"/>
      <c r="PEK21" s="2866"/>
      <c r="PEL21" s="2827"/>
      <c r="PEM21" s="2867"/>
      <c r="PEN21" s="2866"/>
      <c r="PEO21" s="2827"/>
      <c r="PEP21" s="2867"/>
      <c r="PEQ21" s="2866"/>
      <c r="PER21" s="2827"/>
      <c r="PES21" s="2867"/>
      <c r="PET21" s="2866"/>
      <c r="PEU21" s="2827"/>
      <c r="PEV21" s="2867"/>
      <c r="PEW21" s="2866"/>
      <c r="PEX21" s="2827"/>
      <c r="PEY21" s="2867"/>
      <c r="PEZ21" s="2866"/>
      <c r="PFA21" s="2827"/>
      <c r="PFB21" s="2867"/>
      <c r="PFC21" s="2866"/>
      <c r="PFD21" s="2827"/>
      <c r="PFE21" s="2867"/>
      <c r="PFF21" s="2866"/>
      <c r="PFG21" s="2827"/>
      <c r="PFH21" s="2867"/>
      <c r="PFI21" s="2866"/>
      <c r="PFJ21" s="2827"/>
      <c r="PFK21" s="2867"/>
      <c r="PFL21" s="2866"/>
      <c r="PFM21" s="2827"/>
      <c r="PFN21" s="2867"/>
      <c r="PFO21" s="2866"/>
      <c r="PFP21" s="2827"/>
      <c r="PFQ21" s="2867"/>
      <c r="PFR21" s="2866"/>
      <c r="PFS21" s="2827"/>
      <c r="PFT21" s="2867"/>
      <c r="PFU21" s="2866"/>
      <c r="PFV21" s="2827"/>
      <c r="PFW21" s="2867"/>
      <c r="PFX21" s="2866"/>
      <c r="PFY21" s="2827"/>
      <c r="PFZ21" s="2867"/>
      <c r="PGA21" s="2866"/>
      <c r="PGB21" s="2827"/>
      <c r="PGC21" s="2867"/>
      <c r="PGD21" s="2866"/>
      <c r="PGE21" s="2827"/>
      <c r="PGF21" s="2867"/>
      <c r="PGG21" s="2866"/>
      <c r="PGH21" s="2827"/>
      <c r="PGI21" s="2867"/>
      <c r="PGJ21" s="2866"/>
      <c r="PGK21" s="2827"/>
      <c r="PGL21" s="2867"/>
      <c r="PGM21" s="2866"/>
      <c r="PGN21" s="2827"/>
      <c r="PGO21" s="2867"/>
      <c r="PGP21" s="2866"/>
      <c r="PGQ21" s="2827"/>
      <c r="PGR21" s="2867"/>
      <c r="PGS21" s="2866"/>
      <c r="PGT21" s="2827"/>
      <c r="PGU21" s="2867"/>
      <c r="PGV21" s="2866"/>
      <c r="PGW21" s="2827"/>
      <c r="PGX21" s="2867"/>
      <c r="PGY21" s="2866"/>
      <c r="PGZ21" s="2827"/>
      <c r="PHA21" s="2867"/>
      <c r="PHB21" s="2866"/>
      <c r="PHC21" s="2827"/>
      <c r="PHD21" s="2867"/>
      <c r="PHE21" s="2866"/>
      <c r="PHF21" s="2827"/>
      <c r="PHG21" s="2867"/>
      <c r="PHH21" s="2866"/>
      <c r="PHI21" s="2827"/>
      <c r="PHJ21" s="2867"/>
      <c r="PHK21" s="2866"/>
      <c r="PHL21" s="2827"/>
      <c r="PHM21" s="2867"/>
      <c r="PHN21" s="2866"/>
      <c r="PHO21" s="2827"/>
      <c r="PHP21" s="2867"/>
      <c r="PHQ21" s="2866"/>
      <c r="PHR21" s="2827"/>
      <c r="PHS21" s="2867"/>
      <c r="PHT21" s="2866"/>
      <c r="PHU21" s="2827"/>
      <c r="PHV21" s="2867"/>
      <c r="PHW21" s="2866"/>
      <c r="PHX21" s="2827"/>
      <c r="PHY21" s="2867"/>
      <c r="PHZ21" s="2866"/>
      <c r="PIA21" s="2827"/>
      <c r="PIB21" s="2867"/>
      <c r="PIC21" s="2866"/>
      <c r="PID21" s="2827"/>
      <c r="PIE21" s="2867"/>
      <c r="PIF21" s="2866"/>
      <c r="PIG21" s="2827"/>
      <c r="PIH21" s="2867"/>
      <c r="PII21" s="2866"/>
      <c r="PIJ21" s="2827"/>
      <c r="PIK21" s="2867"/>
      <c r="PIL21" s="2866"/>
      <c r="PIM21" s="2827"/>
      <c r="PIN21" s="2867"/>
      <c r="PIO21" s="2866"/>
      <c r="PIP21" s="2827"/>
      <c r="PIQ21" s="2867"/>
      <c r="PIR21" s="2866"/>
      <c r="PIS21" s="2827"/>
      <c r="PIT21" s="2867"/>
      <c r="PIU21" s="2866"/>
      <c r="PIV21" s="2827"/>
      <c r="PIW21" s="2867"/>
      <c r="PIX21" s="2866"/>
      <c r="PIY21" s="2827"/>
      <c r="PIZ21" s="2867"/>
      <c r="PJA21" s="2866"/>
      <c r="PJB21" s="2827"/>
      <c r="PJC21" s="2867"/>
      <c r="PJD21" s="2866"/>
      <c r="PJE21" s="2827"/>
      <c r="PJF21" s="2867"/>
      <c r="PJG21" s="2866"/>
      <c r="PJH21" s="2827"/>
      <c r="PJI21" s="2867"/>
      <c r="PJJ21" s="2866"/>
      <c r="PJK21" s="2827"/>
      <c r="PJL21" s="2867"/>
      <c r="PJM21" s="2866"/>
      <c r="PJN21" s="2827"/>
      <c r="PJO21" s="2867"/>
      <c r="PJP21" s="2866"/>
      <c r="PJQ21" s="2827"/>
      <c r="PJR21" s="2867"/>
      <c r="PJS21" s="2866"/>
      <c r="PJT21" s="2827"/>
      <c r="PJU21" s="2867"/>
      <c r="PJV21" s="2866"/>
      <c r="PJW21" s="2827"/>
      <c r="PJX21" s="2867"/>
      <c r="PJY21" s="2866"/>
      <c r="PJZ21" s="2827"/>
      <c r="PKA21" s="2867"/>
      <c r="PKB21" s="2866"/>
      <c r="PKC21" s="2827"/>
      <c r="PKD21" s="2867"/>
      <c r="PKE21" s="2866"/>
      <c r="PKF21" s="2827"/>
      <c r="PKG21" s="2867"/>
      <c r="PKH21" s="2866"/>
      <c r="PKI21" s="2827"/>
      <c r="PKJ21" s="2867"/>
      <c r="PKK21" s="2866"/>
      <c r="PKL21" s="2827"/>
      <c r="PKM21" s="2867"/>
      <c r="PKN21" s="2866"/>
      <c r="PKO21" s="2827"/>
      <c r="PKP21" s="2867"/>
      <c r="PKQ21" s="2866"/>
      <c r="PKR21" s="2827"/>
      <c r="PKS21" s="2867"/>
      <c r="PKT21" s="2866"/>
      <c r="PKU21" s="2827"/>
      <c r="PKV21" s="2867"/>
      <c r="PKW21" s="2866"/>
      <c r="PKX21" s="2827"/>
      <c r="PKY21" s="2867"/>
      <c r="PKZ21" s="2866"/>
      <c r="PLA21" s="2827"/>
      <c r="PLB21" s="2867"/>
      <c r="PLC21" s="2866"/>
      <c r="PLD21" s="2827"/>
      <c r="PLE21" s="2867"/>
      <c r="PLF21" s="2866"/>
      <c r="PLG21" s="2827"/>
      <c r="PLH21" s="2867"/>
      <c r="PLI21" s="2866"/>
      <c r="PLJ21" s="2827"/>
      <c r="PLK21" s="2867"/>
      <c r="PLL21" s="2866"/>
      <c r="PLM21" s="2827"/>
      <c r="PLN21" s="2867"/>
      <c r="PLO21" s="2866"/>
      <c r="PLP21" s="2827"/>
      <c r="PLQ21" s="2867"/>
      <c r="PLR21" s="2866"/>
      <c r="PLS21" s="2827"/>
      <c r="PLT21" s="2867"/>
      <c r="PLU21" s="2866"/>
      <c r="PLV21" s="2827"/>
      <c r="PLW21" s="2867"/>
      <c r="PLX21" s="2866"/>
      <c r="PLY21" s="2827"/>
      <c r="PLZ21" s="2867"/>
      <c r="PMA21" s="2866"/>
      <c r="PMB21" s="2827"/>
      <c r="PMC21" s="2867"/>
      <c r="PMD21" s="2866"/>
      <c r="PME21" s="2827"/>
      <c r="PMF21" s="2867"/>
      <c r="PMG21" s="2866"/>
      <c r="PMH21" s="2827"/>
      <c r="PMI21" s="2867"/>
      <c r="PMJ21" s="2866"/>
      <c r="PMK21" s="2827"/>
      <c r="PML21" s="2867"/>
      <c r="PMM21" s="2866"/>
      <c r="PMN21" s="2827"/>
      <c r="PMO21" s="2867"/>
      <c r="PMP21" s="2866"/>
      <c r="PMQ21" s="2827"/>
      <c r="PMR21" s="2867"/>
      <c r="PMS21" s="2866"/>
      <c r="PMT21" s="2827"/>
      <c r="PMU21" s="2867"/>
      <c r="PMV21" s="2866"/>
      <c r="PMW21" s="2827"/>
      <c r="PMX21" s="2867"/>
      <c r="PMY21" s="2866"/>
      <c r="PMZ21" s="2827"/>
      <c r="PNA21" s="2867"/>
      <c r="PNB21" s="2866"/>
      <c r="PNC21" s="2827"/>
      <c r="PND21" s="2867"/>
      <c r="PNE21" s="2866"/>
      <c r="PNF21" s="2827"/>
      <c r="PNG21" s="2867"/>
      <c r="PNH21" s="2866"/>
      <c r="PNI21" s="2827"/>
      <c r="PNJ21" s="2867"/>
      <c r="PNK21" s="2866"/>
      <c r="PNL21" s="2827"/>
      <c r="PNM21" s="2867"/>
      <c r="PNN21" s="2866"/>
      <c r="PNO21" s="2827"/>
      <c r="PNP21" s="2867"/>
      <c r="PNQ21" s="2866"/>
      <c r="PNR21" s="2827"/>
      <c r="PNS21" s="2867"/>
      <c r="PNT21" s="2866"/>
      <c r="PNU21" s="2827"/>
      <c r="PNV21" s="2867"/>
      <c r="PNW21" s="2866"/>
      <c r="PNX21" s="2827"/>
      <c r="PNY21" s="2867"/>
      <c r="PNZ21" s="2866"/>
      <c r="POA21" s="2827"/>
      <c r="POB21" s="2867"/>
      <c r="POC21" s="2866"/>
      <c r="POD21" s="2827"/>
      <c r="POE21" s="2867"/>
      <c r="POF21" s="2866"/>
      <c r="POG21" s="2827"/>
      <c r="POH21" s="2867"/>
      <c r="POI21" s="2866"/>
      <c r="POJ21" s="2827"/>
      <c r="POK21" s="2867"/>
      <c r="POL21" s="2866"/>
      <c r="POM21" s="2827"/>
      <c r="PON21" s="2867"/>
      <c r="POO21" s="2866"/>
      <c r="POP21" s="2827"/>
      <c r="POQ21" s="2867"/>
      <c r="POR21" s="2866"/>
      <c r="POS21" s="2827"/>
      <c r="POT21" s="2867"/>
      <c r="POU21" s="2866"/>
      <c r="POV21" s="2827"/>
      <c r="POW21" s="2867"/>
      <c r="POX21" s="2866"/>
      <c r="POY21" s="2827"/>
      <c r="POZ21" s="2867"/>
      <c r="PPA21" s="2866"/>
      <c r="PPB21" s="2827"/>
      <c r="PPC21" s="2867"/>
      <c r="PPD21" s="2866"/>
      <c r="PPE21" s="2827"/>
      <c r="PPF21" s="2867"/>
      <c r="PPG21" s="2866"/>
      <c r="PPH21" s="2827"/>
      <c r="PPI21" s="2867"/>
      <c r="PPJ21" s="2866"/>
      <c r="PPK21" s="2827"/>
      <c r="PPL21" s="2867"/>
      <c r="PPM21" s="2866"/>
      <c r="PPN21" s="2827"/>
      <c r="PPO21" s="2867"/>
      <c r="PPP21" s="2866"/>
      <c r="PPQ21" s="2827"/>
      <c r="PPR21" s="2867"/>
      <c r="PPS21" s="2866"/>
      <c r="PPT21" s="2827"/>
      <c r="PPU21" s="2867"/>
      <c r="PPV21" s="2866"/>
      <c r="PPW21" s="2827"/>
      <c r="PPX21" s="2867"/>
      <c r="PPY21" s="2866"/>
      <c r="PPZ21" s="2827"/>
      <c r="PQA21" s="2867"/>
      <c r="PQB21" s="2866"/>
      <c r="PQC21" s="2827"/>
      <c r="PQD21" s="2867"/>
      <c r="PQE21" s="2866"/>
      <c r="PQF21" s="2827"/>
      <c r="PQG21" s="2867"/>
      <c r="PQH21" s="2866"/>
      <c r="PQI21" s="2827"/>
      <c r="PQJ21" s="2867"/>
      <c r="PQK21" s="2866"/>
      <c r="PQL21" s="2827"/>
      <c r="PQM21" s="2867"/>
      <c r="PQN21" s="2866"/>
      <c r="PQO21" s="2827"/>
      <c r="PQP21" s="2867"/>
      <c r="PQQ21" s="2866"/>
      <c r="PQR21" s="2827"/>
      <c r="PQS21" s="2867"/>
      <c r="PQT21" s="2866"/>
      <c r="PQU21" s="2827"/>
      <c r="PQV21" s="2867"/>
      <c r="PQW21" s="2866"/>
      <c r="PQX21" s="2827"/>
      <c r="PQY21" s="2867"/>
      <c r="PQZ21" s="2866"/>
      <c r="PRA21" s="2827"/>
      <c r="PRB21" s="2867"/>
      <c r="PRC21" s="2866"/>
      <c r="PRD21" s="2827"/>
      <c r="PRE21" s="2867"/>
      <c r="PRF21" s="2866"/>
      <c r="PRG21" s="2827"/>
      <c r="PRH21" s="2867"/>
      <c r="PRI21" s="2866"/>
      <c r="PRJ21" s="2827"/>
      <c r="PRK21" s="2867"/>
      <c r="PRL21" s="2866"/>
      <c r="PRM21" s="2827"/>
      <c r="PRN21" s="2867"/>
      <c r="PRO21" s="2866"/>
      <c r="PRP21" s="2827"/>
      <c r="PRQ21" s="2867"/>
      <c r="PRR21" s="2866"/>
      <c r="PRS21" s="2827"/>
      <c r="PRT21" s="2867"/>
      <c r="PRU21" s="2866"/>
      <c r="PRV21" s="2827"/>
      <c r="PRW21" s="2867"/>
      <c r="PRX21" s="2866"/>
      <c r="PRY21" s="2827"/>
      <c r="PRZ21" s="2867"/>
      <c r="PSA21" s="2866"/>
      <c r="PSB21" s="2827"/>
      <c r="PSC21" s="2867"/>
      <c r="PSD21" s="2866"/>
      <c r="PSE21" s="2827"/>
      <c r="PSF21" s="2867"/>
      <c r="PSG21" s="2866"/>
      <c r="PSH21" s="2827"/>
      <c r="PSI21" s="2867"/>
      <c r="PSJ21" s="2866"/>
      <c r="PSK21" s="2827"/>
      <c r="PSL21" s="2867"/>
      <c r="PSM21" s="2866"/>
      <c r="PSN21" s="2827"/>
      <c r="PSO21" s="2867"/>
      <c r="PSP21" s="2866"/>
      <c r="PSQ21" s="2827"/>
      <c r="PSR21" s="2867"/>
      <c r="PSS21" s="2866"/>
      <c r="PST21" s="2827"/>
      <c r="PSU21" s="2867"/>
      <c r="PSV21" s="2866"/>
      <c r="PSW21" s="2827"/>
      <c r="PSX21" s="2867"/>
      <c r="PSY21" s="2866"/>
      <c r="PSZ21" s="2827"/>
      <c r="PTA21" s="2867"/>
      <c r="PTB21" s="2866"/>
      <c r="PTC21" s="2827"/>
      <c r="PTD21" s="2867"/>
      <c r="PTE21" s="2866"/>
      <c r="PTF21" s="2827"/>
      <c r="PTG21" s="2867"/>
      <c r="PTH21" s="2866"/>
      <c r="PTI21" s="2827"/>
      <c r="PTJ21" s="2867"/>
      <c r="PTK21" s="2866"/>
      <c r="PTL21" s="2827"/>
      <c r="PTM21" s="2867"/>
      <c r="PTN21" s="2866"/>
      <c r="PTO21" s="2827"/>
      <c r="PTP21" s="2867"/>
      <c r="PTQ21" s="2866"/>
      <c r="PTR21" s="2827"/>
      <c r="PTS21" s="2867"/>
      <c r="PTT21" s="2866"/>
      <c r="PTU21" s="2827"/>
      <c r="PTV21" s="2867"/>
      <c r="PTW21" s="2866"/>
      <c r="PTX21" s="2827"/>
      <c r="PTY21" s="2867"/>
      <c r="PTZ21" s="2866"/>
      <c r="PUA21" s="2827"/>
      <c r="PUB21" s="2867"/>
      <c r="PUC21" s="2866"/>
      <c r="PUD21" s="2827"/>
      <c r="PUE21" s="2867"/>
      <c r="PUF21" s="2866"/>
      <c r="PUG21" s="2827"/>
      <c r="PUH21" s="2867"/>
      <c r="PUI21" s="2866"/>
      <c r="PUJ21" s="2827"/>
      <c r="PUK21" s="2867"/>
      <c r="PUL21" s="2866"/>
      <c r="PUM21" s="2827"/>
      <c r="PUN21" s="2867"/>
      <c r="PUO21" s="2866"/>
      <c r="PUP21" s="2827"/>
      <c r="PUQ21" s="2867"/>
      <c r="PUR21" s="2866"/>
      <c r="PUS21" s="2827"/>
      <c r="PUT21" s="2867"/>
      <c r="PUU21" s="2866"/>
      <c r="PUV21" s="2827"/>
      <c r="PUW21" s="2867"/>
      <c r="PUX21" s="2866"/>
      <c r="PUY21" s="2827"/>
      <c r="PUZ21" s="2867"/>
      <c r="PVA21" s="2866"/>
      <c r="PVB21" s="2827"/>
      <c r="PVC21" s="2867"/>
      <c r="PVD21" s="2866"/>
      <c r="PVE21" s="2827"/>
      <c r="PVF21" s="2867"/>
      <c r="PVG21" s="2866"/>
      <c r="PVH21" s="2827"/>
      <c r="PVI21" s="2867"/>
      <c r="PVJ21" s="2866"/>
      <c r="PVK21" s="2827"/>
      <c r="PVL21" s="2867"/>
      <c r="PVM21" s="2866"/>
      <c r="PVN21" s="2827"/>
      <c r="PVO21" s="2867"/>
      <c r="PVP21" s="2866"/>
      <c r="PVQ21" s="2827"/>
      <c r="PVR21" s="2867"/>
      <c r="PVS21" s="2866"/>
      <c r="PVT21" s="2827"/>
      <c r="PVU21" s="2867"/>
      <c r="PVV21" s="2866"/>
      <c r="PVW21" s="2827"/>
      <c r="PVX21" s="2867"/>
      <c r="PVY21" s="2866"/>
      <c r="PVZ21" s="2827"/>
      <c r="PWA21" s="2867"/>
      <c r="PWB21" s="2866"/>
      <c r="PWC21" s="2827"/>
      <c r="PWD21" s="2867"/>
      <c r="PWE21" s="2866"/>
      <c r="PWF21" s="2827"/>
      <c r="PWG21" s="2867"/>
      <c r="PWH21" s="2866"/>
      <c r="PWI21" s="2827"/>
      <c r="PWJ21" s="2867"/>
      <c r="PWK21" s="2866"/>
      <c r="PWL21" s="2827"/>
      <c r="PWM21" s="2867"/>
      <c r="PWN21" s="2866"/>
      <c r="PWO21" s="2827"/>
      <c r="PWP21" s="2867"/>
      <c r="PWQ21" s="2866"/>
      <c r="PWR21" s="2827"/>
      <c r="PWS21" s="2867"/>
      <c r="PWT21" s="2866"/>
      <c r="PWU21" s="2827"/>
      <c r="PWV21" s="2867"/>
      <c r="PWW21" s="2866"/>
      <c r="PWX21" s="2827"/>
      <c r="PWY21" s="2867"/>
      <c r="PWZ21" s="2866"/>
      <c r="PXA21" s="2827"/>
      <c r="PXB21" s="2867"/>
      <c r="PXC21" s="2866"/>
      <c r="PXD21" s="2827"/>
      <c r="PXE21" s="2867"/>
      <c r="PXF21" s="2866"/>
      <c r="PXG21" s="2827"/>
      <c r="PXH21" s="2867"/>
      <c r="PXI21" s="2866"/>
      <c r="PXJ21" s="2827"/>
      <c r="PXK21" s="2867"/>
      <c r="PXL21" s="2866"/>
      <c r="PXM21" s="2827"/>
      <c r="PXN21" s="2867"/>
      <c r="PXO21" s="2866"/>
      <c r="PXP21" s="2827"/>
      <c r="PXQ21" s="2867"/>
      <c r="PXR21" s="2866"/>
      <c r="PXS21" s="2827"/>
      <c r="PXT21" s="2867"/>
      <c r="PXU21" s="2866"/>
      <c r="PXV21" s="2827"/>
      <c r="PXW21" s="2867"/>
      <c r="PXX21" s="2866"/>
      <c r="PXY21" s="2827"/>
      <c r="PXZ21" s="2867"/>
      <c r="PYA21" s="2866"/>
      <c r="PYB21" s="2827"/>
      <c r="PYC21" s="2867"/>
      <c r="PYD21" s="2866"/>
      <c r="PYE21" s="2827"/>
      <c r="PYF21" s="2867"/>
      <c r="PYG21" s="2866"/>
      <c r="PYH21" s="2827"/>
      <c r="PYI21" s="2867"/>
      <c r="PYJ21" s="2866"/>
      <c r="PYK21" s="2827"/>
      <c r="PYL21" s="2867"/>
      <c r="PYM21" s="2866"/>
      <c r="PYN21" s="2827"/>
      <c r="PYO21" s="2867"/>
      <c r="PYP21" s="2866"/>
      <c r="PYQ21" s="2827"/>
      <c r="PYR21" s="2867"/>
      <c r="PYS21" s="2866"/>
      <c r="PYT21" s="2827"/>
      <c r="PYU21" s="2867"/>
      <c r="PYV21" s="2866"/>
      <c r="PYW21" s="2827"/>
      <c r="PYX21" s="2867"/>
      <c r="PYY21" s="2866"/>
      <c r="PYZ21" s="2827"/>
      <c r="PZA21" s="2867"/>
      <c r="PZB21" s="2866"/>
      <c r="PZC21" s="2827"/>
      <c r="PZD21" s="2867"/>
      <c r="PZE21" s="2866"/>
      <c r="PZF21" s="2827"/>
      <c r="PZG21" s="2867"/>
      <c r="PZH21" s="2866"/>
      <c r="PZI21" s="2827"/>
      <c r="PZJ21" s="2867"/>
      <c r="PZK21" s="2866"/>
      <c r="PZL21" s="2827"/>
      <c r="PZM21" s="2867"/>
      <c r="PZN21" s="2866"/>
      <c r="PZO21" s="2827"/>
      <c r="PZP21" s="2867"/>
      <c r="PZQ21" s="2866"/>
      <c r="PZR21" s="2827"/>
      <c r="PZS21" s="2867"/>
      <c r="PZT21" s="2866"/>
      <c r="PZU21" s="2827"/>
      <c r="PZV21" s="2867"/>
      <c r="PZW21" s="2866"/>
      <c r="PZX21" s="2827"/>
      <c r="PZY21" s="2867"/>
      <c r="PZZ21" s="2866"/>
      <c r="QAA21" s="2827"/>
      <c r="QAB21" s="2867"/>
      <c r="QAC21" s="2866"/>
      <c r="QAD21" s="2827"/>
      <c r="QAE21" s="2867"/>
      <c r="QAF21" s="2866"/>
      <c r="QAG21" s="2827"/>
      <c r="QAH21" s="2867"/>
      <c r="QAI21" s="2866"/>
      <c r="QAJ21" s="2827"/>
      <c r="QAK21" s="2867"/>
      <c r="QAL21" s="2866"/>
      <c r="QAM21" s="2827"/>
      <c r="QAN21" s="2867"/>
      <c r="QAO21" s="2866"/>
      <c r="QAP21" s="2827"/>
      <c r="QAQ21" s="2867"/>
      <c r="QAR21" s="2866"/>
      <c r="QAS21" s="2827"/>
      <c r="QAT21" s="2867"/>
      <c r="QAU21" s="2866"/>
      <c r="QAV21" s="2827"/>
      <c r="QAW21" s="2867"/>
      <c r="QAX21" s="2866"/>
      <c r="QAY21" s="2827"/>
      <c r="QAZ21" s="2867"/>
      <c r="QBA21" s="2866"/>
      <c r="QBB21" s="2827"/>
      <c r="QBC21" s="2867"/>
      <c r="QBD21" s="2866"/>
      <c r="QBE21" s="2827"/>
      <c r="QBF21" s="2867"/>
      <c r="QBG21" s="2866"/>
      <c r="QBH21" s="2827"/>
      <c r="QBI21" s="2867"/>
      <c r="QBJ21" s="2866"/>
      <c r="QBK21" s="2827"/>
      <c r="QBL21" s="2867"/>
      <c r="QBM21" s="2866"/>
      <c r="QBN21" s="2827"/>
      <c r="QBO21" s="2867"/>
      <c r="QBP21" s="2866"/>
      <c r="QBQ21" s="2827"/>
      <c r="QBR21" s="2867"/>
      <c r="QBS21" s="2866"/>
      <c r="QBT21" s="2827"/>
      <c r="QBU21" s="2867"/>
      <c r="QBV21" s="2866"/>
      <c r="QBW21" s="2827"/>
      <c r="QBX21" s="2867"/>
      <c r="QBY21" s="2866"/>
      <c r="QBZ21" s="2827"/>
      <c r="QCA21" s="2867"/>
      <c r="QCB21" s="2866"/>
      <c r="QCC21" s="2827"/>
      <c r="QCD21" s="2867"/>
      <c r="QCE21" s="2866"/>
      <c r="QCF21" s="2827"/>
      <c r="QCG21" s="2867"/>
      <c r="QCH21" s="2866"/>
      <c r="QCI21" s="2827"/>
      <c r="QCJ21" s="2867"/>
      <c r="QCK21" s="2866"/>
      <c r="QCL21" s="2827"/>
      <c r="QCM21" s="2867"/>
      <c r="QCN21" s="2866"/>
      <c r="QCO21" s="2827"/>
      <c r="QCP21" s="2867"/>
      <c r="QCQ21" s="2866"/>
      <c r="QCR21" s="2827"/>
      <c r="QCS21" s="2867"/>
      <c r="QCT21" s="2866"/>
      <c r="QCU21" s="2827"/>
      <c r="QCV21" s="2867"/>
      <c r="QCW21" s="2866"/>
      <c r="QCX21" s="2827"/>
      <c r="QCY21" s="2867"/>
      <c r="QCZ21" s="2866"/>
      <c r="QDA21" s="2827"/>
      <c r="QDB21" s="2867"/>
      <c r="QDC21" s="2866"/>
      <c r="QDD21" s="2827"/>
      <c r="QDE21" s="2867"/>
      <c r="QDF21" s="2866"/>
      <c r="QDG21" s="2827"/>
      <c r="QDH21" s="2867"/>
      <c r="QDI21" s="2866"/>
      <c r="QDJ21" s="2827"/>
      <c r="QDK21" s="2867"/>
      <c r="QDL21" s="2866"/>
      <c r="QDM21" s="2827"/>
      <c r="QDN21" s="2867"/>
      <c r="QDO21" s="2866"/>
      <c r="QDP21" s="2827"/>
      <c r="QDQ21" s="2867"/>
      <c r="QDR21" s="2866"/>
      <c r="QDS21" s="2827"/>
      <c r="QDT21" s="2867"/>
      <c r="QDU21" s="2866"/>
      <c r="QDV21" s="2827"/>
      <c r="QDW21" s="2867"/>
      <c r="QDX21" s="2866"/>
      <c r="QDY21" s="2827"/>
      <c r="QDZ21" s="2867"/>
      <c r="QEA21" s="2866"/>
      <c r="QEB21" s="2827"/>
      <c r="QEC21" s="2867"/>
      <c r="QED21" s="2866"/>
      <c r="QEE21" s="2827"/>
      <c r="QEF21" s="2867"/>
      <c r="QEG21" s="2866"/>
      <c r="QEH21" s="2827"/>
      <c r="QEI21" s="2867"/>
      <c r="QEJ21" s="2866"/>
      <c r="QEK21" s="2827"/>
      <c r="QEL21" s="2867"/>
      <c r="QEM21" s="2866"/>
      <c r="QEN21" s="2827"/>
      <c r="QEO21" s="2867"/>
      <c r="QEP21" s="2866"/>
      <c r="QEQ21" s="2827"/>
      <c r="QER21" s="2867"/>
      <c r="QES21" s="2866"/>
      <c r="QET21" s="2827"/>
      <c r="QEU21" s="2867"/>
      <c r="QEV21" s="2866"/>
      <c r="QEW21" s="2827"/>
      <c r="QEX21" s="2867"/>
      <c r="QEY21" s="2866"/>
      <c r="QEZ21" s="2827"/>
      <c r="QFA21" s="2867"/>
      <c r="QFB21" s="2866"/>
      <c r="QFC21" s="2827"/>
      <c r="QFD21" s="2867"/>
      <c r="QFE21" s="2866"/>
      <c r="QFF21" s="2827"/>
      <c r="QFG21" s="2867"/>
      <c r="QFH21" s="2866"/>
      <c r="QFI21" s="2827"/>
      <c r="QFJ21" s="2867"/>
      <c r="QFK21" s="2866"/>
      <c r="QFL21" s="2827"/>
      <c r="QFM21" s="2867"/>
      <c r="QFN21" s="2866"/>
      <c r="QFO21" s="2827"/>
      <c r="QFP21" s="2867"/>
      <c r="QFQ21" s="2866"/>
      <c r="QFR21" s="2827"/>
      <c r="QFS21" s="2867"/>
      <c r="QFT21" s="2866"/>
      <c r="QFU21" s="2827"/>
      <c r="QFV21" s="2867"/>
      <c r="QFW21" s="2866"/>
      <c r="QFX21" s="2827"/>
      <c r="QFY21" s="2867"/>
      <c r="QFZ21" s="2866"/>
      <c r="QGA21" s="2827"/>
      <c r="QGB21" s="2867"/>
      <c r="QGC21" s="2866"/>
      <c r="QGD21" s="2827"/>
      <c r="QGE21" s="2867"/>
      <c r="QGF21" s="2866"/>
      <c r="QGG21" s="2827"/>
      <c r="QGH21" s="2867"/>
      <c r="QGI21" s="2866"/>
      <c r="QGJ21" s="2827"/>
      <c r="QGK21" s="2867"/>
      <c r="QGL21" s="2866"/>
      <c r="QGM21" s="2827"/>
      <c r="QGN21" s="2867"/>
      <c r="QGO21" s="2866"/>
      <c r="QGP21" s="2827"/>
      <c r="QGQ21" s="2867"/>
      <c r="QGR21" s="2866"/>
      <c r="QGS21" s="2827"/>
      <c r="QGT21" s="2867"/>
      <c r="QGU21" s="2866"/>
      <c r="QGV21" s="2827"/>
      <c r="QGW21" s="2867"/>
      <c r="QGX21" s="2866"/>
      <c r="QGY21" s="2827"/>
      <c r="QGZ21" s="2867"/>
      <c r="QHA21" s="2866"/>
      <c r="QHB21" s="2827"/>
      <c r="QHC21" s="2867"/>
      <c r="QHD21" s="2866"/>
      <c r="QHE21" s="2827"/>
      <c r="QHF21" s="2867"/>
      <c r="QHG21" s="2866"/>
      <c r="QHH21" s="2827"/>
      <c r="QHI21" s="2867"/>
      <c r="QHJ21" s="2866"/>
      <c r="QHK21" s="2827"/>
      <c r="QHL21" s="2867"/>
      <c r="QHM21" s="2866"/>
      <c r="QHN21" s="2827"/>
      <c r="QHO21" s="2867"/>
      <c r="QHP21" s="2866"/>
      <c r="QHQ21" s="2827"/>
      <c r="QHR21" s="2867"/>
      <c r="QHS21" s="2866"/>
      <c r="QHT21" s="2827"/>
      <c r="QHU21" s="2867"/>
      <c r="QHV21" s="2866"/>
      <c r="QHW21" s="2827"/>
      <c r="QHX21" s="2867"/>
      <c r="QHY21" s="2866"/>
      <c r="QHZ21" s="2827"/>
      <c r="QIA21" s="2867"/>
      <c r="QIB21" s="2866"/>
      <c r="QIC21" s="2827"/>
      <c r="QID21" s="2867"/>
      <c r="QIE21" s="2866"/>
      <c r="QIF21" s="2827"/>
      <c r="QIG21" s="2867"/>
      <c r="QIH21" s="2866"/>
      <c r="QII21" s="2827"/>
      <c r="QIJ21" s="2867"/>
      <c r="QIK21" s="2866"/>
      <c r="QIL21" s="2827"/>
      <c r="QIM21" s="2867"/>
      <c r="QIN21" s="2866"/>
      <c r="QIO21" s="2827"/>
      <c r="QIP21" s="2867"/>
      <c r="QIQ21" s="2866"/>
      <c r="QIR21" s="2827"/>
      <c r="QIS21" s="2867"/>
      <c r="QIT21" s="2866"/>
      <c r="QIU21" s="2827"/>
      <c r="QIV21" s="2867"/>
      <c r="QIW21" s="2866"/>
      <c r="QIX21" s="2827"/>
      <c r="QIY21" s="2867"/>
      <c r="QIZ21" s="2866"/>
      <c r="QJA21" s="2827"/>
      <c r="QJB21" s="2867"/>
      <c r="QJC21" s="2866"/>
      <c r="QJD21" s="2827"/>
      <c r="QJE21" s="2867"/>
      <c r="QJF21" s="2866"/>
      <c r="QJG21" s="2827"/>
      <c r="QJH21" s="2867"/>
      <c r="QJI21" s="2866"/>
      <c r="QJJ21" s="2827"/>
      <c r="QJK21" s="2867"/>
      <c r="QJL21" s="2866"/>
      <c r="QJM21" s="2827"/>
      <c r="QJN21" s="2867"/>
      <c r="QJO21" s="2866"/>
      <c r="QJP21" s="2827"/>
      <c r="QJQ21" s="2867"/>
      <c r="QJR21" s="2866"/>
      <c r="QJS21" s="2827"/>
      <c r="QJT21" s="2867"/>
      <c r="QJU21" s="2866"/>
      <c r="QJV21" s="2827"/>
      <c r="QJW21" s="2867"/>
      <c r="QJX21" s="2866"/>
      <c r="QJY21" s="2827"/>
      <c r="QJZ21" s="2867"/>
      <c r="QKA21" s="2866"/>
      <c r="QKB21" s="2827"/>
      <c r="QKC21" s="2867"/>
      <c r="QKD21" s="2866"/>
      <c r="QKE21" s="2827"/>
      <c r="QKF21" s="2867"/>
      <c r="QKG21" s="2866"/>
      <c r="QKH21" s="2827"/>
      <c r="QKI21" s="2867"/>
      <c r="QKJ21" s="2866"/>
      <c r="QKK21" s="2827"/>
      <c r="QKL21" s="2867"/>
      <c r="QKM21" s="2866"/>
      <c r="QKN21" s="2827"/>
      <c r="QKO21" s="2867"/>
      <c r="QKP21" s="2866"/>
      <c r="QKQ21" s="2827"/>
      <c r="QKR21" s="2867"/>
      <c r="QKS21" s="2866"/>
      <c r="QKT21" s="2827"/>
      <c r="QKU21" s="2867"/>
      <c r="QKV21" s="2866"/>
      <c r="QKW21" s="2827"/>
      <c r="QKX21" s="2867"/>
      <c r="QKY21" s="2866"/>
      <c r="QKZ21" s="2827"/>
      <c r="QLA21" s="2867"/>
      <c r="QLB21" s="2866"/>
      <c r="QLC21" s="2827"/>
      <c r="QLD21" s="2867"/>
      <c r="QLE21" s="2866"/>
      <c r="QLF21" s="2827"/>
      <c r="QLG21" s="2867"/>
      <c r="QLH21" s="2866"/>
      <c r="QLI21" s="2827"/>
      <c r="QLJ21" s="2867"/>
      <c r="QLK21" s="2866"/>
      <c r="QLL21" s="2827"/>
      <c r="QLM21" s="2867"/>
      <c r="QLN21" s="2866"/>
      <c r="QLO21" s="2827"/>
      <c r="QLP21" s="2867"/>
      <c r="QLQ21" s="2866"/>
      <c r="QLR21" s="2827"/>
      <c r="QLS21" s="2867"/>
      <c r="QLT21" s="2866"/>
      <c r="QLU21" s="2827"/>
      <c r="QLV21" s="2867"/>
      <c r="QLW21" s="2866"/>
      <c r="QLX21" s="2827"/>
      <c r="QLY21" s="2867"/>
      <c r="QLZ21" s="2866"/>
      <c r="QMA21" s="2827"/>
      <c r="QMB21" s="2867"/>
      <c r="QMC21" s="2866"/>
      <c r="QMD21" s="2827"/>
      <c r="QME21" s="2867"/>
      <c r="QMF21" s="2866"/>
      <c r="QMG21" s="2827"/>
      <c r="QMH21" s="2867"/>
      <c r="QMI21" s="2866"/>
      <c r="QMJ21" s="2827"/>
      <c r="QMK21" s="2867"/>
      <c r="QML21" s="2866"/>
      <c r="QMM21" s="2827"/>
      <c r="QMN21" s="2867"/>
      <c r="QMO21" s="2866"/>
      <c r="QMP21" s="2827"/>
      <c r="QMQ21" s="2867"/>
      <c r="QMR21" s="2866"/>
      <c r="QMS21" s="2827"/>
      <c r="QMT21" s="2867"/>
      <c r="QMU21" s="2866"/>
      <c r="QMV21" s="2827"/>
      <c r="QMW21" s="2867"/>
      <c r="QMX21" s="2866"/>
      <c r="QMY21" s="2827"/>
      <c r="QMZ21" s="2867"/>
      <c r="QNA21" s="2866"/>
      <c r="QNB21" s="2827"/>
      <c r="QNC21" s="2867"/>
      <c r="QND21" s="2866"/>
      <c r="QNE21" s="2827"/>
      <c r="QNF21" s="2867"/>
      <c r="QNG21" s="2866"/>
      <c r="QNH21" s="2827"/>
      <c r="QNI21" s="2867"/>
      <c r="QNJ21" s="2866"/>
      <c r="QNK21" s="2827"/>
      <c r="QNL21" s="2867"/>
      <c r="QNM21" s="2866"/>
      <c r="QNN21" s="2827"/>
      <c r="QNO21" s="2867"/>
      <c r="QNP21" s="2866"/>
      <c r="QNQ21" s="2827"/>
      <c r="QNR21" s="2867"/>
      <c r="QNS21" s="2866"/>
      <c r="QNT21" s="2827"/>
      <c r="QNU21" s="2867"/>
      <c r="QNV21" s="2866"/>
      <c r="QNW21" s="2827"/>
      <c r="QNX21" s="2867"/>
      <c r="QNY21" s="2866"/>
      <c r="QNZ21" s="2827"/>
      <c r="QOA21" s="2867"/>
      <c r="QOB21" s="2866"/>
      <c r="QOC21" s="2827"/>
      <c r="QOD21" s="2867"/>
      <c r="QOE21" s="2866"/>
      <c r="QOF21" s="2827"/>
      <c r="QOG21" s="2867"/>
      <c r="QOH21" s="2866"/>
      <c r="QOI21" s="2827"/>
      <c r="QOJ21" s="2867"/>
      <c r="QOK21" s="2866"/>
      <c r="QOL21" s="2827"/>
      <c r="QOM21" s="2867"/>
      <c r="QON21" s="2866"/>
      <c r="QOO21" s="2827"/>
      <c r="QOP21" s="2867"/>
      <c r="QOQ21" s="2866"/>
      <c r="QOR21" s="2827"/>
      <c r="QOS21" s="2867"/>
      <c r="QOT21" s="2866"/>
      <c r="QOU21" s="2827"/>
      <c r="QOV21" s="2867"/>
      <c r="QOW21" s="2866"/>
      <c r="QOX21" s="2827"/>
      <c r="QOY21" s="2867"/>
      <c r="QOZ21" s="2866"/>
      <c r="QPA21" s="2827"/>
      <c r="QPB21" s="2867"/>
      <c r="QPC21" s="2866"/>
      <c r="QPD21" s="2827"/>
      <c r="QPE21" s="2867"/>
      <c r="QPF21" s="2866"/>
      <c r="QPG21" s="2827"/>
      <c r="QPH21" s="2867"/>
      <c r="QPI21" s="2866"/>
      <c r="QPJ21" s="2827"/>
      <c r="QPK21" s="2867"/>
      <c r="QPL21" s="2866"/>
      <c r="QPM21" s="2827"/>
      <c r="QPN21" s="2867"/>
      <c r="QPO21" s="2866"/>
      <c r="QPP21" s="2827"/>
      <c r="QPQ21" s="2867"/>
      <c r="QPR21" s="2866"/>
      <c r="QPS21" s="2827"/>
      <c r="QPT21" s="2867"/>
      <c r="QPU21" s="2866"/>
      <c r="QPV21" s="2827"/>
      <c r="QPW21" s="2867"/>
      <c r="QPX21" s="2866"/>
      <c r="QPY21" s="2827"/>
      <c r="QPZ21" s="2867"/>
      <c r="QQA21" s="2866"/>
      <c r="QQB21" s="2827"/>
      <c r="QQC21" s="2867"/>
      <c r="QQD21" s="2866"/>
      <c r="QQE21" s="2827"/>
      <c r="QQF21" s="2867"/>
      <c r="QQG21" s="2866"/>
      <c r="QQH21" s="2827"/>
      <c r="QQI21" s="2867"/>
      <c r="QQJ21" s="2866"/>
      <c r="QQK21" s="2827"/>
      <c r="QQL21" s="2867"/>
      <c r="QQM21" s="2866"/>
      <c r="QQN21" s="2827"/>
      <c r="QQO21" s="2867"/>
      <c r="QQP21" s="2866"/>
      <c r="QQQ21" s="2827"/>
      <c r="QQR21" s="2867"/>
      <c r="QQS21" s="2866"/>
      <c r="QQT21" s="2827"/>
      <c r="QQU21" s="2867"/>
      <c r="QQV21" s="2866"/>
      <c r="QQW21" s="2827"/>
      <c r="QQX21" s="2867"/>
      <c r="QQY21" s="2866"/>
      <c r="QQZ21" s="2827"/>
      <c r="QRA21" s="2867"/>
      <c r="QRB21" s="2866"/>
      <c r="QRC21" s="2827"/>
      <c r="QRD21" s="2867"/>
      <c r="QRE21" s="2866"/>
      <c r="QRF21" s="2827"/>
      <c r="QRG21" s="2867"/>
      <c r="QRH21" s="2866"/>
      <c r="QRI21" s="2827"/>
      <c r="QRJ21" s="2867"/>
      <c r="QRK21" s="2866"/>
      <c r="QRL21" s="2827"/>
      <c r="QRM21" s="2867"/>
      <c r="QRN21" s="2866"/>
      <c r="QRO21" s="2827"/>
      <c r="QRP21" s="2867"/>
      <c r="QRQ21" s="2866"/>
      <c r="QRR21" s="2827"/>
      <c r="QRS21" s="2867"/>
      <c r="QRT21" s="2866"/>
      <c r="QRU21" s="2827"/>
      <c r="QRV21" s="2867"/>
      <c r="QRW21" s="2866"/>
      <c r="QRX21" s="2827"/>
      <c r="QRY21" s="2867"/>
      <c r="QRZ21" s="2866"/>
      <c r="QSA21" s="2827"/>
      <c r="QSB21" s="2867"/>
      <c r="QSC21" s="2866"/>
      <c r="QSD21" s="2827"/>
      <c r="QSE21" s="2867"/>
      <c r="QSF21" s="2866"/>
      <c r="QSG21" s="2827"/>
      <c r="QSH21" s="2867"/>
      <c r="QSI21" s="2866"/>
      <c r="QSJ21" s="2827"/>
      <c r="QSK21" s="2867"/>
      <c r="QSL21" s="2866"/>
      <c r="QSM21" s="2827"/>
      <c r="QSN21" s="2867"/>
      <c r="QSO21" s="2866"/>
      <c r="QSP21" s="2827"/>
      <c r="QSQ21" s="2867"/>
      <c r="QSR21" s="2866"/>
      <c r="QSS21" s="2827"/>
      <c r="QST21" s="2867"/>
      <c r="QSU21" s="2866"/>
      <c r="QSV21" s="2827"/>
      <c r="QSW21" s="2867"/>
      <c r="QSX21" s="2866"/>
      <c r="QSY21" s="2827"/>
      <c r="QSZ21" s="2867"/>
      <c r="QTA21" s="2866"/>
      <c r="QTB21" s="2827"/>
      <c r="QTC21" s="2867"/>
      <c r="QTD21" s="2866"/>
      <c r="QTE21" s="2827"/>
      <c r="QTF21" s="2867"/>
      <c r="QTG21" s="2866"/>
      <c r="QTH21" s="2827"/>
      <c r="QTI21" s="2867"/>
      <c r="QTJ21" s="2866"/>
      <c r="QTK21" s="2827"/>
      <c r="QTL21" s="2867"/>
      <c r="QTM21" s="2866"/>
      <c r="QTN21" s="2827"/>
      <c r="QTO21" s="2867"/>
      <c r="QTP21" s="2866"/>
      <c r="QTQ21" s="2827"/>
      <c r="QTR21" s="2867"/>
      <c r="QTS21" s="2866"/>
      <c r="QTT21" s="2827"/>
      <c r="QTU21" s="2867"/>
      <c r="QTV21" s="2866"/>
      <c r="QTW21" s="2827"/>
      <c r="QTX21" s="2867"/>
      <c r="QTY21" s="2866"/>
      <c r="QTZ21" s="2827"/>
      <c r="QUA21" s="2867"/>
      <c r="QUB21" s="2866"/>
      <c r="QUC21" s="2827"/>
      <c r="QUD21" s="2867"/>
      <c r="QUE21" s="2866"/>
      <c r="QUF21" s="2827"/>
      <c r="QUG21" s="2867"/>
      <c r="QUH21" s="2866"/>
      <c r="QUI21" s="2827"/>
      <c r="QUJ21" s="2867"/>
      <c r="QUK21" s="2866"/>
      <c r="QUL21" s="2827"/>
      <c r="QUM21" s="2867"/>
      <c r="QUN21" s="2866"/>
      <c r="QUO21" s="2827"/>
      <c r="QUP21" s="2867"/>
      <c r="QUQ21" s="2866"/>
      <c r="QUR21" s="2827"/>
      <c r="QUS21" s="2867"/>
      <c r="QUT21" s="2866"/>
      <c r="QUU21" s="2827"/>
      <c r="QUV21" s="2867"/>
      <c r="QUW21" s="2866"/>
      <c r="QUX21" s="2827"/>
      <c r="QUY21" s="2867"/>
      <c r="QUZ21" s="2866"/>
      <c r="QVA21" s="2827"/>
      <c r="QVB21" s="2867"/>
      <c r="QVC21" s="2866"/>
      <c r="QVD21" s="2827"/>
      <c r="QVE21" s="2867"/>
      <c r="QVF21" s="2866"/>
      <c r="QVG21" s="2827"/>
      <c r="QVH21" s="2867"/>
      <c r="QVI21" s="2866"/>
      <c r="QVJ21" s="2827"/>
      <c r="QVK21" s="2867"/>
      <c r="QVL21" s="2866"/>
      <c r="QVM21" s="2827"/>
      <c r="QVN21" s="2867"/>
      <c r="QVO21" s="2866"/>
      <c r="QVP21" s="2827"/>
      <c r="QVQ21" s="2867"/>
      <c r="QVR21" s="2866"/>
      <c r="QVS21" s="2827"/>
      <c r="QVT21" s="2867"/>
      <c r="QVU21" s="2866"/>
      <c r="QVV21" s="2827"/>
      <c r="QVW21" s="2867"/>
      <c r="QVX21" s="2866"/>
      <c r="QVY21" s="2827"/>
      <c r="QVZ21" s="2867"/>
      <c r="QWA21" s="2866"/>
      <c r="QWB21" s="2827"/>
      <c r="QWC21" s="2867"/>
      <c r="QWD21" s="2866"/>
      <c r="QWE21" s="2827"/>
      <c r="QWF21" s="2867"/>
      <c r="QWG21" s="2866"/>
      <c r="QWH21" s="2827"/>
      <c r="QWI21" s="2867"/>
      <c r="QWJ21" s="2866"/>
      <c r="QWK21" s="2827"/>
      <c r="QWL21" s="2867"/>
      <c r="QWM21" s="2866"/>
      <c r="QWN21" s="2827"/>
      <c r="QWO21" s="2867"/>
      <c r="QWP21" s="2866"/>
      <c r="QWQ21" s="2827"/>
      <c r="QWR21" s="2867"/>
      <c r="QWS21" s="2866"/>
      <c r="QWT21" s="2827"/>
      <c r="QWU21" s="2867"/>
      <c r="QWV21" s="2866"/>
      <c r="QWW21" s="2827"/>
      <c r="QWX21" s="2867"/>
      <c r="QWY21" s="2866"/>
      <c r="QWZ21" s="2827"/>
      <c r="QXA21" s="2867"/>
      <c r="QXB21" s="2866"/>
      <c r="QXC21" s="2827"/>
      <c r="QXD21" s="2867"/>
      <c r="QXE21" s="2866"/>
      <c r="QXF21" s="2827"/>
      <c r="QXG21" s="2867"/>
      <c r="QXH21" s="2866"/>
      <c r="QXI21" s="2827"/>
      <c r="QXJ21" s="2867"/>
      <c r="QXK21" s="2866"/>
      <c r="QXL21" s="2827"/>
      <c r="QXM21" s="2867"/>
      <c r="QXN21" s="2866"/>
      <c r="QXO21" s="2827"/>
      <c r="QXP21" s="2867"/>
      <c r="QXQ21" s="2866"/>
      <c r="QXR21" s="2827"/>
      <c r="QXS21" s="2867"/>
      <c r="QXT21" s="2866"/>
      <c r="QXU21" s="2827"/>
      <c r="QXV21" s="2867"/>
      <c r="QXW21" s="2866"/>
      <c r="QXX21" s="2827"/>
      <c r="QXY21" s="2867"/>
      <c r="QXZ21" s="2866"/>
      <c r="QYA21" s="2827"/>
      <c r="QYB21" s="2867"/>
      <c r="QYC21" s="2866"/>
      <c r="QYD21" s="2827"/>
      <c r="QYE21" s="2867"/>
      <c r="QYF21" s="2866"/>
      <c r="QYG21" s="2827"/>
      <c r="QYH21" s="2867"/>
      <c r="QYI21" s="2866"/>
      <c r="QYJ21" s="2827"/>
      <c r="QYK21" s="2867"/>
      <c r="QYL21" s="2866"/>
      <c r="QYM21" s="2827"/>
      <c r="QYN21" s="2867"/>
      <c r="QYO21" s="2866"/>
      <c r="QYP21" s="2827"/>
      <c r="QYQ21" s="2867"/>
      <c r="QYR21" s="2866"/>
      <c r="QYS21" s="2827"/>
      <c r="QYT21" s="2867"/>
      <c r="QYU21" s="2866"/>
      <c r="QYV21" s="2827"/>
      <c r="QYW21" s="2867"/>
      <c r="QYX21" s="2866"/>
      <c r="QYY21" s="2827"/>
      <c r="QYZ21" s="2867"/>
      <c r="QZA21" s="2866"/>
      <c r="QZB21" s="2827"/>
      <c r="QZC21" s="2867"/>
      <c r="QZD21" s="2866"/>
      <c r="QZE21" s="2827"/>
      <c r="QZF21" s="2867"/>
      <c r="QZG21" s="2866"/>
      <c r="QZH21" s="2827"/>
      <c r="QZI21" s="2867"/>
      <c r="QZJ21" s="2866"/>
      <c r="QZK21" s="2827"/>
      <c r="QZL21" s="2867"/>
      <c r="QZM21" s="2866"/>
      <c r="QZN21" s="2827"/>
      <c r="QZO21" s="2867"/>
      <c r="QZP21" s="2866"/>
      <c r="QZQ21" s="2827"/>
      <c r="QZR21" s="2867"/>
      <c r="QZS21" s="2866"/>
      <c r="QZT21" s="2827"/>
      <c r="QZU21" s="2867"/>
      <c r="QZV21" s="2866"/>
      <c r="QZW21" s="2827"/>
      <c r="QZX21" s="2867"/>
      <c r="QZY21" s="2866"/>
      <c r="QZZ21" s="2827"/>
      <c r="RAA21" s="2867"/>
      <c r="RAB21" s="2866"/>
      <c r="RAC21" s="2827"/>
      <c r="RAD21" s="2867"/>
      <c r="RAE21" s="2866"/>
      <c r="RAF21" s="2827"/>
      <c r="RAG21" s="2867"/>
      <c r="RAH21" s="2866"/>
      <c r="RAI21" s="2827"/>
      <c r="RAJ21" s="2867"/>
      <c r="RAK21" s="2866"/>
      <c r="RAL21" s="2827"/>
      <c r="RAM21" s="2867"/>
      <c r="RAN21" s="2866"/>
      <c r="RAO21" s="2827"/>
      <c r="RAP21" s="2867"/>
      <c r="RAQ21" s="2866"/>
      <c r="RAR21" s="2827"/>
      <c r="RAS21" s="2867"/>
      <c r="RAT21" s="2866"/>
      <c r="RAU21" s="2827"/>
      <c r="RAV21" s="2867"/>
      <c r="RAW21" s="2866"/>
      <c r="RAX21" s="2827"/>
      <c r="RAY21" s="2867"/>
      <c r="RAZ21" s="2866"/>
      <c r="RBA21" s="2827"/>
      <c r="RBB21" s="2867"/>
      <c r="RBC21" s="2866"/>
      <c r="RBD21" s="2827"/>
      <c r="RBE21" s="2867"/>
      <c r="RBF21" s="2866"/>
      <c r="RBG21" s="2827"/>
      <c r="RBH21" s="2867"/>
      <c r="RBI21" s="2866"/>
      <c r="RBJ21" s="2827"/>
      <c r="RBK21" s="2867"/>
      <c r="RBL21" s="2866"/>
      <c r="RBM21" s="2827"/>
      <c r="RBN21" s="2867"/>
      <c r="RBO21" s="2866"/>
      <c r="RBP21" s="2827"/>
      <c r="RBQ21" s="2867"/>
      <c r="RBR21" s="2866"/>
      <c r="RBS21" s="2827"/>
      <c r="RBT21" s="2867"/>
      <c r="RBU21" s="2866"/>
      <c r="RBV21" s="2827"/>
      <c r="RBW21" s="2867"/>
      <c r="RBX21" s="2866"/>
      <c r="RBY21" s="2827"/>
      <c r="RBZ21" s="2867"/>
      <c r="RCA21" s="2866"/>
      <c r="RCB21" s="2827"/>
      <c r="RCC21" s="2867"/>
      <c r="RCD21" s="2866"/>
      <c r="RCE21" s="2827"/>
      <c r="RCF21" s="2867"/>
      <c r="RCG21" s="2866"/>
      <c r="RCH21" s="2827"/>
      <c r="RCI21" s="2867"/>
      <c r="RCJ21" s="2866"/>
      <c r="RCK21" s="2827"/>
      <c r="RCL21" s="2867"/>
      <c r="RCM21" s="2866"/>
      <c r="RCN21" s="2827"/>
      <c r="RCO21" s="2867"/>
      <c r="RCP21" s="2866"/>
      <c r="RCQ21" s="2827"/>
      <c r="RCR21" s="2867"/>
      <c r="RCS21" s="2866"/>
      <c r="RCT21" s="2827"/>
      <c r="RCU21" s="2867"/>
      <c r="RCV21" s="2866"/>
      <c r="RCW21" s="2827"/>
      <c r="RCX21" s="2867"/>
      <c r="RCY21" s="2866"/>
      <c r="RCZ21" s="2827"/>
      <c r="RDA21" s="2867"/>
      <c r="RDB21" s="2866"/>
      <c r="RDC21" s="2827"/>
      <c r="RDD21" s="2867"/>
      <c r="RDE21" s="2866"/>
      <c r="RDF21" s="2827"/>
      <c r="RDG21" s="2867"/>
      <c r="RDH21" s="2866"/>
      <c r="RDI21" s="2827"/>
      <c r="RDJ21" s="2867"/>
      <c r="RDK21" s="2866"/>
      <c r="RDL21" s="2827"/>
      <c r="RDM21" s="2867"/>
      <c r="RDN21" s="2866"/>
      <c r="RDO21" s="2827"/>
      <c r="RDP21" s="2867"/>
      <c r="RDQ21" s="2866"/>
      <c r="RDR21" s="2827"/>
      <c r="RDS21" s="2867"/>
      <c r="RDT21" s="2866"/>
      <c r="RDU21" s="2827"/>
      <c r="RDV21" s="2867"/>
      <c r="RDW21" s="2866"/>
      <c r="RDX21" s="2827"/>
      <c r="RDY21" s="2867"/>
      <c r="RDZ21" s="2866"/>
      <c r="REA21" s="2827"/>
      <c r="REB21" s="2867"/>
      <c r="REC21" s="2866"/>
      <c r="RED21" s="2827"/>
      <c r="REE21" s="2867"/>
      <c r="REF21" s="2866"/>
      <c r="REG21" s="2827"/>
      <c r="REH21" s="2867"/>
      <c r="REI21" s="2866"/>
      <c r="REJ21" s="2827"/>
      <c r="REK21" s="2867"/>
      <c r="REL21" s="2866"/>
      <c r="REM21" s="2827"/>
      <c r="REN21" s="2867"/>
      <c r="REO21" s="2866"/>
      <c r="REP21" s="2827"/>
      <c r="REQ21" s="2867"/>
      <c r="RER21" s="2866"/>
      <c r="RES21" s="2827"/>
      <c r="RET21" s="2867"/>
      <c r="REU21" s="2866"/>
      <c r="REV21" s="2827"/>
      <c r="REW21" s="2867"/>
      <c r="REX21" s="2866"/>
      <c r="REY21" s="2827"/>
      <c r="REZ21" s="2867"/>
      <c r="RFA21" s="2866"/>
      <c r="RFB21" s="2827"/>
      <c r="RFC21" s="2867"/>
      <c r="RFD21" s="2866"/>
      <c r="RFE21" s="2827"/>
      <c r="RFF21" s="2867"/>
      <c r="RFG21" s="2866"/>
      <c r="RFH21" s="2827"/>
      <c r="RFI21" s="2867"/>
      <c r="RFJ21" s="2866"/>
      <c r="RFK21" s="2827"/>
      <c r="RFL21" s="2867"/>
      <c r="RFM21" s="2866"/>
      <c r="RFN21" s="2827"/>
      <c r="RFO21" s="2867"/>
      <c r="RFP21" s="2866"/>
      <c r="RFQ21" s="2827"/>
      <c r="RFR21" s="2867"/>
      <c r="RFS21" s="2866"/>
      <c r="RFT21" s="2827"/>
      <c r="RFU21" s="2867"/>
      <c r="RFV21" s="2866"/>
      <c r="RFW21" s="2827"/>
      <c r="RFX21" s="2867"/>
      <c r="RFY21" s="2866"/>
      <c r="RFZ21" s="2827"/>
      <c r="RGA21" s="2867"/>
      <c r="RGB21" s="2866"/>
      <c r="RGC21" s="2827"/>
      <c r="RGD21" s="2867"/>
      <c r="RGE21" s="2866"/>
      <c r="RGF21" s="2827"/>
      <c r="RGG21" s="2867"/>
      <c r="RGH21" s="2866"/>
      <c r="RGI21" s="2827"/>
      <c r="RGJ21" s="2867"/>
      <c r="RGK21" s="2866"/>
      <c r="RGL21" s="2827"/>
      <c r="RGM21" s="2867"/>
      <c r="RGN21" s="2866"/>
      <c r="RGO21" s="2827"/>
      <c r="RGP21" s="2867"/>
      <c r="RGQ21" s="2866"/>
      <c r="RGR21" s="2827"/>
      <c r="RGS21" s="2867"/>
      <c r="RGT21" s="2866"/>
      <c r="RGU21" s="2827"/>
      <c r="RGV21" s="2867"/>
      <c r="RGW21" s="2866"/>
      <c r="RGX21" s="2827"/>
      <c r="RGY21" s="2867"/>
      <c r="RGZ21" s="2866"/>
      <c r="RHA21" s="2827"/>
      <c r="RHB21" s="2867"/>
      <c r="RHC21" s="2866"/>
      <c r="RHD21" s="2827"/>
      <c r="RHE21" s="2867"/>
      <c r="RHF21" s="2866"/>
      <c r="RHG21" s="2827"/>
      <c r="RHH21" s="2867"/>
      <c r="RHI21" s="2866"/>
      <c r="RHJ21" s="2827"/>
      <c r="RHK21" s="2867"/>
      <c r="RHL21" s="2866"/>
      <c r="RHM21" s="2827"/>
      <c r="RHN21" s="2867"/>
      <c r="RHO21" s="2866"/>
      <c r="RHP21" s="2827"/>
      <c r="RHQ21" s="2867"/>
      <c r="RHR21" s="2866"/>
      <c r="RHS21" s="2827"/>
      <c r="RHT21" s="2867"/>
      <c r="RHU21" s="2866"/>
      <c r="RHV21" s="2827"/>
      <c r="RHW21" s="2867"/>
      <c r="RHX21" s="2866"/>
      <c r="RHY21" s="2827"/>
      <c r="RHZ21" s="2867"/>
      <c r="RIA21" s="2866"/>
      <c r="RIB21" s="2827"/>
      <c r="RIC21" s="2867"/>
      <c r="RID21" s="2866"/>
      <c r="RIE21" s="2827"/>
      <c r="RIF21" s="2867"/>
      <c r="RIG21" s="2866"/>
      <c r="RIH21" s="2827"/>
      <c r="RII21" s="2867"/>
      <c r="RIJ21" s="2866"/>
      <c r="RIK21" s="2827"/>
      <c r="RIL21" s="2867"/>
      <c r="RIM21" s="2866"/>
      <c r="RIN21" s="2827"/>
      <c r="RIO21" s="2867"/>
      <c r="RIP21" s="2866"/>
      <c r="RIQ21" s="2827"/>
      <c r="RIR21" s="2867"/>
      <c r="RIS21" s="2866"/>
      <c r="RIT21" s="2827"/>
      <c r="RIU21" s="2867"/>
      <c r="RIV21" s="2866"/>
      <c r="RIW21" s="2827"/>
      <c r="RIX21" s="2867"/>
      <c r="RIY21" s="2866"/>
      <c r="RIZ21" s="2827"/>
      <c r="RJA21" s="2867"/>
      <c r="RJB21" s="2866"/>
      <c r="RJC21" s="2827"/>
      <c r="RJD21" s="2867"/>
      <c r="RJE21" s="2866"/>
      <c r="RJF21" s="2827"/>
      <c r="RJG21" s="2867"/>
      <c r="RJH21" s="2866"/>
      <c r="RJI21" s="2827"/>
      <c r="RJJ21" s="2867"/>
      <c r="RJK21" s="2866"/>
      <c r="RJL21" s="2827"/>
      <c r="RJM21" s="2867"/>
      <c r="RJN21" s="2866"/>
      <c r="RJO21" s="2827"/>
      <c r="RJP21" s="2867"/>
      <c r="RJQ21" s="2866"/>
      <c r="RJR21" s="2827"/>
      <c r="RJS21" s="2867"/>
      <c r="RJT21" s="2866"/>
      <c r="RJU21" s="2827"/>
      <c r="RJV21" s="2867"/>
      <c r="RJW21" s="2866"/>
      <c r="RJX21" s="2827"/>
      <c r="RJY21" s="2867"/>
      <c r="RJZ21" s="2866"/>
      <c r="RKA21" s="2827"/>
      <c r="RKB21" s="2867"/>
      <c r="RKC21" s="2866"/>
      <c r="RKD21" s="2827"/>
      <c r="RKE21" s="2867"/>
      <c r="RKF21" s="2866"/>
      <c r="RKG21" s="2827"/>
      <c r="RKH21" s="2867"/>
      <c r="RKI21" s="2866"/>
      <c r="RKJ21" s="2827"/>
      <c r="RKK21" s="2867"/>
      <c r="RKL21" s="2866"/>
      <c r="RKM21" s="2827"/>
      <c r="RKN21" s="2867"/>
      <c r="RKO21" s="2866"/>
      <c r="RKP21" s="2827"/>
      <c r="RKQ21" s="2867"/>
      <c r="RKR21" s="2866"/>
      <c r="RKS21" s="2827"/>
      <c r="RKT21" s="2867"/>
      <c r="RKU21" s="2866"/>
      <c r="RKV21" s="2827"/>
      <c r="RKW21" s="2867"/>
      <c r="RKX21" s="2866"/>
      <c r="RKY21" s="2827"/>
      <c r="RKZ21" s="2867"/>
      <c r="RLA21" s="2866"/>
      <c r="RLB21" s="2827"/>
      <c r="RLC21" s="2867"/>
      <c r="RLD21" s="2866"/>
      <c r="RLE21" s="2827"/>
      <c r="RLF21" s="2867"/>
      <c r="RLG21" s="2866"/>
      <c r="RLH21" s="2827"/>
      <c r="RLI21" s="2867"/>
      <c r="RLJ21" s="2866"/>
      <c r="RLK21" s="2827"/>
      <c r="RLL21" s="2867"/>
      <c r="RLM21" s="2866"/>
      <c r="RLN21" s="2827"/>
      <c r="RLO21" s="2867"/>
      <c r="RLP21" s="2866"/>
      <c r="RLQ21" s="2827"/>
      <c r="RLR21" s="2867"/>
      <c r="RLS21" s="2866"/>
      <c r="RLT21" s="2827"/>
      <c r="RLU21" s="2867"/>
      <c r="RLV21" s="2866"/>
      <c r="RLW21" s="2827"/>
      <c r="RLX21" s="2867"/>
      <c r="RLY21" s="2866"/>
      <c r="RLZ21" s="2827"/>
      <c r="RMA21" s="2867"/>
      <c r="RMB21" s="2866"/>
      <c r="RMC21" s="2827"/>
      <c r="RMD21" s="2867"/>
      <c r="RME21" s="2866"/>
      <c r="RMF21" s="2827"/>
      <c r="RMG21" s="2867"/>
      <c r="RMH21" s="2866"/>
      <c r="RMI21" s="2827"/>
      <c r="RMJ21" s="2867"/>
      <c r="RMK21" s="2866"/>
      <c r="RML21" s="2827"/>
      <c r="RMM21" s="2867"/>
      <c r="RMN21" s="2866"/>
      <c r="RMO21" s="2827"/>
      <c r="RMP21" s="2867"/>
      <c r="RMQ21" s="2866"/>
      <c r="RMR21" s="2827"/>
      <c r="RMS21" s="2867"/>
      <c r="RMT21" s="2866"/>
      <c r="RMU21" s="2827"/>
      <c r="RMV21" s="2867"/>
      <c r="RMW21" s="2866"/>
      <c r="RMX21" s="2827"/>
      <c r="RMY21" s="2867"/>
      <c r="RMZ21" s="2866"/>
      <c r="RNA21" s="2827"/>
      <c r="RNB21" s="2867"/>
      <c r="RNC21" s="2866"/>
      <c r="RND21" s="2827"/>
      <c r="RNE21" s="2867"/>
      <c r="RNF21" s="2866"/>
      <c r="RNG21" s="2827"/>
      <c r="RNH21" s="2867"/>
      <c r="RNI21" s="2866"/>
      <c r="RNJ21" s="2827"/>
      <c r="RNK21" s="2867"/>
      <c r="RNL21" s="2866"/>
      <c r="RNM21" s="2827"/>
      <c r="RNN21" s="2867"/>
      <c r="RNO21" s="2866"/>
      <c r="RNP21" s="2827"/>
      <c r="RNQ21" s="2867"/>
      <c r="RNR21" s="2866"/>
      <c r="RNS21" s="2827"/>
      <c r="RNT21" s="2867"/>
      <c r="RNU21" s="2866"/>
      <c r="RNV21" s="2827"/>
      <c r="RNW21" s="2867"/>
      <c r="RNX21" s="2866"/>
      <c r="RNY21" s="2827"/>
      <c r="RNZ21" s="2867"/>
      <c r="ROA21" s="2866"/>
      <c r="ROB21" s="2827"/>
      <c r="ROC21" s="2867"/>
      <c r="ROD21" s="2866"/>
      <c r="ROE21" s="2827"/>
      <c r="ROF21" s="2867"/>
      <c r="ROG21" s="2866"/>
      <c r="ROH21" s="2827"/>
      <c r="ROI21" s="2867"/>
      <c r="ROJ21" s="2866"/>
      <c r="ROK21" s="2827"/>
      <c r="ROL21" s="2867"/>
      <c r="ROM21" s="2866"/>
      <c r="RON21" s="2827"/>
      <c r="ROO21" s="2867"/>
      <c r="ROP21" s="2866"/>
      <c r="ROQ21" s="2827"/>
      <c r="ROR21" s="2867"/>
      <c r="ROS21" s="2866"/>
      <c r="ROT21" s="2827"/>
      <c r="ROU21" s="2867"/>
      <c r="ROV21" s="2866"/>
      <c r="ROW21" s="2827"/>
      <c r="ROX21" s="2867"/>
      <c r="ROY21" s="2866"/>
      <c r="ROZ21" s="2827"/>
      <c r="RPA21" s="2867"/>
      <c r="RPB21" s="2866"/>
      <c r="RPC21" s="2827"/>
      <c r="RPD21" s="2867"/>
      <c r="RPE21" s="2866"/>
      <c r="RPF21" s="2827"/>
      <c r="RPG21" s="2867"/>
      <c r="RPH21" s="2866"/>
      <c r="RPI21" s="2827"/>
      <c r="RPJ21" s="2867"/>
      <c r="RPK21" s="2866"/>
      <c r="RPL21" s="2827"/>
      <c r="RPM21" s="2867"/>
      <c r="RPN21" s="2866"/>
      <c r="RPO21" s="2827"/>
      <c r="RPP21" s="2867"/>
      <c r="RPQ21" s="2866"/>
      <c r="RPR21" s="2827"/>
      <c r="RPS21" s="2867"/>
      <c r="RPT21" s="2866"/>
      <c r="RPU21" s="2827"/>
      <c r="RPV21" s="2867"/>
      <c r="RPW21" s="2866"/>
      <c r="RPX21" s="2827"/>
      <c r="RPY21" s="2867"/>
      <c r="RPZ21" s="2866"/>
      <c r="RQA21" s="2827"/>
      <c r="RQB21" s="2867"/>
      <c r="RQC21" s="2866"/>
      <c r="RQD21" s="2827"/>
      <c r="RQE21" s="2867"/>
      <c r="RQF21" s="2866"/>
      <c r="RQG21" s="2827"/>
      <c r="RQH21" s="2867"/>
      <c r="RQI21" s="2866"/>
      <c r="RQJ21" s="2827"/>
      <c r="RQK21" s="2867"/>
      <c r="RQL21" s="2866"/>
      <c r="RQM21" s="2827"/>
      <c r="RQN21" s="2867"/>
      <c r="RQO21" s="2866"/>
      <c r="RQP21" s="2827"/>
      <c r="RQQ21" s="2867"/>
      <c r="RQR21" s="2866"/>
      <c r="RQS21" s="2827"/>
      <c r="RQT21" s="2867"/>
      <c r="RQU21" s="2866"/>
      <c r="RQV21" s="2827"/>
      <c r="RQW21" s="2867"/>
      <c r="RQX21" s="2866"/>
      <c r="RQY21" s="2827"/>
      <c r="RQZ21" s="2867"/>
      <c r="RRA21" s="2866"/>
      <c r="RRB21" s="2827"/>
      <c r="RRC21" s="2867"/>
      <c r="RRD21" s="2866"/>
      <c r="RRE21" s="2827"/>
      <c r="RRF21" s="2867"/>
      <c r="RRG21" s="2866"/>
      <c r="RRH21" s="2827"/>
      <c r="RRI21" s="2867"/>
      <c r="RRJ21" s="2866"/>
      <c r="RRK21" s="2827"/>
      <c r="RRL21" s="2867"/>
      <c r="RRM21" s="2866"/>
      <c r="RRN21" s="2827"/>
      <c r="RRO21" s="2867"/>
      <c r="RRP21" s="2866"/>
      <c r="RRQ21" s="2827"/>
      <c r="RRR21" s="2867"/>
      <c r="RRS21" s="2866"/>
      <c r="RRT21" s="2827"/>
      <c r="RRU21" s="2867"/>
      <c r="RRV21" s="2866"/>
      <c r="RRW21" s="2827"/>
      <c r="RRX21" s="2867"/>
      <c r="RRY21" s="2866"/>
      <c r="RRZ21" s="2827"/>
      <c r="RSA21" s="2867"/>
      <c r="RSB21" s="2866"/>
      <c r="RSC21" s="2827"/>
      <c r="RSD21" s="2867"/>
      <c r="RSE21" s="2866"/>
      <c r="RSF21" s="2827"/>
      <c r="RSG21" s="2867"/>
      <c r="RSH21" s="2866"/>
      <c r="RSI21" s="2827"/>
      <c r="RSJ21" s="2867"/>
      <c r="RSK21" s="2866"/>
      <c r="RSL21" s="2827"/>
      <c r="RSM21" s="2867"/>
      <c r="RSN21" s="2866"/>
      <c r="RSO21" s="2827"/>
      <c r="RSP21" s="2867"/>
      <c r="RSQ21" s="2866"/>
      <c r="RSR21" s="2827"/>
      <c r="RSS21" s="2867"/>
      <c r="RST21" s="2866"/>
      <c r="RSU21" s="2827"/>
      <c r="RSV21" s="2867"/>
      <c r="RSW21" s="2866"/>
      <c r="RSX21" s="2827"/>
      <c r="RSY21" s="2867"/>
      <c r="RSZ21" s="2866"/>
      <c r="RTA21" s="2827"/>
      <c r="RTB21" s="2867"/>
      <c r="RTC21" s="2866"/>
      <c r="RTD21" s="2827"/>
      <c r="RTE21" s="2867"/>
      <c r="RTF21" s="2866"/>
      <c r="RTG21" s="2827"/>
      <c r="RTH21" s="2867"/>
      <c r="RTI21" s="2866"/>
      <c r="RTJ21" s="2827"/>
      <c r="RTK21" s="2867"/>
      <c r="RTL21" s="2866"/>
      <c r="RTM21" s="2827"/>
      <c r="RTN21" s="2867"/>
      <c r="RTO21" s="2866"/>
      <c r="RTP21" s="2827"/>
      <c r="RTQ21" s="2867"/>
      <c r="RTR21" s="2866"/>
      <c r="RTS21" s="2827"/>
      <c r="RTT21" s="2867"/>
      <c r="RTU21" s="2866"/>
      <c r="RTV21" s="2827"/>
      <c r="RTW21" s="2867"/>
      <c r="RTX21" s="2866"/>
      <c r="RTY21" s="2827"/>
      <c r="RTZ21" s="2867"/>
      <c r="RUA21" s="2866"/>
      <c r="RUB21" s="2827"/>
      <c r="RUC21" s="2867"/>
      <c r="RUD21" s="2866"/>
      <c r="RUE21" s="2827"/>
      <c r="RUF21" s="2867"/>
      <c r="RUG21" s="2866"/>
      <c r="RUH21" s="2827"/>
      <c r="RUI21" s="2867"/>
      <c r="RUJ21" s="2866"/>
      <c r="RUK21" s="2827"/>
      <c r="RUL21" s="2867"/>
      <c r="RUM21" s="2866"/>
      <c r="RUN21" s="2827"/>
      <c r="RUO21" s="2867"/>
      <c r="RUP21" s="2866"/>
      <c r="RUQ21" s="2827"/>
      <c r="RUR21" s="2867"/>
      <c r="RUS21" s="2866"/>
      <c r="RUT21" s="2827"/>
      <c r="RUU21" s="2867"/>
      <c r="RUV21" s="2866"/>
      <c r="RUW21" s="2827"/>
      <c r="RUX21" s="2867"/>
      <c r="RUY21" s="2866"/>
      <c r="RUZ21" s="2827"/>
      <c r="RVA21" s="2867"/>
      <c r="RVB21" s="2866"/>
      <c r="RVC21" s="2827"/>
      <c r="RVD21" s="2867"/>
      <c r="RVE21" s="2866"/>
      <c r="RVF21" s="2827"/>
      <c r="RVG21" s="2867"/>
      <c r="RVH21" s="2866"/>
      <c r="RVI21" s="2827"/>
      <c r="RVJ21" s="2867"/>
      <c r="RVK21" s="2866"/>
      <c r="RVL21" s="2827"/>
      <c r="RVM21" s="2867"/>
      <c r="RVN21" s="2866"/>
      <c r="RVO21" s="2827"/>
      <c r="RVP21" s="2867"/>
      <c r="RVQ21" s="2866"/>
      <c r="RVR21" s="2827"/>
      <c r="RVS21" s="2867"/>
      <c r="RVT21" s="2866"/>
      <c r="RVU21" s="2827"/>
      <c r="RVV21" s="2867"/>
      <c r="RVW21" s="2866"/>
      <c r="RVX21" s="2827"/>
      <c r="RVY21" s="2867"/>
      <c r="RVZ21" s="2866"/>
      <c r="RWA21" s="2827"/>
      <c r="RWB21" s="2867"/>
      <c r="RWC21" s="2866"/>
      <c r="RWD21" s="2827"/>
      <c r="RWE21" s="2867"/>
      <c r="RWF21" s="2866"/>
      <c r="RWG21" s="2827"/>
      <c r="RWH21" s="2867"/>
      <c r="RWI21" s="2866"/>
      <c r="RWJ21" s="2827"/>
      <c r="RWK21" s="2867"/>
      <c r="RWL21" s="2866"/>
      <c r="RWM21" s="2827"/>
      <c r="RWN21" s="2867"/>
      <c r="RWO21" s="2866"/>
      <c r="RWP21" s="2827"/>
      <c r="RWQ21" s="2867"/>
      <c r="RWR21" s="2866"/>
      <c r="RWS21" s="2827"/>
      <c r="RWT21" s="2867"/>
      <c r="RWU21" s="2866"/>
      <c r="RWV21" s="2827"/>
      <c r="RWW21" s="2867"/>
      <c r="RWX21" s="2866"/>
      <c r="RWY21" s="2827"/>
      <c r="RWZ21" s="2867"/>
      <c r="RXA21" s="2866"/>
      <c r="RXB21" s="2827"/>
      <c r="RXC21" s="2867"/>
      <c r="RXD21" s="2866"/>
      <c r="RXE21" s="2827"/>
      <c r="RXF21" s="2867"/>
      <c r="RXG21" s="2866"/>
      <c r="RXH21" s="2827"/>
      <c r="RXI21" s="2867"/>
      <c r="RXJ21" s="2866"/>
      <c r="RXK21" s="2827"/>
      <c r="RXL21" s="2867"/>
      <c r="RXM21" s="2866"/>
      <c r="RXN21" s="2827"/>
      <c r="RXO21" s="2867"/>
      <c r="RXP21" s="2866"/>
      <c r="RXQ21" s="2827"/>
      <c r="RXR21" s="2867"/>
      <c r="RXS21" s="2866"/>
      <c r="RXT21" s="2827"/>
      <c r="RXU21" s="2867"/>
      <c r="RXV21" s="2866"/>
      <c r="RXW21" s="2827"/>
      <c r="RXX21" s="2867"/>
      <c r="RXY21" s="2866"/>
      <c r="RXZ21" s="2827"/>
      <c r="RYA21" s="2867"/>
      <c r="RYB21" s="2866"/>
      <c r="RYC21" s="2827"/>
      <c r="RYD21" s="2867"/>
      <c r="RYE21" s="2866"/>
      <c r="RYF21" s="2827"/>
      <c r="RYG21" s="2867"/>
      <c r="RYH21" s="2866"/>
      <c r="RYI21" s="2827"/>
      <c r="RYJ21" s="2867"/>
      <c r="RYK21" s="2866"/>
      <c r="RYL21" s="2827"/>
      <c r="RYM21" s="2867"/>
      <c r="RYN21" s="2866"/>
      <c r="RYO21" s="2827"/>
      <c r="RYP21" s="2867"/>
      <c r="RYQ21" s="2866"/>
      <c r="RYR21" s="2827"/>
      <c r="RYS21" s="2867"/>
      <c r="RYT21" s="2866"/>
      <c r="RYU21" s="2827"/>
      <c r="RYV21" s="2867"/>
      <c r="RYW21" s="2866"/>
      <c r="RYX21" s="2827"/>
      <c r="RYY21" s="2867"/>
      <c r="RYZ21" s="2866"/>
      <c r="RZA21" s="2827"/>
      <c r="RZB21" s="2867"/>
      <c r="RZC21" s="2866"/>
      <c r="RZD21" s="2827"/>
      <c r="RZE21" s="2867"/>
      <c r="RZF21" s="2866"/>
      <c r="RZG21" s="2827"/>
      <c r="RZH21" s="2867"/>
      <c r="RZI21" s="2866"/>
      <c r="RZJ21" s="2827"/>
      <c r="RZK21" s="2867"/>
      <c r="RZL21" s="2866"/>
      <c r="RZM21" s="2827"/>
      <c r="RZN21" s="2867"/>
      <c r="RZO21" s="2866"/>
      <c r="RZP21" s="2827"/>
      <c r="RZQ21" s="2867"/>
      <c r="RZR21" s="2866"/>
      <c r="RZS21" s="2827"/>
      <c r="RZT21" s="2867"/>
      <c r="RZU21" s="2866"/>
      <c r="RZV21" s="2827"/>
      <c r="RZW21" s="2867"/>
      <c r="RZX21" s="2866"/>
      <c r="RZY21" s="2827"/>
      <c r="RZZ21" s="2867"/>
      <c r="SAA21" s="2866"/>
      <c r="SAB21" s="2827"/>
      <c r="SAC21" s="2867"/>
      <c r="SAD21" s="2866"/>
      <c r="SAE21" s="2827"/>
      <c r="SAF21" s="2867"/>
      <c r="SAG21" s="2866"/>
      <c r="SAH21" s="2827"/>
      <c r="SAI21" s="2867"/>
      <c r="SAJ21" s="2866"/>
      <c r="SAK21" s="2827"/>
      <c r="SAL21" s="2867"/>
      <c r="SAM21" s="2866"/>
      <c r="SAN21" s="2827"/>
      <c r="SAO21" s="2867"/>
      <c r="SAP21" s="2866"/>
      <c r="SAQ21" s="2827"/>
      <c r="SAR21" s="2867"/>
      <c r="SAS21" s="2866"/>
      <c r="SAT21" s="2827"/>
      <c r="SAU21" s="2867"/>
      <c r="SAV21" s="2866"/>
      <c r="SAW21" s="2827"/>
      <c r="SAX21" s="2867"/>
      <c r="SAY21" s="2866"/>
      <c r="SAZ21" s="2827"/>
      <c r="SBA21" s="2867"/>
      <c r="SBB21" s="2866"/>
      <c r="SBC21" s="2827"/>
      <c r="SBD21" s="2867"/>
      <c r="SBE21" s="2866"/>
      <c r="SBF21" s="2827"/>
      <c r="SBG21" s="2867"/>
      <c r="SBH21" s="2866"/>
      <c r="SBI21" s="2827"/>
      <c r="SBJ21" s="2867"/>
      <c r="SBK21" s="2866"/>
      <c r="SBL21" s="2827"/>
      <c r="SBM21" s="2867"/>
      <c r="SBN21" s="2866"/>
      <c r="SBO21" s="2827"/>
      <c r="SBP21" s="2867"/>
      <c r="SBQ21" s="2866"/>
      <c r="SBR21" s="2827"/>
      <c r="SBS21" s="2867"/>
      <c r="SBT21" s="2866"/>
      <c r="SBU21" s="2827"/>
      <c r="SBV21" s="2867"/>
      <c r="SBW21" s="2866"/>
      <c r="SBX21" s="2827"/>
      <c r="SBY21" s="2867"/>
      <c r="SBZ21" s="2866"/>
      <c r="SCA21" s="2827"/>
      <c r="SCB21" s="2867"/>
      <c r="SCC21" s="2866"/>
      <c r="SCD21" s="2827"/>
      <c r="SCE21" s="2867"/>
      <c r="SCF21" s="2866"/>
      <c r="SCG21" s="2827"/>
      <c r="SCH21" s="2867"/>
      <c r="SCI21" s="2866"/>
      <c r="SCJ21" s="2827"/>
      <c r="SCK21" s="2867"/>
      <c r="SCL21" s="2866"/>
      <c r="SCM21" s="2827"/>
      <c r="SCN21" s="2867"/>
      <c r="SCO21" s="2866"/>
      <c r="SCP21" s="2827"/>
      <c r="SCQ21" s="2867"/>
      <c r="SCR21" s="2866"/>
      <c r="SCS21" s="2827"/>
      <c r="SCT21" s="2867"/>
      <c r="SCU21" s="2866"/>
      <c r="SCV21" s="2827"/>
      <c r="SCW21" s="2867"/>
      <c r="SCX21" s="2866"/>
      <c r="SCY21" s="2827"/>
      <c r="SCZ21" s="2867"/>
      <c r="SDA21" s="2866"/>
      <c r="SDB21" s="2827"/>
      <c r="SDC21" s="2867"/>
      <c r="SDD21" s="2866"/>
      <c r="SDE21" s="2827"/>
      <c r="SDF21" s="2867"/>
      <c r="SDG21" s="2866"/>
      <c r="SDH21" s="2827"/>
      <c r="SDI21" s="2867"/>
      <c r="SDJ21" s="2866"/>
      <c r="SDK21" s="2827"/>
      <c r="SDL21" s="2867"/>
      <c r="SDM21" s="2866"/>
      <c r="SDN21" s="2827"/>
      <c r="SDO21" s="2867"/>
      <c r="SDP21" s="2866"/>
      <c r="SDQ21" s="2827"/>
      <c r="SDR21" s="2867"/>
      <c r="SDS21" s="2866"/>
      <c r="SDT21" s="2827"/>
      <c r="SDU21" s="2867"/>
      <c r="SDV21" s="2866"/>
      <c r="SDW21" s="2827"/>
      <c r="SDX21" s="2867"/>
      <c r="SDY21" s="2866"/>
      <c r="SDZ21" s="2827"/>
      <c r="SEA21" s="2867"/>
      <c r="SEB21" s="2866"/>
      <c r="SEC21" s="2827"/>
      <c r="SED21" s="2867"/>
      <c r="SEE21" s="2866"/>
      <c r="SEF21" s="2827"/>
      <c r="SEG21" s="2867"/>
      <c r="SEH21" s="2866"/>
      <c r="SEI21" s="2827"/>
      <c r="SEJ21" s="2867"/>
      <c r="SEK21" s="2866"/>
      <c r="SEL21" s="2827"/>
      <c r="SEM21" s="2867"/>
      <c r="SEN21" s="2866"/>
      <c r="SEO21" s="2827"/>
      <c r="SEP21" s="2867"/>
      <c r="SEQ21" s="2866"/>
      <c r="SER21" s="2827"/>
      <c r="SES21" s="2867"/>
      <c r="SET21" s="2866"/>
      <c r="SEU21" s="2827"/>
      <c r="SEV21" s="2867"/>
      <c r="SEW21" s="2866"/>
      <c r="SEX21" s="2827"/>
      <c r="SEY21" s="2867"/>
      <c r="SEZ21" s="2866"/>
      <c r="SFA21" s="2827"/>
      <c r="SFB21" s="2867"/>
      <c r="SFC21" s="2866"/>
      <c r="SFD21" s="2827"/>
      <c r="SFE21" s="2867"/>
      <c r="SFF21" s="2866"/>
      <c r="SFG21" s="2827"/>
      <c r="SFH21" s="2867"/>
      <c r="SFI21" s="2866"/>
      <c r="SFJ21" s="2827"/>
      <c r="SFK21" s="2867"/>
      <c r="SFL21" s="2866"/>
      <c r="SFM21" s="2827"/>
      <c r="SFN21" s="2867"/>
      <c r="SFO21" s="2866"/>
      <c r="SFP21" s="2827"/>
      <c r="SFQ21" s="2867"/>
      <c r="SFR21" s="2866"/>
      <c r="SFS21" s="2827"/>
      <c r="SFT21" s="2867"/>
      <c r="SFU21" s="2866"/>
      <c r="SFV21" s="2827"/>
      <c r="SFW21" s="2867"/>
      <c r="SFX21" s="2866"/>
      <c r="SFY21" s="2827"/>
      <c r="SFZ21" s="2867"/>
      <c r="SGA21" s="2866"/>
      <c r="SGB21" s="2827"/>
      <c r="SGC21" s="2867"/>
      <c r="SGD21" s="2866"/>
      <c r="SGE21" s="2827"/>
      <c r="SGF21" s="2867"/>
      <c r="SGG21" s="2866"/>
      <c r="SGH21" s="2827"/>
      <c r="SGI21" s="2867"/>
      <c r="SGJ21" s="2866"/>
      <c r="SGK21" s="2827"/>
      <c r="SGL21" s="2867"/>
      <c r="SGM21" s="2866"/>
      <c r="SGN21" s="2827"/>
      <c r="SGO21" s="2867"/>
      <c r="SGP21" s="2866"/>
      <c r="SGQ21" s="2827"/>
      <c r="SGR21" s="2867"/>
      <c r="SGS21" s="2866"/>
      <c r="SGT21" s="2827"/>
      <c r="SGU21" s="2867"/>
      <c r="SGV21" s="2866"/>
      <c r="SGW21" s="2827"/>
      <c r="SGX21" s="2867"/>
      <c r="SGY21" s="2866"/>
      <c r="SGZ21" s="2827"/>
      <c r="SHA21" s="2867"/>
      <c r="SHB21" s="2866"/>
      <c r="SHC21" s="2827"/>
      <c r="SHD21" s="2867"/>
      <c r="SHE21" s="2866"/>
      <c r="SHF21" s="2827"/>
      <c r="SHG21" s="2867"/>
      <c r="SHH21" s="2866"/>
      <c r="SHI21" s="2827"/>
      <c r="SHJ21" s="2867"/>
      <c r="SHK21" s="2866"/>
      <c r="SHL21" s="2827"/>
      <c r="SHM21" s="2867"/>
      <c r="SHN21" s="2866"/>
      <c r="SHO21" s="2827"/>
      <c r="SHP21" s="2867"/>
      <c r="SHQ21" s="2866"/>
      <c r="SHR21" s="2827"/>
      <c r="SHS21" s="2867"/>
      <c r="SHT21" s="2866"/>
      <c r="SHU21" s="2827"/>
      <c r="SHV21" s="2867"/>
      <c r="SHW21" s="2866"/>
      <c r="SHX21" s="2827"/>
      <c r="SHY21" s="2867"/>
      <c r="SHZ21" s="2866"/>
      <c r="SIA21" s="2827"/>
      <c r="SIB21" s="2867"/>
      <c r="SIC21" s="2866"/>
      <c r="SID21" s="2827"/>
      <c r="SIE21" s="2867"/>
      <c r="SIF21" s="2866"/>
      <c r="SIG21" s="2827"/>
      <c r="SIH21" s="2867"/>
      <c r="SII21" s="2866"/>
      <c r="SIJ21" s="2827"/>
      <c r="SIK21" s="2867"/>
      <c r="SIL21" s="2866"/>
      <c r="SIM21" s="2827"/>
      <c r="SIN21" s="2867"/>
      <c r="SIO21" s="2866"/>
      <c r="SIP21" s="2827"/>
      <c r="SIQ21" s="2867"/>
      <c r="SIR21" s="2866"/>
      <c r="SIS21" s="2827"/>
      <c r="SIT21" s="2867"/>
      <c r="SIU21" s="2866"/>
      <c r="SIV21" s="2827"/>
      <c r="SIW21" s="2867"/>
      <c r="SIX21" s="2866"/>
      <c r="SIY21" s="2827"/>
      <c r="SIZ21" s="2867"/>
      <c r="SJA21" s="2866"/>
      <c r="SJB21" s="2827"/>
      <c r="SJC21" s="2867"/>
      <c r="SJD21" s="2866"/>
      <c r="SJE21" s="2827"/>
      <c r="SJF21" s="2867"/>
      <c r="SJG21" s="2866"/>
      <c r="SJH21" s="2827"/>
      <c r="SJI21" s="2867"/>
      <c r="SJJ21" s="2866"/>
      <c r="SJK21" s="2827"/>
      <c r="SJL21" s="2867"/>
      <c r="SJM21" s="2866"/>
      <c r="SJN21" s="2827"/>
      <c r="SJO21" s="2867"/>
      <c r="SJP21" s="2866"/>
      <c r="SJQ21" s="2827"/>
      <c r="SJR21" s="2867"/>
      <c r="SJS21" s="2866"/>
      <c r="SJT21" s="2827"/>
      <c r="SJU21" s="2867"/>
      <c r="SJV21" s="2866"/>
      <c r="SJW21" s="2827"/>
      <c r="SJX21" s="2867"/>
      <c r="SJY21" s="2866"/>
      <c r="SJZ21" s="2827"/>
      <c r="SKA21" s="2867"/>
      <c r="SKB21" s="2866"/>
      <c r="SKC21" s="2827"/>
      <c r="SKD21" s="2867"/>
      <c r="SKE21" s="2866"/>
      <c r="SKF21" s="2827"/>
      <c r="SKG21" s="2867"/>
      <c r="SKH21" s="2866"/>
      <c r="SKI21" s="2827"/>
      <c r="SKJ21" s="2867"/>
      <c r="SKK21" s="2866"/>
      <c r="SKL21" s="2827"/>
      <c r="SKM21" s="2867"/>
      <c r="SKN21" s="2866"/>
      <c r="SKO21" s="2827"/>
      <c r="SKP21" s="2867"/>
      <c r="SKQ21" s="2866"/>
      <c r="SKR21" s="2827"/>
      <c r="SKS21" s="2867"/>
      <c r="SKT21" s="2866"/>
      <c r="SKU21" s="2827"/>
      <c r="SKV21" s="2867"/>
      <c r="SKW21" s="2866"/>
      <c r="SKX21" s="2827"/>
      <c r="SKY21" s="2867"/>
      <c r="SKZ21" s="2866"/>
      <c r="SLA21" s="2827"/>
      <c r="SLB21" s="2867"/>
      <c r="SLC21" s="2866"/>
      <c r="SLD21" s="2827"/>
      <c r="SLE21" s="2867"/>
      <c r="SLF21" s="2866"/>
      <c r="SLG21" s="2827"/>
      <c r="SLH21" s="2867"/>
      <c r="SLI21" s="2866"/>
      <c r="SLJ21" s="2827"/>
      <c r="SLK21" s="2867"/>
      <c r="SLL21" s="2866"/>
      <c r="SLM21" s="2827"/>
      <c r="SLN21" s="2867"/>
      <c r="SLO21" s="2866"/>
      <c r="SLP21" s="2827"/>
      <c r="SLQ21" s="2867"/>
      <c r="SLR21" s="2866"/>
      <c r="SLS21" s="2827"/>
      <c r="SLT21" s="2867"/>
      <c r="SLU21" s="2866"/>
      <c r="SLV21" s="2827"/>
      <c r="SLW21" s="2867"/>
      <c r="SLX21" s="2866"/>
      <c r="SLY21" s="2827"/>
      <c r="SLZ21" s="2867"/>
      <c r="SMA21" s="2866"/>
      <c r="SMB21" s="2827"/>
      <c r="SMC21" s="2867"/>
      <c r="SMD21" s="2866"/>
      <c r="SME21" s="2827"/>
      <c r="SMF21" s="2867"/>
      <c r="SMG21" s="2866"/>
      <c r="SMH21" s="2827"/>
      <c r="SMI21" s="2867"/>
      <c r="SMJ21" s="2866"/>
      <c r="SMK21" s="2827"/>
      <c r="SML21" s="2867"/>
      <c r="SMM21" s="2866"/>
      <c r="SMN21" s="2827"/>
      <c r="SMO21" s="2867"/>
      <c r="SMP21" s="2866"/>
      <c r="SMQ21" s="2827"/>
      <c r="SMR21" s="2867"/>
      <c r="SMS21" s="2866"/>
      <c r="SMT21" s="2827"/>
      <c r="SMU21" s="2867"/>
      <c r="SMV21" s="2866"/>
      <c r="SMW21" s="2827"/>
      <c r="SMX21" s="2867"/>
      <c r="SMY21" s="2866"/>
      <c r="SMZ21" s="2827"/>
      <c r="SNA21" s="2867"/>
      <c r="SNB21" s="2866"/>
      <c r="SNC21" s="2827"/>
      <c r="SND21" s="2867"/>
      <c r="SNE21" s="2866"/>
      <c r="SNF21" s="2827"/>
      <c r="SNG21" s="2867"/>
      <c r="SNH21" s="2866"/>
      <c r="SNI21" s="2827"/>
      <c r="SNJ21" s="2867"/>
      <c r="SNK21" s="2866"/>
      <c r="SNL21" s="2827"/>
      <c r="SNM21" s="2867"/>
      <c r="SNN21" s="2866"/>
      <c r="SNO21" s="2827"/>
      <c r="SNP21" s="2867"/>
      <c r="SNQ21" s="2866"/>
      <c r="SNR21" s="2827"/>
      <c r="SNS21" s="2867"/>
      <c r="SNT21" s="2866"/>
      <c r="SNU21" s="2827"/>
      <c r="SNV21" s="2867"/>
      <c r="SNW21" s="2866"/>
      <c r="SNX21" s="2827"/>
      <c r="SNY21" s="2867"/>
      <c r="SNZ21" s="2866"/>
      <c r="SOA21" s="2827"/>
      <c r="SOB21" s="2867"/>
      <c r="SOC21" s="2866"/>
      <c r="SOD21" s="2827"/>
      <c r="SOE21" s="2867"/>
      <c r="SOF21" s="2866"/>
      <c r="SOG21" s="2827"/>
      <c r="SOH21" s="2867"/>
      <c r="SOI21" s="2866"/>
      <c r="SOJ21" s="2827"/>
      <c r="SOK21" s="2867"/>
      <c r="SOL21" s="2866"/>
      <c r="SOM21" s="2827"/>
      <c r="SON21" s="2867"/>
      <c r="SOO21" s="2866"/>
      <c r="SOP21" s="2827"/>
      <c r="SOQ21" s="2867"/>
      <c r="SOR21" s="2866"/>
      <c r="SOS21" s="2827"/>
      <c r="SOT21" s="2867"/>
      <c r="SOU21" s="2866"/>
      <c r="SOV21" s="2827"/>
      <c r="SOW21" s="2867"/>
      <c r="SOX21" s="2866"/>
      <c r="SOY21" s="2827"/>
      <c r="SOZ21" s="2867"/>
      <c r="SPA21" s="2866"/>
      <c r="SPB21" s="2827"/>
      <c r="SPC21" s="2867"/>
      <c r="SPD21" s="2866"/>
      <c r="SPE21" s="2827"/>
      <c r="SPF21" s="2867"/>
      <c r="SPG21" s="2866"/>
      <c r="SPH21" s="2827"/>
      <c r="SPI21" s="2867"/>
      <c r="SPJ21" s="2866"/>
      <c r="SPK21" s="2827"/>
      <c r="SPL21" s="2867"/>
      <c r="SPM21" s="2866"/>
      <c r="SPN21" s="2827"/>
      <c r="SPO21" s="2867"/>
      <c r="SPP21" s="2866"/>
      <c r="SPQ21" s="2827"/>
      <c r="SPR21" s="2867"/>
      <c r="SPS21" s="2866"/>
      <c r="SPT21" s="2827"/>
      <c r="SPU21" s="2867"/>
      <c r="SPV21" s="2866"/>
      <c r="SPW21" s="2827"/>
      <c r="SPX21" s="2867"/>
      <c r="SPY21" s="2866"/>
      <c r="SPZ21" s="2827"/>
      <c r="SQA21" s="2867"/>
      <c r="SQB21" s="2866"/>
      <c r="SQC21" s="2827"/>
      <c r="SQD21" s="2867"/>
      <c r="SQE21" s="2866"/>
      <c r="SQF21" s="2827"/>
      <c r="SQG21" s="2867"/>
      <c r="SQH21" s="2866"/>
      <c r="SQI21" s="2827"/>
      <c r="SQJ21" s="2867"/>
      <c r="SQK21" s="2866"/>
      <c r="SQL21" s="2827"/>
      <c r="SQM21" s="2867"/>
      <c r="SQN21" s="2866"/>
      <c r="SQO21" s="2827"/>
      <c r="SQP21" s="2867"/>
      <c r="SQQ21" s="2866"/>
      <c r="SQR21" s="2827"/>
      <c r="SQS21" s="2867"/>
      <c r="SQT21" s="2866"/>
      <c r="SQU21" s="2827"/>
      <c r="SQV21" s="2867"/>
      <c r="SQW21" s="2866"/>
      <c r="SQX21" s="2827"/>
      <c r="SQY21" s="2867"/>
      <c r="SQZ21" s="2866"/>
      <c r="SRA21" s="2827"/>
      <c r="SRB21" s="2867"/>
      <c r="SRC21" s="2866"/>
      <c r="SRD21" s="2827"/>
      <c r="SRE21" s="2867"/>
      <c r="SRF21" s="2866"/>
      <c r="SRG21" s="2827"/>
      <c r="SRH21" s="2867"/>
      <c r="SRI21" s="2866"/>
      <c r="SRJ21" s="2827"/>
      <c r="SRK21" s="2867"/>
      <c r="SRL21" s="2866"/>
      <c r="SRM21" s="2827"/>
      <c r="SRN21" s="2867"/>
      <c r="SRO21" s="2866"/>
      <c r="SRP21" s="2827"/>
      <c r="SRQ21" s="2867"/>
      <c r="SRR21" s="2866"/>
      <c r="SRS21" s="2827"/>
      <c r="SRT21" s="2867"/>
      <c r="SRU21" s="2866"/>
      <c r="SRV21" s="2827"/>
      <c r="SRW21" s="2867"/>
      <c r="SRX21" s="2866"/>
      <c r="SRY21" s="2827"/>
      <c r="SRZ21" s="2867"/>
      <c r="SSA21" s="2866"/>
      <c r="SSB21" s="2827"/>
      <c r="SSC21" s="2867"/>
      <c r="SSD21" s="2866"/>
      <c r="SSE21" s="2827"/>
      <c r="SSF21" s="2867"/>
      <c r="SSG21" s="2866"/>
      <c r="SSH21" s="2827"/>
      <c r="SSI21" s="2867"/>
      <c r="SSJ21" s="2866"/>
      <c r="SSK21" s="2827"/>
      <c r="SSL21" s="2867"/>
      <c r="SSM21" s="2866"/>
      <c r="SSN21" s="2827"/>
      <c r="SSO21" s="2867"/>
      <c r="SSP21" s="2866"/>
      <c r="SSQ21" s="2827"/>
      <c r="SSR21" s="2867"/>
      <c r="SSS21" s="2866"/>
      <c r="SST21" s="2827"/>
      <c r="SSU21" s="2867"/>
      <c r="SSV21" s="2866"/>
      <c r="SSW21" s="2827"/>
      <c r="SSX21" s="2867"/>
      <c r="SSY21" s="2866"/>
      <c r="SSZ21" s="2827"/>
      <c r="STA21" s="2867"/>
      <c r="STB21" s="2866"/>
      <c r="STC21" s="2827"/>
      <c r="STD21" s="2867"/>
      <c r="STE21" s="2866"/>
      <c r="STF21" s="2827"/>
      <c r="STG21" s="2867"/>
      <c r="STH21" s="2866"/>
      <c r="STI21" s="2827"/>
      <c r="STJ21" s="2867"/>
      <c r="STK21" s="2866"/>
      <c r="STL21" s="2827"/>
      <c r="STM21" s="2867"/>
      <c r="STN21" s="2866"/>
      <c r="STO21" s="2827"/>
      <c r="STP21" s="2867"/>
      <c r="STQ21" s="2866"/>
      <c r="STR21" s="2827"/>
      <c r="STS21" s="2867"/>
      <c r="STT21" s="2866"/>
      <c r="STU21" s="2827"/>
      <c r="STV21" s="2867"/>
      <c r="STW21" s="2866"/>
      <c r="STX21" s="2827"/>
      <c r="STY21" s="2867"/>
      <c r="STZ21" s="2866"/>
      <c r="SUA21" s="2827"/>
      <c r="SUB21" s="2867"/>
      <c r="SUC21" s="2866"/>
      <c r="SUD21" s="2827"/>
      <c r="SUE21" s="2867"/>
      <c r="SUF21" s="2866"/>
      <c r="SUG21" s="2827"/>
      <c r="SUH21" s="2867"/>
      <c r="SUI21" s="2866"/>
      <c r="SUJ21" s="2827"/>
      <c r="SUK21" s="2867"/>
      <c r="SUL21" s="2866"/>
      <c r="SUM21" s="2827"/>
      <c r="SUN21" s="2867"/>
      <c r="SUO21" s="2866"/>
      <c r="SUP21" s="2827"/>
      <c r="SUQ21" s="2867"/>
      <c r="SUR21" s="2866"/>
      <c r="SUS21" s="2827"/>
      <c r="SUT21" s="2867"/>
      <c r="SUU21" s="2866"/>
      <c r="SUV21" s="2827"/>
      <c r="SUW21" s="2867"/>
      <c r="SUX21" s="2866"/>
      <c r="SUY21" s="2827"/>
      <c r="SUZ21" s="2867"/>
      <c r="SVA21" s="2866"/>
      <c r="SVB21" s="2827"/>
      <c r="SVC21" s="2867"/>
      <c r="SVD21" s="2866"/>
      <c r="SVE21" s="2827"/>
      <c r="SVF21" s="2867"/>
      <c r="SVG21" s="2866"/>
      <c r="SVH21" s="2827"/>
      <c r="SVI21" s="2867"/>
      <c r="SVJ21" s="2866"/>
      <c r="SVK21" s="2827"/>
      <c r="SVL21" s="2867"/>
      <c r="SVM21" s="2866"/>
      <c r="SVN21" s="2827"/>
      <c r="SVO21" s="2867"/>
      <c r="SVP21" s="2866"/>
      <c r="SVQ21" s="2827"/>
      <c r="SVR21" s="2867"/>
      <c r="SVS21" s="2866"/>
      <c r="SVT21" s="2827"/>
      <c r="SVU21" s="2867"/>
      <c r="SVV21" s="2866"/>
      <c r="SVW21" s="2827"/>
      <c r="SVX21" s="2867"/>
      <c r="SVY21" s="2866"/>
      <c r="SVZ21" s="2827"/>
      <c r="SWA21" s="2867"/>
      <c r="SWB21" s="2866"/>
      <c r="SWC21" s="2827"/>
      <c r="SWD21" s="2867"/>
      <c r="SWE21" s="2866"/>
      <c r="SWF21" s="2827"/>
      <c r="SWG21" s="2867"/>
      <c r="SWH21" s="2866"/>
      <c r="SWI21" s="2827"/>
      <c r="SWJ21" s="2867"/>
      <c r="SWK21" s="2866"/>
      <c r="SWL21" s="2827"/>
      <c r="SWM21" s="2867"/>
      <c r="SWN21" s="2866"/>
      <c r="SWO21" s="2827"/>
      <c r="SWP21" s="2867"/>
      <c r="SWQ21" s="2866"/>
      <c r="SWR21" s="2827"/>
      <c r="SWS21" s="2867"/>
      <c r="SWT21" s="2866"/>
      <c r="SWU21" s="2827"/>
      <c r="SWV21" s="2867"/>
      <c r="SWW21" s="2866"/>
      <c r="SWX21" s="2827"/>
      <c r="SWY21" s="2867"/>
      <c r="SWZ21" s="2866"/>
      <c r="SXA21" s="2827"/>
      <c r="SXB21" s="2867"/>
      <c r="SXC21" s="2866"/>
      <c r="SXD21" s="2827"/>
      <c r="SXE21" s="2867"/>
      <c r="SXF21" s="2866"/>
      <c r="SXG21" s="2827"/>
      <c r="SXH21" s="2867"/>
      <c r="SXI21" s="2866"/>
      <c r="SXJ21" s="2827"/>
      <c r="SXK21" s="2867"/>
      <c r="SXL21" s="2866"/>
      <c r="SXM21" s="2827"/>
      <c r="SXN21" s="2867"/>
      <c r="SXO21" s="2866"/>
      <c r="SXP21" s="2827"/>
      <c r="SXQ21" s="2867"/>
      <c r="SXR21" s="2866"/>
      <c r="SXS21" s="2827"/>
      <c r="SXT21" s="2867"/>
      <c r="SXU21" s="2866"/>
      <c r="SXV21" s="2827"/>
      <c r="SXW21" s="2867"/>
      <c r="SXX21" s="2866"/>
      <c r="SXY21" s="2827"/>
      <c r="SXZ21" s="2867"/>
      <c r="SYA21" s="2866"/>
      <c r="SYB21" s="2827"/>
      <c r="SYC21" s="2867"/>
      <c r="SYD21" s="2866"/>
      <c r="SYE21" s="2827"/>
      <c r="SYF21" s="2867"/>
      <c r="SYG21" s="2866"/>
      <c r="SYH21" s="2827"/>
      <c r="SYI21" s="2867"/>
      <c r="SYJ21" s="2866"/>
      <c r="SYK21" s="2827"/>
      <c r="SYL21" s="2867"/>
      <c r="SYM21" s="2866"/>
      <c r="SYN21" s="2827"/>
      <c r="SYO21" s="2867"/>
      <c r="SYP21" s="2866"/>
      <c r="SYQ21" s="2827"/>
      <c r="SYR21" s="2867"/>
      <c r="SYS21" s="2866"/>
      <c r="SYT21" s="2827"/>
      <c r="SYU21" s="2867"/>
      <c r="SYV21" s="2866"/>
      <c r="SYW21" s="2827"/>
      <c r="SYX21" s="2867"/>
      <c r="SYY21" s="2866"/>
      <c r="SYZ21" s="2827"/>
      <c r="SZA21" s="2867"/>
      <c r="SZB21" s="2866"/>
      <c r="SZC21" s="2827"/>
      <c r="SZD21" s="2867"/>
      <c r="SZE21" s="2866"/>
      <c r="SZF21" s="2827"/>
      <c r="SZG21" s="2867"/>
      <c r="SZH21" s="2866"/>
      <c r="SZI21" s="2827"/>
      <c r="SZJ21" s="2867"/>
      <c r="SZK21" s="2866"/>
      <c r="SZL21" s="2827"/>
      <c r="SZM21" s="2867"/>
      <c r="SZN21" s="2866"/>
      <c r="SZO21" s="2827"/>
      <c r="SZP21" s="2867"/>
      <c r="SZQ21" s="2866"/>
      <c r="SZR21" s="2827"/>
      <c r="SZS21" s="2867"/>
      <c r="SZT21" s="2866"/>
      <c r="SZU21" s="2827"/>
      <c r="SZV21" s="2867"/>
      <c r="SZW21" s="2866"/>
      <c r="SZX21" s="2827"/>
      <c r="SZY21" s="2867"/>
      <c r="SZZ21" s="2866"/>
      <c r="TAA21" s="2827"/>
      <c r="TAB21" s="2867"/>
      <c r="TAC21" s="2866"/>
      <c r="TAD21" s="2827"/>
      <c r="TAE21" s="2867"/>
      <c r="TAF21" s="2866"/>
      <c r="TAG21" s="2827"/>
      <c r="TAH21" s="2867"/>
      <c r="TAI21" s="2866"/>
      <c r="TAJ21" s="2827"/>
      <c r="TAK21" s="2867"/>
      <c r="TAL21" s="2866"/>
      <c r="TAM21" s="2827"/>
      <c r="TAN21" s="2867"/>
      <c r="TAO21" s="2866"/>
      <c r="TAP21" s="2827"/>
      <c r="TAQ21" s="2867"/>
      <c r="TAR21" s="2866"/>
      <c r="TAS21" s="2827"/>
      <c r="TAT21" s="2867"/>
      <c r="TAU21" s="2866"/>
      <c r="TAV21" s="2827"/>
      <c r="TAW21" s="2867"/>
      <c r="TAX21" s="2866"/>
      <c r="TAY21" s="2827"/>
      <c r="TAZ21" s="2867"/>
      <c r="TBA21" s="2866"/>
      <c r="TBB21" s="2827"/>
      <c r="TBC21" s="2867"/>
      <c r="TBD21" s="2866"/>
      <c r="TBE21" s="2827"/>
      <c r="TBF21" s="2867"/>
      <c r="TBG21" s="2866"/>
      <c r="TBH21" s="2827"/>
      <c r="TBI21" s="2867"/>
      <c r="TBJ21" s="2866"/>
      <c r="TBK21" s="2827"/>
      <c r="TBL21" s="2867"/>
      <c r="TBM21" s="2866"/>
      <c r="TBN21" s="2827"/>
      <c r="TBO21" s="2867"/>
      <c r="TBP21" s="2866"/>
      <c r="TBQ21" s="2827"/>
      <c r="TBR21" s="2867"/>
      <c r="TBS21" s="2866"/>
      <c r="TBT21" s="2827"/>
      <c r="TBU21" s="2867"/>
      <c r="TBV21" s="2866"/>
      <c r="TBW21" s="2827"/>
      <c r="TBX21" s="2867"/>
      <c r="TBY21" s="2866"/>
      <c r="TBZ21" s="2827"/>
      <c r="TCA21" s="2867"/>
      <c r="TCB21" s="2866"/>
      <c r="TCC21" s="2827"/>
      <c r="TCD21" s="2867"/>
      <c r="TCE21" s="2866"/>
      <c r="TCF21" s="2827"/>
      <c r="TCG21" s="2867"/>
      <c r="TCH21" s="2866"/>
      <c r="TCI21" s="2827"/>
      <c r="TCJ21" s="2867"/>
      <c r="TCK21" s="2866"/>
      <c r="TCL21" s="2827"/>
      <c r="TCM21" s="2867"/>
      <c r="TCN21" s="2866"/>
      <c r="TCO21" s="2827"/>
      <c r="TCP21" s="2867"/>
      <c r="TCQ21" s="2866"/>
      <c r="TCR21" s="2827"/>
      <c r="TCS21" s="2867"/>
      <c r="TCT21" s="2866"/>
      <c r="TCU21" s="2827"/>
      <c r="TCV21" s="2867"/>
      <c r="TCW21" s="2866"/>
      <c r="TCX21" s="2827"/>
      <c r="TCY21" s="2867"/>
      <c r="TCZ21" s="2866"/>
      <c r="TDA21" s="2827"/>
      <c r="TDB21" s="2867"/>
      <c r="TDC21" s="2866"/>
      <c r="TDD21" s="2827"/>
      <c r="TDE21" s="2867"/>
      <c r="TDF21" s="2866"/>
      <c r="TDG21" s="2827"/>
      <c r="TDH21" s="2867"/>
      <c r="TDI21" s="2866"/>
      <c r="TDJ21" s="2827"/>
      <c r="TDK21" s="2867"/>
      <c r="TDL21" s="2866"/>
      <c r="TDM21" s="2827"/>
      <c r="TDN21" s="2867"/>
      <c r="TDO21" s="2866"/>
      <c r="TDP21" s="2827"/>
      <c r="TDQ21" s="2867"/>
      <c r="TDR21" s="2866"/>
      <c r="TDS21" s="2827"/>
      <c r="TDT21" s="2867"/>
      <c r="TDU21" s="2866"/>
      <c r="TDV21" s="2827"/>
      <c r="TDW21" s="2867"/>
      <c r="TDX21" s="2866"/>
      <c r="TDY21" s="2827"/>
      <c r="TDZ21" s="2867"/>
      <c r="TEA21" s="2866"/>
      <c r="TEB21" s="2827"/>
      <c r="TEC21" s="2867"/>
      <c r="TED21" s="2866"/>
      <c r="TEE21" s="2827"/>
      <c r="TEF21" s="2867"/>
      <c r="TEG21" s="2866"/>
      <c r="TEH21" s="2827"/>
      <c r="TEI21" s="2867"/>
      <c r="TEJ21" s="2866"/>
      <c r="TEK21" s="2827"/>
      <c r="TEL21" s="2867"/>
      <c r="TEM21" s="2866"/>
      <c r="TEN21" s="2827"/>
      <c r="TEO21" s="2867"/>
      <c r="TEP21" s="2866"/>
      <c r="TEQ21" s="2827"/>
      <c r="TER21" s="2867"/>
      <c r="TES21" s="2866"/>
      <c r="TET21" s="2827"/>
      <c r="TEU21" s="2867"/>
      <c r="TEV21" s="2866"/>
      <c r="TEW21" s="2827"/>
      <c r="TEX21" s="2867"/>
      <c r="TEY21" s="2866"/>
      <c r="TEZ21" s="2827"/>
      <c r="TFA21" s="2867"/>
      <c r="TFB21" s="2866"/>
      <c r="TFC21" s="2827"/>
      <c r="TFD21" s="2867"/>
      <c r="TFE21" s="2866"/>
      <c r="TFF21" s="2827"/>
      <c r="TFG21" s="2867"/>
      <c r="TFH21" s="2866"/>
      <c r="TFI21" s="2827"/>
      <c r="TFJ21" s="2867"/>
      <c r="TFK21" s="2866"/>
      <c r="TFL21" s="2827"/>
      <c r="TFM21" s="2867"/>
      <c r="TFN21" s="2866"/>
      <c r="TFO21" s="2827"/>
      <c r="TFP21" s="2867"/>
      <c r="TFQ21" s="2866"/>
      <c r="TFR21" s="2827"/>
      <c r="TFS21" s="2867"/>
      <c r="TFT21" s="2866"/>
      <c r="TFU21" s="2827"/>
      <c r="TFV21" s="2867"/>
      <c r="TFW21" s="2866"/>
      <c r="TFX21" s="2827"/>
      <c r="TFY21" s="2867"/>
      <c r="TFZ21" s="2866"/>
      <c r="TGA21" s="2827"/>
      <c r="TGB21" s="2867"/>
      <c r="TGC21" s="2866"/>
      <c r="TGD21" s="2827"/>
      <c r="TGE21" s="2867"/>
      <c r="TGF21" s="2866"/>
      <c r="TGG21" s="2827"/>
      <c r="TGH21" s="2867"/>
      <c r="TGI21" s="2866"/>
      <c r="TGJ21" s="2827"/>
      <c r="TGK21" s="2867"/>
      <c r="TGL21" s="2866"/>
      <c r="TGM21" s="2827"/>
      <c r="TGN21" s="2867"/>
      <c r="TGO21" s="2866"/>
      <c r="TGP21" s="2827"/>
      <c r="TGQ21" s="2867"/>
      <c r="TGR21" s="2866"/>
      <c r="TGS21" s="2827"/>
      <c r="TGT21" s="2867"/>
      <c r="TGU21" s="2866"/>
      <c r="TGV21" s="2827"/>
      <c r="TGW21" s="2867"/>
      <c r="TGX21" s="2866"/>
      <c r="TGY21" s="2827"/>
      <c r="TGZ21" s="2867"/>
      <c r="THA21" s="2866"/>
      <c r="THB21" s="2827"/>
      <c r="THC21" s="2867"/>
      <c r="THD21" s="2866"/>
      <c r="THE21" s="2827"/>
      <c r="THF21" s="2867"/>
      <c r="THG21" s="2866"/>
      <c r="THH21" s="2827"/>
      <c r="THI21" s="2867"/>
      <c r="THJ21" s="2866"/>
      <c r="THK21" s="2827"/>
      <c r="THL21" s="2867"/>
      <c r="THM21" s="2866"/>
      <c r="THN21" s="2827"/>
      <c r="THO21" s="2867"/>
      <c r="THP21" s="2866"/>
      <c r="THQ21" s="2827"/>
      <c r="THR21" s="2867"/>
      <c r="THS21" s="2866"/>
      <c r="THT21" s="2827"/>
      <c r="THU21" s="2867"/>
      <c r="THV21" s="2866"/>
      <c r="THW21" s="2827"/>
      <c r="THX21" s="2867"/>
      <c r="THY21" s="2866"/>
      <c r="THZ21" s="2827"/>
      <c r="TIA21" s="2867"/>
      <c r="TIB21" s="2866"/>
      <c r="TIC21" s="2827"/>
      <c r="TID21" s="2867"/>
      <c r="TIE21" s="2866"/>
      <c r="TIF21" s="2827"/>
      <c r="TIG21" s="2867"/>
      <c r="TIH21" s="2866"/>
      <c r="TII21" s="2827"/>
      <c r="TIJ21" s="2867"/>
      <c r="TIK21" s="2866"/>
      <c r="TIL21" s="2827"/>
      <c r="TIM21" s="2867"/>
      <c r="TIN21" s="2866"/>
      <c r="TIO21" s="2827"/>
      <c r="TIP21" s="2867"/>
      <c r="TIQ21" s="2866"/>
      <c r="TIR21" s="2827"/>
      <c r="TIS21" s="2867"/>
      <c r="TIT21" s="2866"/>
      <c r="TIU21" s="2827"/>
      <c r="TIV21" s="2867"/>
      <c r="TIW21" s="2866"/>
      <c r="TIX21" s="2827"/>
      <c r="TIY21" s="2867"/>
      <c r="TIZ21" s="2866"/>
      <c r="TJA21" s="2827"/>
      <c r="TJB21" s="2867"/>
      <c r="TJC21" s="2866"/>
      <c r="TJD21" s="2827"/>
      <c r="TJE21" s="2867"/>
      <c r="TJF21" s="2866"/>
      <c r="TJG21" s="2827"/>
      <c r="TJH21" s="2867"/>
      <c r="TJI21" s="2866"/>
      <c r="TJJ21" s="2827"/>
      <c r="TJK21" s="2867"/>
      <c r="TJL21" s="2866"/>
      <c r="TJM21" s="2827"/>
      <c r="TJN21" s="2867"/>
      <c r="TJO21" s="2866"/>
      <c r="TJP21" s="2827"/>
      <c r="TJQ21" s="2867"/>
      <c r="TJR21" s="2866"/>
      <c r="TJS21" s="2827"/>
      <c r="TJT21" s="2867"/>
      <c r="TJU21" s="2866"/>
      <c r="TJV21" s="2827"/>
      <c r="TJW21" s="2867"/>
      <c r="TJX21" s="2866"/>
      <c r="TJY21" s="2827"/>
      <c r="TJZ21" s="2867"/>
      <c r="TKA21" s="2866"/>
      <c r="TKB21" s="2827"/>
      <c r="TKC21" s="2867"/>
      <c r="TKD21" s="2866"/>
      <c r="TKE21" s="2827"/>
      <c r="TKF21" s="2867"/>
      <c r="TKG21" s="2866"/>
      <c r="TKH21" s="2827"/>
      <c r="TKI21" s="2867"/>
      <c r="TKJ21" s="2866"/>
      <c r="TKK21" s="2827"/>
      <c r="TKL21" s="2867"/>
      <c r="TKM21" s="2866"/>
      <c r="TKN21" s="2827"/>
      <c r="TKO21" s="2867"/>
      <c r="TKP21" s="2866"/>
      <c r="TKQ21" s="2827"/>
      <c r="TKR21" s="2867"/>
      <c r="TKS21" s="2866"/>
      <c r="TKT21" s="2827"/>
      <c r="TKU21" s="2867"/>
      <c r="TKV21" s="2866"/>
      <c r="TKW21" s="2827"/>
      <c r="TKX21" s="2867"/>
      <c r="TKY21" s="2866"/>
      <c r="TKZ21" s="2827"/>
      <c r="TLA21" s="2867"/>
      <c r="TLB21" s="2866"/>
      <c r="TLC21" s="2827"/>
      <c r="TLD21" s="2867"/>
      <c r="TLE21" s="2866"/>
      <c r="TLF21" s="2827"/>
      <c r="TLG21" s="2867"/>
      <c r="TLH21" s="2866"/>
      <c r="TLI21" s="2827"/>
      <c r="TLJ21" s="2867"/>
      <c r="TLK21" s="2866"/>
      <c r="TLL21" s="2827"/>
      <c r="TLM21" s="2867"/>
      <c r="TLN21" s="2866"/>
      <c r="TLO21" s="2827"/>
      <c r="TLP21" s="2867"/>
      <c r="TLQ21" s="2866"/>
      <c r="TLR21" s="2827"/>
      <c r="TLS21" s="2867"/>
      <c r="TLT21" s="2866"/>
      <c r="TLU21" s="2827"/>
      <c r="TLV21" s="2867"/>
      <c r="TLW21" s="2866"/>
      <c r="TLX21" s="2827"/>
      <c r="TLY21" s="2867"/>
      <c r="TLZ21" s="2866"/>
      <c r="TMA21" s="2827"/>
      <c r="TMB21" s="2867"/>
      <c r="TMC21" s="2866"/>
      <c r="TMD21" s="2827"/>
      <c r="TME21" s="2867"/>
      <c r="TMF21" s="2866"/>
      <c r="TMG21" s="2827"/>
      <c r="TMH21" s="2867"/>
      <c r="TMI21" s="2866"/>
      <c r="TMJ21" s="2827"/>
      <c r="TMK21" s="2867"/>
      <c r="TML21" s="2866"/>
      <c r="TMM21" s="2827"/>
      <c r="TMN21" s="2867"/>
      <c r="TMO21" s="2866"/>
      <c r="TMP21" s="2827"/>
      <c r="TMQ21" s="2867"/>
      <c r="TMR21" s="2866"/>
      <c r="TMS21" s="2827"/>
      <c r="TMT21" s="2867"/>
      <c r="TMU21" s="2866"/>
      <c r="TMV21" s="2827"/>
      <c r="TMW21" s="2867"/>
      <c r="TMX21" s="2866"/>
      <c r="TMY21" s="2827"/>
      <c r="TMZ21" s="2867"/>
      <c r="TNA21" s="2866"/>
      <c r="TNB21" s="2827"/>
      <c r="TNC21" s="2867"/>
      <c r="TND21" s="2866"/>
      <c r="TNE21" s="2827"/>
      <c r="TNF21" s="2867"/>
      <c r="TNG21" s="2866"/>
      <c r="TNH21" s="2827"/>
      <c r="TNI21" s="2867"/>
      <c r="TNJ21" s="2866"/>
      <c r="TNK21" s="2827"/>
      <c r="TNL21" s="2867"/>
      <c r="TNM21" s="2866"/>
      <c r="TNN21" s="2827"/>
      <c r="TNO21" s="2867"/>
      <c r="TNP21" s="2866"/>
      <c r="TNQ21" s="2827"/>
      <c r="TNR21" s="2867"/>
      <c r="TNS21" s="2866"/>
      <c r="TNT21" s="2827"/>
      <c r="TNU21" s="2867"/>
      <c r="TNV21" s="2866"/>
      <c r="TNW21" s="2827"/>
      <c r="TNX21" s="2867"/>
      <c r="TNY21" s="2866"/>
      <c r="TNZ21" s="2827"/>
      <c r="TOA21" s="2867"/>
      <c r="TOB21" s="2866"/>
      <c r="TOC21" s="2827"/>
      <c r="TOD21" s="2867"/>
      <c r="TOE21" s="2866"/>
      <c r="TOF21" s="2827"/>
      <c r="TOG21" s="2867"/>
      <c r="TOH21" s="2866"/>
      <c r="TOI21" s="2827"/>
      <c r="TOJ21" s="2867"/>
      <c r="TOK21" s="2866"/>
      <c r="TOL21" s="2827"/>
      <c r="TOM21" s="2867"/>
      <c r="TON21" s="2866"/>
      <c r="TOO21" s="2827"/>
      <c r="TOP21" s="2867"/>
      <c r="TOQ21" s="2866"/>
      <c r="TOR21" s="2827"/>
      <c r="TOS21" s="2867"/>
      <c r="TOT21" s="2866"/>
      <c r="TOU21" s="2827"/>
      <c r="TOV21" s="2867"/>
      <c r="TOW21" s="2866"/>
      <c r="TOX21" s="2827"/>
      <c r="TOY21" s="2867"/>
      <c r="TOZ21" s="2866"/>
      <c r="TPA21" s="2827"/>
      <c r="TPB21" s="2867"/>
      <c r="TPC21" s="2866"/>
      <c r="TPD21" s="2827"/>
      <c r="TPE21" s="2867"/>
      <c r="TPF21" s="2866"/>
      <c r="TPG21" s="2827"/>
      <c r="TPH21" s="2867"/>
      <c r="TPI21" s="2866"/>
      <c r="TPJ21" s="2827"/>
      <c r="TPK21" s="2867"/>
      <c r="TPL21" s="2866"/>
      <c r="TPM21" s="2827"/>
      <c r="TPN21" s="2867"/>
      <c r="TPO21" s="2866"/>
      <c r="TPP21" s="2827"/>
      <c r="TPQ21" s="2867"/>
      <c r="TPR21" s="2866"/>
      <c r="TPS21" s="2827"/>
      <c r="TPT21" s="2867"/>
      <c r="TPU21" s="2866"/>
      <c r="TPV21" s="2827"/>
      <c r="TPW21" s="2867"/>
      <c r="TPX21" s="2866"/>
      <c r="TPY21" s="2827"/>
      <c r="TPZ21" s="2867"/>
      <c r="TQA21" s="2866"/>
      <c r="TQB21" s="2827"/>
      <c r="TQC21" s="2867"/>
      <c r="TQD21" s="2866"/>
      <c r="TQE21" s="2827"/>
      <c r="TQF21" s="2867"/>
      <c r="TQG21" s="2866"/>
      <c r="TQH21" s="2827"/>
      <c r="TQI21" s="2867"/>
      <c r="TQJ21" s="2866"/>
      <c r="TQK21" s="2827"/>
      <c r="TQL21" s="2867"/>
      <c r="TQM21" s="2866"/>
      <c r="TQN21" s="2827"/>
      <c r="TQO21" s="2867"/>
      <c r="TQP21" s="2866"/>
      <c r="TQQ21" s="2827"/>
      <c r="TQR21" s="2867"/>
      <c r="TQS21" s="2866"/>
      <c r="TQT21" s="2827"/>
      <c r="TQU21" s="2867"/>
      <c r="TQV21" s="2866"/>
      <c r="TQW21" s="2827"/>
      <c r="TQX21" s="2867"/>
      <c r="TQY21" s="2866"/>
      <c r="TQZ21" s="2827"/>
      <c r="TRA21" s="2867"/>
      <c r="TRB21" s="2866"/>
      <c r="TRC21" s="2827"/>
      <c r="TRD21" s="2867"/>
      <c r="TRE21" s="2866"/>
      <c r="TRF21" s="2827"/>
      <c r="TRG21" s="2867"/>
      <c r="TRH21" s="2866"/>
      <c r="TRI21" s="2827"/>
      <c r="TRJ21" s="2867"/>
      <c r="TRK21" s="2866"/>
      <c r="TRL21" s="2827"/>
      <c r="TRM21" s="2867"/>
      <c r="TRN21" s="2866"/>
      <c r="TRO21" s="2827"/>
      <c r="TRP21" s="2867"/>
      <c r="TRQ21" s="2866"/>
      <c r="TRR21" s="2827"/>
      <c r="TRS21" s="2867"/>
      <c r="TRT21" s="2866"/>
      <c r="TRU21" s="2827"/>
      <c r="TRV21" s="2867"/>
      <c r="TRW21" s="2866"/>
      <c r="TRX21" s="2827"/>
      <c r="TRY21" s="2867"/>
      <c r="TRZ21" s="2866"/>
      <c r="TSA21" s="2827"/>
      <c r="TSB21" s="2867"/>
      <c r="TSC21" s="2866"/>
      <c r="TSD21" s="2827"/>
      <c r="TSE21" s="2867"/>
      <c r="TSF21" s="2866"/>
      <c r="TSG21" s="2827"/>
      <c r="TSH21" s="2867"/>
      <c r="TSI21" s="2866"/>
      <c r="TSJ21" s="2827"/>
      <c r="TSK21" s="2867"/>
      <c r="TSL21" s="2866"/>
      <c r="TSM21" s="2827"/>
      <c r="TSN21" s="2867"/>
      <c r="TSO21" s="2866"/>
      <c r="TSP21" s="2827"/>
      <c r="TSQ21" s="2867"/>
      <c r="TSR21" s="2866"/>
      <c r="TSS21" s="2827"/>
      <c r="TST21" s="2867"/>
      <c r="TSU21" s="2866"/>
      <c r="TSV21" s="2827"/>
      <c r="TSW21" s="2867"/>
      <c r="TSX21" s="2866"/>
      <c r="TSY21" s="2827"/>
      <c r="TSZ21" s="2867"/>
      <c r="TTA21" s="2866"/>
      <c r="TTB21" s="2827"/>
      <c r="TTC21" s="2867"/>
      <c r="TTD21" s="2866"/>
      <c r="TTE21" s="2827"/>
      <c r="TTF21" s="2867"/>
      <c r="TTG21" s="2866"/>
      <c r="TTH21" s="2827"/>
      <c r="TTI21" s="2867"/>
      <c r="TTJ21" s="2866"/>
      <c r="TTK21" s="2827"/>
      <c r="TTL21" s="2867"/>
      <c r="TTM21" s="2866"/>
      <c r="TTN21" s="2827"/>
      <c r="TTO21" s="2867"/>
      <c r="TTP21" s="2866"/>
      <c r="TTQ21" s="2827"/>
      <c r="TTR21" s="2867"/>
      <c r="TTS21" s="2866"/>
      <c r="TTT21" s="2827"/>
      <c r="TTU21" s="2867"/>
      <c r="TTV21" s="2866"/>
      <c r="TTW21" s="2827"/>
      <c r="TTX21" s="2867"/>
      <c r="TTY21" s="2866"/>
      <c r="TTZ21" s="2827"/>
      <c r="TUA21" s="2867"/>
      <c r="TUB21" s="2866"/>
      <c r="TUC21" s="2827"/>
      <c r="TUD21" s="2867"/>
      <c r="TUE21" s="2866"/>
      <c r="TUF21" s="2827"/>
      <c r="TUG21" s="2867"/>
      <c r="TUH21" s="2866"/>
      <c r="TUI21" s="2827"/>
      <c r="TUJ21" s="2867"/>
      <c r="TUK21" s="2866"/>
      <c r="TUL21" s="2827"/>
      <c r="TUM21" s="2867"/>
      <c r="TUN21" s="2866"/>
      <c r="TUO21" s="2827"/>
      <c r="TUP21" s="2867"/>
      <c r="TUQ21" s="2866"/>
      <c r="TUR21" s="2827"/>
      <c r="TUS21" s="2867"/>
      <c r="TUT21" s="2866"/>
      <c r="TUU21" s="2827"/>
      <c r="TUV21" s="2867"/>
      <c r="TUW21" s="2866"/>
      <c r="TUX21" s="2827"/>
      <c r="TUY21" s="2867"/>
      <c r="TUZ21" s="2866"/>
      <c r="TVA21" s="2827"/>
      <c r="TVB21" s="2867"/>
      <c r="TVC21" s="2866"/>
      <c r="TVD21" s="2827"/>
      <c r="TVE21" s="2867"/>
      <c r="TVF21" s="2866"/>
      <c r="TVG21" s="2827"/>
      <c r="TVH21" s="2867"/>
      <c r="TVI21" s="2866"/>
      <c r="TVJ21" s="2827"/>
      <c r="TVK21" s="2867"/>
      <c r="TVL21" s="2866"/>
      <c r="TVM21" s="2827"/>
      <c r="TVN21" s="2867"/>
      <c r="TVO21" s="2866"/>
      <c r="TVP21" s="2827"/>
      <c r="TVQ21" s="2867"/>
      <c r="TVR21" s="2866"/>
      <c r="TVS21" s="2827"/>
      <c r="TVT21" s="2867"/>
      <c r="TVU21" s="2866"/>
      <c r="TVV21" s="2827"/>
      <c r="TVW21" s="2867"/>
      <c r="TVX21" s="2866"/>
      <c r="TVY21" s="2827"/>
      <c r="TVZ21" s="2867"/>
      <c r="TWA21" s="2866"/>
      <c r="TWB21" s="2827"/>
      <c r="TWC21" s="2867"/>
      <c r="TWD21" s="2866"/>
      <c r="TWE21" s="2827"/>
      <c r="TWF21" s="2867"/>
      <c r="TWG21" s="2866"/>
      <c r="TWH21" s="2827"/>
      <c r="TWI21" s="2867"/>
      <c r="TWJ21" s="2866"/>
      <c r="TWK21" s="2827"/>
      <c r="TWL21" s="2867"/>
      <c r="TWM21" s="2866"/>
      <c r="TWN21" s="2827"/>
      <c r="TWO21" s="2867"/>
      <c r="TWP21" s="2866"/>
      <c r="TWQ21" s="2827"/>
      <c r="TWR21" s="2867"/>
      <c r="TWS21" s="2866"/>
      <c r="TWT21" s="2827"/>
      <c r="TWU21" s="2867"/>
      <c r="TWV21" s="2866"/>
      <c r="TWW21" s="2827"/>
      <c r="TWX21" s="2867"/>
      <c r="TWY21" s="2866"/>
      <c r="TWZ21" s="2827"/>
      <c r="TXA21" s="2867"/>
      <c r="TXB21" s="2866"/>
      <c r="TXC21" s="2827"/>
      <c r="TXD21" s="2867"/>
      <c r="TXE21" s="2866"/>
      <c r="TXF21" s="2827"/>
      <c r="TXG21" s="2867"/>
      <c r="TXH21" s="2866"/>
      <c r="TXI21" s="2827"/>
      <c r="TXJ21" s="2867"/>
      <c r="TXK21" s="2866"/>
      <c r="TXL21" s="2827"/>
      <c r="TXM21" s="2867"/>
      <c r="TXN21" s="2866"/>
      <c r="TXO21" s="2827"/>
      <c r="TXP21" s="2867"/>
      <c r="TXQ21" s="2866"/>
      <c r="TXR21" s="2827"/>
      <c r="TXS21" s="2867"/>
      <c r="TXT21" s="2866"/>
      <c r="TXU21" s="2827"/>
      <c r="TXV21" s="2867"/>
      <c r="TXW21" s="2866"/>
      <c r="TXX21" s="2827"/>
      <c r="TXY21" s="2867"/>
      <c r="TXZ21" s="2866"/>
      <c r="TYA21" s="2827"/>
      <c r="TYB21" s="2867"/>
      <c r="TYC21" s="2866"/>
      <c r="TYD21" s="2827"/>
      <c r="TYE21" s="2867"/>
      <c r="TYF21" s="2866"/>
      <c r="TYG21" s="2827"/>
      <c r="TYH21" s="2867"/>
      <c r="TYI21" s="2866"/>
      <c r="TYJ21" s="2827"/>
      <c r="TYK21" s="2867"/>
      <c r="TYL21" s="2866"/>
      <c r="TYM21" s="2827"/>
      <c r="TYN21" s="2867"/>
      <c r="TYO21" s="2866"/>
      <c r="TYP21" s="2827"/>
      <c r="TYQ21" s="2867"/>
      <c r="TYR21" s="2866"/>
      <c r="TYS21" s="2827"/>
      <c r="TYT21" s="2867"/>
      <c r="TYU21" s="2866"/>
      <c r="TYV21" s="2827"/>
      <c r="TYW21" s="2867"/>
      <c r="TYX21" s="2866"/>
      <c r="TYY21" s="2827"/>
      <c r="TYZ21" s="2867"/>
      <c r="TZA21" s="2866"/>
      <c r="TZB21" s="2827"/>
      <c r="TZC21" s="2867"/>
      <c r="TZD21" s="2866"/>
      <c r="TZE21" s="2827"/>
      <c r="TZF21" s="2867"/>
      <c r="TZG21" s="2866"/>
      <c r="TZH21" s="2827"/>
      <c r="TZI21" s="2867"/>
      <c r="TZJ21" s="2866"/>
      <c r="TZK21" s="2827"/>
      <c r="TZL21" s="2867"/>
      <c r="TZM21" s="2866"/>
      <c r="TZN21" s="2827"/>
      <c r="TZO21" s="2867"/>
      <c r="TZP21" s="2866"/>
      <c r="TZQ21" s="2827"/>
      <c r="TZR21" s="2867"/>
      <c r="TZS21" s="2866"/>
      <c r="TZT21" s="2827"/>
      <c r="TZU21" s="2867"/>
      <c r="TZV21" s="2866"/>
      <c r="TZW21" s="2827"/>
      <c r="TZX21" s="2867"/>
      <c r="TZY21" s="2866"/>
      <c r="TZZ21" s="2827"/>
      <c r="UAA21" s="2867"/>
      <c r="UAB21" s="2866"/>
      <c r="UAC21" s="2827"/>
      <c r="UAD21" s="2867"/>
      <c r="UAE21" s="2866"/>
      <c r="UAF21" s="2827"/>
      <c r="UAG21" s="2867"/>
      <c r="UAH21" s="2866"/>
      <c r="UAI21" s="2827"/>
      <c r="UAJ21" s="2867"/>
      <c r="UAK21" s="2866"/>
      <c r="UAL21" s="2827"/>
      <c r="UAM21" s="2867"/>
      <c r="UAN21" s="2866"/>
      <c r="UAO21" s="2827"/>
      <c r="UAP21" s="2867"/>
      <c r="UAQ21" s="2866"/>
      <c r="UAR21" s="2827"/>
      <c r="UAS21" s="2867"/>
      <c r="UAT21" s="2866"/>
      <c r="UAU21" s="2827"/>
      <c r="UAV21" s="2867"/>
      <c r="UAW21" s="2866"/>
      <c r="UAX21" s="2827"/>
      <c r="UAY21" s="2867"/>
      <c r="UAZ21" s="2866"/>
      <c r="UBA21" s="2827"/>
      <c r="UBB21" s="2867"/>
      <c r="UBC21" s="2866"/>
      <c r="UBD21" s="2827"/>
      <c r="UBE21" s="2867"/>
      <c r="UBF21" s="2866"/>
      <c r="UBG21" s="2827"/>
      <c r="UBH21" s="2867"/>
      <c r="UBI21" s="2866"/>
      <c r="UBJ21" s="2827"/>
      <c r="UBK21" s="2867"/>
      <c r="UBL21" s="2866"/>
      <c r="UBM21" s="2827"/>
      <c r="UBN21" s="2867"/>
      <c r="UBO21" s="2866"/>
      <c r="UBP21" s="2827"/>
      <c r="UBQ21" s="2867"/>
      <c r="UBR21" s="2866"/>
      <c r="UBS21" s="2827"/>
      <c r="UBT21" s="2867"/>
      <c r="UBU21" s="2866"/>
      <c r="UBV21" s="2827"/>
      <c r="UBW21" s="2867"/>
      <c r="UBX21" s="2866"/>
      <c r="UBY21" s="2827"/>
      <c r="UBZ21" s="2867"/>
      <c r="UCA21" s="2866"/>
      <c r="UCB21" s="2827"/>
      <c r="UCC21" s="2867"/>
      <c r="UCD21" s="2866"/>
      <c r="UCE21" s="2827"/>
      <c r="UCF21" s="2867"/>
      <c r="UCG21" s="2866"/>
      <c r="UCH21" s="2827"/>
      <c r="UCI21" s="2867"/>
      <c r="UCJ21" s="2866"/>
      <c r="UCK21" s="2827"/>
      <c r="UCL21" s="2867"/>
      <c r="UCM21" s="2866"/>
      <c r="UCN21" s="2827"/>
      <c r="UCO21" s="2867"/>
      <c r="UCP21" s="2866"/>
      <c r="UCQ21" s="2827"/>
      <c r="UCR21" s="2867"/>
      <c r="UCS21" s="2866"/>
      <c r="UCT21" s="2827"/>
      <c r="UCU21" s="2867"/>
      <c r="UCV21" s="2866"/>
      <c r="UCW21" s="2827"/>
      <c r="UCX21" s="2867"/>
      <c r="UCY21" s="2866"/>
      <c r="UCZ21" s="2827"/>
      <c r="UDA21" s="2867"/>
      <c r="UDB21" s="2866"/>
      <c r="UDC21" s="2827"/>
      <c r="UDD21" s="2867"/>
      <c r="UDE21" s="2866"/>
      <c r="UDF21" s="2827"/>
      <c r="UDG21" s="2867"/>
      <c r="UDH21" s="2866"/>
      <c r="UDI21" s="2827"/>
      <c r="UDJ21" s="2867"/>
      <c r="UDK21" s="2866"/>
      <c r="UDL21" s="2827"/>
      <c r="UDM21" s="2867"/>
      <c r="UDN21" s="2866"/>
      <c r="UDO21" s="2827"/>
      <c r="UDP21" s="2867"/>
      <c r="UDQ21" s="2866"/>
      <c r="UDR21" s="2827"/>
      <c r="UDS21" s="2867"/>
      <c r="UDT21" s="2866"/>
      <c r="UDU21" s="2827"/>
      <c r="UDV21" s="2867"/>
      <c r="UDW21" s="2866"/>
      <c r="UDX21" s="2827"/>
      <c r="UDY21" s="2867"/>
      <c r="UDZ21" s="2866"/>
      <c r="UEA21" s="2827"/>
      <c r="UEB21" s="2867"/>
      <c r="UEC21" s="2866"/>
      <c r="UED21" s="2827"/>
      <c r="UEE21" s="2867"/>
      <c r="UEF21" s="2866"/>
      <c r="UEG21" s="2827"/>
      <c r="UEH21" s="2867"/>
      <c r="UEI21" s="2866"/>
      <c r="UEJ21" s="2827"/>
      <c r="UEK21" s="2867"/>
      <c r="UEL21" s="2866"/>
      <c r="UEM21" s="2827"/>
      <c r="UEN21" s="2867"/>
      <c r="UEO21" s="2866"/>
      <c r="UEP21" s="2827"/>
      <c r="UEQ21" s="2867"/>
      <c r="UER21" s="2866"/>
      <c r="UES21" s="2827"/>
      <c r="UET21" s="2867"/>
      <c r="UEU21" s="2866"/>
      <c r="UEV21" s="2827"/>
      <c r="UEW21" s="2867"/>
      <c r="UEX21" s="2866"/>
      <c r="UEY21" s="2827"/>
      <c r="UEZ21" s="2867"/>
      <c r="UFA21" s="2866"/>
      <c r="UFB21" s="2827"/>
      <c r="UFC21" s="2867"/>
      <c r="UFD21" s="2866"/>
      <c r="UFE21" s="2827"/>
      <c r="UFF21" s="2867"/>
      <c r="UFG21" s="2866"/>
      <c r="UFH21" s="2827"/>
      <c r="UFI21" s="2867"/>
      <c r="UFJ21" s="2866"/>
      <c r="UFK21" s="2827"/>
      <c r="UFL21" s="2867"/>
      <c r="UFM21" s="2866"/>
      <c r="UFN21" s="2827"/>
      <c r="UFO21" s="2867"/>
      <c r="UFP21" s="2866"/>
      <c r="UFQ21" s="2827"/>
      <c r="UFR21" s="2867"/>
      <c r="UFS21" s="2866"/>
      <c r="UFT21" s="2827"/>
      <c r="UFU21" s="2867"/>
      <c r="UFV21" s="2866"/>
      <c r="UFW21" s="2827"/>
      <c r="UFX21" s="2867"/>
      <c r="UFY21" s="2866"/>
      <c r="UFZ21" s="2827"/>
      <c r="UGA21" s="2867"/>
      <c r="UGB21" s="2866"/>
      <c r="UGC21" s="2827"/>
      <c r="UGD21" s="2867"/>
      <c r="UGE21" s="2866"/>
      <c r="UGF21" s="2827"/>
      <c r="UGG21" s="2867"/>
      <c r="UGH21" s="2866"/>
      <c r="UGI21" s="2827"/>
      <c r="UGJ21" s="2867"/>
      <c r="UGK21" s="2866"/>
      <c r="UGL21" s="2827"/>
      <c r="UGM21" s="2867"/>
      <c r="UGN21" s="2866"/>
      <c r="UGO21" s="2827"/>
      <c r="UGP21" s="2867"/>
      <c r="UGQ21" s="2866"/>
      <c r="UGR21" s="2827"/>
      <c r="UGS21" s="2867"/>
      <c r="UGT21" s="2866"/>
      <c r="UGU21" s="2827"/>
      <c r="UGV21" s="2867"/>
      <c r="UGW21" s="2866"/>
      <c r="UGX21" s="2827"/>
      <c r="UGY21" s="2867"/>
      <c r="UGZ21" s="2866"/>
      <c r="UHA21" s="2827"/>
      <c r="UHB21" s="2867"/>
      <c r="UHC21" s="2866"/>
      <c r="UHD21" s="2827"/>
      <c r="UHE21" s="2867"/>
      <c r="UHF21" s="2866"/>
      <c r="UHG21" s="2827"/>
      <c r="UHH21" s="2867"/>
      <c r="UHI21" s="2866"/>
      <c r="UHJ21" s="2827"/>
      <c r="UHK21" s="2867"/>
      <c r="UHL21" s="2866"/>
      <c r="UHM21" s="2827"/>
      <c r="UHN21" s="2867"/>
      <c r="UHO21" s="2866"/>
      <c r="UHP21" s="2827"/>
      <c r="UHQ21" s="2867"/>
      <c r="UHR21" s="2866"/>
      <c r="UHS21" s="2827"/>
      <c r="UHT21" s="2867"/>
      <c r="UHU21" s="2866"/>
      <c r="UHV21" s="2827"/>
      <c r="UHW21" s="2867"/>
      <c r="UHX21" s="2866"/>
      <c r="UHY21" s="2827"/>
      <c r="UHZ21" s="2867"/>
      <c r="UIA21" s="2866"/>
      <c r="UIB21" s="2827"/>
      <c r="UIC21" s="2867"/>
      <c r="UID21" s="2866"/>
      <c r="UIE21" s="2827"/>
      <c r="UIF21" s="2867"/>
      <c r="UIG21" s="2866"/>
      <c r="UIH21" s="2827"/>
      <c r="UII21" s="2867"/>
      <c r="UIJ21" s="2866"/>
      <c r="UIK21" s="2827"/>
      <c r="UIL21" s="2867"/>
      <c r="UIM21" s="2866"/>
      <c r="UIN21" s="2827"/>
      <c r="UIO21" s="2867"/>
      <c r="UIP21" s="2866"/>
      <c r="UIQ21" s="2827"/>
      <c r="UIR21" s="2867"/>
      <c r="UIS21" s="2866"/>
      <c r="UIT21" s="2827"/>
      <c r="UIU21" s="2867"/>
      <c r="UIV21" s="2866"/>
      <c r="UIW21" s="2827"/>
      <c r="UIX21" s="2867"/>
      <c r="UIY21" s="2866"/>
      <c r="UIZ21" s="2827"/>
      <c r="UJA21" s="2867"/>
      <c r="UJB21" s="2866"/>
      <c r="UJC21" s="2827"/>
      <c r="UJD21" s="2867"/>
      <c r="UJE21" s="2866"/>
      <c r="UJF21" s="2827"/>
      <c r="UJG21" s="2867"/>
      <c r="UJH21" s="2866"/>
      <c r="UJI21" s="2827"/>
      <c r="UJJ21" s="2867"/>
      <c r="UJK21" s="2866"/>
      <c r="UJL21" s="2827"/>
      <c r="UJM21" s="2867"/>
      <c r="UJN21" s="2866"/>
      <c r="UJO21" s="2827"/>
      <c r="UJP21" s="2867"/>
      <c r="UJQ21" s="2866"/>
      <c r="UJR21" s="2827"/>
      <c r="UJS21" s="2867"/>
      <c r="UJT21" s="2866"/>
      <c r="UJU21" s="2827"/>
      <c r="UJV21" s="2867"/>
      <c r="UJW21" s="2866"/>
      <c r="UJX21" s="2827"/>
      <c r="UJY21" s="2867"/>
      <c r="UJZ21" s="2866"/>
      <c r="UKA21" s="2827"/>
      <c r="UKB21" s="2867"/>
      <c r="UKC21" s="2866"/>
      <c r="UKD21" s="2827"/>
      <c r="UKE21" s="2867"/>
      <c r="UKF21" s="2866"/>
      <c r="UKG21" s="2827"/>
      <c r="UKH21" s="2867"/>
      <c r="UKI21" s="2866"/>
      <c r="UKJ21" s="2827"/>
      <c r="UKK21" s="2867"/>
      <c r="UKL21" s="2866"/>
      <c r="UKM21" s="2827"/>
      <c r="UKN21" s="2867"/>
      <c r="UKO21" s="2866"/>
      <c r="UKP21" s="2827"/>
      <c r="UKQ21" s="2867"/>
      <c r="UKR21" s="2866"/>
      <c r="UKS21" s="2827"/>
      <c r="UKT21" s="2867"/>
      <c r="UKU21" s="2866"/>
      <c r="UKV21" s="2827"/>
      <c r="UKW21" s="2867"/>
      <c r="UKX21" s="2866"/>
      <c r="UKY21" s="2827"/>
      <c r="UKZ21" s="2867"/>
      <c r="ULA21" s="2866"/>
      <c r="ULB21" s="2827"/>
      <c r="ULC21" s="2867"/>
      <c r="ULD21" s="2866"/>
      <c r="ULE21" s="2827"/>
      <c r="ULF21" s="2867"/>
      <c r="ULG21" s="2866"/>
      <c r="ULH21" s="2827"/>
      <c r="ULI21" s="2867"/>
      <c r="ULJ21" s="2866"/>
      <c r="ULK21" s="2827"/>
      <c r="ULL21" s="2867"/>
      <c r="ULM21" s="2866"/>
      <c r="ULN21" s="2827"/>
      <c r="ULO21" s="2867"/>
      <c r="ULP21" s="2866"/>
      <c r="ULQ21" s="2827"/>
      <c r="ULR21" s="2867"/>
      <c r="ULS21" s="2866"/>
      <c r="ULT21" s="2827"/>
      <c r="ULU21" s="2867"/>
      <c r="ULV21" s="2866"/>
      <c r="ULW21" s="2827"/>
      <c r="ULX21" s="2867"/>
      <c r="ULY21" s="2866"/>
      <c r="ULZ21" s="2827"/>
      <c r="UMA21" s="2867"/>
      <c r="UMB21" s="2866"/>
      <c r="UMC21" s="2827"/>
      <c r="UMD21" s="2867"/>
      <c r="UME21" s="2866"/>
      <c r="UMF21" s="2827"/>
      <c r="UMG21" s="2867"/>
      <c r="UMH21" s="2866"/>
      <c r="UMI21" s="2827"/>
      <c r="UMJ21" s="2867"/>
      <c r="UMK21" s="2866"/>
      <c r="UML21" s="2827"/>
      <c r="UMM21" s="2867"/>
      <c r="UMN21" s="2866"/>
      <c r="UMO21" s="2827"/>
      <c r="UMP21" s="2867"/>
      <c r="UMQ21" s="2866"/>
      <c r="UMR21" s="2827"/>
      <c r="UMS21" s="2867"/>
      <c r="UMT21" s="2866"/>
      <c r="UMU21" s="2827"/>
      <c r="UMV21" s="2867"/>
      <c r="UMW21" s="2866"/>
      <c r="UMX21" s="2827"/>
      <c r="UMY21" s="2867"/>
      <c r="UMZ21" s="2866"/>
      <c r="UNA21" s="2827"/>
      <c r="UNB21" s="2867"/>
      <c r="UNC21" s="2866"/>
      <c r="UND21" s="2827"/>
      <c r="UNE21" s="2867"/>
      <c r="UNF21" s="2866"/>
      <c r="UNG21" s="2827"/>
      <c r="UNH21" s="2867"/>
      <c r="UNI21" s="2866"/>
      <c r="UNJ21" s="2827"/>
      <c r="UNK21" s="2867"/>
      <c r="UNL21" s="2866"/>
      <c r="UNM21" s="2827"/>
      <c r="UNN21" s="2867"/>
      <c r="UNO21" s="2866"/>
      <c r="UNP21" s="2827"/>
      <c r="UNQ21" s="2867"/>
      <c r="UNR21" s="2866"/>
      <c r="UNS21" s="2827"/>
      <c r="UNT21" s="2867"/>
      <c r="UNU21" s="2866"/>
      <c r="UNV21" s="2827"/>
      <c r="UNW21" s="2867"/>
      <c r="UNX21" s="2866"/>
      <c r="UNY21" s="2827"/>
      <c r="UNZ21" s="2867"/>
      <c r="UOA21" s="2866"/>
      <c r="UOB21" s="2827"/>
      <c r="UOC21" s="2867"/>
      <c r="UOD21" s="2866"/>
      <c r="UOE21" s="2827"/>
      <c r="UOF21" s="2867"/>
      <c r="UOG21" s="2866"/>
      <c r="UOH21" s="2827"/>
      <c r="UOI21" s="2867"/>
      <c r="UOJ21" s="2866"/>
      <c r="UOK21" s="2827"/>
      <c r="UOL21" s="2867"/>
      <c r="UOM21" s="2866"/>
      <c r="UON21" s="2827"/>
      <c r="UOO21" s="2867"/>
      <c r="UOP21" s="2866"/>
      <c r="UOQ21" s="2827"/>
      <c r="UOR21" s="2867"/>
      <c r="UOS21" s="2866"/>
      <c r="UOT21" s="2827"/>
      <c r="UOU21" s="2867"/>
      <c r="UOV21" s="2866"/>
      <c r="UOW21" s="2827"/>
      <c r="UOX21" s="2867"/>
      <c r="UOY21" s="2866"/>
      <c r="UOZ21" s="2827"/>
      <c r="UPA21" s="2867"/>
      <c r="UPB21" s="2866"/>
      <c r="UPC21" s="2827"/>
      <c r="UPD21" s="2867"/>
      <c r="UPE21" s="2866"/>
      <c r="UPF21" s="2827"/>
      <c r="UPG21" s="2867"/>
      <c r="UPH21" s="2866"/>
      <c r="UPI21" s="2827"/>
      <c r="UPJ21" s="2867"/>
      <c r="UPK21" s="2866"/>
      <c r="UPL21" s="2827"/>
      <c r="UPM21" s="2867"/>
      <c r="UPN21" s="2866"/>
      <c r="UPO21" s="2827"/>
      <c r="UPP21" s="2867"/>
      <c r="UPQ21" s="2866"/>
      <c r="UPR21" s="2827"/>
      <c r="UPS21" s="2867"/>
      <c r="UPT21" s="2866"/>
      <c r="UPU21" s="2827"/>
      <c r="UPV21" s="2867"/>
      <c r="UPW21" s="2866"/>
      <c r="UPX21" s="2827"/>
      <c r="UPY21" s="2867"/>
      <c r="UPZ21" s="2866"/>
      <c r="UQA21" s="2827"/>
      <c r="UQB21" s="2867"/>
      <c r="UQC21" s="2866"/>
      <c r="UQD21" s="2827"/>
      <c r="UQE21" s="2867"/>
      <c r="UQF21" s="2866"/>
      <c r="UQG21" s="2827"/>
      <c r="UQH21" s="2867"/>
      <c r="UQI21" s="2866"/>
      <c r="UQJ21" s="2827"/>
      <c r="UQK21" s="2867"/>
      <c r="UQL21" s="2866"/>
      <c r="UQM21" s="2827"/>
      <c r="UQN21" s="2867"/>
      <c r="UQO21" s="2866"/>
      <c r="UQP21" s="2827"/>
      <c r="UQQ21" s="2867"/>
      <c r="UQR21" s="2866"/>
      <c r="UQS21" s="2827"/>
      <c r="UQT21" s="2867"/>
      <c r="UQU21" s="2866"/>
      <c r="UQV21" s="2827"/>
      <c r="UQW21" s="2867"/>
      <c r="UQX21" s="2866"/>
      <c r="UQY21" s="2827"/>
      <c r="UQZ21" s="2867"/>
      <c r="URA21" s="2866"/>
      <c r="URB21" s="2827"/>
      <c r="URC21" s="2867"/>
      <c r="URD21" s="2866"/>
      <c r="URE21" s="2827"/>
      <c r="URF21" s="2867"/>
      <c r="URG21" s="2866"/>
      <c r="URH21" s="2827"/>
      <c r="URI21" s="2867"/>
      <c r="URJ21" s="2866"/>
      <c r="URK21" s="2827"/>
      <c r="URL21" s="2867"/>
      <c r="URM21" s="2866"/>
      <c r="URN21" s="2827"/>
      <c r="URO21" s="2867"/>
      <c r="URP21" s="2866"/>
      <c r="URQ21" s="2827"/>
      <c r="URR21" s="2867"/>
      <c r="URS21" s="2866"/>
      <c r="URT21" s="2827"/>
      <c r="URU21" s="2867"/>
      <c r="URV21" s="2866"/>
      <c r="URW21" s="2827"/>
      <c r="URX21" s="2867"/>
      <c r="URY21" s="2866"/>
      <c r="URZ21" s="2827"/>
      <c r="USA21" s="2867"/>
      <c r="USB21" s="2866"/>
      <c r="USC21" s="2827"/>
      <c r="USD21" s="2867"/>
      <c r="USE21" s="2866"/>
      <c r="USF21" s="2827"/>
      <c r="USG21" s="2867"/>
      <c r="USH21" s="2866"/>
      <c r="USI21" s="2827"/>
      <c r="USJ21" s="2867"/>
      <c r="USK21" s="2866"/>
      <c r="USL21" s="2827"/>
      <c r="USM21" s="2867"/>
      <c r="USN21" s="2866"/>
      <c r="USO21" s="2827"/>
      <c r="USP21" s="2867"/>
      <c r="USQ21" s="2866"/>
      <c r="USR21" s="2827"/>
      <c r="USS21" s="2867"/>
      <c r="UST21" s="2866"/>
      <c r="USU21" s="2827"/>
      <c r="USV21" s="2867"/>
      <c r="USW21" s="2866"/>
      <c r="USX21" s="2827"/>
      <c r="USY21" s="2867"/>
      <c r="USZ21" s="2866"/>
      <c r="UTA21" s="2827"/>
      <c r="UTB21" s="2867"/>
      <c r="UTC21" s="2866"/>
      <c r="UTD21" s="2827"/>
      <c r="UTE21" s="2867"/>
      <c r="UTF21" s="2866"/>
      <c r="UTG21" s="2827"/>
      <c r="UTH21" s="2867"/>
      <c r="UTI21" s="2866"/>
      <c r="UTJ21" s="2827"/>
      <c r="UTK21" s="2867"/>
      <c r="UTL21" s="2866"/>
      <c r="UTM21" s="2827"/>
      <c r="UTN21" s="2867"/>
      <c r="UTO21" s="2866"/>
      <c r="UTP21" s="2827"/>
      <c r="UTQ21" s="2867"/>
      <c r="UTR21" s="2866"/>
      <c r="UTS21" s="2827"/>
      <c r="UTT21" s="2867"/>
      <c r="UTU21" s="2866"/>
      <c r="UTV21" s="2827"/>
      <c r="UTW21" s="2867"/>
      <c r="UTX21" s="2866"/>
      <c r="UTY21" s="2827"/>
      <c r="UTZ21" s="2867"/>
      <c r="UUA21" s="2866"/>
      <c r="UUB21" s="2827"/>
      <c r="UUC21" s="2867"/>
      <c r="UUD21" s="2866"/>
      <c r="UUE21" s="2827"/>
      <c r="UUF21" s="2867"/>
      <c r="UUG21" s="2866"/>
      <c r="UUH21" s="2827"/>
      <c r="UUI21" s="2867"/>
      <c r="UUJ21" s="2866"/>
      <c r="UUK21" s="2827"/>
      <c r="UUL21" s="2867"/>
      <c r="UUM21" s="2866"/>
      <c r="UUN21" s="2827"/>
      <c r="UUO21" s="2867"/>
      <c r="UUP21" s="2866"/>
      <c r="UUQ21" s="2827"/>
      <c r="UUR21" s="2867"/>
      <c r="UUS21" s="2866"/>
      <c r="UUT21" s="2827"/>
      <c r="UUU21" s="2867"/>
      <c r="UUV21" s="2866"/>
      <c r="UUW21" s="2827"/>
      <c r="UUX21" s="2867"/>
      <c r="UUY21" s="2866"/>
      <c r="UUZ21" s="2827"/>
      <c r="UVA21" s="2867"/>
      <c r="UVB21" s="2866"/>
      <c r="UVC21" s="2827"/>
      <c r="UVD21" s="2867"/>
      <c r="UVE21" s="2866"/>
      <c r="UVF21" s="2827"/>
      <c r="UVG21" s="2867"/>
      <c r="UVH21" s="2866"/>
      <c r="UVI21" s="2827"/>
      <c r="UVJ21" s="2867"/>
      <c r="UVK21" s="2866"/>
      <c r="UVL21" s="2827"/>
      <c r="UVM21" s="2867"/>
      <c r="UVN21" s="2866"/>
      <c r="UVO21" s="2827"/>
      <c r="UVP21" s="2867"/>
      <c r="UVQ21" s="2866"/>
      <c r="UVR21" s="2827"/>
      <c r="UVS21" s="2867"/>
      <c r="UVT21" s="2866"/>
      <c r="UVU21" s="2827"/>
      <c r="UVV21" s="2867"/>
      <c r="UVW21" s="2866"/>
      <c r="UVX21" s="2827"/>
      <c r="UVY21" s="2867"/>
      <c r="UVZ21" s="2866"/>
      <c r="UWA21" s="2827"/>
      <c r="UWB21" s="2867"/>
      <c r="UWC21" s="2866"/>
      <c r="UWD21" s="2827"/>
      <c r="UWE21" s="2867"/>
      <c r="UWF21" s="2866"/>
      <c r="UWG21" s="2827"/>
      <c r="UWH21" s="2867"/>
      <c r="UWI21" s="2866"/>
      <c r="UWJ21" s="2827"/>
      <c r="UWK21" s="2867"/>
      <c r="UWL21" s="2866"/>
      <c r="UWM21" s="2827"/>
      <c r="UWN21" s="2867"/>
      <c r="UWO21" s="2866"/>
      <c r="UWP21" s="2827"/>
      <c r="UWQ21" s="2867"/>
      <c r="UWR21" s="2866"/>
      <c r="UWS21" s="2827"/>
      <c r="UWT21" s="2867"/>
      <c r="UWU21" s="2866"/>
      <c r="UWV21" s="2827"/>
      <c r="UWW21" s="2867"/>
      <c r="UWX21" s="2866"/>
      <c r="UWY21" s="2827"/>
      <c r="UWZ21" s="2867"/>
      <c r="UXA21" s="2866"/>
      <c r="UXB21" s="2827"/>
      <c r="UXC21" s="2867"/>
      <c r="UXD21" s="2866"/>
      <c r="UXE21" s="2827"/>
      <c r="UXF21" s="2867"/>
      <c r="UXG21" s="2866"/>
      <c r="UXH21" s="2827"/>
      <c r="UXI21" s="2867"/>
      <c r="UXJ21" s="2866"/>
      <c r="UXK21" s="2827"/>
      <c r="UXL21" s="2867"/>
      <c r="UXM21" s="2866"/>
      <c r="UXN21" s="2827"/>
      <c r="UXO21" s="2867"/>
      <c r="UXP21" s="2866"/>
      <c r="UXQ21" s="2827"/>
      <c r="UXR21" s="2867"/>
      <c r="UXS21" s="2866"/>
      <c r="UXT21" s="2827"/>
      <c r="UXU21" s="2867"/>
      <c r="UXV21" s="2866"/>
      <c r="UXW21" s="2827"/>
      <c r="UXX21" s="2867"/>
      <c r="UXY21" s="2866"/>
      <c r="UXZ21" s="2827"/>
      <c r="UYA21" s="2867"/>
      <c r="UYB21" s="2866"/>
      <c r="UYC21" s="2827"/>
      <c r="UYD21" s="2867"/>
      <c r="UYE21" s="2866"/>
      <c r="UYF21" s="2827"/>
      <c r="UYG21" s="2867"/>
      <c r="UYH21" s="2866"/>
      <c r="UYI21" s="2827"/>
      <c r="UYJ21" s="2867"/>
      <c r="UYK21" s="2866"/>
      <c r="UYL21" s="2827"/>
      <c r="UYM21" s="2867"/>
      <c r="UYN21" s="2866"/>
      <c r="UYO21" s="2827"/>
      <c r="UYP21" s="2867"/>
      <c r="UYQ21" s="2866"/>
      <c r="UYR21" s="2827"/>
      <c r="UYS21" s="2867"/>
      <c r="UYT21" s="2866"/>
      <c r="UYU21" s="2827"/>
      <c r="UYV21" s="2867"/>
      <c r="UYW21" s="2866"/>
      <c r="UYX21" s="2827"/>
      <c r="UYY21" s="2867"/>
      <c r="UYZ21" s="2866"/>
      <c r="UZA21" s="2827"/>
      <c r="UZB21" s="2867"/>
      <c r="UZC21" s="2866"/>
      <c r="UZD21" s="2827"/>
      <c r="UZE21" s="2867"/>
      <c r="UZF21" s="2866"/>
      <c r="UZG21" s="2827"/>
      <c r="UZH21" s="2867"/>
      <c r="UZI21" s="2866"/>
      <c r="UZJ21" s="2827"/>
      <c r="UZK21" s="2867"/>
      <c r="UZL21" s="2866"/>
      <c r="UZM21" s="2827"/>
      <c r="UZN21" s="2867"/>
      <c r="UZO21" s="2866"/>
      <c r="UZP21" s="2827"/>
      <c r="UZQ21" s="2867"/>
      <c r="UZR21" s="2866"/>
      <c r="UZS21" s="2827"/>
      <c r="UZT21" s="2867"/>
      <c r="UZU21" s="2866"/>
      <c r="UZV21" s="2827"/>
      <c r="UZW21" s="2867"/>
      <c r="UZX21" s="2866"/>
      <c r="UZY21" s="2827"/>
      <c r="UZZ21" s="2867"/>
      <c r="VAA21" s="2866"/>
      <c r="VAB21" s="2827"/>
      <c r="VAC21" s="2867"/>
      <c r="VAD21" s="2866"/>
      <c r="VAE21" s="2827"/>
      <c r="VAF21" s="2867"/>
      <c r="VAG21" s="2866"/>
      <c r="VAH21" s="2827"/>
      <c r="VAI21" s="2867"/>
      <c r="VAJ21" s="2866"/>
      <c r="VAK21" s="2827"/>
      <c r="VAL21" s="2867"/>
      <c r="VAM21" s="2866"/>
      <c r="VAN21" s="2827"/>
      <c r="VAO21" s="2867"/>
      <c r="VAP21" s="2866"/>
      <c r="VAQ21" s="2827"/>
      <c r="VAR21" s="2867"/>
      <c r="VAS21" s="2866"/>
      <c r="VAT21" s="2827"/>
      <c r="VAU21" s="2867"/>
      <c r="VAV21" s="2866"/>
      <c r="VAW21" s="2827"/>
      <c r="VAX21" s="2867"/>
      <c r="VAY21" s="2866"/>
      <c r="VAZ21" s="2827"/>
      <c r="VBA21" s="2867"/>
      <c r="VBB21" s="2866"/>
      <c r="VBC21" s="2827"/>
      <c r="VBD21" s="2867"/>
      <c r="VBE21" s="2866"/>
      <c r="VBF21" s="2827"/>
      <c r="VBG21" s="2867"/>
      <c r="VBH21" s="2866"/>
      <c r="VBI21" s="2827"/>
      <c r="VBJ21" s="2867"/>
      <c r="VBK21" s="2866"/>
      <c r="VBL21" s="2827"/>
      <c r="VBM21" s="2867"/>
      <c r="VBN21" s="2866"/>
      <c r="VBO21" s="2827"/>
      <c r="VBP21" s="2867"/>
      <c r="VBQ21" s="2866"/>
      <c r="VBR21" s="2827"/>
      <c r="VBS21" s="2867"/>
      <c r="VBT21" s="2866"/>
      <c r="VBU21" s="2827"/>
      <c r="VBV21" s="2867"/>
      <c r="VBW21" s="2866"/>
      <c r="VBX21" s="2827"/>
      <c r="VBY21" s="2867"/>
      <c r="VBZ21" s="2866"/>
      <c r="VCA21" s="2827"/>
      <c r="VCB21" s="2867"/>
      <c r="VCC21" s="2866"/>
      <c r="VCD21" s="2827"/>
      <c r="VCE21" s="2867"/>
      <c r="VCF21" s="2866"/>
      <c r="VCG21" s="2827"/>
      <c r="VCH21" s="2867"/>
      <c r="VCI21" s="2866"/>
      <c r="VCJ21" s="2827"/>
      <c r="VCK21" s="2867"/>
      <c r="VCL21" s="2866"/>
      <c r="VCM21" s="2827"/>
      <c r="VCN21" s="2867"/>
      <c r="VCO21" s="2866"/>
      <c r="VCP21" s="2827"/>
      <c r="VCQ21" s="2867"/>
      <c r="VCR21" s="2866"/>
      <c r="VCS21" s="2827"/>
      <c r="VCT21" s="2867"/>
      <c r="VCU21" s="2866"/>
      <c r="VCV21" s="2827"/>
      <c r="VCW21" s="2867"/>
      <c r="VCX21" s="2866"/>
      <c r="VCY21" s="2827"/>
      <c r="VCZ21" s="2867"/>
      <c r="VDA21" s="2866"/>
      <c r="VDB21" s="2827"/>
      <c r="VDC21" s="2867"/>
      <c r="VDD21" s="2866"/>
      <c r="VDE21" s="2827"/>
      <c r="VDF21" s="2867"/>
      <c r="VDG21" s="2866"/>
      <c r="VDH21" s="2827"/>
      <c r="VDI21" s="2867"/>
      <c r="VDJ21" s="2866"/>
      <c r="VDK21" s="2827"/>
      <c r="VDL21" s="2867"/>
      <c r="VDM21" s="2866"/>
      <c r="VDN21" s="2827"/>
      <c r="VDO21" s="2867"/>
      <c r="VDP21" s="2866"/>
      <c r="VDQ21" s="2827"/>
      <c r="VDR21" s="2867"/>
      <c r="VDS21" s="2866"/>
      <c r="VDT21" s="2827"/>
      <c r="VDU21" s="2867"/>
      <c r="VDV21" s="2866"/>
      <c r="VDW21" s="2827"/>
      <c r="VDX21" s="2867"/>
      <c r="VDY21" s="2866"/>
      <c r="VDZ21" s="2827"/>
      <c r="VEA21" s="2867"/>
      <c r="VEB21" s="2866"/>
      <c r="VEC21" s="2827"/>
      <c r="VED21" s="2867"/>
      <c r="VEE21" s="2866"/>
      <c r="VEF21" s="2827"/>
      <c r="VEG21" s="2867"/>
      <c r="VEH21" s="2866"/>
      <c r="VEI21" s="2827"/>
      <c r="VEJ21" s="2867"/>
      <c r="VEK21" s="2866"/>
      <c r="VEL21" s="2827"/>
      <c r="VEM21" s="2867"/>
      <c r="VEN21" s="2866"/>
      <c r="VEO21" s="2827"/>
      <c r="VEP21" s="2867"/>
      <c r="VEQ21" s="2866"/>
      <c r="VER21" s="2827"/>
      <c r="VES21" s="2867"/>
      <c r="VET21" s="2866"/>
      <c r="VEU21" s="2827"/>
      <c r="VEV21" s="2867"/>
      <c r="VEW21" s="2866"/>
      <c r="VEX21" s="2827"/>
      <c r="VEY21" s="2867"/>
      <c r="VEZ21" s="2866"/>
      <c r="VFA21" s="2827"/>
      <c r="VFB21" s="2867"/>
      <c r="VFC21" s="2866"/>
      <c r="VFD21" s="2827"/>
      <c r="VFE21" s="2867"/>
      <c r="VFF21" s="2866"/>
      <c r="VFG21" s="2827"/>
      <c r="VFH21" s="2867"/>
      <c r="VFI21" s="2866"/>
      <c r="VFJ21" s="2827"/>
      <c r="VFK21" s="2867"/>
      <c r="VFL21" s="2866"/>
      <c r="VFM21" s="2827"/>
      <c r="VFN21" s="2867"/>
      <c r="VFO21" s="2866"/>
      <c r="VFP21" s="2827"/>
      <c r="VFQ21" s="2867"/>
      <c r="VFR21" s="2866"/>
      <c r="VFS21" s="2827"/>
      <c r="VFT21" s="2867"/>
      <c r="VFU21" s="2866"/>
      <c r="VFV21" s="2827"/>
      <c r="VFW21" s="2867"/>
      <c r="VFX21" s="2866"/>
      <c r="VFY21" s="2827"/>
      <c r="VFZ21" s="2867"/>
      <c r="VGA21" s="2866"/>
      <c r="VGB21" s="2827"/>
      <c r="VGC21" s="2867"/>
      <c r="VGD21" s="2866"/>
      <c r="VGE21" s="2827"/>
      <c r="VGF21" s="2867"/>
      <c r="VGG21" s="2866"/>
      <c r="VGH21" s="2827"/>
      <c r="VGI21" s="2867"/>
      <c r="VGJ21" s="2866"/>
      <c r="VGK21" s="2827"/>
      <c r="VGL21" s="2867"/>
      <c r="VGM21" s="2866"/>
      <c r="VGN21" s="2827"/>
      <c r="VGO21" s="2867"/>
      <c r="VGP21" s="2866"/>
      <c r="VGQ21" s="2827"/>
      <c r="VGR21" s="2867"/>
      <c r="VGS21" s="2866"/>
      <c r="VGT21" s="2827"/>
      <c r="VGU21" s="2867"/>
      <c r="VGV21" s="2866"/>
      <c r="VGW21" s="2827"/>
      <c r="VGX21" s="2867"/>
      <c r="VGY21" s="2866"/>
      <c r="VGZ21" s="2827"/>
      <c r="VHA21" s="2867"/>
      <c r="VHB21" s="2866"/>
      <c r="VHC21" s="2827"/>
      <c r="VHD21" s="2867"/>
      <c r="VHE21" s="2866"/>
      <c r="VHF21" s="2827"/>
      <c r="VHG21" s="2867"/>
      <c r="VHH21" s="2866"/>
      <c r="VHI21" s="2827"/>
      <c r="VHJ21" s="2867"/>
      <c r="VHK21" s="2866"/>
      <c r="VHL21" s="2827"/>
      <c r="VHM21" s="2867"/>
      <c r="VHN21" s="2866"/>
      <c r="VHO21" s="2827"/>
      <c r="VHP21" s="2867"/>
      <c r="VHQ21" s="2866"/>
      <c r="VHR21" s="2827"/>
      <c r="VHS21" s="2867"/>
      <c r="VHT21" s="2866"/>
      <c r="VHU21" s="2827"/>
      <c r="VHV21" s="2867"/>
      <c r="VHW21" s="2866"/>
      <c r="VHX21" s="2827"/>
      <c r="VHY21" s="2867"/>
      <c r="VHZ21" s="2866"/>
      <c r="VIA21" s="2827"/>
      <c r="VIB21" s="2867"/>
      <c r="VIC21" s="2866"/>
      <c r="VID21" s="2827"/>
      <c r="VIE21" s="2867"/>
      <c r="VIF21" s="2866"/>
      <c r="VIG21" s="2827"/>
      <c r="VIH21" s="2867"/>
      <c r="VII21" s="2866"/>
      <c r="VIJ21" s="2827"/>
      <c r="VIK21" s="2867"/>
      <c r="VIL21" s="2866"/>
      <c r="VIM21" s="2827"/>
      <c r="VIN21" s="2867"/>
      <c r="VIO21" s="2866"/>
      <c r="VIP21" s="2827"/>
      <c r="VIQ21" s="2867"/>
      <c r="VIR21" s="2866"/>
      <c r="VIS21" s="2827"/>
      <c r="VIT21" s="2867"/>
      <c r="VIU21" s="2866"/>
      <c r="VIV21" s="2827"/>
      <c r="VIW21" s="2867"/>
      <c r="VIX21" s="2866"/>
      <c r="VIY21" s="2827"/>
      <c r="VIZ21" s="2867"/>
      <c r="VJA21" s="2866"/>
      <c r="VJB21" s="2827"/>
      <c r="VJC21" s="2867"/>
      <c r="VJD21" s="2866"/>
      <c r="VJE21" s="2827"/>
      <c r="VJF21" s="2867"/>
      <c r="VJG21" s="2866"/>
      <c r="VJH21" s="2827"/>
      <c r="VJI21" s="2867"/>
      <c r="VJJ21" s="2866"/>
      <c r="VJK21" s="2827"/>
      <c r="VJL21" s="2867"/>
      <c r="VJM21" s="2866"/>
      <c r="VJN21" s="2827"/>
      <c r="VJO21" s="2867"/>
      <c r="VJP21" s="2866"/>
      <c r="VJQ21" s="2827"/>
      <c r="VJR21" s="2867"/>
      <c r="VJS21" s="2866"/>
      <c r="VJT21" s="2827"/>
      <c r="VJU21" s="2867"/>
      <c r="VJV21" s="2866"/>
      <c r="VJW21" s="2827"/>
      <c r="VJX21" s="2867"/>
      <c r="VJY21" s="2866"/>
      <c r="VJZ21" s="2827"/>
      <c r="VKA21" s="2867"/>
      <c r="VKB21" s="2866"/>
      <c r="VKC21" s="2827"/>
      <c r="VKD21" s="2867"/>
      <c r="VKE21" s="2866"/>
      <c r="VKF21" s="2827"/>
      <c r="VKG21" s="2867"/>
      <c r="VKH21" s="2866"/>
      <c r="VKI21" s="2827"/>
      <c r="VKJ21" s="2867"/>
      <c r="VKK21" s="2866"/>
      <c r="VKL21" s="2827"/>
      <c r="VKM21" s="2867"/>
      <c r="VKN21" s="2866"/>
      <c r="VKO21" s="2827"/>
      <c r="VKP21" s="2867"/>
      <c r="VKQ21" s="2866"/>
      <c r="VKR21" s="2827"/>
      <c r="VKS21" s="2867"/>
      <c r="VKT21" s="2866"/>
      <c r="VKU21" s="2827"/>
      <c r="VKV21" s="2867"/>
      <c r="VKW21" s="2866"/>
      <c r="VKX21" s="2827"/>
      <c r="VKY21" s="2867"/>
      <c r="VKZ21" s="2866"/>
      <c r="VLA21" s="2827"/>
      <c r="VLB21" s="2867"/>
      <c r="VLC21" s="2866"/>
      <c r="VLD21" s="2827"/>
      <c r="VLE21" s="2867"/>
      <c r="VLF21" s="2866"/>
      <c r="VLG21" s="2827"/>
      <c r="VLH21" s="2867"/>
      <c r="VLI21" s="2866"/>
      <c r="VLJ21" s="2827"/>
      <c r="VLK21" s="2867"/>
      <c r="VLL21" s="2866"/>
      <c r="VLM21" s="2827"/>
      <c r="VLN21" s="2867"/>
      <c r="VLO21" s="2866"/>
      <c r="VLP21" s="2827"/>
      <c r="VLQ21" s="2867"/>
      <c r="VLR21" s="2866"/>
      <c r="VLS21" s="2827"/>
      <c r="VLT21" s="2867"/>
      <c r="VLU21" s="2866"/>
      <c r="VLV21" s="2827"/>
      <c r="VLW21" s="2867"/>
      <c r="VLX21" s="2866"/>
      <c r="VLY21" s="2827"/>
      <c r="VLZ21" s="2867"/>
      <c r="VMA21" s="2866"/>
      <c r="VMB21" s="2827"/>
      <c r="VMC21" s="2867"/>
      <c r="VMD21" s="2866"/>
      <c r="VME21" s="2827"/>
      <c r="VMF21" s="2867"/>
      <c r="VMG21" s="2866"/>
      <c r="VMH21" s="2827"/>
      <c r="VMI21" s="2867"/>
      <c r="VMJ21" s="2866"/>
      <c r="VMK21" s="2827"/>
      <c r="VML21" s="2867"/>
      <c r="VMM21" s="2866"/>
      <c r="VMN21" s="2827"/>
      <c r="VMO21" s="2867"/>
      <c r="VMP21" s="2866"/>
      <c r="VMQ21" s="2827"/>
      <c r="VMR21" s="2867"/>
      <c r="VMS21" s="2866"/>
      <c r="VMT21" s="2827"/>
      <c r="VMU21" s="2867"/>
      <c r="VMV21" s="2866"/>
      <c r="VMW21" s="2827"/>
      <c r="VMX21" s="2867"/>
      <c r="VMY21" s="2866"/>
      <c r="VMZ21" s="2827"/>
      <c r="VNA21" s="2867"/>
      <c r="VNB21" s="2866"/>
      <c r="VNC21" s="2827"/>
      <c r="VND21" s="2867"/>
      <c r="VNE21" s="2866"/>
      <c r="VNF21" s="2827"/>
      <c r="VNG21" s="2867"/>
      <c r="VNH21" s="2866"/>
      <c r="VNI21" s="2827"/>
      <c r="VNJ21" s="2867"/>
      <c r="VNK21" s="2866"/>
      <c r="VNL21" s="2827"/>
      <c r="VNM21" s="2867"/>
      <c r="VNN21" s="2866"/>
      <c r="VNO21" s="2827"/>
      <c r="VNP21" s="2867"/>
      <c r="VNQ21" s="2866"/>
      <c r="VNR21" s="2827"/>
      <c r="VNS21" s="2867"/>
      <c r="VNT21" s="2866"/>
      <c r="VNU21" s="2827"/>
      <c r="VNV21" s="2867"/>
      <c r="VNW21" s="2866"/>
      <c r="VNX21" s="2827"/>
      <c r="VNY21" s="2867"/>
      <c r="VNZ21" s="2866"/>
      <c r="VOA21" s="2827"/>
      <c r="VOB21" s="2867"/>
      <c r="VOC21" s="2866"/>
      <c r="VOD21" s="2827"/>
      <c r="VOE21" s="2867"/>
      <c r="VOF21" s="2866"/>
      <c r="VOG21" s="2827"/>
      <c r="VOH21" s="2867"/>
      <c r="VOI21" s="2866"/>
      <c r="VOJ21" s="2827"/>
      <c r="VOK21" s="2867"/>
      <c r="VOL21" s="2866"/>
      <c r="VOM21" s="2827"/>
      <c r="VON21" s="2867"/>
      <c r="VOO21" s="2866"/>
      <c r="VOP21" s="2827"/>
      <c r="VOQ21" s="2867"/>
      <c r="VOR21" s="2866"/>
      <c r="VOS21" s="2827"/>
      <c r="VOT21" s="2867"/>
      <c r="VOU21" s="2866"/>
      <c r="VOV21" s="2827"/>
      <c r="VOW21" s="2867"/>
      <c r="VOX21" s="2866"/>
      <c r="VOY21" s="2827"/>
      <c r="VOZ21" s="2867"/>
      <c r="VPA21" s="2866"/>
      <c r="VPB21" s="2827"/>
      <c r="VPC21" s="2867"/>
      <c r="VPD21" s="2866"/>
      <c r="VPE21" s="2827"/>
      <c r="VPF21" s="2867"/>
      <c r="VPG21" s="2866"/>
      <c r="VPH21" s="2827"/>
      <c r="VPI21" s="2867"/>
      <c r="VPJ21" s="2866"/>
      <c r="VPK21" s="2827"/>
      <c r="VPL21" s="2867"/>
      <c r="VPM21" s="2866"/>
      <c r="VPN21" s="2827"/>
      <c r="VPO21" s="2867"/>
      <c r="VPP21" s="2866"/>
      <c r="VPQ21" s="2827"/>
      <c r="VPR21" s="2867"/>
      <c r="VPS21" s="2866"/>
      <c r="VPT21" s="2827"/>
      <c r="VPU21" s="2867"/>
      <c r="VPV21" s="2866"/>
      <c r="VPW21" s="2827"/>
      <c r="VPX21" s="2867"/>
      <c r="VPY21" s="2866"/>
      <c r="VPZ21" s="2827"/>
      <c r="VQA21" s="2867"/>
      <c r="VQB21" s="2866"/>
      <c r="VQC21" s="2827"/>
      <c r="VQD21" s="2867"/>
      <c r="VQE21" s="2866"/>
      <c r="VQF21" s="2827"/>
      <c r="VQG21" s="2867"/>
      <c r="VQH21" s="2866"/>
      <c r="VQI21" s="2827"/>
      <c r="VQJ21" s="2867"/>
      <c r="VQK21" s="2866"/>
      <c r="VQL21" s="2827"/>
      <c r="VQM21" s="2867"/>
      <c r="VQN21" s="2866"/>
      <c r="VQO21" s="2827"/>
      <c r="VQP21" s="2867"/>
      <c r="VQQ21" s="2866"/>
      <c r="VQR21" s="2827"/>
      <c r="VQS21" s="2867"/>
      <c r="VQT21" s="2866"/>
      <c r="VQU21" s="2827"/>
      <c r="VQV21" s="2867"/>
      <c r="VQW21" s="2866"/>
      <c r="VQX21" s="2827"/>
      <c r="VQY21" s="2867"/>
      <c r="VQZ21" s="2866"/>
      <c r="VRA21" s="2827"/>
      <c r="VRB21" s="2867"/>
      <c r="VRC21" s="2866"/>
      <c r="VRD21" s="2827"/>
      <c r="VRE21" s="2867"/>
      <c r="VRF21" s="2866"/>
      <c r="VRG21" s="2827"/>
      <c r="VRH21" s="2867"/>
      <c r="VRI21" s="2866"/>
      <c r="VRJ21" s="2827"/>
      <c r="VRK21" s="2867"/>
      <c r="VRL21" s="2866"/>
      <c r="VRM21" s="2827"/>
      <c r="VRN21" s="2867"/>
      <c r="VRO21" s="2866"/>
      <c r="VRP21" s="2827"/>
      <c r="VRQ21" s="2867"/>
      <c r="VRR21" s="2866"/>
      <c r="VRS21" s="2827"/>
      <c r="VRT21" s="2867"/>
      <c r="VRU21" s="2866"/>
      <c r="VRV21" s="2827"/>
      <c r="VRW21" s="2867"/>
      <c r="VRX21" s="2866"/>
      <c r="VRY21" s="2827"/>
      <c r="VRZ21" s="2867"/>
      <c r="VSA21" s="2866"/>
      <c r="VSB21" s="2827"/>
      <c r="VSC21" s="2867"/>
      <c r="VSD21" s="2866"/>
      <c r="VSE21" s="2827"/>
      <c r="VSF21" s="2867"/>
      <c r="VSG21" s="2866"/>
      <c r="VSH21" s="2827"/>
      <c r="VSI21" s="2867"/>
      <c r="VSJ21" s="2866"/>
      <c r="VSK21" s="2827"/>
      <c r="VSL21" s="2867"/>
      <c r="VSM21" s="2866"/>
      <c r="VSN21" s="2827"/>
      <c r="VSO21" s="2867"/>
      <c r="VSP21" s="2866"/>
      <c r="VSQ21" s="2827"/>
      <c r="VSR21" s="2867"/>
      <c r="VSS21" s="2866"/>
      <c r="VST21" s="2827"/>
      <c r="VSU21" s="2867"/>
      <c r="VSV21" s="2866"/>
      <c r="VSW21" s="2827"/>
      <c r="VSX21" s="2867"/>
      <c r="VSY21" s="2866"/>
      <c r="VSZ21" s="2827"/>
      <c r="VTA21" s="2867"/>
      <c r="VTB21" s="2866"/>
      <c r="VTC21" s="2827"/>
      <c r="VTD21" s="2867"/>
      <c r="VTE21" s="2866"/>
      <c r="VTF21" s="2827"/>
      <c r="VTG21" s="2867"/>
      <c r="VTH21" s="2866"/>
      <c r="VTI21" s="2827"/>
      <c r="VTJ21" s="2867"/>
      <c r="VTK21" s="2866"/>
      <c r="VTL21" s="2827"/>
      <c r="VTM21" s="2867"/>
      <c r="VTN21" s="2866"/>
      <c r="VTO21" s="2827"/>
      <c r="VTP21" s="2867"/>
      <c r="VTQ21" s="2866"/>
      <c r="VTR21" s="2827"/>
      <c r="VTS21" s="2867"/>
      <c r="VTT21" s="2866"/>
      <c r="VTU21" s="2827"/>
      <c r="VTV21" s="2867"/>
      <c r="VTW21" s="2866"/>
      <c r="VTX21" s="2827"/>
      <c r="VTY21" s="2867"/>
      <c r="VTZ21" s="2866"/>
      <c r="VUA21" s="2827"/>
      <c r="VUB21" s="2867"/>
      <c r="VUC21" s="2866"/>
      <c r="VUD21" s="2827"/>
      <c r="VUE21" s="2867"/>
      <c r="VUF21" s="2866"/>
      <c r="VUG21" s="2827"/>
      <c r="VUH21" s="2867"/>
      <c r="VUI21" s="2866"/>
      <c r="VUJ21" s="2827"/>
      <c r="VUK21" s="2867"/>
      <c r="VUL21" s="2866"/>
      <c r="VUM21" s="2827"/>
      <c r="VUN21" s="2867"/>
      <c r="VUO21" s="2866"/>
      <c r="VUP21" s="2827"/>
      <c r="VUQ21" s="2867"/>
      <c r="VUR21" s="2866"/>
      <c r="VUS21" s="2827"/>
      <c r="VUT21" s="2867"/>
      <c r="VUU21" s="2866"/>
      <c r="VUV21" s="2827"/>
      <c r="VUW21" s="2867"/>
      <c r="VUX21" s="2866"/>
      <c r="VUY21" s="2827"/>
      <c r="VUZ21" s="2867"/>
      <c r="VVA21" s="2866"/>
      <c r="VVB21" s="2827"/>
      <c r="VVC21" s="2867"/>
      <c r="VVD21" s="2866"/>
      <c r="VVE21" s="2827"/>
      <c r="VVF21" s="2867"/>
      <c r="VVG21" s="2866"/>
      <c r="VVH21" s="2827"/>
      <c r="VVI21" s="2867"/>
      <c r="VVJ21" s="2866"/>
      <c r="VVK21" s="2827"/>
      <c r="VVL21" s="2867"/>
      <c r="VVM21" s="2866"/>
      <c r="VVN21" s="2827"/>
      <c r="VVO21" s="2867"/>
      <c r="VVP21" s="2866"/>
      <c r="VVQ21" s="2827"/>
      <c r="VVR21" s="2867"/>
      <c r="VVS21" s="2866"/>
      <c r="VVT21" s="2827"/>
      <c r="VVU21" s="2867"/>
      <c r="VVV21" s="2866"/>
      <c r="VVW21" s="2827"/>
      <c r="VVX21" s="2867"/>
      <c r="VVY21" s="2866"/>
      <c r="VVZ21" s="2827"/>
      <c r="VWA21" s="2867"/>
      <c r="VWB21" s="2866"/>
      <c r="VWC21" s="2827"/>
      <c r="VWD21" s="2867"/>
      <c r="VWE21" s="2866"/>
      <c r="VWF21" s="2827"/>
      <c r="VWG21" s="2867"/>
      <c r="VWH21" s="2866"/>
      <c r="VWI21" s="2827"/>
      <c r="VWJ21" s="2867"/>
      <c r="VWK21" s="2866"/>
      <c r="VWL21" s="2827"/>
      <c r="VWM21" s="2867"/>
      <c r="VWN21" s="2866"/>
      <c r="VWO21" s="2827"/>
      <c r="VWP21" s="2867"/>
      <c r="VWQ21" s="2866"/>
      <c r="VWR21" s="2827"/>
      <c r="VWS21" s="2867"/>
      <c r="VWT21" s="2866"/>
      <c r="VWU21" s="2827"/>
      <c r="VWV21" s="2867"/>
      <c r="VWW21" s="2866"/>
      <c r="VWX21" s="2827"/>
      <c r="VWY21" s="2867"/>
      <c r="VWZ21" s="2866"/>
      <c r="VXA21" s="2827"/>
      <c r="VXB21" s="2867"/>
      <c r="VXC21" s="2866"/>
      <c r="VXD21" s="2827"/>
      <c r="VXE21" s="2867"/>
      <c r="VXF21" s="2866"/>
      <c r="VXG21" s="2827"/>
      <c r="VXH21" s="2867"/>
      <c r="VXI21" s="2866"/>
      <c r="VXJ21" s="2827"/>
      <c r="VXK21" s="2867"/>
      <c r="VXL21" s="2866"/>
      <c r="VXM21" s="2827"/>
      <c r="VXN21" s="2867"/>
      <c r="VXO21" s="2866"/>
      <c r="VXP21" s="2827"/>
      <c r="VXQ21" s="2867"/>
      <c r="VXR21" s="2866"/>
      <c r="VXS21" s="2827"/>
      <c r="VXT21" s="2867"/>
      <c r="VXU21" s="2866"/>
      <c r="VXV21" s="2827"/>
      <c r="VXW21" s="2867"/>
      <c r="VXX21" s="2866"/>
      <c r="VXY21" s="2827"/>
      <c r="VXZ21" s="2867"/>
      <c r="VYA21" s="2866"/>
      <c r="VYB21" s="2827"/>
      <c r="VYC21" s="2867"/>
      <c r="VYD21" s="2866"/>
      <c r="VYE21" s="2827"/>
      <c r="VYF21" s="2867"/>
      <c r="VYG21" s="2866"/>
      <c r="VYH21" s="2827"/>
      <c r="VYI21" s="2867"/>
      <c r="VYJ21" s="2866"/>
      <c r="VYK21" s="2827"/>
      <c r="VYL21" s="2867"/>
      <c r="VYM21" s="2866"/>
      <c r="VYN21" s="2827"/>
      <c r="VYO21" s="2867"/>
      <c r="VYP21" s="2866"/>
      <c r="VYQ21" s="2827"/>
      <c r="VYR21" s="2867"/>
      <c r="VYS21" s="2866"/>
      <c r="VYT21" s="2827"/>
      <c r="VYU21" s="2867"/>
      <c r="VYV21" s="2866"/>
      <c r="VYW21" s="2827"/>
      <c r="VYX21" s="2867"/>
      <c r="VYY21" s="2866"/>
      <c r="VYZ21" s="2827"/>
      <c r="VZA21" s="2867"/>
      <c r="VZB21" s="2866"/>
      <c r="VZC21" s="2827"/>
      <c r="VZD21" s="2867"/>
      <c r="VZE21" s="2866"/>
      <c r="VZF21" s="2827"/>
      <c r="VZG21" s="2867"/>
      <c r="VZH21" s="2866"/>
      <c r="VZI21" s="2827"/>
      <c r="VZJ21" s="2867"/>
      <c r="VZK21" s="2866"/>
      <c r="VZL21" s="2827"/>
      <c r="VZM21" s="2867"/>
      <c r="VZN21" s="2866"/>
      <c r="VZO21" s="2827"/>
      <c r="VZP21" s="2867"/>
      <c r="VZQ21" s="2866"/>
      <c r="VZR21" s="2827"/>
      <c r="VZS21" s="2867"/>
      <c r="VZT21" s="2866"/>
      <c r="VZU21" s="2827"/>
      <c r="VZV21" s="2867"/>
      <c r="VZW21" s="2866"/>
      <c r="VZX21" s="2827"/>
      <c r="VZY21" s="2867"/>
      <c r="VZZ21" s="2866"/>
      <c r="WAA21" s="2827"/>
      <c r="WAB21" s="2867"/>
      <c r="WAC21" s="2866"/>
      <c r="WAD21" s="2827"/>
      <c r="WAE21" s="2867"/>
      <c r="WAF21" s="2866"/>
      <c r="WAG21" s="2827"/>
      <c r="WAH21" s="2867"/>
      <c r="WAI21" s="2866"/>
      <c r="WAJ21" s="2827"/>
      <c r="WAK21" s="2867"/>
      <c r="WAL21" s="2866"/>
      <c r="WAM21" s="2827"/>
      <c r="WAN21" s="2867"/>
      <c r="WAO21" s="2866"/>
      <c r="WAP21" s="2827"/>
      <c r="WAQ21" s="2867"/>
      <c r="WAR21" s="2866"/>
      <c r="WAS21" s="2827"/>
      <c r="WAT21" s="2867"/>
      <c r="WAU21" s="2866"/>
      <c r="WAV21" s="2827"/>
      <c r="WAW21" s="2867"/>
      <c r="WAX21" s="2866"/>
      <c r="WAY21" s="2827"/>
      <c r="WAZ21" s="2867"/>
      <c r="WBA21" s="2866"/>
      <c r="WBB21" s="2827"/>
      <c r="WBC21" s="2867"/>
      <c r="WBD21" s="2866"/>
      <c r="WBE21" s="2827"/>
      <c r="WBF21" s="2867"/>
      <c r="WBG21" s="2866"/>
      <c r="WBH21" s="2827"/>
      <c r="WBI21" s="2867"/>
      <c r="WBJ21" s="2866"/>
      <c r="WBK21" s="2827"/>
      <c r="WBL21" s="2867"/>
      <c r="WBM21" s="2866"/>
      <c r="WBN21" s="2827"/>
      <c r="WBO21" s="2867"/>
      <c r="WBP21" s="2866"/>
      <c r="WBQ21" s="2827"/>
      <c r="WBR21" s="2867"/>
      <c r="WBS21" s="2866"/>
      <c r="WBT21" s="2827"/>
      <c r="WBU21" s="2867"/>
      <c r="WBV21" s="2866"/>
      <c r="WBW21" s="2827"/>
      <c r="WBX21" s="2867"/>
      <c r="WBY21" s="2866"/>
      <c r="WBZ21" s="2827"/>
      <c r="WCA21" s="2867"/>
      <c r="WCB21" s="2866"/>
      <c r="WCC21" s="2827"/>
      <c r="WCD21" s="2867"/>
      <c r="WCE21" s="2866"/>
      <c r="WCF21" s="2827"/>
      <c r="WCG21" s="2867"/>
      <c r="WCH21" s="2866"/>
      <c r="WCI21" s="2827"/>
      <c r="WCJ21" s="2867"/>
      <c r="WCK21" s="2866"/>
      <c r="WCL21" s="2827"/>
      <c r="WCM21" s="2867"/>
      <c r="WCN21" s="2866"/>
      <c r="WCO21" s="2827"/>
      <c r="WCP21" s="2867"/>
      <c r="WCQ21" s="2866"/>
      <c r="WCR21" s="2827"/>
      <c r="WCS21" s="2867"/>
      <c r="WCT21" s="2866"/>
      <c r="WCU21" s="2827"/>
      <c r="WCV21" s="2867"/>
      <c r="WCW21" s="2866"/>
      <c r="WCX21" s="2827"/>
      <c r="WCY21" s="2867"/>
      <c r="WCZ21" s="2866"/>
      <c r="WDA21" s="2827"/>
      <c r="WDB21" s="2867"/>
      <c r="WDC21" s="2866"/>
      <c r="WDD21" s="2827"/>
      <c r="WDE21" s="2867"/>
      <c r="WDF21" s="2866"/>
      <c r="WDG21" s="2827"/>
      <c r="WDH21" s="2867"/>
      <c r="WDI21" s="2866"/>
      <c r="WDJ21" s="2827"/>
      <c r="WDK21" s="2867"/>
      <c r="WDL21" s="2866"/>
      <c r="WDM21" s="2827"/>
      <c r="WDN21" s="2867"/>
      <c r="WDO21" s="2866"/>
      <c r="WDP21" s="2827"/>
      <c r="WDQ21" s="2867"/>
      <c r="WDR21" s="2866"/>
      <c r="WDS21" s="2827"/>
      <c r="WDT21" s="2867"/>
      <c r="WDU21" s="2866"/>
      <c r="WDV21" s="2827"/>
      <c r="WDW21" s="2867"/>
      <c r="WDX21" s="2866"/>
      <c r="WDY21" s="2827"/>
      <c r="WDZ21" s="2867"/>
      <c r="WEA21" s="2866"/>
      <c r="WEB21" s="2827"/>
      <c r="WEC21" s="2867"/>
      <c r="WED21" s="2866"/>
      <c r="WEE21" s="2827"/>
      <c r="WEF21" s="2867"/>
      <c r="WEG21" s="2866"/>
      <c r="WEH21" s="2827"/>
      <c r="WEI21" s="2867"/>
      <c r="WEJ21" s="2866"/>
      <c r="WEK21" s="2827"/>
      <c r="WEL21" s="2867"/>
      <c r="WEM21" s="2866"/>
      <c r="WEN21" s="2827"/>
      <c r="WEO21" s="2867"/>
      <c r="WEP21" s="2866"/>
      <c r="WEQ21" s="2827"/>
      <c r="WER21" s="2867"/>
      <c r="WES21" s="2866"/>
      <c r="WET21" s="2827"/>
      <c r="WEU21" s="2867"/>
      <c r="WEV21" s="2866"/>
      <c r="WEW21" s="2827"/>
      <c r="WEX21" s="2867"/>
      <c r="WEY21" s="2866"/>
      <c r="WEZ21" s="2827"/>
      <c r="WFA21" s="2867"/>
      <c r="WFB21" s="2866"/>
      <c r="WFC21" s="2827"/>
      <c r="WFD21" s="2867"/>
      <c r="WFE21" s="2866"/>
      <c r="WFF21" s="2827"/>
      <c r="WFG21" s="2867"/>
      <c r="WFH21" s="2866"/>
      <c r="WFI21" s="2827"/>
      <c r="WFJ21" s="2867"/>
      <c r="WFK21" s="2866"/>
      <c r="WFL21" s="2827"/>
      <c r="WFM21" s="2867"/>
      <c r="WFN21" s="2866"/>
      <c r="WFO21" s="2827"/>
      <c r="WFP21" s="2867"/>
      <c r="WFQ21" s="2866"/>
      <c r="WFR21" s="2827"/>
      <c r="WFS21" s="2867"/>
      <c r="WFT21" s="2866"/>
      <c r="WFU21" s="2827"/>
      <c r="WFV21" s="2867"/>
      <c r="WFW21" s="2866"/>
      <c r="WFX21" s="2827"/>
      <c r="WFY21" s="2867"/>
      <c r="WFZ21" s="2866"/>
      <c r="WGA21" s="2827"/>
      <c r="WGB21" s="2867"/>
      <c r="WGC21" s="2866"/>
      <c r="WGD21" s="2827"/>
      <c r="WGE21" s="2867"/>
      <c r="WGF21" s="2866"/>
      <c r="WGG21" s="2827"/>
      <c r="WGH21" s="2867"/>
      <c r="WGI21" s="2866"/>
      <c r="WGJ21" s="2827"/>
      <c r="WGK21" s="2867"/>
      <c r="WGL21" s="2866"/>
      <c r="WGM21" s="2827"/>
      <c r="WGN21" s="2867"/>
      <c r="WGO21" s="2866"/>
      <c r="WGP21" s="2827"/>
      <c r="WGQ21" s="2867"/>
      <c r="WGR21" s="2866"/>
      <c r="WGS21" s="2827"/>
      <c r="WGT21" s="2867"/>
      <c r="WGU21" s="2866"/>
      <c r="WGV21" s="2827"/>
      <c r="WGW21" s="2867"/>
      <c r="WGX21" s="2866"/>
      <c r="WGY21" s="2827"/>
      <c r="WGZ21" s="2867"/>
      <c r="WHA21" s="2866"/>
      <c r="WHB21" s="2827"/>
      <c r="WHC21" s="2867"/>
      <c r="WHD21" s="2866"/>
      <c r="WHE21" s="2827"/>
      <c r="WHF21" s="2867"/>
      <c r="WHG21" s="2866"/>
      <c r="WHH21" s="2827"/>
      <c r="WHI21" s="2867"/>
      <c r="WHJ21" s="2866"/>
      <c r="WHK21" s="2827"/>
      <c r="WHL21" s="2867"/>
      <c r="WHM21" s="2866"/>
      <c r="WHN21" s="2827"/>
      <c r="WHO21" s="2867"/>
      <c r="WHP21" s="2866"/>
      <c r="WHQ21" s="2827"/>
      <c r="WHR21" s="2867"/>
      <c r="WHS21" s="2866"/>
      <c r="WHT21" s="2827"/>
      <c r="WHU21" s="2867"/>
      <c r="WHV21" s="2866"/>
      <c r="WHW21" s="2827"/>
      <c r="WHX21" s="2867"/>
      <c r="WHY21" s="2866"/>
      <c r="WHZ21" s="2827"/>
      <c r="WIA21" s="2867"/>
      <c r="WIB21" s="2866"/>
      <c r="WIC21" s="2827"/>
      <c r="WID21" s="2867"/>
      <c r="WIE21" s="2866"/>
      <c r="WIF21" s="2827"/>
      <c r="WIG21" s="2867"/>
      <c r="WIH21" s="2866"/>
      <c r="WII21" s="2827"/>
      <c r="WIJ21" s="2867"/>
      <c r="WIK21" s="2866"/>
      <c r="WIL21" s="2827"/>
      <c r="WIM21" s="2867"/>
      <c r="WIN21" s="2866"/>
      <c r="WIO21" s="2827"/>
      <c r="WIP21" s="2867"/>
      <c r="WIQ21" s="2866"/>
      <c r="WIR21" s="2827"/>
      <c r="WIS21" s="2867"/>
      <c r="WIT21" s="2866"/>
      <c r="WIU21" s="2827"/>
      <c r="WIV21" s="2867"/>
      <c r="WIW21" s="2866"/>
      <c r="WIX21" s="2827"/>
      <c r="WIY21" s="2867"/>
      <c r="WIZ21" s="2866"/>
      <c r="WJA21" s="2827"/>
      <c r="WJB21" s="2867"/>
      <c r="WJC21" s="2866"/>
      <c r="WJD21" s="2827"/>
      <c r="WJE21" s="2867"/>
      <c r="WJF21" s="2866"/>
      <c r="WJG21" s="2827"/>
      <c r="WJH21" s="2867"/>
      <c r="WJI21" s="2866"/>
      <c r="WJJ21" s="2827"/>
      <c r="WJK21" s="2867"/>
      <c r="WJL21" s="2866"/>
      <c r="WJM21" s="2827"/>
      <c r="WJN21" s="2867"/>
      <c r="WJO21" s="2866"/>
      <c r="WJP21" s="2827"/>
      <c r="WJQ21" s="2867"/>
      <c r="WJR21" s="2866"/>
      <c r="WJS21" s="2827"/>
      <c r="WJT21" s="2867"/>
      <c r="WJU21" s="2866"/>
      <c r="WJV21" s="2827"/>
      <c r="WJW21" s="2867"/>
      <c r="WJX21" s="2866"/>
      <c r="WJY21" s="2827"/>
      <c r="WJZ21" s="2867"/>
      <c r="WKA21" s="2866"/>
      <c r="WKB21" s="2827"/>
      <c r="WKC21" s="2867"/>
      <c r="WKD21" s="2866"/>
      <c r="WKE21" s="2827"/>
      <c r="WKF21" s="2867"/>
      <c r="WKG21" s="2866"/>
      <c r="WKH21" s="2827"/>
      <c r="WKI21" s="2867"/>
      <c r="WKJ21" s="2866"/>
      <c r="WKK21" s="2827"/>
      <c r="WKL21" s="2867"/>
      <c r="WKM21" s="2866"/>
      <c r="WKN21" s="2827"/>
      <c r="WKO21" s="2867"/>
      <c r="WKP21" s="2866"/>
      <c r="WKQ21" s="2827"/>
      <c r="WKR21" s="2867"/>
      <c r="WKS21" s="2866"/>
      <c r="WKT21" s="2827"/>
      <c r="WKU21" s="2867"/>
      <c r="WKV21" s="2866"/>
      <c r="WKW21" s="2827"/>
      <c r="WKX21" s="2867"/>
      <c r="WKY21" s="2866"/>
      <c r="WKZ21" s="2827"/>
      <c r="WLA21" s="2867"/>
      <c r="WLB21" s="2866"/>
      <c r="WLC21" s="2827"/>
      <c r="WLD21" s="2867"/>
      <c r="WLE21" s="2866"/>
      <c r="WLF21" s="2827"/>
      <c r="WLG21" s="2867"/>
      <c r="WLH21" s="2866"/>
      <c r="WLI21" s="2827"/>
      <c r="WLJ21" s="2867"/>
      <c r="WLK21" s="2866"/>
      <c r="WLL21" s="2827"/>
      <c r="WLM21" s="2867"/>
      <c r="WLN21" s="2866"/>
      <c r="WLO21" s="2827"/>
      <c r="WLP21" s="2867"/>
      <c r="WLQ21" s="2866"/>
      <c r="WLR21" s="2827"/>
      <c r="WLS21" s="2867"/>
      <c r="WLT21" s="2866"/>
      <c r="WLU21" s="2827"/>
      <c r="WLV21" s="2867"/>
      <c r="WLW21" s="2866"/>
      <c r="WLX21" s="2827"/>
      <c r="WLY21" s="2867"/>
      <c r="WLZ21" s="2866"/>
      <c r="WMA21" s="2827"/>
      <c r="WMB21" s="2867"/>
      <c r="WMC21" s="2866"/>
      <c r="WMD21" s="2827"/>
      <c r="WME21" s="2867"/>
      <c r="WMF21" s="2866"/>
      <c r="WMG21" s="2827"/>
      <c r="WMH21" s="2867"/>
      <c r="WMI21" s="2866"/>
      <c r="WMJ21" s="2827"/>
      <c r="WMK21" s="2867"/>
      <c r="WML21" s="2866"/>
      <c r="WMM21" s="2827"/>
      <c r="WMN21" s="2867"/>
      <c r="WMO21" s="2866"/>
      <c r="WMP21" s="2827"/>
      <c r="WMQ21" s="2867"/>
      <c r="WMR21" s="2866"/>
      <c r="WMS21" s="2827"/>
      <c r="WMT21" s="2867"/>
      <c r="WMU21" s="2866"/>
      <c r="WMV21" s="2827"/>
      <c r="WMW21" s="2867"/>
      <c r="WMX21" s="2866"/>
      <c r="WMY21" s="2827"/>
      <c r="WMZ21" s="2867"/>
      <c r="WNA21" s="2866"/>
      <c r="WNB21" s="2827"/>
      <c r="WNC21" s="2867"/>
      <c r="WND21" s="2866"/>
      <c r="WNE21" s="2827"/>
      <c r="WNF21" s="2867"/>
      <c r="WNG21" s="2866"/>
      <c r="WNH21" s="2827"/>
      <c r="WNI21" s="2867"/>
      <c r="WNJ21" s="2866"/>
      <c r="WNK21" s="2827"/>
      <c r="WNL21" s="2867"/>
      <c r="WNM21" s="2866"/>
      <c r="WNN21" s="2827"/>
      <c r="WNO21" s="2867"/>
      <c r="WNP21" s="2866"/>
      <c r="WNQ21" s="2827"/>
      <c r="WNR21" s="2867"/>
      <c r="WNS21" s="2866"/>
      <c r="WNT21" s="2827"/>
      <c r="WNU21" s="2867"/>
      <c r="WNV21" s="2866"/>
      <c r="WNW21" s="2827"/>
      <c r="WNX21" s="2867"/>
      <c r="WNY21" s="2866"/>
      <c r="WNZ21" s="2827"/>
      <c r="WOA21" s="2867"/>
      <c r="WOB21" s="2866"/>
      <c r="WOC21" s="2827"/>
      <c r="WOD21" s="2867"/>
      <c r="WOE21" s="2866"/>
      <c r="WOF21" s="2827"/>
      <c r="WOG21" s="2867"/>
      <c r="WOH21" s="2866"/>
      <c r="WOI21" s="2827"/>
      <c r="WOJ21" s="2867"/>
      <c r="WOK21" s="2866"/>
      <c r="WOL21" s="2827"/>
      <c r="WOM21" s="2867"/>
      <c r="WON21" s="2866"/>
      <c r="WOO21" s="2827"/>
      <c r="WOP21" s="2867"/>
      <c r="WOQ21" s="2866"/>
      <c r="WOR21" s="2827"/>
      <c r="WOS21" s="2867"/>
      <c r="WOT21" s="2866"/>
      <c r="WOU21" s="2827"/>
      <c r="WOV21" s="2867"/>
      <c r="WOW21" s="2866"/>
      <c r="WOX21" s="2827"/>
      <c r="WOY21" s="2867"/>
      <c r="WOZ21" s="2866"/>
      <c r="WPA21" s="2827"/>
      <c r="WPB21" s="2867"/>
      <c r="WPC21" s="2866"/>
      <c r="WPD21" s="2827"/>
      <c r="WPE21" s="2867"/>
      <c r="WPF21" s="2866"/>
      <c r="WPG21" s="2827"/>
      <c r="WPH21" s="2867"/>
      <c r="WPI21" s="2866"/>
      <c r="WPJ21" s="2827"/>
      <c r="WPK21" s="2867"/>
      <c r="WPL21" s="2866"/>
      <c r="WPM21" s="2827"/>
      <c r="WPN21" s="2867"/>
      <c r="WPO21" s="2866"/>
      <c r="WPP21" s="2827"/>
      <c r="WPQ21" s="2867"/>
      <c r="WPR21" s="2866"/>
      <c r="WPS21" s="2827"/>
      <c r="WPT21" s="2867"/>
      <c r="WPU21" s="2866"/>
      <c r="WPV21" s="2827"/>
      <c r="WPW21" s="2867"/>
      <c r="WPX21" s="2866"/>
      <c r="WPY21" s="2827"/>
      <c r="WPZ21" s="2867"/>
      <c r="WQA21" s="2866"/>
      <c r="WQB21" s="2827"/>
      <c r="WQC21" s="2867"/>
      <c r="WQD21" s="2866"/>
      <c r="WQE21" s="2827"/>
      <c r="WQF21" s="2867"/>
      <c r="WQG21" s="2866"/>
      <c r="WQH21" s="2827"/>
      <c r="WQI21" s="2867"/>
      <c r="WQJ21" s="2866"/>
      <c r="WQK21" s="2827"/>
      <c r="WQL21" s="2867"/>
      <c r="WQM21" s="2866"/>
      <c r="WQN21" s="2827"/>
      <c r="WQO21" s="2867"/>
      <c r="WQP21" s="2866"/>
      <c r="WQQ21" s="2827"/>
      <c r="WQR21" s="2867"/>
      <c r="WQS21" s="2866"/>
      <c r="WQT21" s="2827"/>
      <c r="WQU21" s="2867"/>
      <c r="WQV21" s="2866"/>
      <c r="WQW21" s="2827"/>
      <c r="WQX21" s="2867"/>
      <c r="WQY21" s="2866"/>
      <c r="WQZ21" s="2827"/>
      <c r="WRA21" s="2867"/>
      <c r="WRB21" s="2866"/>
      <c r="WRC21" s="2827"/>
      <c r="WRD21" s="2867"/>
      <c r="WRE21" s="2866"/>
      <c r="WRF21" s="2827"/>
      <c r="WRG21" s="2867"/>
      <c r="WRH21" s="2866"/>
      <c r="WRI21" s="2827"/>
      <c r="WRJ21" s="2867"/>
      <c r="WRK21" s="2866"/>
      <c r="WRL21" s="2827"/>
      <c r="WRM21" s="2867"/>
      <c r="WRN21" s="2866"/>
      <c r="WRO21" s="2827"/>
      <c r="WRP21" s="2867"/>
      <c r="WRQ21" s="2866"/>
      <c r="WRR21" s="2827"/>
      <c r="WRS21" s="2867"/>
      <c r="WRT21" s="2866"/>
      <c r="WRU21" s="2827"/>
      <c r="WRV21" s="2867"/>
      <c r="WRW21" s="2866"/>
      <c r="WRX21" s="2827"/>
      <c r="WRY21" s="2867"/>
      <c r="WRZ21" s="2866"/>
      <c r="WSA21" s="2827"/>
      <c r="WSB21" s="2867"/>
      <c r="WSC21" s="2866"/>
      <c r="WSD21" s="2827"/>
      <c r="WSE21" s="2867"/>
      <c r="WSF21" s="2866"/>
      <c r="WSG21" s="2827"/>
      <c r="WSH21" s="2867"/>
      <c r="WSI21" s="2866"/>
      <c r="WSJ21" s="2827"/>
      <c r="WSK21" s="2867"/>
      <c r="WSL21" s="2866"/>
      <c r="WSM21" s="2827"/>
      <c r="WSN21" s="2867"/>
      <c r="WSO21" s="2866"/>
      <c r="WSP21" s="2827"/>
      <c r="WSQ21" s="2867"/>
      <c r="WSR21" s="2866"/>
      <c r="WSS21" s="2827"/>
      <c r="WST21" s="2867"/>
      <c r="WSU21" s="2866"/>
      <c r="WSV21" s="2827"/>
      <c r="WSW21" s="2867"/>
      <c r="WSX21" s="2866"/>
      <c r="WSY21" s="2827"/>
      <c r="WSZ21" s="2867"/>
      <c r="WTA21" s="2866"/>
      <c r="WTB21" s="2827"/>
      <c r="WTC21" s="2867"/>
      <c r="WTD21" s="2866"/>
      <c r="WTE21" s="2827"/>
      <c r="WTF21" s="2867"/>
      <c r="WTG21" s="2866"/>
      <c r="WTH21" s="2827"/>
      <c r="WTI21" s="2867"/>
      <c r="WTJ21" s="2866"/>
      <c r="WTK21" s="2827"/>
      <c r="WTL21" s="2867"/>
      <c r="WTM21" s="2866"/>
      <c r="WTN21" s="2827"/>
      <c r="WTO21" s="2867"/>
      <c r="WTP21" s="2866"/>
      <c r="WTQ21" s="2827"/>
      <c r="WTR21" s="2867"/>
      <c r="WTS21" s="2866"/>
      <c r="WTT21" s="2827"/>
      <c r="WTU21" s="2867"/>
      <c r="WTV21" s="2866"/>
      <c r="WTW21" s="2827"/>
      <c r="WTX21" s="2867"/>
      <c r="WTY21" s="2866"/>
      <c r="WTZ21" s="2827"/>
      <c r="WUA21" s="2867"/>
      <c r="WUB21" s="2866"/>
      <c r="WUC21" s="2827"/>
      <c r="WUD21" s="2867"/>
      <c r="WUE21" s="2866"/>
      <c r="WUF21" s="2827"/>
      <c r="WUG21" s="2867"/>
      <c r="WUH21" s="2866"/>
      <c r="WUI21" s="2827"/>
      <c r="WUJ21" s="2867"/>
      <c r="WUK21" s="2866"/>
      <c r="WUL21" s="2827"/>
      <c r="WUM21" s="2867"/>
      <c r="WUN21" s="2866"/>
      <c r="WUO21" s="2827"/>
      <c r="WUP21" s="2867"/>
      <c r="WUQ21" s="2866"/>
      <c r="WUR21" s="2827"/>
      <c r="WUS21" s="2867"/>
      <c r="WUT21" s="2866"/>
      <c r="WUU21" s="2827"/>
      <c r="WUV21" s="2867"/>
      <c r="WUW21" s="2866"/>
      <c r="WUX21" s="2827"/>
      <c r="WUY21" s="2867"/>
      <c r="WUZ21" s="2866"/>
      <c r="WVA21" s="2827"/>
      <c r="WVB21" s="2867"/>
      <c r="WVC21" s="2866"/>
      <c r="WVD21" s="2827"/>
      <c r="WVE21" s="2867"/>
      <c r="WVF21" s="2866"/>
      <c r="WVG21" s="2827"/>
      <c r="WVH21" s="2867"/>
      <c r="WVI21" s="2866"/>
      <c r="WVJ21" s="2827"/>
      <c r="WVK21" s="2867"/>
      <c r="WVL21" s="2866"/>
      <c r="WVM21" s="2827"/>
      <c r="WVN21" s="2867"/>
      <c r="WVO21" s="2866"/>
      <c r="WVP21" s="2827"/>
      <c r="WVQ21" s="2867"/>
      <c r="WVR21" s="2866"/>
      <c r="WVS21" s="2827"/>
      <c r="WVT21" s="2867"/>
      <c r="WVU21" s="2866"/>
      <c r="WVV21" s="2827"/>
      <c r="WVW21" s="2867"/>
      <c r="WVX21" s="2866"/>
      <c r="WVY21" s="2827"/>
      <c r="WVZ21" s="2867"/>
      <c r="WWA21" s="2866"/>
      <c r="WWB21" s="2827"/>
      <c r="WWC21" s="2867"/>
      <c r="WWD21" s="2866"/>
      <c r="WWE21" s="2827"/>
      <c r="WWF21" s="2867"/>
      <c r="WWG21" s="2866"/>
      <c r="WWH21" s="2827"/>
      <c r="WWI21" s="2867"/>
      <c r="WWJ21" s="2866"/>
      <c r="WWK21" s="2827"/>
      <c r="WWL21" s="2867"/>
      <c r="WWM21" s="2866"/>
      <c r="WWN21" s="2827"/>
      <c r="WWO21" s="2867"/>
      <c r="WWP21" s="2866"/>
      <c r="WWQ21" s="2827"/>
      <c r="WWR21" s="2867"/>
      <c r="WWS21" s="2866"/>
      <c r="WWT21" s="2827"/>
      <c r="WWU21" s="2867"/>
      <c r="WWV21" s="2866"/>
      <c r="WWW21" s="2827"/>
      <c r="WWX21" s="2867"/>
      <c r="WWY21" s="2866"/>
      <c r="WWZ21" s="2827"/>
      <c r="WXA21" s="2867"/>
      <c r="WXB21" s="2866"/>
      <c r="WXC21" s="2827"/>
      <c r="WXD21" s="2867"/>
      <c r="WXE21" s="2866"/>
      <c r="WXF21" s="2827"/>
      <c r="WXG21" s="2867"/>
      <c r="WXH21" s="2866"/>
      <c r="WXI21" s="2827"/>
      <c r="WXJ21" s="2867"/>
      <c r="WXK21" s="2866"/>
      <c r="WXL21" s="2827"/>
      <c r="WXM21" s="2867"/>
      <c r="WXN21" s="2866"/>
      <c r="WXO21" s="2827"/>
      <c r="WXP21" s="2867"/>
      <c r="WXQ21" s="2866"/>
      <c r="WXR21" s="2827"/>
      <c r="WXS21" s="2867"/>
      <c r="WXT21" s="2866"/>
      <c r="WXU21" s="2827"/>
      <c r="WXV21" s="2867"/>
      <c r="WXW21" s="2866"/>
      <c r="WXX21" s="2827"/>
      <c r="WXY21" s="2867"/>
      <c r="WXZ21" s="2866"/>
      <c r="WYA21" s="2827"/>
      <c r="WYB21" s="2867"/>
      <c r="WYC21" s="2866"/>
      <c r="WYD21" s="2827"/>
      <c r="WYE21" s="2867"/>
      <c r="WYF21" s="2866"/>
      <c r="WYG21" s="2827"/>
      <c r="WYH21" s="2867"/>
      <c r="WYI21" s="2866"/>
      <c r="WYJ21" s="2827"/>
      <c r="WYK21" s="2867"/>
      <c r="WYL21" s="2866"/>
      <c r="WYM21" s="2827"/>
      <c r="WYN21" s="2867"/>
      <c r="WYO21" s="2866"/>
      <c r="WYP21" s="2827"/>
      <c r="WYQ21" s="2867"/>
      <c r="WYR21" s="2866"/>
      <c r="WYS21" s="2827"/>
      <c r="WYT21" s="2867"/>
      <c r="WYU21" s="2866"/>
      <c r="WYV21" s="2827"/>
      <c r="WYW21" s="2867"/>
      <c r="WYX21" s="2866"/>
      <c r="WYY21" s="2827"/>
      <c r="WYZ21" s="2867"/>
      <c r="WZA21" s="2866"/>
      <c r="WZB21" s="2827"/>
      <c r="WZC21" s="2867"/>
      <c r="WZD21" s="2866"/>
      <c r="WZE21" s="2827"/>
      <c r="WZF21" s="2867"/>
      <c r="WZG21" s="2866"/>
      <c r="WZH21" s="2827"/>
      <c r="WZI21" s="2867"/>
      <c r="WZJ21" s="2866"/>
      <c r="WZK21" s="2827"/>
      <c r="WZL21" s="2867"/>
      <c r="WZM21" s="2866"/>
      <c r="WZN21" s="2827"/>
      <c r="WZO21" s="2867"/>
      <c r="WZP21" s="2866"/>
      <c r="WZQ21" s="2827"/>
      <c r="WZR21" s="2867"/>
      <c r="WZS21" s="2866"/>
      <c r="WZT21" s="2827"/>
      <c r="WZU21" s="2867"/>
      <c r="WZV21" s="2866"/>
      <c r="WZW21" s="2827"/>
      <c r="WZX21" s="2867"/>
      <c r="WZY21" s="2866"/>
      <c r="WZZ21" s="2827"/>
      <c r="XAA21" s="2867"/>
      <c r="XAB21" s="2866"/>
      <c r="XAC21" s="2827"/>
      <c r="XAD21" s="2867"/>
      <c r="XAE21" s="2866"/>
      <c r="XAF21" s="2827"/>
      <c r="XAG21" s="2867"/>
      <c r="XAH21" s="2866"/>
      <c r="XAI21" s="2827"/>
      <c r="XAJ21" s="2867"/>
      <c r="XAK21" s="2866"/>
      <c r="XAL21" s="2827"/>
      <c r="XAM21" s="2867"/>
      <c r="XAN21" s="2866"/>
      <c r="XAO21" s="2827"/>
      <c r="XAP21" s="2867"/>
      <c r="XAQ21" s="2866"/>
      <c r="XAR21" s="2827"/>
      <c r="XAS21" s="2867"/>
      <c r="XAT21" s="2866"/>
      <c r="XAU21" s="2827"/>
      <c r="XAV21" s="2867"/>
      <c r="XAW21" s="2866"/>
      <c r="XAX21" s="2827"/>
      <c r="XAY21" s="2867"/>
      <c r="XAZ21" s="2866"/>
      <c r="XBA21" s="2827"/>
      <c r="XBB21" s="2867"/>
      <c r="XBC21" s="2866"/>
      <c r="XBD21" s="2827"/>
      <c r="XBE21" s="2867"/>
      <c r="XBF21" s="2866"/>
      <c r="XBG21" s="2827"/>
      <c r="XBH21" s="2867"/>
      <c r="XBI21" s="2866"/>
      <c r="XBJ21" s="2827"/>
      <c r="XBK21" s="2867"/>
      <c r="XBL21" s="2866"/>
      <c r="XBM21" s="2827"/>
      <c r="XBN21" s="2867"/>
      <c r="XBO21" s="2866"/>
      <c r="XBP21" s="2827"/>
      <c r="XBQ21" s="2867"/>
      <c r="XBR21" s="2866"/>
      <c r="XBS21" s="2827"/>
      <c r="XBT21" s="2867"/>
      <c r="XBU21" s="2866"/>
      <c r="XBV21" s="2827"/>
      <c r="XBW21" s="2867"/>
      <c r="XBX21" s="2866"/>
      <c r="XBY21" s="2827"/>
      <c r="XBZ21" s="2867"/>
      <c r="XCA21" s="2866"/>
      <c r="XCB21" s="2827"/>
      <c r="XCC21" s="2867"/>
      <c r="XCD21" s="2866"/>
      <c r="XCE21" s="2827"/>
      <c r="XCF21" s="2867"/>
      <c r="XCG21" s="2866"/>
      <c r="XCH21" s="2827"/>
      <c r="XCI21" s="2867"/>
      <c r="XCJ21" s="2866"/>
      <c r="XCK21" s="2827"/>
      <c r="XCL21" s="2867"/>
      <c r="XCM21" s="2866"/>
      <c r="XCN21" s="2827"/>
      <c r="XCO21" s="2867"/>
      <c r="XCP21" s="2866"/>
      <c r="XCQ21" s="2827"/>
      <c r="XCR21" s="2867"/>
      <c r="XCS21" s="2866"/>
      <c r="XCT21" s="2827"/>
      <c r="XCU21" s="2867"/>
      <c r="XCV21" s="2866"/>
      <c r="XCW21" s="2827"/>
      <c r="XCX21" s="2867"/>
      <c r="XCY21" s="2866"/>
      <c r="XCZ21" s="2827"/>
      <c r="XDA21" s="2867"/>
      <c r="XDB21" s="2866"/>
      <c r="XDC21" s="2827"/>
      <c r="XDD21" s="2867"/>
      <c r="XDE21" s="2866"/>
      <c r="XDF21" s="2827"/>
      <c r="XDG21" s="2867"/>
      <c r="XDH21" s="2866"/>
      <c r="XDI21" s="2827"/>
      <c r="XDJ21" s="2867"/>
      <c r="XDK21" s="2866"/>
      <c r="XDL21" s="2827"/>
      <c r="XDM21" s="2867"/>
      <c r="XDN21" s="2866"/>
      <c r="XDO21" s="2827"/>
      <c r="XDP21" s="2867"/>
      <c r="XDQ21" s="2866"/>
      <c r="XDR21" s="2827"/>
      <c r="XDS21" s="2867"/>
      <c r="XDT21" s="2866"/>
      <c r="XDU21" s="2827"/>
      <c r="XDV21" s="2867"/>
      <c r="XDW21" s="2866"/>
      <c r="XDX21" s="2827"/>
      <c r="XDY21" s="2867"/>
      <c r="XDZ21" s="2866"/>
      <c r="XEA21" s="2827"/>
      <c r="XEB21" s="2867"/>
      <c r="XEC21" s="2866"/>
      <c r="XED21" s="2827"/>
      <c r="XEE21" s="2867"/>
      <c r="XEF21" s="2866"/>
      <c r="XEG21" s="2827"/>
      <c r="XEH21" s="2867"/>
      <c r="XEI21" s="2866"/>
      <c r="XEJ21" s="2827"/>
      <c r="XEK21" s="2867"/>
      <c r="XEL21" s="2866"/>
      <c r="XEM21" s="2827"/>
      <c r="XEN21" s="2867"/>
      <c r="XEO21" s="2866"/>
      <c r="XEP21" s="2827"/>
      <c r="XEQ21" s="2867"/>
      <c r="XER21" s="2866"/>
      <c r="XES21" s="2827"/>
      <c r="XET21" s="2867"/>
      <c r="XEU21" s="2866"/>
      <c r="XEV21" s="2827"/>
      <c r="XEW21" s="2867"/>
      <c r="XEX21" s="2866"/>
      <c r="XEY21" s="2827"/>
      <c r="XEZ21" s="2867"/>
      <c r="XFA21" s="2866"/>
      <c r="XFB21" s="2827"/>
      <c r="XFC21" s="2867"/>
      <c r="XFD21" s="1650"/>
    </row>
    <row r="22" spans="1:16384" s="1640" customFormat="1" ht="30" customHeight="1" x14ac:dyDescent="0.3">
      <c r="A22" s="2824" t="s">
        <v>2490</v>
      </c>
      <c r="B22" s="2825"/>
      <c r="C22" s="2826"/>
      <c r="D22" s="1649"/>
      <c r="E22" s="1649"/>
      <c r="F22" s="1649"/>
      <c r="G22" s="1649"/>
      <c r="H22" s="1649"/>
      <c r="I22" s="1649"/>
      <c r="J22" s="1649"/>
      <c r="K22" s="1649"/>
      <c r="L22" s="1649"/>
      <c r="M22" s="1649"/>
      <c r="N22" s="1649"/>
      <c r="O22" s="1649"/>
      <c r="P22" s="1649"/>
      <c r="Q22" s="1649"/>
      <c r="T22" s="1649"/>
      <c r="W22" s="1649"/>
      <c r="Z22" s="1649"/>
      <c r="AC22" s="1649"/>
      <c r="AF22" s="1649"/>
      <c r="AI22" s="1649"/>
      <c r="AL22" s="1649"/>
      <c r="AO22" s="1649"/>
      <c r="AR22" s="1649"/>
      <c r="AU22" s="1649"/>
      <c r="AX22" s="1649"/>
      <c r="BA22" s="1649"/>
      <c r="BD22" s="1649"/>
      <c r="BG22" s="1649"/>
      <c r="BJ22" s="1649"/>
      <c r="BM22" s="1649"/>
      <c r="BP22" s="1649"/>
      <c r="BS22" s="1649"/>
      <c r="BV22" s="1649"/>
      <c r="BY22" s="1649"/>
      <c r="CB22" s="1649"/>
      <c r="CE22" s="1649"/>
      <c r="CH22" s="1649"/>
      <c r="CK22" s="1649"/>
      <c r="CN22" s="1649"/>
      <c r="CQ22" s="1649"/>
      <c r="CT22" s="1649"/>
      <c r="CW22" s="1649"/>
      <c r="CZ22" s="1649"/>
      <c r="DC22" s="1649"/>
      <c r="DF22" s="1649"/>
      <c r="DI22" s="1649"/>
      <c r="DL22" s="1649"/>
      <c r="DO22" s="1649"/>
      <c r="DR22" s="1649"/>
      <c r="DU22" s="1649"/>
      <c r="DX22" s="1649"/>
      <c r="EA22" s="1649"/>
      <c r="ED22" s="1649"/>
      <c r="EG22" s="1649"/>
      <c r="EJ22" s="1649"/>
      <c r="EM22" s="1649"/>
      <c r="EP22" s="1649"/>
      <c r="ES22" s="1649"/>
      <c r="EV22" s="1649"/>
      <c r="EY22" s="1649"/>
      <c r="FB22" s="1649"/>
      <c r="FE22" s="1649"/>
      <c r="FH22" s="1649"/>
      <c r="FK22" s="1649"/>
      <c r="FN22" s="1649"/>
      <c r="FQ22" s="1649"/>
      <c r="FT22" s="1649"/>
      <c r="FW22" s="1649"/>
      <c r="FZ22" s="1649"/>
      <c r="GC22" s="1649"/>
      <c r="GF22" s="1649"/>
      <c r="GI22" s="1649"/>
      <c r="GL22" s="1649"/>
      <c r="GO22" s="1649"/>
      <c r="GR22" s="1649"/>
      <c r="GU22" s="1649"/>
      <c r="GX22" s="1649"/>
      <c r="HA22" s="1649"/>
      <c r="HD22" s="1649"/>
      <c r="HG22" s="1649"/>
      <c r="HJ22" s="1649"/>
      <c r="HM22" s="1649"/>
      <c r="HP22" s="1649"/>
      <c r="HS22" s="1649"/>
      <c r="HV22" s="1649"/>
      <c r="HY22" s="1649"/>
      <c r="IB22" s="1649"/>
      <c r="IE22" s="1649"/>
      <c r="IH22" s="1649"/>
      <c r="IK22" s="1649"/>
      <c r="IN22" s="1649"/>
      <c r="IQ22" s="1649"/>
      <c r="IT22" s="1649"/>
      <c r="IW22" s="1649"/>
      <c r="IZ22" s="1649"/>
      <c r="JC22" s="1649"/>
      <c r="JF22" s="1649"/>
      <c r="JI22" s="1649"/>
      <c r="JL22" s="1649"/>
      <c r="JO22" s="1649"/>
      <c r="JR22" s="1649"/>
      <c r="JU22" s="1649"/>
      <c r="JX22" s="1649"/>
      <c r="KA22" s="1649"/>
      <c r="KD22" s="1649"/>
      <c r="KG22" s="1649"/>
      <c r="KJ22" s="1649"/>
      <c r="KM22" s="1649"/>
      <c r="KP22" s="1649"/>
      <c r="KS22" s="1649"/>
      <c r="KV22" s="1649"/>
      <c r="KY22" s="1649"/>
      <c r="LB22" s="1649"/>
      <c r="LE22" s="1649"/>
      <c r="LH22" s="1649"/>
      <c r="LK22" s="1649"/>
      <c r="LN22" s="1649"/>
      <c r="LQ22" s="1649"/>
      <c r="LT22" s="1649"/>
      <c r="LW22" s="1649"/>
      <c r="LZ22" s="1649"/>
      <c r="MC22" s="1649"/>
      <c r="MF22" s="1649"/>
      <c r="MI22" s="1649"/>
      <c r="ML22" s="1649"/>
      <c r="MO22" s="1649"/>
      <c r="MR22" s="1649"/>
      <c r="MU22" s="1649"/>
      <c r="MX22" s="1649"/>
      <c r="NA22" s="1649"/>
      <c r="ND22" s="1649"/>
      <c r="NG22" s="1649"/>
      <c r="NJ22" s="1649"/>
      <c r="NM22" s="1649"/>
      <c r="NP22" s="1649"/>
      <c r="NS22" s="1649"/>
      <c r="NV22" s="1649"/>
      <c r="NY22" s="1649"/>
      <c r="OB22" s="1649"/>
      <c r="OE22" s="1649"/>
      <c r="OH22" s="1649"/>
      <c r="OK22" s="1649"/>
      <c r="ON22" s="1649"/>
      <c r="OQ22" s="1649"/>
      <c r="OT22" s="1649"/>
      <c r="OW22" s="1649"/>
      <c r="OZ22" s="1649"/>
      <c r="PC22" s="1649"/>
      <c r="PF22" s="1649"/>
      <c r="PI22" s="1649"/>
      <c r="PL22" s="1649"/>
      <c r="PO22" s="1649"/>
      <c r="PR22" s="1649"/>
      <c r="PU22" s="1649"/>
      <c r="PX22" s="1649"/>
      <c r="QA22" s="1649"/>
      <c r="QD22" s="1649"/>
      <c r="QG22" s="1649"/>
      <c r="QJ22" s="1649"/>
      <c r="QM22" s="1649"/>
      <c r="QP22" s="1649"/>
      <c r="QS22" s="1649"/>
      <c r="QV22" s="1649"/>
      <c r="QY22" s="1649"/>
      <c r="RB22" s="1649"/>
      <c r="RE22" s="1649"/>
      <c r="RH22" s="1649"/>
      <c r="RK22" s="1649"/>
      <c r="RN22" s="1649"/>
      <c r="RQ22" s="1649"/>
      <c r="RT22" s="1649"/>
      <c r="RW22" s="1649"/>
      <c r="RZ22" s="1649"/>
      <c r="SC22" s="1649"/>
      <c r="SF22" s="1649"/>
      <c r="SI22" s="1649"/>
      <c r="SL22" s="1649"/>
      <c r="SO22" s="1649"/>
      <c r="SR22" s="1649"/>
      <c r="SU22" s="1649"/>
      <c r="SX22" s="1649"/>
      <c r="TA22" s="1649"/>
      <c r="TD22" s="1649"/>
      <c r="TG22" s="1649"/>
      <c r="TJ22" s="1649"/>
      <c r="TM22" s="1649"/>
      <c r="TP22" s="1649"/>
      <c r="TS22" s="1649"/>
      <c r="TV22" s="1649"/>
      <c r="TY22" s="1649"/>
      <c r="UB22" s="1649"/>
      <c r="UE22" s="1649"/>
      <c r="UH22" s="1649"/>
      <c r="UK22" s="1649"/>
      <c r="UN22" s="1649"/>
      <c r="UQ22" s="1649"/>
      <c r="UT22" s="1649"/>
      <c r="UW22" s="1649"/>
      <c r="UZ22" s="1649"/>
      <c r="VC22" s="1649"/>
      <c r="VF22" s="1649"/>
      <c r="VI22" s="1649"/>
      <c r="VL22" s="1649"/>
      <c r="VO22" s="1649"/>
      <c r="VR22" s="1649"/>
      <c r="VU22" s="1649"/>
      <c r="VX22" s="1649"/>
      <c r="WA22" s="1649"/>
      <c r="WD22" s="1649"/>
      <c r="WG22" s="1649"/>
      <c r="WJ22" s="1649"/>
      <c r="WM22" s="1649"/>
      <c r="WP22" s="1649"/>
      <c r="WS22" s="1649"/>
      <c r="WV22" s="1649"/>
      <c r="WY22" s="1649"/>
      <c r="XB22" s="1649"/>
      <c r="XE22" s="1649"/>
      <c r="XH22" s="1649"/>
      <c r="XK22" s="1649"/>
      <c r="XN22" s="1649"/>
      <c r="XQ22" s="1649"/>
      <c r="XT22" s="1649"/>
      <c r="XW22" s="1649"/>
      <c r="XZ22" s="1649"/>
      <c r="YC22" s="1649"/>
      <c r="YF22" s="1649"/>
      <c r="YI22" s="1649"/>
      <c r="YL22" s="1649"/>
      <c r="YO22" s="1649"/>
      <c r="YR22" s="1649"/>
      <c r="YU22" s="1649"/>
      <c r="YX22" s="1649"/>
      <c r="ZA22" s="1649"/>
      <c r="ZD22" s="1649"/>
      <c r="ZG22" s="1649"/>
      <c r="ZJ22" s="1649"/>
      <c r="ZM22" s="1649"/>
      <c r="ZP22" s="1649"/>
      <c r="ZS22" s="1649"/>
      <c r="ZV22" s="1649"/>
      <c r="ZY22" s="1649"/>
      <c r="AAB22" s="1649"/>
      <c r="AAE22" s="1649"/>
      <c r="AAH22" s="1649"/>
      <c r="AAK22" s="1649"/>
      <c r="AAN22" s="1649"/>
      <c r="AAQ22" s="1649"/>
      <c r="AAT22" s="1649"/>
      <c r="AAW22" s="1649"/>
      <c r="AAZ22" s="1649"/>
      <c r="ABC22" s="1649"/>
      <c r="ABF22" s="1649"/>
      <c r="ABI22" s="1649"/>
      <c r="ABL22" s="1649"/>
      <c r="ABO22" s="1649"/>
      <c r="ABR22" s="1649"/>
      <c r="ABU22" s="1649"/>
      <c r="ABX22" s="1649"/>
      <c r="ACA22" s="1649"/>
      <c r="ACD22" s="1649"/>
      <c r="ACG22" s="1649"/>
      <c r="ACJ22" s="1649"/>
      <c r="ACM22" s="1649"/>
      <c r="ACP22" s="1649"/>
      <c r="ACS22" s="1649"/>
      <c r="ACV22" s="1649"/>
      <c r="ACY22" s="1649"/>
      <c r="ADB22" s="1649"/>
      <c r="ADE22" s="1649"/>
      <c r="ADH22" s="1649"/>
      <c r="ADK22" s="1649"/>
      <c r="ADN22" s="1649"/>
      <c r="ADQ22" s="1649"/>
      <c r="ADT22" s="1649"/>
      <c r="ADW22" s="1649"/>
      <c r="ADZ22" s="1649"/>
      <c r="AEC22" s="1649"/>
      <c r="AEF22" s="1649"/>
      <c r="AEI22" s="1649"/>
      <c r="AEL22" s="1649"/>
      <c r="AEO22" s="1649"/>
      <c r="AER22" s="1649"/>
      <c r="AEU22" s="1649"/>
      <c r="AEX22" s="1649"/>
      <c r="AFA22" s="1649"/>
      <c r="AFD22" s="1649"/>
      <c r="AFG22" s="1649"/>
      <c r="AFJ22" s="1649"/>
      <c r="AFM22" s="1649"/>
      <c r="AFP22" s="1649"/>
      <c r="AFS22" s="1649"/>
      <c r="AFV22" s="1649"/>
      <c r="AFY22" s="1649"/>
      <c r="AGB22" s="1649"/>
      <c r="AGE22" s="1649"/>
      <c r="AGH22" s="1649"/>
      <c r="AGK22" s="1649"/>
      <c r="AGN22" s="1649"/>
      <c r="AGQ22" s="1649"/>
      <c r="AGT22" s="1649"/>
      <c r="AGW22" s="1649"/>
      <c r="AGZ22" s="1649"/>
      <c r="AHC22" s="1649"/>
      <c r="AHF22" s="1649"/>
      <c r="AHI22" s="1649"/>
      <c r="AHL22" s="1649"/>
      <c r="AHO22" s="1649"/>
      <c r="AHR22" s="1649"/>
      <c r="AHU22" s="1649"/>
      <c r="AHX22" s="1649"/>
      <c r="AIA22" s="1649"/>
      <c r="AID22" s="1649"/>
      <c r="AIG22" s="1649"/>
      <c r="AIJ22" s="1649"/>
      <c r="AIM22" s="1649"/>
      <c r="AIP22" s="1649"/>
      <c r="AIS22" s="1649"/>
      <c r="AIV22" s="1649"/>
      <c r="AIY22" s="1649"/>
      <c r="AJB22" s="1649"/>
      <c r="AJE22" s="1649"/>
      <c r="AJH22" s="1649"/>
      <c r="AJK22" s="1649"/>
      <c r="AJN22" s="1649"/>
      <c r="AJQ22" s="1649"/>
      <c r="AJT22" s="1649"/>
      <c r="AJW22" s="1649"/>
      <c r="AJZ22" s="1649"/>
      <c r="AKC22" s="1649"/>
      <c r="AKF22" s="1649"/>
      <c r="AKI22" s="1649"/>
      <c r="AKL22" s="1649"/>
      <c r="AKO22" s="1649"/>
      <c r="AKR22" s="1649"/>
      <c r="AKU22" s="1649"/>
      <c r="AKX22" s="1649"/>
      <c r="ALA22" s="1649"/>
      <c r="ALD22" s="1649"/>
      <c r="ALG22" s="1649"/>
      <c r="ALJ22" s="1649"/>
      <c r="ALM22" s="1649"/>
      <c r="ALP22" s="1649"/>
      <c r="ALS22" s="1649"/>
      <c r="ALV22" s="1649"/>
      <c r="ALY22" s="1649"/>
      <c r="AMB22" s="1649"/>
      <c r="AME22" s="1649"/>
      <c r="AMH22" s="1649"/>
      <c r="AMK22" s="1649"/>
      <c r="AMN22" s="1649"/>
      <c r="AMQ22" s="1649"/>
      <c r="AMT22" s="1649"/>
      <c r="AMW22" s="1649"/>
      <c r="AMZ22" s="1649"/>
      <c r="ANC22" s="1649"/>
      <c r="ANF22" s="1649"/>
      <c r="ANI22" s="1649"/>
      <c r="ANL22" s="1649"/>
      <c r="ANO22" s="1649"/>
      <c r="ANR22" s="1649"/>
      <c r="ANU22" s="1649"/>
      <c r="ANX22" s="1649"/>
      <c r="AOA22" s="1649"/>
      <c r="AOD22" s="1649"/>
      <c r="AOG22" s="1649"/>
      <c r="AOJ22" s="1649"/>
      <c r="AOM22" s="1649"/>
      <c r="AOP22" s="1649"/>
      <c r="AOS22" s="1649"/>
      <c r="AOV22" s="1649"/>
      <c r="AOY22" s="1649"/>
      <c r="APB22" s="1649"/>
      <c r="APE22" s="1649"/>
      <c r="APH22" s="1649"/>
      <c r="APK22" s="1649"/>
      <c r="APN22" s="1649"/>
      <c r="APQ22" s="1649"/>
      <c r="APT22" s="1649"/>
      <c r="APW22" s="1649"/>
      <c r="APZ22" s="1649"/>
      <c r="AQC22" s="1649"/>
      <c r="AQF22" s="1649"/>
      <c r="AQI22" s="1649"/>
      <c r="AQL22" s="1649"/>
      <c r="AQO22" s="1649"/>
      <c r="AQR22" s="1649"/>
      <c r="AQU22" s="1649"/>
      <c r="AQX22" s="1649"/>
      <c r="ARA22" s="1649"/>
      <c r="ARD22" s="1649"/>
      <c r="ARG22" s="1649"/>
      <c r="ARJ22" s="1649"/>
      <c r="ARM22" s="1649"/>
      <c r="ARP22" s="1649"/>
      <c r="ARS22" s="1649"/>
      <c r="ARV22" s="1649"/>
      <c r="ARY22" s="1649"/>
      <c r="ASB22" s="1649"/>
      <c r="ASE22" s="1649"/>
      <c r="ASH22" s="1649"/>
      <c r="ASK22" s="1649"/>
      <c r="ASN22" s="1649"/>
      <c r="ASQ22" s="1649"/>
      <c r="AST22" s="1649"/>
      <c r="ASW22" s="1649"/>
      <c r="ASZ22" s="1649"/>
      <c r="ATC22" s="1649"/>
      <c r="ATF22" s="1649"/>
      <c r="ATI22" s="1649"/>
      <c r="ATL22" s="1649"/>
      <c r="ATO22" s="1649"/>
      <c r="ATR22" s="1649"/>
      <c r="ATU22" s="1649"/>
      <c r="ATX22" s="1649"/>
      <c r="AUA22" s="1649"/>
      <c r="AUD22" s="1649"/>
      <c r="AUG22" s="1649"/>
      <c r="AUJ22" s="1649"/>
      <c r="AUM22" s="1649"/>
      <c r="AUP22" s="1649"/>
      <c r="AUS22" s="1649"/>
      <c r="AUV22" s="1649"/>
      <c r="AUY22" s="1649"/>
      <c r="AVB22" s="1649"/>
      <c r="AVE22" s="1649"/>
      <c r="AVH22" s="1649"/>
      <c r="AVK22" s="1649"/>
      <c r="AVN22" s="1649"/>
      <c r="AVQ22" s="1649"/>
      <c r="AVT22" s="1649"/>
      <c r="AVW22" s="1649"/>
      <c r="AVZ22" s="1649"/>
      <c r="AWC22" s="1649"/>
      <c r="AWF22" s="1649"/>
      <c r="AWI22" s="1649"/>
      <c r="AWL22" s="1649"/>
      <c r="AWO22" s="1649"/>
      <c r="AWR22" s="1649"/>
      <c r="AWU22" s="1649"/>
      <c r="AWX22" s="1649"/>
      <c r="AXA22" s="1649"/>
      <c r="AXD22" s="1649"/>
      <c r="AXG22" s="1649"/>
      <c r="AXJ22" s="1649"/>
      <c r="AXM22" s="1649"/>
      <c r="AXP22" s="1649"/>
      <c r="AXS22" s="1649"/>
      <c r="AXV22" s="1649"/>
      <c r="AXY22" s="1649"/>
      <c r="AYB22" s="1649"/>
      <c r="AYE22" s="1649"/>
      <c r="AYH22" s="1649"/>
      <c r="AYK22" s="1649"/>
      <c r="AYN22" s="1649"/>
      <c r="AYQ22" s="1649"/>
      <c r="AYT22" s="1649"/>
      <c r="AYW22" s="1649"/>
      <c r="AYZ22" s="1649"/>
      <c r="AZC22" s="1649"/>
      <c r="AZF22" s="1649"/>
      <c r="AZI22" s="1649"/>
      <c r="AZL22" s="1649"/>
      <c r="AZO22" s="1649"/>
      <c r="AZR22" s="1649"/>
      <c r="AZU22" s="1649"/>
      <c r="AZX22" s="1649"/>
      <c r="BAA22" s="1649"/>
      <c r="BAD22" s="1649"/>
      <c r="BAG22" s="1649"/>
      <c r="BAJ22" s="1649"/>
      <c r="BAM22" s="1649"/>
      <c r="BAP22" s="1649"/>
      <c r="BAS22" s="1649"/>
      <c r="BAV22" s="1649"/>
      <c r="BAY22" s="1649"/>
      <c r="BBB22" s="1649"/>
      <c r="BBE22" s="1649"/>
      <c r="BBH22" s="1649"/>
      <c r="BBK22" s="1649"/>
      <c r="BBN22" s="1649"/>
      <c r="BBQ22" s="1649"/>
      <c r="BBT22" s="1649"/>
      <c r="BBW22" s="1649"/>
      <c r="BBZ22" s="1649"/>
      <c r="BCC22" s="1649"/>
      <c r="BCF22" s="1649"/>
      <c r="BCI22" s="1649"/>
      <c r="BCL22" s="1649"/>
      <c r="BCO22" s="1649"/>
      <c r="BCR22" s="1649"/>
      <c r="BCU22" s="1649"/>
      <c r="BCX22" s="1649"/>
      <c r="BDA22" s="1649"/>
      <c r="BDD22" s="1649"/>
      <c r="BDG22" s="1649"/>
      <c r="BDJ22" s="1649"/>
      <c r="BDM22" s="1649"/>
      <c r="BDP22" s="1649"/>
      <c r="BDS22" s="1649"/>
      <c r="BDV22" s="1649"/>
      <c r="BDY22" s="1649"/>
      <c r="BEB22" s="1649"/>
      <c r="BEE22" s="1649"/>
      <c r="BEH22" s="1649"/>
      <c r="BEK22" s="1649"/>
      <c r="BEN22" s="1649"/>
      <c r="BEQ22" s="1649"/>
      <c r="BET22" s="1649"/>
      <c r="BEW22" s="1649"/>
      <c r="BEZ22" s="1649"/>
      <c r="BFC22" s="1649"/>
      <c r="BFF22" s="1649"/>
      <c r="BFI22" s="1649"/>
      <c r="BFL22" s="1649"/>
      <c r="BFO22" s="1649"/>
      <c r="BFR22" s="1649"/>
      <c r="BFU22" s="1649"/>
      <c r="BFX22" s="1649"/>
      <c r="BGA22" s="1649"/>
      <c r="BGD22" s="1649"/>
      <c r="BGG22" s="1649"/>
      <c r="BGJ22" s="1649"/>
      <c r="BGM22" s="1649"/>
      <c r="BGP22" s="1649"/>
      <c r="BGS22" s="1649"/>
      <c r="BGV22" s="1649"/>
      <c r="BGY22" s="1649"/>
      <c r="BHB22" s="1649"/>
      <c r="BHE22" s="1649"/>
      <c r="BHH22" s="1649"/>
      <c r="BHK22" s="1649"/>
      <c r="BHN22" s="1649"/>
      <c r="BHQ22" s="1649"/>
      <c r="BHT22" s="1649"/>
      <c r="BHW22" s="1649"/>
      <c r="BHZ22" s="1649"/>
      <c r="BIC22" s="1649"/>
      <c r="BIF22" s="1649"/>
      <c r="BII22" s="1649"/>
      <c r="BIL22" s="1649"/>
      <c r="BIO22" s="1649"/>
      <c r="BIR22" s="1649"/>
      <c r="BIU22" s="1649"/>
      <c r="BIX22" s="1649"/>
      <c r="BJA22" s="1649"/>
      <c r="BJD22" s="1649"/>
      <c r="BJG22" s="1649"/>
      <c r="BJJ22" s="1649"/>
      <c r="BJM22" s="1649"/>
      <c r="BJP22" s="1649"/>
      <c r="BJS22" s="1649"/>
      <c r="BJV22" s="1649"/>
      <c r="BJY22" s="1649"/>
      <c r="BKB22" s="1649"/>
      <c r="BKE22" s="1649"/>
      <c r="BKH22" s="1649"/>
      <c r="BKK22" s="1649"/>
      <c r="BKN22" s="1649"/>
      <c r="BKQ22" s="1649"/>
      <c r="BKT22" s="1649"/>
      <c r="BKW22" s="1649"/>
      <c r="BKZ22" s="1649"/>
      <c r="BLC22" s="1649"/>
      <c r="BLF22" s="1649"/>
      <c r="BLI22" s="1649"/>
      <c r="BLL22" s="1649"/>
      <c r="BLO22" s="1649"/>
      <c r="BLR22" s="1649"/>
      <c r="BLU22" s="1649"/>
      <c r="BLX22" s="1649"/>
      <c r="BMA22" s="1649"/>
      <c r="BMD22" s="1649"/>
      <c r="BMG22" s="1649"/>
      <c r="BMJ22" s="1649"/>
      <c r="BMM22" s="1649"/>
      <c r="BMP22" s="1649"/>
      <c r="BMS22" s="1649"/>
      <c r="BMV22" s="1649"/>
      <c r="BMY22" s="1649"/>
      <c r="BNB22" s="1649"/>
      <c r="BNE22" s="1649"/>
      <c r="BNH22" s="1649"/>
      <c r="BNK22" s="1649"/>
      <c r="BNN22" s="1649"/>
      <c r="BNQ22" s="1649"/>
      <c r="BNT22" s="1649"/>
      <c r="BNW22" s="1649"/>
      <c r="BNZ22" s="1649"/>
      <c r="BOC22" s="1649"/>
      <c r="BOF22" s="1649"/>
      <c r="BOI22" s="1649"/>
      <c r="BOL22" s="1649"/>
      <c r="BOO22" s="1649"/>
      <c r="BOR22" s="1649"/>
      <c r="BOU22" s="1649"/>
      <c r="BOX22" s="1649"/>
      <c r="BPA22" s="1649"/>
      <c r="BPD22" s="1649"/>
      <c r="BPG22" s="1649"/>
      <c r="BPJ22" s="1649"/>
      <c r="BPM22" s="1649"/>
      <c r="BPP22" s="1649"/>
      <c r="BPS22" s="1649"/>
      <c r="BPV22" s="1649"/>
      <c r="BPY22" s="1649"/>
      <c r="BQB22" s="1649"/>
      <c r="BQE22" s="1649"/>
      <c r="BQH22" s="1649"/>
      <c r="BQK22" s="1649"/>
      <c r="BQN22" s="1649"/>
      <c r="BQQ22" s="1649"/>
      <c r="BQT22" s="1649"/>
      <c r="BQW22" s="1649"/>
      <c r="BQZ22" s="1649"/>
      <c r="BRC22" s="1649"/>
      <c r="BRF22" s="1649"/>
      <c r="BRI22" s="1649"/>
      <c r="BRL22" s="1649"/>
      <c r="BRO22" s="1649"/>
      <c r="BRR22" s="1649"/>
      <c r="BRU22" s="1649"/>
      <c r="BRX22" s="1649"/>
      <c r="BSA22" s="1649"/>
      <c r="BSD22" s="1649"/>
      <c r="BSG22" s="1649"/>
      <c r="BSJ22" s="1649"/>
      <c r="BSM22" s="1649"/>
      <c r="BSP22" s="1649"/>
      <c r="BSS22" s="1649"/>
      <c r="BSV22" s="1649"/>
      <c r="BSY22" s="1649"/>
      <c r="BTB22" s="1649"/>
      <c r="BTE22" s="1649"/>
      <c r="BTH22" s="1649"/>
      <c r="BTK22" s="1649"/>
      <c r="BTN22" s="1649"/>
      <c r="BTQ22" s="1649"/>
      <c r="BTT22" s="1649"/>
      <c r="BTW22" s="1649"/>
      <c r="BTZ22" s="1649"/>
      <c r="BUC22" s="1649"/>
      <c r="BUF22" s="1649"/>
      <c r="BUI22" s="1649"/>
      <c r="BUL22" s="1649"/>
      <c r="BUO22" s="1649"/>
      <c r="BUR22" s="1649"/>
      <c r="BUU22" s="1649"/>
      <c r="BUX22" s="1649"/>
      <c r="BVA22" s="1649"/>
      <c r="BVD22" s="1649"/>
      <c r="BVG22" s="1649"/>
      <c r="BVJ22" s="1649"/>
      <c r="BVM22" s="1649"/>
      <c r="BVP22" s="1649"/>
      <c r="BVS22" s="1649"/>
      <c r="BVV22" s="1649"/>
      <c r="BVY22" s="1649"/>
      <c r="BWB22" s="1649"/>
      <c r="BWE22" s="1649"/>
      <c r="BWH22" s="1649"/>
      <c r="BWK22" s="1649"/>
      <c r="BWN22" s="1649"/>
      <c r="BWQ22" s="1649"/>
      <c r="BWT22" s="1649"/>
      <c r="BWW22" s="1649"/>
      <c r="BWZ22" s="1649"/>
      <c r="BXC22" s="1649"/>
      <c r="BXF22" s="1649"/>
      <c r="BXI22" s="1649"/>
      <c r="BXL22" s="1649"/>
      <c r="BXO22" s="1649"/>
      <c r="BXR22" s="1649"/>
      <c r="BXU22" s="1649"/>
      <c r="BXX22" s="1649"/>
      <c r="BYA22" s="1649"/>
      <c r="BYD22" s="1649"/>
      <c r="BYG22" s="1649"/>
      <c r="BYJ22" s="1649"/>
      <c r="BYM22" s="1649"/>
      <c r="BYP22" s="1649"/>
      <c r="BYS22" s="1649"/>
      <c r="BYV22" s="1649"/>
      <c r="BYY22" s="1649"/>
      <c r="BZB22" s="1649"/>
      <c r="BZE22" s="1649"/>
      <c r="BZH22" s="1649"/>
      <c r="BZK22" s="1649"/>
      <c r="BZN22" s="1649"/>
      <c r="BZQ22" s="1649"/>
      <c r="BZT22" s="1649"/>
      <c r="BZW22" s="1649"/>
      <c r="BZZ22" s="1649"/>
      <c r="CAC22" s="1649"/>
      <c r="CAF22" s="1649"/>
      <c r="CAI22" s="1649"/>
      <c r="CAL22" s="1649"/>
      <c r="CAO22" s="1649"/>
      <c r="CAR22" s="1649"/>
      <c r="CAU22" s="1649"/>
      <c r="CAX22" s="1649"/>
      <c r="CBA22" s="1649"/>
      <c r="CBD22" s="1649"/>
      <c r="CBG22" s="1649"/>
      <c r="CBJ22" s="1649"/>
      <c r="CBM22" s="1649"/>
      <c r="CBP22" s="1649"/>
      <c r="CBS22" s="1649"/>
      <c r="CBV22" s="1649"/>
      <c r="CBY22" s="1649"/>
      <c r="CCB22" s="1649"/>
      <c r="CCE22" s="1649"/>
      <c r="CCH22" s="1649"/>
      <c r="CCK22" s="1649"/>
      <c r="CCN22" s="1649"/>
      <c r="CCQ22" s="1649"/>
      <c r="CCT22" s="1649"/>
      <c r="CCW22" s="1649"/>
      <c r="CCZ22" s="1649"/>
      <c r="CDC22" s="1649"/>
      <c r="CDF22" s="1649"/>
      <c r="CDI22" s="1649"/>
      <c r="CDL22" s="1649"/>
      <c r="CDO22" s="1649"/>
      <c r="CDR22" s="1649"/>
      <c r="CDU22" s="1649"/>
      <c r="CDX22" s="1649"/>
      <c r="CEA22" s="1649"/>
      <c r="CED22" s="1649"/>
      <c r="CEG22" s="1649"/>
      <c r="CEJ22" s="1649"/>
      <c r="CEM22" s="1649"/>
      <c r="CEP22" s="1649"/>
      <c r="CES22" s="1649"/>
      <c r="CEV22" s="1649"/>
      <c r="CEY22" s="1649"/>
      <c r="CFB22" s="1649"/>
      <c r="CFE22" s="1649"/>
      <c r="CFH22" s="1649"/>
      <c r="CFK22" s="1649"/>
      <c r="CFN22" s="1649"/>
      <c r="CFQ22" s="1649"/>
      <c r="CFT22" s="1649"/>
      <c r="CFW22" s="1649"/>
      <c r="CFZ22" s="1649"/>
      <c r="CGC22" s="1649"/>
      <c r="CGF22" s="1649"/>
      <c r="CGI22" s="1649"/>
      <c r="CGL22" s="1649"/>
      <c r="CGO22" s="1649"/>
      <c r="CGR22" s="1649"/>
      <c r="CGU22" s="1649"/>
      <c r="CGX22" s="1649"/>
      <c r="CHA22" s="1649"/>
      <c r="CHD22" s="1649"/>
      <c r="CHG22" s="1649"/>
      <c r="CHJ22" s="1649"/>
      <c r="CHM22" s="1649"/>
      <c r="CHP22" s="1649"/>
      <c r="CHS22" s="1649"/>
      <c r="CHV22" s="1649"/>
      <c r="CHY22" s="1649"/>
      <c r="CIB22" s="1649"/>
      <c r="CIE22" s="1649"/>
      <c r="CIH22" s="1649"/>
      <c r="CIK22" s="1649"/>
      <c r="CIN22" s="1649"/>
      <c r="CIQ22" s="1649"/>
      <c r="CIT22" s="1649"/>
      <c r="CIW22" s="1649"/>
      <c r="CIZ22" s="1649"/>
      <c r="CJC22" s="1649"/>
      <c r="CJF22" s="1649"/>
      <c r="CJI22" s="1649"/>
      <c r="CJL22" s="1649"/>
      <c r="CJO22" s="1649"/>
      <c r="CJR22" s="1649"/>
      <c r="CJU22" s="1649"/>
      <c r="CJX22" s="1649"/>
      <c r="CKA22" s="1649"/>
      <c r="CKD22" s="1649"/>
      <c r="CKG22" s="1649"/>
      <c r="CKJ22" s="1649"/>
      <c r="CKM22" s="1649"/>
      <c r="CKP22" s="1649"/>
      <c r="CKS22" s="1649"/>
      <c r="CKV22" s="1649"/>
      <c r="CKY22" s="1649"/>
      <c r="CLB22" s="1649"/>
      <c r="CLE22" s="1649"/>
      <c r="CLH22" s="1649"/>
      <c r="CLK22" s="1649"/>
      <c r="CLN22" s="1649"/>
      <c r="CLQ22" s="1649"/>
      <c r="CLT22" s="1649"/>
      <c r="CLW22" s="1649"/>
      <c r="CLZ22" s="1649"/>
      <c r="CMC22" s="1649"/>
      <c r="CMF22" s="1649"/>
      <c r="CMI22" s="1649"/>
      <c r="CML22" s="1649"/>
      <c r="CMO22" s="1649"/>
      <c r="CMR22" s="1649"/>
      <c r="CMU22" s="1649"/>
      <c r="CMX22" s="1649"/>
      <c r="CNA22" s="1649"/>
      <c r="CND22" s="1649"/>
      <c r="CNG22" s="1649"/>
      <c r="CNJ22" s="1649"/>
      <c r="CNM22" s="1649"/>
      <c r="CNP22" s="1649"/>
      <c r="CNS22" s="1649"/>
      <c r="CNV22" s="1649"/>
      <c r="CNY22" s="1649"/>
      <c r="COB22" s="1649"/>
      <c r="COE22" s="1649"/>
      <c r="COH22" s="1649"/>
      <c r="COK22" s="1649"/>
      <c r="CON22" s="1649"/>
      <c r="COQ22" s="1649"/>
      <c r="COT22" s="1649"/>
      <c r="COW22" s="1649"/>
      <c r="COZ22" s="1649"/>
      <c r="CPC22" s="1649"/>
      <c r="CPF22" s="1649"/>
      <c r="CPI22" s="1649"/>
      <c r="CPL22" s="1649"/>
      <c r="CPO22" s="1649"/>
      <c r="CPR22" s="1649"/>
      <c r="CPU22" s="1649"/>
      <c r="CPX22" s="1649"/>
      <c r="CQA22" s="1649"/>
      <c r="CQD22" s="1649"/>
      <c r="CQG22" s="1649"/>
      <c r="CQJ22" s="1649"/>
      <c r="CQM22" s="1649"/>
      <c r="CQP22" s="1649"/>
      <c r="CQS22" s="1649"/>
      <c r="CQV22" s="1649"/>
      <c r="CQY22" s="1649"/>
      <c r="CRB22" s="1649"/>
      <c r="CRE22" s="1649"/>
      <c r="CRH22" s="1649"/>
      <c r="CRK22" s="1649"/>
      <c r="CRN22" s="1649"/>
      <c r="CRQ22" s="1649"/>
      <c r="CRT22" s="1649"/>
      <c r="CRW22" s="1649"/>
      <c r="CRZ22" s="1649"/>
      <c r="CSC22" s="1649"/>
      <c r="CSF22" s="1649"/>
      <c r="CSI22" s="1649"/>
      <c r="CSL22" s="1649"/>
      <c r="CSO22" s="1649"/>
      <c r="CSR22" s="1649"/>
      <c r="CSU22" s="1649"/>
      <c r="CSX22" s="1649"/>
      <c r="CTA22" s="1649"/>
      <c r="CTD22" s="1649"/>
      <c r="CTG22" s="1649"/>
      <c r="CTJ22" s="1649"/>
      <c r="CTM22" s="1649"/>
      <c r="CTP22" s="1649"/>
      <c r="CTS22" s="1649"/>
      <c r="CTV22" s="1649"/>
      <c r="CTY22" s="1649"/>
      <c r="CUB22" s="1649"/>
      <c r="CUE22" s="1649"/>
      <c r="CUH22" s="1649"/>
      <c r="CUK22" s="1649"/>
      <c r="CUN22" s="1649"/>
      <c r="CUQ22" s="1649"/>
      <c r="CUT22" s="1649"/>
      <c r="CUW22" s="1649"/>
      <c r="CUZ22" s="1649"/>
      <c r="CVC22" s="1649"/>
      <c r="CVF22" s="1649"/>
      <c r="CVI22" s="1649"/>
      <c r="CVL22" s="1649"/>
      <c r="CVO22" s="1649"/>
      <c r="CVR22" s="1649"/>
      <c r="CVU22" s="1649"/>
      <c r="CVX22" s="1649"/>
      <c r="CWA22" s="1649"/>
      <c r="CWD22" s="1649"/>
      <c r="CWG22" s="1649"/>
      <c r="CWJ22" s="1649"/>
      <c r="CWM22" s="1649"/>
      <c r="CWP22" s="1649"/>
      <c r="CWS22" s="1649"/>
      <c r="CWV22" s="1649"/>
      <c r="CWY22" s="1649"/>
      <c r="CXB22" s="1649"/>
      <c r="CXE22" s="1649"/>
      <c r="CXH22" s="1649"/>
      <c r="CXK22" s="1649"/>
      <c r="CXN22" s="1649"/>
      <c r="CXQ22" s="1649"/>
      <c r="CXT22" s="1649"/>
      <c r="CXW22" s="1649"/>
      <c r="CXZ22" s="1649"/>
      <c r="CYC22" s="1649"/>
      <c r="CYF22" s="1649"/>
      <c r="CYI22" s="1649"/>
      <c r="CYL22" s="1649"/>
      <c r="CYO22" s="1649"/>
      <c r="CYR22" s="1649"/>
      <c r="CYU22" s="1649"/>
      <c r="CYX22" s="1649"/>
      <c r="CZA22" s="1649"/>
      <c r="CZD22" s="1649"/>
      <c r="CZG22" s="1649"/>
      <c r="CZJ22" s="1649"/>
      <c r="CZM22" s="1649"/>
      <c r="CZP22" s="1649"/>
      <c r="CZS22" s="1649"/>
      <c r="CZV22" s="1649"/>
      <c r="CZY22" s="1649"/>
      <c r="DAB22" s="1649"/>
      <c r="DAE22" s="1649"/>
      <c r="DAH22" s="1649"/>
      <c r="DAK22" s="1649"/>
      <c r="DAN22" s="1649"/>
      <c r="DAQ22" s="1649"/>
      <c r="DAT22" s="1649"/>
      <c r="DAW22" s="1649"/>
      <c r="DAZ22" s="1649"/>
      <c r="DBC22" s="1649"/>
      <c r="DBF22" s="1649"/>
      <c r="DBI22" s="1649"/>
      <c r="DBL22" s="1649"/>
      <c r="DBO22" s="1649"/>
      <c r="DBR22" s="1649"/>
      <c r="DBU22" s="1649"/>
      <c r="DBX22" s="1649"/>
      <c r="DCA22" s="1649"/>
      <c r="DCD22" s="1649"/>
      <c r="DCG22" s="1649"/>
      <c r="DCJ22" s="1649"/>
      <c r="DCM22" s="1649"/>
      <c r="DCP22" s="1649"/>
      <c r="DCS22" s="1649"/>
      <c r="DCV22" s="1649"/>
      <c r="DCY22" s="1649"/>
      <c r="DDB22" s="1649"/>
      <c r="DDE22" s="1649"/>
      <c r="DDH22" s="1649"/>
      <c r="DDK22" s="1649"/>
      <c r="DDN22" s="1649"/>
      <c r="DDQ22" s="1649"/>
      <c r="DDT22" s="1649"/>
      <c r="DDW22" s="1649"/>
      <c r="DDZ22" s="1649"/>
      <c r="DEC22" s="1649"/>
      <c r="DEF22" s="1649"/>
      <c r="DEI22" s="1649"/>
      <c r="DEL22" s="1649"/>
      <c r="DEO22" s="1649"/>
      <c r="DER22" s="1649"/>
      <c r="DEU22" s="1649"/>
      <c r="DEX22" s="1649"/>
      <c r="DFA22" s="1649"/>
      <c r="DFD22" s="1649"/>
      <c r="DFG22" s="1649"/>
      <c r="DFJ22" s="1649"/>
      <c r="DFM22" s="1649"/>
      <c r="DFP22" s="1649"/>
      <c r="DFS22" s="1649"/>
      <c r="DFV22" s="1649"/>
      <c r="DFY22" s="1649"/>
      <c r="DGB22" s="1649"/>
      <c r="DGE22" s="1649"/>
      <c r="DGH22" s="1649"/>
      <c r="DGK22" s="1649"/>
      <c r="DGN22" s="1649"/>
      <c r="DGQ22" s="1649"/>
      <c r="DGT22" s="1649"/>
      <c r="DGW22" s="1649"/>
      <c r="DGZ22" s="1649"/>
      <c r="DHC22" s="1649"/>
      <c r="DHF22" s="1649"/>
      <c r="DHI22" s="1649"/>
      <c r="DHL22" s="1649"/>
      <c r="DHO22" s="1649"/>
      <c r="DHR22" s="1649"/>
      <c r="DHU22" s="1649"/>
      <c r="DHX22" s="1649"/>
      <c r="DIA22" s="1649"/>
      <c r="DID22" s="1649"/>
      <c r="DIG22" s="1649"/>
      <c r="DIJ22" s="1649"/>
      <c r="DIM22" s="1649"/>
      <c r="DIP22" s="1649"/>
      <c r="DIS22" s="1649"/>
      <c r="DIV22" s="1649"/>
      <c r="DIY22" s="1649"/>
      <c r="DJB22" s="1649"/>
      <c r="DJE22" s="1649"/>
      <c r="DJH22" s="1649"/>
      <c r="DJK22" s="1649"/>
      <c r="DJN22" s="1649"/>
      <c r="DJQ22" s="1649"/>
      <c r="DJT22" s="1649"/>
      <c r="DJW22" s="1649"/>
      <c r="DJZ22" s="1649"/>
      <c r="DKC22" s="1649"/>
      <c r="DKF22" s="1649"/>
      <c r="DKI22" s="1649"/>
      <c r="DKL22" s="1649"/>
      <c r="DKO22" s="1649"/>
      <c r="DKR22" s="1649"/>
      <c r="DKU22" s="1649"/>
      <c r="DKX22" s="1649"/>
      <c r="DLA22" s="1649"/>
      <c r="DLD22" s="1649"/>
      <c r="DLG22" s="1649"/>
      <c r="DLJ22" s="1649"/>
      <c r="DLM22" s="1649"/>
      <c r="DLP22" s="1649"/>
      <c r="DLS22" s="1649"/>
      <c r="DLV22" s="1649"/>
      <c r="DLY22" s="1649"/>
      <c r="DMB22" s="1649"/>
      <c r="DME22" s="1649"/>
      <c r="DMH22" s="1649"/>
      <c r="DMK22" s="1649"/>
      <c r="DMN22" s="1649"/>
      <c r="DMQ22" s="1649"/>
      <c r="DMT22" s="1649"/>
      <c r="DMW22" s="1649"/>
      <c r="DMZ22" s="1649"/>
      <c r="DNC22" s="1649"/>
      <c r="DNF22" s="1649"/>
      <c r="DNI22" s="1649"/>
      <c r="DNL22" s="1649"/>
      <c r="DNO22" s="1649"/>
      <c r="DNR22" s="1649"/>
      <c r="DNU22" s="1649"/>
      <c r="DNX22" s="1649"/>
      <c r="DOA22" s="1649"/>
      <c r="DOD22" s="1649"/>
      <c r="DOG22" s="1649"/>
      <c r="DOJ22" s="1649"/>
      <c r="DOM22" s="1649"/>
      <c r="DOP22" s="1649"/>
      <c r="DOS22" s="1649"/>
      <c r="DOV22" s="1649"/>
      <c r="DOY22" s="1649"/>
      <c r="DPB22" s="1649"/>
      <c r="DPE22" s="1649"/>
      <c r="DPH22" s="1649"/>
      <c r="DPK22" s="1649"/>
      <c r="DPN22" s="1649"/>
      <c r="DPQ22" s="1649"/>
      <c r="DPT22" s="1649"/>
      <c r="DPW22" s="1649"/>
      <c r="DPZ22" s="1649"/>
      <c r="DQC22" s="1649"/>
      <c r="DQF22" s="1649"/>
      <c r="DQI22" s="1649"/>
      <c r="DQL22" s="1649"/>
      <c r="DQO22" s="1649"/>
      <c r="DQR22" s="1649"/>
      <c r="DQU22" s="1649"/>
      <c r="DQX22" s="1649"/>
      <c r="DRA22" s="1649"/>
      <c r="DRD22" s="1649"/>
      <c r="DRG22" s="1649"/>
      <c r="DRJ22" s="1649"/>
      <c r="DRM22" s="1649"/>
      <c r="DRP22" s="1649"/>
      <c r="DRS22" s="1649"/>
      <c r="DRV22" s="1649"/>
      <c r="DRY22" s="1649"/>
      <c r="DSB22" s="1649"/>
      <c r="DSE22" s="1649"/>
      <c r="DSH22" s="1649"/>
      <c r="DSK22" s="1649"/>
      <c r="DSN22" s="1649"/>
      <c r="DSQ22" s="1649"/>
      <c r="DST22" s="1649"/>
      <c r="DSW22" s="1649"/>
      <c r="DSZ22" s="1649"/>
      <c r="DTC22" s="1649"/>
      <c r="DTF22" s="1649"/>
      <c r="DTI22" s="1649"/>
      <c r="DTL22" s="1649"/>
      <c r="DTO22" s="1649"/>
      <c r="DTR22" s="1649"/>
      <c r="DTU22" s="1649"/>
      <c r="DTX22" s="1649"/>
      <c r="DUA22" s="1649"/>
      <c r="DUD22" s="1649"/>
      <c r="DUG22" s="1649"/>
      <c r="DUJ22" s="1649"/>
      <c r="DUM22" s="1649"/>
      <c r="DUP22" s="1649"/>
      <c r="DUS22" s="1649"/>
      <c r="DUV22" s="1649"/>
      <c r="DUY22" s="1649"/>
      <c r="DVB22" s="1649"/>
      <c r="DVE22" s="1649"/>
      <c r="DVH22" s="1649"/>
      <c r="DVK22" s="1649"/>
      <c r="DVN22" s="1649"/>
      <c r="DVQ22" s="1649"/>
      <c r="DVT22" s="1649"/>
      <c r="DVW22" s="1649"/>
      <c r="DVZ22" s="1649"/>
      <c r="DWC22" s="1649"/>
      <c r="DWF22" s="1649"/>
      <c r="DWI22" s="1649"/>
      <c r="DWL22" s="1649"/>
      <c r="DWO22" s="1649"/>
      <c r="DWR22" s="1649"/>
      <c r="DWU22" s="1649"/>
      <c r="DWX22" s="1649"/>
      <c r="DXA22" s="1649"/>
      <c r="DXD22" s="1649"/>
      <c r="DXG22" s="1649"/>
      <c r="DXJ22" s="1649"/>
      <c r="DXM22" s="1649"/>
      <c r="DXP22" s="1649"/>
      <c r="DXS22" s="1649"/>
      <c r="DXV22" s="1649"/>
      <c r="DXY22" s="1649"/>
      <c r="DYB22" s="1649"/>
      <c r="DYE22" s="1649"/>
      <c r="DYH22" s="1649"/>
      <c r="DYK22" s="1649"/>
      <c r="DYN22" s="1649"/>
      <c r="DYQ22" s="1649"/>
      <c r="DYT22" s="1649"/>
      <c r="DYW22" s="1649"/>
      <c r="DYZ22" s="1649"/>
      <c r="DZC22" s="1649"/>
      <c r="DZF22" s="1649"/>
      <c r="DZI22" s="1649"/>
      <c r="DZL22" s="1649"/>
      <c r="DZO22" s="1649"/>
      <c r="DZR22" s="1649"/>
      <c r="DZU22" s="1649"/>
      <c r="DZX22" s="1649"/>
      <c r="EAA22" s="1649"/>
      <c r="EAD22" s="1649"/>
      <c r="EAG22" s="1649"/>
      <c r="EAJ22" s="1649"/>
      <c r="EAM22" s="1649"/>
      <c r="EAP22" s="1649"/>
      <c r="EAS22" s="1649"/>
      <c r="EAV22" s="1649"/>
      <c r="EAY22" s="1649"/>
      <c r="EBB22" s="1649"/>
      <c r="EBE22" s="1649"/>
      <c r="EBH22" s="1649"/>
      <c r="EBK22" s="1649"/>
      <c r="EBN22" s="1649"/>
      <c r="EBQ22" s="1649"/>
      <c r="EBT22" s="1649"/>
      <c r="EBW22" s="1649"/>
      <c r="EBZ22" s="1649"/>
      <c r="ECC22" s="1649"/>
      <c r="ECF22" s="1649"/>
      <c r="ECI22" s="1649"/>
      <c r="ECL22" s="1649"/>
      <c r="ECO22" s="1649"/>
      <c r="ECR22" s="1649"/>
      <c r="ECU22" s="1649"/>
      <c r="ECX22" s="1649"/>
      <c r="EDA22" s="1649"/>
      <c r="EDD22" s="1649"/>
      <c r="EDG22" s="1649"/>
      <c r="EDJ22" s="1649"/>
      <c r="EDM22" s="1649"/>
      <c r="EDP22" s="1649"/>
      <c r="EDS22" s="1649"/>
      <c r="EDV22" s="1649"/>
      <c r="EDY22" s="1649"/>
      <c r="EEB22" s="1649"/>
      <c r="EEE22" s="1649"/>
      <c r="EEH22" s="1649"/>
      <c r="EEK22" s="1649"/>
      <c r="EEN22" s="1649"/>
      <c r="EEQ22" s="1649"/>
      <c r="EET22" s="1649"/>
      <c r="EEW22" s="1649"/>
      <c r="EEZ22" s="1649"/>
      <c r="EFC22" s="1649"/>
      <c r="EFF22" s="1649"/>
      <c r="EFI22" s="1649"/>
      <c r="EFL22" s="1649"/>
      <c r="EFO22" s="1649"/>
      <c r="EFR22" s="1649"/>
      <c r="EFU22" s="1649"/>
      <c r="EFX22" s="1649"/>
      <c r="EGA22" s="1649"/>
      <c r="EGD22" s="1649"/>
      <c r="EGG22" s="1649"/>
      <c r="EGJ22" s="1649"/>
      <c r="EGM22" s="1649"/>
      <c r="EGP22" s="1649"/>
      <c r="EGS22" s="1649"/>
      <c r="EGV22" s="1649"/>
      <c r="EGY22" s="1649"/>
      <c r="EHB22" s="1649"/>
      <c r="EHE22" s="1649"/>
      <c r="EHH22" s="1649"/>
      <c r="EHK22" s="1649"/>
      <c r="EHN22" s="1649"/>
      <c r="EHQ22" s="1649"/>
      <c r="EHT22" s="1649"/>
      <c r="EHW22" s="1649"/>
      <c r="EHZ22" s="1649"/>
      <c r="EIC22" s="1649"/>
      <c r="EIF22" s="1649"/>
      <c r="EII22" s="1649"/>
      <c r="EIL22" s="1649"/>
      <c r="EIO22" s="1649"/>
      <c r="EIR22" s="1649"/>
      <c r="EIU22" s="1649"/>
      <c r="EIX22" s="1649"/>
      <c r="EJA22" s="1649"/>
      <c r="EJD22" s="1649"/>
      <c r="EJG22" s="1649"/>
      <c r="EJJ22" s="1649"/>
      <c r="EJM22" s="1649"/>
      <c r="EJP22" s="1649"/>
      <c r="EJS22" s="1649"/>
      <c r="EJV22" s="1649"/>
      <c r="EJY22" s="1649"/>
      <c r="EKB22" s="1649"/>
      <c r="EKE22" s="1649"/>
      <c r="EKH22" s="1649"/>
      <c r="EKK22" s="1649"/>
      <c r="EKN22" s="1649"/>
      <c r="EKQ22" s="1649"/>
      <c r="EKT22" s="1649"/>
      <c r="EKW22" s="1649"/>
      <c r="EKZ22" s="1649"/>
      <c r="ELC22" s="1649"/>
      <c r="ELF22" s="1649"/>
      <c r="ELI22" s="1649"/>
      <c r="ELL22" s="1649"/>
      <c r="ELO22" s="1649"/>
      <c r="ELR22" s="1649"/>
      <c r="ELU22" s="1649"/>
      <c r="ELX22" s="1649"/>
      <c r="EMA22" s="1649"/>
      <c r="EMD22" s="1649"/>
      <c r="EMG22" s="1649"/>
      <c r="EMJ22" s="1649"/>
      <c r="EMM22" s="1649"/>
      <c r="EMP22" s="1649"/>
      <c r="EMS22" s="1649"/>
      <c r="EMV22" s="1649"/>
      <c r="EMY22" s="1649"/>
      <c r="ENB22" s="1649"/>
      <c r="ENE22" s="1649"/>
      <c r="ENH22" s="1649"/>
      <c r="ENK22" s="1649"/>
      <c r="ENN22" s="1649"/>
      <c r="ENQ22" s="1649"/>
      <c r="ENT22" s="1649"/>
      <c r="ENW22" s="1649"/>
      <c r="ENZ22" s="1649"/>
      <c r="EOC22" s="1649"/>
      <c r="EOF22" s="1649"/>
      <c r="EOI22" s="1649"/>
      <c r="EOL22" s="1649"/>
      <c r="EOO22" s="1649"/>
      <c r="EOR22" s="1649"/>
      <c r="EOU22" s="1649"/>
      <c r="EOX22" s="1649"/>
      <c r="EPA22" s="1649"/>
      <c r="EPD22" s="1649"/>
      <c r="EPG22" s="1649"/>
      <c r="EPJ22" s="1649"/>
      <c r="EPM22" s="1649"/>
      <c r="EPP22" s="1649"/>
      <c r="EPS22" s="1649"/>
      <c r="EPV22" s="1649"/>
      <c r="EPY22" s="1649"/>
      <c r="EQB22" s="1649"/>
      <c r="EQE22" s="1649"/>
      <c r="EQH22" s="1649"/>
      <c r="EQK22" s="1649"/>
      <c r="EQN22" s="1649"/>
      <c r="EQQ22" s="1649"/>
      <c r="EQT22" s="1649"/>
      <c r="EQW22" s="1649"/>
      <c r="EQZ22" s="1649"/>
      <c r="ERC22" s="1649"/>
      <c r="ERF22" s="1649"/>
      <c r="ERI22" s="1649"/>
      <c r="ERL22" s="1649"/>
      <c r="ERO22" s="1649"/>
      <c r="ERR22" s="1649"/>
      <c r="ERU22" s="1649"/>
      <c r="ERX22" s="1649"/>
      <c r="ESA22" s="1649"/>
      <c r="ESD22" s="1649"/>
      <c r="ESG22" s="1649"/>
      <c r="ESJ22" s="1649"/>
      <c r="ESM22" s="1649"/>
      <c r="ESP22" s="1649"/>
      <c r="ESS22" s="1649"/>
      <c r="ESV22" s="1649"/>
      <c r="ESY22" s="1649"/>
      <c r="ETB22" s="1649"/>
      <c r="ETE22" s="1649"/>
      <c r="ETH22" s="1649"/>
      <c r="ETK22" s="1649"/>
      <c r="ETN22" s="1649"/>
      <c r="ETQ22" s="1649"/>
      <c r="ETT22" s="1649"/>
      <c r="ETW22" s="1649"/>
      <c r="ETZ22" s="1649"/>
      <c r="EUC22" s="1649"/>
      <c r="EUF22" s="1649"/>
      <c r="EUI22" s="1649"/>
      <c r="EUL22" s="1649"/>
      <c r="EUO22" s="1649"/>
      <c r="EUR22" s="1649"/>
      <c r="EUU22" s="1649"/>
      <c r="EUX22" s="1649"/>
      <c r="EVA22" s="1649"/>
      <c r="EVD22" s="1649"/>
      <c r="EVG22" s="1649"/>
      <c r="EVJ22" s="1649"/>
      <c r="EVM22" s="1649"/>
      <c r="EVP22" s="1649"/>
      <c r="EVS22" s="1649"/>
      <c r="EVV22" s="1649"/>
      <c r="EVY22" s="1649"/>
      <c r="EWB22" s="1649"/>
      <c r="EWE22" s="1649"/>
      <c r="EWH22" s="1649"/>
      <c r="EWK22" s="1649"/>
      <c r="EWN22" s="1649"/>
      <c r="EWQ22" s="1649"/>
      <c r="EWT22" s="1649"/>
      <c r="EWW22" s="1649"/>
      <c r="EWZ22" s="1649"/>
      <c r="EXC22" s="1649"/>
      <c r="EXF22" s="1649"/>
      <c r="EXI22" s="1649"/>
      <c r="EXL22" s="1649"/>
      <c r="EXO22" s="1649"/>
      <c r="EXR22" s="1649"/>
      <c r="EXU22" s="1649"/>
      <c r="EXX22" s="1649"/>
      <c r="EYA22" s="1649"/>
      <c r="EYD22" s="1649"/>
      <c r="EYG22" s="1649"/>
      <c r="EYJ22" s="1649"/>
      <c r="EYM22" s="1649"/>
      <c r="EYP22" s="1649"/>
      <c r="EYS22" s="1649"/>
      <c r="EYV22" s="1649"/>
      <c r="EYY22" s="1649"/>
      <c r="EZB22" s="1649"/>
      <c r="EZE22" s="1649"/>
      <c r="EZH22" s="1649"/>
      <c r="EZK22" s="1649"/>
      <c r="EZN22" s="1649"/>
      <c r="EZQ22" s="1649"/>
      <c r="EZT22" s="1649"/>
      <c r="EZW22" s="1649"/>
      <c r="EZZ22" s="1649"/>
      <c r="FAC22" s="1649"/>
      <c r="FAF22" s="1649"/>
      <c r="FAI22" s="1649"/>
      <c r="FAL22" s="1649"/>
      <c r="FAO22" s="1649"/>
      <c r="FAR22" s="1649"/>
      <c r="FAU22" s="1649"/>
      <c r="FAX22" s="1649"/>
      <c r="FBA22" s="1649"/>
      <c r="FBD22" s="1649"/>
      <c r="FBG22" s="1649"/>
      <c r="FBJ22" s="1649"/>
      <c r="FBM22" s="1649"/>
      <c r="FBP22" s="1649"/>
      <c r="FBS22" s="1649"/>
      <c r="FBV22" s="1649"/>
      <c r="FBY22" s="1649"/>
      <c r="FCB22" s="1649"/>
      <c r="FCE22" s="1649"/>
      <c r="FCH22" s="1649"/>
      <c r="FCK22" s="1649"/>
      <c r="FCN22" s="1649"/>
      <c r="FCQ22" s="1649"/>
      <c r="FCT22" s="1649"/>
      <c r="FCW22" s="1649"/>
      <c r="FCZ22" s="1649"/>
      <c r="FDC22" s="1649"/>
      <c r="FDF22" s="1649"/>
      <c r="FDI22" s="1649"/>
      <c r="FDL22" s="1649"/>
      <c r="FDO22" s="1649"/>
      <c r="FDR22" s="1649"/>
      <c r="FDU22" s="1649"/>
      <c r="FDX22" s="1649"/>
      <c r="FEA22" s="1649"/>
      <c r="FED22" s="1649"/>
      <c r="FEG22" s="1649"/>
      <c r="FEJ22" s="1649"/>
      <c r="FEM22" s="1649"/>
      <c r="FEP22" s="1649"/>
      <c r="FES22" s="1649"/>
      <c r="FEV22" s="1649"/>
      <c r="FEY22" s="1649"/>
      <c r="FFB22" s="1649"/>
      <c r="FFE22" s="1649"/>
      <c r="FFH22" s="1649"/>
      <c r="FFK22" s="1649"/>
      <c r="FFN22" s="1649"/>
      <c r="FFQ22" s="1649"/>
      <c r="FFT22" s="1649"/>
      <c r="FFW22" s="1649"/>
      <c r="FFZ22" s="1649"/>
      <c r="FGC22" s="1649"/>
      <c r="FGF22" s="1649"/>
      <c r="FGI22" s="1649"/>
      <c r="FGL22" s="1649"/>
      <c r="FGO22" s="1649"/>
      <c r="FGR22" s="1649"/>
      <c r="FGU22" s="1649"/>
      <c r="FGX22" s="1649"/>
      <c r="FHA22" s="1649"/>
      <c r="FHD22" s="1649"/>
      <c r="FHG22" s="1649"/>
      <c r="FHJ22" s="1649"/>
      <c r="FHM22" s="1649"/>
      <c r="FHP22" s="1649"/>
      <c r="FHS22" s="1649"/>
      <c r="FHV22" s="1649"/>
      <c r="FHY22" s="1649"/>
      <c r="FIB22" s="1649"/>
      <c r="FIE22" s="1649"/>
      <c r="FIH22" s="1649"/>
      <c r="FIK22" s="1649"/>
      <c r="FIN22" s="1649"/>
      <c r="FIQ22" s="1649"/>
      <c r="FIT22" s="1649"/>
      <c r="FIW22" s="1649"/>
      <c r="FIZ22" s="1649"/>
      <c r="FJC22" s="1649"/>
      <c r="FJF22" s="1649"/>
      <c r="FJI22" s="1649"/>
      <c r="FJL22" s="1649"/>
      <c r="FJO22" s="1649"/>
      <c r="FJR22" s="1649"/>
      <c r="FJU22" s="1649"/>
      <c r="FJX22" s="1649"/>
      <c r="FKA22" s="1649"/>
      <c r="FKD22" s="1649"/>
      <c r="FKG22" s="1649"/>
      <c r="FKJ22" s="1649"/>
      <c r="FKM22" s="1649"/>
      <c r="FKP22" s="1649"/>
      <c r="FKS22" s="1649"/>
      <c r="FKV22" s="1649"/>
      <c r="FKY22" s="1649"/>
      <c r="FLB22" s="1649"/>
      <c r="FLE22" s="1649"/>
      <c r="FLH22" s="1649"/>
      <c r="FLK22" s="1649"/>
      <c r="FLN22" s="1649"/>
      <c r="FLQ22" s="1649"/>
      <c r="FLT22" s="1649"/>
      <c r="FLW22" s="1649"/>
      <c r="FLZ22" s="1649"/>
      <c r="FMC22" s="1649"/>
      <c r="FMF22" s="1649"/>
      <c r="FMI22" s="1649"/>
      <c r="FML22" s="1649"/>
      <c r="FMO22" s="1649"/>
      <c r="FMR22" s="1649"/>
      <c r="FMU22" s="1649"/>
      <c r="FMX22" s="1649"/>
      <c r="FNA22" s="1649"/>
      <c r="FND22" s="1649"/>
      <c r="FNG22" s="1649"/>
      <c r="FNJ22" s="1649"/>
      <c r="FNM22" s="1649"/>
      <c r="FNP22" s="1649"/>
      <c r="FNS22" s="1649"/>
      <c r="FNV22" s="1649"/>
      <c r="FNY22" s="1649"/>
      <c r="FOB22" s="1649"/>
      <c r="FOE22" s="1649"/>
      <c r="FOH22" s="1649"/>
      <c r="FOK22" s="1649"/>
      <c r="FON22" s="1649"/>
      <c r="FOQ22" s="1649"/>
      <c r="FOT22" s="1649"/>
      <c r="FOW22" s="1649"/>
      <c r="FOZ22" s="1649"/>
      <c r="FPC22" s="1649"/>
      <c r="FPF22" s="1649"/>
      <c r="FPI22" s="1649"/>
      <c r="FPL22" s="1649"/>
      <c r="FPO22" s="1649"/>
      <c r="FPR22" s="1649"/>
      <c r="FPU22" s="1649"/>
      <c r="FPX22" s="1649"/>
      <c r="FQA22" s="1649"/>
      <c r="FQD22" s="1649"/>
      <c r="FQG22" s="1649"/>
      <c r="FQJ22" s="1649"/>
      <c r="FQM22" s="1649"/>
      <c r="FQP22" s="1649"/>
      <c r="FQS22" s="1649"/>
      <c r="FQV22" s="1649"/>
      <c r="FQY22" s="1649"/>
      <c r="FRB22" s="1649"/>
      <c r="FRE22" s="1649"/>
      <c r="FRH22" s="1649"/>
      <c r="FRK22" s="1649"/>
      <c r="FRN22" s="1649"/>
      <c r="FRQ22" s="1649"/>
      <c r="FRT22" s="1649"/>
      <c r="FRW22" s="1649"/>
      <c r="FRZ22" s="1649"/>
      <c r="FSC22" s="1649"/>
      <c r="FSF22" s="1649"/>
      <c r="FSI22" s="1649"/>
      <c r="FSL22" s="1649"/>
      <c r="FSO22" s="1649"/>
      <c r="FSR22" s="1649"/>
      <c r="FSU22" s="1649"/>
      <c r="FSX22" s="1649"/>
      <c r="FTA22" s="1649"/>
      <c r="FTD22" s="1649"/>
      <c r="FTG22" s="1649"/>
      <c r="FTJ22" s="1649"/>
      <c r="FTM22" s="1649"/>
      <c r="FTP22" s="1649"/>
      <c r="FTS22" s="1649"/>
      <c r="FTV22" s="1649"/>
      <c r="FTY22" s="1649"/>
      <c r="FUB22" s="1649"/>
      <c r="FUE22" s="1649"/>
      <c r="FUH22" s="1649"/>
      <c r="FUK22" s="1649"/>
      <c r="FUN22" s="1649"/>
      <c r="FUQ22" s="1649"/>
      <c r="FUT22" s="1649"/>
      <c r="FUW22" s="1649"/>
      <c r="FUZ22" s="1649"/>
      <c r="FVC22" s="1649"/>
      <c r="FVF22" s="1649"/>
      <c r="FVI22" s="1649"/>
      <c r="FVL22" s="1649"/>
      <c r="FVO22" s="1649"/>
      <c r="FVR22" s="1649"/>
      <c r="FVU22" s="1649"/>
      <c r="FVX22" s="1649"/>
      <c r="FWA22" s="1649"/>
      <c r="FWD22" s="1649"/>
      <c r="FWG22" s="1649"/>
      <c r="FWJ22" s="1649"/>
      <c r="FWM22" s="1649"/>
      <c r="FWP22" s="1649"/>
      <c r="FWS22" s="1649"/>
      <c r="FWV22" s="1649"/>
      <c r="FWY22" s="1649"/>
      <c r="FXB22" s="1649"/>
      <c r="FXE22" s="1649"/>
      <c r="FXH22" s="1649"/>
      <c r="FXK22" s="1649"/>
      <c r="FXN22" s="1649"/>
      <c r="FXQ22" s="1649"/>
      <c r="FXT22" s="1649"/>
      <c r="FXW22" s="1649"/>
      <c r="FXZ22" s="1649"/>
      <c r="FYC22" s="1649"/>
      <c r="FYF22" s="1649"/>
      <c r="FYI22" s="1649"/>
      <c r="FYL22" s="1649"/>
      <c r="FYO22" s="1649"/>
      <c r="FYR22" s="1649"/>
      <c r="FYU22" s="1649"/>
      <c r="FYX22" s="1649"/>
      <c r="FZA22" s="1649"/>
      <c r="FZD22" s="1649"/>
      <c r="FZG22" s="1649"/>
      <c r="FZJ22" s="1649"/>
      <c r="FZM22" s="1649"/>
      <c r="FZP22" s="1649"/>
      <c r="FZS22" s="1649"/>
      <c r="FZV22" s="1649"/>
      <c r="FZY22" s="1649"/>
      <c r="GAB22" s="1649"/>
      <c r="GAE22" s="1649"/>
      <c r="GAH22" s="1649"/>
      <c r="GAK22" s="1649"/>
      <c r="GAN22" s="1649"/>
      <c r="GAQ22" s="1649"/>
      <c r="GAT22" s="1649"/>
      <c r="GAW22" s="1649"/>
      <c r="GAZ22" s="1649"/>
      <c r="GBC22" s="1649"/>
      <c r="GBF22" s="1649"/>
      <c r="GBI22" s="1649"/>
      <c r="GBL22" s="1649"/>
      <c r="GBO22" s="1649"/>
      <c r="GBR22" s="1649"/>
      <c r="GBU22" s="1649"/>
      <c r="GBX22" s="1649"/>
      <c r="GCA22" s="1649"/>
      <c r="GCD22" s="1649"/>
      <c r="GCG22" s="1649"/>
      <c r="GCJ22" s="1649"/>
      <c r="GCM22" s="1649"/>
      <c r="GCP22" s="1649"/>
      <c r="GCS22" s="1649"/>
      <c r="GCV22" s="1649"/>
      <c r="GCY22" s="1649"/>
      <c r="GDB22" s="1649"/>
      <c r="GDE22" s="1649"/>
      <c r="GDH22" s="1649"/>
      <c r="GDK22" s="1649"/>
      <c r="GDN22" s="1649"/>
      <c r="GDQ22" s="1649"/>
      <c r="GDT22" s="1649"/>
      <c r="GDW22" s="1649"/>
      <c r="GDZ22" s="1649"/>
      <c r="GEC22" s="1649"/>
      <c r="GEF22" s="1649"/>
      <c r="GEI22" s="1649"/>
      <c r="GEL22" s="1649"/>
      <c r="GEO22" s="1649"/>
      <c r="GER22" s="1649"/>
      <c r="GEU22" s="1649"/>
      <c r="GEX22" s="1649"/>
      <c r="GFA22" s="1649"/>
      <c r="GFD22" s="1649"/>
      <c r="GFG22" s="1649"/>
      <c r="GFJ22" s="1649"/>
      <c r="GFM22" s="1649"/>
      <c r="GFP22" s="1649"/>
      <c r="GFS22" s="1649"/>
      <c r="GFV22" s="1649"/>
      <c r="GFY22" s="1649"/>
      <c r="GGB22" s="1649"/>
      <c r="GGE22" s="1649"/>
      <c r="GGH22" s="1649"/>
      <c r="GGK22" s="1649"/>
      <c r="GGN22" s="1649"/>
      <c r="GGQ22" s="1649"/>
      <c r="GGT22" s="1649"/>
      <c r="GGW22" s="1649"/>
      <c r="GGZ22" s="1649"/>
      <c r="GHC22" s="1649"/>
      <c r="GHF22" s="1649"/>
      <c r="GHI22" s="1649"/>
      <c r="GHL22" s="1649"/>
      <c r="GHO22" s="1649"/>
      <c r="GHR22" s="1649"/>
      <c r="GHU22" s="1649"/>
      <c r="GHX22" s="1649"/>
      <c r="GIA22" s="1649"/>
      <c r="GID22" s="1649"/>
      <c r="GIG22" s="1649"/>
      <c r="GIJ22" s="1649"/>
      <c r="GIM22" s="1649"/>
      <c r="GIP22" s="1649"/>
      <c r="GIS22" s="1649"/>
      <c r="GIV22" s="1649"/>
      <c r="GIY22" s="1649"/>
      <c r="GJB22" s="1649"/>
      <c r="GJE22" s="1649"/>
      <c r="GJH22" s="1649"/>
      <c r="GJK22" s="1649"/>
      <c r="GJN22" s="1649"/>
      <c r="GJQ22" s="1649"/>
      <c r="GJT22" s="1649"/>
      <c r="GJW22" s="1649"/>
      <c r="GJZ22" s="1649"/>
      <c r="GKC22" s="1649"/>
      <c r="GKF22" s="1649"/>
      <c r="GKI22" s="1649"/>
      <c r="GKL22" s="1649"/>
      <c r="GKO22" s="1649"/>
      <c r="GKR22" s="1649"/>
      <c r="GKU22" s="1649"/>
      <c r="GKX22" s="1649"/>
      <c r="GLA22" s="1649"/>
      <c r="GLD22" s="1649"/>
      <c r="GLG22" s="1649"/>
      <c r="GLJ22" s="1649"/>
      <c r="GLM22" s="1649"/>
      <c r="GLP22" s="1649"/>
      <c r="GLS22" s="1649"/>
      <c r="GLV22" s="1649"/>
      <c r="GLY22" s="1649"/>
      <c r="GMB22" s="1649"/>
      <c r="GME22" s="1649"/>
      <c r="GMH22" s="1649"/>
      <c r="GMK22" s="1649"/>
      <c r="GMN22" s="1649"/>
      <c r="GMQ22" s="1649"/>
      <c r="GMT22" s="1649"/>
      <c r="GMW22" s="1649"/>
      <c r="GMZ22" s="1649"/>
      <c r="GNC22" s="1649"/>
      <c r="GNF22" s="1649"/>
      <c r="GNI22" s="1649"/>
      <c r="GNL22" s="1649"/>
      <c r="GNO22" s="1649"/>
      <c r="GNR22" s="1649"/>
      <c r="GNU22" s="1649"/>
      <c r="GNX22" s="1649"/>
      <c r="GOA22" s="1649"/>
      <c r="GOD22" s="1649"/>
      <c r="GOG22" s="1649"/>
      <c r="GOJ22" s="1649"/>
      <c r="GOM22" s="1649"/>
      <c r="GOP22" s="1649"/>
      <c r="GOS22" s="1649"/>
      <c r="GOV22" s="1649"/>
      <c r="GOY22" s="1649"/>
      <c r="GPB22" s="1649"/>
      <c r="GPE22" s="1649"/>
      <c r="GPH22" s="1649"/>
      <c r="GPK22" s="1649"/>
      <c r="GPN22" s="1649"/>
      <c r="GPQ22" s="1649"/>
      <c r="GPT22" s="1649"/>
      <c r="GPW22" s="1649"/>
      <c r="GPZ22" s="1649"/>
      <c r="GQC22" s="1649"/>
      <c r="GQF22" s="1649"/>
      <c r="GQI22" s="1649"/>
      <c r="GQL22" s="1649"/>
      <c r="GQO22" s="1649"/>
      <c r="GQR22" s="1649"/>
      <c r="GQU22" s="1649"/>
      <c r="GQX22" s="1649"/>
      <c r="GRA22" s="1649"/>
      <c r="GRD22" s="1649"/>
      <c r="GRG22" s="1649"/>
      <c r="GRJ22" s="1649"/>
      <c r="GRM22" s="1649"/>
      <c r="GRP22" s="1649"/>
      <c r="GRS22" s="1649"/>
      <c r="GRV22" s="1649"/>
      <c r="GRY22" s="1649"/>
      <c r="GSB22" s="1649"/>
      <c r="GSE22" s="1649"/>
      <c r="GSH22" s="1649"/>
      <c r="GSK22" s="1649"/>
      <c r="GSN22" s="1649"/>
      <c r="GSQ22" s="1649"/>
      <c r="GST22" s="1649"/>
      <c r="GSW22" s="1649"/>
      <c r="GSZ22" s="1649"/>
      <c r="GTC22" s="1649"/>
      <c r="GTF22" s="1649"/>
      <c r="GTI22" s="1649"/>
      <c r="GTL22" s="1649"/>
      <c r="GTO22" s="1649"/>
      <c r="GTR22" s="1649"/>
      <c r="GTU22" s="1649"/>
      <c r="GTX22" s="1649"/>
      <c r="GUA22" s="1649"/>
      <c r="GUD22" s="1649"/>
      <c r="GUG22" s="1649"/>
      <c r="GUJ22" s="1649"/>
      <c r="GUM22" s="1649"/>
      <c r="GUP22" s="1649"/>
      <c r="GUS22" s="1649"/>
      <c r="GUV22" s="1649"/>
      <c r="GUY22" s="1649"/>
      <c r="GVB22" s="1649"/>
      <c r="GVE22" s="1649"/>
      <c r="GVH22" s="1649"/>
      <c r="GVK22" s="1649"/>
      <c r="GVN22" s="1649"/>
      <c r="GVQ22" s="1649"/>
      <c r="GVT22" s="1649"/>
      <c r="GVW22" s="1649"/>
      <c r="GVZ22" s="1649"/>
      <c r="GWC22" s="1649"/>
      <c r="GWF22" s="1649"/>
      <c r="GWI22" s="1649"/>
      <c r="GWL22" s="1649"/>
      <c r="GWO22" s="1649"/>
      <c r="GWR22" s="1649"/>
      <c r="GWU22" s="1649"/>
      <c r="GWX22" s="1649"/>
      <c r="GXA22" s="1649"/>
      <c r="GXD22" s="1649"/>
      <c r="GXG22" s="1649"/>
      <c r="GXJ22" s="1649"/>
      <c r="GXM22" s="1649"/>
      <c r="GXP22" s="1649"/>
      <c r="GXS22" s="1649"/>
      <c r="GXV22" s="1649"/>
      <c r="GXY22" s="1649"/>
      <c r="GYB22" s="1649"/>
      <c r="GYE22" s="1649"/>
      <c r="GYH22" s="1649"/>
      <c r="GYK22" s="1649"/>
      <c r="GYN22" s="1649"/>
      <c r="GYQ22" s="1649"/>
      <c r="GYT22" s="1649"/>
      <c r="GYW22" s="1649"/>
      <c r="GYZ22" s="1649"/>
      <c r="GZC22" s="1649"/>
      <c r="GZF22" s="1649"/>
      <c r="GZI22" s="1649"/>
      <c r="GZL22" s="1649"/>
      <c r="GZO22" s="1649"/>
      <c r="GZR22" s="1649"/>
      <c r="GZU22" s="1649"/>
      <c r="GZX22" s="1649"/>
      <c r="HAA22" s="1649"/>
      <c r="HAD22" s="1649"/>
      <c r="HAG22" s="1649"/>
      <c r="HAJ22" s="1649"/>
      <c r="HAM22" s="1649"/>
      <c r="HAP22" s="1649"/>
      <c r="HAS22" s="1649"/>
      <c r="HAV22" s="1649"/>
      <c r="HAY22" s="1649"/>
      <c r="HBB22" s="1649"/>
      <c r="HBE22" s="1649"/>
      <c r="HBH22" s="1649"/>
      <c r="HBK22" s="1649"/>
      <c r="HBN22" s="1649"/>
      <c r="HBQ22" s="1649"/>
      <c r="HBT22" s="1649"/>
      <c r="HBW22" s="1649"/>
      <c r="HBZ22" s="1649"/>
      <c r="HCC22" s="1649"/>
      <c r="HCF22" s="1649"/>
      <c r="HCI22" s="1649"/>
      <c r="HCL22" s="1649"/>
      <c r="HCO22" s="1649"/>
      <c r="HCR22" s="1649"/>
      <c r="HCU22" s="1649"/>
      <c r="HCX22" s="1649"/>
      <c r="HDA22" s="1649"/>
      <c r="HDD22" s="1649"/>
      <c r="HDG22" s="1649"/>
      <c r="HDJ22" s="1649"/>
      <c r="HDM22" s="1649"/>
      <c r="HDP22" s="1649"/>
      <c r="HDS22" s="1649"/>
      <c r="HDV22" s="1649"/>
      <c r="HDY22" s="1649"/>
      <c r="HEB22" s="1649"/>
      <c r="HEE22" s="1649"/>
      <c r="HEH22" s="1649"/>
      <c r="HEK22" s="1649"/>
      <c r="HEN22" s="1649"/>
      <c r="HEQ22" s="1649"/>
      <c r="HET22" s="1649"/>
      <c r="HEW22" s="1649"/>
      <c r="HEZ22" s="1649"/>
      <c r="HFC22" s="1649"/>
      <c r="HFF22" s="1649"/>
      <c r="HFI22" s="1649"/>
      <c r="HFL22" s="1649"/>
      <c r="HFO22" s="1649"/>
      <c r="HFR22" s="1649"/>
      <c r="HFU22" s="1649"/>
      <c r="HFX22" s="1649"/>
      <c r="HGA22" s="1649"/>
      <c r="HGD22" s="1649"/>
      <c r="HGG22" s="1649"/>
      <c r="HGJ22" s="1649"/>
      <c r="HGM22" s="1649"/>
      <c r="HGP22" s="1649"/>
      <c r="HGS22" s="1649"/>
      <c r="HGV22" s="1649"/>
      <c r="HGY22" s="1649"/>
      <c r="HHB22" s="1649"/>
      <c r="HHE22" s="1649"/>
      <c r="HHH22" s="1649"/>
      <c r="HHK22" s="1649"/>
      <c r="HHN22" s="1649"/>
      <c r="HHQ22" s="1649"/>
      <c r="HHT22" s="1649"/>
      <c r="HHW22" s="1649"/>
      <c r="HHZ22" s="1649"/>
      <c r="HIC22" s="1649"/>
      <c r="HIF22" s="1649"/>
      <c r="HII22" s="1649"/>
      <c r="HIL22" s="1649"/>
      <c r="HIO22" s="1649"/>
      <c r="HIR22" s="1649"/>
      <c r="HIU22" s="1649"/>
      <c r="HIX22" s="1649"/>
      <c r="HJA22" s="1649"/>
      <c r="HJD22" s="1649"/>
      <c r="HJG22" s="1649"/>
      <c r="HJJ22" s="1649"/>
      <c r="HJM22" s="1649"/>
      <c r="HJP22" s="1649"/>
      <c r="HJS22" s="1649"/>
      <c r="HJV22" s="1649"/>
      <c r="HJY22" s="1649"/>
      <c r="HKB22" s="1649"/>
      <c r="HKE22" s="1649"/>
      <c r="HKH22" s="1649"/>
      <c r="HKK22" s="1649"/>
      <c r="HKN22" s="1649"/>
      <c r="HKQ22" s="1649"/>
      <c r="HKT22" s="1649"/>
      <c r="HKW22" s="1649"/>
      <c r="HKZ22" s="1649"/>
      <c r="HLC22" s="1649"/>
      <c r="HLF22" s="1649"/>
      <c r="HLI22" s="1649"/>
      <c r="HLL22" s="1649"/>
      <c r="HLO22" s="1649"/>
      <c r="HLR22" s="1649"/>
      <c r="HLU22" s="1649"/>
      <c r="HLX22" s="1649"/>
      <c r="HMA22" s="1649"/>
      <c r="HMD22" s="1649"/>
      <c r="HMG22" s="1649"/>
      <c r="HMJ22" s="1649"/>
      <c r="HMM22" s="1649"/>
      <c r="HMP22" s="1649"/>
      <c r="HMS22" s="1649"/>
      <c r="HMV22" s="1649"/>
      <c r="HMY22" s="1649"/>
      <c r="HNB22" s="1649"/>
      <c r="HNE22" s="1649"/>
      <c r="HNH22" s="1649"/>
      <c r="HNK22" s="1649"/>
      <c r="HNN22" s="1649"/>
      <c r="HNQ22" s="1649"/>
      <c r="HNT22" s="1649"/>
      <c r="HNW22" s="1649"/>
      <c r="HNZ22" s="1649"/>
      <c r="HOC22" s="1649"/>
      <c r="HOF22" s="1649"/>
      <c r="HOI22" s="1649"/>
      <c r="HOL22" s="1649"/>
      <c r="HOO22" s="1649"/>
      <c r="HOR22" s="1649"/>
      <c r="HOU22" s="1649"/>
      <c r="HOX22" s="1649"/>
      <c r="HPA22" s="1649"/>
      <c r="HPD22" s="1649"/>
      <c r="HPG22" s="1649"/>
      <c r="HPJ22" s="1649"/>
      <c r="HPM22" s="1649"/>
      <c r="HPP22" s="1649"/>
      <c r="HPS22" s="1649"/>
      <c r="HPV22" s="1649"/>
      <c r="HPY22" s="1649"/>
      <c r="HQB22" s="1649"/>
      <c r="HQE22" s="1649"/>
      <c r="HQH22" s="1649"/>
      <c r="HQK22" s="1649"/>
      <c r="HQN22" s="1649"/>
      <c r="HQQ22" s="1649"/>
      <c r="HQT22" s="1649"/>
      <c r="HQW22" s="1649"/>
      <c r="HQZ22" s="1649"/>
      <c r="HRC22" s="1649"/>
      <c r="HRF22" s="1649"/>
      <c r="HRI22" s="1649"/>
      <c r="HRL22" s="1649"/>
      <c r="HRO22" s="1649"/>
      <c r="HRR22" s="1649"/>
      <c r="HRU22" s="1649"/>
      <c r="HRX22" s="1649"/>
      <c r="HSA22" s="1649"/>
      <c r="HSD22" s="1649"/>
      <c r="HSG22" s="1649"/>
      <c r="HSJ22" s="1649"/>
      <c r="HSM22" s="1649"/>
      <c r="HSP22" s="1649"/>
      <c r="HSS22" s="1649"/>
      <c r="HSV22" s="1649"/>
      <c r="HSY22" s="1649"/>
      <c r="HTB22" s="1649"/>
      <c r="HTE22" s="1649"/>
      <c r="HTH22" s="1649"/>
      <c r="HTK22" s="1649"/>
      <c r="HTN22" s="1649"/>
      <c r="HTQ22" s="1649"/>
      <c r="HTT22" s="1649"/>
      <c r="HTW22" s="1649"/>
      <c r="HTZ22" s="1649"/>
      <c r="HUC22" s="1649"/>
      <c r="HUF22" s="1649"/>
      <c r="HUI22" s="1649"/>
      <c r="HUL22" s="1649"/>
      <c r="HUO22" s="1649"/>
      <c r="HUR22" s="1649"/>
      <c r="HUU22" s="1649"/>
      <c r="HUX22" s="1649"/>
      <c r="HVA22" s="1649"/>
      <c r="HVD22" s="1649"/>
      <c r="HVG22" s="1649"/>
      <c r="HVJ22" s="1649"/>
      <c r="HVM22" s="1649"/>
      <c r="HVP22" s="1649"/>
      <c r="HVS22" s="1649"/>
      <c r="HVV22" s="1649"/>
      <c r="HVY22" s="1649"/>
      <c r="HWB22" s="1649"/>
      <c r="HWE22" s="1649"/>
      <c r="HWH22" s="1649"/>
      <c r="HWK22" s="1649"/>
      <c r="HWN22" s="1649"/>
      <c r="HWQ22" s="1649"/>
      <c r="HWT22" s="1649"/>
      <c r="HWW22" s="1649"/>
      <c r="HWZ22" s="1649"/>
      <c r="HXC22" s="1649"/>
      <c r="HXF22" s="1649"/>
      <c r="HXI22" s="1649"/>
      <c r="HXL22" s="1649"/>
      <c r="HXO22" s="1649"/>
      <c r="HXR22" s="1649"/>
      <c r="HXU22" s="1649"/>
      <c r="HXX22" s="1649"/>
      <c r="HYA22" s="1649"/>
      <c r="HYD22" s="1649"/>
      <c r="HYG22" s="1649"/>
      <c r="HYJ22" s="1649"/>
      <c r="HYM22" s="1649"/>
      <c r="HYP22" s="1649"/>
      <c r="HYS22" s="1649"/>
      <c r="HYV22" s="1649"/>
      <c r="HYY22" s="1649"/>
      <c r="HZB22" s="1649"/>
      <c r="HZE22" s="1649"/>
      <c r="HZH22" s="1649"/>
      <c r="HZK22" s="1649"/>
      <c r="HZN22" s="1649"/>
      <c r="HZQ22" s="1649"/>
      <c r="HZT22" s="1649"/>
      <c r="HZW22" s="1649"/>
      <c r="HZZ22" s="1649"/>
      <c r="IAC22" s="1649"/>
      <c r="IAF22" s="1649"/>
      <c r="IAI22" s="1649"/>
      <c r="IAL22" s="1649"/>
      <c r="IAO22" s="1649"/>
      <c r="IAR22" s="1649"/>
      <c r="IAU22" s="1649"/>
      <c r="IAX22" s="1649"/>
      <c r="IBA22" s="1649"/>
      <c r="IBD22" s="1649"/>
      <c r="IBG22" s="1649"/>
      <c r="IBJ22" s="1649"/>
      <c r="IBM22" s="1649"/>
      <c r="IBP22" s="1649"/>
      <c r="IBS22" s="1649"/>
      <c r="IBV22" s="1649"/>
      <c r="IBY22" s="1649"/>
      <c r="ICB22" s="1649"/>
      <c r="ICE22" s="1649"/>
      <c r="ICH22" s="1649"/>
      <c r="ICK22" s="1649"/>
      <c r="ICN22" s="1649"/>
      <c r="ICQ22" s="1649"/>
      <c r="ICT22" s="1649"/>
      <c r="ICW22" s="1649"/>
      <c r="ICZ22" s="1649"/>
      <c r="IDC22" s="1649"/>
      <c r="IDF22" s="1649"/>
      <c r="IDI22" s="1649"/>
      <c r="IDL22" s="1649"/>
      <c r="IDO22" s="1649"/>
      <c r="IDR22" s="1649"/>
      <c r="IDU22" s="1649"/>
      <c r="IDX22" s="1649"/>
      <c r="IEA22" s="1649"/>
      <c r="IED22" s="1649"/>
      <c r="IEG22" s="1649"/>
      <c r="IEJ22" s="1649"/>
      <c r="IEM22" s="1649"/>
      <c r="IEP22" s="1649"/>
      <c r="IES22" s="1649"/>
      <c r="IEV22" s="1649"/>
      <c r="IEY22" s="1649"/>
      <c r="IFB22" s="1649"/>
      <c r="IFE22" s="1649"/>
      <c r="IFH22" s="1649"/>
      <c r="IFK22" s="1649"/>
      <c r="IFN22" s="1649"/>
      <c r="IFQ22" s="1649"/>
      <c r="IFT22" s="1649"/>
      <c r="IFW22" s="1649"/>
      <c r="IFZ22" s="1649"/>
      <c r="IGC22" s="1649"/>
      <c r="IGF22" s="1649"/>
      <c r="IGI22" s="1649"/>
      <c r="IGL22" s="1649"/>
      <c r="IGO22" s="1649"/>
      <c r="IGR22" s="1649"/>
      <c r="IGU22" s="1649"/>
      <c r="IGX22" s="1649"/>
      <c r="IHA22" s="1649"/>
      <c r="IHD22" s="1649"/>
      <c r="IHG22" s="1649"/>
      <c r="IHJ22" s="1649"/>
      <c r="IHM22" s="1649"/>
      <c r="IHP22" s="1649"/>
      <c r="IHS22" s="1649"/>
      <c r="IHV22" s="1649"/>
      <c r="IHY22" s="1649"/>
      <c r="IIB22" s="1649"/>
      <c r="IIE22" s="1649"/>
      <c r="IIH22" s="1649"/>
      <c r="IIK22" s="1649"/>
      <c r="IIN22" s="1649"/>
      <c r="IIQ22" s="1649"/>
      <c r="IIT22" s="1649"/>
      <c r="IIW22" s="1649"/>
      <c r="IIZ22" s="1649"/>
      <c r="IJC22" s="1649"/>
      <c r="IJF22" s="1649"/>
      <c r="IJI22" s="1649"/>
      <c r="IJL22" s="1649"/>
      <c r="IJO22" s="1649"/>
      <c r="IJR22" s="1649"/>
      <c r="IJU22" s="1649"/>
      <c r="IJX22" s="1649"/>
      <c r="IKA22" s="1649"/>
      <c r="IKD22" s="1649"/>
      <c r="IKG22" s="1649"/>
      <c r="IKJ22" s="1649"/>
      <c r="IKM22" s="1649"/>
      <c r="IKP22" s="1649"/>
      <c r="IKS22" s="1649"/>
      <c r="IKV22" s="1649"/>
      <c r="IKY22" s="1649"/>
      <c r="ILB22" s="1649"/>
      <c r="ILE22" s="1649"/>
      <c r="ILH22" s="1649"/>
      <c r="ILK22" s="1649"/>
      <c r="ILN22" s="1649"/>
      <c r="ILQ22" s="1649"/>
      <c r="ILT22" s="1649"/>
      <c r="ILW22" s="1649"/>
      <c r="ILZ22" s="1649"/>
      <c r="IMC22" s="1649"/>
      <c r="IMF22" s="1649"/>
      <c r="IMI22" s="1649"/>
      <c r="IML22" s="1649"/>
      <c r="IMO22" s="1649"/>
      <c r="IMR22" s="1649"/>
      <c r="IMU22" s="1649"/>
      <c r="IMX22" s="1649"/>
      <c r="INA22" s="1649"/>
      <c r="IND22" s="1649"/>
      <c r="ING22" s="1649"/>
      <c r="INJ22" s="1649"/>
      <c r="INM22" s="1649"/>
      <c r="INP22" s="1649"/>
      <c r="INS22" s="1649"/>
      <c r="INV22" s="1649"/>
      <c r="INY22" s="1649"/>
      <c r="IOB22" s="1649"/>
      <c r="IOE22" s="1649"/>
      <c r="IOH22" s="1649"/>
      <c r="IOK22" s="1649"/>
      <c r="ION22" s="1649"/>
      <c r="IOQ22" s="1649"/>
      <c r="IOT22" s="1649"/>
      <c r="IOW22" s="1649"/>
      <c r="IOZ22" s="1649"/>
      <c r="IPC22" s="1649"/>
      <c r="IPF22" s="1649"/>
      <c r="IPI22" s="1649"/>
      <c r="IPL22" s="1649"/>
      <c r="IPO22" s="1649"/>
      <c r="IPR22" s="1649"/>
      <c r="IPU22" s="1649"/>
      <c r="IPX22" s="1649"/>
      <c r="IQA22" s="1649"/>
      <c r="IQD22" s="1649"/>
      <c r="IQG22" s="1649"/>
      <c r="IQJ22" s="1649"/>
      <c r="IQM22" s="1649"/>
      <c r="IQP22" s="1649"/>
      <c r="IQS22" s="1649"/>
      <c r="IQV22" s="1649"/>
      <c r="IQY22" s="1649"/>
      <c r="IRB22" s="1649"/>
      <c r="IRE22" s="1649"/>
      <c r="IRH22" s="1649"/>
      <c r="IRK22" s="1649"/>
      <c r="IRN22" s="1649"/>
      <c r="IRQ22" s="1649"/>
      <c r="IRT22" s="1649"/>
      <c r="IRW22" s="1649"/>
      <c r="IRZ22" s="1649"/>
      <c r="ISC22" s="1649"/>
      <c r="ISF22" s="1649"/>
      <c r="ISI22" s="1649"/>
      <c r="ISL22" s="1649"/>
      <c r="ISO22" s="1649"/>
      <c r="ISR22" s="1649"/>
      <c r="ISU22" s="1649"/>
      <c r="ISX22" s="1649"/>
      <c r="ITA22" s="1649"/>
      <c r="ITD22" s="1649"/>
      <c r="ITG22" s="1649"/>
      <c r="ITJ22" s="1649"/>
      <c r="ITM22" s="1649"/>
      <c r="ITP22" s="1649"/>
      <c r="ITS22" s="1649"/>
      <c r="ITV22" s="1649"/>
      <c r="ITY22" s="1649"/>
      <c r="IUB22" s="1649"/>
      <c r="IUE22" s="1649"/>
      <c r="IUH22" s="1649"/>
      <c r="IUK22" s="1649"/>
      <c r="IUN22" s="1649"/>
      <c r="IUQ22" s="1649"/>
      <c r="IUT22" s="1649"/>
      <c r="IUW22" s="1649"/>
      <c r="IUZ22" s="1649"/>
      <c r="IVC22" s="1649"/>
      <c r="IVF22" s="1649"/>
      <c r="IVI22" s="1649"/>
      <c r="IVL22" s="1649"/>
      <c r="IVO22" s="1649"/>
      <c r="IVR22" s="1649"/>
      <c r="IVU22" s="1649"/>
      <c r="IVX22" s="1649"/>
      <c r="IWA22" s="1649"/>
      <c r="IWD22" s="1649"/>
      <c r="IWG22" s="1649"/>
      <c r="IWJ22" s="1649"/>
      <c r="IWM22" s="1649"/>
      <c r="IWP22" s="1649"/>
      <c r="IWS22" s="1649"/>
      <c r="IWV22" s="1649"/>
      <c r="IWY22" s="1649"/>
      <c r="IXB22" s="1649"/>
      <c r="IXE22" s="1649"/>
      <c r="IXH22" s="1649"/>
      <c r="IXK22" s="1649"/>
      <c r="IXN22" s="1649"/>
      <c r="IXQ22" s="1649"/>
      <c r="IXT22" s="1649"/>
      <c r="IXW22" s="1649"/>
      <c r="IXZ22" s="1649"/>
      <c r="IYC22" s="1649"/>
      <c r="IYF22" s="1649"/>
      <c r="IYI22" s="1649"/>
      <c r="IYL22" s="1649"/>
      <c r="IYO22" s="1649"/>
      <c r="IYR22" s="1649"/>
      <c r="IYU22" s="1649"/>
      <c r="IYX22" s="1649"/>
      <c r="IZA22" s="1649"/>
      <c r="IZD22" s="1649"/>
      <c r="IZG22" s="1649"/>
      <c r="IZJ22" s="1649"/>
      <c r="IZM22" s="1649"/>
      <c r="IZP22" s="1649"/>
      <c r="IZS22" s="1649"/>
      <c r="IZV22" s="1649"/>
      <c r="IZY22" s="1649"/>
      <c r="JAB22" s="1649"/>
      <c r="JAE22" s="1649"/>
      <c r="JAH22" s="1649"/>
      <c r="JAK22" s="1649"/>
      <c r="JAN22" s="1649"/>
      <c r="JAQ22" s="1649"/>
      <c r="JAT22" s="1649"/>
      <c r="JAW22" s="1649"/>
      <c r="JAZ22" s="1649"/>
      <c r="JBC22" s="1649"/>
      <c r="JBF22" s="1649"/>
      <c r="JBI22" s="1649"/>
      <c r="JBL22" s="1649"/>
      <c r="JBO22" s="1649"/>
      <c r="JBR22" s="1649"/>
      <c r="JBU22" s="1649"/>
      <c r="JBX22" s="1649"/>
      <c r="JCA22" s="1649"/>
      <c r="JCD22" s="1649"/>
      <c r="JCG22" s="1649"/>
      <c r="JCJ22" s="1649"/>
      <c r="JCM22" s="1649"/>
      <c r="JCP22" s="1649"/>
      <c r="JCS22" s="1649"/>
      <c r="JCV22" s="1649"/>
      <c r="JCY22" s="1649"/>
      <c r="JDB22" s="1649"/>
      <c r="JDE22" s="1649"/>
      <c r="JDH22" s="1649"/>
      <c r="JDK22" s="1649"/>
      <c r="JDN22" s="1649"/>
      <c r="JDQ22" s="1649"/>
      <c r="JDT22" s="1649"/>
      <c r="JDW22" s="1649"/>
      <c r="JDZ22" s="1649"/>
      <c r="JEC22" s="1649"/>
      <c r="JEF22" s="1649"/>
      <c r="JEI22" s="1649"/>
      <c r="JEL22" s="1649"/>
      <c r="JEO22" s="1649"/>
      <c r="JER22" s="1649"/>
      <c r="JEU22" s="1649"/>
      <c r="JEX22" s="1649"/>
      <c r="JFA22" s="1649"/>
      <c r="JFD22" s="1649"/>
      <c r="JFG22" s="1649"/>
      <c r="JFJ22" s="1649"/>
      <c r="JFM22" s="1649"/>
      <c r="JFP22" s="1649"/>
      <c r="JFS22" s="1649"/>
      <c r="JFV22" s="1649"/>
      <c r="JFY22" s="1649"/>
      <c r="JGB22" s="1649"/>
      <c r="JGE22" s="1649"/>
      <c r="JGH22" s="1649"/>
      <c r="JGK22" s="1649"/>
      <c r="JGN22" s="1649"/>
      <c r="JGQ22" s="1649"/>
      <c r="JGT22" s="1649"/>
      <c r="JGW22" s="1649"/>
      <c r="JGZ22" s="1649"/>
      <c r="JHC22" s="1649"/>
      <c r="JHF22" s="1649"/>
      <c r="JHI22" s="1649"/>
      <c r="JHL22" s="1649"/>
      <c r="JHO22" s="1649"/>
      <c r="JHR22" s="1649"/>
      <c r="JHU22" s="1649"/>
      <c r="JHX22" s="1649"/>
      <c r="JIA22" s="1649"/>
      <c r="JID22" s="1649"/>
      <c r="JIG22" s="1649"/>
      <c r="JIJ22" s="1649"/>
      <c r="JIM22" s="1649"/>
      <c r="JIP22" s="1649"/>
      <c r="JIS22" s="1649"/>
      <c r="JIV22" s="1649"/>
      <c r="JIY22" s="1649"/>
      <c r="JJB22" s="1649"/>
      <c r="JJE22" s="1649"/>
      <c r="JJH22" s="1649"/>
      <c r="JJK22" s="1649"/>
      <c r="JJN22" s="1649"/>
      <c r="JJQ22" s="1649"/>
      <c r="JJT22" s="1649"/>
      <c r="JJW22" s="1649"/>
      <c r="JJZ22" s="1649"/>
      <c r="JKC22" s="1649"/>
      <c r="JKF22" s="1649"/>
      <c r="JKI22" s="1649"/>
      <c r="JKL22" s="1649"/>
      <c r="JKO22" s="1649"/>
      <c r="JKR22" s="1649"/>
      <c r="JKU22" s="1649"/>
      <c r="JKX22" s="1649"/>
      <c r="JLA22" s="1649"/>
      <c r="JLD22" s="1649"/>
      <c r="JLG22" s="1649"/>
      <c r="JLJ22" s="1649"/>
      <c r="JLM22" s="1649"/>
      <c r="JLP22" s="1649"/>
      <c r="JLS22" s="1649"/>
      <c r="JLV22" s="1649"/>
      <c r="JLY22" s="1649"/>
      <c r="JMB22" s="1649"/>
      <c r="JME22" s="1649"/>
      <c r="JMH22" s="1649"/>
      <c r="JMK22" s="1649"/>
      <c r="JMN22" s="1649"/>
      <c r="JMQ22" s="1649"/>
      <c r="JMT22" s="1649"/>
      <c r="JMW22" s="1649"/>
      <c r="JMZ22" s="1649"/>
      <c r="JNC22" s="1649"/>
      <c r="JNF22" s="1649"/>
      <c r="JNI22" s="1649"/>
      <c r="JNL22" s="1649"/>
      <c r="JNO22" s="1649"/>
      <c r="JNR22" s="1649"/>
      <c r="JNU22" s="1649"/>
      <c r="JNX22" s="1649"/>
      <c r="JOA22" s="1649"/>
      <c r="JOD22" s="1649"/>
      <c r="JOG22" s="1649"/>
      <c r="JOJ22" s="1649"/>
      <c r="JOM22" s="1649"/>
      <c r="JOP22" s="1649"/>
      <c r="JOS22" s="1649"/>
      <c r="JOV22" s="1649"/>
      <c r="JOY22" s="1649"/>
      <c r="JPB22" s="1649"/>
      <c r="JPE22" s="1649"/>
      <c r="JPH22" s="1649"/>
      <c r="JPK22" s="1649"/>
      <c r="JPN22" s="1649"/>
      <c r="JPQ22" s="1649"/>
      <c r="JPT22" s="1649"/>
      <c r="JPW22" s="1649"/>
      <c r="JPZ22" s="1649"/>
      <c r="JQC22" s="1649"/>
      <c r="JQF22" s="1649"/>
      <c r="JQI22" s="1649"/>
      <c r="JQL22" s="1649"/>
      <c r="JQO22" s="1649"/>
      <c r="JQR22" s="1649"/>
      <c r="JQU22" s="1649"/>
      <c r="JQX22" s="1649"/>
      <c r="JRA22" s="1649"/>
      <c r="JRD22" s="1649"/>
      <c r="JRG22" s="1649"/>
      <c r="JRJ22" s="1649"/>
      <c r="JRM22" s="1649"/>
      <c r="JRP22" s="1649"/>
      <c r="JRS22" s="1649"/>
      <c r="JRV22" s="1649"/>
      <c r="JRY22" s="1649"/>
      <c r="JSB22" s="1649"/>
      <c r="JSE22" s="1649"/>
      <c r="JSH22" s="1649"/>
      <c r="JSK22" s="1649"/>
      <c r="JSN22" s="1649"/>
      <c r="JSQ22" s="1649"/>
      <c r="JST22" s="1649"/>
      <c r="JSW22" s="1649"/>
      <c r="JSZ22" s="1649"/>
      <c r="JTC22" s="1649"/>
      <c r="JTF22" s="1649"/>
      <c r="JTI22" s="1649"/>
      <c r="JTL22" s="1649"/>
      <c r="JTO22" s="1649"/>
      <c r="JTR22" s="1649"/>
      <c r="JTU22" s="1649"/>
      <c r="JTX22" s="1649"/>
      <c r="JUA22" s="1649"/>
      <c r="JUD22" s="1649"/>
      <c r="JUG22" s="1649"/>
      <c r="JUJ22" s="1649"/>
      <c r="JUM22" s="1649"/>
      <c r="JUP22" s="1649"/>
      <c r="JUS22" s="1649"/>
      <c r="JUV22" s="1649"/>
      <c r="JUY22" s="1649"/>
      <c r="JVB22" s="1649"/>
      <c r="JVE22" s="1649"/>
      <c r="JVH22" s="1649"/>
      <c r="JVK22" s="1649"/>
      <c r="JVN22" s="1649"/>
      <c r="JVQ22" s="1649"/>
      <c r="JVT22" s="1649"/>
      <c r="JVW22" s="1649"/>
      <c r="JVZ22" s="1649"/>
      <c r="JWC22" s="1649"/>
      <c r="JWF22" s="1649"/>
      <c r="JWI22" s="1649"/>
      <c r="JWL22" s="1649"/>
      <c r="JWO22" s="1649"/>
      <c r="JWR22" s="1649"/>
      <c r="JWU22" s="1649"/>
      <c r="JWX22" s="1649"/>
      <c r="JXA22" s="1649"/>
      <c r="JXD22" s="1649"/>
      <c r="JXG22" s="1649"/>
      <c r="JXJ22" s="1649"/>
      <c r="JXM22" s="1649"/>
      <c r="JXP22" s="1649"/>
      <c r="JXS22" s="1649"/>
      <c r="JXV22" s="1649"/>
      <c r="JXY22" s="1649"/>
      <c r="JYB22" s="1649"/>
      <c r="JYE22" s="1649"/>
      <c r="JYH22" s="1649"/>
      <c r="JYK22" s="1649"/>
      <c r="JYN22" s="1649"/>
      <c r="JYQ22" s="1649"/>
      <c r="JYT22" s="1649"/>
      <c r="JYW22" s="1649"/>
      <c r="JYZ22" s="1649"/>
      <c r="JZC22" s="1649"/>
      <c r="JZF22" s="1649"/>
      <c r="JZI22" s="1649"/>
      <c r="JZL22" s="1649"/>
      <c r="JZO22" s="1649"/>
      <c r="JZR22" s="1649"/>
      <c r="JZU22" s="1649"/>
      <c r="JZX22" s="1649"/>
      <c r="KAA22" s="1649"/>
      <c r="KAD22" s="1649"/>
      <c r="KAG22" s="1649"/>
      <c r="KAJ22" s="1649"/>
      <c r="KAM22" s="1649"/>
      <c r="KAP22" s="1649"/>
      <c r="KAS22" s="1649"/>
      <c r="KAV22" s="1649"/>
      <c r="KAY22" s="1649"/>
      <c r="KBB22" s="1649"/>
      <c r="KBE22" s="1649"/>
      <c r="KBH22" s="1649"/>
      <c r="KBK22" s="1649"/>
      <c r="KBN22" s="1649"/>
      <c r="KBQ22" s="1649"/>
      <c r="KBT22" s="1649"/>
      <c r="KBW22" s="1649"/>
      <c r="KBZ22" s="1649"/>
      <c r="KCC22" s="1649"/>
      <c r="KCF22" s="1649"/>
      <c r="KCI22" s="1649"/>
      <c r="KCL22" s="1649"/>
      <c r="KCO22" s="1649"/>
      <c r="KCR22" s="1649"/>
      <c r="KCU22" s="1649"/>
      <c r="KCX22" s="1649"/>
      <c r="KDA22" s="1649"/>
      <c r="KDD22" s="1649"/>
      <c r="KDG22" s="1649"/>
      <c r="KDJ22" s="1649"/>
      <c r="KDM22" s="1649"/>
      <c r="KDP22" s="1649"/>
      <c r="KDS22" s="1649"/>
      <c r="KDV22" s="1649"/>
      <c r="KDY22" s="1649"/>
      <c r="KEB22" s="1649"/>
      <c r="KEE22" s="1649"/>
      <c r="KEH22" s="1649"/>
      <c r="KEK22" s="1649"/>
      <c r="KEN22" s="1649"/>
      <c r="KEQ22" s="1649"/>
      <c r="KET22" s="1649"/>
      <c r="KEW22" s="1649"/>
      <c r="KEZ22" s="1649"/>
      <c r="KFC22" s="1649"/>
      <c r="KFF22" s="1649"/>
      <c r="KFI22" s="1649"/>
      <c r="KFL22" s="1649"/>
      <c r="KFO22" s="1649"/>
      <c r="KFR22" s="1649"/>
      <c r="KFU22" s="1649"/>
      <c r="KFX22" s="1649"/>
      <c r="KGA22" s="1649"/>
      <c r="KGD22" s="1649"/>
      <c r="KGG22" s="1649"/>
      <c r="KGJ22" s="1649"/>
      <c r="KGM22" s="1649"/>
      <c r="KGP22" s="1649"/>
      <c r="KGS22" s="1649"/>
      <c r="KGV22" s="1649"/>
      <c r="KGY22" s="1649"/>
      <c r="KHB22" s="1649"/>
      <c r="KHE22" s="1649"/>
      <c r="KHH22" s="1649"/>
      <c r="KHK22" s="1649"/>
      <c r="KHN22" s="1649"/>
      <c r="KHQ22" s="1649"/>
      <c r="KHT22" s="1649"/>
      <c r="KHW22" s="1649"/>
      <c r="KHZ22" s="1649"/>
      <c r="KIC22" s="1649"/>
      <c r="KIF22" s="1649"/>
      <c r="KII22" s="1649"/>
      <c r="KIL22" s="1649"/>
      <c r="KIO22" s="1649"/>
      <c r="KIR22" s="1649"/>
      <c r="KIU22" s="1649"/>
      <c r="KIX22" s="1649"/>
      <c r="KJA22" s="1649"/>
      <c r="KJD22" s="1649"/>
      <c r="KJG22" s="1649"/>
      <c r="KJJ22" s="1649"/>
      <c r="KJM22" s="1649"/>
      <c r="KJP22" s="1649"/>
      <c r="KJS22" s="1649"/>
      <c r="KJV22" s="1649"/>
      <c r="KJY22" s="1649"/>
      <c r="KKB22" s="1649"/>
      <c r="KKE22" s="1649"/>
      <c r="KKH22" s="1649"/>
      <c r="KKK22" s="1649"/>
      <c r="KKN22" s="1649"/>
      <c r="KKQ22" s="1649"/>
      <c r="KKT22" s="1649"/>
      <c r="KKW22" s="1649"/>
      <c r="KKZ22" s="1649"/>
      <c r="KLC22" s="1649"/>
      <c r="KLF22" s="1649"/>
      <c r="KLI22" s="1649"/>
      <c r="KLL22" s="1649"/>
      <c r="KLO22" s="1649"/>
      <c r="KLR22" s="1649"/>
      <c r="KLU22" s="1649"/>
      <c r="KLX22" s="1649"/>
      <c r="KMA22" s="1649"/>
      <c r="KMD22" s="1649"/>
      <c r="KMG22" s="1649"/>
      <c r="KMJ22" s="1649"/>
      <c r="KMM22" s="1649"/>
      <c r="KMP22" s="1649"/>
      <c r="KMS22" s="1649"/>
      <c r="KMV22" s="1649"/>
      <c r="KMY22" s="1649"/>
      <c r="KNB22" s="1649"/>
      <c r="KNE22" s="1649"/>
      <c r="KNH22" s="1649"/>
      <c r="KNK22" s="1649"/>
      <c r="KNN22" s="1649"/>
      <c r="KNQ22" s="1649"/>
      <c r="KNT22" s="1649"/>
      <c r="KNW22" s="1649"/>
      <c r="KNZ22" s="1649"/>
      <c r="KOC22" s="1649"/>
      <c r="KOF22" s="1649"/>
      <c r="KOI22" s="1649"/>
      <c r="KOL22" s="1649"/>
      <c r="KOO22" s="1649"/>
      <c r="KOR22" s="1649"/>
      <c r="KOU22" s="1649"/>
      <c r="KOX22" s="1649"/>
      <c r="KPA22" s="1649"/>
      <c r="KPD22" s="1649"/>
      <c r="KPG22" s="1649"/>
      <c r="KPJ22" s="1649"/>
      <c r="KPM22" s="1649"/>
      <c r="KPP22" s="1649"/>
      <c r="KPS22" s="1649"/>
      <c r="KPV22" s="1649"/>
      <c r="KPY22" s="1649"/>
      <c r="KQB22" s="1649"/>
      <c r="KQE22" s="1649"/>
      <c r="KQH22" s="1649"/>
      <c r="KQK22" s="1649"/>
      <c r="KQN22" s="1649"/>
      <c r="KQQ22" s="1649"/>
      <c r="KQT22" s="1649"/>
      <c r="KQW22" s="1649"/>
      <c r="KQZ22" s="1649"/>
      <c r="KRC22" s="1649"/>
      <c r="KRF22" s="1649"/>
      <c r="KRI22" s="1649"/>
      <c r="KRL22" s="1649"/>
      <c r="KRO22" s="1649"/>
      <c r="KRR22" s="1649"/>
      <c r="KRU22" s="1649"/>
      <c r="KRX22" s="1649"/>
      <c r="KSA22" s="1649"/>
      <c r="KSD22" s="1649"/>
      <c r="KSG22" s="1649"/>
      <c r="KSJ22" s="1649"/>
      <c r="KSM22" s="1649"/>
      <c r="KSP22" s="1649"/>
      <c r="KSS22" s="1649"/>
      <c r="KSV22" s="1649"/>
      <c r="KSY22" s="1649"/>
      <c r="KTB22" s="1649"/>
      <c r="KTE22" s="1649"/>
      <c r="KTH22" s="1649"/>
      <c r="KTK22" s="1649"/>
      <c r="KTN22" s="1649"/>
      <c r="KTQ22" s="1649"/>
      <c r="KTT22" s="1649"/>
      <c r="KTW22" s="1649"/>
      <c r="KTZ22" s="1649"/>
      <c r="KUC22" s="1649"/>
      <c r="KUF22" s="1649"/>
      <c r="KUI22" s="1649"/>
      <c r="KUL22" s="1649"/>
      <c r="KUO22" s="1649"/>
      <c r="KUR22" s="1649"/>
      <c r="KUU22" s="1649"/>
      <c r="KUX22" s="1649"/>
      <c r="KVA22" s="1649"/>
      <c r="KVD22" s="1649"/>
      <c r="KVG22" s="1649"/>
      <c r="KVJ22" s="1649"/>
      <c r="KVM22" s="1649"/>
      <c r="KVP22" s="1649"/>
      <c r="KVS22" s="1649"/>
      <c r="KVV22" s="1649"/>
      <c r="KVY22" s="1649"/>
      <c r="KWB22" s="1649"/>
      <c r="KWE22" s="1649"/>
      <c r="KWH22" s="1649"/>
      <c r="KWK22" s="1649"/>
      <c r="KWN22" s="1649"/>
      <c r="KWQ22" s="1649"/>
      <c r="KWT22" s="1649"/>
      <c r="KWW22" s="1649"/>
      <c r="KWZ22" s="1649"/>
      <c r="KXC22" s="1649"/>
      <c r="KXF22" s="1649"/>
      <c r="KXI22" s="1649"/>
      <c r="KXL22" s="1649"/>
      <c r="KXO22" s="1649"/>
      <c r="KXR22" s="1649"/>
      <c r="KXU22" s="1649"/>
      <c r="KXX22" s="1649"/>
      <c r="KYA22" s="1649"/>
      <c r="KYD22" s="1649"/>
      <c r="KYG22" s="1649"/>
      <c r="KYJ22" s="1649"/>
      <c r="KYM22" s="1649"/>
      <c r="KYP22" s="1649"/>
      <c r="KYS22" s="1649"/>
      <c r="KYV22" s="1649"/>
      <c r="KYY22" s="1649"/>
      <c r="KZB22" s="1649"/>
      <c r="KZE22" s="1649"/>
      <c r="KZH22" s="1649"/>
      <c r="KZK22" s="1649"/>
      <c r="KZN22" s="1649"/>
      <c r="KZQ22" s="1649"/>
      <c r="KZT22" s="1649"/>
      <c r="KZW22" s="1649"/>
      <c r="KZZ22" s="1649"/>
      <c r="LAC22" s="1649"/>
      <c r="LAF22" s="1649"/>
      <c r="LAI22" s="1649"/>
      <c r="LAL22" s="1649"/>
      <c r="LAO22" s="1649"/>
      <c r="LAR22" s="1649"/>
      <c r="LAU22" s="1649"/>
      <c r="LAX22" s="1649"/>
      <c r="LBA22" s="1649"/>
      <c r="LBD22" s="1649"/>
      <c r="LBG22" s="1649"/>
      <c r="LBJ22" s="1649"/>
      <c r="LBM22" s="1649"/>
      <c r="LBP22" s="1649"/>
      <c r="LBS22" s="1649"/>
      <c r="LBV22" s="1649"/>
      <c r="LBY22" s="1649"/>
      <c r="LCB22" s="1649"/>
      <c r="LCE22" s="1649"/>
      <c r="LCH22" s="1649"/>
      <c r="LCK22" s="1649"/>
      <c r="LCN22" s="1649"/>
      <c r="LCQ22" s="1649"/>
      <c r="LCT22" s="1649"/>
      <c r="LCW22" s="1649"/>
      <c r="LCZ22" s="1649"/>
      <c r="LDC22" s="1649"/>
      <c r="LDF22" s="1649"/>
      <c r="LDI22" s="1649"/>
      <c r="LDL22" s="1649"/>
      <c r="LDO22" s="1649"/>
      <c r="LDR22" s="1649"/>
      <c r="LDU22" s="1649"/>
      <c r="LDX22" s="1649"/>
      <c r="LEA22" s="1649"/>
      <c r="LED22" s="1649"/>
      <c r="LEG22" s="1649"/>
      <c r="LEJ22" s="1649"/>
      <c r="LEM22" s="1649"/>
      <c r="LEP22" s="1649"/>
      <c r="LES22" s="1649"/>
      <c r="LEV22" s="1649"/>
      <c r="LEY22" s="1649"/>
      <c r="LFB22" s="1649"/>
      <c r="LFE22" s="1649"/>
      <c r="LFH22" s="1649"/>
      <c r="LFK22" s="1649"/>
      <c r="LFN22" s="1649"/>
      <c r="LFQ22" s="1649"/>
      <c r="LFT22" s="1649"/>
      <c r="LFW22" s="1649"/>
      <c r="LFZ22" s="1649"/>
      <c r="LGC22" s="1649"/>
      <c r="LGF22" s="1649"/>
      <c r="LGI22" s="1649"/>
      <c r="LGL22" s="1649"/>
      <c r="LGO22" s="1649"/>
      <c r="LGR22" s="1649"/>
      <c r="LGU22" s="1649"/>
      <c r="LGX22" s="1649"/>
      <c r="LHA22" s="1649"/>
      <c r="LHD22" s="1649"/>
      <c r="LHG22" s="1649"/>
      <c r="LHJ22" s="1649"/>
      <c r="LHM22" s="1649"/>
      <c r="LHP22" s="1649"/>
      <c r="LHS22" s="1649"/>
      <c r="LHV22" s="1649"/>
      <c r="LHY22" s="1649"/>
      <c r="LIB22" s="1649"/>
      <c r="LIE22" s="1649"/>
      <c r="LIH22" s="1649"/>
      <c r="LIK22" s="1649"/>
      <c r="LIN22" s="1649"/>
      <c r="LIQ22" s="1649"/>
      <c r="LIT22" s="1649"/>
      <c r="LIW22" s="1649"/>
      <c r="LIZ22" s="1649"/>
      <c r="LJC22" s="1649"/>
      <c r="LJF22" s="1649"/>
      <c r="LJI22" s="1649"/>
      <c r="LJL22" s="1649"/>
      <c r="LJO22" s="1649"/>
      <c r="LJR22" s="1649"/>
      <c r="LJU22" s="1649"/>
      <c r="LJX22" s="1649"/>
      <c r="LKA22" s="1649"/>
      <c r="LKD22" s="1649"/>
      <c r="LKG22" s="1649"/>
      <c r="LKJ22" s="1649"/>
      <c r="LKM22" s="1649"/>
      <c r="LKP22" s="1649"/>
      <c r="LKS22" s="1649"/>
      <c r="LKV22" s="1649"/>
      <c r="LKY22" s="1649"/>
      <c r="LLB22" s="1649"/>
      <c r="LLE22" s="1649"/>
      <c r="LLH22" s="1649"/>
      <c r="LLK22" s="1649"/>
      <c r="LLN22" s="1649"/>
      <c r="LLQ22" s="1649"/>
      <c r="LLT22" s="1649"/>
      <c r="LLW22" s="1649"/>
      <c r="LLZ22" s="1649"/>
      <c r="LMC22" s="1649"/>
      <c r="LMF22" s="1649"/>
      <c r="LMI22" s="1649"/>
      <c r="LML22" s="1649"/>
      <c r="LMO22" s="1649"/>
      <c r="LMR22" s="1649"/>
      <c r="LMU22" s="1649"/>
      <c r="LMX22" s="1649"/>
      <c r="LNA22" s="1649"/>
      <c r="LND22" s="1649"/>
      <c r="LNG22" s="1649"/>
      <c r="LNJ22" s="1649"/>
      <c r="LNM22" s="1649"/>
      <c r="LNP22" s="1649"/>
      <c r="LNS22" s="1649"/>
      <c r="LNV22" s="1649"/>
      <c r="LNY22" s="1649"/>
      <c r="LOB22" s="1649"/>
      <c r="LOE22" s="1649"/>
      <c r="LOH22" s="1649"/>
      <c r="LOK22" s="1649"/>
      <c r="LON22" s="1649"/>
      <c r="LOQ22" s="1649"/>
      <c r="LOT22" s="1649"/>
      <c r="LOW22" s="1649"/>
      <c r="LOZ22" s="1649"/>
      <c r="LPC22" s="1649"/>
      <c r="LPF22" s="1649"/>
      <c r="LPI22" s="1649"/>
      <c r="LPL22" s="1649"/>
      <c r="LPO22" s="1649"/>
      <c r="LPR22" s="1649"/>
      <c r="LPU22" s="1649"/>
      <c r="LPX22" s="1649"/>
      <c r="LQA22" s="1649"/>
      <c r="LQD22" s="1649"/>
      <c r="LQG22" s="1649"/>
      <c r="LQJ22" s="1649"/>
      <c r="LQM22" s="1649"/>
      <c r="LQP22" s="1649"/>
      <c r="LQS22" s="1649"/>
      <c r="LQV22" s="1649"/>
      <c r="LQY22" s="1649"/>
      <c r="LRB22" s="1649"/>
      <c r="LRE22" s="1649"/>
      <c r="LRH22" s="1649"/>
      <c r="LRK22" s="1649"/>
      <c r="LRN22" s="1649"/>
      <c r="LRQ22" s="1649"/>
      <c r="LRT22" s="1649"/>
      <c r="LRW22" s="1649"/>
      <c r="LRZ22" s="1649"/>
      <c r="LSC22" s="1649"/>
      <c r="LSF22" s="1649"/>
      <c r="LSI22" s="1649"/>
      <c r="LSL22" s="1649"/>
      <c r="LSO22" s="1649"/>
      <c r="LSR22" s="1649"/>
      <c r="LSU22" s="1649"/>
      <c r="LSX22" s="1649"/>
      <c r="LTA22" s="1649"/>
      <c r="LTD22" s="1649"/>
      <c r="LTG22" s="1649"/>
      <c r="LTJ22" s="1649"/>
      <c r="LTM22" s="1649"/>
      <c r="LTP22" s="1649"/>
      <c r="LTS22" s="1649"/>
      <c r="LTV22" s="1649"/>
      <c r="LTY22" s="1649"/>
      <c r="LUB22" s="1649"/>
      <c r="LUE22" s="1649"/>
      <c r="LUH22" s="1649"/>
      <c r="LUK22" s="1649"/>
      <c r="LUN22" s="1649"/>
      <c r="LUQ22" s="1649"/>
      <c r="LUT22" s="1649"/>
      <c r="LUW22" s="1649"/>
      <c r="LUZ22" s="1649"/>
      <c r="LVC22" s="1649"/>
      <c r="LVF22" s="1649"/>
      <c r="LVI22" s="1649"/>
      <c r="LVL22" s="1649"/>
      <c r="LVO22" s="1649"/>
      <c r="LVR22" s="1649"/>
      <c r="LVU22" s="1649"/>
      <c r="LVX22" s="1649"/>
      <c r="LWA22" s="1649"/>
      <c r="LWD22" s="1649"/>
      <c r="LWG22" s="1649"/>
      <c r="LWJ22" s="1649"/>
      <c r="LWM22" s="1649"/>
      <c r="LWP22" s="1649"/>
      <c r="LWS22" s="1649"/>
      <c r="LWV22" s="1649"/>
      <c r="LWY22" s="1649"/>
      <c r="LXB22" s="1649"/>
      <c r="LXE22" s="1649"/>
      <c r="LXH22" s="1649"/>
      <c r="LXK22" s="1649"/>
      <c r="LXN22" s="1649"/>
      <c r="LXQ22" s="1649"/>
      <c r="LXT22" s="1649"/>
      <c r="LXW22" s="1649"/>
      <c r="LXZ22" s="1649"/>
      <c r="LYC22" s="1649"/>
      <c r="LYF22" s="1649"/>
      <c r="LYI22" s="1649"/>
      <c r="LYL22" s="1649"/>
      <c r="LYO22" s="1649"/>
      <c r="LYR22" s="1649"/>
      <c r="LYU22" s="1649"/>
      <c r="LYX22" s="1649"/>
      <c r="LZA22" s="1649"/>
      <c r="LZD22" s="1649"/>
      <c r="LZG22" s="1649"/>
      <c r="LZJ22" s="1649"/>
      <c r="LZM22" s="1649"/>
      <c r="LZP22" s="1649"/>
      <c r="LZS22" s="1649"/>
      <c r="LZV22" s="1649"/>
      <c r="LZY22" s="1649"/>
      <c r="MAB22" s="1649"/>
      <c r="MAE22" s="1649"/>
      <c r="MAH22" s="1649"/>
      <c r="MAK22" s="1649"/>
      <c r="MAN22" s="1649"/>
      <c r="MAQ22" s="1649"/>
      <c r="MAT22" s="1649"/>
      <c r="MAW22" s="1649"/>
      <c r="MAZ22" s="1649"/>
      <c r="MBC22" s="1649"/>
      <c r="MBF22" s="1649"/>
      <c r="MBI22" s="1649"/>
      <c r="MBL22" s="1649"/>
      <c r="MBO22" s="1649"/>
      <c r="MBR22" s="1649"/>
      <c r="MBU22" s="1649"/>
      <c r="MBX22" s="1649"/>
      <c r="MCA22" s="1649"/>
      <c r="MCD22" s="1649"/>
      <c r="MCG22" s="1649"/>
      <c r="MCJ22" s="1649"/>
      <c r="MCM22" s="1649"/>
      <c r="MCP22" s="1649"/>
      <c r="MCS22" s="1649"/>
      <c r="MCV22" s="1649"/>
      <c r="MCY22" s="1649"/>
      <c r="MDB22" s="1649"/>
      <c r="MDE22" s="1649"/>
      <c r="MDH22" s="1649"/>
      <c r="MDK22" s="1649"/>
      <c r="MDN22" s="1649"/>
      <c r="MDQ22" s="1649"/>
      <c r="MDT22" s="1649"/>
      <c r="MDW22" s="1649"/>
      <c r="MDZ22" s="1649"/>
      <c r="MEC22" s="1649"/>
      <c r="MEF22" s="1649"/>
      <c r="MEI22" s="1649"/>
      <c r="MEL22" s="1649"/>
      <c r="MEO22" s="1649"/>
      <c r="MER22" s="1649"/>
      <c r="MEU22" s="1649"/>
      <c r="MEX22" s="1649"/>
      <c r="MFA22" s="1649"/>
      <c r="MFD22" s="1649"/>
      <c r="MFG22" s="1649"/>
      <c r="MFJ22" s="1649"/>
      <c r="MFM22" s="1649"/>
      <c r="MFP22" s="1649"/>
      <c r="MFS22" s="1649"/>
      <c r="MFV22" s="1649"/>
      <c r="MFY22" s="1649"/>
      <c r="MGB22" s="1649"/>
      <c r="MGE22" s="1649"/>
      <c r="MGH22" s="1649"/>
      <c r="MGK22" s="1649"/>
      <c r="MGN22" s="1649"/>
      <c r="MGQ22" s="1649"/>
      <c r="MGT22" s="1649"/>
      <c r="MGW22" s="1649"/>
      <c r="MGZ22" s="1649"/>
      <c r="MHC22" s="1649"/>
      <c r="MHF22" s="1649"/>
      <c r="MHI22" s="1649"/>
      <c r="MHL22" s="1649"/>
      <c r="MHO22" s="1649"/>
      <c r="MHR22" s="1649"/>
      <c r="MHU22" s="1649"/>
      <c r="MHX22" s="1649"/>
      <c r="MIA22" s="1649"/>
      <c r="MID22" s="1649"/>
      <c r="MIG22" s="1649"/>
      <c r="MIJ22" s="1649"/>
      <c r="MIM22" s="1649"/>
      <c r="MIP22" s="1649"/>
      <c r="MIS22" s="1649"/>
      <c r="MIV22" s="1649"/>
      <c r="MIY22" s="1649"/>
      <c r="MJB22" s="1649"/>
      <c r="MJE22" s="1649"/>
      <c r="MJH22" s="1649"/>
      <c r="MJK22" s="1649"/>
      <c r="MJN22" s="1649"/>
      <c r="MJQ22" s="1649"/>
      <c r="MJT22" s="1649"/>
      <c r="MJW22" s="1649"/>
      <c r="MJZ22" s="1649"/>
      <c r="MKC22" s="1649"/>
      <c r="MKF22" s="1649"/>
      <c r="MKI22" s="1649"/>
      <c r="MKL22" s="1649"/>
      <c r="MKO22" s="1649"/>
      <c r="MKR22" s="1649"/>
      <c r="MKU22" s="1649"/>
      <c r="MKX22" s="1649"/>
      <c r="MLA22" s="1649"/>
      <c r="MLD22" s="1649"/>
      <c r="MLG22" s="1649"/>
      <c r="MLJ22" s="1649"/>
      <c r="MLM22" s="1649"/>
      <c r="MLP22" s="1649"/>
      <c r="MLS22" s="1649"/>
      <c r="MLV22" s="1649"/>
      <c r="MLY22" s="1649"/>
      <c r="MMB22" s="1649"/>
      <c r="MME22" s="1649"/>
      <c r="MMH22" s="1649"/>
      <c r="MMK22" s="1649"/>
      <c r="MMN22" s="1649"/>
      <c r="MMQ22" s="1649"/>
      <c r="MMT22" s="1649"/>
      <c r="MMW22" s="1649"/>
      <c r="MMZ22" s="1649"/>
      <c r="MNC22" s="1649"/>
      <c r="MNF22" s="1649"/>
      <c r="MNI22" s="1649"/>
      <c r="MNL22" s="1649"/>
      <c r="MNO22" s="1649"/>
      <c r="MNR22" s="1649"/>
      <c r="MNU22" s="1649"/>
      <c r="MNX22" s="1649"/>
      <c r="MOA22" s="1649"/>
      <c r="MOD22" s="1649"/>
      <c r="MOG22" s="1649"/>
      <c r="MOJ22" s="1649"/>
      <c r="MOM22" s="1649"/>
      <c r="MOP22" s="1649"/>
      <c r="MOS22" s="1649"/>
      <c r="MOV22" s="1649"/>
      <c r="MOY22" s="1649"/>
      <c r="MPB22" s="1649"/>
      <c r="MPE22" s="1649"/>
      <c r="MPH22" s="1649"/>
      <c r="MPK22" s="1649"/>
      <c r="MPN22" s="1649"/>
      <c r="MPQ22" s="1649"/>
      <c r="MPT22" s="1649"/>
      <c r="MPW22" s="1649"/>
      <c r="MPZ22" s="1649"/>
      <c r="MQC22" s="1649"/>
      <c r="MQF22" s="1649"/>
      <c r="MQI22" s="1649"/>
      <c r="MQL22" s="1649"/>
      <c r="MQO22" s="1649"/>
      <c r="MQR22" s="1649"/>
      <c r="MQU22" s="1649"/>
      <c r="MQX22" s="1649"/>
      <c r="MRA22" s="1649"/>
      <c r="MRD22" s="1649"/>
      <c r="MRG22" s="1649"/>
      <c r="MRJ22" s="1649"/>
      <c r="MRM22" s="1649"/>
      <c r="MRP22" s="1649"/>
      <c r="MRS22" s="1649"/>
      <c r="MRV22" s="1649"/>
      <c r="MRY22" s="1649"/>
      <c r="MSB22" s="1649"/>
      <c r="MSE22" s="1649"/>
      <c r="MSH22" s="1649"/>
      <c r="MSK22" s="1649"/>
      <c r="MSN22" s="1649"/>
      <c r="MSQ22" s="1649"/>
      <c r="MST22" s="1649"/>
      <c r="MSW22" s="1649"/>
      <c r="MSZ22" s="1649"/>
      <c r="MTC22" s="1649"/>
      <c r="MTF22" s="1649"/>
      <c r="MTI22" s="1649"/>
      <c r="MTL22" s="1649"/>
      <c r="MTO22" s="1649"/>
      <c r="MTR22" s="1649"/>
      <c r="MTU22" s="1649"/>
      <c r="MTX22" s="1649"/>
      <c r="MUA22" s="1649"/>
      <c r="MUD22" s="1649"/>
      <c r="MUG22" s="1649"/>
      <c r="MUJ22" s="1649"/>
      <c r="MUM22" s="1649"/>
      <c r="MUP22" s="1649"/>
      <c r="MUS22" s="1649"/>
      <c r="MUV22" s="1649"/>
      <c r="MUY22" s="1649"/>
      <c r="MVB22" s="1649"/>
      <c r="MVE22" s="1649"/>
      <c r="MVH22" s="1649"/>
      <c r="MVK22" s="1649"/>
      <c r="MVN22" s="1649"/>
      <c r="MVQ22" s="1649"/>
      <c r="MVT22" s="1649"/>
      <c r="MVW22" s="1649"/>
      <c r="MVZ22" s="1649"/>
      <c r="MWC22" s="1649"/>
      <c r="MWF22" s="1649"/>
      <c r="MWI22" s="1649"/>
      <c r="MWL22" s="1649"/>
      <c r="MWO22" s="1649"/>
      <c r="MWR22" s="1649"/>
      <c r="MWU22" s="1649"/>
      <c r="MWX22" s="1649"/>
      <c r="MXA22" s="1649"/>
      <c r="MXD22" s="1649"/>
      <c r="MXG22" s="1649"/>
      <c r="MXJ22" s="1649"/>
      <c r="MXM22" s="1649"/>
      <c r="MXP22" s="1649"/>
      <c r="MXS22" s="1649"/>
      <c r="MXV22" s="1649"/>
      <c r="MXY22" s="1649"/>
      <c r="MYB22" s="1649"/>
      <c r="MYE22" s="1649"/>
      <c r="MYH22" s="1649"/>
      <c r="MYK22" s="1649"/>
      <c r="MYN22" s="1649"/>
      <c r="MYQ22" s="1649"/>
      <c r="MYT22" s="1649"/>
      <c r="MYW22" s="1649"/>
      <c r="MYZ22" s="1649"/>
      <c r="MZC22" s="1649"/>
      <c r="MZF22" s="1649"/>
      <c r="MZI22" s="1649"/>
      <c r="MZL22" s="1649"/>
      <c r="MZO22" s="1649"/>
      <c r="MZR22" s="1649"/>
      <c r="MZU22" s="1649"/>
      <c r="MZX22" s="1649"/>
      <c r="NAA22" s="1649"/>
      <c r="NAD22" s="1649"/>
      <c r="NAG22" s="1649"/>
      <c r="NAJ22" s="1649"/>
      <c r="NAM22" s="1649"/>
      <c r="NAP22" s="1649"/>
      <c r="NAS22" s="1649"/>
      <c r="NAV22" s="1649"/>
      <c r="NAY22" s="1649"/>
      <c r="NBB22" s="1649"/>
      <c r="NBE22" s="1649"/>
      <c r="NBH22" s="1649"/>
      <c r="NBK22" s="1649"/>
      <c r="NBN22" s="1649"/>
      <c r="NBQ22" s="1649"/>
      <c r="NBT22" s="1649"/>
      <c r="NBW22" s="1649"/>
      <c r="NBZ22" s="1649"/>
      <c r="NCC22" s="1649"/>
      <c r="NCF22" s="1649"/>
      <c r="NCI22" s="1649"/>
      <c r="NCL22" s="1649"/>
      <c r="NCO22" s="1649"/>
      <c r="NCR22" s="1649"/>
      <c r="NCU22" s="1649"/>
      <c r="NCX22" s="1649"/>
      <c r="NDA22" s="1649"/>
      <c r="NDD22" s="1649"/>
      <c r="NDG22" s="1649"/>
      <c r="NDJ22" s="1649"/>
      <c r="NDM22" s="1649"/>
      <c r="NDP22" s="1649"/>
      <c r="NDS22" s="1649"/>
      <c r="NDV22" s="1649"/>
      <c r="NDY22" s="1649"/>
      <c r="NEB22" s="1649"/>
      <c r="NEE22" s="1649"/>
      <c r="NEH22" s="1649"/>
      <c r="NEK22" s="1649"/>
      <c r="NEN22" s="1649"/>
      <c r="NEQ22" s="1649"/>
      <c r="NET22" s="1649"/>
      <c r="NEW22" s="1649"/>
      <c r="NEZ22" s="1649"/>
      <c r="NFC22" s="1649"/>
      <c r="NFF22" s="1649"/>
      <c r="NFI22" s="1649"/>
      <c r="NFL22" s="1649"/>
      <c r="NFO22" s="1649"/>
      <c r="NFR22" s="1649"/>
      <c r="NFU22" s="1649"/>
      <c r="NFX22" s="1649"/>
      <c r="NGA22" s="1649"/>
      <c r="NGD22" s="1649"/>
      <c r="NGG22" s="1649"/>
      <c r="NGJ22" s="1649"/>
      <c r="NGM22" s="1649"/>
      <c r="NGP22" s="1649"/>
      <c r="NGS22" s="1649"/>
      <c r="NGV22" s="1649"/>
      <c r="NGY22" s="1649"/>
      <c r="NHB22" s="1649"/>
      <c r="NHE22" s="1649"/>
      <c r="NHH22" s="1649"/>
      <c r="NHK22" s="1649"/>
      <c r="NHN22" s="1649"/>
      <c r="NHQ22" s="1649"/>
      <c r="NHT22" s="1649"/>
      <c r="NHW22" s="1649"/>
      <c r="NHZ22" s="1649"/>
      <c r="NIC22" s="1649"/>
      <c r="NIF22" s="1649"/>
      <c r="NII22" s="1649"/>
      <c r="NIL22" s="1649"/>
      <c r="NIO22" s="1649"/>
      <c r="NIR22" s="1649"/>
      <c r="NIU22" s="1649"/>
      <c r="NIX22" s="1649"/>
      <c r="NJA22" s="1649"/>
      <c r="NJD22" s="1649"/>
      <c r="NJG22" s="1649"/>
      <c r="NJJ22" s="1649"/>
      <c r="NJM22" s="1649"/>
      <c r="NJP22" s="1649"/>
      <c r="NJS22" s="1649"/>
      <c r="NJV22" s="1649"/>
      <c r="NJY22" s="1649"/>
      <c r="NKB22" s="1649"/>
      <c r="NKE22" s="1649"/>
      <c r="NKH22" s="1649"/>
      <c r="NKK22" s="1649"/>
      <c r="NKN22" s="1649"/>
      <c r="NKQ22" s="1649"/>
      <c r="NKT22" s="1649"/>
      <c r="NKW22" s="1649"/>
      <c r="NKZ22" s="1649"/>
      <c r="NLC22" s="1649"/>
      <c r="NLF22" s="1649"/>
      <c r="NLI22" s="1649"/>
      <c r="NLL22" s="1649"/>
      <c r="NLO22" s="1649"/>
      <c r="NLR22" s="1649"/>
      <c r="NLU22" s="1649"/>
      <c r="NLX22" s="1649"/>
      <c r="NMA22" s="1649"/>
      <c r="NMD22" s="1649"/>
      <c r="NMG22" s="1649"/>
      <c r="NMJ22" s="1649"/>
      <c r="NMM22" s="1649"/>
      <c r="NMP22" s="1649"/>
      <c r="NMS22" s="1649"/>
      <c r="NMV22" s="1649"/>
      <c r="NMY22" s="1649"/>
      <c r="NNB22" s="1649"/>
      <c r="NNE22" s="1649"/>
      <c r="NNH22" s="1649"/>
      <c r="NNK22" s="1649"/>
      <c r="NNN22" s="1649"/>
      <c r="NNQ22" s="1649"/>
      <c r="NNT22" s="1649"/>
      <c r="NNW22" s="1649"/>
      <c r="NNZ22" s="1649"/>
      <c r="NOC22" s="1649"/>
      <c r="NOF22" s="1649"/>
      <c r="NOI22" s="1649"/>
      <c r="NOL22" s="1649"/>
      <c r="NOO22" s="1649"/>
      <c r="NOR22" s="1649"/>
      <c r="NOU22" s="1649"/>
      <c r="NOX22" s="1649"/>
      <c r="NPA22" s="1649"/>
      <c r="NPD22" s="1649"/>
      <c r="NPG22" s="1649"/>
      <c r="NPJ22" s="1649"/>
      <c r="NPM22" s="1649"/>
      <c r="NPP22" s="1649"/>
      <c r="NPS22" s="1649"/>
      <c r="NPV22" s="1649"/>
      <c r="NPY22" s="1649"/>
      <c r="NQB22" s="1649"/>
      <c r="NQE22" s="1649"/>
      <c r="NQH22" s="1649"/>
      <c r="NQK22" s="1649"/>
      <c r="NQN22" s="1649"/>
      <c r="NQQ22" s="1649"/>
      <c r="NQT22" s="1649"/>
      <c r="NQW22" s="1649"/>
      <c r="NQZ22" s="1649"/>
      <c r="NRC22" s="1649"/>
      <c r="NRF22" s="1649"/>
      <c r="NRI22" s="1649"/>
      <c r="NRL22" s="1649"/>
      <c r="NRO22" s="1649"/>
      <c r="NRR22" s="1649"/>
      <c r="NRU22" s="1649"/>
      <c r="NRX22" s="1649"/>
      <c r="NSA22" s="1649"/>
      <c r="NSD22" s="1649"/>
      <c r="NSG22" s="1649"/>
      <c r="NSJ22" s="1649"/>
      <c r="NSM22" s="1649"/>
      <c r="NSP22" s="1649"/>
      <c r="NSS22" s="1649"/>
      <c r="NSV22" s="1649"/>
      <c r="NSY22" s="1649"/>
      <c r="NTB22" s="1649"/>
      <c r="NTE22" s="1649"/>
      <c r="NTH22" s="1649"/>
      <c r="NTK22" s="1649"/>
      <c r="NTN22" s="1649"/>
      <c r="NTQ22" s="1649"/>
      <c r="NTT22" s="1649"/>
      <c r="NTW22" s="1649"/>
      <c r="NTZ22" s="1649"/>
      <c r="NUC22" s="1649"/>
      <c r="NUF22" s="1649"/>
      <c r="NUI22" s="1649"/>
      <c r="NUL22" s="1649"/>
      <c r="NUO22" s="1649"/>
      <c r="NUR22" s="1649"/>
      <c r="NUU22" s="1649"/>
      <c r="NUX22" s="1649"/>
      <c r="NVA22" s="1649"/>
      <c r="NVD22" s="1649"/>
      <c r="NVG22" s="1649"/>
      <c r="NVJ22" s="1649"/>
      <c r="NVM22" s="1649"/>
      <c r="NVP22" s="1649"/>
      <c r="NVS22" s="1649"/>
      <c r="NVV22" s="1649"/>
      <c r="NVY22" s="1649"/>
      <c r="NWB22" s="1649"/>
      <c r="NWE22" s="1649"/>
      <c r="NWH22" s="1649"/>
      <c r="NWK22" s="1649"/>
      <c r="NWN22" s="1649"/>
      <c r="NWQ22" s="1649"/>
      <c r="NWT22" s="1649"/>
      <c r="NWW22" s="1649"/>
      <c r="NWZ22" s="1649"/>
      <c r="NXC22" s="1649"/>
      <c r="NXF22" s="1649"/>
      <c r="NXI22" s="1649"/>
      <c r="NXL22" s="1649"/>
      <c r="NXO22" s="1649"/>
      <c r="NXR22" s="1649"/>
      <c r="NXU22" s="1649"/>
      <c r="NXX22" s="1649"/>
      <c r="NYA22" s="1649"/>
      <c r="NYD22" s="1649"/>
      <c r="NYG22" s="1649"/>
      <c r="NYJ22" s="1649"/>
      <c r="NYM22" s="1649"/>
      <c r="NYP22" s="1649"/>
      <c r="NYS22" s="1649"/>
      <c r="NYV22" s="1649"/>
      <c r="NYY22" s="1649"/>
      <c r="NZB22" s="1649"/>
      <c r="NZE22" s="1649"/>
      <c r="NZH22" s="1649"/>
      <c r="NZK22" s="1649"/>
      <c r="NZN22" s="1649"/>
      <c r="NZQ22" s="1649"/>
      <c r="NZT22" s="1649"/>
      <c r="NZW22" s="1649"/>
      <c r="NZZ22" s="1649"/>
      <c r="OAC22" s="1649"/>
      <c r="OAF22" s="1649"/>
      <c r="OAI22" s="1649"/>
      <c r="OAL22" s="1649"/>
      <c r="OAO22" s="1649"/>
      <c r="OAR22" s="1649"/>
      <c r="OAU22" s="1649"/>
      <c r="OAX22" s="1649"/>
      <c r="OBA22" s="1649"/>
      <c r="OBD22" s="1649"/>
      <c r="OBG22" s="1649"/>
      <c r="OBJ22" s="1649"/>
      <c r="OBM22" s="1649"/>
      <c r="OBP22" s="1649"/>
      <c r="OBS22" s="1649"/>
      <c r="OBV22" s="1649"/>
      <c r="OBY22" s="1649"/>
      <c r="OCB22" s="1649"/>
      <c r="OCE22" s="1649"/>
      <c r="OCH22" s="1649"/>
      <c r="OCK22" s="1649"/>
      <c r="OCN22" s="1649"/>
      <c r="OCQ22" s="1649"/>
      <c r="OCT22" s="1649"/>
      <c r="OCW22" s="1649"/>
      <c r="OCZ22" s="1649"/>
      <c r="ODC22" s="1649"/>
      <c r="ODF22" s="1649"/>
      <c r="ODI22" s="1649"/>
      <c r="ODL22" s="1649"/>
      <c r="ODO22" s="1649"/>
      <c r="ODR22" s="1649"/>
      <c r="ODU22" s="1649"/>
      <c r="ODX22" s="1649"/>
      <c r="OEA22" s="1649"/>
      <c r="OED22" s="1649"/>
      <c r="OEG22" s="1649"/>
      <c r="OEJ22" s="1649"/>
      <c r="OEM22" s="1649"/>
      <c r="OEP22" s="1649"/>
      <c r="OES22" s="1649"/>
      <c r="OEV22" s="1649"/>
      <c r="OEY22" s="1649"/>
      <c r="OFB22" s="1649"/>
      <c r="OFE22" s="1649"/>
      <c r="OFH22" s="1649"/>
      <c r="OFK22" s="1649"/>
      <c r="OFN22" s="1649"/>
      <c r="OFQ22" s="1649"/>
      <c r="OFT22" s="1649"/>
      <c r="OFW22" s="1649"/>
      <c r="OFZ22" s="1649"/>
      <c r="OGC22" s="1649"/>
      <c r="OGF22" s="1649"/>
      <c r="OGI22" s="1649"/>
      <c r="OGL22" s="1649"/>
      <c r="OGO22" s="1649"/>
      <c r="OGR22" s="1649"/>
      <c r="OGU22" s="1649"/>
      <c r="OGX22" s="1649"/>
      <c r="OHA22" s="1649"/>
      <c r="OHD22" s="1649"/>
      <c r="OHG22" s="1649"/>
      <c r="OHJ22" s="1649"/>
      <c r="OHM22" s="1649"/>
      <c r="OHP22" s="1649"/>
      <c r="OHS22" s="1649"/>
      <c r="OHV22" s="1649"/>
      <c r="OHY22" s="1649"/>
      <c r="OIB22" s="1649"/>
      <c r="OIE22" s="1649"/>
      <c r="OIH22" s="1649"/>
      <c r="OIK22" s="1649"/>
      <c r="OIN22" s="1649"/>
      <c r="OIQ22" s="1649"/>
      <c r="OIT22" s="1649"/>
      <c r="OIW22" s="1649"/>
      <c r="OIZ22" s="1649"/>
      <c r="OJC22" s="1649"/>
      <c r="OJF22" s="1649"/>
      <c r="OJI22" s="1649"/>
      <c r="OJL22" s="1649"/>
      <c r="OJO22" s="1649"/>
      <c r="OJR22" s="1649"/>
      <c r="OJU22" s="1649"/>
      <c r="OJX22" s="1649"/>
      <c r="OKA22" s="1649"/>
      <c r="OKD22" s="1649"/>
      <c r="OKG22" s="1649"/>
      <c r="OKJ22" s="1649"/>
      <c r="OKM22" s="1649"/>
      <c r="OKP22" s="1649"/>
      <c r="OKS22" s="1649"/>
      <c r="OKV22" s="1649"/>
      <c r="OKY22" s="1649"/>
      <c r="OLB22" s="1649"/>
      <c r="OLE22" s="1649"/>
      <c r="OLH22" s="1649"/>
      <c r="OLK22" s="1649"/>
      <c r="OLN22" s="1649"/>
      <c r="OLQ22" s="1649"/>
      <c r="OLT22" s="1649"/>
      <c r="OLW22" s="1649"/>
      <c r="OLZ22" s="1649"/>
      <c r="OMC22" s="1649"/>
      <c r="OMF22" s="1649"/>
      <c r="OMI22" s="1649"/>
      <c r="OML22" s="1649"/>
      <c r="OMO22" s="1649"/>
      <c r="OMR22" s="1649"/>
      <c r="OMU22" s="1649"/>
      <c r="OMX22" s="1649"/>
      <c r="ONA22" s="1649"/>
      <c r="OND22" s="1649"/>
      <c r="ONG22" s="1649"/>
      <c r="ONJ22" s="1649"/>
      <c r="ONM22" s="1649"/>
      <c r="ONP22" s="1649"/>
      <c r="ONS22" s="1649"/>
      <c r="ONV22" s="1649"/>
      <c r="ONY22" s="1649"/>
      <c r="OOB22" s="1649"/>
      <c r="OOE22" s="1649"/>
      <c r="OOH22" s="1649"/>
      <c r="OOK22" s="1649"/>
      <c r="OON22" s="1649"/>
      <c r="OOQ22" s="1649"/>
      <c r="OOT22" s="1649"/>
      <c r="OOW22" s="1649"/>
      <c r="OOZ22" s="1649"/>
      <c r="OPC22" s="1649"/>
      <c r="OPF22" s="1649"/>
      <c r="OPI22" s="1649"/>
      <c r="OPL22" s="1649"/>
      <c r="OPO22" s="1649"/>
      <c r="OPR22" s="1649"/>
      <c r="OPU22" s="1649"/>
      <c r="OPX22" s="1649"/>
      <c r="OQA22" s="1649"/>
      <c r="OQD22" s="1649"/>
      <c r="OQG22" s="1649"/>
      <c r="OQJ22" s="1649"/>
      <c r="OQM22" s="1649"/>
      <c r="OQP22" s="1649"/>
      <c r="OQS22" s="1649"/>
      <c r="OQV22" s="1649"/>
      <c r="OQY22" s="1649"/>
      <c r="ORB22" s="1649"/>
      <c r="ORE22" s="1649"/>
      <c r="ORH22" s="1649"/>
      <c r="ORK22" s="1649"/>
      <c r="ORN22" s="1649"/>
      <c r="ORQ22" s="1649"/>
      <c r="ORT22" s="1649"/>
      <c r="ORW22" s="1649"/>
      <c r="ORZ22" s="1649"/>
      <c r="OSC22" s="1649"/>
      <c r="OSF22" s="1649"/>
      <c r="OSI22" s="1649"/>
      <c r="OSL22" s="1649"/>
      <c r="OSO22" s="1649"/>
      <c r="OSR22" s="1649"/>
      <c r="OSU22" s="1649"/>
      <c r="OSX22" s="1649"/>
      <c r="OTA22" s="1649"/>
      <c r="OTD22" s="1649"/>
      <c r="OTG22" s="1649"/>
      <c r="OTJ22" s="1649"/>
      <c r="OTM22" s="1649"/>
      <c r="OTP22" s="1649"/>
      <c r="OTS22" s="1649"/>
      <c r="OTV22" s="1649"/>
      <c r="OTY22" s="1649"/>
      <c r="OUB22" s="1649"/>
      <c r="OUE22" s="1649"/>
      <c r="OUH22" s="1649"/>
      <c r="OUK22" s="1649"/>
      <c r="OUN22" s="1649"/>
      <c r="OUQ22" s="1649"/>
      <c r="OUT22" s="1649"/>
      <c r="OUW22" s="1649"/>
      <c r="OUZ22" s="1649"/>
      <c r="OVC22" s="1649"/>
      <c r="OVF22" s="1649"/>
      <c r="OVI22" s="1649"/>
      <c r="OVL22" s="1649"/>
      <c r="OVO22" s="1649"/>
      <c r="OVR22" s="1649"/>
      <c r="OVU22" s="1649"/>
      <c r="OVX22" s="1649"/>
      <c r="OWA22" s="1649"/>
      <c r="OWD22" s="1649"/>
      <c r="OWG22" s="1649"/>
      <c r="OWJ22" s="1649"/>
      <c r="OWM22" s="1649"/>
      <c r="OWP22" s="1649"/>
      <c r="OWS22" s="1649"/>
      <c r="OWV22" s="1649"/>
      <c r="OWY22" s="1649"/>
      <c r="OXB22" s="1649"/>
      <c r="OXE22" s="1649"/>
      <c r="OXH22" s="1649"/>
      <c r="OXK22" s="1649"/>
      <c r="OXN22" s="1649"/>
      <c r="OXQ22" s="1649"/>
      <c r="OXT22" s="1649"/>
      <c r="OXW22" s="1649"/>
      <c r="OXZ22" s="1649"/>
      <c r="OYC22" s="1649"/>
      <c r="OYF22" s="1649"/>
      <c r="OYI22" s="1649"/>
      <c r="OYL22" s="1649"/>
      <c r="OYO22" s="1649"/>
      <c r="OYR22" s="1649"/>
      <c r="OYU22" s="1649"/>
      <c r="OYX22" s="1649"/>
      <c r="OZA22" s="1649"/>
      <c r="OZD22" s="1649"/>
      <c r="OZG22" s="1649"/>
      <c r="OZJ22" s="1649"/>
      <c r="OZM22" s="1649"/>
      <c r="OZP22" s="1649"/>
      <c r="OZS22" s="1649"/>
      <c r="OZV22" s="1649"/>
      <c r="OZY22" s="1649"/>
      <c r="PAB22" s="1649"/>
      <c r="PAE22" s="1649"/>
      <c r="PAH22" s="1649"/>
      <c r="PAK22" s="1649"/>
      <c r="PAN22" s="1649"/>
      <c r="PAQ22" s="1649"/>
      <c r="PAT22" s="1649"/>
      <c r="PAW22" s="1649"/>
      <c r="PAZ22" s="1649"/>
      <c r="PBC22" s="1649"/>
      <c r="PBF22" s="1649"/>
      <c r="PBI22" s="1649"/>
      <c r="PBL22" s="1649"/>
      <c r="PBO22" s="1649"/>
      <c r="PBR22" s="1649"/>
      <c r="PBU22" s="1649"/>
      <c r="PBX22" s="1649"/>
      <c r="PCA22" s="1649"/>
      <c r="PCD22" s="1649"/>
      <c r="PCG22" s="1649"/>
      <c r="PCJ22" s="1649"/>
      <c r="PCM22" s="1649"/>
      <c r="PCP22" s="1649"/>
      <c r="PCS22" s="1649"/>
      <c r="PCV22" s="1649"/>
      <c r="PCY22" s="1649"/>
      <c r="PDB22" s="1649"/>
      <c r="PDE22" s="1649"/>
      <c r="PDH22" s="1649"/>
      <c r="PDK22" s="1649"/>
      <c r="PDN22" s="1649"/>
      <c r="PDQ22" s="1649"/>
      <c r="PDT22" s="1649"/>
      <c r="PDW22" s="1649"/>
      <c r="PDZ22" s="1649"/>
      <c r="PEC22" s="1649"/>
      <c r="PEF22" s="1649"/>
      <c r="PEI22" s="1649"/>
      <c r="PEL22" s="1649"/>
      <c r="PEO22" s="1649"/>
      <c r="PER22" s="1649"/>
      <c r="PEU22" s="1649"/>
      <c r="PEX22" s="1649"/>
      <c r="PFA22" s="1649"/>
      <c r="PFD22" s="1649"/>
      <c r="PFG22" s="1649"/>
      <c r="PFJ22" s="1649"/>
      <c r="PFM22" s="1649"/>
      <c r="PFP22" s="1649"/>
      <c r="PFS22" s="1649"/>
      <c r="PFV22" s="1649"/>
      <c r="PFY22" s="1649"/>
      <c r="PGB22" s="1649"/>
      <c r="PGE22" s="1649"/>
      <c r="PGH22" s="1649"/>
      <c r="PGK22" s="1649"/>
      <c r="PGN22" s="1649"/>
      <c r="PGQ22" s="1649"/>
      <c r="PGT22" s="1649"/>
      <c r="PGW22" s="1649"/>
      <c r="PGZ22" s="1649"/>
      <c r="PHC22" s="1649"/>
      <c r="PHF22" s="1649"/>
      <c r="PHI22" s="1649"/>
      <c r="PHL22" s="1649"/>
      <c r="PHO22" s="1649"/>
      <c r="PHR22" s="1649"/>
      <c r="PHU22" s="1649"/>
      <c r="PHX22" s="1649"/>
      <c r="PIA22" s="1649"/>
      <c r="PID22" s="1649"/>
      <c r="PIG22" s="1649"/>
      <c r="PIJ22" s="1649"/>
      <c r="PIM22" s="1649"/>
      <c r="PIP22" s="1649"/>
      <c r="PIS22" s="1649"/>
      <c r="PIV22" s="1649"/>
      <c r="PIY22" s="1649"/>
      <c r="PJB22" s="1649"/>
      <c r="PJE22" s="1649"/>
      <c r="PJH22" s="1649"/>
      <c r="PJK22" s="1649"/>
      <c r="PJN22" s="1649"/>
      <c r="PJQ22" s="1649"/>
      <c r="PJT22" s="1649"/>
      <c r="PJW22" s="1649"/>
      <c r="PJZ22" s="1649"/>
      <c r="PKC22" s="1649"/>
      <c r="PKF22" s="1649"/>
      <c r="PKI22" s="1649"/>
      <c r="PKL22" s="1649"/>
      <c r="PKO22" s="1649"/>
      <c r="PKR22" s="1649"/>
      <c r="PKU22" s="1649"/>
      <c r="PKX22" s="1649"/>
      <c r="PLA22" s="1649"/>
      <c r="PLD22" s="1649"/>
      <c r="PLG22" s="1649"/>
      <c r="PLJ22" s="1649"/>
      <c r="PLM22" s="1649"/>
      <c r="PLP22" s="1649"/>
      <c r="PLS22" s="1649"/>
      <c r="PLV22" s="1649"/>
      <c r="PLY22" s="1649"/>
      <c r="PMB22" s="1649"/>
      <c r="PME22" s="1649"/>
      <c r="PMH22" s="1649"/>
      <c r="PMK22" s="1649"/>
      <c r="PMN22" s="1649"/>
      <c r="PMQ22" s="1649"/>
      <c r="PMT22" s="1649"/>
      <c r="PMW22" s="1649"/>
      <c r="PMZ22" s="1649"/>
      <c r="PNC22" s="1649"/>
      <c r="PNF22" s="1649"/>
      <c r="PNI22" s="1649"/>
      <c r="PNL22" s="1649"/>
      <c r="PNO22" s="1649"/>
      <c r="PNR22" s="1649"/>
      <c r="PNU22" s="1649"/>
      <c r="PNX22" s="1649"/>
      <c r="POA22" s="1649"/>
      <c r="POD22" s="1649"/>
      <c r="POG22" s="1649"/>
      <c r="POJ22" s="1649"/>
      <c r="POM22" s="1649"/>
      <c r="POP22" s="1649"/>
      <c r="POS22" s="1649"/>
      <c r="POV22" s="1649"/>
      <c r="POY22" s="1649"/>
      <c r="PPB22" s="1649"/>
      <c r="PPE22" s="1649"/>
      <c r="PPH22" s="1649"/>
      <c r="PPK22" s="1649"/>
      <c r="PPN22" s="1649"/>
      <c r="PPQ22" s="1649"/>
      <c r="PPT22" s="1649"/>
      <c r="PPW22" s="1649"/>
      <c r="PPZ22" s="1649"/>
      <c r="PQC22" s="1649"/>
      <c r="PQF22" s="1649"/>
      <c r="PQI22" s="1649"/>
      <c r="PQL22" s="1649"/>
      <c r="PQO22" s="1649"/>
      <c r="PQR22" s="1649"/>
      <c r="PQU22" s="1649"/>
      <c r="PQX22" s="1649"/>
      <c r="PRA22" s="1649"/>
      <c r="PRD22" s="1649"/>
      <c r="PRG22" s="1649"/>
      <c r="PRJ22" s="1649"/>
      <c r="PRM22" s="1649"/>
      <c r="PRP22" s="1649"/>
      <c r="PRS22" s="1649"/>
      <c r="PRV22" s="1649"/>
      <c r="PRY22" s="1649"/>
      <c r="PSB22" s="1649"/>
      <c r="PSE22" s="1649"/>
      <c r="PSH22" s="1649"/>
      <c r="PSK22" s="1649"/>
      <c r="PSN22" s="1649"/>
      <c r="PSQ22" s="1649"/>
      <c r="PST22" s="1649"/>
      <c r="PSW22" s="1649"/>
      <c r="PSZ22" s="1649"/>
      <c r="PTC22" s="1649"/>
      <c r="PTF22" s="1649"/>
      <c r="PTI22" s="1649"/>
      <c r="PTL22" s="1649"/>
      <c r="PTO22" s="1649"/>
      <c r="PTR22" s="1649"/>
      <c r="PTU22" s="1649"/>
      <c r="PTX22" s="1649"/>
      <c r="PUA22" s="1649"/>
      <c r="PUD22" s="1649"/>
      <c r="PUG22" s="1649"/>
      <c r="PUJ22" s="1649"/>
      <c r="PUM22" s="1649"/>
      <c r="PUP22" s="1649"/>
      <c r="PUS22" s="1649"/>
      <c r="PUV22" s="1649"/>
      <c r="PUY22" s="1649"/>
      <c r="PVB22" s="1649"/>
      <c r="PVE22" s="1649"/>
      <c r="PVH22" s="1649"/>
      <c r="PVK22" s="1649"/>
      <c r="PVN22" s="1649"/>
      <c r="PVQ22" s="1649"/>
      <c r="PVT22" s="1649"/>
      <c r="PVW22" s="1649"/>
      <c r="PVZ22" s="1649"/>
      <c r="PWC22" s="1649"/>
      <c r="PWF22" s="1649"/>
      <c r="PWI22" s="1649"/>
      <c r="PWL22" s="1649"/>
      <c r="PWO22" s="1649"/>
      <c r="PWR22" s="1649"/>
      <c r="PWU22" s="1649"/>
      <c r="PWX22" s="1649"/>
      <c r="PXA22" s="1649"/>
      <c r="PXD22" s="1649"/>
      <c r="PXG22" s="1649"/>
      <c r="PXJ22" s="1649"/>
      <c r="PXM22" s="1649"/>
      <c r="PXP22" s="1649"/>
      <c r="PXS22" s="1649"/>
      <c r="PXV22" s="1649"/>
      <c r="PXY22" s="1649"/>
      <c r="PYB22" s="1649"/>
      <c r="PYE22" s="1649"/>
      <c r="PYH22" s="1649"/>
      <c r="PYK22" s="1649"/>
      <c r="PYN22" s="1649"/>
      <c r="PYQ22" s="1649"/>
      <c r="PYT22" s="1649"/>
      <c r="PYW22" s="1649"/>
      <c r="PYZ22" s="1649"/>
      <c r="PZC22" s="1649"/>
      <c r="PZF22" s="1649"/>
      <c r="PZI22" s="1649"/>
      <c r="PZL22" s="1649"/>
      <c r="PZO22" s="1649"/>
      <c r="PZR22" s="1649"/>
      <c r="PZU22" s="1649"/>
      <c r="PZX22" s="1649"/>
      <c r="QAA22" s="1649"/>
      <c r="QAD22" s="1649"/>
      <c r="QAG22" s="1649"/>
      <c r="QAJ22" s="1649"/>
      <c r="QAM22" s="1649"/>
      <c r="QAP22" s="1649"/>
      <c r="QAS22" s="1649"/>
      <c r="QAV22" s="1649"/>
      <c r="QAY22" s="1649"/>
      <c r="QBB22" s="1649"/>
      <c r="QBE22" s="1649"/>
      <c r="QBH22" s="1649"/>
      <c r="QBK22" s="1649"/>
      <c r="QBN22" s="1649"/>
      <c r="QBQ22" s="1649"/>
      <c r="QBT22" s="1649"/>
      <c r="QBW22" s="1649"/>
      <c r="QBZ22" s="1649"/>
      <c r="QCC22" s="1649"/>
      <c r="QCF22" s="1649"/>
      <c r="QCI22" s="1649"/>
      <c r="QCL22" s="1649"/>
      <c r="QCO22" s="1649"/>
      <c r="QCR22" s="1649"/>
      <c r="QCU22" s="1649"/>
      <c r="QCX22" s="1649"/>
      <c r="QDA22" s="1649"/>
      <c r="QDD22" s="1649"/>
      <c r="QDG22" s="1649"/>
      <c r="QDJ22" s="1649"/>
      <c r="QDM22" s="1649"/>
      <c r="QDP22" s="1649"/>
      <c r="QDS22" s="1649"/>
      <c r="QDV22" s="1649"/>
      <c r="QDY22" s="1649"/>
      <c r="QEB22" s="1649"/>
      <c r="QEE22" s="1649"/>
      <c r="QEH22" s="1649"/>
      <c r="QEK22" s="1649"/>
      <c r="QEN22" s="1649"/>
      <c r="QEQ22" s="1649"/>
      <c r="QET22" s="1649"/>
      <c r="QEW22" s="1649"/>
      <c r="QEZ22" s="1649"/>
      <c r="QFC22" s="1649"/>
      <c r="QFF22" s="1649"/>
      <c r="QFI22" s="1649"/>
      <c r="QFL22" s="1649"/>
      <c r="QFO22" s="1649"/>
      <c r="QFR22" s="1649"/>
      <c r="QFU22" s="1649"/>
      <c r="QFX22" s="1649"/>
      <c r="QGA22" s="1649"/>
      <c r="QGD22" s="1649"/>
      <c r="QGG22" s="1649"/>
      <c r="QGJ22" s="1649"/>
      <c r="QGM22" s="1649"/>
      <c r="QGP22" s="1649"/>
      <c r="QGS22" s="1649"/>
      <c r="QGV22" s="1649"/>
      <c r="QGY22" s="1649"/>
      <c r="QHB22" s="1649"/>
      <c r="QHE22" s="1649"/>
      <c r="QHH22" s="1649"/>
      <c r="QHK22" s="1649"/>
      <c r="QHN22" s="1649"/>
      <c r="QHQ22" s="1649"/>
      <c r="QHT22" s="1649"/>
      <c r="QHW22" s="1649"/>
      <c r="QHZ22" s="1649"/>
      <c r="QIC22" s="1649"/>
      <c r="QIF22" s="1649"/>
      <c r="QII22" s="1649"/>
      <c r="QIL22" s="1649"/>
      <c r="QIO22" s="1649"/>
      <c r="QIR22" s="1649"/>
      <c r="QIU22" s="1649"/>
      <c r="QIX22" s="1649"/>
      <c r="QJA22" s="1649"/>
      <c r="QJD22" s="1649"/>
      <c r="QJG22" s="1649"/>
      <c r="QJJ22" s="1649"/>
      <c r="QJM22" s="1649"/>
      <c r="QJP22" s="1649"/>
      <c r="QJS22" s="1649"/>
      <c r="QJV22" s="1649"/>
      <c r="QJY22" s="1649"/>
      <c r="QKB22" s="1649"/>
      <c r="QKE22" s="1649"/>
      <c r="QKH22" s="1649"/>
      <c r="QKK22" s="1649"/>
      <c r="QKN22" s="1649"/>
      <c r="QKQ22" s="1649"/>
      <c r="QKT22" s="1649"/>
      <c r="QKW22" s="1649"/>
      <c r="QKZ22" s="1649"/>
      <c r="QLC22" s="1649"/>
      <c r="QLF22" s="1649"/>
      <c r="QLI22" s="1649"/>
      <c r="QLL22" s="1649"/>
      <c r="QLO22" s="1649"/>
      <c r="QLR22" s="1649"/>
      <c r="QLU22" s="1649"/>
      <c r="QLX22" s="1649"/>
      <c r="QMA22" s="1649"/>
      <c r="QMD22" s="1649"/>
      <c r="QMG22" s="1649"/>
      <c r="QMJ22" s="1649"/>
      <c r="QMM22" s="1649"/>
      <c r="QMP22" s="1649"/>
      <c r="QMS22" s="1649"/>
      <c r="QMV22" s="1649"/>
      <c r="QMY22" s="1649"/>
      <c r="QNB22" s="1649"/>
      <c r="QNE22" s="1649"/>
      <c r="QNH22" s="1649"/>
      <c r="QNK22" s="1649"/>
      <c r="QNN22" s="1649"/>
      <c r="QNQ22" s="1649"/>
      <c r="QNT22" s="1649"/>
      <c r="QNW22" s="1649"/>
      <c r="QNZ22" s="1649"/>
      <c r="QOC22" s="1649"/>
      <c r="QOF22" s="1649"/>
      <c r="QOI22" s="1649"/>
      <c r="QOL22" s="1649"/>
      <c r="QOO22" s="1649"/>
      <c r="QOR22" s="1649"/>
      <c r="QOU22" s="1649"/>
      <c r="QOX22" s="1649"/>
      <c r="QPA22" s="1649"/>
      <c r="QPD22" s="1649"/>
      <c r="QPG22" s="1649"/>
      <c r="QPJ22" s="1649"/>
      <c r="QPM22" s="1649"/>
      <c r="QPP22" s="1649"/>
      <c r="QPS22" s="1649"/>
      <c r="QPV22" s="1649"/>
      <c r="QPY22" s="1649"/>
      <c r="QQB22" s="1649"/>
      <c r="QQE22" s="1649"/>
      <c r="QQH22" s="1649"/>
      <c r="QQK22" s="1649"/>
      <c r="QQN22" s="1649"/>
      <c r="QQQ22" s="1649"/>
      <c r="QQT22" s="1649"/>
      <c r="QQW22" s="1649"/>
      <c r="QQZ22" s="1649"/>
      <c r="QRC22" s="1649"/>
      <c r="QRF22" s="1649"/>
      <c r="QRI22" s="1649"/>
      <c r="QRL22" s="1649"/>
      <c r="QRO22" s="1649"/>
      <c r="QRR22" s="1649"/>
      <c r="QRU22" s="1649"/>
      <c r="QRX22" s="1649"/>
      <c r="QSA22" s="1649"/>
      <c r="QSD22" s="1649"/>
      <c r="QSG22" s="1649"/>
      <c r="QSJ22" s="1649"/>
      <c r="QSM22" s="1649"/>
      <c r="QSP22" s="1649"/>
      <c r="QSS22" s="1649"/>
      <c r="QSV22" s="1649"/>
      <c r="QSY22" s="1649"/>
      <c r="QTB22" s="1649"/>
      <c r="QTE22" s="1649"/>
      <c r="QTH22" s="1649"/>
      <c r="QTK22" s="1649"/>
      <c r="QTN22" s="1649"/>
      <c r="QTQ22" s="1649"/>
      <c r="QTT22" s="1649"/>
      <c r="QTW22" s="1649"/>
      <c r="QTZ22" s="1649"/>
      <c r="QUC22" s="1649"/>
      <c r="QUF22" s="1649"/>
      <c r="QUI22" s="1649"/>
      <c r="QUL22" s="1649"/>
      <c r="QUO22" s="1649"/>
      <c r="QUR22" s="1649"/>
      <c r="QUU22" s="1649"/>
      <c r="QUX22" s="1649"/>
      <c r="QVA22" s="1649"/>
      <c r="QVD22" s="1649"/>
      <c r="QVG22" s="1649"/>
      <c r="QVJ22" s="1649"/>
      <c r="QVM22" s="1649"/>
      <c r="QVP22" s="1649"/>
      <c r="QVS22" s="1649"/>
      <c r="QVV22" s="1649"/>
      <c r="QVY22" s="1649"/>
      <c r="QWB22" s="1649"/>
      <c r="QWE22" s="1649"/>
      <c r="QWH22" s="1649"/>
      <c r="QWK22" s="1649"/>
      <c r="QWN22" s="1649"/>
      <c r="QWQ22" s="1649"/>
      <c r="QWT22" s="1649"/>
      <c r="QWW22" s="1649"/>
      <c r="QWZ22" s="1649"/>
      <c r="QXC22" s="1649"/>
      <c r="QXF22" s="1649"/>
      <c r="QXI22" s="1649"/>
      <c r="QXL22" s="1649"/>
      <c r="QXO22" s="1649"/>
      <c r="QXR22" s="1649"/>
      <c r="QXU22" s="1649"/>
      <c r="QXX22" s="1649"/>
      <c r="QYA22" s="1649"/>
      <c r="QYD22" s="1649"/>
      <c r="QYG22" s="1649"/>
      <c r="QYJ22" s="1649"/>
      <c r="QYM22" s="1649"/>
      <c r="QYP22" s="1649"/>
      <c r="QYS22" s="1649"/>
      <c r="QYV22" s="1649"/>
      <c r="QYY22" s="1649"/>
      <c r="QZB22" s="1649"/>
      <c r="QZE22" s="1649"/>
      <c r="QZH22" s="1649"/>
      <c r="QZK22" s="1649"/>
      <c r="QZN22" s="1649"/>
      <c r="QZQ22" s="1649"/>
      <c r="QZT22" s="1649"/>
      <c r="QZW22" s="1649"/>
      <c r="QZZ22" s="1649"/>
      <c r="RAC22" s="1649"/>
      <c r="RAF22" s="1649"/>
      <c r="RAI22" s="1649"/>
      <c r="RAL22" s="1649"/>
      <c r="RAO22" s="1649"/>
      <c r="RAR22" s="1649"/>
      <c r="RAU22" s="1649"/>
      <c r="RAX22" s="1649"/>
      <c r="RBA22" s="1649"/>
      <c r="RBD22" s="1649"/>
      <c r="RBG22" s="1649"/>
      <c r="RBJ22" s="1649"/>
      <c r="RBM22" s="1649"/>
      <c r="RBP22" s="1649"/>
      <c r="RBS22" s="1649"/>
      <c r="RBV22" s="1649"/>
      <c r="RBY22" s="1649"/>
      <c r="RCB22" s="1649"/>
      <c r="RCE22" s="1649"/>
      <c r="RCH22" s="1649"/>
      <c r="RCK22" s="1649"/>
      <c r="RCN22" s="1649"/>
      <c r="RCQ22" s="1649"/>
      <c r="RCT22" s="1649"/>
      <c r="RCW22" s="1649"/>
      <c r="RCZ22" s="1649"/>
      <c r="RDC22" s="1649"/>
      <c r="RDF22" s="1649"/>
      <c r="RDI22" s="1649"/>
      <c r="RDL22" s="1649"/>
      <c r="RDO22" s="1649"/>
      <c r="RDR22" s="1649"/>
      <c r="RDU22" s="1649"/>
      <c r="RDX22" s="1649"/>
      <c r="REA22" s="1649"/>
      <c r="RED22" s="1649"/>
      <c r="REG22" s="1649"/>
      <c r="REJ22" s="1649"/>
      <c r="REM22" s="1649"/>
      <c r="REP22" s="1649"/>
      <c r="RES22" s="1649"/>
      <c r="REV22" s="1649"/>
      <c r="REY22" s="1649"/>
      <c r="RFB22" s="1649"/>
      <c r="RFE22" s="1649"/>
      <c r="RFH22" s="1649"/>
      <c r="RFK22" s="1649"/>
      <c r="RFN22" s="1649"/>
      <c r="RFQ22" s="1649"/>
      <c r="RFT22" s="1649"/>
      <c r="RFW22" s="1649"/>
      <c r="RFZ22" s="1649"/>
      <c r="RGC22" s="1649"/>
      <c r="RGF22" s="1649"/>
      <c r="RGI22" s="1649"/>
      <c r="RGL22" s="1649"/>
      <c r="RGO22" s="1649"/>
      <c r="RGR22" s="1649"/>
      <c r="RGU22" s="1649"/>
      <c r="RGX22" s="1649"/>
      <c r="RHA22" s="1649"/>
      <c r="RHD22" s="1649"/>
      <c r="RHG22" s="1649"/>
      <c r="RHJ22" s="1649"/>
      <c r="RHM22" s="1649"/>
      <c r="RHP22" s="1649"/>
      <c r="RHS22" s="1649"/>
      <c r="RHV22" s="1649"/>
      <c r="RHY22" s="1649"/>
      <c r="RIB22" s="1649"/>
      <c r="RIE22" s="1649"/>
      <c r="RIH22" s="1649"/>
      <c r="RIK22" s="1649"/>
      <c r="RIN22" s="1649"/>
      <c r="RIQ22" s="1649"/>
      <c r="RIT22" s="1649"/>
      <c r="RIW22" s="1649"/>
      <c r="RIZ22" s="1649"/>
      <c r="RJC22" s="1649"/>
      <c r="RJF22" s="1649"/>
      <c r="RJI22" s="1649"/>
      <c r="RJL22" s="1649"/>
      <c r="RJO22" s="1649"/>
      <c r="RJR22" s="1649"/>
      <c r="RJU22" s="1649"/>
      <c r="RJX22" s="1649"/>
      <c r="RKA22" s="1649"/>
      <c r="RKD22" s="1649"/>
      <c r="RKG22" s="1649"/>
      <c r="RKJ22" s="1649"/>
      <c r="RKM22" s="1649"/>
      <c r="RKP22" s="1649"/>
      <c r="RKS22" s="1649"/>
      <c r="RKV22" s="1649"/>
      <c r="RKY22" s="1649"/>
      <c r="RLB22" s="1649"/>
      <c r="RLE22" s="1649"/>
      <c r="RLH22" s="1649"/>
      <c r="RLK22" s="1649"/>
      <c r="RLN22" s="1649"/>
      <c r="RLQ22" s="1649"/>
      <c r="RLT22" s="1649"/>
      <c r="RLW22" s="1649"/>
      <c r="RLZ22" s="1649"/>
      <c r="RMC22" s="1649"/>
      <c r="RMF22" s="1649"/>
      <c r="RMI22" s="1649"/>
      <c r="RML22" s="1649"/>
      <c r="RMO22" s="1649"/>
      <c r="RMR22" s="1649"/>
      <c r="RMU22" s="1649"/>
      <c r="RMX22" s="1649"/>
      <c r="RNA22" s="1649"/>
      <c r="RND22" s="1649"/>
      <c r="RNG22" s="1649"/>
      <c r="RNJ22" s="1649"/>
      <c r="RNM22" s="1649"/>
      <c r="RNP22" s="1649"/>
      <c r="RNS22" s="1649"/>
      <c r="RNV22" s="1649"/>
      <c r="RNY22" s="1649"/>
      <c r="ROB22" s="1649"/>
      <c r="ROE22" s="1649"/>
      <c r="ROH22" s="1649"/>
      <c r="ROK22" s="1649"/>
      <c r="RON22" s="1649"/>
      <c r="ROQ22" s="1649"/>
      <c r="ROT22" s="1649"/>
      <c r="ROW22" s="1649"/>
      <c r="ROZ22" s="1649"/>
      <c r="RPC22" s="1649"/>
      <c r="RPF22" s="1649"/>
      <c r="RPI22" s="1649"/>
      <c r="RPL22" s="1649"/>
      <c r="RPO22" s="1649"/>
      <c r="RPR22" s="1649"/>
      <c r="RPU22" s="1649"/>
      <c r="RPX22" s="1649"/>
      <c r="RQA22" s="1649"/>
      <c r="RQD22" s="1649"/>
      <c r="RQG22" s="1649"/>
      <c r="RQJ22" s="1649"/>
      <c r="RQM22" s="1649"/>
      <c r="RQP22" s="1649"/>
      <c r="RQS22" s="1649"/>
      <c r="RQV22" s="1649"/>
      <c r="RQY22" s="1649"/>
      <c r="RRB22" s="1649"/>
      <c r="RRE22" s="1649"/>
      <c r="RRH22" s="1649"/>
      <c r="RRK22" s="1649"/>
      <c r="RRN22" s="1649"/>
      <c r="RRQ22" s="1649"/>
      <c r="RRT22" s="1649"/>
      <c r="RRW22" s="1649"/>
      <c r="RRZ22" s="1649"/>
      <c r="RSC22" s="1649"/>
      <c r="RSF22" s="1649"/>
      <c r="RSI22" s="1649"/>
      <c r="RSL22" s="1649"/>
      <c r="RSO22" s="1649"/>
      <c r="RSR22" s="1649"/>
      <c r="RSU22" s="1649"/>
      <c r="RSX22" s="1649"/>
      <c r="RTA22" s="1649"/>
      <c r="RTD22" s="1649"/>
      <c r="RTG22" s="1649"/>
      <c r="RTJ22" s="1649"/>
      <c r="RTM22" s="1649"/>
      <c r="RTP22" s="1649"/>
      <c r="RTS22" s="1649"/>
      <c r="RTV22" s="1649"/>
      <c r="RTY22" s="1649"/>
      <c r="RUB22" s="1649"/>
      <c r="RUE22" s="1649"/>
      <c r="RUH22" s="1649"/>
      <c r="RUK22" s="1649"/>
      <c r="RUN22" s="1649"/>
      <c r="RUQ22" s="1649"/>
      <c r="RUT22" s="1649"/>
      <c r="RUW22" s="1649"/>
      <c r="RUZ22" s="1649"/>
      <c r="RVC22" s="1649"/>
      <c r="RVF22" s="1649"/>
      <c r="RVI22" s="1649"/>
      <c r="RVL22" s="1649"/>
      <c r="RVO22" s="1649"/>
      <c r="RVR22" s="1649"/>
      <c r="RVU22" s="1649"/>
      <c r="RVX22" s="1649"/>
      <c r="RWA22" s="1649"/>
      <c r="RWD22" s="1649"/>
      <c r="RWG22" s="1649"/>
      <c r="RWJ22" s="1649"/>
      <c r="RWM22" s="1649"/>
      <c r="RWP22" s="1649"/>
      <c r="RWS22" s="1649"/>
      <c r="RWV22" s="1649"/>
      <c r="RWY22" s="1649"/>
      <c r="RXB22" s="1649"/>
      <c r="RXE22" s="1649"/>
      <c r="RXH22" s="1649"/>
      <c r="RXK22" s="1649"/>
      <c r="RXN22" s="1649"/>
      <c r="RXQ22" s="1649"/>
      <c r="RXT22" s="1649"/>
      <c r="RXW22" s="1649"/>
      <c r="RXZ22" s="1649"/>
      <c r="RYC22" s="1649"/>
      <c r="RYF22" s="1649"/>
      <c r="RYI22" s="1649"/>
      <c r="RYL22" s="1649"/>
      <c r="RYO22" s="1649"/>
      <c r="RYR22" s="1649"/>
      <c r="RYU22" s="1649"/>
      <c r="RYX22" s="1649"/>
      <c r="RZA22" s="1649"/>
      <c r="RZD22" s="1649"/>
      <c r="RZG22" s="1649"/>
      <c r="RZJ22" s="1649"/>
      <c r="RZM22" s="1649"/>
      <c r="RZP22" s="1649"/>
      <c r="RZS22" s="1649"/>
      <c r="RZV22" s="1649"/>
      <c r="RZY22" s="1649"/>
      <c r="SAB22" s="1649"/>
      <c r="SAE22" s="1649"/>
      <c r="SAH22" s="1649"/>
      <c r="SAK22" s="1649"/>
      <c r="SAN22" s="1649"/>
      <c r="SAQ22" s="1649"/>
      <c r="SAT22" s="1649"/>
      <c r="SAW22" s="1649"/>
      <c r="SAZ22" s="1649"/>
      <c r="SBC22" s="1649"/>
      <c r="SBF22" s="1649"/>
      <c r="SBI22" s="1649"/>
      <c r="SBL22" s="1649"/>
      <c r="SBO22" s="1649"/>
      <c r="SBR22" s="1649"/>
      <c r="SBU22" s="1649"/>
      <c r="SBX22" s="1649"/>
      <c r="SCA22" s="1649"/>
      <c r="SCD22" s="1649"/>
      <c r="SCG22" s="1649"/>
      <c r="SCJ22" s="1649"/>
      <c r="SCM22" s="1649"/>
      <c r="SCP22" s="1649"/>
      <c r="SCS22" s="1649"/>
      <c r="SCV22" s="1649"/>
      <c r="SCY22" s="1649"/>
      <c r="SDB22" s="1649"/>
      <c r="SDE22" s="1649"/>
      <c r="SDH22" s="1649"/>
      <c r="SDK22" s="1649"/>
      <c r="SDN22" s="1649"/>
      <c r="SDQ22" s="1649"/>
      <c r="SDT22" s="1649"/>
      <c r="SDW22" s="1649"/>
      <c r="SDZ22" s="1649"/>
      <c r="SEC22" s="1649"/>
      <c r="SEF22" s="1649"/>
      <c r="SEI22" s="1649"/>
      <c r="SEL22" s="1649"/>
      <c r="SEO22" s="1649"/>
      <c r="SER22" s="1649"/>
      <c r="SEU22" s="1649"/>
      <c r="SEX22" s="1649"/>
      <c r="SFA22" s="1649"/>
      <c r="SFD22" s="1649"/>
      <c r="SFG22" s="1649"/>
      <c r="SFJ22" s="1649"/>
      <c r="SFM22" s="1649"/>
      <c r="SFP22" s="1649"/>
      <c r="SFS22" s="1649"/>
      <c r="SFV22" s="1649"/>
      <c r="SFY22" s="1649"/>
      <c r="SGB22" s="1649"/>
      <c r="SGE22" s="1649"/>
      <c r="SGH22" s="1649"/>
      <c r="SGK22" s="1649"/>
      <c r="SGN22" s="1649"/>
      <c r="SGQ22" s="1649"/>
      <c r="SGT22" s="1649"/>
      <c r="SGW22" s="1649"/>
      <c r="SGZ22" s="1649"/>
      <c r="SHC22" s="1649"/>
      <c r="SHF22" s="1649"/>
      <c r="SHI22" s="1649"/>
      <c r="SHL22" s="1649"/>
      <c r="SHO22" s="1649"/>
      <c r="SHR22" s="1649"/>
      <c r="SHU22" s="1649"/>
      <c r="SHX22" s="1649"/>
      <c r="SIA22" s="1649"/>
      <c r="SID22" s="1649"/>
      <c r="SIG22" s="1649"/>
      <c r="SIJ22" s="1649"/>
      <c r="SIM22" s="1649"/>
      <c r="SIP22" s="1649"/>
      <c r="SIS22" s="1649"/>
      <c r="SIV22" s="1649"/>
      <c r="SIY22" s="1649"/>
      <c r="SJB22" s="1649"/>
      <c r="SJE22" s="1649"/>
      <c r="SJH22" s="1649"/>
      <c r="SJK22" s="1649"/>
      <c r="SJN22" s="1649"/>
      <c r="SJQ22" s="1649"/>
      <c r="SJT22" s="1649"/>
      <c r="SJW22" s="1649"/>
      <c r="SJZ22" s="1649"/>
      <c r="SKC22" s="1649"/>
      <c r="SKF22" s="1649"/>
      <c r="SKI22" s="1649"/>
      <c r="SKL22" s="1649"/>
      <c r="SKO22" s="1649"/>
      <c r="SKR22" s="1649"/>
      <c r="SKU22" s="1649"/>
      <c r="SKX22" s="1649"/>
      <c r="SLA22" s="1649"/>
      <c r="SLD22" s="1649"/>
      <c r="SLG22" s="1649"/>
      <c r="SLJ22" s="1649"/>
      <c r="SLM22" s="1649"/>
      <c r="SLP22" s="1649"/>
      <c r="SLS22" s="1649"/>
      <c r="SLV22" s="1649"/>
      <c r="SLY22" s="1649"/>
      <c r="SMB22" s="1649"/>
      <c r="SME22" s="1649"/>
      <c r="SMH22" s="1649"/>
      <c r="SMK22" s="1649"/>
      <c r="SMN22" s="1649"/>
      <c r="SMQ22" s="1649"/>
      <c r="SMT22" s="1649"/>
      <c r="SMW22" s="1649"/>
      <c r="SMZ22" s="1649"/>
      <c r="SNC22" s="1649"/>
      <c r="SNF22" s="1649"/>
      <c r="SNI22" s="1649"/>
      <c r="SNL22" s="1649"/>
      <c r="SNO22" s="1649"/>
      <c r="SNR22" s="1649"/>
      <c r="SNU22" s="1649"/>
      <c r="SNX22" s="1649"/>
      <c r="SOA22" s="1649"/>
      <c r="SOD22" s="1649"/>
      <c r="SOG22" s="1649"/>
      <c r="SOJ22" s="1649"/>
      <c r="SOM22" s="1649"/>
      <c r="SOP22" s="1649"/>
      <c r="SOS22" s="1649"/>
      <c r="SOV22" s="1649"/>
      <c r="SOY22" s="1649"/>
      <c r="SPB22" s="1649"/>
      <c r="SPE22" s="1649"/>
      <c r="SPH22" s="1649"/>
      <c r="SPK22" s="1649"/>
      <c r="SPN22" s="1649"/>
      <c r="SPQ22" s="1649"/>
      <c r="SPT22" s="1649"/>
      <c r="SPW22" s="1649"/>
      <c r="SPZ22" s="1649"/>
      <c r="SQC22" s="1649"/>
      <c r="SQF22" s="1649"/>
      <c r="SQI22" s="1649"/>
      <c r="SQL22" s="1649"/>
      <c r="SQO22" s="1649"/>
      <c r="SQR22" s="1649"/>
      <c r="SQU22" s="1649"/>
      <c r="SQX22" s="1649"/>
      <c r="SRA22" s="1649"/>
      <c r="SRD22" s="1649"/>
      <c r="SRG22" s="1649"/>
      <c r="SRJ22" s="1649"/>
      <c r="SRM22" s="1649"/>
      <c r="SRP22" s="1649"/>
      <c r="SRS22" s="1649"/>
      <c r="SRV22" s="1649"/>
      <c r="SRY22" s="1649"/>
      <c r="SSB22" s="1649"/>
      <c r="SSE22" s="1649"/>
      <c r="SSH22" s="1649"/>
      <c r="SSK22" s="1649"/>
      <c r="SSN22" s="1649"/>
      <c r="SSQ22" s="1649"/>
      <c r="SST22" s="1649"/>
      <c r="SSW22" s="1649"/>
      <c r="SSZ22" s="1649"/>
      <c r="STC22" s="1649"/>
      <c r="STF22" s="1649"/>
      <c r="STI22" s="1649"/>
      <c r="STL22" s="1649"/>
      <c r="STO22" s="1649"/>
      <c r="STR22" s="1649"/>
      <c r="STU22" s="1649"/>
      <c r="STX22" s="1649"/>
      <c r="SUA22" s="1649"/>
      <c r="SUD22" s="1649"/>
      <c r="SUG22" s="1649"/>
      <c r="SUJ22" s="1649"/>
      <c r="SUM22" s="1649"/>
      <c r="SUP22" s="1649"/>
      <c r="SUS22" s="1649"/>
      <c r="SUV22" s="1649"/>
      <c r="SUY22" s="1649"/>
      <c r="SVB22" s="1649"/>
      <c r="SVE22" s="1649"/>
      <c r="SVH22" s="1649"/>
      <c r="SVK22" s="1649"/>
      <c r="SVN22" s="1649"/>
      <c r="SVQ22" s="1649"/>
      <c r="SVT22" s="1649"/>
      <c r="SVW22" s="1649"/>
      <c r="SVZ22" s="1649"/>
      <c r="SWC22" s="1649"/>
      <c r="SWF22" s="1649"/>
      <c r="SWI22" s="1649"/>
      <c r="SWL22" s="1649"/>
      <c r="SWO22" s="1649"/>
      <c r="SWR22" s="1649"/>
      <c r="SWU22" s="1649"/>
      <c r="SWX22" s="1649"/>
      <c r="SXA22" s="1649"/>
      <c r="SXD22" s="1649"/>
      <c r="SXG22" s="1649"/>
      <c r="SXJ22" s="1649"/>
      <c r="SXM22" s="1649"/>
      <c r="SXP22" s="1649"/>
      <c r="SXS22" s="1649"/>
      <c r="SXV22" s="1649"/>
      <c r="SXY22" s="1649"/>
      <c r="SYB22" s="1649"/>
      <c r="SYE22" s="1649"/>
      <c r="SYH22" s="1649"/>
      <c r="SYK22" s="1649"/>
      <c r="SYN22" s="1649"/>
      <c r="SYQ22" s="1649"/>
      <c r="SYT22" s="1649"/>
      <c r="SYW22" s="1649"/>
      <c r="SYZ22" s="1649"/>
      <c r="SZC22" s="1649"/>
      <c r="SZF22" s="1649"/>
      <c r="SZI22" s="1649"/>
      <c r="SZL22" s="1649"/>
      <c r="SZO22" s="1649"/>
      <c r="SZR22" s="1649"/>
      <c r="SZU22" s="1649"/>
      <c r="SZX22" s="1649"/>
      <c r="TAA22" s="1649"/>
      <c r="TAD22" s="1649"/>
      <c r="TAG22" s="1649"/>
      <c r="TAJ22" s="1649"/>
      <c r="TAM22" s="1649"/>
      <c r="TAP22" s="1649"/>
      <c r="TAS22" s="1649"/>
      <c r="TAV22" s="1649"/>
      <c r="TAY22" s="1649"/>
      <c r="TBB22" s="1649"/>
      <c r="TBE22" s="1649"/>
      <c r="TBH22" s="1649"/>
      <c r="TBK22" s="1649"/>
      <c r="TBN22" s="1649"/>
      <c r="TBQ22" s="1649"/>
      <c r="TBT22" s="1649"/>
      <c r="TBW22" s="1649"/>
      <c r="TBZ22" s="1649"/>
      <c r="TCC22" s="1649"/>
      <c r="TCF22" s="1649"/>
      <c r="TCI22" s="1649"/>
      <c r="TCL22" s="1649"/>
      <c r="TCO22" s="1649"/>
      <c r="TCR22" s="1649"/>
      <c r="TCU22" s="1649"/>
      <c r="TCX22" s="1649"/>
      <c r="TDA22" s="1649"/>
      <c r="TDD22" s="1649"/>
      <c r="TDG22" s="1649"/>
      <c r="TDJ22" s="1649"/>
      <c r="TDM22" s="1649"/>
      <c r="TDP22" s="1649"/>
      <c r="TDS22" s="1649"/>
      <c r="TDV22" s="1649"/>
      <c r="TDY22" s="1649"/>
      <c r="TEB22" s="1649"/>
      <c r="TEE22" s="1649"/>
      <c r="TEH22" s="1649"/>
      <c r="TEK22" s="1649"/>
      <c r="TEN22" s="1649"/>
      <c r="TEQ22" s="1649"/>
      <c r="TET22" s="1649"/>
      <c r="TEW22" s="1649"/>
      <c r="TEZ22" s="1649"/>
      <c r="TFC22" s="1649"/>
      <c r="TFF22" s="1649"/>
      <c r="TFI22" s="1649"/>
      <c r="TFL22" s="1649"/>
      <c r="TFO22" s="1649"/>
      <c r="TFR22" s="1649"/>
      <c r="TFU22" s="1649"/>
      <c r="TFX22" s="1649"/>
      <c r="TGA22" s="1649"/>
      <c r="TGD22" s="1649"/>
      <c r="TGG22" s="1649"/>
      <c r="TGJ22" s="1649"/>
      <c r="TGM22" s="1649"/>
      <c r="TGP22" s="1649"/>
      <c r="TGS22" s="1649"/>
      <c r="TGV22" s="1649"/>
      <c r="TGY22" s="1649"/>
      <c r="THB22" s="1649"/>
      <c r="THE22" s="1649"/>
      <c r="THH22" s="1649"/>
      <c r="THK22" s="1649"/>
      <c r="THN22" s="1649"/>
      <c r="THQ22" s="1649"/>
      <c r="THT22" s="1649"/>
      <c r="THW22" s="1649"/>
      <c r="THZ22" s="1649"/>
      <c r="TIC22" s="1649"/>
      <c r="TIF22" s="1649"/>
      <c r="TII22" s="1649"/>
      <c r="TIL22" s="1649"/>
      <c r="TIO22" s="1649"/>
      <c r="TIR22" s="1649"/>
      <c r="TIU22" s="1649"/>
      <c r="TIX22" s="1649"/>
      <c r="TJA22" s="1649"/>
      <c r="TJD22" s="1649"/>
      <c r="TJG22" s="1649"/>
      <c r="TJJ22" s="1649"/>
      <c r="TJM22" s="1649"/>
      <c r="TJP22" s="1649"/>
      <c r="TJS22" s="1649"/>
      <c r="TJV22" s="1649"/>
      <c r="TJY22" s="1649"/>
      <c r="TKB22" s="1649"/>
      <c r="TKE22" s="1649"/>
      <c r="TKH22" s="1649"/>
      <c r="TKK22" s="1649"/>
      <c r="TKN22" s="1649"/>
      <c r="TKQ22" s="1649"/>
      <c r="TKT22" s="1649"/>
      <c r="TKW22" s="1649"/>
      <c r="TKZ22" s="1649"/>
      <c r="TLC22" s="1649"/>
      <c r="TLF22" s="1649"/>
      <c r="TLI22" s="1649"/>
      <c r="TLL22" s="1649"/>
      <c r="TLO22" s="1649"/>
      <c r="TLR22" s="1649"/>
      <c r="TLU22" s="1649"/>
      <c r="TLX22" s="1649"/>
      <c r="TMA22" s="1649"/>
      <c r="TMD22" s="1649"/>
      <c r="TMG22" s="1649"/>
      <c r="TMJ22" s="1649"/>
      <c r="TMM22" s="1649"/>
      <c r="TMP22" s="1649"/>
      <c r="TMS22" s="1649"/>
      <c r="TMV22" s="1649"/>
      <c r="TMY22" s="1649"/>
      <c r="TNB22" s="1649"/>
      <c r="TNE22" s="1649"/>
      <c r="TNH22" s="1649"/>
      <c r="TNK22" s="1649"/>
      <c r="TNN22" s="1649"/>
      <c r="TNQ22" s="1649"/>
      <c r="TNT22" s="1649"/>
      <c r="TNW22" s="1649"/>
      <c r="TNZ22" s="1649"/>
      <c r="TOC22" s="1649"/>
      <c r="TOF22" s="1649"/>
      <c r="TOI22" s="1649"/>
      <c r="TOL22" s="1649"/>
      <c r="TOO22" s="1649"/>
      <c r="TOR22" s="1649"/>
      <c r="TOU22" s="1649"/>
      <c r="TOX22" s="1649"/>
      <c r="TPA22" s="1649"/>
      <c r="TPD22" s="1649"/>
      <c r="TPG22" s="1649"/>
      <c r="TPJ22" s="1649"/>
      <c r="TPM22" s="1649"/>
      <c r="TPP22" s="1649"/>
      <c r="TPS22" s="1649"/>
      <c r="TPV22" s="1649"/>
      <c r="TPY22" s="1649"/>
      <c r="TQB22" s="1649"/>
      <c r="TQE22" s="1649"/>
      <c r="TQH22" s="1649"/>
      <c r="TQK22" s="1649"/>
      <c r="TQN22" s="1649"/>
      <c r="TQQ22" s="1649"/>
      <c r="TQT22" s="1649"/>
      <c r="TQW22" s="1649"/>
      <c r="TQZ22" s="1649"/>
      <c r="TRC22" s="1649"/>
      <c r="TRF22" s="1649"/>
      <c r="TRI22" s="1649"/>
      <c r="TRL22" s="1649"/>
      <c r="TRO22" s="1649"/>
      <c r="TRR22" s="1649"/>
      <c r="TRU22" s="1649"/>
      <c r="TRX22" s="1649"/>
      <c r="TSA22" s="1649"/>
      <c r="TSD22" s="1649"/>
      <c r="TSG22" s="1649"/>
      <c r="TSJ22" s="1649"/>
      <c r="TSM22" s="1649"/>
      <c r="TSP22" s="1649"/>
      <c r="TSS22" s="1649"/>
      <c r="TSV22" s="1649"/>
      <c r="TSY22" s="1649"/>
      <c r="TTB22" s="1649"/>
      <c r="TTE22" s="1649"/>
      <c r="TTH22" s="1649"/>
      <c r="TTK22" s="1649"/>
      <c r="TTN22" s="1649"/>
      <c r="TTQ22" s="1649"/>
      <c r="TTT22" s="1649"/>
      <c r="TTW22" s="1649"/>
      <c r="TTZ22" s="1649"/>
      <c r="TUC22" s="1649"/>
      <c r="TUF22" s="1649"/>
      <c r="TUI22" s="1649"/>
      <c r="TUL22" s="1649"/>
      <c r="TUO22" s="1649"/>
      <c r="TUR22" s="1649"/>
      <c r="TUU22" s="1649"/>
      <c r="TUX22" s="1649"/>
      <c r="TVA22" s="1649"/>
      <c r="TVD22" s="1649"/>
      <c r="TVG22" s="1649"/>
      <c r="TVJ22" s="1649"/>
      <c r="TVM22" s="1649"/>
      <c r="TVP22" s="1649"/>
      <c r="TVS22" s="1649"/>
      <c r="TVV22" s="1649"/>
      <c r="TVY22" s="1649"/>
      <c r="TWB22" s="1649"/>
      <c r="TWE22" s="1649"/>
      <c r="TWH22" s="1649"/>
      <c r="TWK22" s="1649"/>
      <c r="TWN22" s="1649"/>
      <c r="TWQ22" s="1649"/>
      <c r="TWT22" s="1649"/>
      <c r="TWW22" s="1649"/>
      <c r="TWZ22" s="1649"/>
      <c r="TXC22" s="1649"/>
      <c r="TXF22" s="1649"/>
      <c r="TXI22" s="1649"/>
      <c r="TXL22" s="1649"/>
      <c r="TXO22" s="1649"/>
      <c r="TXR22" s="1649"/>
      <c r="TXU22" s="1649"/>
      <c r="TXX22" s="1649"/>
      <c r="TYA22" s="1649"/>
      <c r="TYD22" s="1649"/>
      <c r="TYG22" s="1649"/>
      <c r="TYJ22" s="1649"/>
      <c r="TYM22" s="1649"/>
      <c r="TYP22" s="1649"/>
      <c r="TYS22" s="1649"/>
      <c r="TYV22" s="1649"/>
      <c r="TYY22" s="1649"/>
      <c r="TZB22" s="1649"/>
      <c r="TZE22" s="1649"/>
      <c r="TZH22" s="1649"/>
      <c r="TZK22" s="1649"/>
      <c r="TZN22" s="1649"/>
      <c r="TZQ22" s="1649"/>
      <c r="TZT22" s="1649"/>
      <c r="TZW22" s="1649"/>
      <c r="TZZ22" s="1649"/>
      <c r="UAC22" s="1649"/>
      <c r="UAF22" s="1649"/>
      <c r="UAI22" s="1649"/>
      <c r="UAL22" s="1649"/>
      <c r="UAO22" s="1649"/>
      <c r="UAR22" s="1649"/>
      <c r="UAU22" s="1649"/>
      <c r="UAX22" s="1649"/>
      <c r="UBA22" s="1649"/>
      <c r="UBD22" s="1649"/>
      <c r="UBG22" s="1649"/>
      <c r="UBJ22" s="1649"/>
      <c r="UBM22" s="1649"/>
      <c r="UBP22" s="1649"/>
      <c r="UBS22" s="1649"/>
      <c r="UBV22" s="1649"/>
      <c r="UBY22" s="1649"/>
      <c r="UCB22" s="1649"/>
      <c r="UCE22" s="1649"/>
      <c r="UCH22" s="1649"/>
      <c r="UCK22" s="1649"/>
      <c r="UCN22" s="1649"/>
      <c r="UCQ22" s="1649"/>
      <c r="UCT22" s="1649"/>
      <c r="UCW22" s="1649"/>
      <c r="UCZ22" s="1649"/>
      <c r="UDC22" s="1649"/>
      <c r="UDF22" s="1649"/>
      <c r="UDI22" s="1649"/>
      <c r="UDL22" s="1649"/>
      <c r="UDO22" s="1649"/>
      <c r="UDR22" s="1649"/>
      <c r="UDU22" s="1649"/>
      <c r="UDX22" s="1649"/>
      <c r="UEA22" s="1649"/>
      <c r="UED22" s="1649"/>
      <c r="UEG22" s="1649"/>
      <c r="UEJ22" s="1649"/>
      <c r="UEM22" s="1649"/>
      <c r="UEP22" s="1649"/>
      <c r="UES22" s="1649"/>
      <c r="UEV22" s="1649"/>
      <c r="UEY22" s="1649"/>
      <c r="UFB22" s="1649"/>
      <c r="UFE22" s="1649"/>
      <c r="UFH22" s="1649"/>
      <c r="UFK22" s="1649"/>
      <c r="UFN22" s="1649"/>
      <c r="UFQ22" s="1649"/>
      <c r="UFT22" s="1649"/>
      <c r="UFW22" s="1649"/>
      <c r="UFZ22" s="1649"/>
      <c r="UGC22" s="1649"/>
      <c r="UGF22" s="1649"/>
      <c r="UGI22" s="1649"/>
      <c r="UGL22" s="1649"/>
      <c r="UGO22" s="1649"/>
      <c r="UGR22" s="1649"/>
      <c r="UGU22" s="1649"/>
      <c r="UGX22" s="1649"/>
      <c r="UHA22" s="1649"/>
      <c r="UHD22" s="1649"/>
      <c r="UHG22" s="1649"/>
      <c r="UHJ22" s="1649"/>
      <c r="UHM22" s="1649"/>
      <c r="UHP22" s="1649"/>
      <c r="UHS22" s="1649"/>
      <c r="UHV22" s="1649"/>
      <c r="UHY22" s="1649"/>
      <c r="UIB22" s="1649"/>
      <c r="UIE22" s="1649"/>
      <c r="UIH22" s="1649"/>
      <c r="UIK22" s="1649"/>
      <c r="UIN22" s="1649"/>
      <c r="UIQ22" s="1649"/>
      <c r="UIT22" s="1649"/>
      <c r="UIW22" s="1649"/>
      <c r="UIZ22" s="1649"/>
      <c r="UJC22" s="1649"/>
      <c r="UJF22" s="1649"/>
      <c r="UJI22" s="1649"/>
      <c r="UJL22" s="1649"/>
      <c r="UJO22" s="1649"/>
      <c r="UJR22" s="1649"/>
      <c r="UJU22" s="1649"/>
      <c r="UJX22" s="1649"/>
      <c r="UKA22" s="1649"/>
      <c r="UKD22" s="1649"/>
      <c r="UKG22" s="1649"/>
      <c r="UKJ22" s="1649"/>
      <c r="UKM22" s="1649"/>
      <c r="UKP22" s="1649"/>
      <c r="UKS22" s="1649"/>
      <c r="UKV22" s="1649"/>
      <c r="UKY22" s="1649"/>
      <c r="ULB22" s="1649"/>
      <c r="ULE22" s="1649"/>
      <c r="ULH22" s="1649"/>
      <c r="ULK22" s="1649"/>
      <c r="ULN22" s="1649"/>
      <c r="ULQ22" s="1649"/>
      <c r="ULT22" s="1649"/>
      <c r="ULW22" s="1649"/>
      <c r="ULZ22" s="1649"/>
      <c r="UMC22" s="1649"/>
      <c r="UMF22" s="1649"/>
      <c r="UMI22" s="1649"/>
      <c r="UML22" s="1649"/>
      <c r="UMO22" s="1649"/>
      <c r="UMR22" s="1649"/>
      <c r="UMU22" s="1649"/>
      <c r="UMX22" s="1649"/>
      <c r="UNA22" s="1649"/>
      <c r="UND22" s="1649"/>
      <c r="UNG22" s="1649"/>
      <c r="UNJ22" s="1649"/>
      <c r="UNM22" s="1649"/>
      <c r="UNP22" s="1649"/>
      <c r="UNS22" s="1649"/>
      <c r="UNV22" s="1649"/>
      <c r="UNY22" s="1649"/>
      <c r="UOB22" s="1649"/>
      <c r="UOE22" s="1649"/>
      <c r="UOH22" s="1649"/>
      <c r="UOK22" s="1649"/>
      <c r="UON22" s="1649"/>
      <c r="UOQ22" s="1649"/>
      <c r="UOT22" s="1649"/>
      <c r="UOW22" s="1649"/>
      <c r="UOZ22" s="1649"/>
      <c r="UPC22" s="1649"/>
      <c r="UPF22" s="1649"/>
      <c r="UPI22" s="1649"/>
      <c r="UPL22" s="1649"/>
      <c r="UPO22" s="1649"/>
      <c r="UPR22" s="1649"/>
      <c r="UPU22" s="1649"/>
      <c r="UPX22" s="1649"/>
      <c r="UQA22" s="1649"/>
      <c r="UQD22" s="1649"/>
      <c r="UQG22" s="1649"/>
      <c r="UQJ22" s="1649"/>
      <c r="UQM22" s="1649"/>
      <c r="UQP22" s="1649"/>
      <c r="UQS22" s="1649"/>
      <c r="UQV22" s="1649"/>
      <c r="UQY22" s="1649"/>
      <c r="URB22" s="1649"/>
      <c r="URE22" s="1649"/>
      <c r="URH22" s="1649"/>
      <c r="URK22" s="1649"/>
      <c r="URN22" s="1649"/>
      <c r="URQ22" s="1649"/>
      <c r="URT22" s="1649"/>
      <c r="URW22" s="1649"/>
      <c r="URZ22" s="1649"/>
      <c r="USC22" s="1649"/>
      <c r="USF22" s="1649"/>
      <c r="USI22" s="1649"/>
      <c r="USL22" s="1649"/>
      <c r="USO22" s="1649"/>
      <c r="USR22" s="1649"/>
      <c r="USU22" s="1649"/>
      <c r="USX22" s="1649"/>
      <c r="UTA22" s="1649"/>
      <c r="UTD22" s="1649"/>
      <c r="UTG22" s="1649"/>
      <c r="UTJ22" s="1649"/>
      <c r="UTM22" s="1649"/>
      <c r="UTP22" s="1649"/>
      <c r="UTS22" s="1649"/>
      <c r="UTV22" s="1649"/>
      <c r="UTY22" s="1649"/>
      <c r="UUB22" s="1649"/>
      <c r="UUE22" s="1649"/>
      <c r="UUH22" s="1649"/>
      <c r="UUK22" s="1649"/>
      <c r="UUN22" s="1649"/>
      <c r="UUQ22" s="1649"/>
      <c r="UUT22" s="1649"/>
      <c r="UUW22" s="1649"/>
      <c r="UUZ22" s="1649"/>
      <c r="UVC22" s="1649"/>
      <c r="UVF22" s="1649"/>
      <c r="UVI22" s="1649"/>
      <c r="UVL22" s="1649"/>
      <c r="UVO22" s="1649"/>
      <c r="UVR22" s="1649"/>
      <c r="UVU22" s="1649"/>
      <c r="UVX22" s="1649"/>
      <c r="UWA22" s="1649"/>
      <c r="UWD22" s="1649"/>
      <c r="UWG22" s="1649"/>
      <c r="UWJ22" s="1649"/>
      <c r="UWM22" s="1649"/>
      <c r="UWP22" s="1649"/>
      <c r="UWS22" s="1649"/>
      <c r="UWV22" s="1649"/>
      <c r="UWY22" s="1649"/>
      <c r="UXB22" s="1649"/>
      <c r="UXE22" s="1649"/>
      <c r="UXH22" s="1649"/>
      <c r="UXK22" s="1649"/>
      <c r="UXN22" s="1649"/>
      <c r="UXQ22" s="1649"/>
      <c r="UXT22" s="1649"/>
      <c r="UXW22" s="1649"/>
      <c r="UXZ22" s="1649"/>
      <c r="UYC22" s="1649"/>
      <c r="UYF22" s="1649"/>
      <c r="UYI22" s="1649"/>
      <c r="UYL22" s="1649"/>
      <c r="UYO22" s="1649"/>
      <c r="UYR22" s="1649"/>
      <c r="UYU22" s="1649"/>
      <c r="UYX22" s="1649"/>
      <c r="UZA22" s="1649"/>
      <c r="UZD22" s="1649"/>
      <c r="UZG22" s="1649"/>
      <c r="UZJ22" s="1649"/>
      <c r="UZM22" s="1649"/>
      <c r="UZP22" s="1649"/>
      <c r="UZS22" s="1649"/>
      <c r="UZV22" s="1649"/>
      <c r="UZY22" s="1649"/>
      <c r="VAB22" s="1649"/>
      <c r="VAE22" s="1649"/>
      <c r="VAH22" s="1649"/>
      <c r="VAK22" s="1649"/>
      <c r="VAN22" s="1649"/>
      <c r="VAQ22" s="1649"/>
      <c r="VAT22" s="1649"/>
      <c r="VAW22" s="1649"/>
      <c r="VAZ22" s="1649"/>
      <c r="VBC22" s="1649"/>
      <c r="VBF22" s="1649"/>
      <c r="VBI22" s="1649"/>
      <c r="VBL22" s="1649"/>
      <c r="VBO22" s="1649"/>
      <c r="VBR22" s="1649"/>
      <c r="VBU22" s="1649"/>
      <c r="VBX22" s="1649"/>
      <c r="VCA22" s="1649"/>
      <c r="VCD22" s="1649"/>
      <c r="VCG22" s="1649"/>
      <c r="VCJ22" s="1649"/>
      <c r="VCM22" s="1649"/>
      <c r="VCP22" s="1649"/>
      <c r="VCS22" s="1649"/>
      <c r="VCV22" s="1649"/>
      <c r="VCY22" s="1649"/>
      <c r="VDB22" s="1649"/>
      <c r="VDE22" s="1649"/>
      <c r="VDH22" s="1649"/>
      <c r="VDK22" s="1649"/>
      <c r="VDN22" s="1649"/>
      <c r="VDQ22" s="1649"/>
      <c r="VDT22" s="1649"/>
      <c r="VDW22" s="1649"/>
      <c r="VDZ22" s="1649"/>
      <c r="VEC22" s="1649"/>
      <c r="VEF22" s="1649"/>
      <c r="VEI22" s="1649"/>
      <c r="VEL22" s="1649"/>
      <c r="VEO22" s="1649"/>
      <c r="VER22" s="1649"/>
      <c r="VEU22" s="1649"/>
      <c r="VEX22" s="1649"/>
      <c r="VFA22" s="1649"/>
      <c r="VFD22" s="1649"/>
      <c r="VFG22" s="1649"/>
      <c r="VFJ22" s="1649"/>
      <c r="VFM22" s="1649"/>
      <c r="VFP22" s="1649"/>
      <c r="VFS22" s="1649"/>
      <c r="VFV22" s="1649"/>
      <c r="VFY22" s="1649"/>
      <c r="VGB22" s="1649"/>
      <c r="VGE22" s="1649"/>
      <c r="VGH22" s="1649"/>
      <c r="VGK22" s="1649"/>
      <c r="VGN22" s="1649"/>
      <c r="VGQ22" s="1649"/>
      <c r="VGT22" s="1649"/>
      <c r="VGW22" s="1649"/>
      <c r="VGZ22" s="1649"/>
      <c r="VHC22" s="1649"/>
      <c r="VHF22" s="1649"/>
      <c r="VHI22" s="1649"/>
      <c r="VHL22" s="1649"/>
      <c r="VHO22" s="1649"/>
      <c r="VHR22" s="1649"/>
      <c r="VHU22" s="1649"/>
      <c r="VHX22" s="1649"/>
      <c r="VIA22" s="1649"/>
      <c r="VID22" s="1649"/>
      <c r="VIG22" s="1649"/>
      <c r="VIJ22" s="1649"/>
      <c r="VIM22" s="1649"/>
      <c r="VIP22" s="1649"/>
      <c r="VIS22" s="1649"/>
      <c r="VIV22" s="1649"/>
      <c r="VIY22" s="1649"/>
      <c r="VJB22" s="1649"/>
      <c r="VJE22" s="1649"/>
      <c r="VJH22" s="1649"/>
      <c r="VJK22" s="1649"/>
      <c r="VJN22" s="1649"/>
      <c r="VJQ22" s="1649"/>
      <c r="VJT22" s="1649"/>
      <c r="VJW22" s="1649"/>
      <c r="VJZ22" s="1649"/>
      <c r="VKC22" s="1649"/>
      <c r="VKF22" s="1649"/>
      <c r="VKI22" s="1649"/>
      <c r="VKL22" s="1649"/>
      <c r="VKO22" s="1649"/>
      <c r="VKR22" s="1649"/>
      <c r="VKU22" s="1649"/>
      <c r="VKX22" s="1649"/>
      <c r="VLA22" s="1649"/>
      <c r="VLD22" s="1649"/>
      <c r="VLG22" s="1649"/>
      <c r="VLJ22" s="1649"/>
      <c r="VLM22" s="1649"/>
      <c r="VLP22" s="1649"/>
      <c r="VLS22" s="1649"/>
      <c r="VLV22" s="1649"/>
      <c r="VLY22" s="1649"/>
      <c r="VMB22" s="1649"/>
      <c r="VME22" s="1649"/>
      <c r="VMH22" s="1649"/>
      <c r="VMK22" s="1649"/>
      <c r="VMN22" s="1649"/>
      <c r="VMQ22" s="1649"/>
      <c r="VMT22" s="1649"/>
      <c r="VMW22" s="1649"/>
      <c r="VMZ22" s="1649"/>
      <c r="VNC22" s="1649"/>
      <c r="VNF22" s="1649"/>
      <c r="VNI22" s="1649"/>
      <c r="VNL22" s="1649"/>
      <c r="VNO22" s="1649"/>
      <c r="VNR22" s="1649"/>
      <c r="VNU22" s="1649"/>
      <c r="VNX22" s="1649"/>
      <c r="VOA22" s="1649"/>
      <c r="VOD22" s="1649"/>
      <c r="VOG22" s="1649"/>
      <c r="VOJ22" s="1649"/>
      <c r="VOM22" s="1649"/>
      <c r="VOP22" s="1649"/>
      <c r="VOS22" s="1649"/>
      <c r="VOV22" s="1649"/>
      <c r="VOY22" s="1649"/>
      <c r="VPB22" s="1649"/>
      <c r="VPE22" s="1649"/>
      <c r="VPH22" s="1649"/>
      <c r="VPK22" s="1649"/>
      <c r="VPN22" s="1649"/>
      <c r="VPQ22" s="1649"/>
      <c r="VPT22" s="1649"/>
      <c r="VPW22" s="1649"/>
      <c r="VPZ22" s="1649"/>
      <c r="VQC22" s="1649"/>
      <c r="VQF22" s="1649"/>
      <c r="VQI22" s="1649"/>
      <c r="VQL22" s="1649"/>
      <c r="VQO22" s="1649"/>
      <c r="VQR22" s="1649"/>
      <c r="VQU22" s="1649"/>
      <c r="VQX22" s="1649"/>
      <c r="VRA22" s="1649"/>
      <c r="VRD22" s="1649"/>
      <c r="VRG22" s="1649"/>
      <c r="VRJ22" s="1649"/>
      <c r="VRM22" s="1649"/>
      <c r="VRP22" s="1649"/>
      <c r="VRS22" s="1649"/>
      <c r="VRV22" s="1649"/>
      <c r="VRY22" s="1649"/>
      <c r="VSB22" s="1649"/>
      <c r="VSE22" s="1649"/>
      <c r="VSH22" s="1649"/>
      <c r="VSK22" s="1649"/>
      <c r="VSN22" s="1649"/>
      <c r="VSQ22" s="1649"/>
      <c r="VST22" s="1649"/>
      <c r="VSW22" s="1649"/>
      <c r="VSZ22" s="1649"/>
      <c r="VTC22" s="1649"/>
      <c r="VTF22" s="1649"/>
      <c r="VTI22" s="1649"/>
      <c r="VTL22" s="1649"/>
      <c r="VTO22" s="1649"/>
      <c r="VTR22" s="1649"/>
      <c r="VTU22" s="1649"/>
      <c r="VTX22" s="1649"/>
      <c r="VUA22" s="1649"/>
      <c r="VUD22" s="1649"/>
      <c r="VUG22" s="1649"/>
      <c r="VUJ22" s="1649"/>
      <c r="VUM22" s="1649"/>
      <c r="VUP22" s="1649"/>
      <c r="VUS22" s="1649"/>
      <c r="VUV22" s="1649"/>
      <c r="VUY22" s="1649"/>
      <c r="VVB22" s="1649"/>
      <c r="VVE22" s="1649"/>
      <c r="VVH22" s="1649"/>
      <c r="VVK22" s="1649"/>
      <c r="VVN22" s="1649"/>
      <c r="VVQ22" s="1649"/>
      <c r="VVT22" s="1649"/>
      <c r="VVW22" s="1649"/>
      <c r="VVZ22" s="1649"/>
      <c r="VWC22" s="1649"/>
      <c r="VWF22" s="1649"/>
      <c r="VWI22" s="1649"/>
      <c r="VWL22" s="1649"/>
      <c r="VWO22" s="1649"/>
      <c r="VWR22" s="1649"/>
      <c r="VWU22" s="1649"/>
      <c r="VWX22" s="1649"/>
      <c r="VXA22" s="1649"/>
      <c r="VXD22" s="1649"/>
      <c r="VXG22" s="1649"/>
      <c r="VXJ22" s="1649"/>
      <c r="VXM22" s="1649"/>
      <c r="VXP22" s="1649"/>
      <c r="VXS22" s="1649"/>
      <c r="VXV22" s="1649"/>
      <c r="VXY22" s="1649"/>
      <c r="VYB22" s="1649"/>
      <c r="VYE22" s="1649"/>
      <c r="VYH22" s="1649"/>
      <c r="VYK22" s="1649"/>
      <c r="VYN22" s="1649"/>
      <c r="VYQ22" s="1649"/>
      <c r="VYT22" s="1649"/>
      <c r="VYW22" s="1649"/>
      <c r="VYZ22" s="1649"/>
      <c r="VZC22" s="1649"/>
      <c r="VZF22" s="1649"/>
      <c r="VZI22" s="1649"/>
      <c r="VZL22" s="1649"/>
      <c r="VZO22" s="1649"/>
      <c r="VZR22" s="1649"/>
      <c r="VZU22" s="1649"/>
      <c r="VZX22" s="1649"/>
      <c r="WAA22" s="1649"/>
      <c r="WAD22" s="1649"/>
      <c r="WAG22" s="1649"/>
      <c r="WAJ22" s="1649"/>
      <c r="WAM22" s="1649"/>
      <c r="WAP22" s="1649"/>
      <c r="WAS22" s="1649"/>
      <c r="WAV22" s="1649"/>
      <c r="WAY22" s="1649"/>
      <c r="WBB22" s="1649"/>
      <c r="WBE22" s="1649"/>
      <c r="WBH22" s="1649"/>
      <c r="WBK22" s="1649"/>
      <c r="WBN22" s="1649"/>
      <c r="WBQ22" s="1649"/>
      <c r="WBT22" s="1649"/>
      <c r="WBW22" s="1649"/>
      <c r="WBZ22" s="1649"/>
      <c r="WCC22" s="1649"/>
      <c r="WCF22" s="1649"/>
      <c r="WCI22" s="1649"/>
      <c r="WCL22" s="1649"/>
      <c r="WCO22" s="1649"/>
      <c r="WCR22" s="1649"/>
      <c r="WCU22" s="1649"/>
      <c r="WCX22" s="1649"/>
      <c r="WDA22" s="1649"/>
      <c r="WDD22" s="1649"/>
      <c r="WDG22" s="1649"/>
      <c r="WDJ22" s="1649"/>
      <c r="WDM22" s="1649"/>
      <c r="WDP22" s="1649"/>
      <c r="WDS22" s="1649"/>
      <c r="WDV22" s="1649"/>
      <c r="WDY22" s="1649"/>
      <c r="WEB22" s="1649"/>
      <c r="WEE22" s="1649"/>
      <c r="WEH22" s="1649"/>
      <c r="WEK22" s="1649"/>
      <c r="WEN22" s="1649"/>
      <c r="WEQ22" s="1649"/>
      <c r="WET22" s="1649"/>
      <c r="WEW22" s="1649"/>
      <c r="WEZ22" s="1649"/>
      <c r="WFC22" s="1649"/>
      <c r="WFF22" s="1649"/>
      <c r="WFI22" s="1649"/>
      <c r="WFL22" s="1649"/>
      <c r="WFO22" s="1649"/>
      <c r="WFR22" s="1649"/>
      <c r="WFU22" s="1649"/>
      <c r="WFX22" s="1649"/>
      <c r="WGA22" s="1649"/>
      <c r="WGD22" s="1649"/>
      <c r="WGG22" s="1649"/>
      <c r="WGJ22" s="1649"/>
      <c r="WGM22" s="1649"/>
      <c r="WGP22" s="1649"/>
      <c r="WGS22" s="1649"/>
      <c r="WGV22" s="1649"/>
      <c r="WGY22" s="1649"/>
      <c r="WHB22" s="1649"/>
      <c r="WHE22" s="1649"/>
      <c r="WHH22" s="1649"/>
      <c r="WHK22" s="1649"/>
      <c r="WHN22" s="1649"/>
      <c r="WHQ22" s="1649"/>
      <c r="WHT22" s="1649"/>
      <c r="WHW22" s="1649"/>
      <c r="WHZ22" s="1649"/>
      <c r="WIC22" s="1649"/>
      <c r="WIF22" s="1649"/>
      <c r="WII22" s="1649"/>
      <c r="WIL22" s="1649"/>
      <c r="WIO22" s="1649"/>
      <c r="WIR22" s="1649"/>
      <c r="WIU22" s="1649"/>
      <c r="WIX22" s="1649"/>
      <c r="WJA22" s="1649"/>
      <c r="WJD22" s="1649"/>
      <c r="WJG22" s="1649"/>
      <c r="WJJ22" s="1649"/>
      <c r="WJM22" s="1649"/>
      <c r="WJP22" s="1649"/>
      <c r="WJS22" s="1649"/>
      <c r="WJV22" s="1649"/>
      <c r="WJY22" s="1649"/>
      <c r="WKB22" s="1649"/>
      <c r="WKE22" s="1649"/>
      <c r="WKH22" s="1649"/>
      <c r="WKK22" s="1649"/>
      <c r="WKN22" s="1649"/>
      <c r="WKQ22" s="1649"/>
      <c r="WKT22" s="1649"/>
      <c r="WKW22" s="1649"/>
      <c r="WKZ22" s="1649"/>
      <c r="WLC22" s="1649"/>
      <c r="WLF22" s="1649"/>
      <c r="WLI22" s="1649"/>
      <c r="WLL22" s="1649"/>
      <c r="WLO22" s="1649"/>
      <c r="WLR22" s="1649"/>
      <c r="WLU22" s="1649"/>
      <c r="WLX22" s="1649"/>
      <c r="WMA22" s="1649"/>
      <c r="WMD22" s="1649"/>
      <c r="WMG22" s="1649"/>
      <c r="WMJ22" s="1649"/>
      <c r="WMM22" s="1649"/>
      <c r="WMP22" s="1649"/>
      <c r="WMS22" s="1649"/>
      <c r="WMV22" s="1649"/>
      <c r="WMY22" s="1649"/>
      <c r="WNB22" s="1649"/>
      <c r="WNE22" s="1649"/>
      <c r="WNH22" s="1649"/>
      <c r="WNK22" s="1649"/>
      <c r="WNN22" s="1649"/>
      <c r="WNQ22" s="1649"/>
      <c r="WNT22" s="1649"/>
      <c r="WNW22" s="1649"/>
      <c r="WNZ22" s="1649"/>
      <c r="WOC22" s="1649"/>
      <c r="WOF22" s="1649"/>
      <c r="WOI22" s="1649"/>
      <c r="WOL22" s="1649"/>
      <c r="WOO22" s="1649"/>
      <c r="WOR22" s="1649"/>
      <c r="WOU22" s="1649"/>
      <c r="WOX22" s="1649"/>
      <c r="WPA22" s="1649"/>
      <c r="WPD22" s="1649"/>
      <c r="WPG22" s="1649"/>
      <c r="WPJ22" s="1649"/>
      <c r="WPM22" s="1649"/>
      <c r="WPP22" s="1649"/>
      <c r="WPS22" s="1649"/>
      <c r="WPV22" s="1649"/>
      <c r="WPY22" s="1649"/>
      <c r="WQB22" s="1649"/>
      <c r="WQE22" s="1649"/>
      <c r="WQH22" s="1649"/>
      <c r="WQK22" s="1649"/>
      <c r="WQN22" s="1649"/>
      <c r="WQQ22" s="1649"/>
      <c r="WQT22" s="1649"/>
      <c r="WQW22" s="1649"/>
      <c r="WQZ22" s="1649"/>
      <c r="WRC22" s="1649"/>
      <c r="WRF22" s="1649"/>
      <c r="WRI22" s="1649"/>
      <c r="WRL22" s="1649"/>
      <c r="WRO22" s="1649"/>
      <c r="WRR22" s="1649"/>
      <c r="WRU22" s="1649"/>
      <c r="WRX22" s="1649"/>
      <c r="WSA22" s="1649"/>
      <c r="WSD22" s="1649"/>
      <c r="WSG22" s="1649"/>
      <c r="WSJ22" s="1649"/>
      <c r="WSM22" s="1649"/>
      <c r="WSP22" s="1649"/>
      <c r="WSS22" s="1649"/>
      <c r="WSV22" s="1649"/>
      <c r="WSY22" s="1649"/>
      <c r="WTB22" s="1649"/>
      <c r="WTE22" s="1649"/>
      <c r="WTH22" s="1649"/>
      <c r="WTK22" s="1649"/>
      <c r="WTN22" s="1649"/>
      <c r="WTQ22" s="1649"/>
      <c r="WTT22" s="1649"/>
      <c r="WTW22" s="1649"/>
      <c r="WTZ22" s="1649"/>
      <c r="WUC22" s="1649"/>
      <c r="WUF22" s="1649"/>
      <c r="WUI22" s="1649"/>
      <c r="WUL22" s="1649"/>
      <c r="WUO22" s="1649"/>
      <c r="WUR22" s="1649"/>
      <c r="WUU22" s="1649"/>
      <c r="WUX22" s="1649"/>
      <c r="WVA22" s="1649"/>
      <c r="WVD22" s="1649"/>
      <c r="WVG22" s="1649"/>
      <c r="WVJ22" s="1649"/>
      <c r="WVM22" s="1649"/>
      <c r="WVP22" s="1649"/>
      <c r="WVS22" s="1649"/>
      <c r="WVV22" s="1649"/>
      <c r="WVY22" s="1649"/>
      <c r="WWB22" s="1649"/>
      <c r="WWE22" s="1649"/>
      <c r="WWH22" s="1649"/>
      <c r="WWK22" s="1649"/>
      <c r="WWN22" s="1649"/>
      <c r="WWQ22" s="1649"/>
      <c r="WWT22" s="1649"/>
      <c r="WWW22" s="1649"/>
      <c r="WWZ22" s="1649"/>
      <c r="WXC22" s="1649"/>
      <c r="WXF22" s="1649"/>
      <c r="WXI22" s="1649"/>
      <c r="WXL22" s="1649"/>
      <c r="WXO22" s="1649"/>
      <c r="WXR22" s="1649"/>
      <c r="WXU22" s="1649"/>
      <c r="WXX22" s="1649"/>
      <c r="WYA22" s="1649"/>
      <c r="WYD22" s="1649"/>
      <c r="WYG22" s="1649"/>
      <c r="WYJ22" s="1649"/>
      <c r="WYM22" s="1649"/>
      <c r="WYP22" s="1649"/>
      <c r="WYS22" s="1649"/>
      <c r="WYV22" s="1649"/>
      <c r="WYY22" s="1649"/>
      <c r="WZB22" s="1649"/>
      <c r="WZE22" s="1649"/>
      <c r="WZH22" s="1649"/>
      <c r="WZK22" s="1649"/>
      <c r="WZN22" s="1649"/>
      <c r="WZQ22" s="1649"/>
      <c r="WZT22" s="1649"/>
      <c r="WZW22" s="1649"/>
      <c r="WZZ22" s="1649"/>
      <c r="XAC22" s="1649"/>
      <c r="XAF22" s="1649"/>
      <c r="XAI22" s="1649"/>
      <c r="XAL22" s="1649"/>
      <c r="XAO22" s="1649"/>
      <c r="XAR22" s="1649"/>
      <c r="XAU22" s="1649"/>
      <c r="XAX22" s="1649"/>
      <c r="XBA22" s="1649"/>
      <c r="XBD22" s="1649"/>
      <c r="XBG22" s="1649"/>
      <c r="XBJ22" s="1649"/>
      <c r="XBM22" s="1649"/>
      <c r="XBP22" s="1649"/>
      <c r="XBS22" s="1649"/>
      <c r="XBV22" s="1649"/>
      <c r="XBY22" s="1649"/>
      <c r="XCB22" s="1649"/>
      <c r="XCE22" s="1649"/>
      <c r="XCH22" s="1649"/>
      <c r="XCK22" s="1649"/>
      <c r="XCN22" s="1649"/>
      <c r="XCQ22" s="1649"/>
      <c r="XCT22" s="1649"/>
      <c r="XCW22" s="1649"/>
      <c r="XCZ22" s="1649"/>
      <c r="XDC22" s="1649"/>
      <c r="XDF22" s="1649"/>
      <c r="XDI22" s="1649"/>
      <c r="XDL22" s="1649"/>
      <c r="XDO22" s="1649"/>
      <c r="XDR22" s="1649"/>
      <c r="XDU22" s="1649"/>
      <c r="XDX22" s="1649"/>
      <c r="XEA22" s="1649"/>
      <c r="XED22" s="1649"/>
      <c r="XEG22" s="1649"/>
      <c r="XEJ22" s="1649"/>
      <c r="XEM22" s="1649"/>
      <c r="XEP22" s="1649"/>
      <c r="XES22" s="1649"/>
      <c r="XEV22" s="1649"/>
      <c r="XEY22" s="1649"/>
      <c r="XFB22" s="1649"/>
    </row>
    <row r="23" spans="1:16384" ht="7.5" customHeight="1" x14ac:dyDescent="0.25">
      <c r="A23" s="1175"/>
      <c r="B23" s="1627"/>
      <c r="C23" s="1628"/>
    </row>
    <row r="24" spans="1:16384" x14ac:dyDescent="0.25">
      <c r="A24" s="1664" t="s">
        <v>1249</v>
      </c>
      <c r="B24" s="1627"/>
      <c r="C24" s="1628"/>
    </row>
    <row r="25" spans="1:16384" ht="29.25" customHeight="1" x14ac:dyDescent="0.25">
      <c r="A25" s="2824" t="s">
        <v>2491</v>
      </c>
      <c r="B25" s="2825"/>
      <c r="C25" s="2826"/>
    </row>
    <row r="26" spans="1:16384" ht="30" customHeight="1" x14ac:dyDescent="0.25">
      <c r="A26" s="2824" t="s">
        <v>2050</v>
      </c>
      <c r="B26" s="2825"/>
      <c r="C26" s="2826"/>
    </row>
    <row r="27" spans="1:16384" ht="30" customHeight="1" x14ac:dyDescent="0.25">
      <c r="A27" s="2824" t="s">
        <v>2051</v>
      </c>
      <c r="B27" s="2825"/>
      <c r="C27" s="2826"/>
    </row>
    <row r="28" spans="1:16384" x14ac:dyDescent="0.25">
      <c r="A28" s="2824" t="s">
        <v>2052</v>
      </c>
      <c r="B28" s="2825"/>
      <c r="C28" s="2826"/>
    </row>
    <row r="29" spans="1:16384" x14ac:dyDescent="0.25">
      <c r="A29" s="2824" t="s">
        <v>2053</v>
      </c>
      <c r="B29" s="2825"/>
      <c r="C29" s="2826"/>
    </row>
    <row r="30" spans="1:16384" ht="3.9" customHeight="1" thickBot="1" x14ac:dyDescent="0.3">
      <c r="A30" s="1177"/>
      <c r="B30" s="1670"/>
      <c r="C30" s="1671"/>
    </row>
    <row r="31" spans="1:16384" x14ac:dyDescent="0.25">
      <c r="A31" s="198"/>
      <c r="B31" s="198"/>
      <c r="C31" s="198"/>
      <c r="E31" s="1" t="s">
        <v>176</v>
      </c>
    </row>
    <row r="32" spans="1:16384" x14ac:dyDescent="0.25">
      <c r="A32" s="1672"/>
      <c r="B32" s="198"/>
      <c r="C32" s="198"/>
    </row>
    <row r="33" spans="1:3" x14ac:dyDescent="0.25">
      <c r="A33" s="198"/>
      <c r="B33" s="198"/>
      <c r="C33" s="198"/>
    </row>
    <row r="34" spans="1:3" x14ac:dyDescent="0.25">
      <c r="A34" s="198"/>
      <c r="B34" s="198"/>
      <c r="C34" s="198"/>
    </row>
  </sheetData>
  <mergeCells count="5475">
    <mergeCell ref="A22:C22"/>
    <mergeCell ref="A18:C18"/>
    <mergeCell ref="A25:C25"/>
    <mergeCell ref="A28:C28"/>
    <mergeCell ref="A29:C29"/>
    <mergeCell ref="A26:C26"/>
    <mergeCell ref="A27:C27"/>
    <mergeCell ref="XFA21:XFC21"/>
    <mergeCell ref="XEI21:XEK21"/>
    <mergeCell ref="XEL21:XEN21"/>
    <mergeCell ref="XEO21:XEQ21"/>
    <mergeCell ref="XER21:XET21"/>
    <mergeCell ref="XEU21:XEW21"/>
    <mergeCell ref="XEX21:XEZ21"/>
    <mergeCell ref="XDQ21:XDS21"/>
    <mergeCell ref="XDT21:XDV21"/>
    <mergeCell ref="XDW21:XDY21"/>
    <mergeCell ref="XDZ21:XEB21"/>
    <mergeCell ref="XEC21:XEE21"/>
    <mergeCell ref="XEF21:XEH21"/>
    <mergeCell ref="XCY21:XDA21"/>
    <mergeCell ref="XDB21:XDD21"/>
    <mergeCell ref="XDE21:XDG21"/>
    <mergeCell ref="XDH21:XDJ21"/>
    <mergeCell ref="XDK21:XDM21"/>
    <mergeCell ref="XDN21:XDP21"/>
    <mergeCell ref="XCG21:XCI21"/>
    <mergeCell ref="XCJ21:XCL21"/>
    <mergeCell ref="XCM21:XCO21"/>
    <mergeCell ref="XCP21:XCR21"/>
    <mergeCell ref="XCS21:XCU21"/>
    <mergeCell ref="XCV21:XCX21"/>
    <mergeCell ref="XBO21:XBQ21"/>
    <mergeCell ref="XBR21:XBT21"/>
    <mergeCell ref="XBU21:XBW21"/>
    <mergeCell ref="XBX21:XBZ21"/>
    <mergeCell ref="XCA21:XCC21"/>
    <mergeCell ref="XCD21:XCF21"/>
    <mergeCell ref="XAW21:XAY21"/>
    <mergeCell ref="XAZ21:XBB21"/>
    <mergeCell ref="XBC21:XBE21"/>
    <mergeCell ref="XBF21:XBH21"/>
    <mergeCell ref="XBI21:XBK21"/>
    <mergeCell ref="XBL21:XBN21"/>
    <mergeCell ref="XAE21:XAG21"/>
    <mergeCell ref="XAH21:XAJ21"/>
    <mergeCell ref="XAK21:XAM21"/>
    <mergeCell ref="XAN21:XAP21"/>
    <mergeCell ref="XAQ21:XAS21"/>
    <mergeCell ref="XAT21:XAV21"/>
    <mergeCell ref="WZM21:WZO21"/>
    <mergeCell ref="WZP21:WZR21"/>
    <mergeCell ref="WZS21:WZU21"/>
    <mergeCell ref="WZV21:WZX21"/>
    <mergeCell ref="WZY21:XAA21"/>
    <mergeCell ref="XAB21:XAD21"/>
    <mergeCell ref="WYU21:WYW21"/>
    <mergeCell ref="WYX21:WYZ21"/>
    <mergeCell ref="WZA21:WZC21"/>
    <mergeCell ref="WZD21:WZF21"/>
    <mergeCell ref="WZG21:WZI21"/>
    <mergeCell ref="WZJ21:WZL21"/>
    <mergeCell ref="WYC21:WYE21"/>
    <mergeCell ref="WYF21:WYH21"/>
    <mergeCell ref="WYI21:WYK21"/>
    <mergeCell ref="WYL21:WYN21"/>
    <mergeCell ref="WYO21:WYQ21"/>
    <mergeCell ref="WYR21:WYT21"/>
    <mergeCell ref="WXK21:WXM21"/>
    <mergeCell ref="WXN21:WXP21"/>
    <mergeCell ref="WXQ21:WXS21"/>
    <mergeCell ref="WXT21:WXV21"/>
    <mergeCell ref="WXW21:WXY21"/>
    <mergeCell ref="WXZ21:WYB21"/>
    <mergeCell ref="WWS21:WWU21"/>
    <mergeCell ref="WWV21:WWX21"/>
    <mergeCell ref="WWY21:WXA21"/>
    <mergeCell ref="WXB21:WXD21"/>
    <mergeCell ref="WXE21:WXG21"/>
    <mergeCell ref="WXH21:WXJ21"/>
    <mergeCell ref="WWA21:WWC21"/>
    <mergeCell ref="WWD21:WWF21"/>
    <mergeCell ref="WWG21:WWI21"/>
    <mergeCell ref="WWJ21:WWL21"/>
    <mergeCell ref="WWM21:WWO21"/>
    <mergeCell ref="WWP21:WWR21"/>
    <mergeCell ref="WVI21:WVK21"/>
    <mergeCell ref="WVL21:WVN21"/>
    <mergeCell ref="WVO21:WVQ21"/>
    <mergeCell ref="WVR21:WVT21"/>
    <mergeCell ref="WVU21:WVW21"/>
    <mergeCell ref="WVX21:WVZ21"/>
    <mergeCell ref="WUQ21:WUS21"/>
    <mergeCell ref="WUT21:WUV21"/>
    <mergeCell ref="WUW21:WUY21"/>
    <mergeCell ref="WUZ21:WVB21"/>
    <mergeCell ref="WVC21:WVE21"/>
    <mergeCell ref="WVF21:WVH21"/>
    <mergeCell ref="WTY21:WUA21"/>
    <mergeCell ref="WUB21:WUD21"/>
    <mergeCell ref="WUE21:WUG21"/>
    <mergeCell ref="WUH21:WUJ21"/>
    <mergeCell ref="WUK21:WUM21"/>
    <mergeCell ref="WUN21:WUP21"/>
    <mergeCell ref="WTG21:WTI21"/>
    <mergeCell ref="WTJ21:WTL21"/>
    <mergeCell ref="WTM21:WTO21"/>
    <mergeCell ref="WTP21:WTR21"/>
    <mergeCell ref="WTS21:WTU21"/>
    <mergeCell ref="WTV21:WTX21"/>
    <mergeCell ref="WSO21:WSQ21"/>
    <mergeCell ref="WSR21:WST21"/>
    <mergeCell ref="WSU21:WSW21"/>
    <mergeCell ref="WSX21:WSZ21"/>
    <mergeCell ref="WTA21:WTC21"/>
    <mergeCell ref="WTD21:WTF21"/>
    <mergeCell ref="WRW21:WRY21"/>
    <mergeCell ref="WRZ21:WSB21"/>
    <mergeCell ref="WSC21:WSE21"/>
    <mergeCell ref="WSF21:WSH21"/>
    <mergeCell ref="WSI21:WSK21"/>
    <mergeCell ref="WSL21:WSN21"/>
    <mergeCell ref="WRE21:WRG21"/>
    <mergeCell ref="WRH21:WRJ21"/>
    <mergeCell ref="WRK21:WRM21"/>
    <mergeCell ref="WRN21:WRP21"/>
    <mergeCell ref="WRQ21:WRS21"/>
    <mergeCell ref="WRT21:WRV21"/>
    <mergeCell ref="WQM21:WQO21"/>
    <mergeCell ref="WQP21:WQR21"/>
    <mergeCell ref="WQS21:WQU21"/>
    <mergeCell ref="WQV21:WQX21"/>
    <mergeCell ref="WQY21:WRA21"/>
    <mergeCell ref="WRB21:WRD21"/>
    <mergeCell ref="WPU21:WPW21"/>
    <mergeCell ref="WPX21:WPZ21"/>
    <mergeCell ref="WQA21:WQC21"/>
    <mergeCell ref="WQD21:WQF21"/>
    <mergeCell ref="WQG21:WQI21"/>
    <mergeCell ref="WQJ21:WQL21"/>
    <mergeCell ref="WPC21:WPE21"/>
    <mergeCell ref="WPF21:WPH21"/>
    <mergeCell ref="WPI21:WPK21"/>
    <mergeCell ref="WPL21:WPN21"/>
    <mergeCell ref="WPO21:WPQ21"/>
    <mergeCell ref="WPR21:WPT21"/>
    <mergeCell ref="WOK21:WOM21"/>
    <mergeCell ref="WON21:WOP21"/>
    <mergeCell ref="WOQ21:WOS21"/>
    <mergeCell ref="WOT21:WOV21"/>
    <mergeCell ref="WOW21:WOY21"/>
    <mergeCell ref="WOZ21:WPB21"/>
    <mergeCell ref="WNS21:WNU21"/>
    <mergeCell ref="WNV21:WNX21"/>
    <mergeCell ref="WNY21:WOA21"/>
    <mergeCell ref="WOB21:WOD21"/>
    <mergeCell ref="WOE21:WOG21"/>
    <mergeCell ref="WOH21:WOJ21"/>
    <mergeCell ref="WNA21:WNC21"/>
    <mergeCell ref="WND21:WNF21"/>
    <mergeCell ref="WNG21:WNI21"/>
    <mergeCell ref="WNJ21:WNL21"/>
    <mergeCell ref="WNM21:WNO21"/>
    <mergeCell ref="WNP21:WNR21"/>
    <mergeCell ref="WMI21:WMK21"/>
    <mergeCell ref="WML21:WMN21"/>
    <mergeCell ref="WMO21:WMQ21"/>
    <mergeCell ref="WMR21:WMT21"/>
    <mergeCell ref="WMU21:WMW21"/>
    <mergeCell ref="WMX21:WMZ21"/>
    <mergeCell ref="WLQ21:WLS21"/>
    <mergeCell ref="WLT21:WLV21"/>
    <mergeCell ref="WLW21:WLY21"/>
    <mergeCell ref="WLZ21:WMB21"/>
    <mergeCell ref="WMC21:WME21"/>
    <mergeCell ref="WMF21:WMH21"/>
    <mergeCell ref="WKY21:WLA21"/>
    <mergeCell ref="WLB21:WLD21"/>
    <mergeCell ref="WLE21:WLG21"/>
    <mergeCell ref="WLH21:WLJ21"/>
    <mergeCell ref="WLK21:WLM21"/>
    <mergeCell ref="WLN21:WLP21"/>
    <mergeCell ref="WKG21:WKI21"/>
    <mergeCell ref="WKJ21:WKL21"/>
    <mergeCell ref="WKM21:WKO21"/>
    <mergeCell ref="WKP21:WKR21"/>
    <mergeCell ref="WKS21:WKU21"/>
    <mergeCell ref="WKV21:WKX21"/>
    <mergeCell ref="WJO21:WJQ21"/>
    <mergeCell ref="WJR21:WJT21"/>
    <mergeCell ref="WJU21:WJW21"/>
    <mergeCell ref="WJX21:WJZ21"/>
    <mergeCell ref="WKA21:WKC21"/>
    <mergeCell ref="WKD21:WKF21"/>
    <mergeCell ref="WIW21:WIY21"/>
    <mergeCell ref="WIZ21:WJB21"/>
    <mergeCell ref="WJC21:WJE21"/>
    <mergeCell ref="WJF21:WJH21"/>
    <mergeCell ref="WJI21:WJK21"/>
    <mergeCell ref="WJL21:WJN21"/>
    <mergeCell ref="WIE21:WIG21"/>
    <mergeCell ref="WIH21:WIJ21"/>
    <mergeCell ref="WIK21:WIM21"/>
    <mergeCell ref="WIN21:WIP21"/>
    <mergeCell ref="WIQ21:WIS21"/>
    <mergeCell ref="WIT21:WIV21"/>
    <mergeCell ref="WHM21:WHO21"/>
    <mergeCell ref="WHP21:WHR21"/>
    <mergeCell ref="WHS21:WHU21"/>
    <mergeCell ref="WHV21:WHX21"/>
    <mergeCell ref="WHY21:WIA21"/>
    <mergeCell ref="WIB21:WID21"/>
    <mergeCell ref="WGU21:WGW21"/>
    <mergeCell ref="WGX21:WGZ21"/>
    <mergeCell ref="WHA21:WHC21"/>
    <mergeCell ref="WHD21:WHF21"/>
    <mergeCell ref="WHG21:WHI21"/>
    <mergeCell ref="WHJ21:WHL21"/>
    <mergeCell ref="WGC21:WGE21"/>
    <mergeCell ref="WGF21:WGH21"/>
    <mergeCell ref="WGI21:WGK21"/>
    <mergeCell ref="WGL21:WGN21"/>
    <mergeCell ref="WGO21:WGQ21"/>
    <mergeCell ref="WGR21:WGT21"/>
    <mergeCell ref="WFK21:WFM21"/>
    <mergeCell ref="WFN21:WFP21"/>
    <mergeCell ref="WFQ21:WFS21"/>
    <mergeCell ref="WFT21:WFV21"/>
    <mergeCell ref="WFW21:WFY21"/>
    <mergeCell ref="WFZ21:WGB21"/>
    <mergeCell ref="WES21:WEU21"/>
    <mergeCell ref="WEV21:WEX21"/>
    <mergeCell ref="WEY21:WFA21"/>
    <mergeCell ref="WFB21:WFD21"/>
    <mergeCell ref="WFE21:WFG21"/>
    <mergeCell ref="WFH21:WFJ21"/>
    <mergeCell ref="WEA21:WEC21"/>
    <mergeCell ref="WED21:WEF21"/>
    <mergeCell ref="WEG21:WEI21"/>
    <mergeCell ref="WEJ21:WEL21"/>
    <mergeCell ref="WEM21:WEO21"/>
    <mergeCell ref="WEP21:WER21"/>
    <mergeCell ref="WDI21:WDK21"/>
    <mergeCell ref="WDL21:WDN21"/>
    <mergeCell ref="WDO21:WDQ21"/>
    <mergeCell ref="WDR21:WDT21"/>
    <mergeCell ref="WDU21:WDW21"/>
    <mergeCell ref="WDX21:WDZ21"/>
    <mergeCell ref="WCQ21:WCS21"/>
    <mergeCell ref="WCT21:WCV21"/>
    <mergeCell ref="WCW21:WCY21"/>
    <mergeCell ref="WCZ21:WDB21"/>
    <mergeCell ref="WDC21:WDE21"/>
    <mergeCell ref="WDF21:WDH21"/>
    <mergeCell ref="WBY21:WCA21"/>
    <mergeCell ref="WCB21:WCD21"/>
    <mergeCell ref="WCE21:WCG21"/>
    <mergeCell ref="WCH21:WCJ21"/>
    <mergeCell ref="WCK21:WCM21"/>
    <mergeCell ref="WCN21:WCP21"/>
    <mergeCell ref="WBG21:WBI21"/>
    <mergeCell ref="WBJ21:WBL21"/>
    <mergeCell ref="WBM21:WBO21"/>
    <mergeCell ref="WBP21:WBR21"/>
    <mergeCell ref="WBS21:WBU21"/>
    <mergeCell ref="WBV21:WBX21"/>
    <mergeCell ref="WAO21:WAQ21"/>
    <mergeCell ref="WAR21:WAT21"/>
    <mergeCell ref="WAU21:WAW21"/>
    <mergeCell ref="WAX21:WAZ21"/>
    <mergeCell ref="WBA21:WBC21"/>
    <mergeCell ref="WBD21:WBF21"/>
    <mergeCell ref="VZW21:VZY21"/>
    <mergeCell ref="VZZ21:WAB21"/>
    <mergeCell ref="WAC21:WAE21"/>
    <mergeCell ref="WAF21:WAH21"/>
    <mergeCell ref="WAI21:WAK21"/>
    <mergeCell ref="WAL21:WAN21"/>
    <mergeCell ref="VZE21:VZG21"/>
    <mergeCell ref="VZH21:VZJ21"/>
    <mergeCell ref="VZK21:VZM21"/>
    <mergeCell ref="VZN21:VZP21"/>
    <mergeCell ref="VZQ21:VZS21"/>
    <mergeCell ref="VZT21:VZV21"/>
    <mergeCell ref="VYM21:VYO21"/>
    <mergeCell ref="VYP21:VYR21"/>
    <mergeCell ref="VYS21:VYU21"/>
    <mergeCell ref="VYV21:VYX21"/>
    <mergeCell ref="VYY21:VZA21"/>
    <mergeCell ref="VZB21:VZD21"/>
    <mergeCell ref="VXU21:VXW21"/>
    <mergeCell ref="VXX21:VXZ21"/>
    <mergeCell ref="VYA21:VYC21"/>
    <mergeCell ref="VYD21:VYF21"/>
    <mergeCell ref="VYG21:VYI21"/>
    <mergeCell ref="VYJ21:VYL21"/>
    <mergeCell ref="VXC21:VXE21"/>
    <mergeCell ref="VXF21:VXH21"/>
    <mergeCell ref="VXI21:VXK21"/>
    <mergeCell ref="VXL21:VXN21"/>
    <mergeCell ref="VXO21:VXQ21"/>
    <mergeCell ref="VXR21:VXT21"/>
    <mergeCell ref="VWK21:VWM21"/>
    <mergeCell ref="VWN21:VWP21"/>
    <mergeCell ref="VWQ21:VWS21"/>
    <mergeCell ref="VWT21:VWV21"/>
    <mergeCell ref="VWW21:VWY21"/>
    <mergeCell ref="VWZ21:VXB21"/>
    <mergeCell ref="VVS21:VVU21"/>
    <mergeCell ref="VVV21:VVX21"/>
    <mergeCell ref="VVY21:VWA21"/>
    <mergeCell ref="VWB21:VWD21"/>
    <mergeCell ref="VWE21:VWG21"/>
    <mergeCell ref="VWH21:VWJ21"/>
    <mergeCell ref="VVA21:VVC21"/>
    <mergeCell ref="VVD21:VVF21"/>
    <mergeCell ref="VVG21:VVI21"/>
    <mergeCell ref="VVJ21:VVL21"/>
    <mergeCell ref="VVM21:VVO21"/>
    <mergeCell ref="VVP21:VVR21"/>
    <mergeCell ref="VUI21:VUK21"/>
    <mergeCell ref="VUL21:VUN21"/>
    <mergeCell ref="VUO21:VUQ21"/>
    <mergeCell ref="VUR21:VUT21"/>
    <mergeCell ref="VUU21:VUW21"/>
    <mergeCell ref="VUX21:VUZ21"/>
    <mergeCell ref="VTQ21:VTS21"/>
    <mergeCell ref="VTT21:VTV21"/>
    <mergeCell ref="VTW21:VTY21"/>
    <mergeCell ref="VTZ21:VUB21"/>
    <mergeCell ref="VUC21:VUE21"/>
    <mergeCell ref="VUF21:VUH21"/>
    <mergeCell ref="VSY21:VTA21"/>
    <mergeCell ref="VTB21:VTD21"/>
    <mergeCell ref="VTE21:VTG21"/>
    <mergeCell ref="VTH21:VTJ21"/>
    <mergeCell ref="VTK21:VTM21"/>
    <mergeCell ref="VTN21:VTP21"/>
    <mergeCell ref="VSG21:VSI21"/>
    <mergeCell ref="VSJ21:VSL21"/>
    <mergeCell ref="VSM21:VSO21"/>
    <mergeCell ref="VSP21:VSR21"/>
    <mergeCell ref="VSS21:VSU21"/>
    <mergeCell ref="VSV21:VSX21"/>
    <mergeCell ref="VRO21:VRQ21"/>
    <mergeCell ref="VRR21:VRT21"/>
    <mergeCell ref="VRU21:VRW21"/>
    <mergeCell ref="VRX21:VRZ21"/>
    <mergeCell ref="VSA21:VSC21"/>
    <mergeCell ref="VSD21:VSF21"/>
    <mergeCell ref="VQW21:VQY21"/>
    <mergeCell ref="VQZ21:VRB21"/>
    <mergeCell ref="VRC21:VRE21"/>
    <mergeCell ref="VRF21:VRH21"/>
    <mergeCell ref="VRI21:VRK21"/>
    <mergeCell ref="VRL21:VRN21"/>
    <mergeCell ref="VQE21:VQG21"/>
    <mergeCell ref="VQH21:VQJ21"/>
    <mergeCell ref="VQK21:VQM21"/>
    <mergeCell ref="VQN21:VQP21"/>
    <mergeCell ref="VQQ21:VQS21"/>
    <mergeCell ref="VQT21:VQV21"/>
    <mergeCell ref="VPM21:VPO21"/>
    <mergeCell ref="VPP21:VPR21"/>
    <mergeCell ref="VPS21:VPU21"/>
    <mergeCell ref="VPV21:VPX21"/>
    <mergeCell ref="VPY21:VQA21"/>
    <mergeCell ref="VQB21:VQD21"/>
    <mergeCell ref="VOU21:VOW21"/>
    <mergeCell ref="VOX21:VOZ21"/>
    <mergeCell ref="VPA21:VPC21"/>
    <mergeCell ref="VPD21:VPF21"/>
    <mergeCell ref="VPG21:VPI21"/>
    <mergeCell ref="VPJ21:VPL21"/>
    <mergeCell ref="VOC21:VOE21"/>
    <mergeCell ref="VOF21:VOH21"/>
    <mergeCell ref="VOI21:VOK21"/>
    <mergeCell ref="VOL21:VON21"/>
    <mergeCell ref="VOO21:VOQ21"/>
    <mergeCell ref="VOR21:VOT21"/>
    <mergeCell ref="VNK21:VNM21"/>
    <mergeCell ref="VNN21:VNP21"/>
    <mergeCell ref="VNQ21:VNS21"/>
    <mergeCell ref="VNT21:VNV21"/>
    <mergeCell ref="VNW21:VNY21"/>
    <mergeCell ref="VNZ21:VOB21"/>
    <mergeCell ref="VMS21:VMU21"/>
    <mergeCell ref="VMV21:VMX21"/>
    <mergeCell ref="VMY21:VNA21"/>
    <mergeCell ref="VNB21:VND21"/>
    <mergeCell ref="VNE21:VNG21"/>
    <mergeCell ref="VNH21:VNJ21"/>
    <mergeCell ref="VMA21:VMC21"/>
    <mergeCell ref="VMD21:VMF21"/>
    <mergeCell ref="VMG21:VMI21"/>
    <mergeCell ref="VMJ21:VML21"/>
    <mergeCell ref="VMM21:VMO21"/>
    <mergeCell ref="VMP21:VMR21"/>
    <mergeCell ref="VLI21:VLK21"/>
    <mergeCell ref="VLL21:VLN21"/>
    <mergeCell ref="VLO21:VLQ21"/>
    <mergeCell ref="VLR21:VLT21"/>
    <mergeCell ref="VLU21:VLW21"/>
    <mergeCell ref="VLX21:VLZ21"/>
    <mergeCell ref="VKQ21:VKS21"/>
    <mergeCell ref="VKT21:VKV21"/>
    <mergeCell ref="VKW21:VKY21"/>
    <mergeCell ref="VKZ21:VLB21"/>
    <mergeCell ref="VLC21:VLE21"/>
    <mergeCell ref="VLF21:VLH21"/>
    <mergeCell ref="VJY21:VKA21"/>
    <mergeCell ref="VKB21:VKD21"/>
    <mergeCell ref="VKE21:VKG21"/>
    <mergeCell ref="VKH21:VKJ21"/>
    <mergeCell ref="VKK21:VKM21"/>
    <mergeCell ref="VKN21:VKP21"/>
    <mergeCell ref="VJG21:VJI21"/>
    <mergeCell ref="VJJ21:VJL21"/>
    <mergeCell ref="VJM21:VJO21"/>
    <mergeCell ref="VJP21:VJR21"/>
    <mergeCell ref="VJS21:VJU21"/>
    <mergeCell ref="VJV21:VJX21"/>
    <mergeCell ref="VIO21:VIQ21"/>
    <mergeCell ref="VIR21:VIT21"/>
    <mergeCell ref="VIU21:VIW21"/>
    <mergeCell ref="VIX21:VIZ21"/>
    <mergeCell ref="VJA21:VJC21"/>
    <mergeCell ref="VJD21:VJF21"/>
    <mergeCell ref="VHW21:VHY21"/>
    <mergeCell ref="VHZ21:VIB21"/>
    <mergeCell ref="VIC21:VIE21"/>
    <mergeCell ref="VIF21:VIH21"/>
    <mergeCell ref="VII21:VIK21"/>
    <mergeCell ref="VIL21:VIN21"/>
    <mergeCell ref="VHE21:VHG21"/>
    <mergeCell ref="VHH21:VHJ21"/>
    <mergeCell ref="VHK21:VHM21"/>
    <mergeCell ref="VHN21:VHP21"/>
    <mergeCell ref="VHQ21:VHS21"/>
    <mergeCell ref="VHT21:VHV21"/>
    <mergeCell ref="VGM21:VGO21"/>
    <mergeCell ref="VGP21:VGR21"/>
    <mergeCell ref="VGS21:VGU21"/>
    <mergeCell ref="VGV21:VGX21"/>
    <mergeCell ref="VGY21:VHA21"/>
    <mergeCell ref="VHB21:VHD21"/>
    <mergeCell ref="VFU21:VFW21"/>
    <mergeCell ref="VFX21:VFZ21"/>
    <mergeCell ref="VGA21:VGC21"/>
    <mergeCell ref="VGD21:VGF21"/>
    <mergeCell ref="VGG21:VGI21"/>
    <mergeCell ref="VGJ21:VGL21"/>
    <mergeCell ref="VFC21:VFE21"/>
    <mergeCell ref="VFF21:VFH21"/>
    <mergeCell ref="VFI21:VFK21"/>
    <mergeCell ref="VFL21:VFN21"/>
    <mergeCell ref="VFO21:VFQ21"/>
    <mergeCell ref="VFR21:VFT21"/>
    <mergeCell ref="VEK21:VEM21"/>
    <mergeCell ref="VEN21:VEP21"/>
    <mergeCell ref="VEQ21:VES21"/>
    <mergeCell ref="VET21:VEV21"/>
    <mergeCell ref="VEW21:VEY21"/>
    <mergeCell ref="VEZ21:VFB21"/>
    <mergeCell ref="VDS21:VDU21"/>
    <mergeCell ref="VDV21:VDX21"/>
    <mergeCell ref="VDY21:VEA21"/>
    <mergeCell ref="VEB21:VED21"/>
    <mergeCell ref="VEE21:VEG21"/>
    <mergeCell ref="VEH21:VEJ21"/>
    <mergeCell ref="VDA21:VDC21"/>
    <mergeCell ref="VDD21:VDF21"/>
    <mergeCell ref="VDG21:VDI21"/>
    <mergeCell ref="VDJ21:VDL21"/>
    <mergeCell ref="VDM21:VDO21"/>
    <mergeCell ref="VDP21:VDR21"/>
    <mergeCell ref="VCI21:VCK21"/>
    <mergeCell ref="VCL21:VCN21"/>
    <mergeCell ref="VCO21:VCQ21"/>
    <mergeCell ref="VCR21:VCT21"/>
    <mergeCell ref="VCU21:VCW21"/>
    <mergeCell ref="VCX21:VCZ21"/>
    <mergeCell ref="VBQ21:VBS21"/>
    <mergeCell ref="VBT21:VBV21"/>
    <mergeCell ref="VBW21:VBY21"/>
    <mergeCell ref="VBZ21:VCB21"/>
    <mergeCell ref="VCC21:VCE21"/>
    <mergeCell ref="VCF21:VCH21"/>
    <mergeCell ref="VAY21:VBA21"/>
    <mergeCell ref="VBB21:VBD21"/>
    <mergeCell ref="VBE21:VBG21"/>
    <mergeCell ref="VBH21:VBJ21"/>
    <mergeCell ref="VBK21:VBM21"/>
    <mergeCell ref="VBN21:VBP21"/>
    <mergeCell ref="VAG21:VAI21"/>
    <mergeCell ref="VAJ21:VAL21"/>
    <mergeCell ref="VAM21:VAO21"/>
    <mergeCell ref="VAP21:VAR21"/>
    <mergeCell ref="VAS21:VAU21"/>
    <mergeCell ref="VAV21:VAX21"/>
    <mergeCell ref="UZO21:UZQ21"/>
    <mergeCell ref="UZR21:UZT21"/>
    <mergeCell ref="UZU21:UZW21"/>
    <mergeCell ref="UZX21:UZZ21"/>
    <mergeCell ref="VAA21:VAC21"/>
    <mergeCell ref="VAD21:VAF21"/>
    <mergeCell ref="UYW21:UYY21"/>
    <mergeCell ref="UYZ21:UZB21"/>
    <mergeCell ref="UZC21:UZE21"/>
    <mergeCell ref="UZF21:UZH21"/>
    <mergeCell ref="UZI21:UZK21"/>
    <mergeCell ref="UZL21:UZN21"/>
    <mergeCell ref="UYE21:UYG21"/>
    <mergeCell ref="UYH21:UYJ21"/>
    <mergeCell ref="UYK21:UYM21"/>
    <mergeCell ref="UYN21:UYP21"/>
    <mergeCell ref="UYQ21:UYS21"/>
    <mergeCell ref="UYT21:UYV21"/>
    <mergeCell ref="UXM21:UXO21"/>
    <mergeCell ref="UXP21:UXR21"/>
    <mergeCell ref="UXS21:UXU21"/>
    <mergeCell ref="UXV21:UXX21"/>
    <mergeCell ref="UXY21:UYA21"/>
    <mergeCell ref="UYB21:UYD21"/>
    <mergeCell ref="UWU21:UWW21"/>
    <mergeCell ref="UWX21:UWZ21"/>
    <mergeCell ref="UXA21:UXC21"/>
    <mergeCell ref="UXD21:UXF21"/>
    <mergeCell ref="UXG21:UXI21"/>
    <mergeCell ref="UXJ21:UXL21"/>
    <mergeCell ref="UWC21:UWE21"/>
    <mergeCell ref="UWF21:UWH21"/>
    <mergeCell ref="UWI21:UWK21"/>
    <mergeCell ref="UWL21:UWN21"/>
    <mergeCell ref="UWO21:UWQ21"/>
    <mergeCell ref="UWR21:UWT21"/>
    <mergeCell ref="UVK21:UVM21"/>
    <mergeCell ref="UVN21:UVP21"/>
    <mergeCell ref="UVQ21:UVS21"/>
    <mergeCell ref="UVT21:UVV21"/>
    <mergeCell ref="UVW21:UVY21"/>
    <mergeCell ref="UVZ21:UWB21"/>
    <mergeCell ref="UUS21:UUU21"/>
    <mergeCell ref="UUV21:UUX21"/>
    <mergeCell ref="UUY21:UVA21"/>
    <mergeCell ref="UVB21:UVD21"/>
    <mergeCell ref="UVE21:UVG21"/>
    <mergeCell ref="UVH21:UVJ21"/>
    <mergeCell ref="UUA21:UUC21"/>
    <mergeCell ref="UUD21:UUF21"/>
    <mergeCell ref="UUG21:UUI21"/>
    <mergeCell ref="UUJ21:UUL21"/>
    <mergeCell ref="UUM21:UUO21"/>
    <mergeCell ref="UUP21:UUR21"/>
    <mergeCell ref="UTI21:UTK21"/>
    <mergeCell ref="UTL21:UTN21"/>
    <mergeCell ref="UTO21:UTQ21"/>
    <mergeCell ref="UTR21:UTT21"/>
    <mergeCell ref="UTU21:UTW21"/>
    <mergeCell ref="UTX21:UTZ21"/>
    <mergeCell ref="USQ21:USS21"/>
    <mergeCell ref="UST21:USV21"/>
    <mergeCell ref="USW21:USY21"/>
    <mergeCell ref="USZ21:UTB21"/>
    <mergeCell ref="UTC21:UTE21"/>
    <mergeCell ref="UTF21:UTH21"/>
    <mergeCell ref="URY21:USA21"/>
    <mergeCell ref="USB21:USD21"/>
    <mergeCell ref="USE21:USG21"/>
    <mergeCell ref="USH21:USJ21"/>
    <mergeCell ref="USK21:USM21"/>
    <mergeCell ref="USN21:USP21"/>
    <mergeCell ref="URG21:URI21"/>
    <mergeCell ref="URJ21:URL21"/>
    <mergeCell ref="URM21:URO21"/>
    <mergeCell ref="URP21:URR21"/>
    <mergeCell ref="URS21:URU21"/>
    <mergeCell ref="URV21:URX21"/>
    <mergeCell ref="UQO21:UQQ21"/>
    <mergeCell ref="UQR21:UQT21"/>
    <mergeCell ref="UQU21:UQW21"/>
    <mergeCell ref="UQX21:UQZ21"/>
    <mergeCell ref="URA21:URC21"/>
    <mergeCell ref="URD21:URF21"/>
    <mergeCell ref="UPW21:UPY21"/>
    <mergeCell ref="UPZ21:UQB21"/>
    <mergeCell ref="UQC21:UQE21"/>
    <mergeCell ref="UQF21:UQH21"/>
    <mergeCell ref="UQI21:UQK21"/>
    <mergeCell ref="UQL21:UQN21"/>
    <mergeCell ref="UPE21:UPG21"/>
    <mergeCell ref="UPH21:UPJ21"/>
    <mergeCell ref="UPK21:UPM21"/>
    <mergeCell ref="UPN21:UPP21"/>
    <mergeCell ref="UPQ21:UPS21"/>
    <mergeCell ref="UPT21:UPV21"/>
    <mergeCell ref="UOM21:UOO21"/>
    <mergeCell ref="UOP21:UOR21"/>
    <mergeCell ref="UOS21:UOU21"/>
    <mergeCell ref="UOV21:UOX21"/>
    <mergeCell ref="UOY21:UPA21"/>
    <mergeCell ref="UPB21:UPD21"/>
    <mergeCell ref="UNU21:UNW21"/>
    <mergeCell ref="UNX21:UNZ21"/>
    <mergeCell ref="UOA21:UOC21"/>
    <mergeCell ref="UOD21:UOF21"/>
    <mergeCell ref="UOG21:UOI21"/>
    <mergeCell ref="UOJ21:UOL21"/>
    <mergeCell ref="UNC21:UNE21"/>
    <mergeCell ref="UNF21:UNH21"/>
    <mergeCell ref="UNI21:UNK21"/>
    <mergeCell ref="UNL21:UNN21"/>
    <mergeCell ref="UNO21:UNQ21"/>
    <mergeCell ref="UNR21:UNT21"/>
    <mergeCell ref="UMK21:UMM21"/>
    <mergeCell ref="UMN21:UMP21"/>
    <mergeCell ref="UMQ21:UMS21"/>
    <mergeCell ref="UMT21:UMV21"/>
    <mergeCell ref="UMW21:UMY21"/>
    <mergeCell ref="UMZ21:UNB21"/>
    <mergeCell ref="ULS21:ULU21"/>
    <mergeCell ref="ULV21:ULX21"/>
    <mergeCell ref="ULY21:UMA21"/>
    <mergeCell ref="UMB21:UMD21"/>
    <mergeCell ref="UME21:UMG21"/>
    <mergeCell ref="UMH21:UMJ21"/>
    <mergeCell ref="ULA21:ULC21"/>
    <mergeCell ref="ULD21:ULF21"/>
    <mergeCell ref="ULG21:ULI21"/>
    <mergeCell ref="ULJ21:ULL21"/>
    <mergeCell ref="ULM21:ULO21"/>
    <mergeCell ref="ULP21:ULR21"/>
    <mergeCell ref="UKI21:UKK21"/>
    <mergeCell ref="UKL21:UKN21"/>
    <mergeCell ref="UKO21:UKQ21"/>
    <mergeCell ref="UKR21:UKT21"/>
    <mergeCell ref="UKU21:UKW21"/>
    <mergeCell ref="UKX21:UKZ21"/>
    <mergeCell ref="UJQ21:UJS21"/>
    <mergeCell ref="UJT21:UJV21"/>
    <mergeCell ref="UJW21:UJY21"/>
    <mergeCell ref="UJZ21:UKB21"/>
    <mergeCell ref="UKC21:UKE21"/>
    <mergeCell ref="UKF21:UKH21"/>
    <mergeCell ref="UIY21:UJA21"/>
    <mergeCell ref="UJB21:UJD21"/>
    <mergeCell ref="UJE21:UJG21"/>
    <mergeCell ref="UJH21:UJJ21"/>
    <mergeCell ref="UJK21:UJM21"/>
    <mergeCell ref="UJN21:UJP21"/>
    <mergeCell ref="UIG21:UII21"/>
    <mergeCell ref="UIJ21:UIL21"/>
    <mergeCell ref="UIM21:UIO21"/>
    <mergeCell ref="UIP21:UIR21"/>
    <mergeCell ref="UIS21:UIU21"/>
    <mergeCell ref="UIV21:UIX21"/>
    <mergeCell ref="UHO21:UHQ21"/>
    <mergeCell ref="UHR21:UHT21"/>
    <mergeCell ref="UHU21:UHW21"/>
    <mergeCell ref="UHX21:UHZ21"/>
    <mergeCell ref="UIA21:UIC21"/>
    <mergeCell ref="UID21:UIF21"/>
    <mergeCell ref="UGW21:UGY21"/>
    <mergeCell ref="UGZ21:UHB21"/>
    <mergeCell ref="UHC21:UHE21"/>
    <mergeCell ref="UHF21:UHH21"/>
    <mergeCell ref="UHI21:UHK21"/>
    <mergeCell ref="UHL21:UHN21"/>
    <mergeCell ref="UGE21:UGG21"/>
    <mergeCell ref="UGH21:UGJ21"/>
    <mergeCell ref="UGK21:UGM21"/>
    <mergeCell ref="UGN21:UGP21"/>
    <mergeCell ref="UGQ21:UGS21"/>
    <mergeCell ref="UGT21:UGV21"/>
    <mergeCell ref="UFM21:UFO21"/>
    <mergeCell ref="UFP21:UFR21"/>
    <mergeCell ref="UFS21:UFU21"/>
    <mergeCell ref="UFV21:UFX21"/>
    <mergeCell ref="UFY21:UGA21"/>
    <mergeCell ref="UGB21:UGD21"/>
    <mergeCell ref="UEU21:UEW21"/>
    <mergeCell ref="UEX21:UEZ21"/>
    <mergeCell ref="UFA21:UFC21"/>
    <mergeCell ref="UFD21:UFF21"/>
    <mergeCell ref="UFG21:UFI21"/>
    <mergeCell ref="UFJ21:UFL21"/>
    <mergeCell ref="UEC21:UEE21"/>
    <mergeCell ref="UEF21:UEH21"/>
    <mergeCell ref="UEI21:UEK21"/>
    <mergeCell ref="UEL21:UEN21"/>
    <mergeCell ref="UEO21:UEQ21"/>
    <mergeCell ref="UER21:UET21"/>
    <mergeCell ref="UDK21:UDM21"/>
    <mergeCell ref="UDN21:UDP21"/>
    <mergeCell ref="UDQ21:UDS21"/>
    <mergeCell ref="UDT21:UDV21"/>
    <mergeCell ref="UDW21:UDY21"/>
    <mergeCell ref="UDZ21:UEB21"/>
    <mergeCell ref="UCS21:UCU21"/>
    <mergeCell ref="UCV21:UCX21"/>
    <mergeCell ref="UCY21:UDA21"/>
    <mergeCell ref="UDB21:UDD21"/>
    <mergeCell ref="UDE21:UDG21"/>
    <mergeCell ref="UDH21:UDJ21"/>
    <mergeCell ref="UCA21:UCC21"/>
    <mergeCell ref="UCD21:UCF21"/>
    <mergeCell ref="UCG21:UCI21"/>
    <mergeCell ref="UCJ21:UCL21"/>
    <mergeCell ref="UCM21:UCO21"/>
    <mergeCell ref="UCP21:UCR21"/>
    <mergeCell ref="UBI21:UBK21"/>
    <mergeCell ref="UBL21:UBN21"/>
    <mergeCell ref="UBO21:UBQ21"/>
    <mergeCell ref="UBR21:UBT21"/>
    <mergeCell ref="UBU21:UBW21"/>
    <mergeCell ref="UBX21:UBZ21"/>
    <mergeCell ref="UAQ21:UAS21"/>
    <mergeCell ref="UAT21:UAV21"/>
    <mergeCell ref="UAW21:UAY21"/>
    <mergeCell ref="UAZ21:UBB21"/>
    <mergeCell ref="UBC21:UBE21"/>
    <mergeCell ref="UBF21:UBH21"/>
    <mergeCell ref="TZY21:UAA21"/>
    <mergeCell ref="UAB21:UAD21"/>
    <mergeCell ref="UAE21:UAG21"/>
    <mergeCell ref="UAH21:UAJ21"/>
    <mergeCell ref="UAK21:UAM21"/>
    <mergeCell ref="UAN21:UAP21"/>
    <mergeCell ref="TZG21:TZI21"/>
    <mergeCell ref="TZJ21:TZL21"/>
    <mergeCell ref="TZM21:TZO21"/>
    <mergeCell ref="TZP21:TZR21"/>
    <mergeCell ref="TZS21:TZU21"/>
    <mergeCell ref="TZV21:TZX21"/>
    <mergeCell ref="TYO21:TYQ21"/>
    <mergeCell ref="TYR21:TYT21"/>
    <mergeCell ref="TYU21:TYW21"/>
    <mergeCell ref="TYX21:TYZ21"/>
    <mergeCell ref="TZA21:TZC21"/>
    <mergeCell ref="TZD21:TZF21"/>
    <mergeCell ref="TXW21:TXY21"/>
    <mergeCell ref="TXZ21:TYB21"/>
    <mergeCell ref="TYC21:TYE21"/>
    <mergeCell ref="TYF21:TYH21"/>
    <mergeCell ref="TYI21:TYK21"/>
    <mergeCell ref="TYL21:TYN21"/>
    <mergeCell ref="TXE21:TXG21"/>
    <mergeCell ref="TXH21:TXJ21"/>
    <mergeCell ref="TXK21:TXM21"/>
    <mergeCell ref="TXN21:TXP21"/>
    <mergeCell ref="TXQ21:TXS21"/>
    <mergeCell ref="TXT21:TXV21"/>
    <mergeCell ref="TWM21:TWO21"/>
    <mergeCell ref="TWP21:TWR21"/>
    <mergeCell ref="TWS21:TWU21"/>
    <mergeCell ref="TWV21:TWX21"/>
    <mergeCell ref="TWY21:TXA21"/>
    <mergeCell ref="TXB21:TXD21"/>
    <mergeCell ref="TVU21:TVW21"/>
    <mergeCell ref="TVX21:TVZ21"/>
    <mergeCell ref="TWA21:TWC21"/>
    <mergeCell ref="TWD21:TWF21"/>
    <mergeCell ref="TWG21:TWI21"/>
    <mergeCell ref="TWJ21:TWL21"/>
    <mergeCell ref="TVC21:TVE21"/>
    <mergeCell ref="TVF21:TVH21"/>
    <mergeCell ref="TVI21:TVK21"/>
    <mergeCell ref="TVL21:TVN21"/>
    <mergeCell ref="TVO21:TVQ21"/>
    <mergeCell ref="TVR21:TVT21"/>
    <mergeCell ref="TUK21:TUM21"/>
    <mergeCell ref="TUN21:TUP21"/>
    <mergeCell ref="TUQ21:TUS21"/>
    <mergeCell ref="TUT21:TUV21"/>
    <mergeCell ref="TUW21:TUY21"/>
    <mergeCell ref="TUZ21:TVB21"/>
    <mergeCell ref="TTS21:TTU21"/>
    <mergeCell ref="TTV21:TTX21"/>
    <mergeCell ref="TTY21:TUA21"/>
    <mergeCell ref="TUB21:TUD21"/>
    <mergeCell ref="TUE21:TUG21"/>
    <mergeCell ref="TUH21:TUJ21"/>
    <mergeCell ref="TTA21:TTC21"/>
    <mergeCell ref="TTD21:TTF21"/>
    <mergeCell ref="TTG21:TTI21"/>
    <mergeCell ref="TTJ21:TTL21"/>
    <mergeCell ref="TTM21:TTO21"/>
    <mergeCell ref="TTP21:TTR21"/>
    <mergeCell ref="TSI21:TSK21"/>
    <mergeCell ref="TSL21:TSN21"/>
    <mergeCell ref="TSO21:TSQ21"/>
    <mergeCell ref="TSR21:TST21"/>
    <mergeCell ref="TSU21:TSW21"/>
    <mergeCell ref="TSX21:TSZ21"/>
    <mergeCell ref="TRQ21:TRS21"/>
    <mergeCell ref="TRT21:TRV21"/>
    <mergeCell ref="TRW21:TRY21"/>
    <mergeCell ref="TRZ21:TSB21"/>
    <mergeCell ref="TSC21:TSE21"/>
    <mergeCell ref="TSF21:TSH21"/>
    <mergeCell ref="TQY21:TRA21"/>
    <mergeCell ref="TRB21:TRD21"/>
    <mergeCell ref="TRE21:TRG21"/>
    <mergeCell ref="TRH21:TRJ21"/>
    <mergeCell ref="TRK21:TRM21"/>
    <mergeCell ref="TRN21:TRP21"/>
    <mergeCell ref="TQG21:TQI21"/>
    <mergeCell ref="TQJ21:TQL21"/>
    <mergeCell ref="TQM21:TQO21"/>
    <mergeCell ref="TQP21:TQR21"/>
    <mergeCell ref="TQS21:TQU21"/>
    <mergeCell ref="TQV21:TQX21"/>
    <mergeCell ref="TPO21:TPQ21"/>
    <mergeCell ref="TPR21:TPT21"/>
    <mergeCell ref="TPU21:TPW21"/>
    <mergeCell ref="TPX21:TPZ21"/>
    <mergeCell ref="TQA21:TQC21"/>
    <mergeCell ref="TQD21:TQF21"/>
    <mergeCell ref="TOW21:TOY21"/>
    <mergeCell ref="TOZ21:TPB21"/>
    <mergeCell ref="TPC21:TPE21"/>
    <mergeCell ref="TPF21:TPH21"/>
    <mergeCell ref="TPI21:TPK21"/>
    <mergeCell ref="TPL21:TPN21"/>
    <mergeCell ref="TOE21:TOG21"/>
    <mergeCell ref="TOH21:TOJ21"/>
    <mergeCell ref="TOK21:TOM21"/>
    <mergeCell ref="TON21:TOP21"/>
    <mergeCell ref="TOQ21:TOS21"/>
    <mergeCell ref="TOT21:TOV21"/>
    <mergeCell ref="TNM21:TNO21"/>
    <mergeCell ref="TNP21:TNR21"/>
    <mergeCell ref="TNS21:TNU21"/>
    <mergeCell ref="TNV21:TNX21"/>
    <mergeCell ref="TNY21:TOA21"/>
    <mergeCell ref="TOB21:TOD21"/>
    <mergeCell ref="TMU21:TMW21"/>
    <mergeCell ref="TMX21:TMZ21"/>
    <mergeCell ref="TNA21:TNC21"/>
    <mergeCell ref="TND21:TNF21"/>
    <mergeCell ref="TNG21:TNI21"/>
    <mergeCell ref="TNJ21:TNL21"/>
    <mergeCell ref="TMC21:TME21"/>
    <mergeCell ref="TMF21:TMH21"/>
    <mergeCell ref="TMI21:TMK21"/>
    <mergeCell ref="TML21:TMN21"/>
    <mergeCell ref="TMO21:TMQ21"/>
    <mergeCell ref="TMR21:TMT21"/>
    <mergeCell ref="TLK21:TLM21"/>
    <mergeCell ref="TLN21:TLP21"/>
    <mergeCell ref="TLQ21:TLS21"/>
    <mergeCell ref="TLT21:TLV21"/>
    <mergeCell ref="TLW21:TLY21"/>
    <mergeCell ref="TLZ21:TMB21"/>
    <mergeCell ref="TKS21:TKU21"/>
    <mergeCell ref="TKV21:TKX21"/>
    <mergeCell ref="TKY21:TLA21"/>
    <mergeCell ref="TLB21:TLD21"/>
    <mergeCell ref="TLE21:TLG21"/>
    <mergeCell ref="TLH21:TLJ21"/>
    <mergeCell ref="TKA21:TKC21"/>
    <mergeCell ref="TKD21:TKF21"/>
    <mergeCell ref="TKG21:TKI21"/>
    <mergeCell ref="TKJ21:TKL21"/>
    <mergeCell ref="TKM21:TKO21"/>
    <mergeCell ref="TKP21:TKR21"/>
    <mergeCell ref="TJI21:TJK21"/>
    <mergeCell ref="TJL21:TJN21"/>
    <mergeCell ref="TJO21:TJQ21"/>
    <mergeCell ref="TJR21:TJT21"/>
    <mergeCell ref="TJU21:TJW21"/>
    <mergeCell ref="TJX21:TJZ21"/>
    <mergeCell ref="TIQ21:TIS21"/>
    <mergeCell ref="TIT21:TIV21"/>
    <mergeCell ref="TIW21:TIY21"/>
    <mergeCell ref="TIZ21:TJB21"/>
    <mergeCell ref="TJC21:TJE21"/>
    <mergeCell ref="TJF21:TJH21"/>
    <mergeCell ref="THY21:TIA21"/>
    <mergeCell ref="TIB21:TID21"/>
    <mergeCell ref="TIE21:TIG21"/>
    <mergeCell ref="TIH21:TIJ21"/>
    <mergeCell ref="TIK21:TIM21"/>
    <mergeCell ref="TIN21:TIP21"/>
    <mergeCell ref="THG21:THI21"/>
    <mergeCell ref="THJ21:THL21"/>
    <mergeCell ref="THM21:THO21"/>
    <mergeCell ref="THP21:THR21"/>
    <mergeCell ref="THS21:THU21"/>
    <mergeCell ref="THV21:THX21"/>
    <mergeCell ref="TGO21:TGQ21"/>
    <mergeCell ref="TGR21:TGT21"/>
    <mergeCell ref="TGU21:TGW21"/>
    <mergeCell ref="TGX21:TGZ21"/>
    <mergeCell ref="THA21:THC21"/>
    <mergeCell ref="THD21:THF21"/>
    <mergeCell ref="TFW21:TFY21"/>
    <mergeCell ref="TFZ21:TGB21"/>
    <mergeCell ref="TGC21:TGE21"/>
    <mergeCell ref="TGF21:TGH21"/>
    <mergeCell ref="TGI21:TGK21"/>
    <mergeCell ref="TGL21:TGN21"/>
    <mergeCell ref="TFE21:TFG21"/>
    <mergeCell ref="TFH21:TFJ21"/>
    <mergeCell ref="TFK21:TFM21"/>
    <mergeCell ref="TFN21:TFP21"/>
    <mergeCell ref="TFQ21:TFS21"/>
    <mergeCell ref="TFT21:TFV21"/>
    <mergeCell ref="TEM21:TEO21"/>
    <mergeCell ref="TEP21:TER21"/>
    <mergeCell ref="TES21:TEU21"/>
    <mergeCell ref="TEV21:TEX21"/>
    <mergeCell ref="TEY21:TFA21"/>
    <mergeCell ref="TFB21:TFD21"/>
    <mergeCell ref="TDU21:TDW21"/>
    <mergeCell ref="TDX21:TDZ21"/>
    <mergeCell ref="TEA21:TEC21"/>
    <mergeCell ref="TED21:TEF21"/>
    <mergeCell ref="TEG21:TEI21"/>
    <mergeCell ref="TEJ21:TEL21"/>
    <mergeCell ref="TDC21:TDE21"/>
    <mergeCell ref="TDF21:TDH21"/>
    <mergeCell ref="TDI21:TDK21"/>
    <mergeCell ref="TDL21:TDN21"/>
    <mergeCell ref="TDO21:TDQ21"/>
    <mergeCell ref="TDR21:TDT21"/>
    <mergeCell ref="TCK21:TCM21"/>
    <mergeCell ref="TCN21:TCP21"/>
    <mergeCell ref="TCQ21:TCS21"/>
    <mergeCell ref="TCT21:TCV21"/>
    <mergeCell ref="TCW21:TCY21"/>
    <mergeCell ref="TCZ21:TDB21"/>
    <mergeCell ref="TBS21:TBU21"/>
    <mergeCell ref="TBV21:TBX21"/>
    <mergeCell ref="TBY21:TCA21"/>
    <mergeCell ref="TCB21:TCD21"/>
    <mergeCell ref="TCE21:TCG21"/>
    <mergeCell ref="TCH21:TCJ21"/>
    <mergeCell ref="TBA21:TBC21"/>
    <mergeCell ref="TBD21:TBF21"/>
    <mergeCell ref="TBG21:TBI21"/>
    <mergeCell ref="TBJ21:TBL21"/>
    <mergeCell ref="TBM21:TBO21"/>
    <mergeCell ref="TBP21:TBR21"/>
    <mergeCell ref="TAI21:TAK21"/>
    <mergeCell ref="TAL21:TAN21"/>
    <mergeCell ref="TAO21:TAQ21"/>
    <mergeCell ref="TAR21:TAT21"/>
    <mergeCell ref="TAU21:TAW21"/>
    <mergeCell ref="TAX21:TAZ21"/>
    <mergeCell ref="SZQ21:SZS21"/>
    <mergeCell ref="SZT21:SZV21"/>
    <mergeCell ref="SZW21:SZY21"/>
    <mergeCell ref="SZZ21:TAB21"/>
    <mergeCell ref="TAC21:TAE21"/>
    <mergeCell ref="TAF21:TAH21"/>
    <mergeCell ref="SYY21:SZA21"/>
    <mergeCell ref="SZB21:SZD21"/>
    <mergeCell ref="SZE21:SZG21"/>
    <mergeCell ref="SZH21:SZJ21"/>
    <mergeCell ref="SZK21:SZM21"/>
    <mergeCell ref="SZN21:SZP21"/>
    <mergeCell ref="SYG21:SYI21"/>
    <mergeCell ref="SYJ21:SYL21"/>
    <mergeCell ref="SYM21:SYO21"/>
    <mergeCell ref="SYP21:SYR21"/>
    <mergeCell ref="SYS21:SYU21"/>
    <mergeCell ref="SYV21:SYX21"/>
    <mergeCell ref="SXO21:SXQ21"/>
    <mergeCell ref="SXR21:SXT21"/>
    <mergeCell ref="SXU21:SXW21"/>
    <mergeCell ref="SXX21:SXZ21"/>
    <mergeCell ref="SYA21:SYC21"/>
    <mergeCell ref="SYD21:SYF21"/>
    <mergeCell ref="SWW21:SWY21"/>
    <mergeCell ref="SWZ21:SXB21"/>
    <mergeCell ref="SXC21:SXE21"/>
    <mergeCell ref="SXF21:SXH21"/>
    <mergeCell ref="SXI21:SXK21"/>
    <mergeCell ref="SXL21:SXN21"/>
    <mergeCell ref="SWE21:SWG21"/>
    <mergeCell ref="SWH21:SWJ21"/>
    <mergeCell ref="SWK21:SWM21"/>
    <mergeCell ref="SWN21:SWP21"/>
    <mergeCell ref="SWQ21:SWS21"/>
    <mergeCell ref="SWT21:SWV21"/>
    <mergeCell ref="SVM21:SVO21"/>
    <mergeCell ref="SVP21:SVR21"/>
    <mergeCell ref="SVS21:SVU21"/>
    <mergeCell ref="SVV21:SVX21"/>
    <mergeCell ref="SVY21:SWA21"/>
    <mergeCell ref="SWB21:SWD21"/>
    <mergeCell ref="SUU21:SUW21"/>
    <mergeCell ref="SUX21:SUZ21"/>
    <mergeCell ref="SVA21:SVC21"/>
    <mergeCell ref="SVD21:SVF21"/>
    <mergeCell ref="SVG21:SVI21"/>
    <mergeCell ref="SVJ21:SVL21"/>
    <mergeCell ref="SUC21:SUE21"/>
    <mergeCell ref="SUF21:SUH21"/>
    <mergeCell ref="SUI21:SUK21"/>
    <mergeCell ref="SUL21:SUN21"/>
    <mergeCell ref="SUO21:SUQ21"/>
    <mergeCell ref="SUR21:SUT21"/>
    <mergeCell ref="STK21:STM21"/>
    <mergeCell ref="STN21:STP21"/>
    <mergeCell ref="STQ21:STS21"/>
    <mergeCell ref="STT21:STV21"/>
    <mergeCell ref="STW21:STY21"/>
    <mergeCell ref="STZ21:SUB21"/>
    <mergeCell ref="SSS21:SSU21"/>
    <mergeCell ref="SSV21:SSX21"/>
    <mergeCell ref="SSY21:STA21"/>
    <mergeCell ref="STB21:STD21"/>
    <mergeCell ref="STE21:STG21"/>
    <mergeCell ref="STH21:STJ21"/>
    <mergeCell ref="SSA21:SSC21"/>
    <mergeCell ref="SSD21:SSF21"/>
    <mergeCell ref="SSG21:SSI21"/>
    <mergeCell ref="SSJ21:SSL21"/>
    <mergeCell ref="SSM21:SSO21"/>
    <mergeCell ref="SSP21:SSR21"/>
    <mergeCell ref="SRI21:SRK21"/>
    <mergeCell ref="SRL21:SRN21"/>
    <mergeCell ref="SRO21:SRQ21"/>
    <mergeCell ref="SRR21:SRT21"/>
    <mergeCell ref="SRU21:SRW21"/>
    <mergeCell ref="SRX21:SRZ21"/>
    <mergeCell ref="SQQ21:SQS21"/>
    <mergeCell ref="SQT21:SQV21"/>
    <mergeCell ref="SQW21:SQY21"/>
    <mergeCell ref="SQZ21:SRB21"/>
    <mergeCell ref="SRC21:SRE21"/>
    <mergeCell ref="SRF21:SRH21"/>
    <mergeCell ref="SPY21:SQA21"/>
    <mergeCell ref="SQB21:SQD21"/>
    <mergeCell ref="SQE21:SQG21"/>
    <mergeCell ref="SQH21:SQJ21"/>
    <mergeCell ref="SQK21:SQM21"/>
    <mergeCell ref="SQN21:SQP21"/>
    <mergeCell ref="SPG21:SPI21"/>
    <mergeCell ref="SPJ21:SPL21"/>
    <mergeCell ref="SPM21:SPO21"/>
    <mergeCell ref="SPP21:SPR21"/>
    <mergeCell ref="SPS21:SPU21"/>
    <mergeCell ref="SPV21:SPX21"/>
    <mergeCell ref="SOO21:SOQ21"/>
    <mergeCell ref="SOR21:SOT21"/>
    <mergeCell ref="SOU21:SOW21"/>
    <mergeCell ref="SOX21:SOZ21"/>
    <mergeCell ref="SPA21:SPC21"/>
    <mergeCell ref="SPD21:SPF21"/>
    <mergeCell ref="SNW21:SNY21"/>
    <mergeCell ref="SNZ21:SOB21"/>
    <mergeCell ref="SOC21:SOE21"/>
    <mergeCell ref="SOF21:SOH21"/>
    <mergeCell ref="SOI21:SOK21"/>
    <mergeCell ref="SOL21:SON21"/>
    <mergeCell ref="SNE21:SNG21"/>
    <mergeCell ref="SNH21:SNJ21"/>
    <mergeCell ref="SNK21:SNM21"/>
    <mergeCell ref="SNN21:SNP21"/>
    <mergeCell ref="SNQ21:SNS21"/>
    <mergeCell ref="SNT21:SNV21"/>
    <mergeCell ref="SMM21:SMO21"/>
    <mergeCell ref="SMP21:SMR21"/>
    <mergeCell ref="SMS21:SMU21"/>
    <mergeCell ref="SMV21:SMX21"/>
    <mergeCell ref="SMY21:SNA21"/>
    <mergeCell ref="SNB21:SND21"/>
    <mergeCell ref="SLU21:SLW21"/>
    <mergeCell ref="SLX21:SLZ21"/>
    <mergeCell ref="SMA21:SMC21"/>
    <mergeCell ref="SMD21:SMF21"/>
    <mergeCell ref="SMG21:SMI21"/>
    <mergeCell ref="SMJ21:SML21"/>
    <mergeCell ref="SLC21:SLE21"/>
    <mergeCell ref="SLF21:SLH21"/>
    <mergeCell ref="SLI21:SLK21"/>
    <mergeCell ref="SLL21:SLN21"/>
    <mergeCell ref="SLO21:SLQ21"/>
    <mergeCell ref="SLR21:SLT21"/>
    <mergeCell ref="SKK21:SKM21"/>
    <mergeCell ref="SKN21:SKP21"/>
    <mergeCell ref="SKQ21:SKS21"/>
    <mergeCell ref="SKT21:SKV21"/>
    <mergeCell ref="SKW21:SKY21"/>
    <mergeCell ref="SKZ21:SLB21"/>
    <mergeCell ref="SJS21:SJU21"/>
    <mergeCell ref="SJV21:SJX21"/>
    <mergeCell ref="SJY21:SKA21"/>
    <mergeCell ref="SKB21:SKD21"/>
    <mergeCell ref="SKE21:SKG21"/>
    <mergeCell ref="SKH21:SKJ21"/>
    <mergeCell ref="SJA21:SJC21"/>
    <mergeCell ref="SJD21:SJF21"/>
    <mergeCell ref="SJG21:SJI21"/>
    <mergeCell ref="SJJ21:SJL21"/>
    <mergeCell ref="SJM21:SJO21"/>
    <mergeCell ref="SJP21:SJR21"/>
    <mergeCell ref="SII21:SIK21"/>
    <mergeCell ref="SIL21:SIN21"/>
    <mergeCell ref="SIO21:SIQ21"/>
    <mergeCell ref="SIR21:SIT21"/>
    <mergeCell ref="SIU21:SIW21"/>
    <mergeCell ref="SIX21:SIZ21"/>
    <mergeCell ref="SHQ21:SHS21"/>
    <mergeCell ref="SHT21:SHV21"/>
    <mergeCell ref="SHW21:SHY21"/>
    <mergeCell ref="SHZ21:SIB21"/>
    <mergeCell ref="SIC21:SIE21"/>
    <mergeCell ref="SIF21:SIH21"/>
    <mergeCell ref="SGY21:SHA21"/>
    <mergeCell ref="SHB21:SHD21"/>
    <mergeCell ref="SHE21:SHG21"/>
    <mergeCell ref="SHH21:SHJ21"/>
    <mergeCell ref="SHK21:SHM21"/>
    <mergeCell ref="SHN21:SHP21"/>
    <mergeCell ref="SGG21:SGI21"/>
    <mergeCell ref="SGJ21:SGL21"/>
    <mergeCell ref="SGM21:SGO21"/>
    <mergeCell ref="SGP21:SGR21"/>
    <mergeCell ref="SGS21:SGU21"/>
    <mergeCell ref="SGV21:SGX21"/>
    <mergeCell ref="SFO21:SFQ21"/>
    <mergeCell ref="SFR21:SFT21"/>
    <mergeCell ref="SFU21:SFW21"/>
    <mergeCell ref="SFX21:SFZ21"/>
    <mergeCell ref="SGA21:SGC21"/>
    <mergeCell ref="SGD21:SGF21"/>
    <mergeCell ref="SEW21:SEY21"/>
    <mergeCell ref="SEZ21:SFB21"/>
    <mergeCell ref="SFC21:SFE21"/>
    <mergeCell ref="SFF21:SFH21"/>
    <mergeCell ref="SFI21:SFK21"/>
    <mergeCell ref="SFL21:SFN21"/>
    <mergeCell ref="SEE21:SEG21"/>
    <mergeCell ref="SEH21:SEJ21"/>
    <mergeCell ref="SEK21:SEM21"/>
    <mergeCell ref="SEN21:SEP21"/>
    <mergeCell ref="SEQ21:SES21"/>
    <mergeCell ref="SET21:SEV21"/>
    <mergeCell ref="SDM21:SDO21"/>
    <mergeCell ref="SDP21:SDR21"/>
    <mergeCell ref="SDS21:SDU21"/>
    <mergeCell ref="SDV21:SDX21"/>
    <mergeCell ref="SDY21:SEA21"/>
    <mergeCell ref="SEB21:SED21"/>
    <mergeCell ref="SCU21:SCW21"/>
    <mergeCell ref="SCX21:SCZ21"/>
    <mergeCell ref="SDA21:SDC21"/>
    <mergeCell ref="SDD21:SDF21"/>
    <mergeCell ref="SDG21:SDI21"/>
    <mergeCell ref="SDJ21:SDL21"/>
    <mergeCell ref="SCC21:SCE21"/>
    <mergeCell ref="SCF21:SCH21"/>
    <mergeCell ref="SCI21:SCK21"/>
    <mergeCell ref="SCL21:SCN21"/>
    <mergeCell ref="SCO21:SCQ21"/>
    <mergeCell ref="SCR21:SCT21"/>
    <mergeCell ref="SBK21:SBM21"/>
    <mergeCell ref="SBN21:SBP21"/>
    <mergeCell ref="SBQ21:SBS21"/>
    <mergeCell ref="SBT21:SBV21"/>
    <mergeCell ref="SBW21:SBY21"/>
    <mergeCell ref="SBZ21:SCB21"/>
    <mergeCell ref="SAS21:SAU21"/>
    <mergeCell ref="SAV21:SAX21"/>
    <mergeCell ref="SAY21:SBA21"/>
    <mergeCell ref="SBB21:SBD21"/>
    <mergeCell ref="SBE21:SBG21"/>
    <mergeCell ref="SBH21:SBJ21"/>
    <mergeCell ref="SAA21:SAC21"/>
    <mergeCell ref="SAD21:SAF21"/>
    <mergeCell ref="SAG21:SAI21"/>
    <mergeCell ref="SAJ21:SAL21"/>
    <mergeCell ref="SAM21:SAO21"/>
    <mergeCell ref="SAP21:SAR21"/>
    <mergeCell ref="RZI21:RZK21"/>
    <mergeCell ref="RZL21:RZN21"/>
    <mergeCell ref="RZO21:RZQ21"/>
    <mergeCell ref="RZR21:RZT21"/>
    <mergeCell ref="RZU21:RZW21"/>
    <mergeCell ref="RZX21:RZZ21"/>
    <mergeCell ref="RYQ21:RYS21"/>
    <mergeCell ref="RYT21:RYV21"/>
    <mergeCell ref="RYW21:RYY21"/>
    <mergeCell ref="RYZ21:RZB21"/>
    <mergeCell ref="RZC21:RZE21"/>
    <mergeCell ref="RZF21:RZH21"/>
    <mergeCell ref="RXY21:RYA21"/>
    <mergeCell ref="RYB21:RYD21"/>
    <mergeCell ref="RYE21:RYG21"/>
    <mergeCell ref="RYH21:RYJ21"/>
    <mergeCell ref="RYK21:RYM21"/>
    <mergeCell ref="RYN21:RYP21"/>
    <mergeCell ref="RXG21:RXI21"/>
    <mergeCell ref="RXJ21:RXL21"/>
    <mergeCell ref="RXM21:RXO21"/>
    <mergeCell ref="RXP21:RXR21"/>
    <mergeCell ref="RXS21:RXU21"/>
    <mergeCell ref="RXV21:RXX21"/>
    <mergeCell ref="RWO21:RWQ21"/>
    <mergeCell ref="RWR21:RWT21"/>
    <mergeCell ref="RWU21:RWW21"/>
    <mergeCell ref="RWX21:RWZ21"/>
    <mergeCell ref="RXA21:RXC21"/>
    <mergeCell ref="RXD21:RXF21"/>
    <mergeCell ref="RVW21:RVY21"/>
    <mergeCell ref="RVZ21:RWB21"/>
    <mergeCell ref="RWC21:RWE21"/>
    <mergeCell ref="RWF21:RWH21"/>
    <mergeCell ref="RWI21:RWK21"/>
    <mergeCell ref="RWL21:RWN21"/>
    <mergeCell ref="RVE21:RVG21"/>
    <mergeCell ref="RVH21:RVJ21"/>
    <mergeCell ref="RVK21:RVM21"/>
    <mergeCell ref="RVN21:RVP21"/>
    <mergeCell ref="RVQ21:RVS21"/>
    <mergeCell ref="RVT21:RVV21"/>
    <mergeCell ref="RUM21:RUO21"/>
    <mergeCell ref="RUP21:RUR21"/>
    <mergeCell ref="RUS21:RUU21"/>
    <mergeCell ref="RUV21:RUX21"/>
    <mergeCell ref="RUY21:RVA21"/>
    <mergeCell ref="RVB21:RVD21"/>
    <mergeCell ref="RTU21:RTW21"/>
    <mergeCell ref="RTX21:RTZ21"/>
    <mergeCell ref="RUA21:RUC21"/>
    <mergeCell ref="RUD21:RUF21"/>
    <mergeCell ref="RUG21:RUI21"/>
    <mergeCell ref="RUJ21:RUL21"/>
    <mergeCell ref="RTC21:RTE21"/>
    <mergeCell ref="RTF21:RTH21"/>
    <mergeCell ref="RTI21:RTK21"/>
    <mergeCell ref="RTL21:RTN21"/>
    <mergeCell ref="RTO21:RTQ21"/>
    <mergeCell ref="RTR21:RTT21"/>
    <mergeCell ref="RSK21:RSM21"/>
    <mergeCell ref="RSN21:RSP21"/>
    <mergeCell ref="RSQ21:RSS21"/>
    <mergeCell ref="RST21:RSV21"/>
    <mergeCell ref="RSW21:RSY21"/>
    <mergeCell ref="RSZ21:RTB21"/>
    <mergeCell ref="RRS21:RRU21"/>
    <mergeCell ref="RRV21:RRX21"/>
    <mergeCell ref="RRY21:RSA21"/>
    <mergeCell ref="RSB21:RSD21"/>
    <mergeCell ref="RSE21:RSG21"/>
    <mergeCell ref="RSH21:RSJ21"/>
    <mergeCell ref="RRA21:RRC21"/>
    <mergeCell ref="RRD21:RRF21"/>
    <mergeCell ref="RRG21:RRI21"/>
    <mergeCell ref="RRJ21:RRL21"/>
    <mergeCell ref="RRM21:RRO21"/>
    <mergeCell ref="RRP21:RRR21"/>
    <mergeCell ref="RQI21:RQK21"/>
    <mergeCell ref="RQL21:RQN21"/>
    <mergeCell ref="RQO21:RQQ21"/>
    <mergeCell ref="RQR21:RQT21"/>
    <mergeCell ref="RQU21:RQW21"/>
    <mergeCell ref="RQX21:RQZ21"/>
    <mergeCell ref="RPQ21:RPS21"/>
    <mergeCell ref="RPT21:RPV21"/>
    <mergeCell ref="RPW21:RPY21"/>
    <mergeCell ref="RPZ21:RQB21"/>
    <mergeCell ref="RQC21:RQE21"/>
    <mergeCell ref="RQF21:RQH21"/>
    <mergeCell ref="ROY21:RPA21"/>
    <mergeCell ref="RPB21:RPD21"/>
    <mergeCell ref="RPE21:RPG21"/>
    <mergeCell ref="RPH21:RPJ21"/>
    <mergeCell ref="RPK21:RPM21"/>
    <mergeCell ref="RPN21:RPP21"/>
    <mergeCell ref="ROG21:ROI21"/>
    <mergeCell ref="ROJ21:ROL21"/>
    <mergeCell ref="ROM21:ROO21"/>
    <mergeCell ref="ROP21:ROR21"/>
    <mergeCell ref="ROS21:ROU21"/>
    <mergeCell ref="ROV21:ROX21"/>
    <mergeCell ref="RNO21:RNQ21"/>
    <mergeCell ref="RNR21:RNT21"/>
    <mergeCell ref="RNU21:RNW21"/>
    <mergeCell ref="RNX21:RNZ21"/>
    <mergeCell ref="ROA21:ROC21"/>
    <mergeCell ref="ROD21:ROF21"/>
    <mergeCell ref="RMW21:RMY21"/>
    <mergeCell ref="RMZ21:RNB21"/>
    <mergeCell ref="RNC21:RNE21"/>
    <mergeCell ref="RNF21:RNH21"/>
    <mergeCell ref="RNI21:RNK21"/>
    <mergeCell ref="RNL21:RNN21"/>
    <mergeCell ref="RME21:RMG21"/>
    <mergeCell ref="RMH21:RMJ21"/>
    <mergeCell ref="RMK21:RMM21"/>
    <mergeCell ref="RMN21:RMP21"/>
    <mergeCell ref="RMQ21:RMS21"/>
    <mergeCell ref="RMT21:RMV21"/>
    <mergeCell ref="RLM21:RLO21"/>
    <mergeCell ref="RLP21:RLR21"/>
    <mergeCell ref="RLS21:RLU21"/>
    <mergeCell ref="RLV21:RLX21"/>
    <mergeCell ref="RLY21:RMA21"/>
    <mergeCell ref="RMB21:RMD21"/>
    <mergeCell ref="RKU21:RKW21"/>
    <mergeCell ref="RKX21:RKZ21"/>
    <mergeCell ref="RLA21:RLC21"/>
    <mergeCell ref="RLD21:RLF21"/>
    <mergeCell ref="RLG21:RLI21"/>
    <mergeCell ref="RLJ21:RLL21"/>
    <mergeCell ref="RKC21:RKE21"/>
    <mergeCell ref="RKF21:RKH21"/>
    <mergeCell ref="RKI21:RKK21"/>
    <mergeCell ref="RKL21:RKN21"/>
    <mergeCell ref="RKO21:RKQ21"/>
    <mergeCell ref="RKR21:RKT21"/>
    <mergeCell ref="RJK21:RJM21"/>
    <mergeCell ref="RJN21:RJP21"/>
    <mergeCell ref="RJQ21:RJS21"/>
    <mergeCell ref="RJT21:RJV21"/>
    <mergeCell ref="RJW21:RJY21"/>
    <mergeCell ref="RJZ21:RKB21"/>
    <mergeCell ref="RIS21:RIU21"/>
    <mergeCell ref="RIV21:RIX21"/>
    <mergeCell ref="RIY21:RJA21"/>
    <mergeCell ref="RJB21:RJD21"/>
    <mergeCell ref="RJE21:RJG21"/>
    <mergeCell ref="RJH21:RJJ21"/>
    <mergeCell ref="RIA21:RIC21"/>
    <mergeCell ref="RID21:RIF21"/>
    <mergeCell ref="RIG21:RII21"/>
    <mergeCell ref="RIJ21:RIL21"/>
    <mergeCell ref="RIM21:RIO21"/>
    <mergeCell ref="RIP21:RIR21"/>
    <mergeCell ref="RHI21:RHK21"/>
    <mergeCell ref="RHL21:RHN21"/>
    <mergeCell ref="RHO21:RHQ21"/>
    <mergeCell ref="RHR21:RHT21"/>
    <mergeCell ref="RHU21:RHW21"/>
    <mergeCell ref="RHX21:RHZ21"/>
    <mergeCell ref="RGQ21:RGS21"/>
    <mergeCell ref="RGT21:RGV21"/>
    <mergeCell ref="RGW21:RGY21"/>
    <mergeCell ref="RGZ21:RHB21"/>
    <mergeCell ref="RHC21:RHE21"/>
    <mergeCell ref="RHF21:RHH21"/>
    <mergeCell ref="RFY21:RGA21"/>
    <mergeCell ref="RGB21:RGD21"/>
    <mergeCell ref="RGE21:RGG21"/>
    <mergeCell ref="RGH21:RGJ21"/>
    <mergeCell ref="RGK21:RGM21"/>
    <mergeCell ref="RGN21:RGP21"/>
    <mergeCell ref="RFG21:RFI21"/>
    <mergeCell ref="RFJ21:RFL21"/>
    <mergeCell ref="RFM21:RFO21"/>
    <mergeCell ref="RFP21:RFR21"/>
    <mergeCell ref="RFS21:RFU21"/>
    <mergeCell ref="RFV21:RFX21"/>
    <mergeCell ref="REO21:REQ21"/>
    <mergeCell ref="RER21:RET21"/>
    <mergeCell ref="REU21:REW21"/>
    <mergeCell ref="REX21:REZ21"/>
    <mergeCell ref="RFA21:RFC21"/>
    <mergeCell ref="RFD21:RFF21"/>
    <mergeCell ref="RDW21:RDY21"/>
    <mergeCell ref="RDZ21:REB21"/>
    <mergeCell ref="REC21:REE21"/>
    <mergeCell ref="REF21:REH21"/>
    <mergeCell ref="REI21:REK21"/>
    <mergeCell ref="REL21:REN21"/>
    <mergeCell ref="RDE21:RDG21"/>
    <mergeCell ref="RDH21:RDJ21"/>
    <mergeCell ref="RDK21:RDM21"/>
    <mergeCell ref="RDN21:RDP21"/>
    <mergeCell ref="RDQ21:RDS21"/>
    <mergeCell ref="RDT21:RDV21"/>
    <mergeCell ref="RCM21:RCO21"/>
    <mergeCell ref="RCP21:RCR21"/>
    <mergeCell ref="RCS21:RCU21"/>
    <mergeCell ref="RCV21:RCX21"/>
    <mergeCell ref="RCY21:RDA21"/>
    <mergeCell ref="RDB21:RDD21"/>
    <mergeCell ref="RBU21:RBW21"/>
    <mergeCell ref="RBX21:RBZ21"/>
    <mergeCell ref="RCA21:RCC21"/>
    <mergeCell ref="RCD21:RCF21"/>
    <mergeCell ref="RCG21:RCI21"/>
    <mergeCell ref="RCJ21:RCL21"/>
    <mergeCell ref="RBC21:RBE21"/>
    <mergeCell ref="RBF21:RBH21"/>
    <mergeCell ref="RBI21:RBK21"/>
    <mergeCell ref="RBL21:RBN21"/>
    <mergeCell ref="RBO21:RBQ21"/>
    <mergeCell ref="RBR21:RBT21"/>
    <mergeCell ref="RAK21:RAM21"/>
    <mergeCell ref="RAN21:RAP21"/>
    <mergeCell ref="RAQ21:RAS21"/>
    <mergeCell ref="RAT21:RAV21"/>
    <mergeCell ref="RAW21:RAY21"/>
    <mergeCell ref="RAZ21:RBB21"/>
    <mergeCell ref="QZS21:QZU21"/>
    <mergeCell ref="QZV21:QZX21"/>
    <mergeCell ref="QZY21:RAA21"/>
    <mergeCell ref="RAB21:RAD21"/>
    <mergeCell ref="RAE21:RAG21"/>
    <mergeCell ref="RAH21:RAJ21"/>
    <mergeCell ref="QZA21:QZC21"/>
    <mergeCell ref="QZD21:QZF21"/>
    <mergeCell ref="QZG21:QZI21"/>
    <mergeCell ref="QZJ21:QZL21"/>
    <mergeCell ref="QZM21:QZO21"/>
    <mergeCell ref="QZP21:QZR21"/>
    <mergeCell ref="QYI21:QYK21"/>
    <mergeCell ref="QYL21:QYN21"/>
    <mergeCell ref="QYO21:QYQ21"/>
    <mergeCell ref="QYR21:QYT21"/>
    <mergeCell ref="QYU21:QYW21"/>
    <mergeCell ref="QYX21:QYZ21"/>
    <mergeCell ref="QXQ21:QXS21"/>
    <mergeCell ref="QXT21:QXV21"/>
    <mergeCell ref="QXW21:QXY21"/>
    <mergeCell ref="QXZ21:QYB21"/>
    <mergeCell ref="QYC21:QYE21"/>
    <mergeCell ref="QYF21:QYH21"/>
    <mergeCell ref="QWY21:QXA21"/>
    <mergeCell ref="QXB21:QXD21"/>
    <mergeCell ref="QXE21:QXG21"/>
    <mergeCell ref="QXH21:QXJ21"/>
    <mergeCell ref="QXK21:QXM21"/>
    <mergeCell ref="QXN21:QXP21"/>
    <mergeCell ref="QWG21:QWI21"/>
    <mergeCell ref="QWJ21:QWL21"/>
    <mergeCell ref="QWM21:QWO21"/>
    <mergeCell ref="QWP21:QWR21"/>
    <mergeCell ref="QWS21:QWU21"/>
    <mergeCell ref="QWV21:QWX21"/>
    <mergeCell ref="QVO21:QVQ21"/>
    <mergeCell ref="QVR21:QVT21"/>
    <mergeCell ref="QVU21:QVW21"/>
    <mergeCell ref="QVX21:QVZ21"/>
    <mergeCell ref="QWA21:QWC21"/>
    <mergeCell ref="QWD21:QWF21"/>
    <mergeCell ref="QUW21:QUY21"/>
    <mergeCell ref="QUZ21:QVB21"/>
    <mergeCell ref="QVC21:QVE21"/>
    <mergeCell ref="QVF21:QVH21"/>
    <mergeCell ref="QVI21:QVK21"/>
    <mergeCell ref="QVL21:QVN21"/>
    <mergeCell ref="QUE21:QUG21"/>
    <mergeCell ref="QUH21:QUJ21"/>
    <mergeCell ref="QUK21:QUM21"/>
    <mergeCell ref="QUN21:QUP21"/>
    <mergeCell ref="QUQ21:QUS21"/>
    <mergeCell ref="QUT21:QUV21"/>
    <mergeCell ref="QTM21:QTO21"/>
    <mergeCell ref="QTP21:QTR21"/>
    <mergeCell ref="QTS21:QTU21"/>
    <mergeCell ref="QTV21:QTX21"/>
    <mergeCell ref="QTY21:QUA21"/>
    <mergeCell ref="QUB21:QUD21"/>
    <mergeCell ref="QSU21:QSW21"/>
    <mergeCell ref="QSX21:QSZ21"/>
    <mergeCell ref="QTA21:QTC21"/>
    <mergeCell ref="QTD21:QTF21"/>
    <mergeCell ref="QTG21:QTI21"/>
    <mergeCell ref="QTJ21:QTL21"/>
    <mergeCell ref="QSC21:QSE21"/>
    <mergeCell ref="QSF21:QSH21"/>
    <mergeCell ref="QSI21:QSK21"/>
    <mergeCell ref="QSL21:QSN21"/>
    <mergeCell ref="QSO21:QSQ21"/>
    <mergeCell ref="QSR21:QST21"/>
    <mergeCell ref="QRK21:QRM21"/>
    <mergeCell ref="QRN21:QRP21"/>
    <mergeCell ref="QRQ21:QRS21"/>
    <mergeCell ref="QRT21:QRV21"/>
    <mergeCell ref="QRW21:QRY21"/>
    <mergeCell ref="QRZ21:QSB21"/>
    <mergeCell ref="QQS21:QQU21"/>
    <mergeCell ref="QQV21:QQX21"/>
    <mergeCell ref="QQY21:QRA21"/>
    <mergeCell ref="QRB21:QRD21"/>
    <mergeCell ref="QRE21:QRG21"/>
    <mergeCell ref="QRH21:QRJ21"/>
    <mergeCell ref="QQA21:QQC21"/>
    <mergeCell ref="QQD21:QQF21"/>
    <mergeCell ref="QQG21:QQI21"/>
    <mergeCell ref="QQJ21:QQL21"/>
    <mergeCell ref="QQM21:QQO21"/>
    <mergeCell ref="QQP21:QQR21"/>
    <mergeCell ref="QPI21:QPK21"/>
    <mergeCell ref="QPL21:QPN21"/>
    <mergeCell ref="QPO21:QPQ21"/>
    <mergeCell ref="QPR21:QPT21"/>
    <mergeCell ref="QPU21:QPW21"/>
    <mergeCell ref="QPX21:QPZ21"/>
    <mergeCell ref="QOQ21:QOS21"/>
    <mergeCell ref="QOT21:QOV21"/>
    <mergeCell ref="QOW21:QOY21"/>
    <mergeCell ref="QOZ21:QPB21"/>
    <mergeCell ref="QPC21:QPE21"/>
    <mergeCell ref="QPF21:QPH21"/>
    <mergeCell ref="QNY21:QOA21"/>
    <mergeCell ref="QOB21:QOD21"/>
    <mergeCell ref="QOE21:QOG21"/>
    <mergeCell ref="QOH21:QOJ21"/>
    <mergeCell ref="QOK21:QOM21"/>
    <mergeCell ref="QON21:QOP21"/>
    <mergeCell ref="QNG21:QNI21"/>
    <mergeCell ref="QNJ21:QNL21"/>
    <mergeCell ref="QNM21:QNO21"/>
    <mergeCell ref="QNP21:QNR21"/>
    <mergeCell ref="QNS21:QNU21"/>
    <mergeCell ref="QNV21:QNX21"/>
    <mergeCell ref="QMO21:QMQ21"/>
    <mergeCell ref="QMR21:QMT21"/>
    <mergeCell ref="QMU21:QMW21"/>
    <mergeCell ref="QMX21:QMZ21"/>
    <mergeCell ref="QNA21:QNC21"/>
    <mergeCell ref="QND21:QNF21"/>
    <mergeCell ref="QLW21:QLY21"/>
    <mergeCell ref="QLZ21:QMB21"/>
    <mergeCell ref="QMC21:QME21"/>
    <mergeCell ref="QMF21:QMH21"/>
    <mergeCell ref="QMI21:QMK21"/>
    <mergeCell ref="QML21:QMN21"/>
    <mergeCell ref="QLE21:QLG21"/>
    <mergeCell ref="QLH21:QLJ21"/>
    <mergeCell ref="QLK21:QLM21"/>
    <mergeCell ref="QLN21:QLP21"/>
    <mergeCell ref="QLQ21:QLS21"/>
    <mergeCell ref="QLT21:QLV21"/>
    <mergeCell ref="QKM21:QKO21"/>
    <mergeCell ref="QKP21:QKR21"/>
    <mergeCell ref="QKS21:QKU21"/>
    <mergeCell ref="QKV21:QKX21"/>
    <mergeCell ref="QKY21:QLA21"/>
    <mergeCell ref="QLB21:QLD21"/>
    <mergeCell ref="QJU21:QJW21"/>
    <mergeCell ref="QJX21:QJZ21"/>
    <mergeCell ref="QKA21:QKC21"/>
    <mergeCell ref="QKD21:QKF21"/>
    <mergeCell ref="QKG21:QKI21"/>
    <mergeCell ref="QKJ21:QKL21"/>
    <mergeCell ref="QJC21:QJE21"/>
    <mergeCell ref="QJF21:QJH21"/>
    <mergeCell ref="QJI21:QJK21"/>
    <mergeCell ref="QJL21:QJN21"/>
    <mergeCell ref="QJO21:QJQ21"/>
    <mergeCell ref="QJR21:QJT21"/>
    <mergeCell ref="QIK21:QIM21"/>
    <mergeCell ref="QIN21:QIP21"/>
    <mergeCell ref="QIQ21:QIS21"/>
    <mergeCell ref="QIT21:QIV21"/>
    <mergeCell ref="QIW21:QIY21"/>
    <mergeCell ref="QIZ21:QJB21"/>
    <mergeCell ref="QHS21:QHU21"/>
    <mergeCell ref="QHV21:QHX21"/>
    <mergeCell ref="QHY21:QIA21"/>
    <mergeCell ref="QIB21:QID21"/>
    <mergeCell ref="QIE21:QIG21"/>
    <mergeCell ref="QIH21:QIJ21"/>
    <mergeCell ref="QHA21:QHC21"/>
    <mergeCell ref="QHD21:QHF21"/>
    <mergeCell ref="QHG21:QHI21"/>
    <mergeCell ref="QHJ21:QHL21"/>
    <mergeCell ref="QHM21:QHO21"/>
    <mergeCell ref="QHP21:QHR21"/>
    <mergeCell ref="QGI21:QGK21"/>
    <mergeCell ref="QGL21:QGN21"/>
    <mergeCell ref="QGO21:QGQ21"/>
    <mergeCell ref="QGR21:QGT21"/>
    <mergeCell ref="QGU21:QGW21"/>
    <mergeCell ref="QGX21:QGZ21"/>
    <mergeCell ref="QFQ21:QFS21"/>
    <mergeCell ref="QFT21:QFV21"/>
    <mergeCell ref="QFW21:QFY21"/>
    <mergeCell ref="QFZ21:QGB21"/>
    <mergeCell ref="QGC21:QGE21"/>
    <mergeCell ref="QGF21:QGH21"/>
    <mergeCell ref="QEY21:QFA21"/>
    <mergeCell ref="QFB21:QFD21"/>
    <mergeCell ref="QFE21:QFG21"/>
    <mergeCell ref="QFH21:QFJ21"/>
    <mergeCell ref="QFK21:QFM21"/>
    <mergeCell ref="QFN21:QFP21"/>
    <mergeCell ref="QEG21:QEI21"/>
    <mergeCell ref="QEJ21:QEL21"/>
    <mergeCell ref="QEM21:QEO21"/>
    <mergeCell ref="QEP21:QER21"/>
    <mergeCell ref="QES21:QEU21"/>
    <mergeCell ref="QEV21:QEX21"/>
    <mergeCell ref="QDO21:QDQ21"/>
    <mergeCell ref="QDR21:QDT21"/>
    <mergeCell ref="QDU21:QDW21"/>
    <mergeCell ref="QDX21:QDZ21"/>
    <mergeCell ref="QEA21:QEC21"/>
    <mergeCell ref="QED21:QEF21"/>
    <mergeCell ref="QCW21:QCY21"/>
    <mergeCell ref="QCZ21:QDB21"/>
    <mergeCell ref="QDC21:QDE21"/>
    <mergeCell ref="QDF21:QDH21"/>
    <mergeCell ref="QDI21:QDK21"/>
    <mergeCell ref="QDL21:QDN21"/>
    <mergeCell ref="QCE21:QCG21"/>
    <mergeCell ref="QCH21:QCJ21"/>
    <mergeCell ref="QCK21:QCM21"/>
    <mergeCell ref="QCN21:QCP21"/>
    <mergeCell ref="QCQ21:QCS21"/>
    <mergeCell ref="QCT21:QCV21"/>
    <mergeCell ref="QBM21:QBO21"/>
    <mergeCell ref="QBP21:QBR21"/>
    <mergeCell ref="QBS21:QBU21"/>
    <mergeCell ref="QBV21:QBX21"/>
    <mergeCell ref="QBY21:QCA21"/>
    <mergeCell ref="QCB21:QCD21"/>
    <mergeCell ref="QAU21:QAW21"/>
    <mergeCell ref="QAX21:QAZ21"/>
    <mergeCell ref="QBA21:QBC21"/>
    <mergeCell ref="QBD21:QBF21"/>
    <mergeCell ref="QBG21:QBI21"/>
    <mergeCell ref="QBJ21:QBL21"/>
    <mergeCell ref="QAC21:QAE21"/>
    <mergeCell ref="QAF21:QAH21"/>
    <mergeCell ref="QAI21:QAK21"/>
    <mergeCell ref="QAL21:QAN21"/>
    <mergeCell ref="QAO21:QAQ21"/>
    <mergeCell ref="QAR21:QAT21"/>
    <mergeCell ref="PZK21:PZM21"/>
    <mergeCell ref="PZN21:PZP21"/>
    <mergeCell ref="PZQ21:PZS21"/>
    <mergeCell ref="PZT21:PZV21"/>
    <mergeCell ref="PZW21:PZY21"/>
    <mergeCell ref="PZZ21:QAB21"/>
    <mergeCell ref="PYS21:PYU21"/>
    <mergeCell ref="PYV21:PYX21"/>
    <mergeCell ref="PYY21:PZA21"/>
    <mergeCell ref="PZB21:PZD21"/>
    <mergeCell ref="PZE21:PZG21"/>
    <mergeCell ref="PZH21:PZJ21"/>
    <mergeCell ref="PYA21:PYC21"/>
    <mergeCell ref="PYD21:PYF21"/>
    <mergeCell ref="PYG21:PYI21"/>
    <mergeCell ref="PYJ21:PYL21"/>
    <mergeCell ref="PYM21:PYO21"/>
    <mergeCell ref="PYP21:PYR21"/>
    <mergeCell ref="PXI21:PXK21"/>
    <mergeCell ref="PXL21:PXN21"/>
    <mergeCell ref="PXO21:PXQ21"/>
    <mergeCell ref="PXR21:PXT21"/>
    <mergeCell ref="PXU21:PXW21"/>
    <mergeCell ref="PXX21:PXZ21"/>
    <mergeCell ref="PWQ21:PWS21"/>
    <mergeCell ref="PWT21:PWV21"/>
    <mergeCell ref="PWW21:PWY21"/>
    <mergeCell ref="PWZ21:PXB21"/>
    <mergeCell ref="PXC21:PXE21"/>
    <mergeCell ref="PXF21:PXH21"/>
    <mergeCell ref="PVY21:PWA21"/>
    <mergeCell ref="PWB21:PWD21"/>
    <mergeCell ref="PWE21:PWG21"/>
    <mergeCell ref="PWH21:PWJ21"/>
    <mergeCell ref="PWK21:PWM21"/>
    <mergeCell ref="PWN21:PWP21"/>
    <mergeCell ref="PVG21:PVI21"/>
    <mergeCell ref="PVJ21:PVL21"/>
    <mergeCell ref="PVM21:PVO21"/>
    <mergeCell ref="PVP21:PVR21"/>
    <mergeCell ref="PVS21:PVU21"/>
    <mergeCell ref="PVV21:PVX21"/>
    <mergeCell ref="PUO21:PUQ21"/>
    <mergeCell ref="PUR21:PUT21"/>
    <mergeCell ref="PUU21:PUW21"/>
    <mergeCell ref="PUX21:PUZ21"/>
    <mergeCell ref="PVA21:PVC21"/>
    <mergeCell ref="PVD21:PVF21"/>
    <mergeCell ref="PTW21:PTY21"/>
    <mergeCell ref="PTZ21:PUB21"/>
    <mergeCell ref="PUC21:PUE21"/>
    <mergeCell ref="PUF21:PUH21"/>
    <mergeCell ref="PUI21:PUK21"/>
    <mergeCell ref="PUL21:PUN21"/>
    <mergeCell ref="PTE21:PTG21"/>
    <mergeCell ref="PTH21:PTJ21"/>
    <mergeCell ref="PTK21:PTM21"/>
    <mergeCell ref="PTN21:PTP21"/>
    <mergeCell ref="PTQ21:PTS21"/>
    <mergeCell ref="PTT21:PTV21"/>
    <mergeCell ref="PSM21:PSO21"/>
    <mergeCell ref="PSP21:PSR21"/>
    <mergeCell ref="PSS21:PSU21"/>
    <mergeCell ref="PSV21:PSX21"/>
    <mergeCell ref="PSY21:PTA21"/>
    <mergeCell ref="PTB21:PTD21"/>
    <mergeCell ref="PRU21:PRW21"/>
    <mergeCell ref="PRX21:PRZ21"/>
    <mergeCell ref="PSA21:PSC21"/>
    <mergeCell ref="PSD21:PSF21"/>
    <mergeCell ref="PSG21:PSI21"/>
    <mergeCell ref="PSJ21:PSL21"/>
    <mergeCell ref="PRC21:PRE21"/>
    <mergeCell ref="PRF21:PRH21"/>
    <mergeCell ref="PRI21:PRK21"/>
    <mergeCell ref="PRL21:PRN21"/>
    <mergeCell ref="PRO21:PRQ21"/>
    <mergeCell ref="PRR21:PRT21"/>
    <mergeCell ref="PQK21:PQM21"/>
    <mergeCell ref="PQN21:PQP21"/>
    <mergeCell ref="PQQ21:PQS21"/>
    <mergeCell ref="PQT21:PQV21"/>
    <mergeCell ref="PQW21:PQY21"/>
    <mergeCell ref="PQZ21:PRB21"/>
    <mergeCell ref="PPS21:PPU21"/>
    <mergeCell ref="PPV21:PPX21"/>
    <mergeCell ref="PPY21:PQA21"/>
    <mergeCell ref="PQB21:PQD21"/>
    <mergeCell ref="PQE21:PQG21"/>
    <mergeCell ref="PQH21:PQJ21"/>
    <mergeCell ref="PPA21:PPC21"/>
    <mergeCell ref="PPD21:PPF21"/>
    <mergeCell ref="PPG21:PPI21"/>
    <mergeCell ref="PPJ21:PPL21"/>
    <mergeCell ref="PPM21:PPO21"/>
    <mergeCell ref="PPP21:PPR21"/>
    <mergeCell ref="POI21:POK21"/>
    <mergeCell ref="POL21:PON21"/>
    <mergeCell ref="POO21:POQ21"/>
    <mergeCell ref="POR21:POT21"/>
    <mergeCell ref="POU21:POW21"/>
    <mergeCell ref="POX21:POZ21"/>
    <mergeCell ref="PNQ21:PNS21"/>
    <mergeCell ref="PNT21:PNV21"/>
    <mergeCell ref="PNW21:PNY21"/>
    <mergeCell ref="PNZ21:POB21"/>
    <mergeCell ref="POC21:POE21"/>
    <mergeCell ref="POF21:POH21"/>
    <mergeCell ref="PMY21:PNA21"/>
    <mergeCell ref="PNB21:PND21"/>
    <mergeCell ref="PNE21:PNG21"/>
    <mergeCell ref="PNH21:PNJ21"/>
    <mergeCell ref="PNK21:PNM21"/>
    <mergeCell ref="PNN21:PNP21"/>
    <mergeCell ref="PMG21:PMI21"/>
    <mergeCell ref="PMJ21:PML21"/>
    <mergeCell ref="PMM21:PMO21"/>
    <mergeCell ref="PMP21:PMR21"/>
    <mergeCell ref="PMS21:PMU21"/>
    <mergeCell ref="PMV21:PMX21"/>
    <mergeCell ref="PLO21:PLQ21"/>
    <mergeCell ref="PLR21:PLT21"/>
    <mergeCell ref="PLU21:PLW21"/>
    <mergeCell ref="PLX21:PLZ21"/>
    <mergeCell ref="PMA21:PMC21"/>
    <mergeCell ref="PMD21:PMF21"/>
    <mergeCell ref="PKW21:PKY21"/>
    <mergeCell ref="PKZ21:PLB21"/>
    <mergeCell ref="PLC21:PLE21"/>
    <mergeCell ref="PLF21:PLH21"/>
    <mergeCell ref="PLI21:PLK21"/>
    <mergeCell ref="PLL21:PLN21"/>
    <mergeCell ref="PKE21:PKG21"/>
    <mergeCell ref="PKH21:PKJ21"/>
    <mergeCell ref="PKK21:PKM21"/>
    <mergeCell ref="PKN21:PKP21"/>
    <mergeCell ref="PKQ21:PKS21"/>
    <mergeCell ref="PKT21:PKV21"/>
    <mergeCell ref="PJM21:PJO21"/>
    <mergeCell ref="PJP21:PJR21"/>
    <mergeCell ref="PJS21:PJU21"/>
    <mergeCell ref="PJV21:PJX21"/>
    <mergeCell ref="PJY21:PKA21"/>
    <mergeCell ref="PKB21:PKD21"/>
    <mergeCell ref="PIU21:PIW21"/>
    <mergeCell ref="PIX21:PIZ21"/>
    <mergeCell ref="PJA21:PJC21"/>
    <mergeCell ref="PJD21:PJF21"/>
    <mergeCell ref="PJG21:PJI21"/>
    <mergeCell ref="PJJ21:PJL21"/>
    <mergeCell ref="PIC21:PIE21"/>
    <mergeCell ref="PIF21:PIH21"/>
    <mergeCell ref="PII21:PIK21"/>
    <mergeCell ref="PIL21:PIN21"/>
    <mergeCell ref="PIO21:PIQ21"/>
    <mergeCell ref="PIR21:PIT21"/>
    <mergeCell ref="PHK21:PHM21"/>
    <mergeCell ref="PHN21:PHP21"/>
    <mergeCell ref="PHQ21:PHS21"/>
    <mergeCell ref="PHT21:PHV21"/>
    <mergeCell ref="PHW21:PHY21"/>
    <mergeCell ref="PHZ21:PIB21"/>
    <mergeCell ref="PGS21:PGU21"/>
    <mergeCell ref="PGV21:PGX21"/>
    <mergeCell ref="PGY21:PHA21"/>
    <mergeCell ref="PHB21:PHD21"/>
    <mergeCell ref="PHE21:PHG21"/>
    <mergeCell ref="PHH21:PHJ21"/>
    <mergeCell ref="PGA21:PGC21"/>
    <mergeCell ref="PGD21:PGF21"/>
    <mergeCell ref="PGG21:PGI21"/>
    <mergeCell ref="PGJ21:PGL21"/>
    <mergeCell ref="PGM21:PGO21"/>
    <mergeCell ref="PGP21:PGR21"/>
    <mergeCell ref="PFI21:PFK21"/>
    <mergeCell ref="PFL21:PFN21"/>
    <mergeCell ref="PFO21:PFQ21"/>
    <mergeCell ref="PFR21:PFT21"/>
    <mergeCell ref="PFU21:PFW21"/>
    <mergeCell ref="PFX21:PFZ21"/>
    <mergeCell ref="PEQ21:PES21"/>
    <mergeCell ref="PET21:PEV21"/>
    <mergeCell ref="PEW21:PEY21"/>
    <mergeCell ref="PEZ21:PFB21"/>
    <mergeCell ref="PFC21:PFE21"/>
    <mergeCell ref="PFF21:PFH21"/>
    <mergeCell ref="PDY21:PEA21"/>
    <mergeCell ref="PEB21:PED21"/>
    <mergeCell ref="PEE21:PEG21"/>
    <mergeCell ref="PEH21:PEJ21"/>
    <mergeCell ref="PEK21:PEM21"/>
    <mergeCell ref="PEN21:PEP21"/>
    <mergeCell ref="PDG21:PDI21"/>
    <mergeCell ref="PDJ21:PDL21"/>
    <mergeCell ref="PDM21:PDO21"/>
    <mergeCell ref="PDP21:PDR21"/>
    <mergeCell ref="PDS21:PDU21"/>
    <mergeCell ref="PDV21:PDX21"/>
    <mergeCell ref="PCO21:PCQ21"/>
    <mergeCell ref="PCR21:PCT21"/>
    <mergeCell ref="PCU21:PCW21"/>
    <mergeCell ref="PCX21:PCZ21"/>
    <mergeCell ref="PDA21:PDC21"/>
    <mergeCell ref="PDD21:PDF21"/>
    <mergeCell ref="PBW21:PBY21"/>
    <mergeCell ref="PBZ21:PCB21"/>
    <mergeCell ref="PCC21:PCE21"/>
    <mergeCell ref="PCF21:PCH21"/>
    <mergeCell ref="PCI21:PCK21"/>
    <mergeCell ref="PCL21:PCN21"/>
    <mergeCell ref="PBE21:PBG21"/>
    <mergeCell ref="PBH21:PBJ21"/>
    <mergeCell ref="PBK21:PBM21"/>
    <mergeCell ref="PBN21:PBP21"/>
    <mergeCell ref="PBQ21:PBS21"/>
    <mergeCell ref="PBT21:PBV21"/>
    <mergeCell ref="PAM21:PAO21"/>
    <mergeCell ref="PAP21:PAR21"/>
    <mergeCell ref="PAS21:PAU21"/>
    <mergeCell ref="PAV21:PAX21"/>
    <mergeCell ref="PAY21:PBA21"/>
    <mergeCell ref="PBB21:PBD21"/>
    <mergeCell ref="OZU21:OZW21"/>
    <mergeCell ref="OZX21:OZZ21"/>
    <mergeCell ref="PAA21:PAC21"/>
    <mergeCell ref="PAD21:PAF21"/>
    <mergeCell ref="PAG21:PAI21"/>
    <mergeCell ref="PAJ21:PAL21"/>
    <mergeCell ref="OZC21:OZE21"/>
    <mergeCell ref="OZF21:OZH21"/>
    <mergeCell ref="OZI21:OZK21"/>
    <mergeCell ref="OZL21:OZN21"/>
    <mergeCell ref="OZO21:OZQ21"/>
    <mergeCell ref="OZR21:OZT21"/>
    <mergeCell ref="OYK21:OYM21"/>
    <mergeCell ref="OYN21:OYP21"/>
    <mergeCell ref="OYQ21:OYS21"/>
    <mergeCell ref="OYT21:OYV21"/>
    <mergeCell ref="OYW21:OYY21"/>
    <mergeCell ref="OYZ21:OZB21"/>
    <mergeCell ref="OXS21:OXU21"/>
    <mergeCell ref="OXV21:OXX21"/>
    <mergeCell ref="OXY21:OYA21"/>
    <mergeCell ref="OYB21:OYD21"/>
    <mergeCell ref="OYE21:OYG21"/>
    <mergeCell ref="OYH21:OYJ21"/>
    <mergeCell ref="OXA21:OXC21"/>
    <mergeCell ref="OXD21:OXF21"/>
    <mergeCell ref="OXG21:OXI21"/>
    <mergeCell ref="OXJ21:OXL21"/>
    <mergeCell ref="OXM21:OXO21"/>
    <mergeCell ref="OXP21:OXR21"/>
    <mergeCell ref="OWI21:OWK21"/>
    <mergeCell ref="OWL21:OWN21"/>
    <mergeCell ref="OWO21:OWQ21"/>
    <mergeCell ref="OWR21:OWT21"/>
    <mergeCell ref="OWU21:OWW21"/>
    <mergeCell ref="OWX21:OWZ21"/>
    <mergeCell ref="OVQ21:OVS21"/>
    <mergeCell ref="OVT21:OVV21"/>
    <mergeCell ref="OVW21:OVY21"/>
    <mergeCell ref="OVZ21:OWB21"/>
    <mergeCell ref="OWC21:OWE21"/>
    <mergeCell ref="OWF21:OWH21"/>
    <mergeCell ref="OUY21:OVA21"/>
    <mergeCell ref="OVB21:OVD21"/>
    <mergeCell ref="OVE21:OVG21"/>
    <mergeCell ref="OVH21:OVJ21"/>
    <mergeCell ref="OVK21:OVM21"/>
    <mergeCell ref="OVN21:OVP21"/>
    <mergeCell ref="OUG21:OUI21"/>
    <mergeCell ref="OUJ21:OUL21"/>
    <mergeCell ref="OUM21:OUO21"/>
    <mergeCell ref="OUP21:OUR21"/>
    <mergeCell ref="OUS21:OUU21"/>
    <mergeCell ref="OUV21:OUX21"/>
    <mergeCell ref="OTO21:OTQ21"/>
    <mergeCell ref="OTR21:OTT21"/>
    <mergeCell ref="OTU21:OTW21"/>
    <mergeCell ref="OTX21:OTZ21"/>
    <mergeCell ref="OUA21:OUC21"/>
    <mergeCell ref="OUD21:OUF21"/>
    <mergeCell ref="OSW21:OSY21"/>
    <mergeCell ref="OSZ21:OTB21"/>
    <mergeCell ref="OTC21:OTE21"/>
    <mergeCell ref="OTF21:OTH21"/>
    <mergeCell ref="OTI21:OTK21"/>
    <mergeCell ref="OTL21:OTN21"/>
    <mergeCell ref="OSE21:OSG21"/>
    <mergeCell ref="OSH21:OSJ21"/>
    <mergeCell ref="OSK21:OSM21"/>
    <mergeCell ref="OSN21:OSP21"/>
    <mergeCell ref="OSQ21:OSS21"/>
    <mergeCell ref="OST21:OSV21"/>
    <mergeCell ref="ORM21:ORO21"/>
    <mergeCell ref="ORP21:ORR21"/>
    <mergeCell ref="ORS21:ORU21"/>
    <mergeCell ref="ORV21:ORX21"/>
    <mergeCell ref="ORY21:OSA21"/>
    <mergeCell ref="OSB21:OSD21"/>
    <mergeCell ref="OQU21:OQW21"/>
    <mergeCell ref="OQX21:OQZ21"/>
    <mergeCell ref="ORA21:ORC21"/>
    <mergeCell ref="ORD21:ORF21"/>
    <mergeCell ref="ORG21:ORI21"/>
    <mergeCell ref="ORJ21:ORL21"/>
    <mergeCell ref="OQC21:OQE21"/>
    <mergeCell ref="OQF21:OQH21"/>
    <mergeCell ref="OQI21:OQK21"/>
    <mergeCell ref="OQL21:OQN21"/>
    <mergeCell ref="OQO21:OQQ21"/>
    <mergeCell ref="OQR21:OQT21"/>
    <mergeCell ref="OPK21:OPM21"/>
    <mergeCell ref="OPN21:OPP21"/>
    <mergeCell ref="OPQ21:OPS21"/>
    <mergeCell ref="OPT21:OPV21"/>
    <mergeCell ref="OPW21:OPY21"/>
    <mergeCell ref="OPZ21:OQB21"/>
    <mergeCell ref="OOS21:OOU21"/>
    <mergeCell ref="OOV21:OOX21"/>
    <mergeCell ref="OOY21:OPA21"/>
    <mergeCell ref="OPB21:OPD21"/>
    <mergeCell ref="OPE21:OPG21"/>
    <mergeCell ref="OPH21:OPJ21"/>
    <mergeCell ref="OOA21:OOC21"/>
    <mergeCell ref="OOD21:OOF21"/>
    <mergeCell ref="OOG21:OOI21"/>
    <mergeCell ref="OOJ21:OOL21"/>
    <mergeCell ref="OOM21:OOO21"/>
    <mergeCell ref="OOP21:OOR21"/>
    <mergeCell ref="ONI21:ONK21"/>
    <mergeCell ref="ONL21:ONN21"/>
    <mergeCell ref="ONO21:ONQ21"/>
    <mergeCell ref="ONR21:ONT21"/>
    <mergeCell ref="ONU21:ONW21"/>
    <mergeCell ref="ONX21:ONZ21"/>
    <mergeCell ref="OMQ21:OMS21"/>
    <mergeCell ref="OMT21:OMV21"/>
    <mergeCell ref="OMW21:OMY21"/>
    <mergeCell ref="OMZ21:ONB21"/>
    <mergeCell ref="ONC21:ONE21"/>
    <mergeCell ref="ONF21:ONH21"/>
    <mergeCell ref="OLY21:OMA21"/>
    <mergeCell ref="OMB21:OMD21"/>
    <mergeCell ref="OME21:OMG21"/>
    <mergeCell ref="OMH21:OMJ21"/>
    <mergeCell ref="OMK21:OMM21"/>
    <mergeCell ref="OMN21:OMP21"/>
    <mergeCell ref="OLG21:OLI21"/>
    <mergeCell ref="OLJ21:OLL21"/>
    <mergeCell ref="OLM21:OLO21"/>
    <mergeCell ref="OLP21:OLR21"/>
    <mergeCell ref="OLS21:OLU21"/>
    <mergeCell ref="OLV21:OLX21"/>
    <mergeCell ref="OKO21:OKQ21"/>
    <mergeCell ref="OKR21:OKT21"/>
    <mergeCell ref="OKU21:OKW21"/>
    <mergeCell ref="OKX21:OKZ21"/>
    <mergeCell ref="OLA21:OLC21"/>
    <mergeCell ref="OLD21:OLF21"/>
    <mergeCell ref="OJW21:OJY21"/>
    <mergeCell ref="OJZ21:OKB21"/>
    <mergeCell ref="OKC21:OKE21"/>
    <mergeCell ref="OKF21:OKH21"/>
    <mergeCell ref="OKI21:OKK21"/>
    <mergeCell ref="OKL21:OKN21"/>
    <mergeCell ref="OJE21:OJG21"/>
    <mergeCell ref="OJH21:OJJ21"/>
    <mergeCell ref="OJK21:OJM21"/>
    <mergeCell ref="OJN21:OJP21"/>
    <mergeCell ref="OJQ21:OJS21"/>
    <mergeCell ref="OJT21:OJV21"/>
    <mergeCell ref="OIM21:OIO21"/>
    <mergeCell ref="OIP21:OIR21"/>
    <mergeCell ref="OIS21:OIU21"/>
    <mergeCell ref="OIV21:OIX21"/>
    <mergeCell ref="OIY21:OJA21"/>
    <mergeCell ref="OJB21:OJD21"/>
    <mergeCell ref="OHU21:OHW21"/>
    <mergeCell ref="OHX21:OHZ21"/>
    <mergeCell ref="OIA21:OIC21"/>
    <mergeCell ref="OID21:OIF21"/>
    <mergeCell ref="OIG21:OII21"/>
    <mergeCell ref="OIJ21:OIL21"/>
    <mergeCell ref="OHC21:OHE21"/>
    <mergeCell ref="OHF21:OHH21"/>
    <mergeCell ref="OHI21:OHK21"/>
    <mergeCell ref="OHL21:OHN21"/>
    <mergeCell ref="OHO21:OHQ21"/>
    <mergeCell ref="OHR21:OHT21"/>
    <mergeCell ref="OGK21:OGM21"/>
    <mergeCell ref="OGN21:OGP21"/>
    <mergeCell ref="OGQ21:OGS21"/>
    <mergeCell ref="OGT21:OGV21"/>
    <mergeCell ref="OGW21:OGY21"/>
    <mergeCell ref="OGZ21:OHB21"/>
    <mergeCell ref="OFS21:OFU21"/>
    <mergeCell ref="OFV21:OFX21"/>
    <mergeCell ref="OFY21:OGA21"/>
    <mergeCell ref="OGB21:OGD21"/>
    <mergeCell ref="OGE21:OGG21"/>
    <mergeCell ref="OGH21:OGJ21"/>
    <mergeCell ref="OFA21:OFC21"/>
    <mergeCell ref="OFD21:OFF21"/>
    <mergeCell ref="OFG21:OFI21"/>
    <mergeCell ref="OFJ21:OFL21"/>
    <mergeCell ref="OFM21:OFO21"/>
    <mergeCell ref="OFP21:OFR21"/>
    <mergeCell ref="OEI21:OEK21"/>
    <mergeCell ref="OEL21:OEN21"/>
    <mergeCell ref="OEO21:OEQ21"/>
    <mergeCell ref="OER21:OET21"/>
    <mergeCell ref="OEU21:OEW21"/>
    <mergeCell ref="OEX21:OEZ21"/>
    <mergeCell ref="ODQ21:ODS21"/>
    <mergeCell ref="ODT21:ODV21"/>
    <mergeCell ref="ODW21:ODY21"/>
    <mergeCell ref="ODZ21:OEB21"/>
    <mergeCell ref="OEC21:OEE21"/>
    <mergeCell ref="OEF21:OEH21"/>
    <mergeCell ref="OCY21:ODA21"/>
    <mergeCell ref="ODB21:ODD21"/>
    <mergeCell ref="ODE21:ODG21"/>
    <mergeCell ref="ODH21:ODJ21"/>
    <mergeCell ref="ODK21:ODM21"/>
    <mergeCell ref="ODN21:ODP21"/>
    <mergeCell ref="OCG21:OCI21"/>
    <mergeCell ref="OCJ21:OCL21"/>
    <mergeCell ref="OCM21:OCO21"/>
    <mergeCell ref="OCP21:OCR21"/>
    <mergeCell ref="OCS21:OCU21"/>
    <mergeCell ref="OCV21:OCX21"/>
    <mergeCell ref="OBO21:OBQ21"/>
    <mergeCell ref="OBR21:OBT21"/>
    <mergeCell ref="OBU21:OBW21"/>
    <mergeCell ref="OBX21:OBZ21"/>
    <mergeCell ref="OCA21:OCC21"/>
    <mergeCell ref="OCD21:OCF21"/>
    <mergeCell ref="OAW21:OAY21"/>
    <mergeCell ref="OAZ21:OBB21"/>
    <mergeCell ref="OBC21:OBE21"/>
    <mergeCell ref="OBF21:OBH21"/>
    <mergeCell ref="OBI21:OBK21"/>
    <mergeCell ref="OBL21:OBN21"/>
    <mergeCell ref="OAE21:OAG21"/>
    <mergeCell ref="OAH21:OAJ21"/>
    <mergeCell ref="OAK21:OAM21"/>
    <mergeCell ref="OAN21:OAP21"/>
    <mergeCell ref="OAQ21:OAS21"/>
    <mergeCell ref="OAT21:OAV21"/>
    <mergeCell ref="NZM21:NZO21"/>
    <mergeCell ref="NZP21:NZR21"/>
    <mergeCell ref="NZS21:NZU21"/>
    <mergeCell ref="NZV21:NZX21"/>
    <mergeCell ref="NZY21:OAA21"/>
    <mergeCell ref="OAB21:OAD21"/>
    <mergeCell ref="NYU21:NYW21"/>
    <mergeCell ref="NYX21:NYZ21"/>
    <mergeCell ref="NZA21:NZC21"/>
    <mergeCell ref="NZD21:NZF21"/>
    <mergeCell ref="NZG21:NZI21"/>
    <mergeCell ref="NZJ21:NZL21"/>
    <mergeCell ref="NYC21:NYE21"/>
    <mergeCell ref="NYF21:NYH21"/>
    <mergeCell ref="NYI21:NYK21"/>
    <mergeCell ref="NYL21:NYN21"/>
    <mergeCell ref="NYO21:NYQ21"/>
    <mergeCell ref="NYR21:NYT21"/>
    <mergeCell ref="NXK21:NXM21"/>
    <mergeCell ref="NXN21:NXP21"/>
    <mergeCell ref="NXQ21:NXS21"/>
    <mergeCell ref="NXT21:NXV21"/>
    <mergeCell ref="NXW21:NXY21"/>
    <mergeCell ref="NXZ21:NYB21"/>
    <mergeCell ref="NWS21:NWU21"/>
    <mergeCell ref="NWV21:NWX21"/>
    <mergeCell ref="NWY21:NXA21"/>
    <mergeCell ref="NXB21:NXD21"/>
    <mergeCell ref="NXE21:NXG21"/>
    <mergeCell ref="NXH21:NXJ21"/>
    <mergeCell ref="NWA21:NWC21"/>
    <mergeCell ref="NWD21:NWF21"/>
    <mergeCell ref="NWG21:NWI21"/>
    <mergeCell ref="NWJ21:NWL21"/>
    <mergeCell ref="NWM21:NWO21"/>
    <mergeCell ref="NWP21:NWR21"/>
    <mergeCell ref="NVI21:NVK21"/>
    <mergeCell ref="NVL21:NVN21"/>
    <mergeCell ref="NVO21:NVQ21"/>
    <mergeCell ref="NVR21:NVT21"/>
    <mergeCell ref="NVU21:NVW21"/>
    <mergeCell ref="NVX21:NVZ21"/>
    <mergeCell ref="NUQ21:NUS21"/>
    <mergeCell ref="NUT21:NUV21"/>
    <mergeCell ref="NUW21:NUY21"/>
    <mergeCell ref="NUZ21:NVB21"/>
    <mergeCell ref="NVC21:NVE21"/>
    <mergeCell ref="NVF21:NVH21"/>
    <mergeCell ref="NTY21:NUA21"/>
    <mergeCell ref="NUB21:NUD21"/>
    <mergeCell ref="NUE21:NUG21"/>
    <mergeCell ref="NUH21:NUJ21"/>
    <mergeCell ref="NUK21:NUM21"/>
    <mergeCell ref="NUN21:NUP21"/>
    <mergeCell ref="NTG21:NTI21"/>
    <mergeCell ref="NTJ21:NTL21"/>
    <mergeCell ref="NTM21:NTO21"/>
    <mergeCell ref="NTP21:NTR21"/>
    <mergeCell ref="NTS21:NTU21"/>
    <mergeCell ref="NTV21:NTX21"/>
    <mergeCell ref="NSO21:NSQ21"/>
    <mergeCell ref="NSR21:NST21"/>
    <mergeCell ref="NSU21:NSW21"/>
    <mergeCell ref="NSX21:NSZ21"/>
    <mergeCell ref="NTA21:NTC21"/>
    <mergeCell ref="NTD21:NTF21"/>
    <mergeCell ref="NRW21:NRY21"/>
    <mergeCell ref="NRZ21:NSB21"/>
    <mergeCell ref="NSC21:NSE21"/>
    <mergeCell ref="NSF21:NSH21"/>
    <mergeCell ref="NSI21:NSK21"/>
    <mergeCell ref="NSL21:NSN21"/>
    <mergeCell ref="NRE21:NRG21"/>
    <mergeCell ref="NRH21:NRJ21"/>
    <mergeCell ref="NRK21:NRM21"/>
    <mergeCell ref="NRN21:NRP21"/>
    <mergeCell ref="NRQ21:NRS21"/>
    <mergeCell ref="NRT21:NRV21"/>
    <mergeCell ref="NQM21:NQO21"/>
    <mergeCell ref="NQP21:NQR21"/>
    <mergeCell ref="NQS21:NQU21"/>
    <mergeCell ref="NQV21:NQX21"/>
    <mergeCell ref="NQY21:NRA21"/>
    <mergeCell ref="NRB21:NRD21"/>
    <mergeCell ref="NPU21:NPW21"/>
    <mergeCell ref="NPX21:NPZ21"/>
    <mergeCell ref="NQA21:NQC21"/>
    <mergeCell ref="NQD21:NQF21"/>
    <mergeCell ref="NQG21:NQI21"/>
    <mergeCell ref="NQJ21:NQL21"/>
    <mergeCell ref="NPC21:NPE21"/>
    <mergeCell ref="NPF21:NPH21"/>
    <mergeCell ref="NPI21:NPK21"/>
    <mergeCell ref="NPL21:NPN21"/>
    <mergeCell ref="NPO21:NPQ21"/>
    <mergeCell ref="NPR21:NPT21"/>
    <mergeCell ref="NOK21:NOM21"/>
    <mergeCell ref="NON21:NOP21"/>
    <mergeCell ref="NOQ21:NOS21"/>
    <mergeCell ref="NOT21:NOV21"/>
    <mergeCell ref="NOW21:NOY21"/>
    <mergeCell ref="NOZ21:NPB21"/>
    <mergeCell ref="NNS21:NNU21"/>
    <mergeCell ref="NNV21:NNX21"/>
    <mergeCell ref="NNY21:NOA21"/>
    <mergeCell ref="NOB21:NOD21"/>
    <mergeCell ref="NOE21:NOG21"/>
    <mergeCell ref="NOH21:NOJ21"/>
    <mergeCell ref="NNA21:NNC21"/>
    <mergeCell ref="NND21:NNF21"/>
    <mergeCell ref="NNG21:NNI21"/>
    <mergeCell ref="NNJ21:NNL21"/>
    <mergeCell ref="NNM21:NNO21"/>
    <mergeCell ref="NNP21:NNR21"/>
    <mergeCell ref="NMI21:NMK21"/>
    <mergeCell ref="NML21:NMN21"/>
    <mergeCell ref="NMO21:NMQ21"/>
    <mergeCell ref="NMR21:NMT21"/>
    <mergeCell ref="NMU21:NMW21"/>
    <mergeCell ref="NMX21:NMZ21"/>
    <mergeCell ref="NLQ21:NLS21"/>
    <mergeCell ref="NLT21:NLV21"/>
    <mergeCell ref="NLW21:NLY21"/>
    <mergeCell ref="NLZ21:NMB21"/>
    <mergeCell ref="NMC21:NME21"/>
    <mergeCell ref="NMF21:NMH21"/>
    <mergeCell ref="NKY21:NLA21"/>
    <mergeCell ref="NLB21:NLD21"/>
    <mergeCell ref="NLE21:NLG21"/>
    <mergeCell ref="NLH21:NLJ21"/>
    <mergeCell ref="NLK21:NLM21"/>
    <mergeCell ref="NLN21:NLP21"/>
    <mergeCell ref="NKG21:NKI21"/>
    <mergeCell ref="NKJ21:NKL21"/>
    <mergeCell ref="NKM21:NKO21"/>
    <mergeCell ref="NKP21:NKR21"/>
    <mergeCell ref="NKS21:NKU21"/>
    <mergeCell ref="NKV21:NKX21"/>
    <mergeCell ref="NJO21:NJQ21"/>
    <mergeCell ref="NJR21:NJT21"/>
    <mergeCell ref="NJU21:NJW21"/>
    <mergeCell ref="NJX21:NJZ21"/>
    <mergeCell ref="NKA21:NKC21"/>
    <mergeCell ref="NKD21:NKF21"/>
    <mergeCell ref="NIW21:NIY21"/>
    <mergeCell ref="NIZ21:NJB21"/>
    <mergeCell ref="NJC21:NJE21"/>
    <mergeCell ref="NJF21:NJH21"/>
    <mergeCell ref="NJI21:NJK21"/>
    <mergeCell ref="NJL21:NJN21"/>
    <mergeCell ref="NIE21:NIG21"/>
    <mergeCell ref="NIH21:NIJ21"/>
    <mergeCell ref="NIK21:NIM21"/>
    <mergeCell ref="NIN21:NIP21"/>
    <mergeCell ref="NIQ21:NIS21"/>
    <mergeCell ref="NIT21:NIV21"/>
    <mergeCell ref="NHM21:NHO21"/>
    <mergeCell ref="NHP21:NHR21"/>
    <mergeCell ref="NHS21:NHU21"/>
    <mergeCell ref="NHV21:NHX21"/>
    <mergeCell ref="NHY21:NIA21"/>
    <mergeCell ref="NIB21:NID21"/>
    <mergeCell ref="NGU21:NGW21"/>
    <mergeCell ref="NGX21:NGZ21"/>
    <mergeCell ref="NHA21:NHC21"/>
    <mergeCell ref="NHD21:NHF21"/>
    <mergeCell ref="NHG21:NHI21"/>
    <mergeCell ref="NHJ21:NHL21"/>
    <mergeCell ref="NGC21:NGE21"/>
    <mergeCell ref="NGF21:NGH21"/>
    <mergeCell ref="NGI21:NGK21"/>
    <mergeCell ref="NGL21:NGN21"/>
    <mergeCell ref="NGO21:NGQ21"/>
    <mergeCell ref="NGR21:NGT21"/>
    <mergeCell ref="NFK21:NFM21"/>
    <mergeCell ref="NFN21:NFP21"/>
    <mergeCell ref="NFQ21:NFS21"/>
    <mergeCell ref="NFT21:NFV21"/>
    <mergeCell ref="NFW21:NFY21"/>
    <mergeCell ref="NFZ21:NGB21"/>
    <mergeCell ref="NES21:NEU21"/>
    <mergeCell ref="NEV21:NEX21"/>
    <mergeCell ref="NEY21:NFA21"/>
    <mergeCell ref="NFB21:NFD21"/>
    <mergeCell ref="NFE21:NFG21"/>
    <mergeCell ref="NFH21:NFJ21"/>
    <mergeCell ref="NEA21:NEC21"/>
    <mergeCell ref="NED21:NEF21"/>
    <mergeCell ref="NEG21:NEI21"/>
    <mergeCell ref="NEJ21:NEL21"/>
    <mergeCell ref="NEM21:NEO21"/>
    <mergeCell ref="NEP21:NER21"/>
    <mergeCell ref="NDI21:NDK21"/>
    <mergeCell ref="NDL21:NDN21"/>
    <mergeCell ref="NDO21:NDQ21"/>
    <mergeCell ref="NDR21:NDT21"/>
    <mergeCell ref="NDU21:NDW21"/>
    <mergeCell ref="NDX21:NDZ21"/>
    <mergeCell ref="NCQ21:NCS21"/>
    <mergeCell ref="NCT21:NCV21"/>
    <mergeCell ref="NCW21:NCY21"/>
    <mergeCell ref="NCZ21:NDB21"/>
    <mergeCell ref="NDC21:NDE21"/>
    <mergeCell ref="NDF21:NDH21"/>
    <mergeCell ref="NBY21:NCA21"/>
    <mergeCell ref="NCB21:NCD21"/>
    <mergeCell ref="NCE21:NCG21"/>
    <mergeCell ref="NCH21:NCJ21"/>
    <mergeCell ref="NCK21:NCM21"/>
    <mergeCell ref="NCN21:NCP21"/>
    <mergeCell ref="NBG21:NBI21"/>
    <mergeCell ref="NBJ21:NBL21"/>
    <mergeCell ref="NBM21:NBO21"/>
    <mergeCell ref="NBP21:NBR21"/>
    <mergeCell ref="NBS21:NBU21"/>
    <mergeCell ref="NBV21:NBX21"/>
    <mergeCell ref="NAO21:NAQ21"/>
    <mergeCell ref="NAR21:NAT21"/>
    <mergeCell ref="NAU21:NAW21"/>
    <mergeCell ref="NAX21:NAZ21"/>
    <mergeCell ref="NBA21:NBC21"/>
    <mergeCell ref="NBD21:NBF21"/>
    <mergeCell ref="MZW21:MZY21"/>
    <mergeCell ref="MZZ21:NAB21"/>
    <mergeCell ref="NAC21:NAE21"/>
    <mergeCell ref="NAF21:NAH21"/>
    <mergeCell ref="NAI21:NAK21"/>
    <mergeCell ref="NAL21:NAN21"/>
    <mergeCell ref="MZE21:MZG21"/>
    <mergeCell ref="MZH21:MZJ21"/>
    <mergeCell ref="MZK21:MZM21"/>
    <mergeCell ref="MZN21:MZP21"/>
    <mergeCell ref="MZQ21:MZS21"/>
    <mergeCell ref="MZT21:MZV21"/>
    <mergeCell ref="MYM21:MYO21"/>
    <mergeCell ref="MYP21:MYR21"/>
    <mergeCell ref="MYS21:MYU21"/>
    <mergeCell ref="MYV21:MYX21"/>
    <mergeCell ref="MYY21:MZA21"/>
    <mergeCell ref="MZB21:MZD21"/>
    <mergeCell ref="MXU21:MXW21"/>
    <mergeCell ref="MXX21:MXZ21"/>
    <mergeCell ref="MYA21:MYC21"/>
    <mergeCell ref="MYD21:MYF21"/>
    <mergeCell ref="MYG21:MYI21"/>
    <mergeCell ref="MYJ21:MYL21"/>
    <mergeCell ref="MXC21:MXE21"/>
    <mergeCell ref="MXF21:MXH21"/>
    <mergeCell ref="MXI21:MXK21"/>
    <mergeCell ref="MXL21:MXN21"/>
    <mergeCell ref="MXO21:MXQ21"/>
    <mergeCell ref="MXR21:MXT21"/>
    <mergeCell ref="MWK21:MWM21"/>
    <mergeCell ref="MWN21:MWP21"/>
    <mergeCell ref="MWQ21:MWS21"/>
    <mergeCell ref="MWT21:MWV21"/>
    <mergeCell ref="MWW21:MWY21"/>
    <mergeCell ref="MWZ21:MXB21"/>
    <mergeCell ref="MVS21:MVU21"/>
    <mergeCell ref="MVV21:MVX21"/>
    <mergeCell ref="MVY21:MWA21"/>
    <mergeCell ref="MWB21:MWD21"/>
    <mergeCell ref="MWE21:MWG21"/>
    <mergeCell ref="MWH21:MWJ21"/>
    <mergeCell ref="MVA21:MVC21"/>
    <mergeCell ref="MVD21:MVF21"/>
    <mergeCell ref="MVG21:MVI21"/>
    <mergeCell ref="MVJ21:MVL21"/>
    <mergeCell ref="MVM21:MVO21"/>
    <mergeCell ref="MVP21:MVR21"/>
    <mergeCell ref="MUI21:MUK21"/>
    <mergeCell ref="MUL21:MUN21"/>
    <mergeCell ref="MUO21:MUQ21"/>
    <mergeCell ref="MUR21:MUT21"/>
    <mergeCell ref="MUU21:MUW21"/>
    <mergeCell ref="MUX21:MUZ21"/>
    <mergeCell ref="MTQ21:MTS21"/>
    <mergeCell ref="MTT21:MTV21"/>
    <mergeCell ref="MTW21:MTY21"/>
    <mergeCell ref="MTZ21:MUB21"/>
    <mergeCell ref="MUC21:MUE21"/>
    <mergeCell ref="MUF21:MUH21"/>
    <mergeCell ref="MSY21:MTA21"/>
    <mergeCell ref="MTB21:MTD21"/>
    <mergeCell ref="MTE21:MTG21"/>
    <mergeCell ref="MTH21:MTJ21"/>
    <mergeCell ref="MTK21:MTM21"/>
    <mergeCell ref="MTN21:MTP21"/>
    <mergeCell ref="MSG21:MSI21"/>
    <mergeCell ref="MSJ21:MSL21"/>
    <mergeCell ref="MSM21:MSO21"/>
    <mergeCell ref="MSP21:MSR21"/>
    <mergeCell ref="MSS21:MSU21"/>
    <mergeCell ref="MSV21:MSX21"/>
    <mergeCell ref="MRO21:MRQ21"/>
    <mergeCell ref="MRR21:MRT21"/>
    <mergeCell ref="MRU21:MRW21"/>
    <mergeCell ref="MRX21:MRZ21"/>
    <mergeCell ref="MSA21:MSC21"/>
    <mergeCell ref="MSD21:MSF21"/>
    <mergeCell ref="MQW21:MQY21"/>
    <mergeCell ref="MQZ21:MRB21"/>
    <mergeCell ref="MRC21:MRE21"/>
    <mergeCell ref="MRF21:MRH21"/>
    <mergeCell ref="MRI21:MRK21"/>
    <mergeCell ref="MRL21:MRN21"/>
    <mergeCell ref="MQE21:MQG21"/>
    <mergeCell ref="MQH21:MQJ21"/>
    <mergeCell ref="MQK21:MQM21"/>
    <mergeCell ref="MQN21:MQP21"/>
    <mergeCell ref="MQQ21:MQS21"/>
    <mergeCell ref="MQT21:MQV21"/>
    <mergeCell ref="MPM21:MPO21"/>
    <mergeCell ref="MPP21:MPR21"/>
    <mergeCell ref="MPS21:MPU21"/>
    <mergeCell ref="MPV21:MPX21"/>
    <mergeCell ref="MPY21:MQA21"/>
    <mergeCell ref="MQB21:MQD21"/>
    <mergeCell ref="MOU21:MOW21"/>
    <mergeCell ref="MOX21:MOZ21"/>
    <mergeCell ref="MPA21:MPC21"/>
    <mergeCell ref="MPD21:MPF21"/>
    <mergeCell ref="MPG21:MPI21"/>
    <mergeCell ref="MPJ21:MPL21"/>
    <mergeCell ref="MOC21:MOE21"/>
    <mergeCell ref="MOF21:MOH21"/>
    <mergeCell ref="MOI21:MOK21"/>
    <mergeCell ref="MOL21:MON21"/>
    <mergeCell ref="MOO21:MOQ21"/>
    <mergeCell ref="MOR21:MOT21"/>
    <mergeCell ref="MNK21:MNM21"/>
    <mergeCell ref="MNN21:MNP21"/>
    <mergeCell ref="MNQ21:MNS21"/>
    <mergeCell ref="MNT21:MNV21"/>
    <mergeCell ref="MNW21:MNY21"/>
    <mergeCell ref="MNZ21:MOB21"/>
    <mergeCell ref="MMS21:MMU21"/>
    <mergeCell ref="MMV21:MMX21"/>
    <mergeCell ref="MMY21:MNA21"/>
    <mergeCell ref="MNB21:MND21"/>
    <mergeCell ref="MNE21:MNG21"/>
    <mergeCell ref="MNH21:MNJ21"/>
    <mergeCell ref="MMA21:MMC21"/>
    <mergeCell ref="MMD21:MMF21"/>
    <mergeCell ref="MMG21:MMI21"/>
    <mergeCell ref="MMJ21:MML21"/>
    <mergeCell ref="MMM21:MMO21"/>
    <mergeCell ref="MMP21:MMR21"/>
    <mergeCell ref="MLI21:MLK21"/>
    <mergeCell ref="MLL21:MLN21"/>
    <mergeCell ref="MLO21:MLQ21"/>
    <mergeCell ref="MLR21:MLT21"/>
    <mergeCell ref="MLU21:MLW21"/>
    <mergeCell ref="MLX21:MLZ21"/>
    <mergeCell ref="MKQ21:MKS21"/>
    <mergeCell ref="MKT21:MKV21"/>
    <mergeCell ref="MKW21:MKY21"/>
    <mergeCell ref="MKZ21:MLB21"/>
    <mergeCell ref="MLC21:MLE21"/>
    <mergeCell ref="MLF21:MLH21"/>
    <mergeCell ref="MJY21:MKA21"/>
    <mergeCell ref="MKB21:MKD21"/>
    <mergeCell ref="MKE21:MKG21"/>
    <mergeCell ref="MKH21:MKJ21"/>
    <mergeCell ref="MKK21:MKM21"/>
    <mergeCell ref="MKN21:MKP21"/>
    <mergeCell ref="MJG21:MJI21"/>
    <mergeCell ref="MJJ21:MJL21"/>
    <mergeCell ref="MJM21:MJO21"/>
    <mergeCell ref="MJP21:MJR21"/>
    <mergeCell ref="MJS21:MJU21"/>
    <mergeCell ref="MJV21:MJX21"/>
    <mergeCell ref="MIO21:MIQ21"/>
    <mergeCell ref="MIR21:MIT21"/>
    <mergeCell ref="MIU21:MIW21"/>
    <mergeCell ref="MIX21:MIZ21"/>
    <mergeCell ref="MJA21:MJC21"/>
    <mergeCell ref="MJD21:MJF21"/>
    <mergeCell ref="MHW21:MHY21"/>
    <mergeCell ref="MHZ21:MIB21"/>
    <mergeCell ref="MIC21:MIE21"/>
    <mergeCell ref="MIF21:MIH21"/>
    <mergeCell ref="MII21:MIK21"/>
    <mergeCell ref="MIL21:MIN21"/>
    <mergeCell ref="MHE21:MHG21"/>
    <mergeCell ref="MHH21:MHJ21"/>
    <mergeCell ref="MHK21:MHM21"/>
    <mergeCell ref="MHN21:MHP21"/>
    <mergeCell ref="MHQ21:MHS21"/>
    <mergeCell ref="MHT21:MHV21"/>
    <mergeCell ref="MGM21:MGO21"/>
    <mergeCell ref="MGP21:MGR21"/>
    <mergeCell ref="MGS21:MGU21"/>
    <mergeCell ref="MGV21:MGX21"/>
    <mergeCell ref="MGY21:MHA21"/>
    <mergeCell ref="MHB21:MHD21"/>
    <mergeCell ref="MFU21:MFW21"/>
    <mergeCell ref="MFX21:MFZ21"/>
    <mergeCell ref="MGA21:MGC21"/>
    <mergeCell ref="MGD21:MGF21"/>
    <mergeCell ref="MGG21:MGI21"/>
    <mergeCell ref="MGJ21:MGL21"/>
    <mergeCell ref="MFC21:MFE21"/>
    <mergeCell ref="MFF21:MFH21"/>
    <mergeCell ref="MFI21:MFK21"/>
    <mergeCell ref="MFL21:MFN21"/>
    <mergeCell ref="MFO21:MFQ21"/>
    <mergeCell ref="MFR21:MFT21"/>
    <mergeCell ref="MEK21:MEM21"/>
    <mergeCell ref="MEN21:MEP21"/>
    <mergeCell ref="MEQ21:MES21"/>
    <mergeCell ref="MET21:MEV21"/>
    <mergeCell ref="MEW21:MEY21"/>
    <mergeCell ref="MEZ21:MFB21"/>
    <mergeCell ref="MDS21:MDU21"/>
    <mergeCell ref="MDV21:MDX21"/>
    <mergeCell ref="MDY21:MEA21"/>
    <mergeCell ref="MEB21:MED21"/>
    <mergeCell ref="MEE21:MEG21"/>
    <mergeCell ref="MEH21:MEJ21"/>
    <mergeCell ref="MDA21:MDC21"/>
    <mergeCell ref="MDD21:MDF21"/>
    <mergeCell ref="MDG21:MDI21"/>
    <mergeCell ref="MDJ21:MDL21"/>
    <mergeCell ref="MDM21:MDO21"/>
    <mergeCell ref="MDP21:MDR21"/>
    <mergeCell ref="MCI21:MCK21"/>
    <mergeCell ref="MCL21:MCN21"/>
    <mergeCell ref="MCO21:MCQ21"/>
    <mergeCell ref="MCR21:MCT21"/>
    <mergeCell ref="MCU21:MCW21"/>
    <mergeCell ref="MCX21:MCZ21"/>
    <mergeCell ref="MBQ21:MBS21"/>
    <mergeCell ref="MBT21:MBV21"/>
    <mergeCell ref="MBW21:MBY21"/>
    <mergeCell ref="MBZ21:MCB21"/>
    <mergeCell ref="MCC21:MCE21"/>
    <mergeCell ref="MCF21:MCH21"/>
    <mergeCell ref="MAY21:MBA21"/>
    <mergeCell ref="MBB21:MBD21"/>
    <mergeCell ref="MBE21:MBG21"/>
    <mergeCell ref="MBH21:MBJ21"/>
    <mergeCell ref="MBK21:MBM21"/>
    <mergeCell ref="MBN21:MBP21"/>
    <mergeCell ref="MAG21:MAI21"/>
    <mergeCell ref="MAJ21:MAL21"/>
    <mergeCell ref="MAM21:MAO21"/>
    <mergeCell ref="MAP21:MAR21"/>
    <mergeCell ref="MAS21:MAU21"/>
    <mergeCell ref="MAV21:MAX21"/>
    <mergeCell ref="LZO21:LZQ21"/>
    <mergeCell ref="LZR21:LZT21"/>
    <mergeCell ref="LZU21:LZW21"/>
    <mergeCell ref="LZX21:LZZ21"/>
    <mergeCell ref="MAA21:MAC21"/>
    <mergeCell ref="MAD21:MAF21"/>
    <mergeCell ref="LYW21:LYY21"/>
    <mergeCell ref="LYZ21:LZB21"/>
    <mergeCell ref="LZC21:LZE21"/>
    <mergeCell ref="LZF21:LZH21"/>
    <mergeCell ref="LZI21:LZK21"/>
    <mergeCell ref="LZL21:LZN21"/>
    <mergeCell ref="LYE21:LYG21"/>
    <mergeCell ref="LYH21:LYJ21"/>
    <mergeCell ref="LYK21:LYM21"/>
    <mergeCell ref="LYN21:LYP21"/>
    <mergeCell ref="LYQ21:LYS21"/>
    <mergeCell ref="LYT21:LYV21"/>
    <mergeCell ref="LXM21:LXO21"/>
    <mergeCell ref="LXP21:LXR21"/>
    <mergeCell ref="LXS21:LXU21"/>
    <mergeCell ref="LXV21:LXX21"/>
    <mergeCell ref="LXY21:LYA21"/>
    <mergeCell ref="LYB21:LYD21"/>
    <mergeCell ref="LWU21:LWW21"/>
    <mergeCell ref="LWX21:LWZ21"/>
    <mergeCell ref="LXA21:LXC21"/>
    <mergeCell ref="LXD21:LXF21"/>
    <mergeCell ref="LXG21:LXI21"/>
    <mergeCell ref="LXJ21:LXL21"/>
    <mergeCell ref="LWC21:LWE21"/>
    <mergeCell ref="LWF21:LWH21"/>
    <mergeCell ref="LWI21:LWK21"/>
    <mergeCell ref="LWL21:LWN21"/>
    <mergeCell ref="LWO21:LWQ21"/>
    <mergeCell ref="LWR21:LWT21"/>
    <mergeCell ref="LVK21:LVM21"/>
    <mergeCell ref="LVN21:LVP21"/>
    <mergeCell ref="LVQ21:LVS21"/>
    <mergeCell ref="LVT21:LVV21"/>
    <mergeCell ref="LVW21:LVY21"/>
    <mergeCell ref="LVZ21:LWB21"/>
    <mergeCell ref="LUS21:LUU21"/>
    <mergeCell ref="LUV21:LUX21"/>
    <mergeCell ref="LUY21:LVA21"/>
    <mergeCell ref="LVB21:LVD21"/>
    <mergeCell ref="LVE21:LVG21"/>
    <mergeCell ref="LVH21:LVJ21"/>
    <mergeCell ref="LUA21:LUC21"/>
    <mergeCell ref="LUD21:LUF21"/>
    <mergeCell ref="LUG21:LUI21"/>
    <mergeCell ref="LUJ21:LUL21"/>
    <mergeCell ref="LUM21:LUO21"/>
    <mergeCell ref="LUP21:LUR21"/>
    <mergeCell ref="LTI21:LTK21"/>
    <mergeCell ref="LTL21:LTN21"/>
    <mergeCell ref="LTO21:LTQ21"/>
    <mergeCell ref="LTR21:LTT21"/>
    <mergeCell ref="LTU21:LTW21"/>
    <mergeCell ref="LTX21:LTZ21"/>
    <mergeCell ref="LSQ21:LSS21"/>
    <mergeCell ref="LST21:LSV21"/>
    <mergeCell ref="LSW21:LSY21"/>
    <mergeCell ref="LSZ21:LTB21"/>
    <mergeCell ref="LTC21:LTE21"/>
    <mergeCell ref="LTF21:LTH21"/>
    <mergeCell ref="LRY21:LSA21"/>
    <mergeCell ref="LSB21:LSD21"/>
    <mergeCell ref="LSE21:LSG21"/>
    <mergeCell ref="LSH21:LSJ21"/>
    <mergeCell ref="LSK21:LSM21"/>
    <mergeCell ref="LSN21:LSP21"/>
    <mergeCell ref="LRG21:LRI21"/>
    <mergeCell ref="LRJ21:LRL21"/>
    <mergeCell ref="LRM21:LRO21"/>
    <mergeCell ref="LRP21:LRR21"/>
    <mergeCell ref="LRS21:LRU21"/>
    <mergeCell ref="LRV21:LRX21"/>
    <mergeCell ref="LQO21:LQQ21"/>
    <mergeCell ref="LQR21:LQT21"/>
    <mergeCell ref="LQU21:LQW21"/>
    <mergeCell ref="LQX21:LQZ21"/>
    <mergeCell ref="LRA21:LRC21"/>
    <mergeCell ref="LRD21:LRF21"/>
    <mergeCell ref="LPW21:LPY21"/>
    <mergeCell ref="LPZ21:LQB21"/>
    <mergeCell ref="LQC21:LQE21"/>
    <mergeCell ref="LQF21:LQH21"/>
    <mergeCell ref="LQI21:LQK21"/>
    <mergeCell ref="LQL21:LQN21"/>
    <mergeCell ref="LPE21:LPG21"/>
    <mergeCell ref="LPH21:LPJ21"/>
    <mergeCell ref="LPK21:LPM21"/>
    <mergeCell ref="LPN21:LPP21"/>
    <mergeCell ref="LPQ21:LPS21"/>
    <mergeCell ref="LPT21:LPV21"/>
    <mergeCell ref="LOM21:LOO21"/>
    <mergeCell ref="LOP21:LOR21"/>
    <mergeCell ref="LOS21:LOU21"/>
    <mergeCell ref="LOV21:LOX21"/>
    <mergeCell ref="LOY21:LPA21"/>
    <mergeCell ref="LPB21:LPD21"/>
    <mergeCell ref="LNU21:LNW21"/>
    <mergeCell ref="LNX21:LNZ21"/>
    <mergeCell ref="LOA21:LOC21"/>
    <mergeCell ref="LOD21:LOF21"/>
    <mergeCell ref="LOG21:LOI21"/>
    <mergeCell ref="LOJ21:LOL21"/>
    <mergeCell ref="LNC21:LNE21"/>
    <mergeCell ref="LNF21:LNH21"/>
    <mergeCell ref="LNI21:LNK21"/>
    <mergeCell ref="LNL21:LNN21"/>
    <mergeCell ref="LNO21:LNQ21"/>
    <mergeCell ref="LNR21:LNT21"/>
    <mergeCell ref="LMK21:LMM21"/>
    <mergeCell ref="LMN21:LMP21"/>
    <mergeCell ref="LMQ21:LMS21"/>
    <mergeCell ref="LMT21:LMV21"/>
    <mergeCell ref="LMW21:LMY21"/>
    <mergeCell ref="LMZ21:LNB21"/>
    <mergeCell ref="LLS21:LLU21"/>
    <mergeCell ref="LLV21:LLX21"/>
    <mergeCell ref="LLY21:LMA21"/>
    <mergeCell ref="LMB21:LMD21"/>
    <mergeCell ref="LME21:LMG21"/>
    <mergeCell ref="LMH21:LMJ21"/>
    <mergeCell ref="LLA21:LLC21"/>
    <mergeCell ref="LLD21:LLF21"/>
    <mergeCell ref="LLG21:LLI21"/>
    <mergeCell ref="LLJ21:LLL21"/>
    <mergeCell ref="LLM21:LLO21"/>
    <mergeCell ref="LLP21:LLR21"/>
    <mergeCell ref="LKI21:LKK21"/>
    <mergeCell ref="LKL21:LKN21"/>
    <mergeCell ref="LKO21:LKQ21"/>
    <mergeCell ref="LKR21:LKT21"/>
    <mergeCell ref="LKU21:LKW21"/>
    <mergeCell ref="LKX21:LKZ21"/>
    <mergeCell ref="LJQ21:LJS21"/>
    <mergeCell ref="LJT21:LJV21"/>
    <mergeCell ref="LJW21:LJY21"/>
    <mergeCell ref="LJZ21:LKB21"/>
    <mergeCell ref="LKC21:LKE21"/>
    <mergeCell ref="LKF21:LKH21"/>
    <mergeCell ref="LIY21:LJA21"/>
    <mergeCell ref="LJB21:LJD21"/>
    <mergeCell ref="LJE21:LJG21"/>
    <mergeCell ref="LJH21:LJJ21"/>
    <mergeCell ref="LJK21:LJM21"/>
    <mergeCell ref="LJN21:LJP21"/>
    <mergeCell ref="LIG21:LII21"/>
    <mergeCell ref="LIJ21:LIL21"/>
    <mergeCell ref="LIM21:LIO21"/>
    <mergeCell ref="LIP21:LIR21"/>
    <mergeCell ref="LIS21:LIU21"/>
    <mergeCell ref="LIV21:LIX21"/>
    <mergeCell ref="LHO21:LHQ21"/>
    <mergeCell ref="LHR21:LHT21"/>
    <mergeCell ref="LHU21:LHW21"/>
    <mergeCell ref="LHX21:LHZ21"/>
    <mergeCell ref="LIA21:LIC21"/>
    <mergeCell ref="LID21:LIF21"/>
    <mergeCell ref="LGW21:LGY21"/>
    <mergeCell ref="LGZ21:LHB21"/>
    <mergeCell ref="LHC21:LHE21"/>
    <mergeCell ref="LHF21:LHH21"/>
    <mergeCell ref="LHI21:LHK21"/>
    <mergeCell ref="LHL21:LHN21"/>
    <mergeCell ref="LGE21:LGG21"/>
    <mergeCell ref="LGH21:LGJ21"/>
    <mergeCell ref="LGK21:LGM21"/>
    <mergeCell ref="LGN21:LGP21"/>
    <mergeCell ref="LGQ21:LGS21"/>
    <mergeCell ref="LGT21:LGV21"/>
    <mergeCell ref="LFM21:LFO21"/>
    <mergeCell ref="LFP21:LFR21"/>
    <mergeCell ref="LFS21:LFU21"/>
    <mergeCell ref="LFV21:LFX21"/>
    <mergeCell ref="LFY21:LGA21"/>
    <mergeCell ref="LGB21:LGD21"/>
    <mergeCell ref="LEU21:LEW21"/>
    <mergeCell ref="LEX21:LEZ21"/>
    <mergeCell ref="LFA21:LFC21"/>
    <mergeCell ref="LFD21:LFF21"/>
    <mergeCell ref="LFG21:LFI21"/>
    <mergeCell ref="LFJ21:LFL21"/>
    <mergeCell ref="LEC21:LEE21"/>
    <mergeCell ref="LEF21:LEH21"/>
    <mergeCell ref="LEI21:LEK21"/>
    <mergeCell ref="LEL21:LEN21"/>
    <mergeCell ref="LEO21:LEQ21"/>
    <mergeCell ref="LER21:LET21"/>
    <mergeCell ref="LDK21:LDM21"/>
    <mergeCell ref="LDN21:LDP21"/>
    <mergeCell ref="LDQ21:LDS21"/>
    <mergeCell ref="LDT21:LDV21"/>
    <mergeCell ref="LDW21:LDY21"/>
    <mergeCell ref="LDZ21:LEB21"/>
    <mergeCell ref="LCS21:LCU21"/>
    <mergeCell ref="LCV21:LCX21"/>
    <mergeCell ref="LCY21:LDA21"/>
    <mergeCell ref="LDB21:LDD21"/>
    <mergeCell ref="LDE21:LDG21"/>
    <mergeCell ref="LDH21:LDJ21"/>
    <mergeCell ref="LCA21:LCC21"/>
    <mergeCell ref="LCD21:LCF21"/>
    <mergeCell ref="LCG21:LCI21"/>
    <mergeCell ref="LCJ21:LCL21"/>
    <mergeCell ref="LCM21:LCO21"/>
    <mergeCell ref="LCP21:LCR21"/>
    <mergeCell ref="LBI21:LBK21"/>
    <mergeCell ref="LBL21:LBN21"/>
    <mergeCell ref="LBO21:LBQ21"/>
    <mergeCell ref="LBR21:LBT21"/>
    <mergeCell ref="LBU21:LBW21"/>
    <mergeCell ref="LBX21:LBZ21"/>
    <mergeCell ref="LAQ21:LAS21"/>
    <mergeCell ref="LAT21:LAV21"/>
    <mergeCell ref="LAW21:LAY21"/>
    <mergeCell ref="LAZ21:LBB21"/>
    <mergeCell ref="LBC21:LBE21"/>
    <mergeCell ref="LBF21:LBH21"/>
    <mergeCell ref="KZY21:LAA21"/>
    <mergeCell ref="LAB21:LAD21"/>
    <mergeCell ref="LAE21:LAG21"/>
    <mergeCell ref="LAH21:LAJ21"/>
    <mergeCell ref="LAK21:LAM21"/>
    <mergeCell ref="LAN21:LAP21"/>
    <mergeCell ref="KZG21:KZI21"/>
    <mergeCell ref="KZJ21:KZL21"/>
    <mergeCell ref="KZM21:KZO21"/>
    <mergeCell ref="KZP21:KZR21"/>
    <mergeCell ref="KZS21:KZU21"/>
    <mergeCell ref="KZV21:KZX21"/>
    <mergeCell ref="KYO21:KYQ21"/>
    <mergeCell ref="KYR21:KYT21"/>
    <mergeCell ref="KYU21:KYW21"/>
    <mergeCell ref="KYX21:KYZ21"/>
    <mergeCell ref="KZA21:KZC21"/>
    <mergeCell ref="KZD21:KZF21"/>
    <mergeCell ref="KXW21:KXY21"/>
    <mergeCell ref="KXZ21:KYB21"/>
    <mergeCell ref="KYC21:KYE21"/>
    <mergeCell ref="KYF21:KYH21"/>
    <mergeCell ref="KYI21:KYK21"/>
    <mergeCell ref="KYL21:KYN21"/>
    <mergeCell ref="KXE21:KXG21"/>
    <mergeCell ref="KXH21:KXJ21"/>
    <mergeCell ref="KXK21:KXM21"/>
    <mergeCell ref="KXN21:KXP21"/>
    <mergeCell ref="KXQ21:KXS21"/>
    <mergeCell ref="KXT21:KXV21"/>
    <mergeCell ref="KWM21:KWO21"/>
    <mergeCell ref="KWP21:KWR21"/>
    <mergeCell ref="KWS21:KWU21"/>
    <mergeCell ref="KWV21:KWX21"/>
    <mergeCell ref="KWY21:KXA21"/>
    <mergeCell ref="KXB21:KXD21"/>
    <mergeCell ref="KVU21:KVW21"/>
    <mergeCell ref="KVX21:KVZ21"/>
    <mergeCell ref="KWA21:KWC21"/>
    <mergeCell ref="KWD21:KWF21"/>
    <mergeCell ref="KWG21:KWI21"/>
    <mergeCell ref="KWJ21:KWL21"/>
    <mergeCell ref="KVC21:KVE21"/>
    <mergeCell ref="KVF21:KVH21"/>
    <mergeCell ref="KVI21:KVK21"/>
    <mergeCell ref="KVL21:KVN21"/>
    <mergeCell ref="KVO21:KVQ21"/>
    <mergeCell ref="KVR21:KVT21"/>
    <mergeCell ref="KUK21:KUM21"/>
    <mergeCell ref="KUN21:KUP21"/>
    <mergeCell ref="KUQ21:KUS21"/>
    <mergeCell ref="KUT21:KUV21"/>
    <mergeCell ref="KUW21:KUY21"/>
    <mergeCell ref="KUZ21:KVB21"/>
    <mergeCell ref="KTS21:KTU21"/>
    <mergeCell ref="KTV21:KTX21"/>
    <mergeCell ref="KTY21:KUA21"/>
    <mergeCell ref="KUB21:KUD21"/>
    <mergeCell ref="KUE21:KUG21"/>
    <mergeCell ref="KUH21:KUJ21"/>
    <mergeCell ref="KTA21:KTC21"/>
    <mergeCell ref="KTD21:KTF21"/>
    <mergeCell ref="KTG21:KTI21"/>
    <mergeCell ref="KTJ21:KTL21"/>
    <mergeCell ref="KTM21:KTO21"/>
    <mergeCell ref="KTP21:KTR21"/>
    <mergeCell ref="KSI21:KSK21"/>
    <mergeCell ref="KSL21:KSN21"/>
    <mergeCell ref="KSO21:KSQ21"/>
    <mergeCell ref="KSR21:KST21"/>
    <mergeCell ref="KSU21:KSW21"/>
    <mergeCell ref="KSX21:KSZ21"/>
    <mergeCell ref="KRQ21:KRS21"/>
    <mergeCell ref="KRT21:KRV21"/>
    <mergeCell ref="KRW21:KRY21"/>
    <mergeCell ref="KRZ21:KSB21"/>
    <mergeCell ref="KSC21:KSE21"/>
    <mergeCell ref="KSF21:KSH21"/>
    <mergeCell ref="KQY21:KRA21"/>
    <mergeCell ref="KRB21:KRD21"/>
    <mergeCell ref="KRE21:KRG21"/>
    <mergeCell ref="KRH21:KRJ21"/>
    <mergeCell ref="KRK21:KRM21"/>
    <mergeCell ref="KRN21:KRP21"/>
    <mergeCell ref="KQG21:KQI21"/>
    <mergeCell ref="KQJ21:KQL21"/>
    <mergeCell ref="KQM21:KQO21"/>
    <mergeCell ref="KQP21:KQR21"/>
    <mergeCell ref="KQS21:KQU21"/>
    <mergeCell ref="KQV21:KQX21"/>
    <mergeCell ref="KPO21:KPQ21"/>
    <mergeCell ref="KPR21:KPT21"/>
    <mergeCell ref="KPU21:KPW21"/>
    <mergeCell ref="KPX21:KPZ21"/>
    <mergeCell ref="KQA21:KQC21"/>
    <mergeCell ref="KQD21:KQF21"/>
    <mergeCell ref="KOW21:KOY21"/>
    <mergeCell ref="KOZ21:KPB21"/>
    <mergeCell ref="KPC21:KPE21"/>
    <mergeCell ref="KPF21:KPH21"/>
    <mergeCell ref="KPI21:KPK21"/>
    <mergeCell ref="KPL21:KPN21"/>
    <mergeCell ref="KOE21:KOG21"/>
    <mergeCell ref="KOH21:KOJ21"/>
    <mergeCell ref="KOK21:KOM21"/>
    <mergeCell ref="KON21:KOP21"/>
    <mergeCell ref="KOQ21:KOS21"/>
    <mergeCell ref="KOT21:KOV21"/>
    <mergeCell ref="KNM21:KNO21"/>
    <mergeCell ref="KNP21:KNR21"/>
    <mergeCell ref="KNS21:KNU21"/>
    <mergeCell ref="KNV21:KNX21"/>
    <mergeCell ref="KNY21:KOA21"/>
    <mergeCell ref="KOB21:KOD21"/>
    <mergeCell ref="KMU21:KMW21"/>
    <mergeCell ref="KMX21:KMZ21"/>
    <mergeCell ref="KNA21:KNC21"/>
    <mergeCell ref="KND21:KNF21"/>
    <mergeCell ref="KNG21:KNI21"/>
    <mergeCell ref="KNJ21:KNL21"/>
    <mergeCell ref="KMC21:KME21"/>
    <mergeCell ref="KMF21:KMH21"/>
    <mergeCell ref="KMI21:KMK21"/>
    <mergeCell ref="KML21:KMN21"/>
    <mergeCell ref="KMO21:KMQ21"/>
    <mergeCell ref="KMR21:KMT21"/>
    <mergeCell ref="KLK21:KLM21"/>
    <mergeCell ref="KLN21:KLP21"/>
    <mergeCell ref="KLQ21:KLS21"/>
    <mergeCell ref="KLT21:KLV21"/>
    <mergeCell ref="KLW21:KLY21"/>
    <mergeCell ref="KLZ21:KMB21"/>
    <mergeCell ref="KKS21:KKU21"/>
    <mergeCell ref="KKV21:KKX21"/>
    <mergeCell ref="KKY21:KLA21"/>
    <mergeCell ref="KLB21:KLD21"/>
    <mergeCell ref="KLE21:KLG21"/>
    <mergeCell ref="KLH21:KLJ21"/>
    <mergeCell ref="KKA21:KKC21"/>
    <mergeCell ref="KKD21:KKF21"/>
    <mergeCell ref="KKG21:KKI21"/>
    <mergeCell ref="KKJ21:KKL21"/>
    <mergeCell ref="KKM21:KKO21"/>
    <mergeCell ref="KKP21:KKR21"/>
    <mergeCell ref="KJI21:KJK21"/>
    <mergeCell ref="KJL21:KJN21"/>
    <mergeCell ref="KJO21:KJQ21"/>
    <mergeCell ref="KJR21:KJT21"/>
    <mergeCell ref="KJU21:KJW21"/>
    <mergeCell ref="KJX21:KJZ21"/>
    <mergeCell ref="KIQ21:KIS21"/>
    <mergeCell ref="KIT21:KIV21"/>
    <mergeCell ref="KIW21:KIY21"/>
    <mergeCell ref="KIZ21:KJB21"/>
    <mergeCell ref="KJC21:KJE21"/>
    <mergeCell ref="KJF21:KJH21"/>
    <mergeCell ref="KHY21:KIA21"/>
    <mergeCell ref="KIB21:KID21"/>
    <mergeCell ref="KIE21:KIG21"/>
    <mergeCell ref="KIH21:KIJ21"/>
    <mergeCell ref="KIK21:KIM21"/>
    <mergeCell ref="KIN21:KIP21"/>
    <mergeCell ref="KHG21:KHI21"/>
    <mergeCell ref="KHJ21:KHL21"/>
    <mergeCell ref="KHM21:KHO21"/>
    <mergeCell ref="KHP21:KHR21"/>
    <mergeCell ref="KHS21:KHU21"/>
    <mergeCell ref="KHV21:KHX21"/>
    <mergeCell ref="KGO21:KGQ21"/>
    <mergeCell ref="KGR21:KGT21"/>
    <mergeCell ref="KGU21:KGW21"/>
    <mergeCell ref="KGX21:KGZ21"/>
    <mergeCell ref="KHA21:KHC21"/>
    <mergeCell ref="KHD21:KHF21"/>
    <mergeCell ref="KFW21:KFY21"/>
    <mergeCell ref="KFZ21:KGB21"/>
    <mergeCell ref="KGC21:KGE21"/>
    <mergeCell ref="KGF21:KGH21"/>
    <mergeCell ref="KGI21:KGK21"/>
    <mergeCell ref="KGL21:KGN21"/>
    <mergeCell ref="KFE21:KFG21"/>
    <mergeCell ref="KFH21:KFJ21"/>
    <mergeCell ref="KFK21:KFM21"/>
    <mergeCell ref="KFN21:KFP21"/>
    <mergeCell ref="KFQ21:KFS21"/>
    <mergeCell ref="KFT21:KFV21"/>
    <mergeCell ref="KEM21:KEO21"/>
    <mergeCell ref="KEP21:KER21"/>
    <mergeCell ref="KES21:KEU21"/>
    <mergeCell ref="KEV21:KEX21"/>
    <mergeCell ref="KEY21:KFA21"/>
    <mergeCell ref="KFB21:KFD21"/>
    <mergeCell ref="KDU21:KDW21"/>
    <mergeCell ref="KDX21:KDZ21"/>
    <mergeCell ref="KEA21:KEC21"/>
    <mergeCell ref="KED21:KEF21"/>
    <mergeCell ref="KEG21:KEI21"/>
    <mergeCell ref="KEJ21:KEL21"/>
    <mergeCell ref="KDC21:KDE21"/>
    <mergeCell ref="KDF21:KDH21"/>
    <mergeCell ref="KDI21:KDK21"/>
    <mergeCell ref="KDL21:KDN21"/>
    <mergeCell ref="KDO21:KDQ21"/>
    <mergeCell ref="KDR21:KDT21"/>
    <mergeCell ref="KCK21:KCM21"/>
    <mergeCell ref="KCN21:KCP21"/>
    <mergeCell ref="KCQ21:KCS21"/>
    <mergeCell ref="KCT21:KCV21"/>
    <mergeCell ref="KCW21:KCY21"/>
    <mergeCell ref="KCZ21:KDB21"/>
    <mergeCell ref="KBS21:KBU21"/>
    <mergeCell ref="KBV21:KBX21"/>
    <mergeCell ref="KBY21:KCA21"/>
    <mergeCell ref="KCB21:KCD21"/>
    <mergeCell ref="KCE21:KCG21"/>
    <mergeCell ref="KCH21:KCJ21"/>
    <mergeCell ref="KBA21:KBC21"/>
    <mergeCell ref="KBD21:KBF21"/>
    <mergeCell ref="KBG21:KBI21"/>
    <mergeCell ref="KBJ21:KBL21"/>
    <mergeCell ref="KBM21:KBO21"/>
    <mergeCell ref="KBP21:KBR21"/>
    <mergeCell ref="KAI21:KAK21"/>
    <mergeCell ref="KAL21:KAN21"/>
    <mergeCell ref="KAO21:KAQ21"/>
    <mergeCell ref="KAR21:KAT21"/>
    <mergeCell ref="KAU21:KAW21"/>
    <mergeCell ref="KAX21:KAZ21"/>
    <mergeCell ref="JZQ21:JZS21"/>
    <mergeCell ref="JZT21:JZV21"/>
    <mergeCell ref="JZW21:JZY21"/>
    <mergeCell ref="JZZ21:KAB21"/>
    <mergeCell ref="KAC21:KAE21"/>
    <mergeCell ref="KAF21:KAH21"/>
    <mergeCell ref="JYY21:JZA21"/>
    <mergeCell ref="JZB21:JZD21"/>
    <mergeCell ref="JZE21:JZG21"/>
    <mergeCell ref="JZH21:JZJ21"/>
    <mergeCell ref="JZK21:JZM21"/>
    <mergeCell ref="JZN21:JZP21"/>
    <mergeCell ref="JYG21:JYI21"/>
    <mergeCell ref="JYJ21:JYL21"/>
    <mergeCell ref="JYM21:JYO21"/>
    <mergeCell ref="JYP21:JYR21"/>
    <mergeCell ref="JYS21:JYU21"/>
    <mergeCell ref="JYV21:JYX21"/>
    <mergeCell ref="JXO21:JXQ21"/>
    <mergeCell ref="JXR21:JXT21"/>
    <mergeCell ref="JXU21:JXW21"/>
    <mergeCell ref="JXX21:JXZ21"/>
    <mergeCell ref="JYA21:JYC21"/>
    <mergeCell ref="JYD21:JYF21"/>
    <mergeCell ref="JWW21:JWY21"/>
    <mergeCell ref="JWZ21:JXB21"/>
    <mergeCell ref="JXC21:JXE21"/>
    <mergeCell ref="JXF21:JXH21"/>
    <mergeCell ref="JXI21:JXK21"/>
    <mergeCell ref="JXL21:JXN21"/>
    <mergeCell ref="JWE21:JWG21"/>
    <mergeCell ref="JWH21:JWJ21"/>
    <mergeCell ref="JWK21:JWM21"/>
    <mergeCell ref="JWN21:JWP21"/>
    <mergeCell ref="JWQ21:JWS21"/>
    <mergeCell ref="JWT21:JWV21"/>
    <mergeCell ref="JVM21:JVO21"/>
    <mergeCell ref="JVP21:JVR21"/>
    <mergeCell ref="JVS21:JVU21"/>
    <mergeCell ref="JVV21:JVX21"/>
    <mergeCell ref="JVY21:JWA21"/>
    <mergeCell ref="JWB21:JWD21"/>
    <mergeCell ref="JUU21:JUW21"/>
    <mergeCell ref="JUX21:JUZ21"/>
    <mergeCell ref="JVA21:JVC21"/>
    <mergeCell ref="JVD21:JVF21"/>
    <mergeCell ref="JVG21:JVI21"/>
    <mergeCell ref="JVJ21:JVL21"/>
    <mergeCell ref="JUC21:JUE21"/>
    <mergeCell ref="JUF21:JUH21"/>
    <mergeCell ref="JUI21:JUK21"/>
    <mergeCell ref="JUL21:JUN21"/>
    <mergeCell ref="JUO21:JUQ21"/>
    <mergeCell ref="JUR21:JUT21"/>
    <mergeCell ref="JTK21:JTM21"/>
    <mergeCell ref="JTN21:JTP21"/>
    <mergeCell ref="JTQ21:JTS21"/>
    <mergeCell ref="JTT21:JTV21"/>
    <mergeCell ref="JTW21:JTY21"/>
    <mergeCell ref="JTZ21:JUB21"/>
    <mergeCell ref="JSS21:JSU21"/>
    <mergeCell ref="JSV21:JSX21"/>
    <mergeCell ref="JSY21:JTA21"/>
    <mergeCell ref="JTB21:JTD21"/>
    <mergeCell ref="JTE21:JTG21"/>
    <mergeCell ref="JTH21:JTJ21"/>
    <mergeCell ref="JSA21:JSC21"/>
    <mergeCell ref="JSD21:JSF21"/>
    <mergeCell ref="JSG21:JSI21"/>
    <mergeCell ref="JSJ21:JSL21"/>
    <mergeCell ref="JSM21:JSO21"/>
    <mergeCell ref="JSP21:JSR21"/>
    <mergeCell ref="JRI21:JRK21"/>
    <mergeCell ref="JRL21:JRN21"/>
    <mergeCell ref="JRO21:JRQ21"/>
    <mergeCell ref="JRR21:JRT21"/>
    <mergeCell ref="JRU21:JRW21"/>
    <mergeCell ref="JRX21:JRZ21"/>
    <mergeCell ref="JQQ21:JQS21"/>
    <mergeCell ref="JQT21:JQV21"/>
    <mergeCell ref="JQW21:JQY21"/>
    <mergeCell ref="JQZ21:JRB21"/>
    <mergeCell ref="JRC21:JRE21"/>
    <mergeCell ref="JRF21:JRH21"/>
    <mergeCell ref="JPY21:JQA21"/>
    <mergeCell ref="JQB21:JQD21"/>
    <mergeCell ref="JQE21:JQG21"/>
    <mergeCell ref="JQH21:JQJ21"/>
    <mergeCell ref="JQK21:JQM21"/>
    <mergeCell ref="JQN21:JQP21"/>
    <mergeCell ref="JPG21:JPI21"/>
    <mergeCell ref="JPJ21:JPL21"/>
    <mergeCell ref="JPM21:JPO21"/>
    <mergeCell ref="JPP21:JPR21"/>
    <mergeCell ref="JPS21:JPU21"/>
    <mergeCell ref="JPV21:JPX21"/>
    <mergeCell ref="JOO21:JOQ21"/>
    <mergeCell ref="JOR21:JOT21"/>
    <mergeCell ref="JOU21:JOW21"/>
    <mergeCell ref="JOX21:JOZ21"/>
    <mergeCell ref="JPA21:JPC21"/>
    <mergeCell ref="JPD21:JPF21"/>
    <mergeCell ref="JNW21:JNY21"/>
    <mergeCell ref="JNZ21:JOB21"/>
    <mergeCell ref="JOC21:JOE21"/>
    <mergeCell ref="JOF21:JOH21"/>
    <mergeCell ref="JOI21:JOK21"/>
    <mergeCell ref="JOL21:JON21"/>
    <mergeCell ref="JNE21:JNG21"/>
    <mergeCell ref="JNH21:JNJ21"/>
    <mergeCell ref="JNK21:JNM21"/>
    <mergeCell ref="JNN21:JNP21"/>
    <mergeCell ref="JNQ21:JNS21"/>
    <mergeCell ref="JNT21:JNV21"/>
    <mergeCell ref="JMM21:JMO21"/>
    <mergeCell ref="JMP21:JMR21"/>
    <mergeCell ref="JMS21:JMU21"/>
    <mergeCell ref="JMV21:JMX21"/>
    <mergeCell ref="JMY21:JNA21"/>
    <mergeCell ref="JNB21:JND21"/>
    <mergeCell ref="JLU21:JLW21"/>
    <mergeCell ref="JLX21:JLZ21"/>
    <mergeCell ref="JMA21:JMC21"/>
    <mergeCell ref="JMD21:JMF21"/>
    <mergeCell ref="JMG21:JMI21"/>
    <mergeCell ref="JMJ21:JML21"/>
    <mergeCell ref="JLC21:JLE21"/>
    <mergeCell ref="JLF21:JLH21"/>
    <mergeCell ref="JLI21:JLK21"/>
    <mergeCell ref="JLL21:JLN21"/>
    <mergeCell ref="JLO21:JLQ21"/>
    <mergeCell ref="JLR21:JLT21"/>
    <mergeCell ref="JKK21:JKM21"/>
    <mergeCell ref="JKN21:JKP21"/>
    <mergeCell ref="JKQ21:JKS21"/>
    <mergeCell ref="JKT21:JKV21"/>
    <mergeCell ref="JKW21:JKY21"/>
    <mergeCell ref="JKZ21:JLB21"/>
    <mergeCell ref="JJS21:JJU21"/>
    <mergeCell ref="JJV21:JJX21"/>
    <mergeCell ref="JJY21:JKA21"/>
    <mergeCell ref="JKB21:JKD21"/>
    <mergeCell ref="JKE21:JKG21"/>
    <mergeCell ref="JKH21:JKJ21"/>
    <mergeCell ref="JJA21:JJC21"/>
    <mergeCell ref="JJD21:JJF21"/>
    <mergeCell ref="JJG21:JJI21"/>
    <mergeCell ref="JJJ21:JJL21"/>
    <mergeCell ref="JJM21:JJO21"/>
    <mergeCell ref="JJP21:JJR21"/>
    <mergeCell ref="JII21:JIK21"/>
    <mergeCell ref="JIL21:JIN21"/>
    <mergeCell ref="JIO21:JIQ21"/>
    <mergeCell ref="JIR21:JIT21"/>
    <mergeCell ref="JIU21:JIW21"/>
    <mergeCell ref="JIX21:JIZ21"/>
    <mergeCell ref="JHQ21:JHS21"/>
    <mergeCell ref="JHT21:JHV21"/>
    <mergeCell ref="JHW21:JHY21"/>
    <mergeCell ref="JHZ21:JIB21"/>
    <mergeCell ref="JIC21:JIE21"/>
    <mergeCell ref="JIF21:JIH21"/>
    <mergeCell ref="JGY21:JHA21"/>
    <mergeCell ref="JHB21:JHD21"/>
    <mergeCell ref="JHE21:JHG21"/>
    <mergeCell ref="JHH21:JHJ21"/>
    <mergeCell ref="JHK21:JHM21"/>
    <mergeCell ref="JHN21:JHP21"/>
    <mergeCell ref="JGG21:JGI21"/>
    <mergeCell ref="JGJ21:JGL21"/>
    <mergeCell ref="JGM21:JGO21"/>
    <mergeCell ref="JGP21:JGR21"/>
    <mergeCell ref="JGS21:JGU21"/>
    <mergeCell ref="JGV21:JGX21"/>
    <mergeCell ref="JFO21:JFQ21"/>
    <mergeCell ref="JFR21:JFT21"/>
    <mergeCell ref="JFU21:JFW21"/>
    <mergeCell ref="JFX21:JFZ21"/>
    <mergeCell ref="JGA21:JGC21"/>
    <mergeCell ref="JGD21:JGF21"/>
    <mergeCell ref="JEW21:JEY21"/>
    <mergeCell ref="JEZ21:JFB21"/>
    <mergeCell ref="JFC21:JFE21"/>
    <mergeCell ref="JFF21:JFH21"/>
    <mergeCell ref="JFI21:JFK21"/>
    <mergeCell ref="JFL21:JFN21"/>
    <mergeCell ref="JEE21:JEG21"/>
    <mergeCell ref="JEH21:JEJ21"/>
    <mergeCell ref="JEK21:JEM21"/>
    <mergeCell ref="JEN21:JEP21"/>
    <mergeCell ref="JEQ21:JES21"/>
    <mergeCell ref="JET21:JEV21"/>
    <mergeCell ref="JDM21:JDO21"/>
    <mergeCell ref="JDP21:JDR21"/>
    <mergeCell ref="JDS21:JDU21"/>
    <mergeCell ref="JDV21:JDX21"/>
    <mergeCell ref="JDY21:JEA21"/>
    <mergeCell ref="JEB21:JED21"/>
    <mergeCell ref="JCU21:JCW21"/>
    <mergeCell ref="JCX21:JCZ21"/>
    <mergeCell ref="JDA21:JDC21"/>
    <mergeCell ref="JDD21:JDF21"/>
    <mergeCell ref="JDG21:JDI21"/>
    <mergeCell ref="JDJ21:JDL21"/>
    <mergeCell ref="JCC21:JCE21"/>
    <mergeCell ref="JCF21:JCH21"/>
    <mergeCell ref="JCI21:JCK21"/>
    <mergeCell ref="JCL21:JCN21"/>
    <mergeCell ref="JCO21:JCQ21"/>
    <mergeCell ref="JCR21:JCT21"/>
    <mergeCell ref="JBK21:JBM21"/>
    <mergeCell ref="JBN21:JBP21"/>
    <mergeCell ref="JBQ21:JBS21"/>
    <mergeCell ref="JBT21:JBV21"/>
    <mergeCell ref="JBW21:JBY21"/>
    <mergeCell ref="JBZ21:JCB21"/>
    <mergeCell ref="JAS21:JAU21"/>
    <mergeCell ref="JAV21:JAX21"/>
    <mergeCell ref="JAY21:JBA21"/>
    <mergeCell ref="JBB21:JBD21"/>
    <mergeCell ref="JBE21:JBG21"/>
    <mergeCell ref="JBH21:JBJ21"/>
    <mergeCell ref="JAA21:JAC21"/>
    <mergeCell ref="JAD21:JAF21"/>
    <mergeCell ref="JAG21:JAI21"/>
    <mergeCell ref="JAJ21:JAL21"/>
    <mergeCell ref="JAM21:JAO21"/>
    <mergeCell ref="JAP21:JAR21"/>
    <mergeCell ref="IZI21:IZK21"/>
    <mergeCell ref="IZL21:IZN21"/>
    <mergeCell ref="IZO21:IZQ21"/>
    <mergeCell ref="IZR21:IZT21"/>
    <mergeCell ref="IZU21:IZW21"/>
    <mergeCell ref="IZX21:IZZ21"/>
    <mergeCell ref="IYQ21:IYS21"/>
    <mergeCell ref="IYT21:IYV21"/>
    <mergeCell ref="IYW21:IYY21"/>
    <mergeCell ref="IYZ21:IZB21"/>
    <mergeCell ref="IZC21:IZE21"/>
    <mergeCell ref="IZF21:IZH21"/>
    <mergeCell ref="IXY21:IYA21"/>
    <mergeCell ref="IYB21:IYD21"/>
    <mergeCell ref="IYE21:IYG21"/>
    <mergeCell ref="IYH21:IYJ21"/>
    <mergeCell ref="IYK21:IYM21"/>
    <mergeCell ref="IYN21:IYP21"/>
    <mergeCell ref="IXG21:IXI21"/>
    <mergeCell ref="IXJ21:IXL21"/>
    <mergeCell ref="IXM21:IXO21"/>
    <mergeCell ref="IXP21:IXR21"/>
    <mergeCell ref="IXS21:IXU21"/>
    <mergeCell ref="IXV21:IXX21"/>
    <mergeCell ref="IWO21:IWQ21"/>
    <mergeCell ref="IWR21:IWT21"/>
    <mergeCell ref="IWU21:IWW21"/>
    <mergeCell ref="IWX21:IWZ21"/>
    <mergeCell ref="IXA21:IXC21"/>
    <mergeCell ref="IXD21:IXF21"/>
    <mergeCell ref="IVW21:IVY21"/>
    <mergeCell ref="IVZ21:IWB21"/>
    <mergeCell ref="IWC21:IWE21"/>
    <mergeCell ref="IWF21:IWH21"/>
    <mergeCell ref="IWI21:IWK21"/>
    <mergeCell ref="IWL21:IWN21"/>
    <mergeCell ref="IVE21:IVG21"/>
    <mergeCell ref="IVH21:IVJ21"/>
    <mergeCell ref="IVK21:IVM21"/>
    <mergeCell ref="IVN21:IVP21"/>
    <mergeCell ref="IVQ21:IVS21"/>
    <mergeCell ref="IVT21:IVV21"/>
    <mergeCell ref="IUM21:IUO21"/>
    <mergeCell ref="IUP21:IUR21"/>
    <mergeCell ref="IUS21:IUU21"/>
    <mergeCell ref="IUV21:IUX21"/>
    <mergeCell ref="IUY21:IVA21"/>
    <mergeCell ref="IVB21:IVD21"/>
    <mergeCell ref="ITU21:ITW21"/>
    <mergeCell ref="ITX21:ITZ21"/>
    <mergeCell ref="IUA21:IUC21"/>
    <mergeCell ref="IUD21:IUF21"/>
    <mergeCell ref="IUG21:IUI21"/>
    <mergeCell ref="IUJ21:IUL21"/>
    <mergeCell ref="ITC21:ITE21"/>
    <mergeCell ref="ITF21:ITH21"/>
    <mergeCell ref="ITI21:ITK21"/>
    <mergeCell ref="ITL21:ITN21"/>
    <mergeCell ref="ITO21:ITQ21"/>
    <mergeCell ref="ITR21:ITT21"/>
    <mergeCell ref="ISK21:ISM21"/>
    <mergeCell ref="ISN21:ISP21"/>
    <mergeCell ref="ISQ21:ISS21"/>
    <mergeCell ref="IST21:ISV21"/>
    <mergeCell ref="ISW21:ISY21"/>
    <mergeCell ref="ISZ21:ITB21"/>
    <mergeCell ref="IRS21:IRU21"/>
    <mergeCell ref="IRV21:IRX21"/>
    <mergeCell ref="IRY21:ISA21"/>
    <mergeCell ref="ISB21:ISD21"/>
    <mergeCell ref="ISE21:ISG21"/>
    <mergeCell ref="ISH21:ISJ21"/>
    <mergeCell ref="IRA21:IRC21"/>
    <mergeCell ref="IRD21:IRF21"/>
    <mergeCell ref="IRG21:IRI21"/>
    <mergeCell ref="IRJ21:IRL21"/>
    <mergeCell ref="IRM21:IRO21"/>
    <mergeCell ref="IRP21:IRR21"/>
    <mergeCell ref="IQI21:IQK21"/>
    <mergeCell ref="IQL21:IQN21"/>
    <mergeCell ref="IQO21:IQQ21"/>
    <mergeCell ref="IQR21:IQT21"/>
    <mergeCell ref="IQU21:IQW21"/>
    <mergeCell ref="IQX21:IQZ21"/>
    <mergeCell ref="IPQ21:IPS21"/>
    <mergeCell ref="IPT21:IPV21"/>
    <mergeCell ref="IPW21:IPY21"/>
    <mergeCell ref="IPZ21:IQB21"/>
    <mergeCell ref="IQC21:IQE21"/>
    <mergeCell ref="IQF21:IQH21"/>
    <mergeCell ref="IOY21:IPA21"/>
    <mergeCell ref="IPB21:IPD21"/>
    <mergeCell ref="IPE21:IPG21"/>
    <mergeCell ref="IPH21:IPJ21"/>
    <mergeCell ref="IPK21:IPM21"/>
    <mergeCell ref="IPN21:IPP21"/>
    <mergeCell ref="IOG21:IOI21"/>
    <mergeCell ref="IOJ21:IOL21"/>
    <mergeCell ref="IOM21:IOO21"/>
    <mergeCell ref="IOP21:IOR21"/>
    <mergeCell ref="IOS21:IOU21"/>
    <mergeCell ref="IOV21:IOX21"/>
    <mergeCell ref="INO21:INQ21"/>
    <mergeCell ref="INR21:INT21"/>
    <mergeCell ref="INU21:INW21"/>
    <mergeCell ref="INX21:INZ21"/>
    <mergeCell ref="IOA21:IOC21"/>
    <mergeCell ref="IOD21:IOF21"/>
    <mergeCell ref="IMW21:IMY21"/>
    <mergeCell ref="IMZ21:INB21"/>
    <mergeCell ref="INC21:INE21"/>
    <mergeCell ref="INF21:INH21"/>
    <mergeCell ref="INI21:INK21"/>
    <mergeCell ref="INL21:INN21"/>
    <mergeCell ref="IME21:IMG21"/>
    <mergeCell ref="IMH21:IMJ21"/>
    <mergeCell ref="IMK21:IMM21"/>
    <mergeCell ref="IMN21:IMP21"/>
    <mergeCell ref="IMQ21:IMS21"/>
    <mergeCell ref="IMT21:IMV21"/>
    <mergeCell ref="ILM21:ILO21"/>
    <mergeCell ref="ILP21:ILR21"/>
    <mergeCell ref="ILS21:ILU21"/>
    <mergeCell ref="ILV21:ILX21"/>
    <mergeCell ref="ILY21:IMA21"/>
    <mergeCell ref="IMB21:IMD21"/>
    <mergeCell ref="IKU21:IKW21"/>
    <mergeCell ref="IKX21:IKZ21"/>
    <mergeCell ref="ILA21:ILC21"/>
    <mergeCell ref="ILD21:ILF21"/>
    <mergeCell ref="ILG21:ILI21"/>
    <mergeCell ref="ILJ21:ILL21"/>
    <mergeCell ref="IKC21:IKE21"/>
    <mergeCell ref="IKF21:IKH21"/>
    <mergeCell ref="IKI21:IKK21"/>
    <mergeCell ref="IKL21:IKN21"/>
    <mergeCell ref="IKO21:IKQ21"/>
    <mergeCell ref="IKR21:IKT21"/>
    <mergeCell ref="IJK21:IJM21"/>
    <mergeCell ref="IJN21:IJP21"/>
    <mergeCell ref="IJQ21:IJS21"/>
    <mergeCell ref="IJT21:IJV21"/>
    <mergeCell ref="IJW21:IJY21"/>
    <mergeCell ref="IJZ21:IKB21"/>
    <mergeCell ref="IIS21:IIU21"/>
    <mergeCell ref="IIV21:IIX21"/>
    <mergeCell ref="IIY21:IJA21"/>
    <mergeCell ref="IJB21:IJD21"/>
    <mergeCell ref="IJE21:IJG21"/>
    <mergeCell ref="IJH21:IJJ21"/>
    <mergeCell ref="IIA21:IIC21"/>
    <mergeCell ref="IID21:IIF21"/>
    <mergeCell ref="IIG21:III21"/>
    <mergeCell ref="IIJ21:IIL21"/>
    <mergeCell ref="IIM21:IIO21"/>
    <mergeCell ref="IIP21:IIR21"/>
    <mergeCell ref="IHI21:IHK21"/>
    <mergeCell ref="IHL21:IHN21"/>
    <mergeCell ref="IHO21:IHQ21"/>
    <mergeCell ref="IHR21:IHT21"/>
    <mergeCell ref="IHU21:IHW21"/>
    <mergeCell ref="IHX21:IHZ21"/>
    <mergeCell ref="IGQ21:IGS21"/>
    <mergeCell ref="IGT21:IGV21"/>
    <mergeCell ref="IGW21:IGY21"/>
    <mergeCell ref="IGZ21:IHB21"/>
    <mergeCell ref="IHC21:IHE21"/>
    <mergeCell ref="IHF21:IHH21"/>
    <mergeCell ref="IFY21:IGA21"/>
    <mergeCell ref="IGB21:IGD21"/>
    <mergeCell ref="IGE21:IGG21"/>
    <mergeCell ref="IGH21:IGJ21"/>
    <mergeCell ref="IGK21:IGM21"/>
    <mergeCell ref="IGN21:IGP21"/>
    <mergeCell ref="IFG21:IFI21"/>
    <mergeCell ref="IFJ21:IFL21"/>
    <mergeCell ref="IFM21:IFO21"/>
    <mergeCell ref="IFP21:IFR21"/>
    <mergeCell ref="IFS21:IFU21"/>
    <mergeCell ref="IFV21:IFX21"/>
    <mergeCell ref="IEO21:IEQ21"/>
    <mergeCell ref="IER21:IET21"/>
    <mergeCell ref="IEU21:IEW21"/>
    <mergeCell ref="IEX21:IEZ21"/>
    <mergeCell ref="IFA21:IFC21"/>
    <mergeCell ref="IFD21:IFF21"/>
    <mergeCell ref="IDW21:IDY21"/>
    <mergeCell ref="IDZ21:IEB21"/>
    <mergeCell ref="IEC21:IEE21"/>
    <mergeCell ref="IEF21:IEH21"/>
    <mergeCell ref="IEI21:IEK21"/>
    <mergeCell ref="IEL21:IEN21"/>
    <mergeCell ref="IDE21:IDG21"/>
    <mergeCell ref="IDH21:IDJ21"/>
    <mergeCell ref="IDK21:IDM21"/>
    <mergeCell ref="IDN21:IDP21"/>
    <mergeCell ref="IDQ21:IDS21"/>
    <mergeCell ref="IDT21:IDV21"/>
    <mergeCell ref="ICM21:ICO21"/>
    <mergeCell ref="ICP21:ICR21"/>
    <mergeCell ref="ICS21:ICU21"/>
    <mergeCell ref="ICV21:ICX21"/>
    <mergeCell ref="ICY21:IDA21"/>
    <mergeCell ref="IDB21:IDD21"/>
    <mergeCell ref="IBU21:IBW21"/>
    <mergeCell ref="IBX21:IBZ21"/>
    <mergeCell ref="ICA21:ICC21"/>
    <mergeCell ref="ICD21:ICF21"/>
    <mergeCell ref="ICG21:ICI21"/>
    <mergeCell ref="ICJ21:ICL21"/>
    <mergeCell ref="IBC21:IBE21"/>
    <mergeCell ref="IBF21:IBH21"/>
    <mergeCell ref="IBI21:IBK21"/>
    <mergeCell ref="IBL21:IBN21"/>
    <mergeCell ref="IBO21:IBQ21"/>
    <mergeCell ref="IBR21:IBT21"/>
    <mergeCell ref="IAK21:IAM21"/>
    <mergeCell ref="IAN21:IAP21"/>
    <mergeCell ref="IAQ21:IAS21"/>
    <mergeCell ref="IAT21:IAV21"/>
    <mergeCell ref="IAW21:IAY21"/>
    <mergeCell ref="IAZ21:IBB21"/>
    <mergeCell ref="HZS21:HZU21"/>
    <mergeCell ref="HZV21:HZX21"/>
    <mergeCell ref="HZY21:IAA21"/>
    <mergeCell ref="IAB21:IAD21"/>
    <mergeCell ref="IAE21:IAG21"/>
    <mergeCell ref="IAH21:IAJ21"/>
    <mergeCell ref="HZA21:HZC21"/>
    <mergeCell ref="HZD21:HZF21"/>
    <mergeCell ref="HZG21:HZI21"/>
    <mergeCell ref="HZJ21:HZL21"/>
    <mergeCell ref="HZM21:HZO21"/>
    <mergeCell ref="HZP21:HZR21"/>
    <mergeCell ref="HYI21:HYK21"/>
    <mergeCell ref="HYL21:HYN21"/>
    <mergeCell ref="HYO21:HYQ21"/>
    <mergeCell ref="HYR21:HYT21"/>
    <mergeCell ref="HYU21:HYW21"/>
    <mergeCell ref="HYX21:HYZ21"/>
    <mergeCell ref="HXQ21:HXS21"/>
    <mergeCell ref="HXT21:HXV21"/>
    <mergeCell ref="HXW21:HXY21"/>
    <mergeCell ref="HXZ21:HYB21"/>
    <mergeCell ref="HYC21:HYE21"/>
    <mergeCell ref="HYF21:HYH21"/>
    <mergeCell ref="HWY21:HXA21"/>
    <mergeCell ref="HXB21:HXD21"/>
    <mergeCell ref="HXE21:HXG21"/>
    <mergeCell ref="HXH21:HXJ21"/>
    <mergeCell ref="HXK21:HXM21"/>
    <mergeCell ref="HXN21:HXP21"/>
    <mergeCell ref="HWG21:HWI21"/>
    <mergeCell ref="HWJ21:HWL21"/>
    <mergeCell ref="HWM21:HWO21"/>
    <mergeCell ref="HWP21:HWR21"/>
    <mergeCell ref="HWS21:HWU21"/>
    <mergeCell ref="HWV21:HWX21"/>
    <mergeCell ref="HVO21:HVQ21"/>
    <mergeCell ref="HVR21:HVT21"/>
    <mergeCell ref="HVU21:HVW21"/>
    <mergeCell ref="HVX21:HVZ21"/>
    <mergeCell ref="HWA21:HWC21"/>
    <mergeCell ref="HWD21:HWF21"/>
    <mergeCell ref="HUW21:HUY21"/>
    <mergeCell ref="HUZ21:HVB21"/>
    <mergeCell ref="HVC21:HVE21"/>
    <mergeCell ref="HVF21:HVH21"/>
    <mergeCell ref="HVI21:HVK21"/>
    <mergeCell ref="HVL21:HVN21"/>
    <mergeCell ref="HUE21:HUG21"/>
    <mergeCell ref="HUH21:HUJ21"/>
    <mergeCell ref="HUK21:HUM21"/>
    <mergeCell ref="HUN21:HUP21"/>
    <mergeCell ref="HUQ21:HUS21"/>
    <mergeCell ref="HUT21:HUV21"/>
    <mergeCell ref="HTM21:HTO21"/>
    <mergeCell ref="HTP21:HTR21"/>
    <mergeCell ref="HTS21:HTU21"/>
    <mergeCell ref="HTV21:HTX21"/>
    <mergeCell ref="HTY21:HUA21"/>
    <mergeCell ref="HUB21:HUD21"/>
    <mergeCell ref="HSU21:HSW21"/>
    <mergeCell ref="HSX21:HSZ21"/>
    <mergeCell ref="HTA21:HTC21"/>
    <mergeCell ref="HTD21:HTF21"/>
    <mergeCell ref="HTG21:HTI21"/>
    <mergeCell ref="HTJ21:HTL21"/>
    <mergeCell ref="HSC21:HSE21"/>
    <mergeCell ref="HSF21:HSH21"/>
    <mergeCell ref="HSI21:HSK21"/>
    <mergeCell ref="HSL21:HSN21"/>
    <mergeCell ref="HSO21:HSQ21"/>
    <mergeCell ref="HSR21:HST21"/>
    <mergeCell ref="HRK21:HRM21"/>
    <mergeCell ref="HRN21:HRP21"/>
    <mergeCell ref="HRQ21:HRS21"/>
    <mergeCell ref="HRT21:HRV21"/>
    <mergeCell ref="HRW21:HRY21"/>
    <mergeCell ref="HRZ21:HSB21"/>
    <mergeCell ref="HQS21:HQU21"/>
    <mergeCell ref="HQV21:HQX21"/>
    <mergeCell ref="HQY21:HRA21"/>
    <mergeCell ref="HRB21:HRD21"/>
    <mergeCell ref="HRE21:HRG21"/>
    <mergeCell ref="HRH21:HRJ21"/>
    <mergeCell ref="HQA21:HQC21"/>
    <mergeCell ref="HQD21:HQF21"/>
    <mergeCell ref="HQG21:HQI21"/>
    <mergeCell ref="HQJ21:HQL21"/>
    <mergeCell ref="HQM21:HQO21"/>
    <mergeCell ref="HQP21:HQR21"/>
    <mergeCell ref="HPI21:HPK21"/>
    <mergeCell ref="HPL21:HPN21"/>
    <mergeCell ref="HPO21:HPQ21"/>
    <mergeCell ref="HPR21:HPT21"/>
    <mergeCell ref="HPU21:HPW21"/>
    <mergeCell ref="HPX21:HPZ21"/>
    <mergeCell ref="HOQ21:HOS21"/>
    <mergeCell ref="HOT21:HOV21"/>
    <mergeCell ref="HOW21:HOY21"/>
    <mergeCell ref="HOZ21:HPB21"/>
    <mergeCell ref="HPC21:HPE21"/>
    <mergeCell ref="HPF21:HPH21"/>
    <mergeCell ref="HNY21:HOA21"/>
    <mergeCell ref="HOB21:HOD21"/>
    <mergeCell ref="HOE21:HOG21"/>
    <mergeCell ref="HOH21:HOJ21"/>
    <mergeCell ref="HOK21:HOM21"/>
    <mergeCell ref="HON21:HOP21"/>
    <mergeCell ref="HNG21:HNI21"/>
    <mergeCell ref="HNJ21:HNL21"/>
    <mergeCell ref="HNM21:HNO21"/>
    <mergeCell ref="HNP21:HNR21"/>
    <mergeCell ref="HNS21:HNU21"/>
    <mergeCell ref="HNV21:HNX21"/>
    <mergeCell ref="HMO21:HMQ21"/>
    <mergeCell ref="HMR21:HMT21"/>
    <mergeCell ref="HMU21:HMW21"/>
    <mergeCell ref="HMX21:HMZ21"/>
    <mergeCell ref="HNA21:HNC21"/>
    <mergeCell ref="HND21:HNF21"/>
    <mergeCell ref="HLW21:HLY21"/>
    <mergeCell ref="HLZ21:HMB21"/>
    <mergeCell ref="HMC21:HME21"/>
    <mergeCell ref="HMF21:HMH21"/>
    <mergeCell ref="HMI21:HMK21"/>
    <mergeCell ref="HML21:HMN21"/>
    <mergeCell ref="HLE21:HLG21"/>
    <mergeCell ref="HLH21:HLJ21"/>
    <mergeCell ref="HLK21:HLM21"/>
    <mergeCell ref="HLN21:HLP21"/>
    <mergeCell ref="HLQ21:HLS21"/>
    <mergeCell ref="HLT21:HLV21"/>
    <mergeCell ref="HKM21:HKO21"/>
    <mergeCell ref="HKP21:HKR21"/>
    <mergeCell ref="HKS21:HKU21"/>
    <mergeCell ref="HKV21:HKX21"/>
    <mergeCell ref="HKY21:HLA21"/>
    <mergeCell ref="HLB21:HLD21"/>
    <mergeCell ref="HJU21:HJW21"/>
    <mergeCell ref="HJX21:HJZ21"/>
    <mergeCell ref="HKA21:HKC21"/>
    <mergeCell ref="HKD21:HKF21"/>
    <mergeCell ref="HKG21:HKI21"/>
    <mergeCell ref="HKJ21:HKL21"/>
    <mergeCell ref="HJC21:HJE21"/>
    <mergeCell ref="HJF21:HJH21"/>
    <mergeCell ref="HJI21:HJK21"/>
    <mergeCell ref="HJL21:HJN21"/>
    <mergeCell ref="HJO21:HJQ21"/>
    <mergeCell ref="HJR21:HJT21"/>
    <mergeCell ref="HIK21:HIM21"/>
    <mergeCell ref="HIN21:HIP21"/>
    <mergeCell ref="HIQ21:HIS21"/>
    <mergeCell ref="HIT21:HIV21"/>
    <mergeCell ref="HIW21:HIY21"/>
    <mergeCell ref="HIZ21:HJB21"/>
    <mergeCell ref="HHS21:HHU21"/>
    <mergeCell ref="HHV21:HHX21"/>
    <mergeCell ref="HHY21:HIA21"/>
    <mergeCell ref="HIB21:HID21"/>
    <mergeCell ref="HIE21:HIG21"/>
    <mergeCell ref="HIH21:HIJ21"/>
    <mergeCell ref="HHA21:HHC21"/>
    <mergeCell ref="HHD21:HHF21"/>
    <mergeCell ref="HHG21:HHI21"/>
    <mergeCell ref="HHJ21:HHL21"/>
    <mergeCell ref="HHM21:HHO21"/>
    <mergeCell ref="HHP21:HHR21"/>
    <mergeCell ref="HGI21:HGK21"/>
    <mergeCell ref="HGL21:HGN21"/>
    <mergeCell ref="HGO21:HGQ21"/>
    <mergeCell ref="HGR21:HGT21"/>
    <mergeCell ref="HGU21:HGW21"/>
    <mergeCell ref="HGX21:HGZ21"/>
    <mergeCell ref="HFQ21:HFS21"/>
    <mergeCell ref="HFT21:HFV21"/>
    <mergeCell ref="HFW21:HFY21"/>
    <mergeCell ref="HFZ21:HGB21"/>
    <mergeCell ref="HGC21:HGE21"/>
    <mergeCell ref="HGF21:HGH21"/>
    <mergeCell ref="HEY21:HFA21"/>
    <mergeCell ref="HFB21:HFD21"/>
    <mergeCell ref="HFE21:HFG21"/>
    <mergeCell ref="HFH21:HFJ21"/>
    <mergeCell ref="HFK21:HFM21"/>
    <mergeCell ref="HFN21:HFP21"/>
    <mergeCell ref="HEG21:HEI21"/>
    <mergeCell ref="HEJ21:HEL21"/>
    <mergeCell ref="HEM21:HEO21"/>
    <mergeCell ref="HEP21:HER21"/>
    <mergeCell ref="HES21:HEU21"/>
    <mergeCell ref="HEV21:HEX21"/>
    <mergeCell ref="HDO21:HDQ21"/>
    <mergeCell ref="HDR21:HDT21"/>
    <mergeCell ref="HDU21:HDW21"/>
    <mergeCell ref="HDX21:HDZ21"/>
    <mergeCell ref="HEA21:HEC21"/>
    <mergeCell ref="HED21:HEF21"/>
    <mergeCell ref="HCW21:HCY21"/>
    <mergeCell ref="HCZ21:HDB21"/>
    <mergeCell ref="HDC21:HDE21"/>
    <mergeCell ref="HDF21:HDH21"/>
    <mergeCell ref="HDI21:HDK21"/>
    <mergeCell ref="HDL21:HDN21"/>
    <mergeCell ref="HCE21:HCG21"/>
    <mergeCell ref="HCH21:HCJ21"/>
    <mergeCell ref="HCK21:HCM21"/>
    <mergeCell ref="HCN21:HCP21"/>
    <mergeCell ref="HCQ21:HCS21"/>
    <mergeCell ref="HCT21:HCV21"/>
    <mergeCell ref="HBM21:HBO21"/>
    <mergeCell ref="HBP21:HBR21"/>
    <mergeCell ref="HBS21:HBU21"/>
    <mergeCell ref="HBV21:HBX21"/>
    <mergeCell ref="HBY21:HCA21"/>
    <mergeCell ref="HCB21:HCD21"/>
    <mergeCell ref="HAU21:HAW21"/>
    <mergeCell ref="HAX21:HAZ21"/>
    <mergeCell ref="HBA21:HBC21"/>
    <mergeCell ref="HBD21:HBF21"/>
    <mergeCell ref="HBG21:HBI21"/>
    <mergeCell ref="HBJ21:HBL21"/>
    <mergeCell ref="HAC21:HAE21"/>
    <mergeCell ref="HAF21:HAH21"/>
    <mergeCell ref="HAI21:HAK21"/>
    <mergeCell ref="HAL21:HAN21"/>
    <mergeCell ref="HAO21:HAQ21"/>
    <mergeCell ref="HAR21:HAT21"/>
    <mergeCell ref="GZK21:GZM21"/>
    <mergeCell ref="GZN21:GZP21"/>
    <mergeCell ref="GZQ21:GZS21"/>
    <mergeCell ref="GZT21:GZV21"/>
    <mergeCell ref="GZW21:GZY21"/>
    <mergeCell ref="GZZ21:HAB21"/>
    <mergeCell ref="GYS21:GYU21"/>
    <mergeCell ref="GYV21:GYX21"/>
    <mergeCell ref="GYY21:GZA21"/>
    <mergeCell ref="GZB21:GZD21"/>
    <mergeCell ref="GZE21:GZG21"/>
    <mergeCell ref="GZH21:GZJ21"/>
    <mergeCell ref="GYA21:GYC21"/>
    <mergeCell ref="GYD21:GYF21"/>
    <mergeCell ref="GYG21:GYI21"/>
    <mergeCell ref="GYJ21:GYL21"/>
    <mergeCell ref="GYM21:GYO21"/>
    <mergeCell ref="GYP21:GYR21"/>
    <mergeCell ref="GXI21:GXK21"/>
    <mergeCell ref="GXL21:GXN21"/>
    <mergeCell ref="GXO21:GXQ21"/>
    <mergeCell ref="GXR21:GXT21"/>
    <mergeCell ref="GXU21:GXW21"/>
    <mergeCell ref="GXX21:GXZ21"/>
    <mergeCell ref="GWQ21:GWS21"/>
    <mergeCell ref="GWT21:GWV21"/>
    <mergeCell ref="GWW21:GWY21"/>
    <mergeCell ref="GWZ21:GXB21"/>
    <mergeCell ref="GXC21:GXE21"/>
    <mergeCell ref="GXF21:GXH21"/>
    <mergeCell ref="GVY21:GWA21"/>
    <mergeCell ref="GWB21:GWD21"/>
    <mergeCell ref="GWE21:GWG21"/>
    <mergeCell ref="GWH21:GWJ21"/>
    <mergeCell ref="GWK21:GWM21"/>
    <mergeCell ref="GWN21:GWP21"/>
    <mergeCell ref="GVG21:GVI21"/>
    <mergeCell ref="GVJ21:GVL21"/>
    <mergeCell ref="GVM21:GVO21"/>
    <mergeCell ref="GVP21:GVR21"/>
    <mergeCell ref="GVS21:GVU21"/>
    <mergeCell ref="GVV21:GVX21"/>
    <mergeCell ref="GUO21:GUQ21"/>
    <mergeCell ref="GUR21:GUT21"/>
    <mergeCell ref="GUU21:GUW21"/>
    <mergeCell ref="GUX21:GUZ21"/>
    <mergeCell ref="GVA21:GVC21"/>
    <mergeCell ref="GVD21:GVF21"/>
    <mergeCell ref="GTW21:GTY21"/>
    <mergeCell ref="GTZ21:GUB21"/>
    <mergeCell ref="GUC21:GUE21"/>
    <mergeCell ref="GUF21:GUH21"/>
    <mergeCell ref="GUI21:GUK21"/>
    <mergeCell ref="GUL21:GUN21"/>
    <mergeCell ref="GTE21:GTG21"/>
    <mergeCell ref="GTH21:GTJ21"/>
    <mergeCell ref="GTK21:GTM21"/>
    <mergeCell ref="GTN21:GTP21"/>
    <mergeCell ref="GTQ21:GTS21"/>
    <mergeCell ref="GTT21:GTV21"/>
    <mergeCell ref="GSM21:GSO21"/>
    <mergeCell ref="GSP21:GSR21"/>
    <mergeCell ref="GSS21:GSU21"/>
    <mergeCell ref="GSV21:GSX21"/>
    <mergeCell ref="GSY21:GTA21"/>
    <mergeCell ref="GTB21:GTD21"/>
    <mergeCell ref="GRU21:GRW21"/>
    <mergeCell ref="GRX21:GRZ21"/>
    <mergeCell ref="GSA21:GSC21"/>
    <mergeCell ref="GSD21:GSF21"/>
    <mergeCell ref="GSG21:GSI21"/>
    <mergeCell ref="GSJ21:GSL21"/>
    <mergeCell ref="GRC21:GRE21"/>
    <mergeCell ref="GRF21:GRH21"/>
    <mergeCell ref="GRI21:GRK21"/>
    <mergeCell ref="GRL21:GRN21"/>
    <mergeCell ref="GRO21:GRQ21"/>
    <mergeCell ref="GRR21:GRT21"/>
    <mergeCell ref="GQK21:GQM21"/>
    <mergeCell ref="GQN21:GQP21"/>
    <mergeCell ref="GQQ21:GQS21"/>
    <mergeCell ref="GQT21:GQV21"/>
    <mergeCell ref="GQW21:GQY21"/>
    <mergeCell ref="GQZ21:GRB21"/>
    <mergeCell ref="GPS21:GPU21"/>
    <mergeCell ref="GPV21:GPX21"/>
    <mergeCell ref="GPY21:GQA21"/>
    <mergeCell ref="GQB21:GQD21"/>
    <mergeCell ref="GQE21:GQG21"/>
    <mergeCell ref="GQH21:GQJ21"/>
    <mergeCell ref="GPA21:GPC21"/>
    <mergeCell ref="GPD21:GPF21"/>
    <mergeCell ref="GPG21:GPI21"/>
    <mergeCell ref="GPJ21:GPL21"/>
    <mergeCell ref="GPM21:GPO21"/>
    <mergeCell ref="GPP21:GPR21"/>
    <mergeCell ref="GOI21:GOK21"/>
    <mergeCell ref="GOL21:GON21"/>
    <mergeCell ref="GOO21:GOQ21"/>
    <mergeCell ref="GOR21:GOT21"/>
    <mergeCell ref="GOU21:GOW21"/>
    <mergeCell ref="GOX21:GOZ21"/>
    <mergeCell ref="GNQ21:GNS21"/>
    <mergeCell ref="GNT21:GNV21"/>
    <mergeCell ref="GNW21:GNY21"/>
    <mergeCell ref="GNZ21:GOB21"/>
    <mergeCell ref="GOC21:GOE21"/>
    <mergeCell ref="GOF21:GOH21"/>
    <mergeCell ref="GMY21:GNA21"/>
    <mergeCell ref="GNB21:GND21"/>
    <mergeCell ref="GNE21:GNG21"/>
    <mergeCell ref="GNH21:GNJ21"/>
    <mergeCell ref="GNK21:GNM21"/>
    <mergeCell ref="GNN21:GNP21"/>
    <mergeCell ref="GMG21:GMI21"/>
    <mergeCell ref="GMJ21:GML21"/>
    <mergeCell ref="GMM21:GMO21"/>
    <mergeCell ref="GMP21:GMR21"/>
    <mergeCell ref="GMS21:GMU21"/>
    <mergeCell ref="GMV21:GMX21"/>
    <mergeCell ref="GLO21:GLQ21"/>
    <mergeCell ref="GLR21:GLT21"/>
    <mergeCell ref="GLU21:GLW21"/>
    <mergeCell ref="GLX21:GLZ21"/>
    <mergeCell ref="GMA21:GMC21"/>
    <mergeCell ref="GMD21:GMF21"/>
    <mergeCell ref="GKW21:GKY21"/>
    <mergeCell ref="GKZ21:GLB21"/>
    <mergeCell ref="GLC21:GLE21"/>
    <mergeCell ref="GLF21:GLH21"/>
    <mergeCell ref="GLI21:GLK21"/>
    <mergeCell ref="GLL21:GLN21"/>
    <mergeCell ref="GKE21:GKG21"/>
    <mergeCell ref="GKH21:GKJ21"/>
    <mergeCell ref="GKK21:GKM21"/>
    <mergeCell ref="GKN21:GKP21"/>
    <mergeCell ref="GKQ21:GKS21"/>
    <mergeCell ref="GKT21:GKV21"/>
    <mergeCell ref="GJM21:GJO21"/>
    <mergeCell ref="GJP21:GJR21"/>
    <mergeCell ref="GJS21:GJU21"/>
    <mergeCell ref="GJV21:GJX21"/>
    <mergeCell ref="GJY21:GKA21"/>
    <mergeCell ref="GKB21:GKD21"/>
    <mergeCell ref="GIU21:GIW21"/>
    <mergeCell ref="GIX21:GIZ21"/>
    <mergeCell ref="GJA21:GJC21"/>
    <mergeCell ref="GJD21:GJF21"/>
    <mergeCell ref="GJG21:GJI21"/>
    <mergeCell ref="GJJ21:GJL21"/>
    <mergeCell ref="GIC21:GIE21"/>
    <mergeCell ref="GIF21:GIH21"/>
    <mergeCell ref="GII21:GIK21"/>
    <mergeCell ref="GIL21:GIN21"/>
    <mergeCell ref="GIO21:GIQ21"/>
    <mergeCell ref="GIR21:GIT21"/>
    <mergeCell ref="GHK21:GHM21"/>
    <mergeCell ref="GHN21:GHP21"/>
    <mergeCell ref="GHQ21:GHS21"/>
    <mergeCell ref="GHT21:GHV21"/>
    <mergeCell ref="GHW21:GHY21"/>
    <mergeCell ref="GHZ21:GIB21"/>
    <mergeCell ref="GGS21:GGU21"/>
    <mergeCell ref="GGV21:GGX21"/>
    <mergeCell ref="GGY21:GHA21"/>
    <mergeCell ref="GHB21:GHD21"/>
    <mergeCell ref="GHE21:GHG21"/>
    <mergeCell ref="GHH21:GHJ21"/>
    <mergeCell ref="GGA21:GGC21"/>
    <mergeCell ref="GGD21:GGF21"/>
    <mergeCell ref="GGG21:GGI21"/>
    <mergeCell ref="GGJ21:GGL21"/>
    <mergeCell ref="GGM21:GGO21"/>
    <mergeCell ref="GGP21:GGR21"/>
    <mergeCell ref="GFI21:GFK21"/>
    <mergeCell ref="GFL21:GFN21"/>
    <mergeCell ref="GFO21:GFQ21"/>
    <mergeCell ref="GFR21:GFT21"/>
    <mergeCell ref="GFU21:GFW21"/>
    <mergeCell ref="GFX21:GFZ21"/>
    <mergeCell ref="GEQ21:GES21"/>
    <mergeCell ref="GET21:GEV21"/>
    <mergeCell ref="GEW21:GEY21"/>
    <mergeCell ref="GEZ21:GFB21"/>
    <mergeCell ref="GFC21:GFE21"/>
    <mergeCell ref="GFF21:GFH21"/>
    <mergeCell ref="GDY21:GEA21"/>
    <mergeCell ref="GEB21:GED21"/>
    <mergeCell ref="GEE21:GEG21"/>
    <mergeCell ref="GEH21:GEJ21"/>
    <mergeCell ref="GEK21:GEM21"/>
    <mergeCell ref="GEN21:GEP21"/>
    <mergeCell ref="GDG21:GDI21"/>
    <mergeCell ref="GDJ21:GDL21"/>
    <mergeCell ref="GDM21:GDO21"/>
    <mergeCell ref="GDP21:GDR21"/>
    <mergeCell ref="GDS21:GDU21"/>
    <mergeCell ref="GDV21:GDX21"/>
    <mergeCell ref="GCO21:GCQ21"/>
    <mergeCell ref="GCR21:GCT21"/>
    <mergeCell ref="GCU21:GCW21"/>
    <mergeCell ref="GCX21:GCZ21"/>
    <mergeCell ref="GDA21:GDC21"/>
    <mergeCell ref="GDD21:GDF21"/>
    <mergeCell ref="GBW21:GBY21"/>
    <mergeCell ref="GBZ21:GCB21"/>
    <mergeCell ref="GCC21:GCE21"/>
    <mergeCell ref="GCF21:GCH21"/>
    <mergeCell ref="GCI21:GCK21"/>
    <mergeCell ref="GCL21:GCN21"/>
    <mergeCell ref="GBE21:GBG21"/>
    <mergeCell ref="GBH21:GBJ21"/>
    <mergeCell ref="GBK21:GBM21"/>
    <mergeCell ref="GBN21:GBP21"/>
    <mergeCell ref="GBQ21:GBS21"/>
    <mergeCell ref="GBT21:GBV21"/>
    <mergeCell ref="GAM21:GAO21"/>
    <mergeCell ref="GAP21:GAR21"/>
    <mergeCell ref="GAS21:GAU21"/>
    <mergeCell ref="GAV21:GAX21"/>
    <mergeCell ref="GAY21:GBA21"/>
    <mergeCell ref="GBB21:GBD21"/>
    <mergeCell ref="FZU21:FZW21"/>
    <mergeCell ref="FZX21:FZZ21"/>
    <mergeCell ref="GAA21:GAC21"/>
    <mergeCell ref="GAD21:GAF21"/>
    <mergeCell ref="GAG21:GAI21"/>
    <mergeCell ref="GAJ21:GAL21"/>
    <mergeCell ref="FZC21:FZE21"/>
    <mergeCell ref="FZF21:FZH21"/>
    <mergeCell ref="FZI21:FZK21"/>
    <mergeCell ref="FZL21:FZN21"/>
    <mergeCell ref="FZO21:FZQ21"/>
    <mergeCell ref="FZR21:FZT21"/>
    <mergeCell ref="FYK21:FYM21"/>
    <mergeCell ref="FYN21:FYP21"/>
    <mergeCell ref="FYQ21:FYS21"/>
    <mergeCell ref="FYT21:FYV21"/>
    <mergeCell ref="FYW21:FYY21"/>
    <mergeCell ref="FYZ21:FZB21"/>
    <mergeCell ref="FXS21:FXU21"/>
    <mergeCell ref="FXV21:FXX21"/>
    <mergeCell ref="FXY21:FYA21"/>
    <mergeCell ref="FYB21:FYD21"/>
    <mergeCell ref="FYE21:FYG21"/>
    <mergeCell ref="FYH21:FYJ21"/>
    <mergeCell ref="FXA21:FXC21"/>
    <mergeCell ref="FXD21:FXF21"/>
    <mergeCell ref="FXG21:FXI21"/>
    <mergeCell ref="FXJ21:FXL21"/>
    <mergeCell ref="FXM21:FXO21"/>
    <mergeCell ref="FXP21:FXR21"/>
    <mergeCell ref="FWI21:FWK21"/>
    <mergeCell ref="FWL21:FWN21"/>
    <mergeCell ref="FWO21:FWQ21"/>
    <mergeCell ref="FWR21:FWT21"/>
    <mergeCell ref="FWU21:FWW21"/>
    <mergeCell ref="FWX21:FWZ21"/>
    <mergeCell ref="FVQ21:FVS21"/>
    <mergeCell ref="FVT21:FVV21"/>
    <mergeCell ref="FVW21:FVY21"/>
    <mergeCell ref="FVZ21:FWB21"/>
    <mergeCell ref="FWC21:FWE21"/>
    <mergeCell ref="FWF21:FWH21"/>
    <mergeCell ref="FUY21:FVA21"/>
    <mergeCell ref="FVB21:FVD21"/>
    <mergeCell ref="FVE21:FVG21"/>
    <mergeCell ref="FVH21:FVJ21"/>
    <mergeCell ref="FVK21:FVM21"/>
    <mergeCell ref="FVN21:FVP21"/>
    <mergeCell ref="FUG21:FUI21"/>
    <mergeCell ref="FUJ21:FUL21"/>
    <mergeCell ref="FUM21:FUO21"/>
    <mergeCell ref="FUP21:FUR21"/>
    <mergeCell ref="FUS21:FUU21"/>
    <mergeCell ref="FUV21:FUX21"/>
    <mergeCell ref="FTO21:FTQ21"/>
    <mergeCell ref="FTR21:FTT21"/>
    <mergeCell ref="FTU21:FTW21"/>
    <mergeCell ref="FTX21:FTZ21"/>
    <mergeCell ref="FUA21:FUC21"/>
    <mergeCell ref="FUD21:FUF21"/>
    <mergeCell ref="FSW21:FSY21"/>
    <mergeCell ref="FSZ21:FTB21"/>
    <mergeCell ref="FTC21:FTE21"/>
    <mergeCell ref="FTF21:FTH21"/>
    <mergeCell ref="FTI21:FTK21"/>
    <mergeCell ref="FTL21:FTN21"/>
    <mergeCell ref="FSE21:FSG21"/>
    <mergeCell ref="FSH21:FSJ21"/>
    <mergeCell ref="FSK21:FSM21"/>
    <mergeCell ref="FSN21:FSP21"/>
    <mergeCell ref="FSQ21:FSS21"/>
    <mergeCell ref="FST21:FSV21"/>
    <mergeCell ref="FRM21:FRO21"/>
    <mergeCell ref="FRP21:FRR21"/>
    <mergeCell ref="FRS21:FRU21"/>
    <mergeCell ref="FRV21:FRX21"/>
    <mergeCell ref="FRY21:FSA21"/>
    <mergeCell ref="FSB21:FSD21"/>
    <mergeCell ref="FQU21:FQW21"/>
    <mergeCell ref="FQX21:FQZ21"/>
    <mergeCell ref="FRA21:FRC21"/>
    <mergeCell ref="FRD21:FRF21"/>
    <mergeCell ref="FRG21:FRI21"/>
    <mergeCell ref="FRJ21:FRL21"/>
    <mergeCell ref="FQC21:FQE21"/>
    <mergeCell ref="FQF21:FQH21"/>
    <mergeCell ref="FQI21:FQK21"/>
    <mergeCell ref="FQL21:FQN21"/>
    <mergeCell ref="FQO21:FQQ21"/>
    <mergeCell ref="FQR21:FQT21"/>
    <mergeCell ref="FPK21:FPM21"/>
    <mergeCell ref="FPN21:FPP21"/>
    <mergeCell ref="FPQ21:FPS21"/>
    <mergeCell ref="FPT21:FPV21"/>
    <mergeCell ref="FPW21:FPY21"/>
    <mergeCell ref="FPZ21:FQB21"/>
    <mergeCell ref="FOS21:FOU21"/>
    <mergeCell ref="FOV21:FOX21"/>
    <mergeCell ref="FOY21:FPA21"/>
    <mergeCell ref="FPB21:FPD21"/>
    <mergeCell ref="FPE21:FPG21"/>
    <mergeCell ref="FPH21:FPJ21"/>
    <mergeCell ref="FOA21:FOC21"/>
    <mergeCell ref="FOD21:FOF21"/>
    <mergeCell ref="FOG21:FOI21"/>
    <mergeCell ref="FOJ21:FOL21"/>
    <mergeCell ref="FOM21:FOO21"/>
    <mergeCell ref="FOP21:FOR21"/>
    <mergeCell ref="FNI21:FNK21"/>
    <mergeCell ref="FNL21:FNN21"/>
    <mergeCell ref="FNO21:FNQ21"/>
    <mergeCell ref="FNR21:FNT21"/>
    <mergeCell ref="FNU21:FNW21"/>
    <mergeCell ref="FNX21:FNZ21"/>
    <mergeCell ref="FMQ21:FMS21"/>
    <mergeCell ref="FMT21:FMV21"/>
    <mergeCell ref="FMW21:FMY21"/>
    <mergeCell ref="FMZ21:FNB21"/>
    <mergeCell ref="FNC21:FNE21"/>
    <mergeCell ref="FNF21:FNH21"/>
    <mergeCell ref="FLY21:FMA21"/>
    <mergeCell ref="FMB21:FMD21"/>
    <mergeCell ref="FME21:FMG21"/>
    <mergeCell ref="FMH21:FMJ21"/>
    <mergeCell ref="FMK21:FMM21"/>
    <mergeCell ref="FMN21:FMP21"/>
    <mergeCell ref="FLG21:FLI21"/>
    <mergeCell ref="FLJ21:FLL21"/>
    <mergeCell ref="FLM21:FLO21"/>
    <mergeCell ref="FLP21:FLR21"/>
    <mergeCell ref="FLS21:FLU21"/>
    <mergeCell ref="FLV21:FLX21"/>
    <mergeCell ref="FKO21:FKQ21"/>
    <mergeCell ref="FKR21:FKT21"/>
    <mergeCell ref="FKU21:FKW21"/>
    <mergeCell ref="FKX21:FKZ21"/>
    <mergeCell ref="FLA21:FLC21"/>
    <mergeCell ref="FLD21:FLF21"/>
    <mergeCell ref="FJW21:FJY21"/>
    <mergeCell ref="FJZ21:FKB21"/>
    <mergeCell ref="FKC21:FKE21"/>
    <mergeCell ref="FKF21:FKH21"/>
    <mergeCell ref="FKI21:FKK21"/>
    <mergeCell ref="FKL21:FKN21"/>
    <mergeCell ref="FJE21:FJG21"/>
    <mergeCell ref="FJH21:FJJ21"/>
    <mergeCell ref="FJK21:FJM21"/>
    <mergeCell ref="FJN21:FJP21"/>
    <mergeCell ref="FJQ21:FJS21"/>
    <mergeCell ref="FJT21:FJV21"/>
    <mergeCell ref="FIM21:FIO21"/>
    <mergeCell ref="FIP21:FIR21"/>
    <mergeCell ref="FIS21:FIU21"/>
    <mergeCell ref="FIV21:FIX21"/>
    <mergeCell ref="FIY21:FJA21"/>
    <mergeCell ref="FJB21:FJD21"/>
    <mergeCell ref="FHU21:FHW21"/>
    <mergeCell ref="FHX21:FHZ21"/>
    <mergeCell ref="FIA21:FIC21"/>
    <mergeCell ref="FID21:FIF21"/>
    <mergeCell ref="FIG21:FII21"/>
    <mergeCell ref="FIJ21:FIL21"/>
    <mergeCell ref="FHC21:FHE21"/>
    <mergeCell ref="FHF21:FHH21"/>
    <mergeCell ref="FHI21:FHK21"/>
    <mergeCell ref="FHL21:FHN21"/>
    <mergeCell ref="FHO21:FHQ21"/>
    <mergeCell ref="FHR21:FHT21"/>
    <mergeCell ref="FGK21:FGM21"/>
    <mergeCell ref="FGN21:FGP21"/>
    <mergeCell ref="FGQ21:FGS21"/>
    <mergeCell ref="FGT21:FGV21"/>
    <mergeCell ref="FGW21:FGY21"/>
    <mergeCell ref="FGZ21:FHB21"/>
    <mergeCell ref="FFS21:FFU21"/>
    <mergeCell ref="FFV21:FFX21"/>
    <mergeCell ref="FFY21:FGA21"/>
    <mergeCell ref="FGB21:FGD21"/>
    <mergeCell ref="FGE21:FGG21"/>
    <mergeCell ref="FGH21:FGJ21"/>
    <mergeCell ref="FFA21:FFC21"/>
    <mergeCell ref="FFD21:FFF21"/>
    <mergeCell ref="FFG21:FFI21"/>
    <mergeCell ref="FFJ21:FFL21"/>
    <mergeCell ref="FFM21:FFO21"/>
    <mergeCell ref="FFP21:FFR21"/>
    <mergeCell ref="FEI21:FEK21"/>
    <mergeCell ref="FEL21:FEN21"/>
    <mergeCell ref="FEO21:FEQ21"/>
    <mergeCell ref="FER21:FET21"/>
    <mergeCell ref="FEU21:FEW21"/>
    <mergeCell ref="FEX21:FEZ21"/>
    <mergeCell ref="FDQ21:FDS21"/>
    <mergeCell ref="FDT21:FDV21"/>
    <mergeCell ref="FDW21:FDY21"/>
    <mergeCell ref="FDZ21:FEB21"/>
    <mergeCell ref="FEC21:FEE21"/>
    <mergeCell ref="FEF21:FEH21"/>
    <mergeCell ref="FCY21:FDA21"/>
    <mergeCell ref="FDB21:FDD21"/>
    <mergeCell ref="FDE21:FDG21"/>
    <mergeCell ref="FDH21:FDJ21"/>
    <mergeCell ref="FDK21:FDM21"/>
    <mergeCell ref="FDN21:FDP21"/>
    <mergeCell ref="FCG21:FCI21"/>
    <mergeCell ref="FCJ21:FCL21"/>
    <mergeCell ref="FCM21:FCO21"/>
    <mergeCell ref="FCP21:FCR21"/>
    <mergeCell ref="FCS21:FCU21"/>
    <mergeCell ref="FCV21:FCX21"/>
    <mergeCell ref="FBO21:FBQ21"/>
    <mergeCell ref="FBR21:FBT21"/>
    <mergeCell ref="FBU21:FBW21"/>
    <mergeCell ref="FBX21:FBZ21"/>
    <mergeCell ref="FCA21:FCC21"/>
    <mergeCell ref="FCD21:FCF21"/>
    <mergeCell ref="FAW21:FAY21"/>
    <mergeCell ref="FAZ21:FBB21"/>
    <mergeCell ref="FBC21:FBE21"/>
    <mergeCell ref="FBF21:FBH21"/>
    <mergeCell ref="FBI21:FBK21"/>
    <mergeCell ref="FBL21:FBN21"/>
    <mergeCell ref="FAE21:FAG21"/>
    <mergeCell ref="FAH21:FAJ21"/>
    <mergeCell ref="FAK21:FAM21"/>
    <mergeCell ref="FAN21:FAP21"/>
    <mergeCell ref="FAQ21:FAS21"/>
    <mergeCell ref="FAT21:FAV21"/>
    <mergeCell ref="EZM21:EZO21"/>
    <mergeCell ref="EZP21:EZR21"/>
    <mergeCell ref="EZS21:EZU21"/>
    <mergeCell ref="EZV21:EZX21"/>
    <mergeCell ref="EZY21:FAA21"/>
    <mergeCell ref="FAB21:FAD21"/>
    <mergeCell ref="EYU21:EYW21"/>
    <mergeCell ref="EYX21:EYZ21"/>
    <mergeCell ref="EZA21:EZC21"/>
    <mergeCell ref="EZD21:EZF21"/>
    <mergeCell ref="EZG21:EZI21"/>
    <mergeCell ref="EZJ21:EZL21"/>
    <mergeCell ref="EYC21:EYE21"/>
    <mergeCell ref="EYF21:EYH21"/>
    <mergeCell ref="EYI21:EYK21"/>
    <mergeCell ref="EYL21:EYN21"/>
    <mergeCell ref="EYO21:EYQ21"/>
    <mergeCell ref="EYR21:EYT21"/>
    <mergeCell ref="EXK21:EXM21"/>
    <mergeCell ref="EXN21:EXP21"/>
    <mergeCell ref="EXQ21:EXS21"/>
    <mergeCell ref="EXT21:EXV21"/>
    <mergeCell ref="EXW21:EXY21"/>
    <mergeCell ref="EXZ21:EYB21"/>
    <mergeCell ref="EWS21:EWU21"/>
    <mergeCell ref="EWV21:EWX21"/>
    <mergeCell ref="EWY21:EXA21"/>
    <mergeCell ref="EXB21:EXD21"/>
    <mergeCell ref="EXE21:EXG21"/>
    <mergeCell ref="EXH21:EXJ21"/>
    <mergeCell ref="EWA21:EWC21"/>
    <mergeCell ref="EWD21:EWF21"/>
    <mergeCell ref="EWG21:EWI21"/>
    <mergeCell ref="EWJ21:EWL21"/>
    <mergeCell ref="EWM21:EWO21"/>
    <mergeCell ref="EWP21:EWR21"/>
    <mergeCell ref="EVI21:EVK21"/>
    <mergeCell ref="EVL21:EVN21"/>
    <mergeCell ref="EVO21:EVQ21"/>
    <mergeCell ref="EVR21:EVT21"/>
    <mergeCell ref="EVU21:EVW21"/>
    <mergeCell ref="EVX21:EVZ21"/>
    <mergeCell ref="EUQ21:EUS21"/>
    <mergeCell ref="EUT21:EUV21"/>
    <mergeCell ref="EUW21:EUY21"/>
    <mergeCell ref="EUZ21:EVB21"/>
    <mergeCell ref="EVC21:EVE21"/>
    <mergeCell ref="EVF21:EVH21"/>
    <mergeCell ref="ETY21:EUA21"/>
    <mergeCell ref="EUB21:EUD21"/>
    <mergeCell ref="EUE21:EUG21"/>
    <mergeCell ref="EUH21:EUJ21"/>
    <mergeCell ref="EUK21:EUM21"/>
    <mergeCell ref="EUN21:EUP21"/>
    <mergeCell ref="ETG21:ETI21"/>
    <mergeCell ref="ETJ21:ETL21"/>
    <mergeCell ref="ETM21:ETO21"/>
    <mergeCell ref="ETP21:ETR21"/>
    <mergeCell ref="ETS21:ETU21"/>
    <mergeCell ref="ETV21:ETX21"/>
    <mergeCell ref="ESO21:ESQ21"/>
    <mergeCell ref="ESR21:EST21"/>
    <mergeCell ref="ESU21:ESW21"/>
    <mergeCell ref="ESX21:ESZ21"/>
    <mergeCell ref="ETA21:ETC21"/>
    <mergeCell ref="ETD21:ETF21"/>
    <mergeCell ref="ERW21:ERY21"/>
    <mergeCell ref="ERZ21:ESB21"/>
    <mergeCell ref="ESC21:ESE21"/>
    <mergeCell ref="ESF21:ESH21"/>
    <mergeCell ref="ESI21:ESK21"/>
    <mergeCell ref="ESL21:ESN21"/>
    <mergeCell ref="ERE21:ERG21"/>
    <mergeCell ref="ERH21:ERJ21"/>
    <mergeCell ref="ERK21:ERM21"/>
    <mergeCell ref="ERN21:ERP21"/>
    <mergeCell ref="ERQ21:ERS21"/>
    <mergeCell ref="ERT21:ERV21"/>
    <mergeCell ref="EQM21:EQO21"/>
    <mergeCell ref="EQP21:EQR21"/>
    <mergeCell ref="EQS21:EQU21"/>
    <mergeCell ref="EQV21:EQX21"/>
    <mergeCell ref="EQY21:ERA21"/>
    <mergeCell ref="ERB21:ERD21"/>
    <mergeCell ref="EPU21:EPW21"/>
    <mergeCell ref="EPX21:EPZ21"/>
    <mergeCell ref="EQA21:EQC21"/>
    <mergeCell ref="EQD21:EQF21"/>
    <mergeCell ref="EQG21:EQI21"/>
    <mergeCell ref="EQJ21:EQL21"/>
    <mergeCell ref="EPC21:EPE21"/>
    <mergeCell ref="EPF21:EPH21"/>
    <mergeCell ref="EPI21:EPK21"/>
    <mergeCell ref="EPL21:EPN21"/>
    <mergeCell ref="EPO21:EPQ21"/>
    <mergeCell ref="EPR21:EPT21"/>
    <mergeCell ref="EOK21:EOM21"/>
    <mergeCell ref="EON21:EOP21"/>
    <mergeCell ref="EOQ21:EOS21"/>
    <mergeCell ref="EOT21:EOV21"/>
    <mergeCell ref="EOW21:EOY21"/>
    <mergeCell ref="EOZ21:EPB21"/>
    <mergeCell ref="ENS21:ENU21"/>
    <mergeCell ref="ENV21:ENX21"/>
    <mergeCell ref="ENY21:EOA21"/>
    <mergeCell ref="EOB21:EOD21"/>
    <mergeCell ref="EOE21:EOG21"/>
    <mergeCell ref="EOH21:EOJ21"/>
    <mergeCell ref="ENA21:ENC21"/>
    <mergeCell ref="END21:ENF21"/>
    <mergeCell ref="ENG21:ENI21"/>
    <mergeCell ref="ENJ21:ENL21"/>
    <mergeCell ref="ENM21:ENO21"/>
    <mergeCell ref="ENP21:ENR21"/>
    <mergeCell ref="EMI21:EMK21"/>
    <mergeCell ref="EML21:EMN21"/>
    <mergeCell ref="EMO21:EMQ21"/>
    <mergeCell ref="EMR21:EMT21"/>
    <mergeCell ref="EMU21:EMW21"/>
    <mergeCell ref="EMX21:EMZ21"/>
    <mergeCell ref="ELQ21:ELS21"/>
    <mergeCell ref="ELT21:ELV21"/>
    <mergeCell ref="ELW21:ELY21"/>
    <mergeCell ref="ELZ21:EMB21"/>
    <mergeCell ref="EMC21:EME21"/>
    <mergeCell ref="EMF21:EMH21"/>
    <mergeCell ref="EKY21:ELA21"/>
    <mergeCell ref="ELB21:ELD21"/>
    <mergeCell ref="ELE21:ELG21"/>
    <mergeCell ref="ELH21:ELJ21"/>
    <mergeCell ref="ELK21:ELM21"/>
    <mergeCell ref="ELN21:ELP21"/>
    <mergeCell ref="EKG21:EKI21"/>
    <mergeCell ref="EKJ21:EKL21"/>
    <mergeCell ref="EKM21:EKO21"/>
    <mergeCell ref="EKP21:EKR21"/>
    <mergeCell ref="EKS21:EKU21"/>
    <mergeCell ref="EKV21:EKX21"/>
    <mergeCell ref="EJO21:EJQ21"/>
    <mergeCell ref="EJR21:EJT21"/>
    <mergeCell ref="EJU21:EJW21"/>
    <mergeCell ref="EJX21:EJZ21"/>
    <mergeCell ref="EKA21:EKC21"/>
    <mergeCell ref="EKD21:EKF21"/>
    <mergeCell ref="EIW21:EIY21"/>
    <mergeCell ref="EIZ21:EJB21"/>
    <mergeCell ref="EJC21:EJE21"/>
    <mergeCell ref="EJF21:EJH21"/>
    <mergeCell ref="EJI21:EJK21"/>
    <mergeCell ref="EJL21:EJN21"/>
    <mergeCell ref="EIE21:EIG21"/>
    <mergeCell ref="EIH21:EIJ21"/>
    <mergeCell ref="EIK21:EIM21"/>
    <mergeCell ref="EIN21:EIP21"/>
    <mergeCell ref="EIQ21:EIS21"/>
    <mergeCell ref="EIT21:EIV21"/>
    <mergeCell ref="EHM21:EHO21"/>
    <mergeCell ref="EHP21:EHR21"/>
    <mergeCell ref="EHS21:EHU21"/>
    <mergeCell ref="EHV21:EHX21"/>
    <mergeCell ref="EHY21:EIA21"/>
    <mergeCell ref="EIB21:EID21"/>
    <mergeCell ref="EGU21:EGW21"/>
    <mergeCell ref="EGX21:EGZ21"/>
    <mergeCell ref="EHA21:EHC21"/>
    <mergeCell ref="EHD21:EHF21"/>
    <mergeCell ref="EHG21:EHI21"/>
    <mergeCell ref="EHJ21:EHL21"/>
    <mergeCell ref="EGC21:EGE21"/>
    <mergeCell ref="EGF21:EGH21"/>
    <mergeCell ref="EGI21:EGK21"/>
    <mergeCell ref="EGL21:EGN21"/>
    <mergeCell ref="EGO21:EGQ21"/>
    <mergeCell ref="EGR21:EGT21"/>
    <mergeCell ref="EFK21:EFM21"/>
    <mergeCell ref="EFN21:EFP21"/>
    <mergeCell ref="EFQ21:EFS21"/>
    <mergeCell ref="EFT21:EFV21"/>
    <mergeCell ref="EFW21:EFY21"/>
    <mergeCell ref="EFZ21:EGB21"/>
    <mergeCell ref="EES21:EEU21"/>
    <mergeCell ref="EEV21:EEX21"/>
    <mergeCell ref="EEY21:EFA21"/>
    <mergeCell ref="EFB21:EFD21"/>
    <mergeCell ref="EFE21:EFG21"/>
    <mergeCell ref="EFH21:EFJ21"/>
    <mergeCell ref="EEA21:EEC21"/>
    <mergeCell ref="EED21:EEF21"/>
    <mergeCell ref="EEG21:EEI21"/>
    <mergeCell ref="EEJ21:EEL21"/>
    <mergeCell ref="EEM21:EEO21"/>
    <mergeCell ref="EEP21:EER21"/>
    <mergeCell ref="EDI21:EDK21"/>
    <mergeCell ref="EDL21:EDN21"/>
    <mergeCell ref="EDO21:EDQ21"/>
    <mergeCell ref="EDR21:EDT21"/>
    <mergeCell ref="EDU21:EDW21"/>
    <mergeCell ref="EDX21:EDZ21"/>
    <mergeCell ref="ECQ21:ECS21"/>
    <mergeCell ref="ECT21:ECV21"/>
    <mergeCell ref="ECW21:ECY21"/>
    <mergeCell ref="ECZ21:EDB21"/>
    <mergeCell ref="EDC21:EDE21"/>
    <mergeCell ref="EDF21:EDH21"/>
    <mergeCell ref="EBY21:ECA21"/>
    <mergeCell ref="ECB21:ECD21"/>
    <mergeCell ref="ECE21:ECG21"/>
    <mergeCell ref="ECH21:ECJ21"/>
    <mergeCell ref="ECK21:ECM21"/>
    <mergeCell ref="ECN21:ECP21"/>
    <mergeCell ref="EBG21:EBI21"/>
    <mergeCell ref="EBJ21:EBL21"/>
    <mergeCell ref="EBM21:EBO21"/>
    <mergeCell ref="EBP21:EBR21"/>
    <mergeCell ref="EBS21:EBU21"/>
    <mergeCell ref="EBV21:EBX21"/>
    <mergeCell ref="EAO21:EAQ21"/>
    <mergeCell ref="EAR21:EAT21"/>
    <mergeCell ref="EAU21:EAW21"/>
    <mergeCell ref="EAX21:EAZ21"/>
    <mergeCell ref="EBA21:EBC21"/>
    <mergeCell ref="EBD21:EBF21"/>
    <mergeCell ref="DZW21:DZY21"/>
    <mergeCell ref="DZZ21:EAB21"/>
    <mergeCell ref="EAC21:EAE21"/>
    <mergeCell ref="EAF21:EAH21"/>
    <mergeCell ref="EAI21:EAK21"/>
    <mergeCell ref="EAL21:EAN21"/>
    <mergeCell ref="DZE21:DZG21"/>
    <mergeCell ref="DZH21:DZJ21"/>
    <mergeCell ref="DZK21:DZM21"/>
    <mergeCell ref="DZN21:DZP21"/>
    <mergeCell ref="DZQ21:DZS21"/>
    <mergeCell ref="DZT21:DZV21"/>
    <mergeCell ref="DYM21:DYO21"/>
    <mergeCell ref="DYP21:DYR21"/>
    <mergeCell ref="DYS21:DYU21"/>
    <mergeCell ref="DYV21:DYX21"/>
    <mergeCell ref="DYY21:DZA21"/>
    <mergeCell ref="DZB21:DZD21"/>
    <mergeCell ref="DXU21:DXW21"/>
    <mergeCell ref="DXX21:DXZ21"/>
    <mergeCell ref="DYA21:DYC21"/>
    <mergeCell ref="DYD21:DYF21"/>
    <mergeCell ref="DYG21:DYI21"/>
    <mergeCell ref="DYJ21:DYL21"/>
    <mergeCell ref="DXC21:DXE21"/>
    <mergeCell ref="DXF21:DXH21"/>
    <mergeCell ref="DXI21:DXK21"/>
    <mergeCell ref="DXL21:DXN21"/>
    <mergeCell ref="DXO21:DXQ21"/>
    <mergeCell ref="DXR21:DXT21"/>
    <mergeCell ref="DWK21:DWM21"/>
    <mergeCell ref="DWN21:DWP21"/>
    <mergeCell ref="DWQ21:DWS21"/>
    <mergeCell ref="DWT21:DWV21"/>
    <mergeCell ref="DWW21:DWY21"/>
    <mergeCell ref="DWZ21:DXB21"/>
    <mergeCell ref="DVS21:DVU21"/>
    <mergeCell ref="DVV21:DVX21"/>
    <mergeCell ref="DVY21:DWA21"/>
    <mergeCell ref="DWB21:DWD21"/>
    <mergeCell ref="DWE21:DWG21"/>
    <mergeCell ref="DWH21:DWJ21"/>
    <mergeCell ref="DVA21:DVC21"/>
    <mergeCell ref="DVD21:DVF21"/>
    <mergeCell ref="DVG21:DVI21"/>
    <mergeCell ref="DVJ21:DVL21"/>
    <mergeCell ref="DVM21:DVO21"/>
    <mergeCell ref="DVP21:DVR21"/>
    <mergeCell ref="DUI21:DUK21"/>
    <mergeCell ref="DUL21:DUN21"/>
    <mergeCell ref="DUO21:DUQ21"/>
    <mergeCell ref="DUR21:DUT21"/>
    <mergeCell ref="DUU21:DUW21"/>
    <mergeCell ref="DUX21:DUZ21"/>
    <mergeCell ref="DTQ21:DTS21"/>
    <mergeCell ref="DTT21:DTV21"/>
    <mergeCell ref="DTW21:DTY21"/>
    <mergeCell ref="DTZ21:DUB21"/>
    <mergeCell ref="DUC21:DUE21"/>
    <mergeCell ref="DUF21:DUH21"/>
    <mergeCell ref="DSY21:DTA21"/>
    <mergeCell ref="DTB21:DTD21"/>
    <mergeCell ref="DTE21:DTG21"/>
    <mergeCell ref="DTH21:DTJ21"/>
    <mergeCell ref="DTK21:DTM21"/>
    <mergeCell ref="DTN21:DTP21"/>
    <mergeCell ref="DSG21:DSI21"/>
    <mergeCell ref="DSJ21:DSL21"/>
    <mergeCell ref="DSM21:DSO21"/>
    <mergeCell ref="DSP21:DSR21"/>
    <mergeCell ref="DSS21:DSU21"/>
    <mergeCell ref="DSV21:DSX21"/>
    <mergeCell ref="DRO21:DRQ21"/>
    <mergeCell ref="DRR21:DRT21"/>
    <mergeCell ref="DRU21:DRW21"/>
    <mergeCell ref="DRX21:DRZ21"/>
    <mergeCell ref="DSA21:DSC21"/>
    <mergeCell ref="DSD21:DSF21"/>
    <mergeCell ref="DQW21:DQY21"/>
    <mergeCell ref="DQZ21:DRB21"/>
    <mergeCell ref="DRC21:DRE21"/>
    <mergeCell ref="DRF21:DRH21"/>
    <mergeCell ref="DRI21:DRK21"/>
    <mergeCell ref="DRL21:DRN21"/>
    <mergeCell ref="DQE21:DQG21"/>
    <mergeCell ref="DQH21:DQJ21"/>
    <mergeCell ref="DQK21:DQM21"/>
    <mergeCell ref="DQN21:DQP21"/>
    <mergeCell ref="DQQ21:DQS21"/>
    <mergeCell ref="DQT21:DQV21"/>
    <mergeCell ref="DPM21:DPO21"/>
    <mergeCell ref="DPP21:DPR21"/>
    <mergeCell ref="DPS21:DPU21"/>
    <mergeCell ref="DPV21:DPX21"/>
    <mergeCell ref="DPY21:DQA21"/>
    <mergeCell ref="DQB21:DQD21"/>
    <mergeCell ref="DOU21:DOW21"/>
    <mergeCell ref="DOX21:DOZ21"/>
    <mergeCell ref="DPA21:DPC21"/>
    <mergeCell ref="DPD21:DPF21"/>
    <mergeCell ref="DPG21:DPI21"/>
    <mergeCell ref="DPJ21:DPL21"/>
    <mergeCell ref="DOC21:DOE21"/>
    <mergeCell ref="DOF21:DOH21"/>
    <mergeCell ref="DOI21:DOK21"/>
    <mergeCell ref="DOL21:DON21"/>
    <mergeCell ref="DOO21:DOQ21"/>
    <mergeCell ref="DOR21:DOT21"/>
    <mergeCell ref="DNK21:DNM21"/>
    <mergeCell ref="DNN21:DNP21"/>
    <mergeCell ref="DNQ21:DNS21"/>
    <mergeCell ref="DNT21:DNV21"/>
    <mergeCell ref="DNW21:DNY21"/>
    <mergeCell ref="DNZ21:DOB21"/>
    <mergeCell ref="DMS21:DMU21"/>
    <mergeCell ref="DMV21:DMX21"/>
    <mergeCell ref="DMY21:DNA21"/>
    <mergeCell ref="DNB21:DND21"/>
    <mergeCell ref="DNE21:DNG21"/>
    <mergeCell ref="DNH21:DNJ21"/>
    <mergeCell ref="DMA21:DMC21"/>
    <mergeCell ref="DMD21:DMF21"/>
    <mergeCell ref="DMG21:DMI21"/>
    <mergeCell ref="DMJ21:DML21"/>
    <mergeCell ref="DMM21:DMO21"/>
    <mergeCell ref="DMP21:DMR21"/>
    <mergeCell ref="DLI21:DLK21"/>
    <mergeCell ref="DLL21:DLN21"/>
    <mergeCell ref="DLO21:DLQ21"/>
    <mergeCell ref="DLR21:DLT21"/>
    <mergeCell ref="DLU21:DLW21"/>
    <mergeCell ref="DLX21:DLZ21"/>
    <mergeCell ref="DKQ21:DKS21"/>
    <mergeCell ref="DKT21:DKV21"/>
    <mergeCell ref="DKW21:DKY21"/>
    <mergeCell ref="DKZ21:DLB21"/>
    <mergeCell ref="DLC21:DLE21"/>
    <mergeCell ref="DLF21:DLH21"/>
    <mergeCell ref="DJY21:DKA21"/>
    <mergeCell ref="DKB21:DKD21"/>
    <mergeCell ref="DKE21:DKG21"/>
    <mergeCell ref="DKH21:DKJ21"/>
    <mergeCell ref="DKK21:DKM21"/>
    <mergeCell ref="DKN21:DKP21"/>
    <mergeCell ref="DJG21:DJI21"/>
    <mergeCell ref="DJJ21:DJL21"/>
    <mergeCell ref="DJM21:DJO21"/>
    <mergeCell ref="DJP21:DJR21"/>
    <mergeCell ref="DJS21:DJU21"/>
    <mergeCell ref="DJV21:DJX21"/>
    <mergeCell ref="DIO21:DIQ21"/>
    <mergeCell ref="DIR21:DIT21"/>
    <mergeCell ref="DIU21:DIW21"/>
    <mergeCell ref="DIX21:DIZ21"/>
    <mergeCell ref="DJA21:DJC21"/>
    <mergeCell ref="DJD21:DJF21"/>
    <mergeCell ref="DHW21:DHY21"/>
    <mergeCell ref="DHZ21:DIB21"/>
    <mergeCell ref="DIC21:DIE21"/>
    <mergeCell ref="DIF21:DIH21"/>
    <mergeCell ref="DII21:DIK21"/>
    <mergeCell ref="DIL21:DIN21"/>
    <mergeCell ref="DHE21:DHG21"/>
    <mergeCell ref="DHH21:DHJ21"/>
    <mergeCell ref="DHK21:DHM21"/>
    <mergeCell ref="DHN21:DHP21"/>
    <mergeCell ref="DHQ21:DHS21"/>
    <mergeCell ref="DHT21:DHV21"/>
    <mergeCell ref="DGM21:DGO21"/>
    <mergeCell ref="DGP21:DGR21"/>
    <mergeCell ref="DGS21:DGU21"/>
    <mergeCell ref="DGV21:DGX21"/>
    <mergeCell ref="DGY21:DHA21"/>
    <mergeCell ref="DHB21:DHD21"/>
    <mergeCell ref="DFU21:DFW21"/>
    <mergeCell ref="DFX21:DFZ21"/>
    <mergeCell ref="DGA21:DGC21"/>
    <mergeCell ref="DGD21:DGF21"/>
    <mergeCell ref="DGG21:DGI21"/>
    <mergeCell ref="DGJ21:DGL21"/>
    <mergeCell ref="DFC21:DFE21"/>
    <mergeCell ref="DFF21:DFH21"/>
    <mergeCell ref="DFI21:DFK21"/>
    <mergeCell ref="DFL21:DFN21"/>
    <mergeCell ref="DFO21:DFQ21"/>
    <mergeCell ref="DFR21:DFT21"/>
    <mergeCell ref="DEK21:DEM21"/>
    <mergeCell ref="DEN21:DEP21"/>
    <mergeCell ref="DEQ21:DES21"/>
    <mergeCell ref="DET21:DEV21"/>
    <mergeCell ref="DEW21:DEY21"/>
    <mergeCell ref="DEZ21:DFB21"/>
    <mergeCell ref="DDS21:DDU21"/>
    <mergeCell ref="DDV21:DDX21"/>
    <mergeCell ref="DDY21:DEA21"/>
    <mergeCell ref="DEB21:DED21"/>
    <mergeCell ref="DEE21:DEG21"/>
    <mergeCell ref="DEH21:DEJ21"/>
    <mergeCell ref="DDA21:DDC21"/>
    <mergeCell ref="DDD21:DDF21"/>
    <mergeCell ref="DDG21:DDI21"/>
    <mergeCell ref="DDJ21:DDL21"/>
    <mergeCell ref="DDM21:DDO21"/>
    <mergeCell ref="DDP21:DDR21"/>
    <mergeCell ref="DCI21:DCK21"/>
    <mergeCell ref="DCL21:DCN21"/>
    <mergeCell ref="DCO21:DCQ21"/>
    <mergeCell ref="DCR21:DCT21"/>
    <mergeCell ref="DCU21:DCW21"/>
    <mergeCell ref="DCX21:DCZ21"/>
    <mergeCell ref="DBQ21:DBS21"/>
    <mergeCell ref="DBT21:DBV21"/>
    <mergeCell ref="DBW21:DBY21"/>
    <mergeCell ref="DBZ21:DCB21"/>
    <mergeCell ref="DCC21:DCE21"/>
    <mergeCell ref="DCF21:DCH21"/>
    <mergeCell ref="DAY21:DBA21"/>
    <mergeCell ref="DBB21:DBD21"/>
    <mergeCell ref="DBE21:DBG21"/>
    <mergeCell ref="DBH21:DBJ21"/>
    <mergeCell ref="DBK21:DBM21"/>
    <mergeCell ref="DBN21:DBP21"/>
    <mergeCell ref="DAG21:DAI21"/>
    <mergeCell ref="DAJ21:DAL21"/>
    <mergeCell ref="DAM21:DAO21"/>
    <mergeCell ref="DAP21:DAR21"/>
    <mergeCell ref="DAS21:DAU21"/>
    <mergeCell ref="DAV21:DAX21"/>
    <mergeCell ref="CZO21:CZQ21"/>
    <mergeCell ref="CZR21:CZT21"/>
    <mergeCell ref="CZU21:CZW21"/>
    <mergeCell ref="CZX21:CZZ21"/>
    <mergeCell ref="DAA21:DAC21"/>
    <mergeCell ref="DAD21:DAF21"/>
    <mergeCell ref="CYW21:CYY21"/>
    <mergeCell ref="CYZ21:CZB21"/>
    <mergeCell ref="CZC21:CZE21"/>
    <mergeCell ref="CZF21:CZH21"/>
    <mergeCell ref="CZI21:CZK21"/>
    <mergeCell ref="CZL21:CZN21"/>
    <mergeCell ref="CYE21:CYG21"/>
    <mergeCell ref="CYH21:CYJ21"/>
    <mergeCell ref="CYK21:CYM21"/>
    <mergeCell ref="CYN21:CYP21"/>
    <mergeCell ref="CYQ21:CYS21"/>
    <mergeCell ref="CYT21:CYV21"/>
    <mergeCell ref="CXM21:CXO21"/>
    <mergeCell ref="CXP21:CXR21"/>
    <mergeCell ref="CXS21:CXU21"/>
    <mergeCell ref="CXV21:CXX21"/>
    <mergeCell ref="CXY21:CYA21"/>
    <mergeCell ref="CYB21:CYD21"/>
    <mergeCell ref="CWU21:CWW21"/>
    <mergeCell ref="CWX21:CWZ21"/>
    <mergeCell ref="CXA21:CXC21"/>
    <mergeCell ref="CXD21:CXF21"/>
    <mergeCell ref="CXG21:CXI21"/>
    <mergeCell ref="CXJ21:CXL21"/>
    <mergeCell ref="CWC21:CWE21"/>
    <mergeCell ref="CWF21:CWH21"/>
    <mergeCell ref="CWI21:CWK21"/>
    <mergeCell ref="CWL21:CWN21"/>
    <mergeCell ref="CWO21:CWQ21"/>
    <mergeCell ref="CWR21:CWT21"/>
    <mergeCell ref="CVK21:CVM21"/>
    <mergeCell ref="CVN21:CVP21"/>
    <mergeCell ref="CVQ21:CVS21"/>
    <mergeCell ref="CVT21:CVV21"/>
    <mergeCell ref="CVW21:CVY21"/>
    <mergeCell ref="CVZ21:CWB21"/>
    <mergeCell ref="CUS21:CUU21"/>
    <mergeCell ref="CUV21:CUX21"/>
    <mergeCell ref="CUY21:CVA21"/>
    <mergeCell ref="CVB21:CVD21"/>
    <mergeCell ref="CVE21:CVG21"/>
    <mergeCell ref="CVH21:CVJ21"/>
    <mergeCell ref="CUA21:CUC21"/>
    <mergeCell ref="CUD21:CUF21"/>
    <mergeCell ref="CUG21:CUI21"/>
    <mergeCell ref="CUJ21:CUL21"/>
    <mergeCell ref="CUM21:CUO21"/>
    <mergeCell ref="CUP21:CUR21"/>
    <mergeCell ref="CTI21:CTK21"/>
    <mergeCell ref="CTL21:CTN21"/>
    <mergeCell ref="CTO21:CTQ21"/>
    <mergeCell ref="CTR21:CTT21"/>
    <mergeCell ref="CTU21:CTW21"/>
    <mergeCell ref="CTX21:CTZ21"/>
    <mergeCell ref="CSQ21:CSS21"/>
    <mergeCell ref="CST21:CSV21"/>
    <mergeCell ref="CSW21:CSY21"/>
    <mergeCell ref="CSZ21:CTB21"/>
    <mergeCell ref="CTC21:CTE21"/>
    <mergeCell ref="CTF21:CTH21"/>
    <mergeCell ref="CRY21:CSA21"/>
    <mergeCell ref="CSB21:CSD21"/>
    <mergeCell ref="CSE21:CSG21"/>
    <mergeCell ref="CSH21:CSJ21"/>
    <mergeCell ref="CSK21:CSM21"/>
    <mergeCell ref="CSN21:CSP21"/>
    <mergeCell ref="CRG21:CRI21"/>
    <mergeCell ref="CRJ21:CRL21"/>
    <mergeCell ref="CRM21:CRO21"/>
    <mergeCell ref="CRP21:CRR21"/>
    <mergeCell ref="CRS21:CRU21"/>
    <mergeCell ref="CRV21:CRX21"/>
    <mergeCell ref="CQO21:CQQ21"/>
    <mergeCell ref="CQR21:CQT21"/>
    <mergeCell ref="CQU21:CQW21"/>
    <mergeCell ref="CQX21:CQZ21"/>
    <mergeCell ref="CRA21:CRC21"/>
    <mergeCell ref="CRD21:CRF21"/>
    <mergeCell ref="CPW21:CPY21"/>
    <mergeCell ref="CPZ21:CQB21"/>
    <mergeCell ref="CQC21:CQE21"/>
    <mergeCell ref="CQF21:CQH21"/>
    <mergeCell ref="CQI21:CQK21"/>
    <mergeCell ref="CQL21:CQN21"/>
    <mergeCell ref="CPE21:CPG21"/>
    <mergeCell ref="CPH21:CPJ21"/>
    <mergeCell ref="CPK21:CPM21"/>
    <mergeCell ref="CPN21:CPP21"/>
    <mergeCell ref="CPQ21:CPS21"/>
    <mergeCell ref="CPT21:CPV21"/>
    <mergeCell ref="COM21:COO21"/>
    <mergeCell ref="COP21:COR21"/>
    <mergeCell ref="COS21:COU21"/>
    <mergeCell ref="COV21:COX21"/>
    <mergeCell ref="COY21:CPA21"/>
    <mergeCell ref="CPB21:CPD21"/>
    <mergeCell ref="CNU21:CNW21"/>
    <mergeCell ref="CNX21:CNZ21"/>
    <mergeCell ref="COA21:COC21"/>
    <mergeCell ref="COD21:COF21"/>
    <mergeCell ref="COG21:COI21"/>
    <mergeCell ref="COJ21:COL21"/>
    <mergeCell ref="CNC21:CNE21"/>
    <mergeCell ref="CNF21:CNH21"/>
    <mergeCell ref="CNI21:CNK21"/>
    <mergeCell ref="CNL21:CNN21"/>
    <mergeCell ref="CNO21:CNQ21"/>
    <mergeCell ref="CNR21:CNT21"/>
    <mergeCell ref="CMK21:CMM21"/>
    <mergeCell ref="CMN21:CMP21"/>
    <mergeCell ref="CMQ21:CMS21"/>
    <mergeCell ref="CMT21:CMV21"/>
    <mergeCell ref="CMW21:CMY21"/>
    <mergeCell ref="CMZ21:CNB21"/>
    <mergeCell ref="CLS21:CLU21"/>
    <mergeCell ref="CLV21:CLX21"/>
    <mergeCell ref="CLY21:CMA21"/>
    <mergeCell ref="CMB21:CMD21"/>
    <mergeCell ref="CME21:CMG21"/>
    <mergeCell ref="CMH21:CMJ21"/>
    <mergeCell ref="CLA21:CLC21"/>
    <mergeCell ref="CLD21:CLF21"/>
    <mergeCell ref="CLG21:CLI21"/>
    <mergeCell ref="CLJ21:CLL21"/>
    <mergeCell ref="CLM21:CLO21"/>
    <mergeCell ref="CLP21:CLR21"/>
    <mergeCell ref="CKI21:CKK21"/>
    <mergeCell ref="CKL21:CKN21"/>
    <mergeCell ref="CKO21:CKQ21"/>
    <mergeCell ref="CKR21:CKT21"/>
    <mergeCell ref="CKU21:CKW21"/>
    <mergeCell ref="CKX21:CKZ21"/>
    <mergeCell ref="CJQ21:CJS21"/>
    <mergeCell ref="CJT21:CJV21"/>
    <mergeCell ref="CJW21:CJY21"/>
    <mergeCell ref="CJZ21:CKB21"/>
    <mergeCell ref="CKC21:CKE21"/>
    <mergeCell ref="CKF21:CKH21"/>
    <mergeCell ref="CIY21:CJA21"/>
    <mergeCell ref="CJB21:CJD21"/>
    <mergeCell ref="CJE21:CJG21"/>
    <mergeCell ref="CJH21:CJJ21"/>
    <mergeCell ref="CJK21:CJM21"/>
    <mergeCell ref="CJN21:CJP21"/>
    <mergeCell ref="CIG21:CII21"/>
    <mergeCell ref="CIJ21:CIL21"/>
    <mergeCell ref="CIM21:CIO21"/>
    <mergeCell ref="CIP21:CIR21"/>
    <mergeCell ref="CIS21:CIU21"/>
    <mergeCell ref="CIV21:CIX21"/>
    <mergeCell ref="CHO21:CHQ21"/>
    <mergeCell ref="CHR21:CHT21"/>
    <mergeCell ref="CHU21:CHW21"/>
    <mergeCell ref="CHX21:CHZ21"/>
    <mergeCell ref="CIA21:CIC21"/>
    <mergeCell ref="CID21:CIF21"/>
    <mergeCell ref="CGW21:CGY21"/>
    <mergeCell ref="CGZ21:CHB21"/>
    <mergeCell ref="CHC21:CHE21"/>
    <mergeCell ref="CHF21:CHH21"/>
    <mergeCell ref="CHI21:CHK21"/>
    <mergeCell ref="CHL21:CHN21"/>
    <mergeCell ref="CGE21:CGG21"/>
    <mergeCell ref="CGH21:CGJ21"/>
    <mergeCell ref="CGK21:CGM21"/>
    <mergeCell ref="CGN21:CGP21"/>
    <mergeCell ref="CGQ21:CGS21"/>
    <mergeCell ref="CGT21:CGV21"/>
    <mergeCell ref="CFM21:CFO21"/>
    <mergeCell ref="CFP21:CFR21"/>
    <mergeCell ref="CFS21:CFU21"/>
    <mergeCell ref="CFV21:CFX21"/>
    <mergeCell ref="CFY21:CGA21"/>
    <mergeCell ref="CGB21:CGD21"/>
    <mergeCell ref="CEU21:CEW21"/>
    <mergeCell ref="CEX21:CEZ21"/>
    <mergeCell ref="CFA21:CFC21"/>
    <mergeCell ref="CFD21:CFF21"/>
    <mergeCell ref="CFG21:CFI21"/>
    <mergeCell ref="CFJ21:CFL21"/>
    <mergeCell ref="CEC21:CEE21"/>
    <mergeCell ref="CEF21:CEH21"/>
    <mergeCell ref="CEI21:CEK21"/>
    <mergeCell ref="CEL21:CEN21"/>
    <mergeCell ref="CEO21:CEQ21"/>
    <mergeCell ref="CER21:CET21"/>
    <mergeCell ref="CDK21:CDM21"/>
    <mergeCell ref="CDN21:CDP21"/>
    <mergeCell ref="CDQ21:CDS21"/>
    <mergeCell ref="CDT21:CDV21"/>
    <mergeCell ref="CDW21:CDY21"/>
    <mergeCell ref="CDZ21:CEB21"/>
    <mergeCell ref="CCS21:CCU21"/>
    <mergeCell ref="CCV21:CCX21"/>
    <mergeCell ref="CCY21:CDA21"/>
    <mergeCell ref="CDB21:CDD21"/>
    <mergeCell ref="CDE21:CDG21"/>
    <mergeCell ref="CDH21:CDJ21"/>
    <mergeCell ref="CCA21:CCC21"/>
    <mergeCell ref="CCD21:CCF21"/>
    <mergeCell ref="CCG21:CCI21"/>
    <mergeCell ref="CCJ21:CCL21"/>
    <mergeCell ref="CCM21:CCO21"/>
    <mergeCell ref="CCP21:CCR21"/>
    <mergeCell ref="CBI21:CBK21"/>
    <mergeCell ref="CBL21:CBN21"/>
    <mergeCell ref="CBO21:CBQ21"/>
    <mergeCell ref="CBR21:CBT21"/>
    <mergeCell ref="CBU21:CBW21"/>
    <mergeCell ref="CBX21:CBZ21"/>
    <mergeCell ref="CAQ21:CAS21"/>
    <mergeCell ref="CAT21:CAV21"/>
    <mergeCell ref="CAW21:CAY21"/>
    <mergeCell ref="CAZ21:CBB21"/>
    <mergeCell ref="CBC21:CBE21"/>
    <mergeCell ref="CBF21:CBH21"/>
    <mergeCell ref="BZY21:CAA21"/>
    <mergeCell ref="CAB21:CAD21"/>
    <mergeCell ref="CAE21:CAG21"/>
    <mergeCell ref="CAH21:CAJ21"/>
    <mergeCell ref="CAK21:CAM21"/>
    <mergeCell ref="CAN21:CAP21"/>
    <mergeCell ref="BZG21:BZI21"/>
    <mergeCell ref="BZJ21:BZL21"/>
    <mergeCell ref="BZM21:BZO21"/>
    <mergeCell ref="BZP21:BZR21"/>
    <mergeCell ref="BZS21:BZU21"/>
    <mergeCell ref="BZV21:BZX21"/>
    <mergeCell ref="BYO21:BYQ21"/>
    <mergeCell ref="BYR21:BYT21"/>
    <mergeCell ref="BYU21:BYW21"/>
    <mergeCell ref="BYX21:BYZ21"/>
    <mergeCell ref="BZA21:BZC21"/>
    <mergeCell ref="BZD21:BZF21"/>
    <mergeCell ref="BXW21:BXY21"/>
    <mergeCell ref="BXZ21:BYB21"/>
    <mergeCell ref="BYC21:BYE21"/>
    <mergeCell ref="BYF21:BYH21"/>
    <mergeCell ref="BYI21:BYK21"/>
    <mergeCell ref="BYL21:BYN21"/>
    <mergeCell ref="BXE21:BXG21"/>
    <mergeCell ref="BXH21:BXJ21"/>
    <mergeCell ref="BXK21:BXM21"/>
    <mergeCell ref="BXN21:BXP21"/>
    <mergeCell ref="BXQ21:BXS21"/>
    <mergeCell ref="BXT21:BXV21"/>
    <mergeCell ref="BWM21:BWO21"/>
    <mergeCell ref="BWP21:BWR21"/>
    <mergeCell ref="BWS21:BWU21"/>
    <mergeCell ref="BWV21:BWX21"/>
    <mergeCell ref="BWY21:BXA21"/>
    <mergeCell ref="BXB21:BXD21"/>
    <mergeCell ref="BVU21:BVW21"/>
    <mergeCell ref="BVX21:BVZ21"/>
    <mergeCell ref="BWA21:BWC21"/>
    <mergeCell ref="BWD21:BWF21"/>
    <mergeCell ref="BWG21:BWI21"/>
    <mergeCell ref="BWJ21:BWL21"/>
    <mergeCell ref="BVC21:BVE21"/>
    <mergeCell ref="BVF21:BVH21"/>
    <mergeCell ref="BVI21:BVK21"/>
    <mergeCell ref="BVL21:BVN21"/>
    <mergeCell ref="BVO21:BVQ21"/>
    <mergeCell ref="BVR21:BVT21"/>
    <mergeCell ref="BUK21:BUM21"/>
    <mergeCell ref="BUN21:BUP21"/>
    <mergeCell ref="BUQ21:BUS21"/>
    <mergeCell ref="BUT21:BUV21"/>
    <mergeCell ref="BUW21:BUY21"/>
    <mergeCell ref="BUZ21:BVB21"/>
    <mergeCell ref="BTS21:BTU21"/>
    <mergeCell ref="BTV21:BTX21"/>
    <mergeCell ref="BTY21:BUA21"/>
    <mergeCell ref="BUB21:BUD21"/>
    <mergeCell ref="BUE21:BUG21"/>
    <mergeCell ref="BUH21:BUJ21"/>
    <mergeCell ref="BTA21:BTC21"/>
    <mergeCell ref="BTD21:BTF21"/>
    <mergeCell ref="BTG21:BTI21"/>
    <mergeCell ref="BTJ21:BTL21"/>
    <mergeCell ref="BTM21:BTO21"/>
    <mergeCell ref="BTP21:BTR21"/>
    <mergeCell ref="BSI21:BSK21"/>
    <mergeCell ref="BSL21:BSN21"/>
    <mergeCell ref="BSO21:BSQ21"/>
    <mergeCell ref="BSR21:BST21"/>
    <mergeCell ref="BSU21:BSW21"/>
    <mergeCell ref="BSX21:BSZ21"/>
    <mergeCell ref="BRQ21:BRS21"/>
    <mergeCell ref="BRT21:BRV21"/>
    <mergeCell ref="BRW21:BRY21"/>
    <mergeCell ref="BRZ21:BSB21"/>
    <mergeCell ref="BSC21:BSE21"/>
    <mergeCell ref="BSF21:BSH21"/>
    <mergeCell ref="BQY21:BRA21"/>
    <mergeCell ref="BRB21:BRD21"/>
    <mergeCell ref="BRE21:BRG21"/>
    <mergeCell ref="BRH21:BRJ21"/>
    <mergeCell ref="BRK21:BRM21"/>
    <mergeCell ref="BRN21:BRP21"/>
    <mergeCell ref="BQG21:BQI21"/>
    <mergeCell ref="BQJ21:BQL21"/>
    <mergeCell ref="BQM21:BQO21"/>
    <mergeCell ref="BQP21:BQR21"/>
    <mergeCell ref="BQS21:BQU21"/>
    <mergeCell ref="BQV21:BQX21"/>
    <mergeCell ref="BPO21:BPQ21"/>
    <mergeCell ref="BPR21:BPT21"/>
    <mergeCell ref="BPU21:BPW21"/>
    <mergeCell ref="BPX21:BPZ21"/>
    <mergeCell ref="BQA21:BQC21"/>
    <mergeCell ref="BQD21:BQF21"/>
    <mergeCell ref="BOW21:BOY21"/>
    <mergeCell ref="BOZ21:BPB21"/>
    <mergeCell ref="BPC21:BPE21"/>
    <mergeCell ref="BPF21:BPH21"/>
    <mergeCell ref="BPI21:BPK21"/>
    <mergeCell ref="BPL21:BPN21"/>
    <mergeCell ref="BOE21:BOG21"/>
    <mergeCell ref="BOH21:BOJ21"/>
    <mergeCell ref="BOK21:BOM21"/>
    <mergeCell ref="BON21:BOP21"/>
    <mergeCell ref="BOQ21:BOS21"/>
    <mergeCell ref="BOT21:BOV21"/>
    <mergeCell ref="BNM21:BNO21"/>
    <mergeCell ref="BNP21:BNR21"/>
    <mergeCell ref="BNS21:BNU21"/>
    <mergeCell ref="BNV21:BNX21"/>
    <mergeCell ref="BNY21:BOA21"/>
    <mergeCell ref="BOB21:BOD21"/>
    <mergeCell ref="BMU21:BMW21"/>
    <mergeCell ref="BMX21:BMZ21"/>
    <mergeCell ref="BNA21:BNC21"/>
    <mergeCell ref="BND21:BNF21"/>
    <mergeCell ref="BNG21:BNI21"/>
    <mergeCell ref="BNJ21:BNL21"/>
    <mergeCell ref="BMC21:BME21"/>
    <mergeCell ref="BMF21:BMH21"/>
    <mergeCell ref="BMI21:BMK21"/>
    <mergeCell ref="BML21:BMN21"/>
    <mergeCell ref="BMO21:BMQ21"/>
    <mergeCell ref="BMR21:BMT21"/>
    <mergeCell ref="BLK21:BLM21"/>
    <mergeCell ref="BLN21:BLP21"/>
    <mergeCell ref="BLQ21:BLS21"/>
    <mergeCell ref="BLT21:BLV21"/>
    <mergeCell ref="BLW21:BLY21"/>
    <mergeCell ref="BLZ21:BMB21"/>
    <mergeCell ref="BKS21:BKU21"/>
    <mergeCell ref="BKV21:BKX21"/>
    <mergeCell ref="BKY21:BLA21"/>
    <mergeCell ref="BLB21:BLD21"/>
    <mergeCell ref="BLE21:BLG21"/>
    <mergeCell ref="BLH21:BLJ21"/>
    <mergeCell ref="BKA21:BKC21"/>
    <mergeCell ref="BKD21:BKF21"/>
    <mergeCell ref="BKG21:BKI21"/>
    <mergeCell ref="BKJ21:BKL21"/>
    <mergeCell ref="BKM21:BKO21"/>
    <mergeCell ref="BKP21:BKR21"/>
    <mergeCell ref="BJI21:BJK21"/>
    <mergeCell ref="BJL21:BJN21"/>
    <mergeCell ref="BJO21:BJQ21"/>
    <mergeCell ref="BJR21:BJT21"/>
    <mergeCell ref="BJU21:BJW21"/>
    <mergeCell ref="BJX21:BJZ21"/>
    <mergeCell ref="BIQ21:BIS21"/>
    <mergeCell ref="BIT21:BIV21"/>
    <mergeCell ref="BIW21:BIY21"/>
    <mergeCell ref="BIZ21:BJB21"/>
    <mergeCell ref="BJC21:BJE21"/>
    <mergeCell ref="BJF21:BJH21"/>
    <mergeCell ref="BHY21:BIA21"/>
    <mergeCell ref="BIB21:BID21"/>
    <mergeCell ref="BIE21:BIG21"/>
    <mergeCell ref="BIH21:BIJ21"/>
    <mergeCell ref="BIK21:BIM21"/>
    <mergeCell ref="BIN21:BIP21"/>
    <mergeCell ref="BHG21:BHI21"/>
    <mergeCell ref="BHJ21:BHL21"/>
    <mergeCell ref="BHM21:BHO21"/>
    <mergeCell ref="BHP21:BHR21"/>
    <mergeCell ref="BHS21:BHU21"/>
    <mergeCell ref="BHV21:BHX21"/>
    <mergeCell ref="BGO21:BGQ21"/>
    <mergeCell ref="BGR21:BGT21"/>
    <mergeCell ref="BGU21:BGW21"/>
    <mergeCell ref="BGX21:BGZ21"/>
    <mergeCell ref="BHA21:BHC21"/>
    <mergeCell ref="BHD21:BHF21"/>
    <mergeCell ref="BFW21:BFY21"/>
    <mergeCell ref="BFZ21:BGB21"/>
    <mergeCell ref="BGC21:BGE21"/>
    <mergeCell ref="BGF21:BGH21"/>
    <mergeCell ref="BGI21:BGK21"/>
    <mergeCell ref="BGL21:BGN21"/>
    <mergeCell ref="BFE21:BFG21"/>
    <mergeCell ref="BFH21:BFJ21"/>
    <mergeCell ref="BFK21:BFM21"/>
    <mergeCell ref="BFN21:BFP21"/>
    <mergeCell ref="BFQ21:BFS21"/>
    <mergeCell ref="BFT21:BFV21"/>
    <mergeCell ref="BEM21:BEO21"/>
    <mergeCell ref="BEP21:BER21"/>
    <mergeCell ref="BES21:BEU21"/>
    <mergeCell ref="BEV21:BEX21"/>
    <mergeCell ref="BEY21:BFA21"/>
    <mergeCell ref="BFB21:BFD21"/>
    <mergeCell ref="BDU21:BDW21"/>
    <mergeCell ref="BDX21:BDZ21"/>
    <mergeCell ref="BEA21:BEC21"/>
    <mergeCell ref="BED21:BEF21"/>
    <mergeCell ref="BEG21:BEI21"/>
    <mergeCell ref="BEJ21:BEL21"/>
    <mergeCell ref="BDC21:BDE21"/>
    <mergeCell ref="BDF21:BDH21"/>
    <mergeCell ref="BDI21:BDK21"/>
    <mergeCell ref="BDL21:BDN21"/>
    <mergeCell ref="BDO21:BDQ21"/>
    <mergeCell ref="BDR21:BDT21"/>
    <mergeCell ref="BCK21:BCM21"/>
    <mergeCell ref="BCN21:BCP21"/>
    <mergeCell ref="BCQ21:BCS21"/>
    <mergeCell ref="BCT21:BCV21"/>
    <mergeCell ref="BCW21:BCY21"/>
    <mergeCell ref="BCZ21:BDB21"/>
    <mergeCell ref="BBS21:BBU21"/>
    <mergeCell ref="BBV21:BBX21"/>
    <mergeCell ref="BBY21:BCA21"/>
    <mergeCell ref="BCB21:BCD21"/>
    <mergeCell ref="BCE21:BCG21"/>
    <mergeCell ref="BCH21:BCJ21"/>
    <mergeCell ref="BBA21:BBC21"/>
    <mergeCell ref="BBD21:BBF21"/>
    <mergeCell ref="BBG21:BBI21"/>
    <mergeCell ref="BBJ21:BBL21"/>
    <mergeCell ref="BBM21:BBO21"/>
    <mergeCell ref="BBP21:BBR21"/>
    <mergeCell ref="BAI21:BAK21"/>
    <mergeCell ref="BAL21:BAN21"/>
    <mergeCell ref="BAO21:BAQ21"/>
    <mergeCell ref="BAR21:BAT21"/>
    <mergeCell ref="BAU21:BAW21"/>
    <mergeCell ref="BAX21:BAZ21"/>
    <mergeCell ref="AZQ21:AZS21"/>
    <mergeCell ref="AZT21:AZV21"/>
    <mergeCell ref="AZW21:AZY21"/>
    <mergeCell ref="AZZ21:BAB21"/>
    <mergeCell ref="BAC21:BAE21"/>
    <mergeCell ref="BAF21:BAH21"/>
    <mergeCell ref="AYY21:AZA21"/>
    <mergeCell ref="AZB21:AZD21"/>
    <mergeCell ref="AZE21:AZG21"/>
    <mergeCell ref="AZH21:AZJ21"/>
    <mergeCell ref="AZK21:AZM21"/>
    <mergeCell ref="AZN21:AZP21"/>
    <mergeCell ref="AYG21:AYI21"/>
    <mergeCell ref="AYJ21:AYL21"/>
    <mergeCell ref="AYM21:AYO21"/>
    <mergeCell ref="AYP21:AYR21"/>
    <mergeCell ref="AYS21:AYU21"/>
    <mergeCell ref="AYV21:AYX21"/>
    <mergeCell ref="AXO21:AXQ21"/>
    <mergeCell ref="AXR21:AXT21"/>
    <mergeCell ref="AXU21:AXW21"/>
    <mergeCell ref="AXX21:AXZ21"/>
    <mergeCell ref="AYA21:AYC21"/>
    <mergeCell ref="AYD21:AYF21"/>
    <mergeCell ref="AWW21:AWY21"/>
    <mergeCell ref="AWZ21:AXB21"/>
    <mergeCell ref="AXC21:AXE21"/>
    <mergeCell ref="AXF21:AXH21"/>
    <mergeCell ref="AXI21:AXK21"/>
    <mergeCell ref="AXL21:AXN21"/>
    <mergeCell ref="AWE21:AWG21"/>
    <mergeCell ref="AWH21:AWJ21"/>
    <mergeCell ref="AWK21:AWM21"/>
    <mergeCell ref="AWN21:AWP21"/>
    <mergeCell ref="AWQ21:AWS21"/>
    <mergeCell ref="AWT21:AWV21"/>
    <mergeCell ref="AVM21:AVO21"/>
    <mergeCell ref="AVP21:AVR21"/>
    <mergeCell ref="AVS21:AVU21"/>
    <mergeCell ref="AVV21:AVX21"/>
    <mergeCell ref="AVY21:AWA21"/>
    <mergeCell ref="AWB21:AWD21"/>
    <mergeCell ref="AUU21:AUW21"/>
    <mergeCell ref="AUX21:AUZ21"/>
    <mergeCell ref="AVA21:AVC21"/>
    <mergeCell ref="AVD21:AVF21"/>
    <mergeCell ref="AVG21:AVI21"/>
    <mergeCell ref="AVJ21:AVL21"/>
    <mergeCell ref="AUC21:AUE21"/>
    <mergeCell ref="AUF21:AUH21"/>
    <mergeCell ref="AUI21:AUK21"/>
    <mergeCell ref="AUL21:AUN21"/>
    <mergeCell ref="AUO21:AUQ21"/>
    <mergeCell ref="AUR21:AUT21"/>
    <mergeCell ref="ATK21:ATM21"/>
    <mergeCell ref="ATN21:ATP21"/>
    <mergeCell ref="ATQ21:ATS21"/>
    <mergeCell ref="ATT21:ATV21"/>
    <mergeCell ref="ATW21:ATY21"/>
    <mergeCell ref="ATZ21:AUB21"/>
    <mergeCell ref="ASS21:ASU21"/>
    <mergeCell ref="ASV21:ASX21"/>
    <mergeCell ref="ASY21:ATA21"/>
    <mergeCell ref="ATB21:ATD21"/>
    <mergeCell ref="ATE21:ATG21"/>
    <mergeCell ref="ATH21:ATJ21"/>
    <mergeCell ref="ASA21:ASC21"/>
    <mergeCell ref="ASD21:ASF21"/>
    <mergeCell ref="ASG21:ASI21"/>
    <mergeCell ref="ASJ21:ASL21"/>
    <mergeCell ref="ASM21:ASO21"/>
    <mergeCell ref="ASP21:ASR21"/>
    <mergeCell ref="ARI21:ARK21"/>
    <mergeCell ref="ARL21:ARN21"/>
    <mergeCell ref="ARO21:ARQ21"/>
    <mergeCell ref="ARR21:ART21"/>
    <mergeCell ref="ARU21:ARW21"/>
    <mergeCell ref="ARX21:ARZ21"/>
    <mergeCell ref="AQQ21:AQS21"/>
    <mergeCell ref="AQT21:AQV21"/>
    <mergeCell ref="AQW21:AQY21"/>
    <mergeCell ref="AQZ21:ARB21"/>
    <mergeCell ref="ARC21:ARE21"/>
    <mergeCell ref="ARF21:ARH21"/>
    <mergeCell ref="APY21:AQA21"/>
    <mergeCell ref="AQB21:AQD21"/>
    <mergeCell ref="AQE21:AQG21"/>
    <mergeCell ref="AQH21:AQJ21"/>
    <mergeCell ref="AQK21:AQM21"/>
    <mergeCell ref="AQN21:AQP21"/>
    <mergeCell ref="APG21:API21"/>
    <mergeCell ref="APJ21:APL21"/>
    <mergeCell ref="APM21:APO21"/>
    <mergeCell ref="APP21:APR21"/>
    <mergeCell ref="APS21:APU21"/>
    <mergeCell ref="APV21:APX21"/>
    <mergeCell ref="AOO21:AOQ21"/>
    <mergeCell ref="AOR21:AOT21"/>
    <mergeCell ref="AOU21:AOW21"/>
    <mergeCell ref="AOX21:AOZ21"/>
    <mergeCell ref="APA21:APC21"/>
    <mergeCell ref="APD21:APF21"/>
    <mergeCell ref="ANW21:ANY21"/>
    <mergeCell ref="ANZ21:AOB21"/>
    <mergeCell ref="AOC21:AOE21"/>
    <mergeCell ref="AOF21:AOH21"/>
    <mergeCell ref="AOI21:AOK21"/>
    <mergeCell ref="AOL21:AON21"/>
    <mergeCell ref="ANE21:ANG21"/>
    <mergeCell ref="ANH21:ANJ21"/>
    <mergeCell ref="ANK21:ANM21"/>
    <mergeCell ref="ANN21:ANP21"/>
    <mergeCell ref="ANQ21:ANS21"/>
    <mergeCell ref="ANT21:ANV21"/>
    <mergeCell ref="AMM21:AMO21"/>
    <mergeCell ref="AMP21:AMR21"/>
    <mergeCell ref="AMS21:AMU21"/>
    <mergeCell ref="AMV21:AMX21"/>
    <mergeCell ref="AMY21:ANA21"/>
    <mergeCell ref="ANB21:AND21"/>
    <mergeCell ref="ALU21:ALW21"/>
    <mergeCell ref="ALX21:ALZ21"/>
    <mergeCell ref="AMA21:AMC21"/>
    <mergeCell ref="AMD21:AMF21"/>
    <mergeCell ref="AMG21:AMI21"/>
    <mergeCell ref="AMJ21:AML21"/>
    <mergeCell ref="ALC21:ALE21"/>
    <mergeCell ref="ALF21:ALH21"/>
    <mergeCell ref="ALI21:ALK21"/>
    <mergeCell ref="ALL21:ALN21"/>
    <mergeCell ref="ALO21:ALQ21"/>
    <mergeCell ref="ALR21:ALT21"/>
    <mergeCell ref="AKK21:AKM21"/>
    <mergeCell ref="AKN21:AKP21"/>
    <mergeCell ref="AKQ21:AKS21"/>
    <mergeCell ref="AKT21:AKV21"/>
    <mergeCell ref="AKW21:AKY21"/>
    <mergeCell ref="AKZ21:ALB21"/>
    <mergeCell ref="AJS21:AJU21"/>
    <mergeCell ref="AJV21:AJX21"/>
    <mergeCell ref="AJY21:AKA21"/>
    <mergeCell ref="AKB21:AKD21"/>
    <mergeCell ref="AKE21:AKG21"/>
    <mergeCell ref="AKH21:AKJ21"/>
    <mergeCell ref="AJA21:AJC21"/>
    <mergeCell ref="AJD21:AJF21"/>
    <mergeCell ref="AJG21:AJI21"/>
    <mergeCell ref="AJJ21:AJL21"/>
    <mergeCell ref="AJM21:AJO21"/>
    <mergeCell ref="AJP21:AJR21"/>
    <mergeCell ref="AII21:AIK21"/>
    <mergeCell ref="AIL21:AIN21"/>
    <mergeCell ref="AIO21:AIQ21"/>
    <mergeCell ref="AIR21:AIT21"/>
    <mergeCell ref="AIU21:AIW21"/>
    <mergeCell ref="AIX21:AIZ21"/>
    <mergeCell ref="AHQ21:AHS21"/>
    <mergeCell ref="AHT21:AHV21"/>
    <mergeCell ref="AHW21:AHY21"/>
    <mergeCell ref="AHZ21:AIB21"/>
    <mergeCell ref="AIC21:AIE21"/>
    <mergeCell ref="AIF21:AIH21"/>
    <mergeCell ref="AGY21:AHA21"/>
    <mergeCell ref="AHB21:AHD21"/>
    <mergeCell ref="AHE21:AHG21"/>
    <mergeCell ref="AHH21:AHJ21"/>
    <mergeCell ref="AHK21:AHM21"/>
    <mergeCell ref="AHN21:AHP21"/>
    <mergeCell ref="AGG21:AGI21"/>
    <mergeCell ref="AGJ21:AGL21"/>
    <mergeCell ref="AGM21:AGO21"/>
    <mergeCell ref="AGP21:AGR21"/>
    <mergeCell ref="AGS21:AGU21"/>
    <mergeCell ref="AGV21:AGX21"/>
    <mergeCell ref="AFO21:AFQ21"/>
    <mergeCell ref="AFR21:AFT21"/>
    <mergeCell ref="AFU21:AFW21"/>
    <mergeCell ref="AFX21:AFZ21"/>
    <mergeCell ref="AGA21:AGC21"/>
    <mergeCell ref="AGD21:AGF21"/>
    <mergeCell ref="AEW21:AEY21"/>
    <mergeCell ref="AEZ21:AFB21"/>
    <mergeCell ref="AFC21:AFE21"/>
    <mergeCell ref="AFF21:AFH21"/>
    <mergeCell ref="AFI21:AFK21"/>
    <mergeCell ref="AFL21:AFN21"/>
    <mergeCell ref="AEE21:AEG21"/>
    <mergeCell ref="AEH21:AEJ21"/>
    <mergeCell ref="AEK21:AEM21"/>
    <mergeCell ref="AEN21:AEP21"/>
    <mergeCell ref="AEQ21:AES21"/>
    <mergeCell ref="AET21:AEV21"/>
    <mergeCell ref="ADM21:ADO21"/>
    <mergeCell ref="ADP21:ADR21"/>
    <mergeCell ref="ADS21:ADU21"/>
    <mergeCell ref="ADV21:ADX21"/>
    <mergeCell ref="ADY21:AEA21"/>
    <mergeCell ref="AEB21:AED21"/>
    <mergeCell ref="ACU21:ACW21"/>
    <mergeCell ref="ACX21:ACZ21"/>
    <mergeCell ref="ADA21:ADC21"/>
    <mergeCell ref="ADD21:ADF21"/>
    <mergeCell ref="ADG21:ADI21"/>
    <mergeCell ref="ADJ21:ADL21"/>
    <mergeCell ref="ACC21:ACE21"/>
    <mergeCell ref="ACF21:ACH21"/>
    <mergeCell ref="ACI21:ACK21"/>
    <mergeCell ref="ACL21:ACN21"/>
    <mergeCell ref="ACO21:ACQ21"/>
    <mergeCell ref="ACR21:ACT21"/>
    <mergeCell ref="ABK21:ABM21"/>
    <mergeCell ref="ABN21:ABP21"/>
    <mergeCell ref="ABQ21:ABS21"/>
    <mergeCell ref="ABT21:ABV21"/>
    <mergeCell ref="ABW21:ABY21"/>
    <mergeCell ref="ABZ21:ACB21"/>
    <mergeCell ref="AAS21:AAU21"/>
    <mergeCell ref="AAV21:AAX21"/>
    <mergeCell ref="AAY21:ABA21"/>
    <mergeCell ref="ABB21:ABD21"/>
    <mergeCell ref="ABE21:ABG21"/>
    <mergeCell ref="ABH21:ABJ21"/>
    <mergeCell ref="AAA21:AAC21"/>
    <mergeCell ref="AAD21:AAF21"/>
    <mergeCell ref="AAG21:AAI21"/>
    <mergeCell ref="AAJ21:AAL21"/>
    <mergeCell ref="AAM21:AAO21"/>
    <mergeCell ref="AAP21:AAR21"/>
    <mergeCell ref="ZI21:ZK21"/>
    <mergeCell ref="ZL21:ZN21"/>
    <mergeCell ref="ZO21:ZQ21"/>
    <mergeCell ref="ZR21:ZT21"/>
    <mergeCell ref="ZU21:ZW21"/>
    <mergeCell ref="ZX21:ZZ21"/>
    <mergeCell ref="YQ21:YS21"/>
    <mergeCell ref="YT21:YV21"/>
    <mergeCell ref="YW21:YY21"/>
    <mergeCell ref="YZ21:ZB21"/>
    <mergeCell ref="ZC21:ZE21"/>
    <mergeCell ref="ZF21:ZH21"/>
    <mergeCell ref="XY21:YA21"/>
    <mergeCell ref="YB21:YD21"/>
    <mergeCell ref="YE21:YG21"/>
    <mergeCell ref="YH21:YJ21"/>
    <mergeCell ref="YK21:YM21"/>
    <mergeCell ref="YN21:YP21"/>
    <mergeCell ref="XG21:XI21"/>
    <mergeCell ref="XJ21:XL21"/>
    <mergeCell ref="XM21:XO21"/>
    <mergeCell ref="XP21:XR21"/>
    <mergeCell ref="XS21:XU21"/>
    <mergeCell ref="XV21:XX21"/>
    <mergeCell ref="WO21:WQ21"/>
    <mergeCell ref="WR21:WT21"/>
    <mergeCell ref="WU21:WW21"/>
    <mergeCell ref="WX21:WZ21"/>
    <mergeCell ref="XA21:XC21"/>
    <mergeCell ref="XD21:XF21"/>
    <mergeCell ref="VW21:VY21"/>
    <mergeCell ref="VZ21:WB21"/>
    <mergeCell ref="WC21:WE21"/>
    <mergeCell ref="WF21:WH21"/>
    <mergeCell ref="WI21:WK21"/>
    <mergeCell ref="WL21:WN21"/>
    <mergeCell ref="VE21:VG21"/>
    <mergeCell ref="VH21:VJ21"/>
    <mergeCell ref="VK21:VM21"/>
    <mergeCell ref="VN21:VP21"/>
    <mergeCell ref="VQ21:VS21"/>
    <mergeCell ref="VT21:VV21"/>
    <mergeCell ref="UM21:UO21"/>
    <mergeCell ref="UP21:UR21"/>
    <mergeCell ref="US21:UU21"/>
    <mergeCell ref="UV21:UX21"/>
    <mergeCell ref="UY21:VA21"/>
    <mergeCell ref="VB21:VD21"/>
    <mergeCell ref="TU21:TW21"/>
    <mergeCell ref="TX21:TZ21"/>
    <mergeCell ref="UA21:UC21"/>
    <mergeCell ref="UD21:UF21"/>
    <mergeCell ref="UG21:UI21"/>
    <mergeCell ref="UJ21:UL21"/>
    <mergeCell ref="TC21:TE21"/>
    <mergeCell ref="TF21:TH21"/>
    <mergeCell ref="TI21:TK21"/>
    <mergeCell ref="TL21:TN21"/>
    <mergeCell ref="TO21:TQ21"/>
    <mergeCell ref="TR21:TT21"/>
    <mergeCell ref="SK21:SM21"/>
    <mergeCell ref="SN21:SP21"/>
    <mergeCell ref="SQ21:SS21"/>
    <mergeCell ref="ST21:SV21"/>
    <mergeCell ref="SW21:SY21"/>
    <mergeCell ref="SZ21:TB21"/>
    <mergeCell ref="RS21:RU21"/>
    <mergeCell ref="RV21:RX21"/>
    <mergeCell ref="RY21:SA21"/>
    <mergeCell ref="SB21:SD21"/>
    <mergeCell ref="SE21:SG21"/>
    <mergeCell ref="SH21:SJ21"/>
    <mergeCell ref="RA21:RC21"/>
    <mergeCell ref="RD21:RF21"/>
    <mergeCell ref="RG21:RI21"/>
    <mergeCell ref="RJ21:RL21"/>
    <mergeCell ref="RM21:RO21"/>
    <mergeCell ref="RP21:RR21"/>
    <mergeCell ref="QI21:QK21"/>
    <mergeCell ref="QL21:QN21"/>
    <mergeCell ref="QO21:QQ21"/>
    <mergeCell ref="QR21:QT21"/>
    <mergeCell ref="QU21:QW21"/>
    <mergeCell ref="QX21:QZ21"/>
    <mergeCell ref="PQ21:PS21"/>
    <mergeCell ref="PT21:PV21"/>
    <mergeCell ref="PW21:PY21"/>
    <mergeCell ref="PZ21:QB21"/>
    <mergeCell ref="QC21:QE21"/>
    <mergeCell ref="QF21:QH21"/>
    <mergeCell ref="OY21:PA21"/>
    <mergeCell ref="PB21:PD21"/>
    <mergeCell ref="PE21:PG21"/>
    <mergeCell ref="PH21:PJ21"/>
    <mergeCell ref="PK21:PM21"/>
    <mergeCell ref="PN21:PP21"/>
    <mergeCell ref="OG21:OI21"/>
    <mergeCell ref="OJ21:OL21"/>
    <mergeCell ref="OM21:OO21"/>
    <mergeCell ref="OP21:OR21"/>
    <mergeCell ref="OS21:OU21"/>
    <mergeCell ref="OV21:OX21"/>
    <mergeCell ref="NO21:NQ21"/>
    <mergeCell ref="NR21:NT21"/>
    <mergeCell ref="NU21:NW21"/>
    <mergeCell ref="NX21:NZ21"/>
    <mergeCell ref="OA21:OC21"/>
    <mergeCell ref="OD21:OF21"/>
    <mergeCell ref="MW21:MY21"/>
    <mergeCell ref="MZ21:NB21"/>
    <mergeCell ref="NC21:NE21"/>
    <mergeCell ref="NF21:NH21"/>
    <mergeCell ref="NI21:NK21"/>
    <mergeCell ref="NL21:NN21"/>
    <mergeCell ref="ME21:MG21"/>
    <mergeCell ref="MH21:MJ21"/>
    <mergeCell ref="MK21:MM21"/>
    <mergeCell ref="MN21:MP21"/>
    <mergeCell ref="MQ21:MS21"/>
    <mergeCell ref="MT21:MV21"/>
    <mergeCell ref="LM21:LO21"/>
    <mergeCell ref="LP21:LR21"/>
    <mergeCell ref="LS21:LU21"/>
    <mergeCell ref="LV21:LX21"/>
    <mergeCell ref="LY21:MA21"/>
    <mergeCell ref="MB21:MD21"/>
    <mergeCell ref="KU21:KW21"/>
    <mergeCell ref="KX21:KZ21"/>
    <mergeCell ref="LA21:LC21"/>
    <mergeCell ref="LD21:LF21"/>
    <mergeCell ref="LG21:LI21"/>
    <mergeCell ref="LJ21:LL21"/>
    <mergeCell ref="KC21:KE21"/>
    <mergeCell ref="KF21:KH21"/>
    <mergeCell ref="KI21:KK21"/>
    <mergeCell ref="KL21:KN21"/>
    <mergeCell ref="KO21:KQ21"/>
    <mergeCell ref="KR21:KT21"/>
    <mergeCell ref="JK21:JM21"/>
    <mergeCell ref="JN21:JP21"/>
    <mergeCell ref="JQ21:JS21"/>
    <mergeCell ref="JT21:JV21"/>
    <mergeCell ref="JW21:JY21"/>
    <mergeCell ref="JZ21:KB21"/>
    <mergeCell ref="IS21:IU21"/>
    <mergeCell ref="IV21:IX21"/>
    <mergeCell ref="IY21:JA21"/>
    <mergeCell ref="JB21:JD21"/>
    <mergeCell ref="JE21:JG21"/>
    <mergeCell ref="JH21:JJ21"/>
    <mergeCell ref="IA21:IC21"/>
    <mergeCell ref="ID21:IF21"/>
    <mergeCell ref="IG21:II21"/>
    <mergeCell ref="IJ21:IL21"/>
    <mergeCell ref="IM21:IO21"/>
    <mergeCell ref="IP21:IR21"/>
    <mergeCell ref="HI21:HK21"/>
    <mergeCell ref="HL21:HN21"/>
    <mergeCell ref="HO21:HQ21"/>
    <mergeCell ref="HR21:HT21"/>
    <mergeCell ref="HU21:HW21"/>
    <mergeCell ref="HX21:HZ21"/>
    <mergeCell ref="GQ21:GS21"/>
    <mergeCell ref="GT21:GV21"/>
    <mergeCell ref="GW21:GY21"/>
    <mergeCell ref="GZ21:HB21"/>
    <mergeCell ref="HC21:HE21"/>
    <mergeCell ref="HF21:HH21"/>
    <mergeCell ref="FY21:GA21"/>
    <mergeCell ref="GB21:GD21"/>
    <mergeCell ref="GE21:GG21"/>
    <mergeCell ref="GH21:GJ21"/>
    <mergeCell ref="GK21:GM21"/>
    <mergeCell ref="GN21:GP21"/>
    <mergeCell ref="FG21:FI21"/>
    <mergeCell ref="FJ21:FL21"/>
    <mergeCell ref="FM21:FO21"/>
    <mergeCell ref="FP21:FR21"/>
    <mergeCell ref="FS21:FU21"/>
    <mergeCell ref="FV21:FX21"/>
    <mergeCell ref="EO21:EQ21"/>
    <mergeCell ref="ER21:ET21"/>
    <mergeCell ref="EU21:EW21"/>
    <mergeCell ref="EX21:EZ21"/>
    <mergeCell ref="FA21:FC21"/>
    <mergeCell ref="FD21:FF21"/>
    <mergeCell ref="DW21:DY21"/>
    <mergeCell ref="DZ21:EB21"/>
    <mergeCell ref="EC21:EE21"/>
    <mergeCell ref="EF21:EH21"/>
    <mergeCell ref="EI21:EK21"/>
    <mergeCell ref="EL21:EN21"/>
    <mergeCell ref="DE21:DG21"/>
    <mergeCell ref="DH21:DJ21"/>
    <mergeCell ref="DK21:DM21"/>
    <mergeCell ref="DN21:DP21"/>
    <mergeCell ref="DQ21:DS21"/>
    <mergeCell ref="DT21:DV21"/>
    <mergeCell ref="CM21:CO21"/>
    <mergeCell ref="CP21:CR21"/>
    <mergeCell ref="CS21:CU21"/>
    <mergeCell ref="CV21:CX21"/>
    <mergeCell ref="CY21:DA21"/>
    <mergeCell ref="DB21:DD21"/>
    <mergeCell ref="BU21:BW21"/>
    <mergeCell ref="BX21:BZ21"/>
    <mergeCell ref="CA21:CC21"/>
    <mergeCell ref="CD21:CF21"/>
    <mergeCell ref="CG21:CI21"/>
    <mergeCell ref="CJ21:CL21"/>
    <mergeCell ref="BC21:BE21"/>
    <mergeCell ref="BF21:BH21"/>
    <mergeCell ref="BI21:BK21"/>
    <mergeCell ref="BL21:BN21"/>
    <mergeCell ref="BO21:BQ21"/>
    <mergeCell ref="BR21:BT21"/>
    <mergeCell ref="A19:C19"/>
    <mergeCell ref="A20:C20"/>
    <mergeCell ref="A3:C3"/>
    <mergeCell ref="A14:C14"/>
    <mergeCell ref="A15:C15"/>
    <mergeCell ref="A16:C16"/>
    <mergeCell ref="A17:C17"/>
    <mergeCell ref="AK21:AM21"/>
    <mergeCell ref="AN21:AP21"/>
    <mergeCell ref="AQ21:AS21"/>
    <mergeCell ref="AT21:AV21"/>
    <mergeCell ref="AW21:AY21"/>
    <mergeCell ref="AZ21:BB21"/>
    <mergeCell ref="S21:U21"/>
    <mergeCell ref="V21:X21"/>
    <mergeCell ref="Y21:AA21"/>
    <mergeCell ref="AB21:AD21"/>
    <mergeCell ref="AE21:AG21"/>
    <mergeCell ref="AH21:AJ21"/>
    <mergeCell ref="A21:C21"/>
    <mergeCell ref="D21:F21"/>
    <mergeCell ref="G21:I21"/>
    <mergeCell ref="J21:L21"/>
    <mergeCell ref="M21:O21"/>
    <mergeCell ref="P21:R21"/>
  </mergeCell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47F8-7FFE-4A23-B5B4-DFE152A70511}">
  <sheetPr>
    <tabColor theme="4"/>
  </sheetPr>
  <dimension ref="A1:T51"/>
  <sheetViews>
    <sheetView showGridLines="0" zoomScaleNormal="100" workbookViewId="0">
      <pane xSplit="1" ySplit="6" topLeftCell="B32" activePane="bottomRight" state="frozen"/>
      <selection pane="topRight" activeCell="B1" sqref="B1"/>
      <selection pane="bottomLeft" activeCell="A7" sqref="A7"/>
      <selection pane="bottomRight" activeCell="E48" sqref="E48"/>
    </sheetView>
  </sheetViews>
  <sheetFormatPr defaultColWidth="9.109375" defaultRowHeight="15.6" outlineLevelRow="1" x14ac:dyDescent="0.3"/>
  <cols>
    <col min="1" max="1" width="41" style="211" customWidth="1"/>
    <col min="2" max="16384" width="9.109375" style="211"/>
  </cols>
  <sheetData>
    <row r="1" spans="1:12" s="1632" customFormat="1" x14ac:dyDescent="0.3">
      <c r="A1" s="1632" t="s">
        <v>556</v>
      </c>
      <c r="B1" s="1632">
        <v>2014</v>
      </c>
      <c r="C1" s="1632">
        <v>2014</v>
      </c>
      <c r="D1" s="1632">
        <v>2014</v>
      </c>
      <c r="E1" s="1632">
        <v>2011</v>
      </c>
      <c r="F1" s="1632">
        <v>2011</v>
      </c>
      <c r="G1" s="1632">
        <v>2011</v>
      </c>
      <c r="H1" s="1632">
        <v>2008</v>
      </c>
      <c r="I1" s="1632">
        <v>2008</v>
      </c>
      <c r="J1" s="1632">
        <v>2008</v>
      </c>
      <c r="K1" s="1632">
        <v>2006</v>
      </c>
      <c r="L1" s="1632">
        <v>2006</v>
      </c>
    </row>
    <row r="2" spans="1:12" s="499" customFormat="1" x14ac:dyDescent="0.3"/>
    <row r="3" spans="1:12" x14ac:dyDescent="0.3">
      <c r="A3" s="499" t="s">
        <v>2203</v>
      </c>
    </row>
    <row r="4" spans="1:12" x14ac:dyDescent="0.3">
      <c r="A4" s="152" t="s">
        <v>2226</v>
      </c>
    </row>
    <row r="5" spans="1:12" ht="8.25" customHeight="1" thickBot="1" x14ac:dyDescent="0.35"/>
    <row r="6" spans="1:12" x14ac:dyDescent="0.3">
      <c r="A6" s="212" t="s">
        <v>1250</v>
      </c>
      <c r="B6" s="1745">
        <v>2014</v>
      </c>
      <c r="C6" s="1745">
        <v>2013</v>
      </c>
      <c r="D6" s="1745">
        <v>2012</v>
      </c>
      <c r="E6" s="1745">
        <v>2011</v>
      </c>
      <c r="F6" s="1745">
        <v>2010</v>
      </c>
      <c r="G6" s="1745">
        <v>2009</v>
      </c>
      <c r="H6" s="1745">
        <v>2008</v>
      </c>
      <c r="I6" s="1745">
        <v>2007</v>
      </c>
      <c r="J6" s="1745">
        <v>2006</v>
      </c>
      <c r="K6" s="1745">
        <v>2005</v>
      </c>
      <c r="L6" s="1746">
        <v>2004</v>
      </c>
    </row>
    <row r="7" spans="1:12" x14ac:dyDescent="0.3">
      <c r="A7" s="214" t="s">
        <v>2204</v>
      </c>
      <c r="B7" s="926"/>
      <c r="C7" s="926"/>
      <c r="D7" s="926"/>
      <c r="E7" s="926"/>
      <c r="F7" s="926"/>
      <c r="G7" s="926"/>
      <c r="H7" s="926"/>
      <c r="I7" s="926"/>
      <c r="J7" s="926"/>
      <c r="K7" s="926"/>
      <c r="L7" s="927"/>
    </row>
    <row r="8" spans="1:12" x14ac:dyDescent="0.3">
      <c r="A8" s="214" t="s">
        <v>2205</v>
      </c>
      <c r="B8" s="926"/>
      <c r="C8" s="926"/>
      <c r="D8" s="926"/>
      <c r="E8" s="926"/>
      <c r="F8" s="926"/>
      <c r="G8" s="926"/>
      <c r="H8" s="926"/>
      <c r="I8" s="926"/>
      <c r="J8" s="926"/>
      <c r="K8" s="926"/>
      <c r="L8" s="927"/>
    </row>
    <row r="9" spans="1:12" x14ac:dyDescent="0.3">
      <c r="A9" s="214" t="s">
        <v>2206</v>
      </c>
      <c r="B9" s="1417">
        <v>1159</v>
      </c>
      <c r="C9" s="1417">
        <v>1127</v>
      </c>
      <c r="D9" s="1417">
        <v>680</v>
      </c>
      <c r="E9" s="1417">
        <v>576</v>
      </c>
      <c r="F9" s="1417">
        <v>1117</v>
      </c>
      <c r="G9" s="1417">
        <v>649</v>
      </c>
      <c r="H9" s="1417">
        <v>916</v>
      </c>
      <c r="I9" s="1417">
        <v>1113</v>
      </c>
      <c r="J9" s="1417">
        <v>1314</v>
      </c>
      <c r="K9" s="1417">
        <v>1221</v>
      </c>
      <c r="L9" s="1422">
        <v>970</v>
      </c>
    </row>
    <row r="10" spans="1:12" x14ac:dyDescent="0.3">
      <c r="A10" s="214" t="s">
        <v>2207</v>
      </c>
      <c r="B10" s="926">
        <v>277</v>
      </c>
      <c r="C10" s="926">
        <v>283</v>
      </c>
      <c r="D10" s="926">
        <v>355</v>
      </c>
      <c r="E10" s="926">
        <v>144</v>
      </c>
      <c r="F10" s="926">
        <v>452</v>
      </c>
      <c r="G10" s="926">
        <v>477</v>
      </c>
      <c r="H10" s="926">
        <v>342</v>
      </c>
      <c r="I10" s="926">
        <v>555</v>
      </c>
      <c r="J10" s="926">
        <v>526</v>
      </c>
      <c r="K10" s="926">
        <v>-334</v>
      </c>
      <c r="L10" s="927">
        <v>3</v>
      </c>
    </row>
    <row r="11" spans="1:12" ht="18.600000000000001" x14ac:dyDescent="0.3">
      <c r="A11" s="214" t="s">
        <v>3276</v>
      </c>
      <c r="B11" s="926">
        <v>606</v>
      </c>
      <c r="C11" s="926">
        <v>1294</v>
      </c>
      <c r="D11" s="926">
        <v>304</v>
      </c>
      <c r="E11" s="926">
        <v>-714</v>
      </c>
      <c r="F11" s="926">
        <v>176</v>
      </c>
      <c r="G11" s="926">
        <v>250</v>
      </c>
      <c r="H11" s="926">
        <v>1324</v>
      </c>
      <c r="I11" s="926">
        <v>1427</v>
      </c>
      <c r="J11" s="926">
        <v>1658</v>
      </c>
      <c r="K11" s="926">
        <v>-1069</v>
      </c>
      <c r="L11" s="927">
        <v>417</v>
      </c>
    </row>
    <row r="12" spans="1:12" x14ac:dyDescent="0.3">
      <c r="A12" s="214" t="s">
        <v>2209</v>
      </c>
      <c r="B12" s="926">
        <v>626</v>
      </c>
      <c r="C12" s="926">
        <v>385</v>
      </c>
      <c r="D12" s="926">
        <v>286</v>
      </c>
      <c r="E12" s="926">
        <v>242</v>
      </c>
      <c r="F12" s="926">
        <v>268</v>
      </c>
      <c r="G12" s="926">
        <v>84</v>
      </c>
      <c r="H12" s="926">
        <v>210</v>
      </c>
      <c r="I12" s="926">
        <v>279</v>
      </c>
      <c r="J12" s="926">
        <v>340</v>
      </c>
      <c r="K12" s="926">
        <v>235</v>
      </c>
      <c r="L12" s="927">
        <v>161</v>
      </c>
    </row>
    <row r="13" spans="1:12" x14ac:dyDescent="0.3">
      <c r="A13" s="214" t="s">
        <v>2210</v>
      </c>
      <c r="B13" s="926">
        <v>4357</v>
      </c>
      <c r="C13" s="926">
        <v>4713</v>
      </c>
      <c r="D13" s="926">
        <v>4454</v>
      </c>
      <c r="E13" s="926">
        <v>4725</v>
      </c>
      <c r="F13" s="926">
        <v>5145</v>
      </c>
      <c r="G13" s="926">
        <v>5459</v>
      </c>
      <c r="H13" s="926">
        <v>4722</v>
      </c>
      <c r="I13" s="926">
        <v>4758</v>
      </c>
      <c r="J13" s="926">
        <v>4316</v>
      </c>
      <c r="K13" s="926">
        <v>3480</v>
      </c>
      <c r="L13" s="927">
        <v>2824</v>
      </c>
    </row>
    <row r="14" spans="1:12" x14ac:dyDescent="0.3">
      <c r="A14" s="214" t="s">
        <v>2225</v>
      </c>
      <c r="B14" s="1630">
        <f>SUM(B9:B13)</f>
        <v>7025</v>
      </c>
      <c r="C14" s="1630">
        <f t="shared" ref="C14:L14" si="0">SUM(C9:C13)</f>
        <v>7802</v>
      </c>
      <c r="D14" s="1630">
        <f t="shared" si="0"/>
        <v>6079</v>
      </c>
      <c r="E14" s="1630">
        <f t="shared" si="0"/>
        <v>4973</v>
      </c>
      <c r="F14" s="1630">
        <f t="shared" si="0"/>
        <v>7158</v>
      </c>
      <c r="G14" s="1630">
        <f t="shared" si="0"/>
        <v>6919</v>
      </c>
      <c r="H14" s="1630">
        <f t="shared" si="0"/>
        <v>7514</v>
      </c>
      <c r="I14" s="1630">
        <f t="shared" si="0"/>
        <v>8132</v>
      </c>
      <c r="J14" s="1630">
        <f t="shared" si="0"/>
        <v>8154</v>
      </c>
      <c r="K14" s="1630">
        <f t="shared" si="0"/>
        <v>3533</v>
      </c>
      <c r="L14" s="1635">
        <f t="shared" si="0"/>
        <v>4375</v>
      </c>
    </row>
    <row r="15" spans="1:12" ht="9" customHeight="1" x14ac:dyDescent="0.3">
      <c r="A15" s="214"/>
      <c r="B15" s="926"/>
      <c r="C15" s="926"/>
      <c r="D15" s="926"/>
      <c r="E15" s="926"/>
      <c r="F15" s="926"/>
      <c r="G15" s="926"/>
      <c r="H15" s="926"/>
      <c r="I15" s="926"/>
      <c r="J15" s="926"/>
      <c r="K15" s="926"/>
      <c r="L15" s="927"/>
    </row>
    <row r="16" spans="1:12" ht="18.600000000000001" x14ac:dyDescent="0.3">
      <c r="A16" s="214" t="s">
        <v>3277</v>
      </c>
      <c r="B16" s="926">
        <v>6169</v>
      </c>
      <c r="C16" s="926">
        <v>5928</v>
      </c>
      <c r="D16" s="926">
        <v>5377</v>
      </c>
      <c r="E16" s="926">
        <v>4741</v>
      </c>
      <c r="F16" s="926">
        <v>3611</v>
      </c>
      <c r="G16" s="2477"/>
      <c r="H16" s="2477"/>
      <c r="I16" s="2477"/>
      <c r="J16" s="2477"/>
      <c r="K16" s="2477"/>
      <c r="L16" s="2478"/>
    </row>
    <row r="17" spans="1:20" ht="18.600000000000001" x14ac:dyDescent="0.3">
      <c r="A17" s="214" t="s">
        <v>3278</v>
      </c>
      <c r="B17" s="926">
        <v>2711</v>
      </c>
      <c r="C17" s="926">
        <v>1806</v>
      </c>
      <c r="D17" s="926">
        <v>1644</v>
      </c>
      <c r="E17" s="926">
        <v>1659</v>
      </c>
      <c r="F17" s="926">
        <v>1539</v>
      </c>
      <c r="G17" s="926">
        <v>1528</v>
      </c>
      <c r="H17" s="926">
        <v>2963</v>
      </c>
      <c r="I17" s="926">
        <v>1774</v>
      </c>
      <c r="J17" s="926">
        <v>1476</v>
      </c>
      <c r="K17" s="926">
        <v>523</v>
      </c>
      <c r="L17" s="927">
        <v>237</v>
      </c>
      <c r="T17" s="211" t="s">
        <v>176</v>
      </c>
    </row>
    <row r="18" spans="1:20" s="1744" customFormat="1" hidden="1" outlineLevel="1" x14ac:dyDescent="0.3">
      <c r="A18" s="1747" t="s">
        <v>2219</v>
      </c>
      <c r="B18" s="1748"/>
      <c r="C18" s="1748"/>
      <c r="D18" s="1748"/>
      <c r="E18" s="1749">
        <v>992</v>
      </c>
      <c r="F18" s="1749">
        <v>813</v>
      </c>
      <c r="G18" s="1749">
        <v>686</v>
      </c>
      <c r="H18" s="1750">
        <v>733</v>
      </c>
      <c r="I18" s="1748"/>
      <c r="J18" s="1748"/>
      <c r="K18" s="1748"/>
      <c r="L18" s="1751"/>
    </row>
    <row r="19" spans="1:20" s="1744" customFormat="1" hidden="1" outlineLevel="1" x14ac:dyDescent="0.3">
      <c r="A19" s="1747" t="s">
        <v>2211</v>
      </c>
      <c r="B19" s="1750">
        <v>435</v>
      </c>
      <c r="C19" s="1750">
        <v>486</v>
      </c>
      <c r="D19" s="1750">
        <v>403</v>
      </c>
      <c r="E19" s="1749">
        <v>370</v>
      </c>
      <c r="F19" s="1749">
        <v>369</v>
      </c>
      <c r="G19" s="1749">
        <v>344</v>
      </c>
      <c r="H19" s="1750">
        <v>276</v>
      </c>
      <c r="I19" s="1750">
        <v>232</v>
      </c>
      <c r="J19" s="1750">
        <v>229</v>
      </c>
      <c r="K19" s="1750">
        <v>217</v>
      </c>
      <c r="L19" s="1752">
        <v>228</v>
      </c>
    </row>
    <row r="20" spans="1:20" s="1744" customFormat="1" hidden="1" outlineLevel="1" x14ac:dyDescent="0.3">
      <c r="A20" s="1747" t="s">
        <v>1839</v>
      </c>
      <c r="B20" s="1750">
        <v>4811</v>
      </c>
      <c r="C20" s="1750">
        <v>4205</v>
      </c>
      <c r="D20" s="1750">
        <v>3911</v>
      </c>
      <c r="E20" s="1749"/>
      <c r="F20" s="1749"/>
      <c r="G20" s="1749"/>
      <c r="H20" s="1750"/>
      <c r="I20" s="1750"/>
      <c r="J20" s="1750"/>
      <c r="K20" s="1750"/>
      <c r="L20" s="1752"/>
    </row>
    <row r="21" spans="1:20" s="1744" customFormat="1" hidden="1" outlineLevel="1" x14ac:dyDescent="0.3">
      <c r="A21" s="1747" t="s">
        <v>2222</v>
      </c>
      <c r="B21" s="1750"/>
      <c r="C21" s="1750"/>
      <c r="D21" s="1750"/>
      <c r="E21" s="1749"/>
      <c r="F21" s="1749"/>
      <c r="G21" s="1749"/>
      <c r="H21" s="1750">
        <v>205</v>
      </c>
      <c r="I21" s="1750">
        <v>436</v>
      </c>
      <c r="J21" s="1750">
        <v>594</v>
      </c>
      <c r="K21" s="1750">
        <v>485</v>
      </c>
      <c r="L21" s="1752">
        <v>466</v>
      </c>
    </row>
    <row r="22" spans="1:20" s="1744" customFormat="1" hidden="1" outlineLevel="1" x14ac:dyDescent="0.3">
      <c r="A22" s="1747" t="s">
        <v>985</v>
      </c>
      <c r="B22" s="1750"/>
      <c r="C22" s="1750"/>
      <c r="D22" s="1750"/>
      <c r="E22" s="1749">
        <v>3675</v>
      </c>
      <c r="F22" s="1749">
        <v>3092</v>
      </c>
      <c r="G22" s="1749">
        <v>1028</v>
      </c>
      <c r="H22" s="1750">
        <v>2809</v>
      </c>
      <c r="I22" s="1750">
        <v>3279</v>
      </c>
      <c r="J22" s="1750">
        <v>2703</v>
      </c>
      <c r="K22" s="1750">
        <v>1921</v>
      </c>
      <c r="L22" s="1752">
        <v>1787</v>
      </c>
    </row>
    <row r="23" spans="1:20" s="1744" customFormat="1" hidden="1" outlineLevel="1" x14ac:dyDescent="0.3">
      <c r="A23" s="1747" t="s">
        <v>2212</v>
      </c>
      <c r="B23" s="1750">
        <v>1546</v>
      </c>
      <c r="C23" s="1750">
        <v>1469</v>
      </c>
      <c r="D23" s="1750">
        <v>1272</v>
      </c>
      <c r="E23" s="1749"/>
      <c r="F23" s="1749"/>
      <c r="G23" s="1749"/>
      <c r="H23" s="1750"/>
      <c r="I23" s="1750"/>
      <c r="J23" s="1750"/>
      <c r="K23" s="1750"/>
      <c r="L23" s="1752"/>
    </row>
    <row r="24" spans="1:20" ht="18.600000000000001" collapsed="1" x14ac:dyDescent="0.3">
      <c r="A24" s="214" t="s">
        <v>3279</v>
      </c>
      <c r="B24" s="926">
        <f>SUM(B18:B23)</f>
        <v>6792</v>
      </c>
      <c r="C24" s="926">
        <f t="shared" ref="C24:D24" si="1">SUM(C18:C23)</f>
        <v>6160</v>
      </c>
      <c r="D24" s="926">
        <f t="shared" si="1"/>
        <v>5586</v>
      </c>
      <c r="E24" s="926">
        <f t="shared" ref="E24" si="2">SUM(E18:E23)</f>
        <v>5037</v>
      </c>
      <c r="F24" s="926">
        <f t="shared" ref="F24" si="3">SUM(F18:F23)</f>
        <v>4274</v>
      </c>
      <c r="G24" s="926">
        <f t="shared" ref="G24" si="4">SUM(G18:G23)</f>
        <v>2058</v>
      </c>
      <c r="H24" s="926">
        <f t="shared" ref="H24" si="5">SUM(H18:H23)</f>
        <v>4023</v>
      </c>
      <c r="I24" s="926">
        <f t="shared" ref="I24" si="6">SUM(I18:I23)</f>
        <v>3947</v>
      </c>
      <c r="J24" s="926">
        <f t="shared" ref="J24" si="7">SUM(J18:J23)</f>
        <v>3526</v>
      </c>
      <c r="K24" s="926">
        <f t="shared" ref="K24" si="8">SUM(K18:K23)</f>
        <v>2623</v>
      </c>
      <c r="L24" s="927">
        <f t="shared" ref="L24" si="9">SUM(L18:L23)</f>
        <v>2481</v>
      </c>
    </row>
    <row r="25" spans="1:20" x14ac:dyDescent="0.3">
      <c r="A25" s="214" t="s">
        <v>2019</v>
      </c>
      <c r="B25" s="926">
        <v>1839</v>
      </c>
      <c r="C25" s="926">
        <v>1564</v>
      </c>
      <c r="D25" s="926">
        <v>1393</v>
      </c>
      <c r="E25" s="926">
        <v>774</v>
      </c>
      <c r="F25" s="926">
        <v>689</v>
      </c>
      <c r="G25" s="926">
        <v>653</v>
      </c>
      <c r="H25" s="926">
        <v>787</v>
      </c>
      <c r="I25" s="926">
        <v>1006</v>
      </c>
      <c r="J25" s="926">
        <v>1157</v>
      </c>
      <c r="K25" s="926">
        <v>822</v>
      </c>
      <c r="L25" s="927">
        <v>584</v>
      </c>
      <c r="P25" s="211" t="s">
        <v>176</v>
      </c>
    </row>
    <row r="26" spans="1:20" x14ac:dyDescent="0.3">
      <c r="A26" s="214" t="s">
        <v>2215</v>
      </c>
      <c r="B26" s="926">
        <v>-313</v>
      </c>
      <c r="C26" s="926">
        <v>-303</v>
      </c>
      <c r="D26" s="926">
        <v>-271</v>
      </c>
      <c r="E26" s="926">
        <v>-221</v>
      </c>
      <c r="F26" s="926">
        <v>-208</v>
      </c>
      <c r="G26" s="926">
        <v>-101</v>
      </c>
      <c r="H26" s="926">
        <v>-35</v>
      </c>
      <c r="I26" s="926">
        <v>-52</v>
      </c>
      <c r="J26" s="926">
        <v>-76</v>
      </c>
      <c r="K26" s="926">
        <v>-72</v>
      </c>
      <c r="L26" s="927">
        <v>-92</v>
      </c>
    </row>
    <row r="27" spans="1:20" x14ac:dyDescent="0.3">
      <c r="A27" s="214" t="s">
        <v>2216</v>
      </c>
      <c r="B27" s="926">
        <v>-199</v>
      </c>
      <c r="C27" s="926">
        <v>-834</v>
      </c>
      <c r="D27" s="926">
        <v>-997</v>
      </c>
      <c r="E27" s="926">
        <v>-819</v>
      </c>
      <c r="F27" s="926">
        <v>-358</v>
      </c>
      <c r="G27" s="926">
        <v>-292</v>
      </c>
      <c r="H27" s="926">
        <v>-217</v>
      </c>
      <c r="I27" s="926">
        <v>-155</v>
      </c>
      <c r="J27" s="926">
        <v>-94</v>
      </c>
      <c r="K27" s="926">
        <v>-132</v>
      </c>
      <c r="L27" s="927">
        <v>-138</v>
      </c>
    </row>
    <row r="28" spans="1:20" x14ac:dyDescent="0.3">
      <c r="A28" s="214" t="s">
        <v>2213</v>
      </c>
      <c r="B28" s="1630">
        <f>B14+B16+B17+B24+B25+B26+B27</f>
        <v>24024</v>
      </c>
      <c r="C28" s="1630">
        <f t="shared" ref="C28:F28" si="10">C14+C16+C17+C24+C25+C26+C27</f>
        <v>22123</v>
      </c>
      <c r="D28" s="1630">
        <f t="shared" si="10"/>
        <v>18811</v>
      </c>
      <c r="E28" s="1630">
        <f t="shared" si="10"/>
        <v>16144</v>
      </c>
      <c r="F28" s="1630">
        <f t="shared" si="10"/>
        <v>16705</v>
      </c>
      <c r="G28" s="1630">
        <f t="shared" ref="G28" si="11">G14+G16+G17+G24+G25+G26+G27</f>
        <v>10765</v>
      </c>
      <c r="H28" s="1630">
        <f t="shared" ref="H28" si="12">H14+H16+H17+H24+H25+H26+H27</f>
        <v>15035</v>
      </c>
      <c r="I28" s="1630">
        <f t="shared" ref="I28" si="13">I14+I16+I17+I24+I25+I26+I27</f>
        <v>14652</v>
      </c>
      <c r="J28" s="1630">
        <f t="shared" ref="J28" si="14">J14+J16+J17+J24+J25+J26+J27</f>
        <v>14143</v>
      </c>
      <c r="K28" s="1630">
        <f t="shared" ref="K28" si="15">K14+K16+K17+K24+K25+K26+K27</f>
        <v>7297</v>
      </c>
      <c r="L28" s="1635">
        <f t="shared" ref="L28" si="16">L14+L16+L17+L24+L25+L26+L27</f>
        <v>7447</v>
      </c>
    </row>
    <row r="29" spans="1:20" ht="9" customHeight="1" x14ac:dyDescent="0.3">
      <c r="A29" s="214"/>
      <c r="B29" s="926"/>
      <c r="C29" s="926"/>
      <c r="D29" s="926"/>
      <c r="E29" s="926"/>
      <c r="F29" s="926"/>
      <c r="G29" s="926"/>
      <c r="H29" s="926"/>
      <c r="I29" s="926"/>
      <c r="J29" s="926"/>
      <c r="K29" s="926"/>
      <c r="L29" s="927"/>
    </row>
    <row r="30" spans="1:20" x14ac:dyDescent="0.3">
      <c r="A30" s="214" t="s">
        <v>2214</v>
      </c>
      <c r="B30" s="926">
        <v>4081</v>
      </c>
      <c r="C30" s="926">
        <v>6673</v>
      </c>
      <c r="D30" s="926">
        <v>3425</v>
      </c>
      <c r="E30" s="926">
        <v>-830</v>
      </c>
      <c r="F30" s="926">
        <v>2346</v>
      </c>
      <c r="G30" s="926">
        <v>787</v>
      </c>
      <c r="H30" s="926">
        <v>-7461</v>
      </c>
      <c r="I30" s="926">
        <v>5509</v>
      </c>
      <c r="J30" s="926">
        <v>2635</v>
      </c>
      <c r="K30" s="926">
        <v>5494</v>
      </c>
      <c r="L30" s="927">
        <v>3489</v>
      </c>
    </row>
    <row r="31" spans="1:20" x14ac:dyDescent="0.3">
      <c r="A31" s="214" t="s">
        <v>2217</v>
      </c>
      <c r="B31" s="1630">
        <f t="shared" ref="B31:L31" si="17">SUM(B28:B30)</f>
        <v>28105</v>
      </c>
      <c r="C31" s="1630">
        <f t="shared" si="17"/>
        <v>28796</v>
      </c>
      <c r="D31" s="1630">
        <f t="shared" si="17"/>
        <v>22236</v>
      </c>
      <c r="E31" s="1630">
        <f t="shared" si="17"/>
        <v>15314</v>
      </c>
      <c r="F31" s="1630">
        <f t="shared" si="17"/>
        <v>19051</v>
      </c>
      <c r="G31" s="1630">
        <f t="shared" si="17"/>
        <v>11552</v>
      </c>
      <c r="H31" s="1630">
        <f t="shared" si="17"/>
        <v>7574</v>
      </c>
      <c r="I31" s="1630">
        <f t="shared" si="17"/>
        <v>20161</v>
      </c>
      <c r="J31" s="1630">
        <f t="shared" si="17"/>
        <v>16778</v>
      </c>
      <c r="K31" s="1630">
        <f t="shared" si="17"/>
        <v>12791</v>
      </c>
      <c r="L31" s="1635">
        <f t="shared" si="17"/>
        <v>10936</v>
      </c>
    </row>
    <row r="32" spans="1:20" ht="8.25" customHeight="1" x14ac:dyDescent="0.3">
      <c r="A32" s="214"/>
      <c r="B32" s="926"/>
      <c r="C32" s="926"/>
      <c r="D32" s="926"/>
      <c r="E32" s="926"/>
      <c r="F32" s="926"/>
      <c r="G32" s="926"/>
      <c r="H32" s="926"/>
      <c r="I32" s="926"/>
      <c r="J32" s="926"/>
      <c r="K32" s="926"/>
      <c r="L32" s="927"/>
    </row>
    <row r="33" spans="1:15" x14ac:dyDescent="0.3">
      <c r="A33" s="214" t="s">
        <v>2218</v>
      </c>
      <c r="B33" s="926">
        <f>B31-B34</f>
        <v>8233</v>
      </c>
      <c r="C33" s="926">
        <f t="shared" ref="C33:L33" si="18">C31-C34</f>
        <v>9320</v>
      </c>
      <c r="D33" s="926">
        <f t="shared" si="18"/>
        <v>7412</v>
      </c>
      <c r="E33" s="926">
        <f t="shared" si="18"/>
        <v>5060</v>
      </c>
      <c r="F33" s="926">
        <f t="shared" si="18"/>
        <v>6084</v>
      </c>
      <c r="G33" s="926">
        <f t="shared" si="18"/>
        <v>3497</v>
      </c>
      <c r="H33" s="926">
        <f t="shared" si="18"/>
        <v>2580</v>
      </c>
      <c r="I33" s="926">
        <f t="shared" si="18"/>
        <v>6948</v>
      </c>
      <c r="J33" s="926">
        <f t="shared" si="18"/>
        <v>5763</v>
      </c>
      <c r="K33" s="926">
        <f t="shared" si="18"/>
        <v>4263</v>
      </c>
      <c r="L33" s="927">
        <f t="shared" si="18"/>
        <v>3628</v>
      </c>
    </row>
    <row r="34" spans="1:15" ht="16.2" thickBot="1" x14ac:dyDescent="0.35">
      <c r="A34" s="214" t="s">
        <v>99</v>
      </c>
      <c r="B34" s="1419">
        <v>19872</v>
      </c>
      <c r="C34" s="1419">
        <v>19476</v>
      </c>
      <c r="D34" s="1419">
        <v>14824</v>
      </c>
      <c r="E34" s="1419">
        <v>10254</v>
      </c>
      <c r="F34" s="1419">
        <v>12967</v>
      </c>
      <c r="G34" s="1419">
        <v>8055</v>
      </c>
      <c r="H34" s="1419">
        <v>4994</v>
      </c>
      <c r="I34" s="1419">
        <v>13213</v>
      </c>
      <c r="J34" s="1419">
        <v>11015</v>
      </c>
      <c r="K34" s="1419">
        <v>8528</v>
      </c>
      <c r="L34" s="1732">
        <v>7308</v>
      </c>
    </row>
    <row r="35" spans="1:15" s="1" customFormat="1" ht="14.4" thickTop="1" x14ac:dyDescent="0.25">
      <c r="A35" s="6"/>
      <c r="B35" s="1753"/>
      <c r="C35" s="1753"/>
      <c r="D35" s="1753"/>
      <c r="E35" s="1753"/>
      <c r="F35" s="1753"/>
      <c r="G35" s="1753"/>
      <c r="H35" s="1753"/>
      <c r="I35" s="1753"/>
      <c r="J35" s="1753"/>
      <c r="K35" s="1753"/>
      <c r="L35" s="1754"/>
    </row>
    <row r="36" spans="1:15" s="1" customFormat="1" ht="13.8" x14ac:dyDescent="0.25">
      <c r="A36" s="6" t="s">
        <v>1398</v>
      </c>
      <c r="B36" s="205"/>
      <c r="C36" s="205"/>
      <c r="D36" s="205"/>
      <c r="E36" s="205"/>
      <c r="F36" s="205"/>
      <c r="G36" s="205"/>
      <c r="H36" s="205"/>
      <c r="I36" s="205"/>
      <c r="J36" s="205"/>
      <c r="K36" s="205"/>
      <c r="L36" s="8"/>
    </row>
    <row r="37" spans="1:15" s="1" customFormat="1" ht="28.8" customHeight="1" x14ac:dyDescent="0.25">
      <c r="A37" s="2915" t="s">
        <v>3283</v>
      </c>
      <c r="B37" s="2935"/>
      <c r="C37" s="2935"/>
      <c r="D37" s="2935"/>
      <c r="E37" s="2935"/>
      <c r="F37" s="2935"/>
      <c r="G37" s="2935"/>
      <c r="H37" s="2935"/>
      <c r="I37" s="2935"/>
      <c r="J37" s="2935"/>
      <c r="K37" s="2935"/>
      <c r="L37" s="2916"/>
    </row>
    <row r="38" spans="1:15" s="1" customFormat="1" x14ac:dyDescent="0.3">
      <c r="A38" s="6" t="s">
        <v>3280</v>
      </c>
      <c r="B38" s="205"/>
      <c r="C38" s="205"/>
      <c r="D38" s="205"/>
      <c r="E38" s="926"/>
      <c r="F38" s="926"/>
      <c r="G38" s="926"/>
      <c r="H38" s="205"/>
      <c r="I38" s="205"/>
      <c r="J38" s="205"/>
      <c r="K38" s="205"/>
      <c r="L38" s="8"/>
    </row>
    <row r="39" spans="1:15" s="1" customFormat="1" x14ac:dyDescent="0.3">
      <c r="A39" s="6" t="s">
        <v>3281</v>
      </c>
      <c r="B39" s="205"/>
      <c r="C39" s="205"/>
      <c r="D39" s="205"/>
      <c r="E39" s="926"/>
      <c r="F39" s="926"/>
      <c r="G39" s="926"/>
      <c r="H39" s="205"/>
      <c r="I39" s="205"/>
      <c r="J39" s="205"/>
      <c r="K39" s="205"/>
      <c r="L39" s="8"/>
    </row>
    <row r="40" spans="1:15" s="1" customFormat="1" ht="15.75" customHeight="1" x14ac:dyDescent="0.25">
      <c r="A40" s="2824" t="s">
        <v>3282</v>
      </c>
      <c r="B40" s="2825"/>
      <c r="C40" s="2825"/>
      <c r="D40" s="2825"/>
      <c r="E40" s="2825"/>
      <c r="F40" s="2825"/>
      <c r="G40" s="2825"/>
      <c r="H40" s="2825"/>
      <c r="I40" s="2825"/>
      <c r="J40" s="2825"/>
      <c r="K40" s="2825"/>
      <c r="L40" s="2826"/>
      <c r="O40" s="1" t="s">
        <v>176</v>
      </c>
    </row>
    <row r="41" spans="1:15" s="1" customFormat="1" ht="15.75" customHeight="1" thickBot="1" x14ac:dyDescent="0.3">
      <c r="A41" s="2918"/>
      <c r="B41" s="2919"/>
      <c r="C41" s="2919"/>
      <c r="D41" s="2919"/>
      <c r="E41" s="2919"/>
      <c r="F41" s="2919"/>
      <c r="G41" s="2919"/>
      <c r="H41" s="2919"/>
      <c r="I41" s="2919"/>
      <c r="J41" s="2919"/>
      <c r="K41" s="2919"/>
      <c r="L41" s="2920"/>
    </row>
    <row r="42" spans="1:15" s="1" customFormat="1" ht="13.8" x14ac:dyDescent="0.25">
      <c r="A42" s="12" t="s">
        <v>2224</v>
      </c>
    </row>
    <row r="43" spans="1:15" s="1" customFormat="1" ht="13.8" x14ac:dyDescent="0.25"/>
    <row r="44" spans="1:15" s="1" customFormat="1" ht="13.8" x14ac:dyDescent="0.25"/>
    <row r="45" spans="1:15" s="1" customFormat="1" ht="13.8" x14ac:dyDescent="0.25"/>
    <row r="46" spans="1:15" s="1" customFormat="1" ht="13.8" x14ac:dyDescent="0.25"/>
    <row r="47" spans="1:15" s="1" customFormat="1" ht="13.8" x14ac:dyDescent="0.25"/>
    <row r="48" spans="1:15" s="1" customFormat="1" ht="13.8" x14ac:dyDescent="0.25"/>
    <row r="49" s="1" customFormat="1" ht="13.8" x14ac:dyDescent="0.25"/>
    <row r="50" s="1" customFormat="1" ht="13.8" x14ac:dyDescent="0.25"/>
    <row r="51" s="1" customFormat="1" ht="13.8" x14ac:dyDescent="0.25"/>
  </sheetData>
  <mergeCells count="2">
    <mergeCell ref="A40:L41"/>
    <mergeCell ref="A37:L37"/>
  </mergeCells>
  <pageMargins left="0.7" right="0.7" top="0.75" bottom="0.75" header="0.3" footer="0.3"/>
  <pageSetup orientation="portrait" r:id="rId1"/>
  <ignoredErrors>
    <ignoredError sqref="B24:L24" formulaRange="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D855-7747-4AA6-AA80-671176914F1B}">
  <sheetPr>
    <tabColor theme="4"/>
  </sheetPr>
  <dimension ref="A1:N33"/>
  <sheetViews>
    <sheetView showGridLines="0" zoomScaleNormal="100" workbookViewId="0">
      <pane xSplit="1" ySplit="5" topLeftCell="B6" activePane="bottomRight" state="frozen"/>
      <selection pane="topRight" activeCell="B1" sqref="B1"/>
      <selection pane="bottomLeft" activeCell="A6" sqref="A6"/>
      <selection pane="bottomRight" activeCell="M25" sqref="M25"/>
    </sheetView>
  </sheetViews>
  <sheetFormatPr defaultColWidth="9.109375" defaultRowHeight="15.6" x14ac:dyDescent="0.3"/>
  <cols>
    <col min="1" max="1" width="44" style="211" customWidth="1"/>
    <col min="2" max="6" width="9.109375" style="211"/>
    <col min="7" max="8" width="8.5546875" style="211" customWidth="1"/>
    <col min="9" max="10" width="9.109375" style="211" bestFit="1" customWidth="1"/>
    <col min="11" max="12" width="8.5546875" style="211" customWidth="1"/>
    <col min="13" max="16384" width="9.109375" style="211"/>
  </cols>
  <sheetData>
    <row r="1" spans="1:14" s="1632" customFormat="1" x14ac:dyDescent="0.3">
      <c r="A1" s="1632" t="s">
        <v>556</v>
      </c>
      <c r="B1" s="1632">
        <v>2014</v>
      </c>
      <c r="C1" s="1632">
        <v>2014</v>
      </c>
      <c r="D1" s="1632">
        <v>2014</v>
      </c>
      <c r="E1" s="1632">
        <v>2013</v>
      </c>
      <c r="F1" s="1632">
        <v>2012</v>
      </c>
      <c r="G1" s="1632">
        <v>2011</v>
      </c>
      <c r="H1" s="1632">
        <v>2010</v>
      </c>
      <c r="I1" s="1632">
        <v>2009</v>
      </c>
      <c r="J1" s="1632">
        <v>2008</v>
      </c>
      <c r="K1" s="1632">
        <v>2007</v>
      </c>
      <c r="L1" s="1632">
        <v>2006</v>
      </c>
    </row>
    <row r="2" spans="1:14" x14ac:dyDescent="0.3">
      <c r="A2" s="459" t="s">
        <v>1863</v>
      </c>
    </row>
    <row r="3" spans="1:14" x14ac:dyDescent="0.3">
      <c r="A3" s="152" t="s">
        <v>2018</v>
      </c>
    </row>
    <row r="4" spans="1:14" ht="6" customHeight="1" thickBot="1" x14ac:dyDescent="0.35"/>
    <row r="5" spans="1:14" x14ac:dyDescent="0.3">
      <c r="A5" s="212" t="s">
        <v>1250</v>
      </c>
      <c r="B5" s="712">
        <v>2014</v>
      </c>
      <c r="C5" s="712">
        <v>2013</v>
      </c>
      <c r="D5" s="712">
        <v>2012</v>
      </c>
      <c r="E5" s="712">
        <v>2011</v>
      </c>
      <c r="F5" s="712">
        <v>2010</v>
      </c>
      <c r="G5" s="712">
        <v>2009</v>
      </c>
      <c r="H5" s="712">
        <v>2008</v>
      </c>
      <c r="I5" s="712">
        <v>2007</v>
      </c>
      <c r="J5" s="712">
        <v>2006</v>
      </c>
      <c r="K5" s="712">
        <v>2005</v>
      </c>
      <c r="L5" s="713">
        <v>2004</v>
      </c>
    </row>
    <row r="6" spans="1:14" x14ac:dyDescent="0.3">
      <c r="A6" s="214" t="s">
        <v>944</v>
      </c>
      <c r="B6" s="1417">
        <v>1692</v>
      </c>
      <c r="C6" s="1417">
        <v>1995</v>
      </c>
      <c r="D6" s="1417">
        <v>1046</v>
      </c>
      <c r="E6" s="1417">
        <v>154</v>
      </c>
      <c r="F6" s="1417">
        <v>1301</v>
      </c>
      <c r="G6" s="1417">
        <v>949</v>
      </c>
      <c r="H6" s="1417">
        <v>1739</v>
      </c>
      <c r="I6" s="1417">
        <v>2184</v>
      </c>
      <c r="J6" s="1417">
        <v>2485</v>
      </c>
      <c r="K6" s="1417">
        <v>27</v>
      </c>
      <c r="L6" s="1422">
        <v>1008</v>
      </c>
    </row>
    <row r="7" spans="1:14" x14ac:dyDescent="0.3">
      <c r="A7" s="214" t="s">
        <v>945</v>
      </c>
      <c r="B7" s="926">
        <v>3542</v>
      </c>
      <c r="C7" s="926">
        <v>3708</v>
      </c>
      <c r="D7" s="926">
        <v>3397</v>
      </c>
      <c r="E7" s="926">
        <v>3555</v>
      </c>
      <c r="F7" s="926">
        <v>3860</v>
      </c>
      <c r="G7" s="926">
        <v>4271</v>
      </c>
      <c r="H7" s="926">
        <v>3610</v>
      </c>
      <c r="I7" s="926">
        <v>3510</v>
      </c>
      <c r="J7" s="926">
        <v>3120</v>
      </c>
      <c r="K7" s="926">
        <v>2412</v>
      </c>
      <c r="L7" s="927">
        <v>2045</v>
      </c>
    </row>
    <row r="8" spans="1:14" ht="18.600000000000001" x14ac:dyDescent="0.3">
      <c r="A8" s="214" t="s">
        <v>2095</v>
      </c>
      <c r="B8" s="926">
        <v>3869</v>
      </c>
      <c r="C8" s="926">
        <v>3793</v>
      </c>
      <c r="D8" s="926">
        <v>3372</v>
      </c>
      <c r="E8" s="926">
        <v>2972</v>
      </c>
      <c r="F8" s="926">
        <v>2235</v>
      </c>
      <c r="G8" s="2477"/>
      <c r="H8" s="2477"/>
      <c r="I8" s="2477"/>
      <c r="J8" s="2477"/>
      <c r="K8" s="2477"/>
      <c r="L8" s="2478"/>
    </row>
    <row r="9" spans="1:14" ht="18.600000000000001" x14ac:dyDescent="0.3">
      <c r="A9" s="214" t="s">
        <v>2227</v>
      </c>
      <c r="B9" s="926">
        <v>1882</v>
      </c>
      <c r="C9" s="926">
        <v>1470</v>
      </c>
      <c r="D9" s="926">
        <v>1323</v>
      </c>
      <c r="E9" s="926">
        <v>1204</v>
      </c>
      <c r="F9" s="926">
        <v>1131</v>
      </c>
      <c r="G9" s="926">
        <v>1071</v>
      </c>
      <c r="H9" s="926">
        <v>1704</v>
      </c>
      <c r="I9" s="926">
        <v>1114</v>
      </c>
      <c r="J9" s="926">
        <v>885</v>
      </c>
      <c r="K9" s="926">
        <v>523</v>
      </c>
      <c r="L9" s="927">
        <v>237</v>
      </c>
    </row>
    <row r="10" spans="1:14" ht="18.600000000000001" x14ac:dyDescent="0.3">
      <c r="A10" s="214" t="s">
        <v>2220</v>
      </c>
      <c r="B10" s="926">
        <v>4468</v>
      </c>
      <c r="C10" s="926">
        <v>3877</v>
      </c>
      <c r="D10" s="926">
        <v>3357</v>
      </c>
      <c r="E10" s="926">
        <v>3039</v>
      </c>
      <c r="F10" s="926">
        <v>2462</v>
      </c>
      <c r="G10" s="926">
        <v>1113</v>
      </c>
      <c r="H10" s="926">
        <v>2283</v>
      </c>
      <c r="I10" s="926">
        <v>2353</v>
      </c>
      <c r="J10" s="926">
        <v>2131</v>
      </c>
      <c r="K10" s="926">
        <v>1646</v>
      </c>
      <c r="L10" s="927">
        <v>1540</v>
      </c>
    </row>
    <row r="11" spans="1:14" ht="18.600000000000001" x14ac:dyDescent="0.3">
      <c r="A11" s="214" t="s">
        <v>2438</v>
      </c>
      <c r="B11" s="926">
        <v>1243</v>
      </c>
      <c r="C11" s="926">
        <v>1008</v>
      </c>
      <c r="D11" s="926">
        <v>899</v>
      </c>
      <c r="E11" s="926">
        <v>516</v>
      </c>
      <c r="F11" s="926">
        <v>441</v>
      </c>
      <c r="G11" s="926">
        <v>411</v>
      </c>
      <c r="H11" s="926">
        <v>469</v>
      </c>
      <c r="I11" s="926">
        <v>632</v>
      </c>
      <c r="J11" s="926">
        <v>732</v>
      </c>
      <c r="K11" s="926">
        <v>514</v>
      </c>
      <c r="L11" s="927">
        <v>373</v>
      </c>
    </row>
    <row r="12" spans="1:14" x14ac:dyDescent="0.3">
      <c r="A12" s="214" t="s">
        <v>15</v>
      </c>
      <c r="B12" s="926">
        <v>-145</v>
      </c>
      <c r="C12" s="926">
        <v>-712</v>
      </c>
      <c r="D12" s="926">
        <v>-797</v>
      </c>
      <c r="E12" s="926">
        <v>-665</v>
      </c>
      <c r="F12" s="926">
        <v>-337</v>
      </c>
      <c r="G12" s="926">
        <v>-246</v>
      </c>
      <c r="H12" s="926">
        <v>-166</v>
      </c>
      <c r="I12" s="926">
        <v>-159</v>
      </c>
      <c r="J12" s="926">
        <v>-47</v>
      </c>
      <c r="K12" s="926">
        <v>-124</v>
      </c>
      <c r="L12" s="927">
        <v>-154</v>
      </c>
    </row>
    <row r="13" spans="1:14" x14ac:dyDescent="0.3">
      <c r="A13" s="214" t="s">
        <v>2020</v>
      </c>
      <c r="B13" s="1630">
        <f>SUM(B6:B12)</f>
        <v>16551</v>
      </c>
      <c r="C13" s="1630">
        <f>SUM(C6:C12)</f>
        <v>15139</v>
      </c>
      <c r="D13" s="1630">
        <f>SUM(D6:D12)</f>
        <v>12597</v>
      </c>
      <c r="E13" s="1630">
        <f>SUM(E6:E12)</f>
        <v>10775</v>
      </c>
      <c r="F13" s="1630">
        <f>SUM(F6:F12)</f>
        <v>11093</v>
      </c>
      <c r="G13" s="1630">
        <f t="shared" ref="G13:L13" si="0">SUM(G6:G12)</f>
        <v>7569</v>
      </c>
      <c r="H13" s="1630">
        <f t="shared" si="0"/>
        <v>9639</v>
      </c>
      <c r="I13" s="1630">
        <f t="shared" si="0"/>
        <v>9634</v>
      </c>
      <c r="J13" s="1630">
        <f t="shared" si="0"/>
        <v>9306</v>
      </c>
      <c r="K13" s="1630">
        <f t="shared" si="0"/>
        <v>4998</v>
      </c>
      <c r="L13" s="1635">
        <f t="shared" si="0"/>
        <v>5049</v>
      </c>
    </row>
    <row r="14" spans="1:14" x14ac:dyDescent="0.3">
      <c r="A14" s="214"/>
      <c r="B14" s="926"/>
      <c r="C14" s="926"/>
      <c r="D14" s="926"/>
      <c r="E14" s="926"/>
      <c r="F14" s="926"/>
      <c r="G14" s="926"/>
      <c r="H14" s="926"/>
      <c r="I14" s="926"/>
      <c r="J14" s="926"/>
      <c r="K14" s="926"/>
      <c r="L14" s="927"/>
    </row>
    <row r="15" spans="1:14" x14ac:dyDescent="0.3">
      <c r="A15" s="214" t="s">
        <v>948</v>
      </c>
      <c r="B15" s="926">
        <v>3321</v>
      </c>
      <c r="C15" s="926">
        <v>4337</v>
      </c>
      <c r="D15" s="926">
        <v>2227</v>
      </c>
      <c r="E15" s="926">
        <v>-521</v>
      </c>
      <c r="F15" s="926">
        <v>1874</v>
      </c>
      <c r="G15" s="926">
        <v>486</v>
      </c>
      <c r="H15" s="926">
        <v>-4645</v>
      </c>
      <c r="I15" s="926">
        <v>3579</v>
      </c>
      <c r="J15" s="926">
        <v>1709</v>
      </c>
      <c r="K15" s="926">
        <v>3530</v>
      </c>
      <c r="L15" s="927">
        <v>2259</v>
      </c>
    </row>
    <row r="16" spans="1:14" x14ac:dyDescent="0.3">
      <c r="A16" s="214" t="s">
        <v>2021</v>
      </c>
      <c r="B16" s="1631">
        <f>B13+B15</f>
        <v>19872</v>
      </c>
      <c r="C16" s="1631">
        <f>C13+C15</f>
        <v>19476</v>
      </c>
      <c r="D16" s="1631">
        <f>D13+D15</f>
        <v>14824</v>
      </c>
      <c r="E16" s="1631">
        <f>E13+E15</f>
        <v>10254</v>
      </c>
      <c r="F16" s="1631">
        <f>F13+F15</f>
        <v>12967</v>
      </c>
      <c r="G16" s="1631">
        <f t="shared" ref="G16:L16" si="1">G13+G15</f>
        <v>8055</v>
      </c>
      <c r="H16" s="1631">
        <f t="shared" si="1"/>
        <v>4994</v>
      </c>
      <c r="I16" s="1631">
        <f t="shared" si="1"/>
        <v>13213</v>
      </c>
      <c r="J16" s="1631">
        <f t="shared" si="1"/>
        <v>11015</v>
      </c>
      <c r="K16" s="1631">
        <f t="shared" si="1"/>
        <v>8528</v>
      </c>
      <c r="L16" s="1636">
        <f t="shared" si="1"/>
        <v>7308</v>
      </c>
      <c r="N16" s="1224"/>
    </row>
    <row r="17" spans="1:12" ht="4.5" customHeight="1" x14ac:dyDescent="0.3">
      <c r="A17" s="214"/>
      <c r="B17" s="1417"/>
      <c r="C17" s="1417"/>
      <c r="D17" s="1417"/>
      <c r="E17" s="1417"/>
      <c r="F17" s="1417"/>
      <c r="G17" s="1417"/>
      <c r="H17" s="1417"/>
      <c r="I17" s="1417"/>
      <c r="J17" s="1417"/>
      <c r="K17" s="1417"/>
      <c r="L17" s="1422"/>
    </row>
    <row r="18" spans="1:12" ht="4.5" customHeight="1" x14ac:dyDescent="0.3">
      <c r="A18" s="1155"/>
      <c r="B18" s="1528"/>
      <c r="C18" s="1528"/>
      <c r="D18" s="1528"/>
      <c r="E18" s="1528"/>
      <c r="F18" s="1528"/>
      <c r="G18" s="1528"/>
      <c r="H18" s="1528"/>
      <c r="I18" s="1528"/>
      <c r="J18" s="1528"/>
      <c r="K18" s="1528"/>
      <c r="L18" s="1529"/>
    </row>
    <row r="19" spans="1:12" ht="4.5" customHeight="1" x14ac:dyDescent="0.3">
      <c r="A19" s="214"/>
      <c r="B19" s="1417"/>
      <c r="C19" s="1417"/>
      <c r="D19" s="1417"/>
      <c r="E19" s="1417"/>
      <c r="F19" s="1417"/>
      <c r="G19" s="1417"/>
      <c r="H19" s="1417"/>
      <c r="I19" s="1417"/>
      <c r="J19" s="1417"/>
      <c r="K19" s="1417"/>
      <c r="L19" s="1422"/>
    </row>
    <row r="20" spans="1:12" ht="18.600000000000001" x14ac:dyDescent="0.3">
      <c r="A20" s="214" t="s">
        <v>2376</v>
      </c>
      <c r="B20" s="926">
        <v>1643</v>
      </c>
      <c r="C20" s="926">
        <v>1644</v>
      </c>
      <c r="D20" s="926">
        <v>1643</v>
      </c>
      <c r="E20" s="926">
        <v>1651</v>
      </c>
      <c r="F20" s="926">
        <v>1648</v>
      </c>
      <c r="G20" s="926">
        <v>1552</v>
      </c>
      <c r="H20" s="926">
        <v>1549</v>
      </c>
      <c r="I20" s="926">
        <v>1548</v>
      </c>
      <c r="J20" s="926">
        <v>1543</v>
      </c>
      <c r="K20" s="926">
        <v>1541</v>
      </c>
      <c r="L20" s="927">
        <v>1539</v>
      </c>
    </row>
    <row r="21" spans="1:12" ht="4.5" customHeight="1" x14ac:dyDescent="0.3">
      <c r="A21" s="214"/>
      <c r="B21" s="1417"/>
      <c r="C21" s="1417"/>
      <c r="D21" s="1417"/>
      <c r="E21" s="1417"/>
      <c r="F21" s="1417"/>
      <c r="G21" s="1417"/>
      <c r="H21" s="1417"/>
      <c r="I21" s="1417"/>
      <c r="J21" s="1417"/>
      <c r="K21" s="1417"/>
      <c r="L21" s="1422"/>
    </row>
    <row r="22" spans="1:12" ht="4.5" customHeight="1" x14ac:dyDescent="0.3">
      <c r="A22" s="1155"/>
      <c r="B22" s="1528"/>
      <c r="C22" s="1528"/>
      <c r="D22" s="1528"/>
      <c r="E22" s="1528"/>
      <c r="F22" s="1528"/>
      <c r="G22" s="1528"/>
      <c r="H22" s="1528"/>
      <c r="I22" s="1528"/>
      <c r="J22" s="1528"/>
      <c r="K22" s="1528"/>
      <c r="L22" s="1529"/>
    </row>
    <row r="23" spans="1:12" ht="4.5" customHeight="1" x14ac:dyDescent="0.3">
      <c r="A23" s="214"/>
      <c r="B23" s="1417"/>
      <c r="C23" s="1417"/>
      <c r="D23" s="1417"/>
      <c r="E23" s="1417"/>
      <c r="F23" s="1417"/>
      <c r="G23" s="1417"/>
      <c r="H23" s="1417"/>
      <c r="I23" s="1417"/>
      <c r="J23" s="1417"/>
      <c r="K23" s="1417"/>
      <c r="L23" s="1422"/>
    </row>
    <row r="24" spans="1:12" s="320" customFormat="1" x14ac:dyDescent="0.3">
      <c r="A24" s="6" t="s">
        <v>1398</v>
      </c>
      <c r="B24" s="765"/>
      <c r="C24" s="765"/>
      <c r="D24" s="765"/>
      <c r="E24" s="765"/>
      <c r="F24" s="765"/>
      <c r="G24" s="765"/>
      <c r="H24" s="765"/>
      <c r="I24" s="765"/>
      <c r="J24" s="765"/>
      <c r="K24" s="765"/>
      <c r="L24" s="222"/>
    </row>
    <row r="25" spans="1:12" s="320" customFormat="1" x14ac:dyDescent="0.3">
      <c r="A25" s="6" t="s">
        <v>2022</v>
      </c>
      <c r="B25" s="410"/>
      <c r="C25" s="410"/>
      <c r="D25" s="410"/>
      <c r="E25" s="410"/>
      <c r="F25" s="410"/>
      <c r="G25" s="410"/>
      <c r="H25" s="410"/>
      <c r="I25" s="410"/>
      <c r="J25" s="410"/>
      <c r="K25" s="410"/>
      <c r="L25" s="1872"/>
    </row>
    <row r="26" spans="1:12" s="320" customFormat="1" x14ac:dyDescent="0.3">
      <c r="A26" s="1175" t="s">
        <v>2223</v>
      </c>
      <c r="B26" s="410"/>
      <c r="C26" s="410"/>
      <c r="D26" s="410"/>
      <c r="E26" s="410"/>
      <c r="F26" s="410"/>
      <c r="G26" s="410"/>
      <c r="H26" s="410"/>
      <c r="I26" s="410"/>
      <c r="J26" s="410"/>
      <c r="K26" s="410"/>
      <c r="L26" s="1872"/>
    </row>
    <row r="27" spans="1:12" s="320" customFormat="1" x14ac:dyDescent="0.3">
      <c r="A27" s="6" t="s">
        <v>2437</v>
      </c>
      <c r="B27" s="410"/>
      <c r="C27" s="410"/>
      <c r="D27" s="410"/>
      <c r="E27" s="410"/>
      <c r="F27" s="410"/>
      <c r="G27" s="410"/>
      <c r="H27" s="410"/>
      <c r="I27" s="410"/>
      <c r="J27" s="410"/>
      <c r="K27" s="410"/>
      <c r="L27" s="1872"/>
    </row>
    <row r="28" spans="1:12" s="320" customFormat="1" ht="32.25" customHeight="1" x14ac:dyDescent="0.3">
      <c r="A28" s="2915" t="s">
        <v>2439</v>
      </c>
      <c r="B28" s="2935"/>
      <c r="C28" s="2935"/>
      <c r="D28" s="2935"/>
      <c r="E28" s="2935"/>
      <c r="F28" s="2935"/>
      <c r="G28" s="2935"/>
      <c r="H28" s="2935"/>
      <c r="I28" s="2935"/>
      <c r="J28" s="2935"/>
      <c r="K28" s="2935"/>
      <c r="L28" s="2916"/>
    </row>
    <row r="29" spans="1:12" s="320" customFormat="1" ht="16.2" thickBot="1" x14ac:dyDescent="0.35">
      <c r="A29" s="9" t="s">
        <v>2377</v>
      </c>
      <c r="B29" s="1873"/>
      <c r="C29" s="1873"/>
      <c r="D29" s="1873"/>
      <c r="E29" s="1873"/>
      <c r="F29" s="1873"/>
      <c r="G29" s="1873"/>
      <c r="H29" s="1873"/>
      <c r="I29" s="1873"/>
      <c r="J29" s="1873"/>
      <c r="K29" s="1873"/>
      <c r="L29" s="1874"/>
    </row>
    <row r="30" spans="1:12" s="320" customFormat="1" x14ac:dyDescent="0.3">
      <c r="A30" s="12" t="s">
        <v>2024</v>
      </c>
    </row>
    <row r="31" spans="1:12" s="320" customFormat="1" x14ac:dyDescent="0.3"/>
    <row r="32" spans="1:12" s="12" customFormat="1" ht="13.8" x14ac:dyDescent="0.25">
      <c r="A32" s="12" t="s">
        <v>176</v>
      </c>
      <c r="E32" s="12" t="s">
        <v>176</v>
      </c>
    </row>
    <row r="33" spans="3:3" x14ac:dyDescent="0.3">
      <c r="C33" s="211" t="s">
        <v>176</v>
      </c>
    </row>
  </sheetData>
  <mergeCells count="1">
    <mergeCell ref="A28:L28"/>
  </mergeCells>
  <pageMargins left="0.7" right="0.7" top="0.75" bottom="0.75" header="0.3" footer="0.3"/>
  <pageSetup orientation="portrait" horizontalDpi="1200" verticalDpi="1200" r:id="rId1"/>
  <ignoredErrors>
    <ignoredError sqref="B13:D13 E13:L13" formulaRange="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DE11-8E97-4D0F-83BF-6C28D07DDEFA}">
  <sheetPr>
    <tabColor theme="4"/>
  </sheetPr>
  <dimension ref="A1:I30"/>
  <sheetViews>
    <sheetView showGridLines="0" zoomScale="85" zoomScaleNormal="85" workbookViewId="0">
      <selection activeCell="K24" sqref="K24"/>
    </sheetView>
  </sheetViews>
  <sheetFormatPr defaultColWidth="9.109375" defaultRowHeight="15.6" x14ac:dyDescent="0.3"/>
  <cols>
    <col min="1" max="1" width="14.109375" style="211" customWidth="1"/>
    <col min="2" max="2" width="12" style="211" bestFit="1" customWidth="1"/>
    <col min="3" max="3" width="9.88671875" style="211" bestFit="1" customWidth="1"/>
    <col min="4" max="5" width="9.109375" style="211"/>
    <col min="6" max="6" width="22" style="211" customWidth="1"/>
    <col min="7" max="7" width="14.88671875" style="211" customWidth="1"/>
    <col min="8" max="8" width="17.6640625" style="211" bestFit="1" customWidth="1"/>
    <col min="9" max="16384" width="9.109375" style="211"/>
  </cols>
  <sheetData>
    <row r="1" spans="1:9" x14ac:dyDescent="0.3">
      <c r="A1" s="459" t="s">
        <v>1863</v>
      </c>
    </row>
    <row r="2" spans="1:9" x14ac:dyDescent="0.3">
      <c r="A2" s="152" t="s">
        <v>3148</v>
      </c>
    </row>
    <row r="3" spans="1:9" ht="8.25" customHeight="1" thickBot="1" x14ac:dyDescent="0.35"/>
    <row r="4" spans="1:9" ht="45.75" customHeight="1" x14ac:dyDescent="0.3">
      <c r="A4" s="2481" t="s">
        <v>3147</v>
      </c>
      <c r="B4" s="470" t="s">
        <v>394</v>
      </c>
      <c r="C4" s="2081" t="s">
        <v>2020</v>
      </c>
      <c r="E4" s="884"/>
    </row>
    <row r="5" spans="1:9" x14ac:dyDescent="0.3">
      <c r="A5" s="214">
        <v>1965</v>
      </c>
      <c r="B5" s="2168">
        <v>4</v>
      </c>
      <c r="C5" s="1325">
        <v>4</v>
      </c>
      <c r="E5" s="2145"/>
    </row>
    <row r="6" spans="1:9" x14ac:dyDescent="0.3">
      <c r="A6" s="214">
        <v>1975</v>
      </c>
      <c r="B6" s="1622">
        <v>159</v>
      </c>
      <c r="C6" s="1624">
        <v>4</v>
      </c>
      <c r="E6" s="2145"/>
    </row>
    <row r="7" spans="1:9" x14ac:dyDescent="0.3">
      <c r="A7" s="214">
        <v>1985</v>
      </c>
      <c r="B7" s="1622">
        <v>2407</v>
      </c>
      <c r="C7" s="1624">
        <v>52</v>
      </c>
      <c r="E7" s="2145"/>
    </row>
    <row r="8" spans="1:9" x14ac:dyDescent="0.3">
      <c r="A8" s="214">
        <v>1995</v>
      </c>
      <c r="B8" s="1622">
        <v>21817</v>
      </c>
      <c r="C8" s="1624">
        <v>175</v>
      </c>
      <c r="E8" s="2145"/>
    </row>
    <row r="9" spans="1:9" x14ac:dyDescent="0.3">
      <c r="A9" s="214">
        <v>2005</v>
      </c>
      <c r="B9" s="1622">
        <v>74129</v>
      </c>
      <c r="C9" s="1624">
        <v>2441</v>
      </c>
      <c r="E9" s="2145"/>
    </row>
    <row r="10" spans="1:9" ht="16.2" thickBot="1" x14ac:dyDescent="0.35">
      <c r="A10" s="9" t="s">
        <v>3146</v>
      </c>
      <c r="B10" s="2480"/>
      <c r="C10" s="2479"/>
      <c r="E10" s="2145"/>
    </row>
    <row r="11" spans="1:9" x14ac:dyDescent="0.3">
      <c r="A11" s="2809" t="s">
        <v>3137</v>
      </c>
      <c r="B11" s="2809"/>
      <c r="C11" s="2809"/>
      <c r="H11" s="211" t="s">
        <v>3145</v>
      </c>
      <c r="I11" s="211" t="s">
        <v>3144</v>
      </c>
    </row>
    <row r="12" spans="1:9" x14ac:dyDescent="0.3">
      <c r="A12" s="2810"/>
      <c r="B12" s="2810"/>
      <c r="C12" s="2810"/>
      <c r="G12" s="211" t="s">
        <v>3143</v>
      </c>
      <c r="H12" s="365">
        <f>B21</f>
        <v>0.28000000000000003</v>
      </c>
      <c r="I12" s="365">
        <f>B22</f>
        <v>0.17199999999999999</v>
      </c>
    </row>
    <row r="13" spans="1:9" x14ac:dyDescent="0.3">
      <c r="G13" s="211" t="s">
        <v>3142</v>
      </c>
      <c r="H13" s="365">
        <f>B25</f>
        <v>0.13</v>
      </c>
      <c r="I13" s="365">
        <f>B26</f>
        <v>0.30199999999999999</v>
      </c>
    </row>
    <row r="14" spans="1:9" ht="8.25" customHeight="1" x14ac:dyDescent="0.3">
      <c r="A14" s="884"/>
      <c r="B14" s="884"/>
    </row>
    <row r="15" spans="1:9" x14ac:dyDescent="0.3">
      <c r="A15" s="2145"/>
      <c r="B15" s="2145"/>
      <c r="C15" s="2145"/>
    </row>
    <row r="16" spans="1:9" x14ac:dyDescent="0.3">
      <c r="A16" s="492"/>
      <c r="B16" s="492"/>
      <c r="C16" s="492"/>
    </row>
    <row r="20" spans="1:8" x14ac:dyDescent="0.3">
      <c r="A20" s="221" t="s">
        <v>3141</v>
      </c>
      <c r="B20" s="223"/>
    </row>
    <row r="21" spans="1:8" x14ac:dyDescent="0.3">
      <c r="A21" s="214" t="s">
        <v>394</v>
      </c>
      <c r="B21" s="347">
        <v>0.28000000000000003</v>
      </c>
    </row>
    <row r="22" spans="1:8" x14ac:dyDescent="0.3">
      <c r="A22" s="214" t="s">
        <v>371</v>
      </c>
      <c r="B22" s="347">
        <v>0.17199999999999999</v>
      </c>
      <c r="G22" s="211" t="s">
        <v>3140</v>
      </c>
      <c r="H22" s="211" t="s">
        <v>3139</v>
      </c>
    </row>
    <row r="23" spans="1:8" x14ac:dyDescent="0.3">
      <c r="A23" s="214"/>
      <c r="B23" s="347"/>
      <c r="F23" s="211">
        <v>1965</v>
      </c>
      <c r="G23" s="211">
        <v>4</v>
      </c>
      <c r="H23" s="211">
        <v>4</v>
      </c>
    </row>
    <row r="24" spans="1:8" x14ac:dyDescent="0.3">
      <c r="A24" s="221" t="s">
        <v>3138</v>
      </c>
      <c r="B24" s="347"/>
      <c r="F24" s="211">
        <v>1975</v>
      </c>
      <c r="G24" s="211">
        <v>159</v>
      </c>
      <c r="H24" s="211">
        <v>4</v>
      </c>
    </row>
    <row r="25" spans="1:8" x14ac:dyDescent="0.3">
      <c r="A25" s="214" t="s">
        <v>394</v>
      </c>
      <c r="B25" s="347">
        <v>0.13</v>
      </c>
      <c r="F25" s="211">
        <v>1985</v>
      </c>
      <c r="G25" s="211">
        <v>2407</v>
      </c>
      <c r="H25" s="211">
        <v>52</v>
      </c>
    </row>
    <row r="26" spans="1:8" ht="16.2" thickBot="1" x14ac:dyDescent="0.35">
      <c r="A26" s="224" t="s">
        <v>371</v>
      </c>
      <c r="B26" s="366">
        <v>0.30199999999999999</v>
      </c>
      <c r="F26" s="211">
        <v>1995</v>
      </c>
      <c r="G26" s="211">
        <v>21817</v>
      </c>
      <c r="H26" s="211">
        <v>175</v>
      </c>
    </row>
    <row r="27" spans="1:8" x14ac:dyDescent="0.3">
      <c r="A27" s="320" t="s">
        <v>3137</v>
      </c>
      <c r="F27" s="211">
        <v>2005</v>
      </c>
      <c r="G27" s="211">
        <v>74129</v>
      </c>
      <c r="H27" s="211">
        <v>2441</v>
      </c>
    </row>
    <row r="29" spans="1:8" x14ac:dyDescent="0.3">
      <c r="F29" s="211" t="s">
        <v>3136</v>
      </c>
      <c r="G29" s="227">
        <f>(G27/G23)^(1/40)-1</f>
        <v>0.27849255616830737</v>
      </c>
      <c r="H29" s="227">
        <f>(H27/H23)^(1/40)-1</f>
        <v>0.17391781856316735</v>
      </c>
    </row>
    <row r="30" spans="1:8" x14ac:dyDescent="0.3">
      <c r="F30" s="211" t="s">
        <v>3135</v>
      </c>
      <c r="G30" s="227">
        <f>(G27/G26)^(1/10)-1</f>
        <v>0.13010633903265956</v>
      </c>
      <c r="H30" s="227">
        <f>(H27/H26)^(1/10)-1</f>
        <v>0.30152637411631589</v>
      </c>
    </row>
  </sheetData>
  <mergeCells count="1">
    <mergeCell ref="A11:C12"/>
  </mergeCells>
  <pageMargins left="0.7" right="0.7" top="0.75" bottom="0.75" header="0.3" footer="0.3"/>
  <pageSetup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A7E7-4794-485A-A082-49BF764CEF29}">
  <sheetPr>
    <tabColor theme="4"/>
  </sheetPr>
  <dimension ref="A1:N24"/>
  <sheetViews>
    <sheetView showGridLines="0" workbookViewId="0">
      <selection activeCell="M26" sqref="M26"/>
    </sheetView>
  </sheetViews>
  <sheetFormatPr defaultColWidth="9.109375" defaultRowHeight="15.6" x14ac:dyDescent="0.3"/>
  <cols>
    <col min="1" max="1" width="27.109375" style="211" bestFit="1" customWidth="1"/>
    <col min="2" max="6" width="9.109375" style="211"/>
    <col min="7" max="7" width="27.109375" style="211" bestFit="1" customWidth="1"/>
    <col min="8" max="10" width="9.109375" style="211"/>
    <col min="11" max="11" width="3.33203125" style="211" customWidth="1"/>
    <col min="12" max="16384" width="9.109375" style="211"/>
  </cols>
  <sheetData>
    <row r="1" spans="1:4" x14ac:dyDescent="0.3">
      <c r="A1" s="459" t="s">
        <v>1863</v>
      </c>
    </row>
    <row r="2" spans="1:4" x14ac:dyDescent="0.3">
      <c r="A2" s="152" t="s">
        <v>3153</v>
      </c>
    </row>
    <row r="3" spans="1:4" ht="8.25" customHeight="1" thickBot="1" x14ac:dyDescent="0.35">
      <c r="A3" s="152"/>
    </row>
    <row r="4" spans="1:4" x14ac:dyDescent="0.3">
      <c r="A4" s="212" t="s">
        <v>1250</v>
      </c>
      <c r="B4" s="501">
        <v>2007</v>
      </c>
      <c r="C4" s="501">
        <v>1972</v>
      </c>
      <c r="D4" s="471" t="s">
        <v>32</v>
      </c>
    </row>
    <row r="5" spans="1:4" x14ac:dyDescent="0.3">
      <c r="A5" s="214" t="s">
        <v>975</v>
      </c>
      <c r="B5" s="2488">
        <v>383</v>
      </c>
      <c r="C5" s="2488">
        <v>30</v>
      </c>
      <c r="D5" s="2320">
        <f>B5/C5</f>
        <v>12.766666666666667</v>
      </c>
    </row>
    <row r="6" spans="1:4" x14ac:dyDescent="0.3">
      <c r="A6" s="214" t="s">
        <v>2127</v>
      </c>
      <c r="B6" s="211">
        <v>82</v>
      </c>
      <c r="C6" s="211">
        <v>5</v>
      </c>
      <c r="D6" s="2320">
        <f>B6/C6</f>
        <v>16.399999999999999</v>
      </c>
    </row>
    <row r="7" spans="1:4" x14ac:dyDescent="0.3">
      <c r="A7" s="214" t="s">
        <v>3152</v>
      </c>
      <c r="B7" s="211">
        <v>40</v>
      </c>
      <c r="C7" s="211">
        <v>8</v>
      </c>
      <c r="D7" s="2320">
        <f>B7/C7</f>
        <v>5</v>
      </c>
    </row>
    <row r="8" spans="1:4" ht="4.5" customHeight="1" x14ac:dyDescent="0.3">
      <c r="A8" s="214"/>
      <c r="D8" s="2320"/>
    </row>
    <row r="9" spans="1:4" ht="4.5" customHeight="1" x14ac:dyDescent="0.3">
      <c r="A9" s="1155"/>
      <c r="B9" s="597"/>
      <c r="C9" s="597"/>
      <c r="D9" s="2490"/>
    </row>
    <row r="10" spans="1:4" ht="4.5" customHeight="1" x14ac:dyDescent="0.3">
      <c r="A10" s="214"/>
      <c r="D10" s="2320"/>
    </row>
    <row r="11" spans="1:4" ht="16.2" thickBot="1" x14ac:dyDescent="0.35">
      <c r="A11" s="224" t="s">
        <v>1563</v>
      </c>
      <c r="B11" s="1314">
        <f>B6/B7</f>
        <v>2.0499999999999998</v>
      </c>
      <c r="C11" s="1314">
        <f>C6/C7</f>
        <v>0.625</v>
      </c>
      <c r="D11" s="2489">
        <f>B11/C11</f>
        <v>3.28</v>
      </c>
    </row>
    <row r="12" spans="1:4" x14ac:dyDescent="0.3">
      <c r="A12" s="2810" t="s">
        <v>3149</v>
      </c>
      <c r="B12" s="2810"/>
      <c r="C12" s="2810"/>
      <c r="D12" s="2810"/>
    </row>
    <row r="13" spans="1:4" x14ac:dyDescent="0.3">
      <c r="A13" s="2810"/>
      <c r="B13" s="2810"/>
      <c r="C13" s="2810"/>
      <c r="D13" s="2810"/>
    </row>
    <row r="17" spans="7:14" x14ac:dyDescent="0.3">
      <c r="G17" s="459" t="s">
        <v>1863</v>
      </c>
    </row>
    <row r="18" spans="7:14" x14ac:dyDescent="0.3">
      <c r="G18" s="152" t="s">
        <v>3151</v>
      </c>
      <c r="N18" s="211" t="s">
        <v>176</v>
      </c>
    </row>
    <row r="19" spans="7:14" ht="8.25" customHeight="1" thickBot="1" x14ac:dyDescent="0.35">
      <c r="G19" s="152"/>
    </row>
    <row r="20" spans="7:14" x14ac:dyDescent="0.3">
      <c r="G20" s="212" t="s">
        <v>1250</v>
      </c>
      <c r="H20" s="501">
        <v>2007</v>
      </c>
      <c r="I20" s="501">
        <v>1996</v>
      </c>
      <c r="J20" s="471" t="s">
        <v>32</v>
      </c>
    </row>
    <row r="21" spans="7:14" x14ac:dyDescent="0.3">
      <c r="G21" s="214" t="s">
        <v>2127</v>
      </c>
      <c r="H21" s="2488">
        <v>270</v>
      </c>
      <c r="I21" s="2488">
        <v>111</v>
      </c>
      <c r="J21" s="2487">
        <f>H21/I21</f>
        <v>2.4324324324324325</v>
      </c>
      <c r="L21" s="1018">
        <f>H21/I21</f>
        <v>2.4324324324324325</v>
      </c>
    </row>
    <row r="22" spans="7:14" ht="16.2" thickBot="1" x14ac:dyDescent="0.35">
      <c r="G22" s="224" t="s">
        <v>3150</v>
      </c>
      <c r="H22" s="2745">
        <v>1079</v>
      </c>
      <c r="I22" s="218">
        <v>570</v>
      </c>
      <c r="J22" s="2486">
        <f>H22/I22</f>
        <v>1.8929824561403508</v>
      </c>
      <c r="L22" s="1018">
        <f>H22/I22</f>
        <v>1.8929824561403508</v>
      </c>
    </row>
    <row r="23" spans="7:14" x14ac:dyDescent="0.3">
      <c r="G23" s="2810" t="s">
        <v>3149</v>
      </c>
      <c r="H23" s="2810"/>
      <c r="I23" s="2810"/>
      <c r="J23" s="2810"/>
    </row>
    <row r="24" spans="7:14" x14ac:dyDescent="0.3">
      <c r="G24" s="2810"/>
      <c r="H24" s="2810"/>
      <c r="I24" s="2810"/>
      <c r="J24" s="2810"/>
    </row>
  </sheetData>
  <mergeCells count="2">
    <mergeCell ref="A12:D13"/>
    <mergeCell ref="G23:J24"/>
  </mergeCell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880E-7626-4AD5-8867-2B37A7A9C368}">
  <sheetPr codeName="Sheet79">
    <tabColor theme="4"/>
  </sheetPr>
  <dimension ref="A1:E7"/>
  <sheetViews>
    <sheetView workbookViewId="0">
      <selection activeCell="G21" sqref="G21:G22"/>
    </sheetView>
  </sheetViews>
  <sheetFormatPr defaultColWidth="9.109375" defaultRowHeight="13.8" x14ac:dyDescent="0.25"/>
  <cols>
    <col min="1" max="1" width="26.88671875" style="1" customWidth="1"/>
    <col min="2" max="2" width="18" style="1" bestFit="1" customWidth="1"/>
    <col min="3" max="4" width="9.109375" style="1"/>
    <col min="5" max="5" width="15.33203125" style="2" customWidth="1"/>
    <col min="6" max="16384" width="9.109375" style="1"/>
  </cols>
  <sheetData>
    <row r="1" spans="1:2" x14ac:dyDescent="0.25">
      <c r="B1" s="10">
        <v>2007</v>
      </c>
    </row>
    <row r="2" spans="1:2" x14ac:dyDescent="0.25">
      <c r="A2" s="1" t="s">
        <v>1089</v>
      </c>
      <c r="B2" s="13">
        <v>1545751</v>
      </c>
    </row>
    <row r="3" spans="1:2" x14ac:dyDescent="0.25">
      <c r="A3" s="1" t="s">
        <v>1090</v>
      </c>
      <c r="B3" s="13">
        <f>1081024+(14000080/30)</f>
        <v>1547693.3333333333</v>
      </c>
    </row>
    <row r="4" spans="1:2" x14ac:dyDescent="0.25">
      <c r="B4" s="13"/>
    </row>
    <row r="5" spans="1:2" x14ac:dyDescent="0.25">
      <c r="A5" s="1" t="s">
        <v>1091</v>
      </c>
      <c r="B5" s="13">
        <v>3374000000</v>
      </c>
    </row>
    <row r="6" spans="1:2" x14ac:dyDescent="0.25">
      <c r="A6" s="1" t="s">
        <v>1092</v>
      </c>
      <c r="B6" s="13">
        <f>B5/B2</f>
        <v>2182.7577662896547</v>
      </c>
    </row>
    <row r="7" spans="1:2" x14ac:dyDescent="0.25">
      <c r="A7" s="1" t="s">
        <v>1093</v>
      </c>
      <c r="B7" s="13">
        <f>B5/B3</f>
        <v>2180.0184360381472</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EF2B-5CE5-4F80-8AE9-F92A2D37457A}">
  <sheetPr>
    <tabColor theme="4"/>
  </sheetPr>
  <dimension ref="A1:J16"/>
  <sheetViews>
    <sheetView showGridLines="0" workbookViewId="0">
      <selection activeCell="D11" sqref="D11"/>
    </sheetView>
  </sheetViews>
  <sheetFormatPr defaultColWidth="9.109375" defaultRowHeight="15.6" x14ac:dyDescent="0.3"/>
  <cols>
    <col min="1" max="1" width="3.5546875" style="211" customWidth="1"/>
    <col min="2" max="2" width="28.109375" style="211" customWidth="1"/>
    <col min="3" max="3" width="53.33203125" style="211" customWidth="1"/>
    <col min="4" max="16384" width="9.109375" style="211"/>
  </cols>
  <sheetData>
    <row r="1" spans="1:10" x14ac:dyDescent="0.3">
      <c r="B1" s="459" t="s">
        <v>1863</v>
      </c>
    </row>
    <row r="2" spans="1:10" x14ac:dyDescent="0.3">
      <c r="B2" s="152" t="s">
        <v>3177</v>
      </c>
    </row>
    <row r="3" spans="1:10" ht="8.25" customHeight="1" thickBot="1" x14ac:dyDescent="0.35"/>
    <row r="4" spans="1:10" x14ac:dyDescent="0.3">
      <c r="B4" s="2497" t="s">
        <v>3176</v>
      </c>
      <c r="C4" s="2496" t="s">
        <v>3175</v>
      </c>
    </row>
    <row r="5" spans="1:10" ht="31.2" x14ac:dyDescent="0.3">
      <c r="A5" s="2493">
        <v>1</v>
      </c>
      <c r="B5" s="2495" t="s">
        <v>3174</v>
      </c>
      <c r="C5" s="2494" t="s">
        <v>3173</v>
      </c>
    </row>
    <row r="6" spans="1:10" ht="31.2" x14ac:dyDescent="0.3">
      <c r="A6" s="2493">
        <v>2</v>
      </c>
      <c r="B6" s="2495" t="s">
        <v>3172</v>
      </c>
      <c r="C6" s="2494" t="s">
        <v>3171</v>
      </c>
    </row>
    <row r="7" spans="1:10" ht="31.2" x14ac:dyDescent="0.3">
      <c r="A7" s="2493">
        <v>3</v>
      </c>
      <c r="B7" s="2495" t="s">
        <v>3170</v>
      </c>
      <c r="C7" s="2494" t="s">
        <v>3169</v>
      </c>
    </row>
    <row r="8" spans="1:10" ht="31.2" x14ac:dyDescent="0.3">
      <c r="A8" s="2493">
        <v>4</v>
      </c>
      <c r="B8" s="2495" t="s">
        <v>3168</v>
      </c>
      <c r="C8" s="2494" t="s">
        <v>3167</v>
      </c>
    </row>
    <row r="9" spans="1:10" ht="46.8" x14ac:dyDescent="0.3">
      <c r="A9" s="2493">
        <v>5</v>
      </c>
      <c r="B9" s="2495" t="s">
        <v>3166</v>
      </c>
      <c r="C9" s="2494" t="s">
        <v>826</v>
      </c>
    </row>
    <row r="10" spans="1:10" ht="46.8" x14ac:dyDescent="0.3">
      <c r="A10" s="2493">
        <v>6</v>
      </c>
      <c r="B10" s="2495" t="s">
        <v>3165</v>
      </c>
      <c r="C10" s="2494" t="s">
        <v>3164</v>
      </c>
    </row>
    <row r="11" spans="1:10" ht="31.2" x14ac:dyDescent="0.3">
      <c r="A11" s="2493">
        <v>7</v>
      </c>
      <c r="B11" s="2495" t="s">
        <v>3163</v>
      </c>
      <c r="C11" s="2494" t="s">
        <v>3162</v>
      </c>
    </row>
    <row r="12" spans="1:10" ht="31.2" x14ac:dyDescent="0.3">
      <c r="A12" s="2493">
        <v>8</v>
      </c>
      <c r="B12" s="2495" t="s">
        <v>3161</v>
      </c>
      <c r="C12" s="2494" t="s">
        <v>3160</v>
      </c>
    </row>
    <row r="13" spans="1:10" ht="46.8" x14ac:dyDescent="0.3">
      <c r="A13" s="2493">
        <v>9</v>
      </c>
      <c r="B13" s="2495" t="s">
        <v>3159</v>
      </c>
      <c r="C13" s="2494" t="s">
        <v>826</v>
      </c>
      <c r="J13" s="211" t="s">
        <v>176</v>
      </c>
    </row>
    <row r="14" spans="1:10" ht="31.2" x14ac:dyDescent="0.3">
      <c r="A14" s="2493">
        <v>10</v>
      </c>
      <c r="B14" s="2495" t="s">
        <v>3158</v>
      </c>
      <c r="C14" s="2494" t="s">
        <v>3157</v>
      </c>
      <c r="I14" s="211" t="s">
        <v>176</v>
      </c>
    </row>
    <row r="15" spans="1:10" ht="31.8" thickBot="1" x14ac:dyDescent="0.35">
      <c r="A15" s="2493">
        <v>11</v>
      </c>
      <c r="B15" s="2492" t="s">
        <v>3156</v>
      </c>
      <c r="C15" s="2491" t="s">
        <v>3155</v>
      </c>
    </row>
    <row r="16" spans="1:10" x14ac:dyDescent="0.3">
      <c r="B16" s="12" t="s">
        <v>3154</v>
      </c>
      <c r="C16" s="192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5C7AD-AC15-42C0-B0D9-6C11CC00E9BD}">
  <sheetPr>
    <tabColor theme="9" tint="0.59999389629810485"/>
  </sheetPr>
  <dimension ref="A1:J23"/>
  <sheetViews>
    <sheetView showGridLines="0" zoomScale="110" zoomScaleNormal="110" workbookViewId="0">
      <selection activeCell="D18" sqref="D18"/>
    </sheetView>
  </sheetViews>
  <sheetFormatPr defaultColWidth="9.109375" defaultRowHeight="13.8" x14ac:dyDescent="0.25"/>
  <cols>
    <col min="1" max="1" width="29.44140625" style="1" customWidth="1"/>
    <col min="2" max="3" width="9.44140625" style="1" bestFit="1" customWidth="1"/>
    <col min="4" max="4" width="10.33203125" style="1" bestFit="1" customWidth="1"/>
    <col min="5" max="5" width="10.6640625" style="1" customWidth="1"/>
    <col min="6" max="6" width="9.109375" style="1"/>
    <col min="7" max="7" width="32.88671875" style="1" customWidth="1"/>
    <col min="8" max="8" width="9.88671875" style="1" bestFit="1" customWidth="1"/>
    <col min="9" max="16384" width="9.109375" style="1"/>
  </cols>
  <sheetData>
    <row r="1" spans="1:10" ht="15.6" x14ac:dyDescent="0.3">
      <c r="A1" s="152" t="s">
        <v>2645</v>
      </c>
      <c r="B1" s="211"/>
      <c r="C1" s="211"/>
      <c r="D1" s="211"/>
      <c r="E1" s="211"/>
    </row>
    <row r="2" spans="1:10" ht="15.6" x14ac:dyDescent="0.3">
      <c r="A2" s="152" t="s">
        <v>2644</v>
      </c>
      <c r="B2" s="211"/>
      <c r="C2" s="211"/>
      <c r="D2" s="211"/>
      <c r="E2" s="211"/>
    </row>
    <row r="3" spans="1:10" ht="6" customHeight="1" thickBot="1" x14ac:dyDescent="0.35">
      <c r="A3" s="211"/>
      <c r="B3" s="211"/>
      <c r="C3" s="211"/>
      <c r="D3" s="211"/>
      <c r="E3" s="211"/>
    </row>
    <row r="4" spans="1:10" ht="15.6" x14ac:dyDescent="0.3">
      <c r="A4" s="212" t="s">
        <v>1204</v>
      </c>
      <c r="B4" s="1919">
        <v>1964</v>
      </c>
      <c r="C4" s="1919">
        <v>1955</v>
      </c>
      <c r="D4" s="1919" t="s">
        <v>2643</v>
      </c>
      <c r="E4" s="1954" t="s">
        <v>1290</v>
      </c>
    </row>
    <row r="5" spans="1:10" ht="15.6" x14ac:dyDescent="0.3">
      <c r="A5" s="214" t="s">
        <v>975</v>
      </c>
      <c r="B5" s="1969">
        <v>49983</v>
      </c>
      <c r="C5" s="1969">
        <v>65498</v>
      </c>
      <c r="D5" s="1967">
        <f t="shared" ref="D5:D10" si="0">B5-C5</f>
        <v>-15515</v>
      </c>
      <c r="E5" s="1966">
        <f>B5/C5-1</f>
        <v>-0.2368774619072338</v>
      </c>
    </row>
    <row r="6" spans="1:10" ht="15.6" x14ac:dyDescent="0.3">
      <c r="A6" s="214" t="s">
        <v>5</v>
      </c>
      <c r="B6" s="1967">
        <v>920</v>
      </c>
      <c r="C6" s="1967">
        <v>4169</v>
      </c>
      <c r="D6" s="1967">
        <f t="shared" si="0"/>
        <v>-3249</v>
      </c>
      <c r="E6" s="1966">
        <f>B6/C6-1</f>
        <v>-0.77932357879587433</v>
      </c>
    </row>
    <row r="7" spans="1:10" ht="15.6" x14ac:dyDescent="0.3">
      <c r="A7" s="214" t="s">
        <v>239</v>
      </c>
      <c r="B7" s="1967">
        <v>14502</v>
      </c>
      <c r="C7" s="1967">
        <v>33022</v>
      </c>
      <c r="D7" s="1967">
        <f t="shared" si="0"/>
        <v>-18520</v>
      </c>
      <c r="E7" s="1966">
        <f>B7/C7-1</f>
        <v>-0.56083822905941494</v>
      </c>
    </row>
    <row r="8" spans="1:10" ht="15.6" x14ac:dyDescent="0.3">
      <c r="A8" s="214" t="s">
        <v>2642</v>
      </c>
      <c r="B8" s="1967">
        <v>7571</v>
      </c>
      <c r="C8" s="1967">
        <v>16655</v>
      </c>
      <c r="D8" s="1967">
        <f t="shared" si="0"/>
        <v>-9084</v>
      </c>
      <c r="E8" s="1966">
        <f>B8/C8-1</f>
        <v>-0.54542179525667966</v>
      </c>
    </row>
    <row r="9" spans="1:10" ht="15.6" x14ac:dyDescent="0.3">
      <c r="A9" s="214" t="s">
        <v>23</v>
      </c>
      <c r="B9" s="1967">
        <v>2500</v>
      </c>
      <c r="C9" s="1968">
        <v>0</v>
      </c>
      <c r="D9" s="1967">
        <f t="shared" si="0"/>
        <v>2500</v>
      </c>
      <c r="E9" s="1966" t="s">
        <v>826</v>
      </c>
    </row>
    <row r="10" spans="1:10" ht="16.2" thickBot="1" x14ac:dyDescent="0.35">
      <c r="A10" s="224" t="s">
        <v>746</v>
      </c>
      <c r="B10" s="1964">
        <v>22139</v>
      </c>
      <c r="C10" s="1965">
        <v>51400</v>
      </c>
      <c r="D10" s="1964">
        <f t="shared" si="0"/>
        <v>-29261</v>
      </c>
      <c r="E10" s="1963">
        <f>B10/C10-1</f>
        <v>-0.56928015564202328</v>
      </c>
    </row>
    <row r="11" spans="1:10" x14ac:dyDescent="0.25">
      <c r="A11" s="12" t="s">
        <v>2958</v>
      </c>
    </row>
    <row r="13" spans="1:10" ht="15.6" x14ac:dyDescent="0.3">
      <c r="G13" s="152" t="s">
        <v>2641</v>
      </c>
      <c r="H13" s="211"/>
    </row>
    <row r="14" spans="1:10" ht="15.6" x14ac:dyDescent="0.3">
      <c r="G14" s="152" t="s">
        <v>2640</v>
      </c>
      <c r="H14" s="211"/>
    </row>
    <row r="15" spans="1:10" ht="8.25" customHeight="1" thickBot="1" x14ac:dyDescent="0.35">
      <c r="G15" s="211"/>
      <c r="H15" s="211"/>
    </row>
    <row r="16" spans="1:10" ht="15.6" x14ac:dyDescent="0.3">
      <c r="G16" s="212" t="s">
        <v>1204</v>
      </c>
      <c r="H16" s="389"/>
      <c r="J16" s="1969"/>
    </row>
    <row r="17" spans="7:8" ht="15.6" x14ac:dyDescent="0.3">
      <c r="G17" s="214" t="s">
        <v>2639</v>
      </c>
      <c r="H17" s="1962">
        <v>17249</v>
      </c>
    </row>
    <row r="18" spans="7:8" ht="15.6" x14ac:dyDescent="0.3">
      <c r="G18" s="214" t="s">
        <v>8</v>
      </c>
      <c r="H18" s="260">
        <v>-17809</v>
      </c>
    </row>
    <row r="19" spans="7:8" ht="15.6" x14ac:dyDescent="0.3">
      <c r="G19" s="214" t="s">
        <v>2638</v>
      </c>
      <c r="H19" s="260">
        <v>-5900</v>
      </c>
    </row>
    <row r="20" spans="7:8" ht="15.6" x14ac:dyDescent="0.3">
      <c r="G20" s="214" t="s">
        <v>2637</v>
      </c>
      <c r="H20" s="260">
        <f>-SUM(H17:H19)+H21</f>
        <v>14031</v>
      </c>
    </row>
    <row r="21" spans="7:8" ht="16.2" thickBot="1" x14ac:dyDescent="0.35">
      <c r="G21" s="224" t="s">
        <v>2636</v>
      </c>
      <c r="H21" s="1961">
        <v>7571</v>
      </c>
    </row>
    <row r="22" spans="7:8" x14ac:dyDescent="0.25">
      <c r="G22" s="2805" t="s">
        <v>2960</v>
      </c>
      <c r="H22" s="2805"/>
    </row>
    <row r="23" spans="7:8" x14ac:dyDescent="0.25">
      <c r="G23" s="2805"/>
      <c r="H23" s="2805"/>
    </row>
  </sheetData>
  <mergeCells count="1">
    <mergeCell ref="G22:H23"/>
  </mergeCells>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45695-9B19-4B98-B3BE-AE636C51C2D8}">
  <sheetPr codeName="Sheet78">
    <tabColor theme="4"/>
  </sheetPr>
  <dimension ref="A1:K35"/>
  <sheetViews>
    <sheetView showGridLines="0" zoomScale="130" zoomScaleNormal="130" workbookViewId="0">
      <selection activeCell="A26" sqref="A26"/>
    </sheetView>
  </sheetViews>
  <sheetFormatPr defaultColWidth="9.109375" defaultRowHeight="15.6" outlineLevelRow="1" x14ac:dyDescent="0.3"/>
  <cols>
    <col min="1" max="1" width="30.109375" style="211" customWidth="1"/>
    <col min="2" max="2" width="14.44140625" style="211" bestFit="1" customWidth="1"/>
    <col min="3" max="3" width="15.5546875" style="211" bestFit="1" customWidth="1"/>
    <col min="4" max="5" width="9.109375" style="211"/>
    <col min="6" max="6" width="30.44140625" style="211" customWidth="1"/>
    <col min="7" max="10" width="8.88671875" style="211" customWidth="1"/>
    <col min="11" max="16384" width="9.109375" style="211"/>
  </cols>
  <sheetData>
    <row r="1" spans="1:3" x14ac:dyDescent="0.3">
      <c r="A1" s="459" t="s">
        <v>1863</v>
      </c>
    </row>
    <row r="2" spans="1:3" x14ac:dyDescent="0.3">
      <c r="A2" s="152" t="s">
        <v>1878</v>
      </c>
    </row>
    <row r="3" spans="1:3" ht="6" customHeight="1" thickBot="1" x14ac:dyDescent="0.35"/>
    <row r="4" spans="1:3" x14ac:dyDescent="0.3">
      <c r="A4" s="212" t="s">
        <v>1250</v>
      </c>
      <c r="B4" s="502">
        <v>2007</v>
      </c>
      <c r="C4" s="211">
        <v>2007</v>
      </c>
    </row>
    <row r="5" spans="1:3" x14ac:dyDescent="0.3">
      <c r="A5" s="214" t="s">
        <v>975</v>
      </c>
      <c r="B5" s="1347">
        <v>6904000</v>
      </c>
      <c r="C5" s="1347">
        <v>6934000</v>
      </c>
    </row>
    <row r="6" spans="1:3" s="320" customFormat="1" hidden="1" outlineLevel="1" x14ac:dyDescent="0.3">
      <c r="A6" s="221" t="s">
        <v>1156</v>
      </c>
      <c r="B6" s="1590">
        <v>4785000</v>
      </c>
      <c r="C6" s="1588"/>
    </row>
    <row r="7" spans="1:3" s="320" customFormat="1" hidden="1" outlineLevel="1" x14ac:dyDescent="0.3">
      <c r="A7" s="221" t="s">
        <v>1157</v>
      </c>
      <c r="B7" s="1590">
        <v>1568000</v>
      </c>
      <c r="C7" s="1588"/>
    </row>
    <row r="8" spans="1:3" s="320" customFormat="1" hidden="1" outlineLevel="1" x14ac:dyDescent="0.3">
      <c r="A8" s="221" t="s">
        <v>1158</v>
      </c>
      <c r="B8" s="1590">
        <v>1071000</v>
      </c>
      <c r="C8" s="1588"/>
    </row>
    <row r="9" spans="1:3" s="320" customFormat="1" hidden="1" outlineLevel="1" x14ac:dyDescent="0.3">
      <c r="A9" s="221" t="s">
        <v>1159</v>
      </c>
      <c r="B9" s="1590">
        <v>-1875000</v>
      </c>
      <c r="C9" s="1588"/>
    </row>
    <row r="10" spans="1:3" hidden="1" outlineLevel="1" x14ac:dyDescent="0.3">
      <c r="A10" s="214" t="s">
        <v>1155</v>
      </c>
      <c r="B10" s="1589">
        <f>SUM(B6:B9)</f>
        <v>5549000</v>
      </c>
      <c r="C10" s="252"/>
    </row>
    <row r="11" spans="1:3" collapsed="1" x14ac:dyDescent="0.3">
      <c r="A11" s="214" t="s">
        <v>1879</v>
      </c>
      <c r="B11" s="2500">
        <f>B5/B10</f>
        <v>1.2441881420075689</v>
      </c>
    </row>
    <row r="12" spans="1:3" hidden="1" outlineLevel="1" x14ac:dyDescent="0.3">
      <c r="A12" s="214" t="s">
        <v>1154</v>
      </c>
      <c r="B12" s="1352">
        <v>951000</v>
      </c>
      <c r="C12" s="1352">
        <v>946000</v>
      </c>
    </row>
    <row r="13" spans="1:3" collapsed="1" x14ac:dyDescent="0.3">
      <c r="A13" s="214" t="s">
        <v>1993</v>
      </c>
      <c r="B13" s="918">
        <f>B12/B5</f>
        <v>0.13774623406720743</v>
      </c>
      <c r="C13" s="227">
        <f>C12/C5</f>
        <v>0.13642918950100952</v>
      </c>
    </row>
    <row r="14" spans="1:3" x14ac:dyDescent="0.3">
      <c r="A14" s="214" t="s">
        <v>1153</v>
      </c>
      <c r="B14" s="918">
        <f>B13*B11</f>
        <v>0.17138223103261849</v>
      </c>
    </row>
    <row r="15" spans="1:3" ht="4.5" customHeight="1" x14ac:dyDescent="0.3">
      <c r="A15" s="214"/>
      <c r="B15" s="347"/>
    </row>
    <row r="16" spans="1:3" ht="4.5" customHeight="1" x14ac:dyDescent="0.3">
      <c r="A16" s="1155"/>
      <c r="B16" s="1518"/>
    </row>
    <row r="17" spans="1:10" ht="4.5" customHeight="1" x14ac:dyDescent="0.3">
      <c r="A17" s="214"/>
      <c r="B17" s="223"/>
    </row>
    <row r="18" spans="1:10" x14ac:dyDescent="0.3">
      <c r="A18" s="214" t="s">
        <v>1880</v>
      </c>
      <c r="B18" s="2746">
        <f>SUM(B6:B8)/B10</f>
        <v>1.3378987204901784</v>
      </c>
    </row>
    <row r="19" spans="1:10" ht="16.2" thickBot="1" x14ac:dyDescent="0.35">
      <c r="A19" s="224" t="s">
        <v>1160</v>
      </c>
      <c r="B19" s="366">
        <f>B14/B18</f>
        <v>0.12809806034482757</v>
      </c>
    </row>
    <row r="20" spans="1:10" x14ac:dyDescent="0.3">
      <c r="A20" s="2811" t="s">
        <v>3765</v>
      </c>
      <c r="B20" s="2811"/>
      <c r="C20" s="220"/>
    </row>
    <row r="21" spans="1:10" x14ac:dyDescent="0.3">
      <c r="A21" s="2812"/>
      <c r="B21" s="2812"/>
    </row>
    <row r="22" spans="1:10" x14ac:dyDescent="0.3">
      <c r="F22" s="459" t="s">
        <v>1863</v>
      </c>
    </row>
    <row r="23" spans="1:10" x14ac:dyDescent="0.3">
      <c r="F23" s="152" t="s">
        <v>1876</v>
      </c>
    </row>
    <row r="24" spans="1:10" ht="6.6" customHeight="1" thickBot="1" x14ac:dyDescent="0.35"/>
    <row r="25" spans="1:10" x14ac:dyDescent="0.3">
      <c r="F25" s="212" t="s">
        <v>1250</v>
      </c>
      <c r="G25" s="501">
        <v>2008</v>
      </c>
      <c r="H25" s="501">
        <v>2007</v>
      </c>
      <c r="I25" s="501">
        <v>2006</v>
      </c>
      <c r="J25" s="502">
        <v>2005</v>
      </c>
    </row>
    <row r="26" spans="1:10" x14ac:dyDescent="0.3">
      <c r="D26" s="211" t="s">
        <v>176</v>
      </c>
      <c r="F26" s="214" t="s">
        <v>975</v>
      </c>
      <c r="G26" s="1160">
        <v>6960</v>
      </c>
      <c r="H26" s="1160">
        <v>6904</v>
      </c>
      <c r="I26" s="1160">
        <v>6933</v>
      </c>
      <c r="J26" s="1161">
        <v>5605</v>
      </c>
    </row>
    <row r="27" spans="1:10" ht="18.600000000000001" x14ac:dyDescent="0.3">
      <c r="F27" s="214" t="s">
        <v>1877</v>
      </c>
      <c r="G27" s="2498">
        <v>977</v>
      </c>
      <c r="H27" s="2498">
        <v>951</v>
      </c>
      <c r="I27" s="2498">
        <v>884</v>
      </c>
      <c r="J27" s="2499">
        <v>556</v>
      </c>
    </row>
    <row r="28" spans="1:10" x14ac:dyDescent="0.3">
      <c r="F28" s="214" t="s">
        <v>1184</v>
      </c>
      <c r="G28" s="910">
        <v>0.14099999999999999</v>
      </c>
      <c r="H28" s="910">
        <v>0.13800000000000001</v>
      </c>
      <c r="I28" s="910">
        <v>0.128</v>
      </c>
      <c r="J28" s="912">
        <v>9.9000000000000005E-2</v>
      </c>
    </row>
    <row r="29" spans="1:10" x14ac:dyDescent="0.3">
      <c r="F29" s="214" t="s">
        <v>282</v>
      </c>
      <c r="G29" s="1321">
        <v>7390</v>
      </c>
      <c r="H29" s="1321">
        <v>8079</v>
      </c>
      <c r="I29" s="1321">
        <v>7708</v>
      </c>
      <c r="J29" s="1318">
        <v>7758</v>
      </c>
    </row>
    <row r="30" spans="1:10" x14ac:dyDescent="0.3">
      <c r="F30" s="214" t="s">
        <v>1185</v>
      </c>
      <c r="G30" s="1321">
        <v>4311</v>
      </c>
      <c r="H30" s="1321">
        <v>5037</v>
      </c>
      <c r="I30" s="1321">
        <v>4486</v>
      </c>
      <c r="J30" s="1318">
        <v>4495</v>
      </c>
    </row>
    <row r="31" spans="1:10" ht="9" customHeight="1" x14ac:dyDescent="0.3">
      <c r="F31" s="214"/>
      <c r="G31" s="392"/>
      <c r="H31" s="392"/>
      <c r="I31" s="392"/>
      <c r="J31" s="253"/>
    </row>
    <row r="32" spans="1:10" x14ac:dyDescent="0.3">
      <c r="F32" s="6" t="s">
        <v>1405</v>
      </c>
      <c r="G32" s="392"/>
      <c r="H32" s="392"/>
      <c r="I32" s="392"/>
      <c r="J32" s="253"/>
    </row>
    <row r="33" spans="6:11" ht="16.2" thickBot="1" x14ac:dyDescent="0.35">
      <c r="F33" s="9" t="s">
        <v>1186</v>
      </c>
      <c r="G33" s="218"/>
      <c r="H33" s="218"/>
      <c r="I33" s="218"/>
      <c r="J33" s="219"/>
    </row>
    <row r="34" spans="6:11" x14ac:dyDescent="0.3">
      <c r="F34" s="2811" t="s">
        <v>3178</v>
      </c>
      <c r="G34" s="2811"/>
      <c r="H34" s="2811"/>
      <c r="I34" s="2811"/>
      <c r="J34" s="2811"/>
      <c r="K34" s="220"/>
    </row>
    <row r="35" spans="6:11" x14ac:dyDescent="0.3">
      <c r="F35" s="2812"/>
      <c r="G35" s="2812"/>
      <c r="H35" s="2812"/>
      <c r="I35" s="2812"/>
      <c r="J35" s="2812"/>
    </row>
  </sheetData>
  <mergeCells count="2">
    <mergeCell ref="A20:B21"/>
    <mergeCell ref="F34:J35"/>
  </mergeCells>
  <pageMargins left="0.7" right="0.7" top="0.75" bottom="0.75" header="0.3" footer="0.3"/>
  <pageSetup orientation="portrait" r:id="rId1"/>
  <ignoredErrors>
    <ignoredError sqref="B18" formulaRange="1"/>
  </ignoredError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32A87-B5B4-4C36-ABE4-6D2DF2D4A5CE}">
  <sheetPr>
    <tabColor theme="4"/>
  </sheetPr>
  <dimension ref="A1:O42"/>
  <sheetViews>
    <sheetView showGridLines="0" topLeftCell="A17" workbookViewId="0">
      <selection activeCell="H41" sqref="H41"/>
    </sheetView>
  </sheetViews>
  <sheetFormatPr defaultColWidth="9.109375" defaultRowHeight="15.6" x14ac:dyDescent="0.3"/>
  <cols>
    <col min="1" max="11" width="9.109375" style="211"/>
    <col min="12" max="12" width="30.33203125" style="211" customWidth="1"/>
    <col min="13" max="16384" width="9.109375" style="211"/>
  </cols>
  <sheetData>
    <row r="1" spans="1:2" x14ac:dyDescent="0.3">
      <c r="A1" s="211" t="s">
        <v>3186</v>
      </c>
    </row>
    <row r="3" spans="1:2" x14ac:dyDescent="0.3">
      <c r="A3" s="211">
        <v>2009</v>
      </c>
    </row>
    <row r="5" spans="1:2" x14ac:dyDescent="0.3">
      <c r="A5" s="211" t="s">
        <v>3185</v>
      </c>
      <c r="B5" s="226">
        <v>0.19</v>
      </c>
    </row>
    <row r="6" spans="1:2" x14ac:dyDescent="0.3">
      <c r="A6" s="211" t="s">
        <v>2572</v>
      </c>
      <c r="B6" s="226">
        <v>0.15</v>
      </c>
    </row>
    <row r="7" spans="1:2" x14ac:dyDescent="0.3">
      <c r="A7" s="211" t="s">
        <v>1019</v>
      </c>
      <c r="B7" s="226">
        <v>0.1</v>
      </c>
    </row>
    <row r="8" spans="1:2" x14ac:dyDescent="0.3">
      <c r="A8" s="211" t="s">
        <v>2056</v>
      </c>
      <c r="B8" s="227">
        <v>8.5000000000000006E-2</v>
      </c>
    </row>
    <row r="9" spans="1:2" x14ac:dyDescent="0.3">
      <c r="A9" s="211" t="s">
        <v>2469</v>
      </c>
      <c r="B9" s="227">
        <f>1-SUM(B5:B8)</f>
        <v>0.47500000000000009</v>
      </c>
    </row>
    <row r="19" spans="12:15" x14ac:dyDescent="0.3">
      <c r="O19" s="211" t="s">
        <v>176</v>
      </c>
    </row>
    <row r="22" spans="12:15" x14ac:dyDescent="0.3">
      <c r="L22" s="211" t="s">
        <v>176</v>
      </c>
    </row>
    <row r="30" spans="12:15" x14ac:dyDescent="0.3">
      <c r="L30" s="459" t="s">
        <v>1863</v>
      </c>
    </row>
    <row r="31" spans="12:15" x14ac:dyDescent="0.3">
      <c r="L31" s="152" t="s">
        <v>3184</v>
      </c>
    </row>
    <row r="32" spans="12:15" ht="9" customHeight="1" thickBot="1" x14ac:dyDescent="0.35"/>
    <row r="33" spans="12:13" x14ac:dyDescent="0.3">
      <c r="L33" s="212" t="s">
        <v>1250</v>
      </c>
      <c r="M33" s="389"/>
    </row>
    <row r="34" spans="12:13" x14ac:dyDescent="0.3">
      <c r="L34" s="214" t="s">
        <v>3183</v>
      </c>
      <c r="M34" s="1325">
        <v>3700</v>
      </c>
    </row>
    <row r="35" spans="12:13" x14ac:dyDescent="0.3">
      <c r="L35" s="214" t="s">
        <v>3182</v>
      </c>
      <c r="M35" s="927">
        <v>-1200</v>
      </c>
    </row>
    <row r="36" spans="12:13" x14ac:dyDescent="0.3">
      <c r="L36" s="214" t="s">
        <v>3181</v>
      </c>
      <c r="M36" s="1635">
        <f>M34+M35</f>
        <v>2500</v>
      </c>
    </row>
    <row r="37" spans="12:13" ht="4.5" customHeight="1" x14ac:dyDescent="0.3">
      <c r="L37" s="214"/>
      <c r="M37" s="223"/>
    </row>
    <row r="38" spans="12:13" ht="4.5" customHeight="1" x14ac:dyDescent="0.3">
      <c r="L38" s="1155"/>
      <c r="M38" s="1279"/>
    </row>
    <row r="39" spans="12:13" ht="4.5" customHeight="1" x14ac:dyDescent="0.3">
      <c r="L39" s="214"/>
      <c r="M39" s="223"/>
    </row>
    <row r="40" spans="12:13" x14ac:dyDescent="0.3">
      <c r="L40" s="214" t="s">
        <v>2127</v>
      </c>
      <c r="M40" s="1325">
        <v>340</v>
      </c>
    </row>
    <row r="41" spans="12:13" ht="16.2" thickBot="1" x14ac:dyDescent="0.35">
      <c r="L41" s="224" t="s">
        <v>3180</v>
      </c>
      <c r="M41" s="2512">
        <f>M36/M40</f>
        <v>7.3529411764705879</v>
      </c>
    </row>
    <row r="42" spans="12:13" ht="35.25" customHeight="1" x14ac:dyDescent="0.3">
      <c r="L42" s="2805" t="s">
        <v>3179</v>
      </c>
      <c r="M42" s="2805"/>
    </row>
  </sheetData>
  <mergeCells count="1">
    <mergeCell ref="L42:M42"/>
  </mergeCell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7F6D-9EF8-4BA0-B1CA-69A2E18F86AE}">
  <sheetPr>
    <tabColor theme="4"/>
  </sheetPr>
  <dimension ref="A1:AA91"/>
  <sheetViews>
    <sheetView showGridLines="0" zoomScale="115" zoomScaleNormal="115" workbookViewId="0">
      <selection activeCell="I26" sqref="I26"/>
    </sheetView>
  </sheetViews>
  <sheetFormatPr defaultColWidth="9.109375" defaultRowHeight="15.6" outlineLevelRow="1" x14ac:dyDescent="0.3"/>
  <cols>
    <col min="1" max="1" width="32.5546875" style="211" customWidth="1"/>
    <col min="2" max="2" width="11.44140625" style="211" bestFit="1" customWidth="1"/>
    <col min="3" max="6" width="9.109375" style="211" bestFit="1" customWidth="1"/>
    <col min="7" max="7" width="7.88671875" style="211" customWidth="1"/>
    <col min="8" max="11" width="9.109375" style="211"/>
    <col min="12" max="12" width="23.33203125" style="211" bestFit="1" customWidth="1"/>
    <col min="13" max="15" width="9.109375" style="211"/>
    <col min="16" max="16" width="10.109375" style="211" bestFit="1" customWidth="1"/>
    <col min="17" max="17" width="3" style="211" customWidth="1"/>
    <col min="18" max="19" width="9.109375" style="211"/>
    <col min="20" max="20" width="25.44140625" style="211" customWidth="1"/>
    <col min="21" max="26" width="9.109375" style="211"/>
    <col min="27" max="27" width="8.88671875" style="211" bestFit="1" customWidth="1"/>
    <col min="28" max="16384" width="9.109375" style="211"/>
  </cols>
  <sheetData>
    <row r="1" spans="1:17" s="309" customFormat="1" x14ac:dyDescent="0.3">
      <c r="A1" s="309" t="s">
        <v>556</v>
      </c>
    </row>
    <row r="2" spans="1:17" x14ac:dyDescent="0.3">
      <c r="A2" s="459" t="s">
        <v>1863</v>
      </c>
      <c r="Q2" s="372"/>
    </row>
    <row r="3" spans="1:17" x14ac:dyDescent="0.3">
      <c r="A3" s="152" t="s">
        <v>1957</v>
      </c>
      <c r="Q3" s="372"/>
    </row>
    <row r="4" spans="1:17" ht="8.25" customHeight="1" thickBot="1" x14ac:dyDescent="0.35">
      <c r="Q4" s="372"/>
    </row>
    <row r="5" spans="1:17" x14ac:dyDescent="0.3">
      <c r="A5" s="212" t="s">
        <v>1250</v>
      </c>
      <c r="B5" s="712">
        <v>2009</v>
      </c>
      <c r="C5" s="712">
        <v>2008</v>
      </c>
      <c r="D5" s="712">
        <v>2007</v>
      </c>
      <c r="E5" s="712">
        <v>2006</v>
      </c>
      <c r="F5" s="713">
        <v>2005</v>
      </c>
      <c r="Q5" s="372"/>
    </row>
    <row r="6" spans="1:17" x14ac:dyDescent="0.3">
      <c r="A6" s="214" t="s">
        <v>289</v>
      </c>
      <c r="B6" s="1339">
        <v>14016</v>
      </c>
      <c r="C6" s="1339">
        <v>18018</v>
      </c>
      <c r="D6" s="1339">
        <v>15802</v>
      </c>
      <c r="E6" s="1339">
        <v>14985</v>
      </c>
      <c r="F6" s="1340">
        <v>12987</v>
      </c>
      <c r="G6" s="1339"/>
      <c r="Q6" s="372"/>
    </row>
    <row r="7" spans="1:17" x14ac:dyDescent="0.3">
      <c r="A7" s="214" t="s">
        <v>1703</v>
      </c>
      <c r="B7" s="1341">
        <f>B6/B34</f>
        <v>0.63972249480818821</v>
      </c>
      <c r="C7" s="1341">
        <f>C6/C34</f>
        <v>0.90144086451871119</v>
      </c>
      <c r="D7" s="1341">
        <f>D6/D34</f>
        <v>0.84950138429696531</v>
      </c>
      <c r="E7" s="1341">
        <f>E6/E34</f>
        <v>0.86356432790664173</v>
      </c>
      <c r="F7" s="1342">
        <f>F6/F34</f>
        <v>0.79319611555609848</v>
      </c>
      <c r="G7" s="1341"/>
      <c r="Q7" s="372"/>
    </row>
    <row r="8" spans="1:17" hidden="1" outlineLevel="1" x14ac:dyDescent="0.3">
      <c r="A8" s="214" t="s">
        <v>979</v>
      </c>
      <c r="B8" s="1380">
        <v>3262</v>
      </c>
      <c r="C8" s="1380">
        <v>3912</v>
      </c>
      <c r="D8" s="1380">
        <v>3486</v>
      </c>
      <c r="E8" s="1380">
        <v>3521</v>
      </c>
      <c r="F8" s="1381">
        <v>2927</v>
      </c>
      <c r="G8" s="1380"/>
      <c r="Q8" s="372"/>
    </row>
    <row r="9" spans="1:17" collapsed="1" x14ac:dyDescent="0.3">
      <c r="A9" s="214" t="s">
        <v>1993</v>
      </c>
      <c r="B9" s="917">
        <f t="shared" ref="B9:F9" si="0">B8/B6</f>
        <v>0.23273401826484019</v>
      </c>
      <c r="C9" s="917">
        <f>C8/C6</f>
        <v>0.21711621711621712</v>
      </c>
      <c r="D9" s="917">
        <f t="shared" si="0"/>
        <v>0.22060498671054296</v>
      </c>
      <c r="E9" s="917">
        <f t="shared" si="0"/>
        <v>0.23496830163496829</v>
      </c>
      <c r="F9" s="918">
        <f t="shared" si="0"/>
        <v>0.22537922537922539</v>
      </c>
      <c r="G9" s="464"/>
      <c r="Q9" s="372"/>
    </row>
    <row r="10" spans="1:17" x14ac:dyDescent="0.3">
      <c r="A10" s="214" t="s">
        <v>1563</v>
      </c>
      <c r="B10" s="917">
        <f>B9*B7</f>
        <v>0.14888518679111801</v>
      </c>
      <c r="C10" s="917">
        <f t="shared" ref="C10:F10" si="1">C9*C7</f>
        <v>0.19571743045827497</v>
      </c>
      <c r="D10" s="917">
        <f t="shared" si="1"/>
        <v>0.18740424159341987</v>
      </c>
      <c r="E10" s="917">
        <f t="shared" si="1"/>
        <v>0.20291024348076644</v>
      </c>
      <c r="F10" s="918">
        <f t="shared" si="1"/>
        <v>0.17876992609784403</v>
      </c>
      <c r="G10" s="827"/>
      <c r="Q10" s="372"/>
    </row>
    <row r="11" spans="1:17" ht="4.5" customHeight="1" x14ac:dyDescent="0.3">
      <c r="A11" s="214"/>
      <c r="B11" s="220"/>
      <c r="C11" s="220"/>
      <c r="D11" s="220"/>
      <c r="E11" s="220"/>
      <c r="F11" s="223"/>
      <c r="G11" s="397"/>
      <c r="Q11" s="372"/>
    </row>
    <row r="12" spans="1:17" ht="4.5" customHeight="1" x14ac:dyDescent="0.3">
      <c r="A12" s="1155"/>
      <c r="B12" s="684"/>
      <c r="C12" s="684"/>
      <c r="D12" s="684"/>
      <c r="E12" s="684"/>
      <c r="F12" s="1279"/>
      <c r="G12" s="397"/>
      <c r="Q12" s="372"/>
    </row>
    <row r="13" spans="1:17" ht="4.5" customHeight="1" x14ac:dyDescent="0.3">
      <c r="A13" s="214"/>
      <c r="B13" s="220"/>
      <c r="C13" s="220"/>
      <c r="D13" s="220"/>
      <c r="E13" s="220"/>
      <c r="F13" s="223"/>
      <c r="G13" s="397"/>
      <c r="Q13" s="372"/>
    </row>
    <row r="14" spans="1:17" ht="18.600000000000001" x14ac:dyDescent="0.3">
      <c r="A14" s="214" t="s">
        <v>1958</v>
      </c>
      <c r="B14" s="1339">
        <f>26500/0.775</f>
        <v>34193.548387096773</v>
      </c>
      <c r="C14" s="220"/>
      <c r="D14" s="220"/>
      <c r="E14" s="220"/>
      <c r="F14" s="223"/>
      <c r="G14" s="397"/>
      <c r="J14" s="211" t="s">
        <v>269</v>
      </c>
      <c r="P14" s="1329">
        <f>B10*B34</f>
        <v>3262</v>
      </c>
      <c r="Q14" s="372"/>
    </row>
    <row r="15" spans="1:17" x14ac:dyDescent="0.3">
      <c r="A15" s="214" t="s">
        <v>1731</v>
      </c>
      <c r="B15" s="1344">
        <f>B32</f>
        <v>10335</v>
      </c>
      <c r="C15" s="220"/>
      <c r="D15" s="220"/>
      <c r="E15" s="220"/>
      <c r="F15" s="223"/>
      <c r="G15" s="397"/>
      <c r="J15" s="211" t="s">
        <v>1970</v>
      </c>
      <c r="N15" s="1619">
        <v>6.0999999999999999E-2</v>
      </c>
      <c r="P15" s="211">
        <f>N15*-B15</f>
        <v>-630.43499999999995</v>
      </c>
      <c r="Q15" s="372"/>
    </row>
    <row r="16" spans="1:17" x14ac:dyDescent="0.3">
      <c r="A16" s="214" t="s">
        <v>1708</v>
      </c>
      <c r="B16" s="1345">
        <f>B14+B15</f>
        <v>44528.548387096773</v>
      </c>
      <c r="C16" s="220"/>
      <c r="D16" s="220"/>
      <c r="E16" s="220"/>
      <c r="F16" s="223"/>
      <c r="G16" s="397"/>
      <c r="P16" s="1329">
        <f>P14+P15</f>
        <v>2631.5650000000001</v>
      </c>
      <c r="Q16" s="372"/>
    </row>
    <row r="17" spans="1:17" ht="4.5" customHeight="1" x14ac:dyDescent="0.3">
      <c r="A17" s="214"/>
      <c r="B17" s="220"/>
      <c r="C17" s="220"/>
      <c r="D17" s="220"/>
      <c r="E17" s="220"/>
      <c r="F17" s="223"/>
      <c r="G17" s="397"/>
      <c r="Q17" s="372"/>
    </row>
    <row r="18" spans="1:17" ht="4.5" customHeight="1" x14ac:dyDescent="0.3">
      <c r="A18" s="1155"/>
      <c r="B18" s="684"/>
      <c r="C18" s="684"/>
      <c r="D18" s="684"/>
      <c r="E18" s="684"/>
      <c r="F18" s="1279"/>
      <c r="G18" s="397"/>
      <c r="Q18" s="372"/>
    </row>
    <row r="19" spans="1:17" ht="4.5" customHeight="1" x14ac:dyDescent="0.3">
      <c r="A19" s="214"/>
      <c r="B19" s="220"/>
      <c r="C19" s="220"/>
      <c r="D19" s="220"/>
      <c r="E19" s="220"/>
      <c r="F19" s="223"/>
      <c r="G19" s="397"/>
      <c r="Q19" s="372"/>
    </row>
    <row r="20" spans="1:17" x14ac:dyDescent="0.3">
      <c r="A20" s="214" t="s">
        <v>1705</v>
      </c>
      <c r="B20" s="2694">
        <f>B16/B34</f>
        <v>2.0323854212600367</v>
      </c>
      <c r="C20" s="220"/>
      <c r="D20" s="220"/>
      <c r="E20" s="220"/>
      <c r="F20" s="223"/>
      <c r="G20" s="397"/>
      <c r="J20" s="211" t="s">
        <v>176</v>
      </c>
      <c r="L20" s="1621"/>
      <c r="O20" s="211" t="s">
        <v>1971</v>
      </c>
      <c r="P20" s="1620">
        <v>0.27</v>
      </c>
      <c r="Q20" s="372"/>
    </row>
    <row r="21" spans="1:17" x14ac:dyDescent="0.3">
      <c r="A21" s="214" t="s">
        <v>1973</v>
      </c>
      <c r="B21" s="464">
        <f>B10/B20</f>
        <v>7.3256374127507906E-2</v>
      </c>
      <c r="C21" s="220"/>
      <c r="D21" s="220"/>
      <c r="E21" s="220"/>
      <c r="F21" s="223"/>
      <c r="G21" s="220"/>
      <c r="P21" s="1329">
        <f>P16*(1-P20)</f>
        <v>1921.0424499999999</v>
      </c>
      <c r="Q21" s="372"/>
    </row>
    <row r="22" spans="1:17" x14ac:dyDescent="0.3">
      <c r="A22" s="214" t="s">
        <v>1972</v>
      </c>
      <c r="B22" s="464">
        <f>(AVERAGE(B10:F10)/B20)</f>
        <v>8.991277135366936E-2</v>
      </c>
      <c r="C22" s="220"/>
      <c r="D22" s="220"/>
      <c r="E22" s="220"/>
      <c r="F22" s="223"/>
      <c r="G22" s="220"/>
      <c r="P22" s="1329"/>
      <c r="Q22" s="372"/>
    </row>
    <row r="23" spans="1:17" ht="4.5" customHeight="1" x14ac:dyDescent="0.3">
      <c r="A23" s="214"/>
      <c r="B23" s="220"/>
      <c r="C23" s="220"/>
      <c r="D23" s="220"/>
      <c r="E23" s="220"/>
      <c r="F23" s="223"/>
      <c r="G23" s="397"/>
      <c r="Q23" s="372"/>
    </row>
    <row r="24" spans="1:17" ht="4.5" customHeight="1" x14ac:dyDescent="0.3">
      <c r="A24" s="1155"/>
      <c r="B24" s="684"/>
      <c r="C24" s="684"/>
      <c r="D24" s="684"/>
      <c r="E24" s="684"/>
      <c r="F24" s="1279"/>
      <c r="G24" s="397"/>
      <c r="Q24" s="372"/>
    </row>
    <row r="25" spans="1:17" ht="4.5" customHeight="1" x14ac:dyDescent="0.3">
      <c r="A25" s="214"/>
      <c r="B25" s="220"/>
      <c r="C25" s="220"/>
      <c r="D25" s="220"/>
      <c r="E25" s="220"/>
      <c r="F25" s="223"/>
      <c r="G25" s="397"/>
      <c r="Q25" s="372"/>
    </row>
    <row r="26" spans="1:17" x14ac:dyDescent="0.3">
      <c r="A26" s="214" t="s">
        <v>1405</v>
      </c>
      <c r="B26" s="220"/>
      <c r="C26" s="220"/>
      <c r="D26" s="220"/>
      <c r="E26" s="220"/>
      <c r="F26" s="223"/>
      <c r="G26" s="397"/>
      <c r="Q26" s="372"/>
    </row>
    <row r="27" spans="1:17" ht="61.5" customHeight="1" thickBot="1" x14ac:dyDescent="0.35">
      <c r="A27" s="2802" t="s">
        <v>2493</v>
      </c>
      <c r="B27" s="2803"/>
      <c r="C27" s="2803"/>
      <c r="D27" s="2803"/>
      <c r="E27" s="2803"/>
      <c r="F27" s="2804"/>
      <c r="G27" s="220"/>
      <c r="J27" s="152" t="s">
        <v>1974</v>
      </c>
      <c r="Q27" s="372"/>
    </row>
    <row r="28" spans="1:17" ht="30.75" customHeight="1" x14ac:dyDescent="0.3">
      <c r="A28" s="2936" t="s">
        <v>2228</v>
      </c>
      <c r="B28" s="2936"/>
      <c r="C28" s="2936"/>
      <c r="D28" s="2936"/>
      <c r="E28" s="2936"/>
      <c r="F28" s="2936"/>
      <c r="G28" s="397"/>
      <c r="I28" s="211" t="s">
        <v>176</v>
      </c>
      <c r="Q28" s="372"/>
    </row>
    <row r="29" spans="1:17" x14ac:dyDescent="0.3">
      <c r="Q29" s="372"/>
    </row>
    <row r="30" spans="1:17" x14ac:dyDescent="0.3">
      <c r="B30" s="1332">
        <f>B5</f>
        <v>2009</v>
      </c>
      <c r="C30" s="1332">
        <f t="shared" ref="C30:G30" si="2">C5</f>
        <v>2008</v>
      </c>
      <c r="D30" s="1332">
        <f t="shared" si="2"/>
        <v>2007</v>
      </c>
      <c r="E30" s="1332">
        <f t="shared" si="2"/>
        <v>2006</v>
      </c>
      <c r="F30" s="1332">
        <f t="shared" si="2"/>
        <v>2005</v>
      </c>
      <c r="G30" s="1332">
        <f t="shared" si="2"/>
        <v>0</v>
      </c>
      <c r="Q30" s="372"/>
    </row>
    <row r="31" spans="1:17" x14ac:dyDescent="0.3">
      <c r="A31" s="211" t="s">
        <v>1766</v>
      </c>
      <c r="B31" s="1622">
        <v>12798</v>
      </c>
      <c r="C31" s="1622">
        <v>11131</v>
      </c>
      <c r="D31" s="1622">
        <v>11144</v>
      </c>
      <c r="E31" s="1622">
        <v>10528</v>
      </c>
      <c r="F31" s="1622">
        <v>9638</v>
      </c>
      <c r="G31" s="1622">
        <v>9438</v>
      </c>
      <c r="Q31" s="372"/>
    </row>
    <row r="32" spans="1:17" x14ac:dyDescent="0.3">
      <c r="A32" s="211" t="s">
        <v>23</v>
      </c>
      <c r="B32" s="1622">
        <f>9691+644</f>
        <v>10335</v>
      </c>
      <c r="C32" s="1622">
        <v>9555</v>
      </c>
      <c r="D32" s="1622">
        <v>8146</v>
      </c>
      <c r="E32" s="1622">
        <v>7385</v>
      </c>
      <c r="F32" s="1622">
        <v>7154</v>
      </c>
      <c r="G32" s="1622">
        <v>6516</v>
      </c>
      <c r="Q32" s="372"/>
    </row>
    <row r="33" spans="1:17" x14ac:dyDescent="0.3">
      <c r="A33" s="211" t="s">
        <v>257</v>
      </c>
      <c r="B33" s="1622">
        <f>B31+B32</f>
        <v>23133</v>
      </c>
      <c r="C33" s="1622">
        <f t="shared" ref="C33:G33" si="3">C31+C32</f>
        <v>20686</v>
      </c>
      <c r="D33" s="1622">
        <f t="shared" si="3"/>
        <v>19290</v>
      </c>
      <c r="E33" s="1622">
        <f t="shared" si="3"/>
        <v>17913</v>
      </c>
      <c r="F33" s="1622">
        <f t="shared" si="3"/>
        <v>16792</v>
      </c>
      <c r="G33" s="1622">
        <f t="shared" si="3"/>
        <v>15954</v>
      </c>
      <c r="Q33" s="372"/>
    </row>
    <row r="34" spans="1:17" x14ac:dyDescent="0.3">
      <c r="A34" s="211" t="s">
        <v>1767</v>
      </c>
      <c r="B34" s="1622">
        <f>AVERAGE(B33:C33)</f>
        <v>21909.5</v>
      </c>
      <c r="C34" s="1622">
        <f t="shared" ref="C34:F34" si="4">AVERAGE(C33:D33)</f>
        <v>19988</v>
      </c>
      <c r="D34" s="1622">
        <f t="shared" si="4"/>
        <v>18601.5</v>
      </c>
      <c r="E34" s="1622">
        <f t="shared" si="4"/>
        <v>17352.5</v>
      </c>
      <c r="F34" s="1622">
        <f t="shared" si="4"/>
        <v>16373</v>
      </c>
      <c r="G34" s="1622">
        <f>AVERAGE(G33:G33)</f>
        <v>15954</v>
      </c>
      <c r="Q34" s="372"/>
    </row>
    <row r="35" spans="1:17" x14ac:dyDescent="0.3">
      <c r="B35" s="1622"/>
      <c r="C35" s="1622"/>
      <c r="D35" s="1622"/>
      <c r="E35" s="1622"/>
      <c r="F35" s="1622"/>
      <c r="G35" s="1622"/>
      <c r="Q35" s="372"/>
    </row>
    <row r="36" spans="1:17" x14ac:dyDescent="0.3">
      <c r="B36" s="1622"/>
      <c r="C36" s="1622"/>
      <c r="D36" s="1622"/>
      <c r="E36" s="1622"/>
      <c r="F36" s="1622"/>
      <c r="G36" s="1622"/>
      <c r="Q36" s="372"/>
    </row>
    <row r="37" spans="1:17" x14ac:dyDescent="0.3">
      <c r="A37" s="211" t="s">
        <v>197</v>
      </c>
      <c r="B37" s="1622">
        <v>308</v>
      </c>
      <c r="C37" s="1622">
        <v>836</v>
      </c>
      <c r="D37" s="1622">
        <v>848</v>
      </c>
      <c r="E37" s="1622">
        <v>791</v>
      </c>
      <c r="F37" s="1622">
        <v>700</v>
      </c>
      <c r="G37" s="1622"/>
      <c r="Q37" s="372"/>
    </row>
    <row r="38" spans="1:17" x14ac:dyDescent="0.3">
      <c r="A38" s="211" t="s">
        <v>198</v>
      </c>
      <c r="B38" s="1622">
        <v>612</v>
      </c>
      <c r="C38" s="1622">
        <v>417</v>
      </c>
      <c r="D38" s="1622">
        <v>280</v>
      </c>
      <c r="E38" s="1622">
        <v>316</v>
      </c>
      <c r="F38" s="1622">
        <v>219</v>
      </c>
      <c r="G38" s="1622"/>
      <c r="Q38" s="372"/>
    </row>
    <row r="39" spans="1:17" x14ac:dyDescent="0.3">
      <c r="A39" s="211" t="s">
        <v>1148</v>
      </c>
      <c r="B39" s="1622">
        <v>920</v>
      </c>
      <c r="C39" s="1622">
        <v>1253</v>
      </c>
      <c r="D39" s="1622">
        <v>1128</v>
      </c>
      <c r="E39" s="1622">
        <v>1107</v>
      </c>
      <c r="F39" s="1622">
        <v>919</v>
      </c>
      <c r="G39" s="1622"/>
      <c r="H39" s="211" t="s">
        <v>176</v>
      </c>
      <c r="I39" s="1622">
        <f>SUM(B39:F39)</f>
        <v>5327</v>
      </c>
      <c r="J39" s="211" t="s">
        <v>1967</v>
      </c>
      <c r="Q39" s="372"/>
    </row>
    <row r="40" spans="1:17" x14ac:dyDescent="0.3">
      <c r="B40" s="1622"/>
      <c r="C40" s="1622"/>
      <c r="D40" s="1622"/>
      <c r="E40" s="1622"/>
      <c r="F40" s="1622"/>
      <c r="G40" s="1622"/>
      <c r="I40" s="1622">
        <f>G41-B41</f>
        <v>-1502</v>
      </c>
      <c r="J40" s="211" t="s">
        <v>1968</v>
      </c>
      <c r="Q40" s="372"/>
    </row>
    <row r="41" spans="1:17" x14ac:dyDescent="0.3">
      <c r="A41" s="211" t="s">
        <v>1959</v>
      </c>
      <c r="B41" s="1622">
        <v>9322</v>
      </c>
      <c r="C41" s="1622">
        <v>8590</v>
      </c>
      <c r="D41" s="1622">
        <v>8484</v>
      </c>
      <c r="E41" s="1622">
        <v>8298</v>
      </c>
      <c r="F41" s="1622">
        <v>7916</v>
      </c>
      <c r="G41" s="1622">
        <v>7820</v>
      </c>
      <c r="I41" s="1622">
        <f>I39+I40</f>
        <v>3825</v>
      </c>
      <c r="J41" s="211" t="s">
        <v>1969</v>
      </c>
      <c r="Q41" s="372"/>
    </row>
    <row r="42" spans="1:17" x14ac:dyDescent="0.3">
      <c r="A42" s="211" t="s">
        <v>1961</v>
      </c>
      <c r="B42" s="1622">
        <f>B41-C41</f>
        <v>732</v>
      </c>
      <c r="C42" s="1622">
        <f>C41-D41</f>
        <v>106</v>
      </c>
      <c r="D42" s="1622">
        <f>D41-E41</f>
        <v>186</v>
      </c>
      <c r="E42" s="1622">
        <f>E41-F41</f>
        <v>382</v>
      </c>
      <c r="F42" s="1622">
        <f>F41-G41</f>
        <v>96</v>
      </c>
      <c r="G42" s="1622"/>
      <c r="I42" s="1622"/>
      <c r="Q42" s="372"/>
    </row>
    <row r="43" spans="1:17" x14ac:dyDescent="0.3">
      <c r="A43" s="211" t="s">
        <v>1960</v>
      </c>
      <c r="B43" s="1622">
        <v>2641</v>
      </c>
      <c r="C43" s="1622">
        <v>3368</v>
      </c>
      <c r="D43" s="1622">
        <v>2957</v>
      </c>
      <c r="E43" s="1622">
        <v>2996</v>
      </c>
      <c r="F43" s="1622">
        <v>2453</v>
      </c>
      <c r="G43" s="1622"/>
      <c r="I43" s="1622">
        <f>SUM(B43:F43)</f>
        <v>14415</v>
      </c>
      <c r="Q43" s="372"/>
    </row>
    <row r="44" spans="1:17" x14ac:dyDescent="0.3">
      <c r="I44" s="403">
        <f>I41/I43</f>
        <v>0.26534859521331944</v>
      </c>
      <c r="Q44" s="372"/>
    </row>
    <row r="45" spans="1:17" x14ac:dyDescent="0.3">
      <c r="B45" s="1379"/>
      <c r="C45" s="1379"/>
      <c r="D45" s="1379"/>
      <c r="E45" s="1379"/>
      <c r="F45" s="1379"/>
      <c r="G45" s="1379"/>
      <c r="Q45" s="372"/>
    </row>
    <row r="46" spans="1:17" x14ac:dyDescent="0.3">
      <c r="A46" s="211" t="s">
        <v>1962</v>
      </c>
      <c r="B46" s="403">
        <f>B39/B43</f>
        <v>0.34835289663006436</v>
      </c>
      <c r="C46" s="403">
        <f>C39/C43</f>
        <v>0.37203087885985747</v>
      </c>
      <c r="D46" s="403">
        <f>D39/D43</f>
        <v>0.38146770375380451</v>
      </c>
      <c r="E46" s="403">
        <f>E39/E43</f>
        <v>0.36949265687583444</v>
      </c>
      <c r="F46" s="403">
        <f>F39/F43</f>
        <v>0.37464329392580514</v>
      </c>
      <c r="G46" s="348"/>
      <c r="Q46" s="372"/>
    </row>
    <row r="47" spans="1:17" x14ac:dyDescent="0.3">
      <c r="A47" s="211" t="s">
        <v>1963</v>
      </c>
      <c r="B47" s="403">
        <f>B37/B43</f>
        <v>0.11662249148049982</v>
      </c>
      <c r="C47" s="403">
        <f>C37/C43</f>
        <v>0.24821852731591448</v>
      </c>
      <c r="D47" s="403">
        <f>D37/D43</f>
        <v>0.28677713899222185</v>
      </c>
      <c r="E47" s="403">
        <f>E37/E43</f>
        <v>0.26401869158878505</v>
      </c>
      <c r="F47" s="403">
        <f>F37/F43</f>
        <v>0.28536485935589073</v>
      </c>
      <c r="Q47" s="372"/>
    </row>
    <row r="48" spans="1:17" x14ac:dyDescent="0.3">
      <c r="Q48" s="372"/>
    </row>
    <row r="49" spans="1:23" x14ac:dyDescent="0.3">
      <c r="A49" s="211" t="s">
        <v>1966</v>
      </c>
      <c r="B49" s="226">
        <f>(B39-B42)/B43</f>
        <v>7.1185157137447941E-2</v>
      </c>
      <c r="C49" s="226">
        <f t="shared" ref="C49:F49" si="5">(C39-C42)/C43</f>
        <v>0.34055819477434679</v>
      </c>
      <c r="D49" s="226">
        <f t="shared" si="5"/>
        <v>0.31856611430503889</v>
      </c>
      <c r="E49" s="226">
        <f t="shared" si="5"/>
        <v>0.24198931909212282</v>
      </c>
      <c r="F49" s="226">
        <f t="shared" si="5"/>
        <v>0.33550754178556869</v>
      </c>
      <c r="Q49" s="372"/>
    </row>
    <row r="50" spans="1:23" x14ac:dyDescent="0.3">
      <c r="B50" s="1379"/>
      <c r="C50" s="1379"/>
      <c r="D50" s="1379"/>
      <c r="E50" s="1379"/>
      <c r="F50" s="1379"/>
      <c r="G50" s="1379"/>
      <c r="Q50" s="372"/>
    </row>
    <row r="51" spans="1:23" x14ac:dyDescent="0.3">
      <c r="A51" s="211" t="s">
        <v>99</v>
      </c>
      <c r="B51" s="1622">
        <f>1721</f>
        <v>1721</v>
      </c>
      <c r="C51" s="1622">
        <v>2115</v>
      </c>
      <c r="D51" s="1622">
        <v>1829</v>
      </c>
      <c r="E51" s="1622">
        <v>1889</v>
      </c>
      <c r="F51" s="1622">
        <v>1534</v>
      </c>
      <c r="G51" s="227"/>
      <c r="Q51" s="372"/>
    </row>
    <row r="52" spans="1:23" x14ac:dyDescent="0.3">
      <c r="A52" s="211" t="s">
        <v>1964</v>
      </c>
      <c r="B52" s="226">
        <f>B51/AVERAGE(B31:C31)</f>
        <v>0.14384219984119687</v>
      </c>
      <c r="C52" s="226">
        <f t="shared" ref="C52:F52" si="6">C51/AVERAGE(C31:D31)</f>
        <v>0.1898989898989899</v>
      </c>
      <c r="D52" s="226">
        <f t="shared" si="6"/>
        <v>0.16878922111480252</v>
      </c>
      <c r="E52" s="226">
        <f t="shared" si="6"/>
        <v>0.18734503619954379</v>
      </c>
      <c r="F52" s="226">
        <f t="shared" si="6"/>
        <v>0.16083036275948837</v>
      </c>
      <c r="Q52" s="372"/>
    </row>
    <row r="53" spans="1:23" x14ac:dyDescent="0.3">
      <c r="Q53" s="372"/>
    </row>
    <row r="54" spans="1:23" x14ac:dyDescent="0.3">
      <c r="A54" s="211" t="s">
        <v>1965</v>
      </c>
      <c r="B54" s="226">
        <f>(B51+B42)/AVERAGE(B31:C31)</f>
        <v>0.20502319361444274</v>
      </c>
      <c r="C54" s="226">
        <f>(C51+C42)/AVERAGE(C31:D31)</f>
        <v>0.19941638608305276</v>
      </c>
      <c r="D54" s="226">
        <f>(D51+D42)/AVERAGE(D31:E31)</f>
        <v>0.18595422665190106</v>
      </c>
      <c r="E54" s="226">
        <f>(E51+E42)/AVERAGE(E31:F31)</f>
        <v>0.22523058613507885</v>
      </c>
      <c r="F54" s="226">
        <f>(F51+F42)/AVERAGE(F31:G31)</f>
        <v>0.17089536590480184</v>
      </c>
      <c r="Q54" s="372"/>
    </row>
    <row r="55" spans="1:23" x14ac:dyDescent="0.3">
      <c r="Q55" s="372"/>
    </row>
    <row r="56" spans="1:23" x14ac:dyDescent="0.3">
      <c r="Q56" s="372"/>
    </row>
    <row r="57" spans="1:23" x14ac:dyDescent="0.3">
      <c r="A57" s="372"/>
      <c r="B57" s="372"/>
      <c r="C57" s="372"/>
      <c r="D57" s="372"/>
      <c r="E57" s="372"/>
      <c r="F57" s="372"/>
      <c r="G57" s="372"/>
      <c r="H57" s="372"/>
      <c r="I57" s="372"/>
      <c r="J57" s="372"/>
      <c r="K57" s="372"/>
      <c r="L57" s="372"/>
      <c r="M57" s="372"/>
      <c r="N57" s="372"/>
      <c r="O57" s="372"/>
      <c r="P57" s="372"/>
      <c r="Q57" s="372"/>
    </row>
    <row r="61" spans="1:23" x14ac:dyDescent="0.3">
      <c r="T61" s="1623" t="s">
        <v>1673</v>
      </c>
      <c r="U61" s="658"/>
      <c r="V61" s="658"/>
      <c r="W61" s="658"/>
    </row>
    <row r="62" spans="1:23" x14ac:dyDescent="0.3">
      <c r="T62" s="1623" t="s">
        <v>1975</v>
      </c>
      <c r="U62" s="658"/>
      <c r="V62" s="658"/>
      <c r="W62" s="658"/>
    </row>
    <row r="63" spans="1:23" ht="9" customHeight="1" x14ac:dyDescent="0.3">
      <c r="T63" s="658"/>
      <c r="U63" s="658"/>
      <c r="V63" s="658"/>
      <c r="W63" s="658"/>
    </row>
    <row r="64" spans="1:23" x14ac:dyDescent="0.3">
      <c r="T64" s="1549" t="s">
        <v>1250</v>
      </c>
      <c r="U64" s="658"/>
      <c r="V64" s="658"/>
      <c r="W64" s="658"/>
    </row>
    <row r="65" spans="20:27" x14ac:dyDescent="0.3">
      <c r="T65" s="658" t="s">
        <v>1976</v>
      </c>
      <c r="U65" s="658">
        <v>6600</v>
      </c>
      <c r="V65" s="658"/>
      <c r="W65" s="658"/>
    </row>
    <row r="66" spans="20:27" x14ac:dyDescent="0.3">
      <c r="T66" s="658" t="s">
        <v>1977</v>
      </c>
      <c r="U66" s="658">
        <v>979</v>
      </c>
      <c r="V66" s="658"/>
      <c r="W66" s="658"/>
    </row>
    <row r="67" spans="20:27" x14ac:dyDescent="0.3">
      <c r="T67" s="658" t="s">
        <v>1978</v>
      </c>
      <c r="U67" s="658">
        <v>10577</v>
      </c>
      <c r="V67" s="658"/>
      <c r="W67" s="658"/>
    </row>
    <row r="68" spans="20:27" x14ac:dyDescent="0.3">
      <c r="T68" s="658" t="s">
        <v>1731</v>
      </c>
      <c r="U68" s="658"/>
      <c r="V68" s="658"/>
      <c r="W68" s="658"/>
    </row>
    <row r="69" spans="20:27" x14ac:dyDescent="0.3">
      <c r="T69" s="658" t="s">
        <v>5</v>
      </c>
      <c r="U69" s="658"/>
      <c r="V69" s="658"/>
      <c r="W69" s="658"/>
    </row>
    <row r="70" spans="20:27" x14ac:dyDescent="0.3">
      <c r="T70" s="658" t="s">
        <v>1235</v>
      </c>
      <c r="U70" s="658">
        <f>SUM(U65:U69)</f>
        <v>18156</v>
      </c>
      <c r="V70" s="658"/>
      <c r="W70" s="658"/>
    </row>
    <row r="73" spans="20:27" x14ac:dyDescent="0.3">
      <c r="Z73" s="211" t="s">
        <v>2097</v>
      </c>
    </row>
    <row r="75" spans="20:27" x14ac:dyDescent="0.3">
      <c r="Z75" s="211">
        <v>2010</v>
      </c>
      <c r="AA75" s="230">
        <v>1250</v>
      </c>
    </row>
    <row r="76" spans="20:27" x14ac:dyDescent="0.3">
      <c r="Z76" s="211">
        <v>2011</v>
      </c>
      <c r="AA76" s="230">
        <v>3500</v>
      </c>
    </row>
    <row r="77" spans="20:27" x14ac:dyDescent="0.3">
      <c r="Z77" s="211">
        <v>2012</v>
      </c>
      <c r="AA77" s="230">
        <v>3750</v>
      </c>
    </row>
    <row r="78" spans="20:27" x14ac:dyDescent="0.3">
      <c r="Z78" s="211">
        <v>2013</v>
      </c>
      <c r="AA78" s="230">
        <v>4000</v>
      </c>
    </row>
    <row r="79" spans="20:27" x14ac:dyDescent="0.3">
      <c r="Z79" s="211">
        <v>2014</v>
      </c>
      <c r="AA79" s="230">
        <v>3500</v>
      </c>
    </row>
    <row r="80" spans="20:27" x14ac:dyDescent="0.3">
      <c r="AA80" s="472">
        <f>SUM(AA75:AA79)</f>
        <v>16000</v>
      </c>
    </row>
    <row r="81" spans="26:27" x14ac:dyDescent="0.3">
      <c r="AA81" s="230"/>
    </row>
    <row r="82" spans="26:27" x14ac:dyDescent="0.3">
      <c r="AA82" s="230"/>
    </row>
    <row r="83" spans="26:27" x14ac:dyDescent="0.3">
      <c r="Z83" s="211">
        <v>2015</v>
      </c>
      <c r="AA83" s="230">
        <v>4000</v>
      </c>
    </row>
    <row r="84" spans="26:27" x14ac:dyDescent="0.3">
      <c r="Z84" s="211">
        <v>2016</v>
      </c>
      <c r="AA84" s="230">
        <v>2500</v>
      </c>
    </row>
    <row r="85" spans="26:27" x14ac:dyDescent="0.3">
      <c r="Z85" s="211">
        <v>2017</v>
      </c>
      <c r="AA85" s="230">
        <v>4575</v>
      </c>
    </row>
    <row r="86" spans="26:27" x14ac:dyDescent="0.3">
      <c r="Z86" s="211">
        <v>2018</v>
      </c>
      <c r="AA86" s="230">
        <v>5450</v>
      </c>
    </row>
    <row r="87" spans="26:27" x14ac:dyDescent="0.3">
      <c r="Z87" s="211">
        <v>2019</v>
      </c>
      <c r="AA87" s="230">
        <v>4425</v>
      </c>
    </row>
    <row r="88" spans="26:27" x14ac:dyDescent="0.3">
      <c r="AA88" s="472">
        <f>SUM(AA83:AA87)</f>
        <v>20950</v>
      </c>
    </row>
    <row r="89" spans="26:27" x14ac:dyDescent="0.3">
      <c r="AA89" s="230"/>
    </row>
    <row r="90" spans="26:27" ht="16.2" thickBot="1" x14ac:dyDescent="0.35">
      <c r="AA90" s="394">
        <f>AA80+AA88</f>
        <v>36950</v>
      </c>
    </row>
    <row r="91" spans="26:27" ht="16.2" thickTop="1" x14ac:dyDescent="0.3"/>
  </sheetData>
  <mergeCells count="2">
    <mergeCell ref="A28:F28"/>
    <mergeCell ref="A27:F27"/>
  </mergeCells>
  <pageMargins left="0.7" right="0.7" top="0.75" bottom="0.75" header="0.3" footer="0.3"/>
  <pageSetup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345C-4813-4A05-925F-ADED184225FC}">
  <sheetPr>
    <tabColor theme="4"/>
  </sheetPr>
  <dimension ref="A1:H40"/>
  <sheetViews>
    <sheetView topLeftCell="A23" workbookViewId="0">
      <selection activeCell="E43" sqref="E43"/>
    </sheetView>
  </sheetViews>
  <sheetFormatPr defaultColWidth="9.109375" defaultRowHeight="15.6" x14ac:dyDescent="0.3"/>
  <cols>
    <col min="1" max="1" width="53.109375" style="211" customWidth="1"/>
    <col min="2" max="6" width="9.109375" style="211"/>
    <col min="7" max="7" width="16.5546875" style="211" customWidth="1"/>
    <col min="8" max="16384" width="9.109375" style="211"/>
  </cols>
  <sheetData>
    <row r="1" spans="1:3" x14ac:dyDescent="0.3">
      <c r="A1" s="459" t="s">
        <v>1673</v>
      </c>
    </row>
    <row r="2" spans="1:3" x14ac:dyDescent="0.3">
      <c r="A2" s="152" t="s">
        <v>1698</v>
      </c>
    </row>
    <row r="3" spans="1:3" ht="8.25" customHeight="1" thickBot="1" x14ac:dyDescent="0.35"/>
    <row r="4" spans="1:3" x14ac:dyDescent="0.3">
      <c r="A4" s="212" t="s">
        <v>1692</v>
      </c>
      <c r="B4" s="712">
        <v>2010</v>
      </c>
      <c r="C4" s="713">
        <v>2009</v>
      </c>
    </row>
    <row r="5" spans="1:3" x14ac:dyDescent="0.3">
      <c r="A5" s="214" t="s">
        <v>394</v>
      </c>
      <c r="B5" s="1160">
        <v>94730</v>
      </c>
      <c r="C5" s="1161"/>
    </row>
    <row r="6" spans="1:3" ht="31.2" x14ac:dyDescent="0.3">
      <c r="A6" s="282" t="s">
        <v>3101</v>
      </c>
      <c r="B6" s="813">
        <v>5926.04</v>
      </c>
      <c r="C6" s="1205"/>
    </row>
    <row r="7" spans="1:3" x14ac:dyDescent="0.3">
      <c r="A7" s="282" t="s">
        <v>1693</v>
      </c>
      <c r="B7" s="2452">
        <f>B5+(B6*10)</f>
        <v>153990.39999999999</v>
      </c>
      <c r="C7" s="2451">
        <f>C5+(C6*10)</f>
        <v>0</v>
      </c>
    </row>
    <row r="8" spans="1:3" ht="34.200000000000003" x14ac:dyDescent="0.3">
      <c r="A8" s="1307" t="s">
        <v>1690</v>
      </c>
      <c r="B8" s="2426"/>
      <c r="C8" s="1309"/>
    </row>
    <row r="9" spans="1:3" x14ac:dyDescent="0.3">
      <c r="A9" s="1307" t="s">
        <v>941</v>
      </c>
      <c r="B9" s="2426"/>
      <c r="C9" s="1309"/>
    </row>
    <row r="10" spans="1:3" x14ac:dyDescent="0.3">
      <c r="A10" s="1307" t="s">
        <v>942</v>
      </c>
      <c r="B10" s="2425" t="e">
        <f>B7/C7-1</f>
        <v>#DIV/0!</v>
      </c>
      <c r="C10" s="1311" t="e">
        <f>C7/#REF!-1</f>
        <v>#REF!</v>
      </c>
    </row>
    <row r="11" spans="1:3" x14ac:dyDescent="0.3">
      <c r="A11" s="1307" t="s">
        <v>936</v>
      </c>
      <c r="B11" s="2424">
        <f>B17/B7</f>
        <v>0.4610677029217406</v>
      </c>
      <c r="C11" s="1312" t="e">
        <f>C17/C7</f>
        <v>#DIV/0!</v>
      </c>
    </row>
    <row r="12" spans="1:3" x14ac:dyDescent="0.3">
      <c r="A12" s="214"/>
      <c r="B12" s="286"/>
      <c r="C12" s="1107"/>
    </row>
    <row r="13" spans="1:3" x14ac:dyDescent="0.3">
      <c r="A13" s="214"/>
      <c r="C13" s="223"/>
    </row>
    <row r="14" spans="1:3" x14ac:dyDescent="0.3">
      <c r="A14" s="214"/>
      <c r="B14" s="460"/>
      <c r="C14" s="461"/>
    </row>
    <row r="15" spans="1:3" x14ac:dyDescent="0.3">
      <c r="A15" s="1155"/>
      <c r="B15" s="1653"/>
      <c r="C15" s="1324"/>
    </row>
    <row r="16" spans="1:3" x14ac:dyDescent="0.3">
      <c r="A16" s="214"/>
      <c r="B16" s="460"/>
      <c r="C16" s="461"/>
    </row>
    <row r="17" spans="1:3" x14ac:dyDescent="0.3">
      <c r="A17" s="214" t="s">
        <v>927</v>
      </c>
      <c r="B17" s="1321">
        <v>71000</v>
      </c>
      <c r="C17" s="1318">
        <v>56100</v>
      </c>
    </row>
    <row r="18" spans="1:3" x14ac:dyDescent="0.3">
      <c r="A18" s="214" t="s">
        <v>1691</v>
      </c>
      <c r="B18" s="1321">
        <v>40442</v>
      </c>
      <c r="C18" s="1318">
        <v>37987</v>
      </c>
    </row>
    <row r="19" spans="1:3" x14ac:dyDescent="0.3">
      <c r="A19" s="214"/>
      <c r="B19" s="460"/>
      <c r="C19" s="461"/>
    </row>
    <row r="20" spans="1:3" x14ac:dyDescent="0.3">
      <c r="A20" s="1155"/>
      <c r="B20" s="1653"/>
      <c r="C20" s="1324"/>
    </row>
    <row r="21" spans="1:3" x14ac:dyDescent="0.3">
      <c r="A21" s="214"/>
      <c r="B21" s="460"/>
      <c r="C21" s="461"/>
    </row>
    <row r="22" spans="1:3" x14ac:dyDescent="0.3">
      <c r="A22" s="214" t="s">
        <v>1694</v>
      </c>
      <c r="B22" s="729">
        <f>B17/B7</f>
        <v>0.4610677029217406</v>
      </c>
      <c r="C22" s="349" t="e">
        <f>C17/C7</f>
        <v>#DIV/0!</v>
      </c>
    </row>
    <row r="23" spans="1:3" x14ac:dyDescent="0.3">
      <c r="A23" s="214" t="s">
        <v>1695</v>
      </c>
      <c r="B23" s="729">
        <f>B17/B18</f>
        <v>1.7556006132238762</v>
      </c>
      <c r="C23" s="349">
        <f>C17/C18</f>
        <v>1.4768210177165872</v>
      </c>
    </row>
    <row r="24" spans="1:3" x14ac:dyDescent="0.3">
      <c r="A24" s="214" t="s">
        <v>1696</v>
      </c>
      <c r="B24" s="729">
        <f>B7/B18</f>
        <v>3.8076850798674644</v>
      </c>
      <c r="C24" s="349">
        <f>C7/C18</f>
        <v>0</v>
      </c>
    </row>
    <row r="25" spans="1:3" x14ac:dyDescent="0.3">
      <c r="A25" s="214"/>
      <c r="B25" s="460"/>
      <c r="C25" s="461"/>
    </row>
    <row r="26" spans="1:3" x14ac:dyDescent="0.3">
      <c r="A26" s="1155"/>
      <c r="B26" s="1653"/>
      <c r="C26" s="1324"/>
    </row>
    <row r="27" spans="1:3" x14ac:dyDescent="0.3">
      <c r="A27" s="214"/>
      <c r="B27" s="460"/>
      <c r="C27" s="461"/>
    </row>
    <row r="28" spans="1:3" x14ac:dyDescent="0.3">
      <c r="A28" s="214" t="s">
        <v>937</v>
      </c>
      <c r="B28" s="508" t="e">
        <f>B7/C7-1</f>
        <v>#DIV/0!</v>
      </c>
      <c r="C28" s="216">
        <v>0.3260599918929874</v>
      </c>
    </row>
    <row r="29" spans="1:3" ht="16.2" thickBot="1" x14ac:dyDescent="0.35">
      <c r="A29" s="224" t="s">
        <v>928</v>
      </c>
      <c r="B29" s="1314">
        <f>B17/C17-1</f>
        <v>0.26559714795008915</v>
      </c>
      <c r="C29" s="2002">
        <v>6.230529595015577E-2</v>
      </c>
    </row>
    <row r="30" spans="1:3" x14ac:dyDescent="0.3">
      <c r="A30" s="2809" t="s">
        <v>3099</v>
      </c>
      <c r="B30" s="2809"/>
      <c r="C30" s="2809"/>
    </row>
    <row r="34" spans="7:8" x14ac:dyDescent="0.3">
      <c r="G34" s="211" t="s">
        <v>3189</v>
      </c>
    </row>
    <row r="36" spans="7:8" x14ac:dyDescent="0.3">
      <c r="G36" s="211" t="s">
        <v>2262</v>
      </c>
      <c r="H36" s="1620">
        <v>0.32</v>
      </c>
    </row>
    <row r="37" spans="7:8" x14ac:dyDescent="0.3">
      <c r="G37" s="211" t="s">
        <v>3188</v>
      </c>
      <c r="H37" s="1620">
        <v>0.26</v>
      </c>
    </row>
    <row r="38" spans="7:8" x14ac:dyDescent="0.3">
      <c r="G38" s="211" t="s">
        <v>2260</v>
      </c>
      <c r="H38" s="1620">
        <v>0.21</v>
      </c>
    </row>
    <row r="39" spans="7:8" x14ac:dyDescent="0.3">
      <c r="G39" s="211" t="s">
        <v>3187</v>
      </c>
      <c r="H39" s="1620">
        <v>0.21</v>
      </c>
    </row>
    <row r="40" spans="7:8" x14ac:dyDescent="0.3">
      <c r="H40" s="1620">
        <f>SUM(H36:H39)</f>
        <v>1</v>
      </c>
    </row>
  </sheetData>
  <mergeCells count="1">
    <mergeCell ref="A30:C30"/>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30B7-A7E6-4DA5-A8EE-E8D260E7BF71}">
  <sheetPr>
    <tabColor theme="4"/>
  </sheetPr>
  <dimension ref="A1:AO103"/>
  <sheetViews>
    <sheetView showGridLines="0" zoomScale="115" zoomScaleNormal="115" workbookViewId="0">
      <selection activeCell="E33" sqref="E33"/>
    </sheetView>
  </sheetViews>
  <sheetFormatPr defaultColWidth="9.109375" defaultRowHeight="13.8" outlineLevelRow="1" x14ac:dyDescent="0.25"/>
  <cols>
    <col min="1" max="1" width="50.44140625" style="1" customWidth="1"/>
    <col min="2" max="3" width="10.33203125" style="1" bestFit="1" customWidth="1"/>
    <col min="4" max="4" width="1.44140625" style="1" customWidth="1"/>
    <col min="5" max="6" width="9.109375" style="1"/>
    <col min="7" max="7" width="33.5546875" style="1" customWidth="1"/>
    <col min="8" max="8" width="9.109375" style="1"/>
    <col min="9" max="9" width="11.44140625" style="1" customWidth="1"/>
    <col min="10" max="10" width="12.33203125" style="1" bestFit="1" customWidth="1"/>
    <col min="11" max="11" width="3" style="1" customWidth="1"/>
    <col min="12" max="12" width="13.33203125" style="1" bestFit="1" customWidth="1"/>
    <col min="13" max="13" width="9.109375" style="1"/>
    <col min="14" max="14" width="6.6640625" style="1" customWidth="1"/>
    <col min="15" max="18" width="9.109375" style="1"/>
    <col min="19" max="19" width="31.109375" style="1" customWidth="1"/>
    <col min="20" max="22" width="9.109375" style="1"/>
    <col min="23" max="23" width="2.33203125" style="1" customWidth="1"/>
    <col min="24" max="28" width="9.109375" style="1"/>
    <col min="29" max="29" width="38.109375" style="1" customWidth="1"/>
    <col min="30" max="34" width="9.109375" style="1"/>
    <col min="35" max="35" width="38.88671875" style="1" customWidth="1"/>
    <col min="36" max="36" width="14" style="1" customWidth="1"/>
    <col min="37" max="37" width="1.5546875" style="1" customWidth="1"/>
    <col min="38" max="38" width="14" style="1" customWidth="1"/>
    <col min="39" max="16384" width="9.109375" style="1"/>
  </cols>
  <sheetData>
    <row r="1" spans="1:5" ht="15.6" x14ac:dyDescent="0.3">
      <c r="A1" s="459" t="s">
        <v>1863</v>
      </c>
      <c r="B1" s="211"/>
      <c r="C1" s="211"/>
      <c r="D1" s="211"/>
    </row>
    <row r="2" spans="1:5" ht="15.6" x14ac:dyDescent="0.3">
      <c r="A2" s="152" t="s">
        <v>1698</v>
      </c>
      <c r="B2" s="211"/>
      <c r="C2" s="211"/>
      <c r="D2" s="211"/>
    </row>
    <row r="3" spans="1:5" ht="8.25" customHeight="1" thickBot="1" x14ac:dyDescent="0.35">
      <c r="A3" s="211"/>
      <c r="B3" s="211"/>
      <c r="C3" s="211"/>
      <c r="D3" s="211"/>
    </row>
    <row r="4" spans="1:5" ht="15.6" x14ac:dyDescent="0.3">
      <c r="A4" s="212" t="s">
        <v>3190</v>
      </c>
      <c r="B4" s="712">
        <v>2011</v>
      </c>
      <c r="C4" s="712">
        <v>2010</v>
      </c>
      <c r="D4" s="713"/>
    </row>
    <row r="5" spans="1:5" ht="15.6" x14ac:dyDescent="0.3">
      <c r="A5" s="214" t="s">
        <v>394</v>
      </c>
      <c r="B5" s="1316">
        <v>98366</v>
      </c>
      <c r="C5" s="1316">
        <v>94730</v>
      </c>
      <c r="D5" s="1161"/>
      <c r="E5" s="69">
        <f>B5/C5-1</f>
        <v>3.8382772089095241E-2</v>
      </c>
    </row>
    <row r="6" spans="1:5" ht="15.6" x14ac:dyDescent="0.3">
      <c r="A6" s="282" t="s">
        <v>1048</v>
      </c>
      <c r="B6" s="1319">
        <v>6990</v>
      </c>
      <c r="C6" s="1319">
        <v>5926.04</v>
      </c>
      <c r="D6" s="1320"/>
      <c r="E6" s="69">
        <f>B6/C6-1</f>
        <v>0.17953979385896823</v>
      </c>
    </row>
    <row r="7" spans="1:5" ht="15.6" x14ac:dyDescent="0.3">
      <c r="A7" s="282" t="s">
        <v>1693</v>
      </c>
      <c r="B7" s="1317">
        <f t="shared" ref="B7:C7" si="0">B5+(10*B6)</f>
        <v>168266</v>
      </c>
      <c r="C7" s="1317">
        <f t="shared" si="0"/>
        <v>153990.39999999999</v>
      </c>
      <c r="D7" s="1318"/>
    </row>
    <row r="8" spans="1:5" ht="34.200000000000003" hidden="1" outlineLevel="1" x14ac:dyDescent="0.3">
      <c r="A8" s="1307" t="s">
        <v>1690</v>
      </c>
      <c r="B8" s="1305"/>
      <c r="C8" s="1305"/>
      <c r="D8" s="1309"/>
    </row>
    <row r="9" spans="1:5" ht="15.6" hidden="1" outlineLevel="1" x14ac:dyDescent="0.3">
      <c r="A9" s="1307" t="s">
        <v>941</v>
      </c>
      <c r="B9" s="1305"/>
      <c r="C9" s="1305"/>
      <c r="D9" s="1309"/>
    </row>
    <row r="10" spans="1:5" ht="15.6" hidden="1" outlineLevel="1" x14ac:dyDescent="0.3">
      <c r="A10" s="1307" t="s">
        <v>942</v>
      </c>
      <c r="B10" s="1310">
        <f t="shared" ref="B10" si="1">B7/C7-1</f>
        <v>9.2704480279290236E-2</v>
      </c>
      <c r="C10" s="1310" t="e">
        <f>C7/D7-1</f>
        <v>#DIV/0!</v>
      </c>
      <c r="D10" s="1311"/>
    </row>
    <row r="11" spans="1:5" ht="15.6" hidden="1" outlineLevel="1" x14ac:dyDescent="0.3">
      <c r="A11" s="1307" t="s">
        <v>936</v>
      </c>
      <c r="B11" s="1308">
        <f>B17/B7</f>
        <v>0.68198566555335005</v>
      </c>
      <c r="C11" s="1308">
        <f>C17/C7</f>
        <v>0.78219161713976981</v>
      </c>
      <c r="D11" s="1312"/>
    </row>
    <row r="12" spans="1:5" ht="15.6" hidden="1" outlineLevel="1" x14ac:dyDescent="0.3">
      <c r="A12" s="214"/>
      <c r="B12" s="286"/>
      <c r="C12" s="286"/>
      <c r="D12" s="1107"/>
    </row>
    <row r="13" spans="1:5" ht="15.6" hidden="1" outlineLevel="1" x14ac:dyDescent="0.3">
      <c r="A13" s="214"/>
      <c r="B13" s="211"/>
      <c r="C13" s="211"/>
      <c r="D13" s="223"/>
    </row>
    <row r="14" spans="1:5" ht="4.5" customHeight="1" collapsed="1" x14ac:dyDescent="0.3">
      <c r="A14" s="214"/>
      <c r="B14" s="604"/>
      <c r="C14" s="604"/>
      <c r="D14" s="461"/>
    </row>
    <row r="15" spans="1:5" ht="4.5" customHeight="1" x14ac:dyDescent="0.3">
      <c r="A15" s="1155"/>
      <c r="B15" s="1323"/>
      <c r="C15" s="1323"/>
      <c r="D15" s="1324"/>
    </row>
    <row r="16" spans="1:5" ht="4.5" customHeight="1" x14ac:dyDescent="0.3">
      <c r="A16" s="214"/>
      <c r="B16" s="604"/>
      <c r="C16" s="604"/>
      <c r="D16" s="461"/>
    </row>
    <row r="17" spans="1:9" ht="15.6" x14ac:dyDescent="0.3">
      <c r="A17" s="214" t="s">
        <v>927</v>
      </c>
      <c r="B17" s="1317">
        <v>114755</v>
      </c>
      <c r="C17" s="1317">
        <v>120450</v>
      </c>
      <c r="D17" s="1318"/>
    </row>
    <row r="18" spans="1:9" ht="15.6" x14ac:dyDescent="0.3">
      <c r="A18" s="214" t="s">
        <v>1691</v>
      </c>
      <c r="B18" s="1317">
        <v>99860</v>
      </c>
      <c r="C18" s="1317">
        <v>95453</v>
      </c>
      <c r="D18" s="1318"/>
    </row>
    <row r="19" spans="1:9" ht="4.5" customHeight="1" collapsed="1" x14ac:dyDescent="0.3">
      <c r="A19" s="214"/>
      <c r="B19" s="604"/>
      <c r="C19" s="604"/>
      <c r="D19" s="461"/>
    </row>
    <row r="20" spans="1:9" ht="4.5" customHeight="1" x14ac:dyDescent="0.3">
      <c r="A20" s="1155"/>
      <c r="B20" s="1323"/>
      <c r="C20" s="1323"/>
      <c r="D20" s="1324"/>
    </row>
    <row r="21" spans="1:9" ht="4.5" customHeight="1" x14ac:dyDescent="0.3">
      <c r="A21" s="214"/>
      <c r="B21" s="604"/>
      <c r="C21" s="604"/>
      <c r="D21" s="461"/>
    </row>
    <row r="22" spans="1:9" ht="15.6" x14ac:dyDescent="0.3">
      <c r="A22" s="214" t="s">
        <v>1694</v>
      </c>
      <c r="B22" s="2748">
        <f>B17/B7</f>
        <v>0.68198566555335005</v>
      </c>
      <c r="C22" s="2748">
        <f>C17/C7</f>
        <v>0.78219161713976981</v>
      </c>
      <c r="D22" s="349"/>
    </row>
    <row r="23" spans="1:9" ht="15.6" x14ac:dyDescent="0.3">
      <c r="A23" s="214" t="s">
        <v>1695</v>
      </c>
      <c r="B23" s="2748">
        <f t="shared" ref="B23:C23" si="2">B17/B18</f>
        <v>1.1491588223512919</v>
      </c>
      <c r="C23" s="2748">
        <f t="shared" si="2"/>
        <v>1.261877573255948</v>
      </c>
      <c r="D23" s="349"/>
    </row>
    <row r="24" spans="1:9" ht="15.6" x14ac:dyDescent="0.3">
      <c r="A24" s="214" t="s">
        <v>1696</v>
      </c>
      <c r="B24" s="2748">
        <f>B7/B18</f>
        <v>1.6850190266372922</v>
      </c>
      <c r="C24" s="2748">
        <f>C7/C18</f>
        <v>1.6132588813342692</v>
      </c>
      <c r="D24" s="349"/>
    </row>
    <row r="25" spans="1:9" ht="4.5" customHeight="1" collapsed="1" x14ac:dyDescent="0.3">
      <c r="A25" s="214"/>
      <c r="B25" s="604"/>
      <c r="C25" s="604"/>
      <c r="D25" s="461"/>
    </row>
    <row r="26" spans="1:9" ht="4.5" customHeight="1" x14ac:dyDescent="0.3">
      <c r="A26" s="1155"/>
      <c r="B26" s="1323"/>
      <c r="C26" s="1323"/>
      <c r="D26" s="1324"/>
    </row>
    <row r="27" spans="1:9" ht="4.5" customHeight="1" x14ac:dyDescent="0.3">
      <c r="A27" s="214"/>
      <c r="B27" s="604"/>
      <c r="C27" s="604"/>
      <c r="D27" s="461"/>
    </row>
    <row r="28" spans="1:9" ht="15.6" x14ac:dyDescent="0.3">
      <c r="A28" s="214" t="s">
        <v>937</v>
      </c>
      <c r="B28" s="2531">
        <f>B7/C7-1</f>
        <v>9.2704480279290236E-2</v>
      </c>
      <c r="C28" s="2532"/>
      <c r="D28" s="461"/>
      <c r="I28" s="1" t="s">
        <v>176</v>
      </c>
    </row>
    <row r="29" spans="1:9" ht="16.2" thickBot="1" x14ac:dyDescent="0.35">
      <c r="A29" s="224" t="s">
        <v>928</v>
      </c>
      <c r="B29" s="2530">
        <f t="shared" ref="B29" si="3">B17/C17-1</f>
        <v>-4.7281029472810321E-2</v>
      </c>
      <c r="C29" s="2533"/>
      <c r="D29" s="1315"/>
    </row>
    <row r="30" spans="1:9" x14ac:dyDescent="0.25">
      <c r="A30" s="2811" t="s">
        <v>3224</v>
      </c>
      <c r="B30" s="2811"/>
      <c r="C30" s="2811"/>
      <c r="D30" s="2811"/>
    </row>
    <row r="31" spans="1:9" ht="7.2" customHeight="1" x14ac:dyDescent="0.25">
      <c r="A31" s="2805"/>
      <c r="B31" s="2805"/>
      <c r="C31" s="2805"/>
      <c r="D31" s="2805"/>
    </row>
    <row r="33" spans="1:26" ht="15.6" x14ac:dyDescent="0.3">
      <c r="G33" s="2513" t="s">
        <v>3192</v>
      </c>
      <c r="H33" s="2514"/>
      <c r="I33" s="2514"/>
      <c r="J33" s="211"/>
      <c r="K33" s="211"/>
      <c r="L33" s="211"/>
      <c r="M33" s="211"/>
    </row>
    <row r="34" spans="1:26" ht="15.6" x14ac:dyDescent="0.3">
      <c r="A34" s="1" t="s">
        <v>176</v>
      </c>
      <c r="G34" s="152" t="s">
        <v>3193</v>
      </c>
      <c r="H34" s="211"/>
      <c r="I34" s="211"/>
      <c r="J34" s="211"/>
      <c r="K34" s="211"/>
      <c r="L34" s="211"/>
      <c r="M34" s="211"/>
    </row>
    <row r="35" spans="1:26" ht="9" customHeight="1" thickBot="1" x14ac:dyDescent="0.35">
      <c r="A35" s="1" t="s">
        <v>176</v>
      </c>
      <c r="G35" s="211"/>
      <c r="H35" s="211"/>
      <c r="I35" s="211"/>
      <c r="J35" s="211"/>
      <c r="K35" s="211"/>
      <c r="L35" s="211"/>
      <c r="M35" s="211"/>
    </row>
    <row r="36" spans="1:26" ht="15.6" x14ac:dyDescent="0.3">
      <c r="G36" s="453"/>
      <c r="H36" s="2937" t="s">
        <v>3194</v>
      </c>
      <c r="I36" s="2937"/>
      <c r="J36" s="2937"/>
      <c r="K36" s="522"/>
      <c r="L36" s="2937" t="s">
        <v>3195</v>
      </c>
      <c r="M36" s="2938"/>
      <c r="O36" s="1" t="s">
        <v>3196</v>
      </c>
    </row>
    <row r="37" spans="1:26" ht="15.6" x14ac:dyDescent="0.3">
      <c r="G37" s="221" t="s">
        <v>1250</v>
      </c>
      <c r="H37" s="1332">
        <v>2014</v>
      </c>
      <c r="I37" s="1332">
        <v>2013</v>
      </c>
      <c r="J37" s="1332">
        <v>2012</v>
      </c>
      <c r="K37" s="1332"/>
      <c r="L37" s="1332">
        <v>2013</v>
      </c>
      <c r="M37" s="1470">
        <v>2012</v>
      </c>
      <c r="O37" s="1">
        <v>2013</v>
      </c>
      <c r="P37" s="1">
        <v>2012</v>
      </c>
    </row>
    <row r="38" spans="1:26" ht="15.6" x14ac:dyDescent="0.3">
      <c r="G38" s="214" t="s">
        <v>975</v>
      </c>
      <c r="H38" s="2168">
        <v>97689</v>
      </c>
      <c r="I38" s="2168">
        <v>93472</v>
      </c>
      <c r="J38" s="2168">
        <v>81432</v>
      </c>
      <c r="K38" s="2168"/>
      <c r="L38" s="2168">
        <v>95291</v>
      </c>
      <c r="M38" s="1325">
        <v>83255</v>
      </c>
      <c r="O38" s="1">
        <f>I38-L38</f>
        <v>-1819</v>
      </c>
      <c r="P38" s="1">
        <f>J38-M38</f>
        <v>-1823</v>
      </c>
    </row>
    <row r="39" spans="1:26" ht="15.6" x14ac:dyDescent="0.3">
      <c r="G39" s="214" t="s">
        <v>976</v>
      </c>
      <c r="H39" s="1622">
        <v>90788</v>
      </c>
      <c r="I39" s="1622">
        <v>87208</v>
      </c>
      <c r="J39" s="1622">
        <v>75734</v>
      </c>
      <c r="K39" s="1622"/>
      <c r="L39" s="1622">
        <v>88414</v>
      </c>
      <c r="M39" s="1624">
        <v>76978</v>
      </c>
      <c r="O39" s="1">
        <f t="shared" ref="O39:P43" si="4">I39-L39</f>
        <v>-1206</v>
      </c>
      <c r="P39" s="1">
        <f t="shared" si="4"/>
        <v>-1244</v>
      </c>
    </row>
    <row r="40" spans="1:26" ht="15.6" x14ac:dyDescent="0.3">
      <c r="G40" s="214" t="s">
        <v>293</v>
      </c>
      <c r="H40" s="1622">
        <v>109</v>
      </c>
      <c r="I40" s="1622">
        <v>104</v>
      </c>
      <c r="J40" s="1622">
        <v>112</v>
      </c>
      <c r="K40" s="1622"/>
      <c r="L40" s="1622">
        <v>135</v>
      </c>
      <c r="M40" s="1624">
        <v>146</v>
      </c>
      <c r="O40" s="1">
        <f t="shared" si="4"/>
        <v>-31</v>
      </c>
      <c r="P40" s="1">
        <f t="shared" si="4"/>
        <v>-34</v>
      </c>
    </row>
    <row r="41" spans="1:26" ht="15.6" x14ac:dyDescent="0.3">
      <c r="G41" s="214" t="s">
        <v>2127</v>
      </c>
      <c r="H41" s="1328">
        <f>H38-H39-H40</f>
        <v>6792</v>
      </c>
      <c r="I41" s="1328">
        <f t="shared" ref="I41:M41" si="5">I38-I39-I40</f>
        <v>6160</v>
      </c>
      <c r="J41" s="1328">
        <f t="shared" si="5"/>
        <v>5586</v>
      </c>
      <c r="K41" s="1622"/>
      <c r="L41" s="1328">
        <f t="shared" si="5"/>
        <v>6742</v>
      </c>
      <c r="M41" s="2515">
        <f t="shared" si="5"/>
        <v>6131</v>
      </c>
      <c r="O41" s="1">
        <f t="shared" si="4"/>
        <v>-582</v>
      </c>
      <c r="P41" s="1">
        <f t="shared" si="4"/>
        <v>-545</v>
      </c>
    </row>
    <row r="42" spans="1:26" ht="15.6" x14ac:dyDescent="0.3">
      <c r="G42" s="214" t="s">
        <v>2218</v>
      </c>
      <c r="H42" s="1622">
        <v>2324</v>
      </c>
      <c r="I42" s="1622">
        <v>2283</v>
      </c>
      <c r="J42" s="1622">
        <v>2229</v>
      </c>
      <c r="K42" s="1622"/>
      <c r="L42" s="1622">
        <v>2512</v>
      </c>
      <c r="M42" s="1624">
        <v>2432</v>
      </c>
      <c r="O42" s="1">
        <f t="shared" si="4"/>
        <v>-229</v>
      </c>
      <c r="P42" s="1">
        <f t="shared" si="4"/>
        <v>-203</v>
      </c>
    </row>
    <row r="43" spans="1:26" ht="15.6" x14ac:dyDescent="0.3">
      <c r="G43" s="214" t="s">
        <v>301</v>
      </c>
      <c r="H43" s="1345">
        <f>H41-H42</f>
        <v>4468</v>
      </c>
      <c r="I43" s="1345">
        <f t="shared" ref="I43:M43" si="6">I41-I42</f>
        <v>3877</v>
      </c>
      <c r="J43" s="1345">
        <f t="shared" si="6"/>
        <v>3357</v>
      </c>
      <c r="K43" s="2168"/>
      <c r="L43" s="1345">
        <f t="shared" si="6"/>
        <v>4230</v>
      </c>
      <c r="M43" s="2516">
        <f t="shared" si="6"/>
        <v>3699</v>
      </c>
      <c r="O43" s="1">
        <f t="shared" si="4"/>
        <v>-353</v>
      </c>
      <c r="P43" s="1">
        <f t="shared" si="4"/>
        <v>-342</v>
      </c>
      <c r="S43" s="1" t="s">
        <v>176</v>
      </c>
    </row>
    <row r="44" spans="1:26" ht="5.25" customHeight="1" thickBot="1" x14ac:dyDescent="0.35">
      <c r="G44" s="224"/>
      <c r="H44" s="218"/>
      <c r="I44" s="218"/>
      <c r="J44" s="218"/>
      <c r="K44" s="218"/>
      <c r="L44" s="218"/>
      <c r="M44" s="219"/>
    </row>
    <row r="45" spans="1:26" x14ac:dyDescent="0.25">
      <c r="G45" s="12" t="s">
        <v>3197</v>
      </c>
    </row>
    <row r="48" spans="1:26" ht="15.6" x14ac:dyDescent="0.3">
      <c r="S48" s="459" t="s">
        <v>1863</v>
      </c>
      <c r="T48" s="211"/>
      <c r="U48" s="211"/>
      <c r="V48" s="211"/>
      <c r="W48" s="211"/>
      <c r="X48" s="211"/>
      <c r="Y48" s="211"/>
      <c r="Z48" s="211"/>
    </row>
    <row r="49" spans="19:32" ht="15.6" x14ac:dyDescent="0.3">
      <c r="S49" s="152" t="s">
        <v>3198</v>
      </c>
      <c r="T49" s="211"/>
      <c r="U49" s="211"/>
      <c r="V49" s="211"/>
      <c r="W49" s="211"/>
      <c r="X49" s="211"/>
      <c r="Y49" s="211"/>
      <c r="Z49" s="211"/>
    </row>
    <row r="50" spans="19:32" ht="8.25" customHeight="1" thickBot="1" x14ac:dyDescent="0.35">
      <c r="S50" s="211"/>
      <c r="T50" s="211"/>
      <c r="U50" s="211"/>
      <c r="V50" s="211"/>
      <c r="W50" s="211"/>
      <c r="X50" s="211"/>
      <c r="Y50" s="211"/>
      <c r="Z50" s="211"/>
    </row>
    <row r="51" spans="19:32" ht="15.6" x14ac:dyDescent="0.3">
      <c r="S51" s="453"/>
      <c r="T51" s="2865" t="s">
        <v>975</v>
      </c>
      <c r="U51" s="2865"/>
      <c r="V51" s="2865"/>
      <c r="W51" s="522"/>
      <c r="X51" s="2865" t="s">
        <v>2127</v>
      </c>
      <c r="Y51" s="2865"/>
      <c r="Z51" s="2922"/>
    </row>
    <row r="52" spans="19:32" ht="15.6" x14ac:dyDescent="0.3">
      <c r="S52" s="221" t="s">
        <v>1250</v>
      </c>
      <c r="T52" s="1332">
        <v>2014</v>
      </c>
      <c r="U52" s="1332">
        <v>2013</v>
      </c>
      <c r="V52" s="1332">
        <v>2012</v>
      </c>
      <c r="W52" s="1332"/>
      <c r="X52" s="1332">
        <v>2014</v>
      </c>
      <c r="Y52" s="1332">
        <v>2013</v>
      </c>
      <c r="Z52" s="1470">
        <v>2012</v>
      </c>
    </row>
    <row r="53" spans="19:32" ht="15.6" x14ac:dyDescent="0.3">
      <c r="S53" s="214" t="s">
        <v>3199</v>
      </c>
      <c r="T53" s="2168">
        <v>22314</v>
      </c>
      <c r="U53" s="2168">
        <v>20325</v>
      </c>
      <c r="V53" s="2168">
        <v>19003</v>
      </c>
      <c r="W53" s="2168"/>
      <c r="X53" s="2168">
        <v>3460</v>
      </c>
      <c r="Y53" s="2168">
        <v>3044</v>
      </c>
      <c r="Z53" s="1325">
        <v>2912</v>
      </c>
    </row>
    <row r="54" spans="19:32" ht="15.6" x14ac:dyDescent="0.3">
      <c r="S54" s="214" t="s">
        <v>2261</v>
      </c>
      <c r="T54" s="1622">
        <v>10124</v>
      </c>
      <c r="U54" s="1622">
        <v>9640</v>
      </c>
      <c r="V54" s="1622">
        <v>8953</v>
      </c>
      <c r="W54" s="1622"/>
      <c r="X54" s="1622">
        <v>896</v>
      </c>
      <c r="Y54" s="1622">
        <v>846</v>
      </c>
      <c r="Z54" s="1624">
        <v>748</v>
      </c>
    </row>
    <row r="55" spans="19:32" ht="15.6" x14ac:dyDescent="0.3">
      <c r="S55" s="214" t="s">
        <v>3200</v>
      </c>
      <c r="T55" s="1622">
        <v>4335</v>
      </c>
      <c r="U55" s="1622">
        <v>4293</v>
      </c>
      <c r="V55" s="1622">
        <v>4149</v>
      </c>
      <c r="W55" s="1622"/>
      <c r="X55" s="1622">
        <v>455</v>
      </c>
      <c r="Y55" s="1622">
        <v>315</v>
      </c>
      <c r="Z55" s="1624">
        <v>251</v>
      </c>
    </row>
    <row r="56" spans="19:32" ht="15.6" x14ac:dyDescent="0.3">
      <c r="S56" s="214"/>
      <c r="T56" s="1345">
        <f>SUM(T53:T55)</f>
        <v>36773</v>
      </c>
      <c r="U56" s="1345">
        <f t="shared" ref="U56:V56" si="7">SUM(U53:U55)</f>
        <v>34258</v>
      </c>
      <c r="V56" s="1345">
        <f t="shared" si="7"/>
        <v>32105</v>
      </c>
      <c r="W56" s="2168"/>
      <c r="X56" s="1345">
        <f>SUM(X53:X55)</f>
        <v>4811</v>
      </c>
      <c r="Y56" s="1345">
        <f t="shared" ref="Y56:Z56" si="8">SUM(Y53:Y55)</f>
        <v>4205</v>
      </c>
      <c r="Z56" s="2516">
        <f t="shared" si="8"/>
        <v>3911</v>
      </c>
    </row>
    <row r="57" spans="19:32" ht="5.25" customHeight="1" thickBot="1" x14ac:dyDescent="0.35">
      <c r="S57" s="224"/>
      <c r="T57" s="520"/>
      <c r="U57" s="520"/>
      <c r="V57" s="520"/>
      <c r="W57" s="520"/>
      <c r="X57" s="520"/>
      <c r="Y57" s="520"/>
      <c r="Z57" s="1887"/>
    </row>
    <row r="58" spans="19:32" x14ac:dyDescent="0.25">
      <c r="S58" s="12" t="s">
        <v>3201</v>
      </c>
    </row>
    <row r="60" spans="19:32" x14ac:dyDescent="0.25">
      <c r="Z60" s="1" t="s">
        <v>176</v>
      </c>
    </row>
    <row r="63" spans="19:32" ht="15.6" x14ac:dyDescent="0.3">
      <c r="AC63" s="459" t="s">
        <v>1863</v>
      </c>
      <c r="AD63" s="211"/>
      <c r="AE63" s="211"/>
      <c r="AF63" s="211"/>
    </row>
    <row r="64" spans="19:32" ht="15.6" x14ac:dyDescent="0.3">
      <c r="AC64" s="152" t="s">
        <v>3202</v>
      </c>
      <c r="AD64" s="211"/>
      <c r="AE64" s="211"/>
      <c r="AF64" s="211"/>
    </row>
    <row r="65" spans="29:32" ht="8.25" customHeight="1" thickBot="1" x14ac:dyDescent="0.35">
      <c r="AC65" s="211"/>
      <c r="AD65" s="211"/>
      <c r="AE65" s="211"/>
      <c r="AF65" s="211"/>
    </row>
    <row r="66" spans="29:32" ht="15.6" x14ac:dyDescent="0.3">
      <c r="AC66" s="212" t="s">
        <v>1250</v>
      </c>
      <c r="AD66" s="712">
        <v>2014</v>
      </c>
      <c r="AE66" s="712">
        <v>2013</v>
      </c>
      <c r="AF66" s="713">
        <v>2012</v>
      </c>
    </row>
    <row r="67" spans="29:32" ht="15.6" x14ac:dyDescent="0.3">
      <c r="AC67" s="214" t="s">
        <v>3203</v>
      </c>
      <c r="AD67" s="2168">
        <v>122</v>
      </c>
      <c r="AE67" s="2168">
        <v>80</v>
      </c>
      <c r="AF67" s="1325">
        <v>35</v>
      </c>
    </row>
    <row r="68" spans="29:32" ht="15.6" x14ac:dyDescent="0.3">
      <c r="AC68" s="214" t="s">
        <v>3204</v>
      </c>
      <c r="AD68" s="1622">
        <v>558</v>
      </c>
      <c r="AE68" s="1622">
        <v>416</v>
      </c>
      <c r="AF68" s="1624">
        <v>255</v>
      </c>
    </row>
    <row r="69" spans="29:32" ht="15.6" x14ac:dyDescent="0.3">
      <c r="AC69" s="214" t="s">
        <v>3205</v>
      </c>
      <c r="AD69" s="1622">
        <v>36</v>
      </c>
      <c r="AE69" s="1622">
        <v>40</v>
      </c>
      <c r="AF69" s="1624">
        <v>42</v>
      </c>
    </row>
    <row r="70" spans="29:32" ht="15.6" x14ac:dyDescent="0.3">
      <c r="AC70" s="214" t="s">
        <v>3206</v>
      </c>
      <c r="AD70" s="1622">
        <v>238</v>
      </c>
      <c r="AE70" s="1622">
        <v>226</v>
      </c>
      <c r="AF70" s="1624">
        <v>246</v>
      </c>
    </row>
    <row r="71" spans="29:32" ht="15.6" x14ac:dyDescent="0.3">
      <c r="AC71" s="214" t="s">
        <v>3207</v>
      </c>
      <c r="AD71" s="1622">
        <v>442</v>
      </c>
      <c r="AE71" s="1622">
        <v>353</v>
      </c>
      <c r="AF71" s="1624">
        <v>299</v>
      </c>
    </row>
    <row r="72" spans="29:32" ht="15.6" x14ac:dyDescent="0.3">
      <c r="AC72" s="214" t="s">
        <v>3208</v>
      </c>
      <c r="AD72" s="1622">
        <v>147</v>
      </c>
      <c r="AE72" s="1622">
        <v>125</v>
      </c>
      <c r="AF72" s="1624">
        <v>106</v>
      </c>
    </row>
    <row r="73" spans="29:32" ht="18.600000000000001" x14ac:dyDescent="0.3">
      <c r="AC73" s="214" t="s">
        <v>3209</v>
      </c>
      <c r="AD73" s="1622">
        <v>296</v>
      </c>
      <c r="AE73" s="1622">
        <v>324</v>
      </c>
      <c r="AF73" s="1624">
        <v>410</v>
      </c>
    </row>
    <row r="74" spans="29:32" ht="15.6" x14ac:dyDescent="0.3">
      <c r="AC74" s="214" t="s">
        <v>2217</v>
      </c>
      <c r="AD74" s="1345">
        <f>SUM(AD67:AD73)</f>
        <v>1839</v>
      </c>
      <c r="AE74" s="1345">
        <f t="shared" ref="AE74:AF74" si="9">SUM(AE67:AE73)</f>
        <v>1564</v>
      </c>
      <c r="AF74" s="2516">
        <f t="shared" si="9"/>
        <v>1393</v>
      </c>
    </row>
    <row r="75" spans="29:32" ht="4.5" customHeight="1" x14ac:dyDescent="0.25">
      <c r="AC75" s="6"/>
      <c r="AF75" s="8"/>
    </row>
    <row r="76" spans="29:32" x14ac:dyDescent="0.25">
      <c r="AC76" s="6" t="s">
        <v>1405</v>
      </c>
      <c r="AF76" s="8"/>
    </row>
    <row r="77" spans="29:32" ht="14.4" thickBot="1" x14ac:dyDescent="0.3">
      <c r="AC77" s="9" t="s">
        <v>3210</v>
      </c>
      <c r="AD77" s="25"/>
      <c r="AE77" s="25"/>
      <c r="AF77" s="26"/>
    </row>
    <row r="78" spans="29:32" x14ac:dyDescent="0.25">
      <c r="AC78" s="12" t="s">
        <v>3201</v>
      </c>
    </row>
    <row r="81" spans="35:41" ht="15.6" x14ac:dyDescent="0.3">
      <c r="AI81" s="459" t="s">
        <v>1863</v>
      </c>
    </row>
    <row r="82" spans="35:41" ht="15.6" x14ac:dyDescent="0.3">
      <c r="AI82" s="152" t="s">
        <v>3211</v>
      </c>
    </row>
    <row r="83" spans="35:41" ht="9" customHeight="1" thickBot="1" x14ac:dyDescent="0.3"/>
    <row r="84" spans="35:41" x14ac:dyDescent="0.25">
      <c r="AI84" s="131" t="s">
        <v>1250</v>
      </c>
      <c r="AJ84" s="2517" t="s">
        <v>3212</v>
      </c>
      <c r="AK84" s="2517"/>
      <c r="AL84" s="2518" t="s">
        <v>3213</v>
      </c>
    </row>
    <row r="85" spans="35:41" x14ac:dyDescent="0.25">
      <c r="AI85" s="28" t="s">
        <v>3214</v>
      </c>
      <c r="AJ85" s="77"/>
      <c r="AK85" s="77"/>
      <c r="AL85" s="2519"/>
    </row>
    <row r="86" spans="35:41" x14ac:dyDescent="0.25">
      <c r="AI86" s="6" t="s">
        <v>3215</v>
      </c>
      <c r="AJ86" s="2520">
        <f>SUM(AL87:AL89)</f>
        <v>1092</v>
      </c>
      <c r="AK86" s="2520"/>
      <c r="AL86" s="2519"/>
    </row>
    <row r="87" spans="35:41" x14ac:dyDescent="0.25">
      <c r="AI87" s="6" t="s">
        <v>5</v>
      </c>
      <c r="AJ87" s="2520"/>
      <c r="AK87" s="2520"/>
      <c r="AL87" s="2521">
        <v>328</v>
      </c>
    </row>
    <row r="88" spans="35:41" x14ac:dyDescent="0.25">
      <c r="AI88" s="6" t="s">
        <v>3216</v>
      </c>
      <c r="AJ88" s="2522"/>
      <c r="AK88" s="2522"/>
      <c r="AL88" s="2523">
        <v>364</v>
      </c>
    </row>
    <row r="89" spans="35:41" x14ac:dyDescent="0.25">
      <c r="AI89" s="6" t="s">
        <v>3217</v>
      </c>
      <c r="AJ89" s="2522"/>
      <c r="AK89" s="2522"/>
      <c r="AL89" s="2523">
        <v>400</v>
      </c>
    </row>
    <row r="90" spans="35:41" x14ac:dyDescent="0.25">
      <c r="AI90" s="6" t="s">
        <v>3</v>
      </c>
      <c r="AJ90" s="2524">
        <f>SUM(AJ86:AJ89)</f>
        <v>1092</v>
      </c>
      <c r="AK90" s="2522"/>
      <c r="AL90" s="2525">
        <f>SUM(AL87:AL89)</f>
        <v>1092</v>
      </c>
    </row>
    <row r="91" spans="35:41" x14ac:dyDescent="0.25">
      <c r="AI91" s="6"/>
      <c r="AJ91" s="2522"/>
      <c r="AK91" s="2522"/>
      <c r="AL91" s="2523"/>
    </row>
    <row r="92" spans="35:41" x14ac:dyDescent="0.25">
      <c r="AI92" s="6" t="s">
        <v>3218</v>
      </c>
      <c r="AJ92" s="2522">
        <f>0.38*(AJ86-11)</f>
        <v>410.78000000000003</v>
      </c>
      <c r="AK92" s="2522"/>
      <c r="AL92" s="2523"/>
      <c r="AO92" s="1" t="s">
        <v>3219</v>
      </c>
    </row>
    <row r="93" spans="35:41" ht="4.5" customHeight="1" x14ac:dyDescent="0.25">
      <c r="AI93" s="6"/>
      <c r="AJ93" s="2520"/>
      <c r="AK93" s="2520"/>
      <c r="AL93" s="2521"/>
    </row>
    <row r="94" spans="35:41" ht="4.5" customHeight="1" x14ac:dyDescent="0.25">
      <c r="AI94" s="1683"/>
      <c r="AJ94" s="2526"/>
      <c r="AK94" s="2526"/>
      <c r="AL94" s="2527"/>
    </row>
    <row r="95" spans="35:41" ht="4.5" customHeight="1" x14ac:dyDescent="0.25">
      <c r="AI95" s="6"/>
      <c r="AJ95" s="2520"/>
      <c r="AK95" s="2520"/>
      <c r="AL95" s="2521"/>
    </row>
    <row r="96" spans="35:41" x14ac:dyDescent="0.25">
      <c r="AI96" s="28" t="s">
        <v>3220</v>
      </c>
      <c r="AJ96" s="2520"/>
      <c r="AK96" s="2520"/>
      <c r="AL96" s="2521"/>
    </row>
    <row r="97" spans="35:40" x14ac:dyDescent="0.25">
      <c r="AI97" s="6" t="s">
        <v>3221</v>
      </c>
      <c r="AJ97" s="2520">
        <v>1350</v>
      </c>
      <c r="AK97" s="2520"/>
      <c r="AL97" s="2521"/>
    </row>
    <row r="98" spans="35:40" x14ac:dyDescent="0.25">
      <c r="AI98" s="6" t="s">
        <v>5</v>
      </c>
      <c r="AJ98" s="2520"/>
      <c r="AK98" s="2520"/>
      <c r="AL98" s="2521">
        <v>450</v>
      </c>
      <c r="AN98" s="1" t="s">
        <v>176</v>
      </c>
    </row>
    <row r="99" spans="35:40" x14ac:dyDescent="0.25">
      <c r="AI99" s="6" t="s">
        <v>3222</v>
      </c>
      <c r="AJ99" s="2522"/>
      <c r="AK99" s="2522"/>
      <c r="AL99" s="2523">
        <f>AJ97-AL98</f>
        <v>900</v>
      </c>
    </row>
    <row r="100" spans="35:40" x14ac:dyDescent="0.25">
      <c r="AI100" s="6"/>
      <c r="AJ100" s="2524">
        <f>SUM(AJ97:AJ99)</f>
        <v>1350</v>
      </c>
      <c r="AK100" s="2522"/>
      <c r="AL100" s="2525">
        <f>SUM(AL97:AL99)</f>
        <v>1350</v>
      </c>
    </row>
    <row r="101" spans="35:40" x14ac:dyDescent="0.25">
      <c r="AI101" s="6"/>
      <c r="AJ101" s="2522"/>
      <c r="AK101" s="2522"/>
      <c r="AL101" s="2523"/>
    </row>
    <row r="102" spans="35:40" ht="14.4" thickBot="1" x14ac:dyDescent="0.3">
      <c r="AI102" s="9" t="s">
        <v>3218</v>
      </c>
      <c r="AJ102" s="2528">
        <f>0.38*(2100-(1092-11))</f>
        <v>387.22</v>
      </c>
      <c r="AK102" s="2528"/>
      <c r="AL102" s="2529"/>
    </row>
    <row r="103" spans="35:40" x14ac:dyDescent="0.25">
      <c r="AI103" s="12" t="s">
        <v>3223</v>
      </c>
    </row>
  </sheetData>
  <mergeCells count="5">
    <mergeCell ref="A30:D31"/>
    <mergeCell ref="H36:J36"/>
    <mergeCell ref="L36:M36"/>
    <mergeCell ref="T51:V51"/>
    <mergeCell ref="X51:Z51"/>
  </mergeCell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EA0B-2FDE-40A6-A860-007FFC714F6B}">
  <sheetPr>
    <tabColor theme="4"/>
  </sheetPr>
  <dimension ref="B1:Q63"/>
  <sheetViews>
    <sheetView showGridLines="0" zoomScale="115" zoomScaleNormal="115" workbookViewId="0">
      <selection activeCell="J25" sqref="J25"/>
    </sheetView>
  </sheetViews>
  <sheetFormatPr defaultColWidth="9.109375" defaultRowHeight="15.6" outlineLevelRow="1" x14ac:dyDescent="0.3"/>
  <cols>
    <col min="1" max="1" width="9.109375" style="211"/>
    <col min="2" max="2" width="32.5546875" style="211" customWidth="1"/>
    <col min="3" max="3" width="9" style="211" bestFit="1" customWidth="1"/>
    <col min="4" max="7" width="7.88671875" style="211" bestFit="1" customWidth="1"/>
    <col min="8" max="8" width="7.88671875" style="211" customWidth="1"/>
    <col min="9" max="12" width="9.109375" style="211"/>
    <col min="13" max="13" width="23.33203125" style="211" bestFit="1" customWidth="1"/>
    <col min="14" max="16" width="9.109375" style="211"/>
    <col min="17" max="17" width="10.109375" style="211" bestFit="1" customWidth="1"/>
    <col min="18" max="16384" width="9.109375" style="211"/>
  </cols>
  <sheetData>
    <row r="1" spans="2:17" s="309" customFormat="1" x14ac:dyDescent="0.3">
      <c r="B1" s="309" t="s">
        <v>556</v>
      </c>
    </row>
    <row r="2" spans="2:17" x14ac:dyDescent="0.3">
      <c r="B2" s="459" t="s">
        <v>1863</v>
      </c>
    </row>
    <row r="3" spans="2:17" x14ac:dyDescent="0.3">
      <c r="B3" s="152" t="s">
        <v>1979</v>
      </c>
    </row>
    <row r="4" spans="2:17" ht="6.6" customHeight="1" thickBot="1" x14ac:dyDescent="0.35"/>
    <row r="5" spans="2:17" x14ac:dyDescent="0.3">
      <c r="B5" s="212" t="s">
        <v>1250</v>
      </c>
      <c r="C5" s="712">
        <v>2010</v>
      </c>
      <c r="D5" s="712">
        <v>2009</v>
      </c>
      <c r="E5" s="712">
        <v>2008</v>
      </c>
      <c r="F5" s="712">
        <v>2007</v>
      </c>
      <c r="G5" s="713">
        <v>2006</v>
      </c>
      <c r="H5" s="211">
        <v>2005</v>
      </c>
      <c r="I5" s="211">
        <v>2004</v>
      </c>
    </row>
    <row r="6" spans="2:17" x14ac:dyDescent="0.3">
      <c r="B6" s="214" t="s">
        <v>289</v>
      </c>
      <c r="C6" s="1339">
        <v>5417.8</v>
      </c>
      <c r="D6" s="1339">
        <v>4586.3</v>
      </c>
      <c r="E6" s="1339">
        <v>5027.8</v>
      </c>
      <c r="F6" s="1339">
        <v>4499</v>
      </c>
      <c r="G6" s="1340">
        <v>4040.8</v>
      </c>
      <c r="H6" s="1339">
        <v>3618.8</v>
      </c>
      <c r="I6" s="211">
        <v>2860.5</v>
      </c>
    </row>
    <row r="7" spans="2:17" ht="18.600000000000001" x14ac:dyDescent="0.3">
      <c r="B7" s="214" t="s">
        <v>1737</v>
      </c>
      <c r="C7" s="1341">
        <f>C6/C35</f>
        <v>2.185874805834056</v>
      </c>
      <c r="D7" s="1341">
        <f>D6/D35</f>
        <v>2.1910995389723626</v>
      </c>
      <c r="E7" s="1341">
        <f>E6/E35</f>
        <v>2.7816320885200554</v>
      </c>
      <c r="F7" s="1341">
        <f>F6/F35</f>
        <v>2.462776439675936</v>
      </c>
      <c r="G7" s="1342">
        <f>G6/G35</f>
        <v>2.2955830137764521</v>
      </c>
      <c r="H7" s="1341"/>
    </row>
    <row r="8" spans="2:17" hidden="1" outlineLevel="1" x14ac:dyDescent="0.3">
      <c r="B8" s="214" t="s">
        <v>979</v>
      </c>
      <c r="C8" s="521">
        <f>1004.3+99.7+11.7</f>
        <v>1115.7</v>
      </c>
      <c r="D8" s="521">
        <f>725.8+110.5+30.4</f>
        <v>866.69999999999993</v>
      </c>
      <c r="E8" s="521">
        <f>17+78.1+394+1.6</f>
        <v>490.70000000000005</v>
      </c>
      <c r="F8" s="521">
        <f>405.4+91.8+1.5</f>
        <v>498.7</v>
      </c>
      <c r="G8" s="1624">
        <f>262+99.7+51.9</f>
        <v>413.59999999999997</v>
      </c>
      <c r="H8" s="1380">
        <f>243.5+105.1+15.9</f>
        <v>364.5</v>
      </c>
      <c r="I8" s="211">
        <f>137.2+77.1+38.1+34</f>
        <v>286.39999999999998</v>
      </c>
      <c r="J8" s="211" t="s">
        <v>1983</v>
      </c>
    </row>
    <row r="9" spans="2:17" ht="18.600000000000001" collapsed="1" x14ac:dyDescent="0.3">
      <c r="B9" s="214" t="s">
        <v>1985</v>
      </c>
      <c r="C9" s="917">
        <f t="shared" ref="C9:G9" si="0">C8/C6</f>
        <v>0.20593229724242312</v>
      </c>
      <c r="D9" s="917">
        <f>D8/D6</f>
        <v>0.18897586289601637</v>
      </c>
      <c r="E9" s="917">
        <f t="shared" si="0"/>
        <v>9.7597358685707472E-2</v>
      </c>
      <c r="F9" s="917">
        <f t="shared" si="0"/>
        <v>0.1108468548566348</v>
      </c>
      <c r="G9" s="918">
        <f t="shared" si="0"/>
        <v>0.10235596911502672</v>
      </c>
      <c r="H9" s="464">
        <f>H8/H6</f>
        <v>0.10072399690505139</v>
      </c>
      <c r="I9" s="464">
        <f>I8/I6</f>
        <v>0.10012235623142807</v>
      </c>
    </row>
    <row r="10" spans="2:17" x14ac:dyDescent="0.3">
      <c r="B10" s="214" t="s">
        <v>1563</v>
      </c>
      <c r="C10" s="917">
        <f t="shared" ref="C10:G10" si="1">C9*C7</f>
        <v>0.45014222024974276</v>
      </c>
      <c r="D10" s="917">
        <f t="shared" si="1"/>
        <v>0.41406492606836587</v>
      </c>
      <c r="E10" s="917">
        <f t="shared" si="1"/>
        <v>0.27147994467496545</v>
      </c>
      <c r="F10" s="917">
        <f t="shared" si="1"/>
        <v>0.27299102255309826</v>
      </c>
      <c r="G10" s="918">
        <f t="shared" si="1"/>
        <v>0.23496662405908247</v>
      </c>
      <c r="H10" s="827"/>
    </row>
    <row r="11" spans="2:17" ht="4.5" customHeight="1" x14ac:dyDescent="0.3">
      <c r="B11" s="214"/>
      <c r="C11" s="220"/>
      <c r="D11" s="220"/>
      <c r="E11" s="220"/>
      <c r="F11" s="220"/>
      <c r="G11" s="223"/>
      <c r="H11" s="397"/>
    </row>
    <row r="12" spans="2:17" ht="4.5" customHeight="1" x14ac:dyDescent="0.3">
      <c r="B12" s="1155"/>
      <c r="C12" s="684"/>
      <c r="D12" s="684"/>
      <c r="E12" s="684"/>
      <c r="F12" s="684"/>
      <c r="G12" s="1279"/>
      <c r="H12" s="397"/>
    </row>
    <row r="13" spans="2:17" ht="4.5" customHeight="1" x14ac:dyDescent="0.3">
      <c r="B13" s="214"/>
      <c r="C13" s="220"/>
      <c r="D13" s="220"/>
      <c r="E13" s="220"/>
      <c r="F13" s="220"/>
      <c r="G13" s="223"/>
      <c r="H13" s="397"/>
    </row>
    <row r="14" spans="2:17" x14ac:dyDescent="0.3">
      <c r="B14" s="214" t="s">
        <v>1730</v>
      </c>
      <c r="C14" s="1339">
        <v>8700</v>
      </c>
      <c r="D14" s="220"/>
      <c r="E14" s="220"/>
      <c r="F14" s="220"/>
      <c r="G14" s="223"/>
      <c r="H14" s="397"/>
      <c r="Q14" s="1329"/>
    </row>
    <row r="15" spans="2:17" x14ac:dyDescent="0.3">
      <c r="B15" s="214" t="s">
        <v>1731</v>
      </c>
      <c r="C15" s="1344">
        <f>C32</f>
        <v>1352</v>
      </c>
      <c r="D15" s="220"/>
      <c r="E15" s="220"/>
      <c r="F15" s="220"/>
      <c r="G15" s="223"/>
      <c r="H15" s="397"/>
      <c r="I15" s="211" t="s">
        <v>176</v>
      </c>
      <c r="O15" s="1619"/>
    </row>
    <row r="16" spans="2:17" x14ac:dyDescent="0.3">
      <c r="B16" s="214" t="s">
        <v>1708</v>
      </c>
      <c r="C16" s="1345">
        <f>C14+C15</f>
        <v>10052</v>
      </c>
      <c r="D16" s="220"/>
      <c r="E16" s="220"/>
      <c r="F16" s="220"/>
      <c r="G16" s="223"/>
      <c r="H16" s="397"/>
      <c r="Q16" s="1329"/>
    </row>
    <row r="17" spans="2:17" ht="4.5" customHeight="1" x14ac:dyDescent="0.3">
      <c r="B17" s="214"/>
      <c r="C17" s="220"/>
      <c r="D17" s="220"/>
      <c r="E17" s="220"/>
      <c r="F17" s="220"/>
      <c r="G17" s="223"/>
      <c r="H17" s="397"/>
    </row>
    <row r="18" spans="2:17" ht="4.5" customHeight="1" x14ac:dyDescent="0.3">
      <c r="B18" s="1155"/>
      <c r="C18" s="684"/>
      <c r="D18" s="684"/>
      <c r="E18" s="684"/>
      <c r="F18" s="684"/>
      <c r="G18" s="1279"/>
      <c r="H18" s="397"/>
    </row>
    <row r="19" spans="2:17" ht="4.5" customHeight="1" x14ac:dyDescent="0.3">
      <c r="B19" s="214"/>
      <c r="C19" s="220"/>
      <c r="D19" s="220"/>
      <c r="E19" s="220"/>
      <c r="F19" s="220"/>
      <c r="G19" s="223"/>
      <c r="H19" s="397"/>
    </row>
    <row r="20" spans="2:17" x14ac:dyDescent="0.3">
      <c r="B20" s="214" t="s">
        <v>1705</v>
      </c>
      <c r="C20" s="2694">
        <f>C16/C35</f>
        <v>4.055597022452643</v>
      </c>
      <c r="D20" s="220"/>
      <c r="E20" s="220"/>
      <c r="F20" s="220"/>
      <c r="G20" s="223"/>
      <c r="H20" s="397"/>
      <c r="M20" s="1621"/>
      <c r="Q20" s="1620"/>
    </row>
    <row r="21" spans="2:17" x14ac:dyDescent="0.3">
      <c r="B21" s="214" t="s">
        <v>1982</v>
      </c>
      <c r="C21" s="464">
        <f>C10/C20</f>
        <v>0.11099283724631916</v>
      </c>
      <c r="D21" s="220"/>
      <c r="E21" s="220"/>
      <c r="F21" s="220"/>
      <c r="G21" s="223"/>
      <c r="H21" s="220"/>
      <c r="Q21" s="1329"/>
    </row>
    <row r="22" spans="2:17" x14ac:dyDescent="0.3">
      <c r="B22" s="214" t="s">
        <v>1972</v>
      </c>
      <c r="C22" s="464">
        <f>(AVERAGE(C10:G10)/C20)</f>
        <v>8.10556240428075E-2</v>
      </c>
      <c r="D22" s="220"/>
      <c r="E22" s="220"/>
      <c r="F22" s="220"/>
      <c r="G22" s="223"/>
      <c r="H22" s="220"/>
      <c r="Q22" s="1329"/>
    </row>
    <row r="23" spans="2:17" ht="4.5" customHeight="1" x14ac:dyDescent="0.3">
      <c r="B23" s="214"/>
      <c r="C23" s="220"/>
      <c r="D23" s="220"/>
      <c r="E23" s="220"/>
      <c r="F23" s="220"/>
      <c r="G23" s="223"/>
      <c r="H23" s="397"/>
    </row>
    <row r="24" spans="2:17" ht="4.5" customHeight="1" x14ac:dyDescent="0.3">
      <c r="B24" s="1155"/>
      <c r="C24" s="684"/>
      <c r="D24" s="684"/>
      <c r="E24" s="684"/>
      <c r="F24" s="684"/>
      <c r="G24" s="1279"/>
      <c r="H24" s="397"/>
    </row>
    <row r="25" spans="2:17" ht="4.5" customHeight="1" x14ac:dyDescent="0.3">
      <c r="B25" s="214"/>
      <c r="C25" s="220"/>
      <c r="D25" s="220"/>
      <c r="E25" s="220"/>
      <c r="F25" s="220"/>
      <c r="G25" s="223"/>
      <c r="H25" s="397"/>
    </row>
    <row r="26" spans="2:17" x14ac:dyDescent="0.3">
      <c r="B26" s="6" t="s">
        <v>1405</v>
      </c>
      <c r="C26" s="205"/>
      <c r="D26" s="205"/>
      <c r="E26" s="205"/>
      <c r="F26" s="205"/>
      <c r="G26" s="8"/>
      <c r="H26" s="397"/>
    </row>
    <row r="27" spans="2:17" ht="30.75" customHeight="1" thickBot="1" x14ac:dyDescent="0.35">
      <c r="B27" s="2802" t="s">
        <v>2494</v>
      </c>
      <c r="C27" s="2803"/>
      <c r="D27" s="2803"/>
      <c r="E27" s="2803"/>
      <c r="F27" s="2803"/>
      <c r="G27" s="2804"/>
      <c r="H27" s="220"/>
      <c r="K27" s="152"/>
    </row>
    <row r="28" spans="2:17" ht="30.75" customHeight="1" x14ac:dyDescent="0.3">
      <c r="B28" s="2936" t="s">
        <v>1981</v>
      </c>
      <c r="C28" s="2936"/>
      <c r="D28" s="2936"/>
      <c r="E28" s="2936"/>
      <c r="F28" s="2936"/>
      <c r="G28" s="2936"/>
      <c r="H28" s="397"/>
    </row>
    <row r="29" spans="2:17" x14ac:dyDescent="0.3">
      <c r="B29" s="1917" t="s">
        <v>2595</v>
      </c>
      <c r="M29" s="211" t="s">
        <v>176</v>
      </c>
    </row>
    <row r="30" spans="2:17" x14ac:dyDescent="0.3">
      <c r="C30" s="1332">
        <f>C5</f>
        <v>2010</v>
      </c>
      <c r="D30" s="1332">
        <f t="shared" ref="D30:G30" si="2">D5</f>
        <v>2009</v>
      </c>
      <c r="E30" s="1332">
        <f t="shared" si="2"/>
        <v>2008</v>
      </c>
      <c r="F30" s="1332">
        <f t="shared" si="2"/>
        <v>2007</v>
      </c>
      <c r="G30" s="1332">
        <f t="shared" si="2"/>
        <v>2006</v>
      </c>
      <c r="H30" s="1332">
        <v>2005</v>
      </c>
    </row>
    <row r="31" spans="2:17" x14ac:dyDescent="0.3">
      <c r="B31" s="211" t="s">
        <v>1766</v>
      </c>
      <c r="C31" s="1622">
        <v>2271.1</v>
      </c>
      <c r="D31" s="1622">
        <v>2129.8000000000002</v>
      </c>
      <c r="E31" s="1622">
        <v>1584.6</v>
      </c>
      <c r="F31" s="1622">
        <v>1951</v>
      </c>
      <c r="G31" s="1622">
        <v>1683.1</v>
      </c>
      <c r="H31" s="1622">
        <v>1567.2</v>
      </c>
    </row>
    <row r="32" spans="2:17" x14ac:dyDescent="0.3">
      <c r="B32" s="211" t="s">
        <v>23</v>
      </c>
      <c r="C32" s="1622">
        <f>1351.6+0.4</f>
        <v>1352</v>
      </c>
      <c r="D32" s="1622">
        <f>1390.3+0.3</f>
        <v>1390.6</v>
      </c>
      <c r="E32" s="1622">
        <f>954.6+391.2</f>
        <v>1345.8</v>
      </c>
      <c r="F32" s="1622">
        <f>1223.9+204.9</f>
        <v>1428.8000000000002</v>
      </c>
      <c r="G32" s="1622">
        <f>1538+3.7</f>
        <v>1541.7</v>
      </c>
      <c r="H32" s="1622">
        <f>1662.9+7.9</f>
        <v>1670.8000000000002</v>
      </c>
    </row>
    <row r="33" spans="2:10" x14ac:dyDescent="0.3">
      <c r="B33" s="211" t="s">
        <v>1980</v>
      </c>
      <c r="C33" s="1622">
        <f>-765.6-299.4</f>
        <v>-1065</v>
      </c>
      <c r="D33" s="1622">
        <f>-790.7-330.7</f>
        <v>-1121.4000000000001</v>
      </c>
      <c r="E33" s="1622">
        <f>-782.1-361</f>
        <v>-1143.0999999999999</v>
      </c>
      <c r="F33" s="1622">
        <f>-1170.8-381.3</f>
        <v>-1552.1</v>
      </c>
      <c r="G33" s="1622">
        <f>-1076.1-322.8</f>
        <v>-1398.8999999999999</v>
      </c>
      <c r="H33" s="1622">
        <f>-1138.8-404.6</f>
        <v>-1543.4</v>
      </c>
    </row>
    <row r="34" spans="2:10" x14ac:dyDescent="0.3">
      <c r="B34" s="211" t="s">
        <v>257</v>
      </c>
      <c r="C34" s="1622">
        <f>C31+C32+C33</f>
        <v>2558.1</v>
      </c>
      <c r="D34" s="1622">
        <f t="shared" ref="D34:H34" si="3">D31+D32+D33</f>
        <v>2399</v>
      </c>
      <c r="E34" s="1622">
        <f t="shared" si="3"/>
        <v>1787.2999999999997</v>
      </c>
      <c r="F34" s="1622">
        <f t="shared" si="3"/>
        <v>1827.7000000000003</v>
      </c>
      <c r="G34" s="1622">
        <f t="shared" si="3"/>
        <v>1825.9000000000003</v>
      </c>
      <c r="H34" s="1622">
        <f t="shared" si="3"/>
        <v>1694.6</v>
      </c>
    </row>
    <row r="35" spans="2:10" x14ac:dyDescent="0.3">
      <c r="B35" s="211" t="s">
        <v>1767</v>
      </c>
      <c r="C35" s="1622">
        <f>AVERAGE(C34:D34)</f>
        <v>2478.5500000000002</v>
      </c>
      <c r="D35" s="1622">
        <f t="shared" ref="D35:G35" si="4">AVERAGE(D34:E34)</f>
        <v>2093.1499999999996</v>
      </c>
      <c r="E35" s="1622">
        <f t="shared" si="4"/>
        <v>1807.5</v>
      </c>
      <c r="F35" s="1622">
        <f t="shared" si="4"/>
        <v>1826.8000000000002</v>
      </c>
      <c r="G35" s="1622">
        <f t="shared" si="4"/>
        <v>1760.25</v>
      </c>
      <c r="H35" s="1622">
        <f>AVERAGE(H34:H34)</f>
        <v>1694.6</v>
      </c>
    </row>
    <row r="36" spans="2:10" x14ac:dyDescent="0.3">
      <c r="C36" s="1622"/>
      <c r="D36" s="1622"/>
      <c r="E36" s="1622"/>
      <c r="F36" s="1622"/>
      <c r="G36" s="1622"/>
      <c r="H36" s="1622"/>
    </row>
    <row r="37" spans="2:10" x14ac:dyDescent="0.3">
      <c r="C37" s="1622"/>
      <c r="D37" s="1622"/>
      <c r="E37" s="1622"/>
      <c r="F37" s="1622"/>
      <c r="G37" s="1622"/>
      <c r="H37" s="1622"/>
    </row>
    <row r="38" spans="2:10" x14ac:dyDescent="0.3">
      <c r="C38" s="1622"/>
      <c r="D38" s="1622"/>
      <c r="E38" s="1622"/>
      <c r="F38" s="1622"/>
      <c r="G38" s="1622"/>
      <c r="H38" s="1622"/>
    </row>
    <row r="39" spans="2:10" x14ac:dyDescent="0.3">
      <c r="C39" s="1622"/>
      <c r="D39" s="1622"/>
      <c r="E39" s="1622"/>
      <c r="F39" s="1622"/>
      <c r="G39" s="1622"/>
      <c r="H39" s="1622"/>
    </row>
    <row r="40" spans="2:10" x14ac:dyDescent="0.3">
      <c r="C40" s="1622"/>
      <c r="D40" s="1622"/>
      <c r="E40" s="1622"/>
      <c r="F40" s="1622"/>
      <c r="G40" s="1622"/>
      <c r="H40" s="1622"/>
      <c r="I40" s="211" t="s">
        <v>176</v>
      </c>
      <c r="J40" s="1622"/>
    </row>
    <row r="41" spans="2:10" x14ac:dyDescent="0.3">
      <c r="C41" s="1622"/>
      <c r="D41" s="1622"/>
      <c r="E41" s="1622"/>
      <c r="F41" s="1622"/>
      <c r="G41" s="1622"/>
      <c r="H41" s="1622"/>
      <c r="J41" s="1622"/>
    </row>
    <row r="42" spans="2:10" x14ac:dyDescent="0.3">
      <c r="C42" s="1622"/>
      <c r="D42" s="1622"/>
      <c r="E42" s="1622"/>
      <c r="F42" s="1622"/>
      <c r="G42" s="1622"/>
      <c r="H42" s="1622"/>
      <c r="J42" s="1622"/>
    </row>
    <row r="43" spans="2:10" x14ac:dyDescent="0.3">
      <c r="C43" s="1622"/>
      <c r="D43" s="1622"/>
      <c r="E43" s="1622"/>
      <c r="F43" s="1622"/>
      <c r="G43" s="1622"/>
      <c r="H43" s="1622"/>
      <c r="J43" s="1622"/>
    </row>
    <row r="44" spans="2:10" x14ac:dyDescent="0.3">
      <c r="C44" s="1622"/>
      <c r="D44" s="1622"/>
      <c r="E44" s="1622"/>
      <c r="F44" s="1622"/>
      <c r="G44" s="1622"/>
      <c r="H44" s="1622"/>
      <c r="J44" s="1622"/>
    </row>
    <row r="45" spans="2:10" x14ac:dyDescent="0.3">
      <c r="J45" s="403"/>
    </row>
    <row r="46" spans="2:10" x14ac:dyDescent="0.3">
      <c r="C46" s="1379"/>
      <c r="D46" s="1379"/>
      <c r="E46" s="1379"/>
      <c r="F46" s="1379"/>
      <c r="G46" s="1379"/>
      <c r="H46" s="1379"/>
    </row>
    <row r="47" spans="2:10" x14ac:dyDescent="0.3">
      <c r="C47" s="403"/>
      <c r="D47" s="403"/>
      <c r="E47" s="403"/>
      <c r="F47" s="403"/>
      <c r="G47" s="403"/>
      <c r="H47" s="348"/>
    </row>
    <row r="48" spans="2:10" x14ac:dyDescent="0.3">
      <c r="C48" s="403"/>
      <c r="D48" s="403"/>
      <c r="E48" s="403"/>
      <c r="F48" s="403"/>
      <c r="G48" s="403"/>
    </row>
    <row r="50" spans="3:8" x14ac:dyDescent="0.3">
      <c r="C50" s="226"/>
      <c r="D50" s="226"/>
      <c r="E50" s="226"/>
      <c r="F50" s="226"/>
      <c r="G50" s="226"/>
    </row>
    <row r="51" spans="3:8" x14ac:dyDescent="0.3">
      <c r="C51" s="1379"/>
      <c r="D51" s="1379"/>
      <c r="E51" s="1379"/>
      <c r="F51" s="1379"/>
      <c r="G51" s="1379"/>
      <c r="H51" s="1379"/>
    </row>
    <row r="52" spans="3:8" x14ac:dyDescent="0.3">
      <c r="C52" s="1622"/>
      <c r="D52" s="1622"/>
      <c r="E52" s="1622"/>
      <c r="F52" s="1622"/>
      <c r="G52" s="1622"/>
      <c r="H52" s="227"/>
    </row>
    <row r="53" spans="3:8" x14ac:dyDescent="0.3">
      <c r="C53" s="226"/>
      <c r="D53" s="226"/>
      <c r="E53" s="226"/>
      <c r="F53" s="226"/>
      <c r="G53" s="226"/>
    </row>
    <row r="55" spans="3:8" x14ac:dyDescent="0.3">
      <c r="C55" s="226"/>
      <c r="D55" s="226"/>
      <c r="E55" s="226"/>
      <c r="F55" s="226"/>
      <c r="G55" s="226"/>
    </row>
    <row r="63" spans="3:8" ht="9" customHeight="1" x14ac:dyDescent="0.3"/>
  </sheetData>
  <mergeCells count="2">
    <mergeCell ref="B27:G27"/>
    <mergeCell ref="B28:G28"/>
  </mergeCell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0CA24-CE4D-4EC8-BFF5-F43A8FD3B722}">
  <sheetPr>
    <tabColor theme="4"/>
  </sheetPr>
  <dimension ref="A1:X55"/>
  <sheetViews>
    <sheetView showGridLines="0" topLeftCell="G38" zoomScaleNormal="100" workbookViewId="0">
      <selection activeCell="P61" sqref="P61"/>
    </sheetView>
  </sheetViews>
  <sheetFormatPr defaultColWidth="9.109375" defaultRowHeight="15.6" outlineLevelRow="1" x14ac:dyDescent="0.3"/>
  <cols>
    <col min="1" max="1" width="29.6640625" style="211" customWidth="1"/>
    <col min="2" max="4" width="10.44140625" style="211" bestFit="1" customWidth="1"/>
    <col min="5" max="7" width="9.109375" style="211"/>
    <col min="8" max="8" width="41.109375" style="211" customWidth="1"/>
    <col min="9" max="9" width="10.33203125" style="211" bestFit="1" customWidth="1"/>
    <col min="10" max="16384" width="9.109375" style="211"/>
  </cols>
  <sheetData>
    <row r="1" spans="1:4" customFormat="1" x14ac:dyDescent="0.3">
      <c r="A1" s="459" t="s">
        <v>1863</v>
      </c>
      <c r="B1" s="211"/>
      <c r="C1" s="211"/>
    </row>
    <row r="2" spans="1:4" customFormat="1" x14ac:dyDescent="0.3">
      <c r="A2" s="152" t="s">
        <v>3242</v>
      </c>
      <c r="B2" s="211"/>
      <c r="C2" s="211"/>
    </row>
    <row r="3" spans="1:4" customFormat="1" ht="6.6" customHeight="1" thickBot="1" x14ac:dyDescent="0.35">
      <c r="A3" s="211"/>
      <c r="B3" s="211"/>
      <c r="C3" s="211"/>
    </row>
    <row r="4" spans="1:4" x14ac:dyDescent="0.3">
      <c r="A4" s="212" t="s">
        <v>1250</v>
      </c>
      <c r="B4" s="2542">
        <v>2011</v>
      </c>
      <c r="C4" s="2542">
        <v>2010</v>
      </c>
      <c r="D4" s="2541">
        <v>2009</v>
      </c>
    </row>
    <row r="5" spans="1:4" ht="18.600000000000001" x14ac:dyDescent="0.3">
      <c r="A5" s="214" t="s">
        <v>3241</v>
      </c>
      <c r="B5" s="2168">
        <v>359</v>
      </c>
      <c r="C5" s="2168">
        <v>362</v>
      </c>
      <c r="D5" s="1325">
        <v>227</v>
      </c>
    </row>
    <row r="6" spans="1:4" ht="18.600000000000001" x14ac:dyDescent="0.3">
      <c r="A6" s="214" t="s">
        <v>3240</v>
      </c>
      <c r="B6" s="1622">
        <f>4678-B7</f>
        <v>4387</v>
      </c>
      <c r="C6" s="1622">
        <v>3912</v>
      </c>
      <c r="D6" s="1624">
        <v>1831</v>
      </c>
    </row>
    <row r="7" spans="1:4" x14ac:dyDescent="0.3">
      <c r="A7" s="214" t="s">
        <v>3239</v>
      </c>
      <c r="B7" s="1622">
        <v>291</v>
      </c>
      <c r="C7" s="597"/>
      <c r="D7" s="1279"/>
    </row>
    <row r="8" spans="1:4" x14ac:dyDescent="0.3">
      <c r="A8" s="214" t="s">
        <v>3238</v>
      </c>
      <c r="B8" s="1345">
        <f>SUM(B5:B7)</f>
        <v>5037</v>
      </c>
      <c r="C8" s="1345">
        <f>SUM(C5:C7)</f>
        <v>4274</v>
      </c>
      <c r="D8" s="2516">
        <f>SUM(D5:D7)</f>
        <v>2058</v>
      </c>
    </row>
    <row r="9" spans="1:4" ht="8.25" customHeight="1" x14ac:dyDescent="0.3">
      <c r="A9" s="214"/>
      <c r="D9" s="223"/>
    </row>
    <row r="10" spans="1:4" x14ac:dyDescent="0.3">
      <c r="A10" s="6" t="s">
        <v>3237</v>
      </c>
      <c r="B10" s="1"/>
      <c r="C10" s="1"/>
      <c r="D10" s="8"/>
    </row>
    <row r="11" spans="1:4" ht="31.5" customHeight="1" x14ac:dyDescent="0.3">
      <c r="A11" s="2799" t="s">
        <v>3236</v>
      </c>
      <c r="B11" s="2827"/>
      <c r="C11" s="2827"/>
      <c r="D11" s="2801"/>
    </row>
    <row r="12" spans="1:4" ht="16.2" thickBot="1" x14ac:dyDescent="0.35">
      <c r="A12" s="9" t="s">
        <v>3235</v>
      </c>
      <c r="B12" s="25"/>
      <c r="C12" s="25"/>
      <c r="D12" s="26"/>
    </row>
    <row r="13" spans="1:4" x14ac:dyDescent="0.3">
      <c r="A13" s="12" t="s">
        <v>3234</v>
      </c>
      <c r="B13" s="1"/>
      <c r="C13" s="1"/>
      <c r="D13" s="1"/>
    </row>
    <row r="18" spans="7:24" x14ac:dyDescent="0.3">
      <c r="H18" s="459" t="s">
        <v>1863</v>
      </c>
      <c r="K18"/>
    </row>
    <row r="19" spans="7:24" x14ac:dyDescent="0.3">
      <c r="H19" s="152" t="s">
        <v>3233</v>
      </c>
      <c r="K19"/>
    </row>
    <row r="20" spans="7:24" ht="7.5" customHeight="1" thickBot="1" x14ac:dyDescent="0.35"/>
    <row r="21" spans="7:24" x14ac:dyDescent="0.3">
      <c r="H21" s="212" t="s">
        <v>1250</v>
      </c>
      <c r="I21" s="712">
        <v>2010</v>
      </c>
      <c r="J21" s="712">
        <v>2009</v>
      </c>
      <c r="K21" s="712">
        <v>2008</v>
      </c>
      <c r="L21" s="712">
        <v>2007</v>
      </c>
      <c r="M21" s="713">
        <v>2006</v>
      </c>
      <c r="N21" s="1332">
        <v>2005</v>
      </c>
      <c r="Q21" s="211" t="s">
        <v>176</v>
      </c>
    </row>
    <row r="22" spans="7:24" x14ac:dyDescent="0.3">
      <c r="H22" s="214" t="s">
        <v>289</v>
      </c>
      <c r="I22" s="1911">
        <v>56868</v>
      </c>
      <c r="J22" s="1911">
        <v>55128</v>
      </c>
      <c r="K22" s="1911">
        <v>58892</v>
      </c>
      <c r="L22" s="1911">
        <v>54057</v>
      </c>
      <c r="M22" s="1370">
        <v>48328</v>
      </c>
      <c r="N22" s="1911"/>
    </row>
    <row r="23" spans="7:24" x14ac:dyDescent="0.3">
      <c r="H23" s="214" t="s">
        <v>1703</v>
      </c>
      <c r="I23" s="341">
        <f>I22/AVERAGE(I55:J55)</f>
        <v>2.3058957099991892</v>
      </c>
      <c r="J23" s="341">
        <f>J22/AVERAGE(J55:K55)</f>
        <v>2.0978366345111024</v>
      </c>
      <c r="K23" s="341">
        <f>K22/AVERAGE(K55:L55)</f>
        <v>1.5969196144094797</v>
      </c>
      <c r="L23" s="341">
        <f>L22/AVERAGE(L55:M55)</f>
        <v>1.2950265919218054</v>
      </c>
      <c r="M23" s="2540">
        <f>M22/AVERAGE(M55:N55)</f>
        <v>1.196726385776369</v>
      </c>
      <c r="X23" s="211" t="s">
        <v>176</v>
      </c>
    </row>
    <row r="24" spans="7:24" outlineLevel="1" x14ac:dyDescent="0.3">
      <c r="H24" s="214" t="s">
        <v>2127</v>
      </c>
      <c r="I24" s="1224">
        <f>19723+368</f>
        <v>20091</v>
      </c>
      <c r="J24" s="1224">
        <f>18138+402</f>
        <v>18540</v>
      </c>
      <c r="K24" s="1224">
        <f>16715+673</f>
        <v>17388</v>
      </c>
      <c r="L24" s="1224">
        <f>14489+611</f>
        <v>15100</v>
      </c>
      <c r="M24" s="927">
        <f>13317+278</f>
        <v>13595</v>
      </c>
      <c r="N24" s="1224"/>
    </row>
    <row r="25" spans="7:24" x14ac:dyDescent="0.3">
      <c r="H25" s="214" t="s">
        <v>1993</v>
      </c>
      <c r="I25" s="917">
        <f>I24/I22</f>
        <v>0.35329183372019413</v>
      </c>
      <c r="J25" s="917">
        <f>J24/J22</f>
        <v>0.33630822812363953</v>
      </c>
      <c r="K25" s="917">
        <f>K24/K22</f>
        <v>0.29525232629219589</v>
      </c>
      <c r="L25" s="917">
        <f>L24/L22</f>
        <v>0.27933477625469411</v>
      </c>
      <c r="M25" s="918">
        <f>M24/M22</f>
        <v>0.28130690283065718</v>
      </c>
    </row>
    <row r="26" spans="7:24" x14ac:dyDescent="0.3">
      <c r="H26" s="214" t="s">
        <v>1563</v>
      </c>
      <c r="I26" s="917">
        <f>I23*I25</f>
        <v>0.8146541237531425</v>
      </c>
      <c r="J26" s="917">
        <f>J23*J25</f>
        <v>0.70551972144528796</v>
      </c>
      <c r="K26" s="917">
        <f>K23*K25</f>
        <v>0.47149423105603533</v>
      </c>
      <c r="L26" s="917">
        <f>L23*L25</f>
        <v>0.36174596329835657</v>
      </c>
      <c r="M26" s="918">
        <f>M23*M25</f>
        <v>0.33664739311847658</v>
      </c>
    </row>
    <row r="27" spans="7:24" ht="4.5" customHeight="1" x14ac:dyDescent="0.3">
      <c r="H27" s="221"/>
      <c r="I27" s="1332"/>
      <c r="J27" s="1332"/>
      <c r="K27" s="1332"/>
      <c r="L27" s="1332"/>
      <c r="M27" s="1470"/>
      <c r="N27" s="1332"/>
    </row>
    <row r="28" spans="7:24" ht="4.5" customHeight="1" x14ac:dyDescent="0.3">
      <c r="H28" s="2539"/>
      <c r="I28" s="2538"/>
      <c r="J28" s="2538"/>
      <c r="K28" s="2538"/>
      <c r="L28" s="2538"/>
      <c r="M28" s="2537"/>
      <c r="N28" s="1332"/>
    </row>
    <row r="29" spans="7:24" ht="4.5" customHeight="1" x14ac:dyDescent="0.3">
      <c r="H29" s="221"/>
      <c r="I29" s="1332"/>
      <c r="J29" s="1332"/>
      <c r="K29" s="1332"/>
      <c r="L29" s="1332"/>
      <c r="M29" s="1470"/>
      <c r="N29" s="1332"/>
    </row>
    <row r="30" spans="7:24" ht="18.600000000000001" x14ac:dyDescent="0.3">
      <c r="G30" s="211" t="s">
        <v>176</v>
      </c>
      <c r="H30" s="214" t="s">
        <v>3232</v>
      </c>
      <c r="I30" s="1911">
        <f>10856/0.055</f>
        <v>197381.81818181818</v>
      </c>
      <c r="J30" s="1332"/>
      <c r="K30" s="1332"/>
      <c r="L30" s="1332"/>
      <c r="M30" s="1470"/>
      <c r="N30" s="1332"/>
    </row>
    <row r="31" spans="7:24" x14ac:dyDescent="0.3">
      <c r="H31" s="214" t="s">
        <v>2015</v>
      </c>
      <c r="I31" s="1224">
        <f>I52</f>
        <v>28624</v>
      </c>
      <c r="J31" s="1332"/>
      <c r="K31" s="1332"/>
      <c r="L31" s="1332"/>
      <c r="M31" s="1470"/>
      <c r="N31" s="1332"/>
    </row>
    <row r="32" spans="7:24" x14ac:dyDescent="0.3">
      <c r="H32" s="214" t="s">
        <v>1109</v>
      </c>
      <c r="I32" s="1912">
        <f>I30+I31</f>
        <v>226005.81818181818</v>
      </c>
      <c r="J32" s="1332"/>
      <c r="K32" s="1332"/>
      <c r="L32" s="1332"/>
      <c r="M32" s="1470"/>
      <c r="N32" s="1332"/>
    </row>
    <row r="33" spans="8:14" ht="4.5" customHeight="1" x14ac:dyDescent="0.3">
      <c r="H33" s="221"/>
      <c r="I33" s="1332"/>
      <c r="J33" s="1332"/>
      <c r="K33" s="1332"/>
      <c r="L33" s="1332"/>
      <c r="M33" s="1470"/>
      <c r="N33" s="1332"/>
    </row>
    <row r="34" spans="8:14" ht="4.5" customHeight="1" x14ac:dyDescent="0.3">
      <c r="H34" s="2539"/>
      <c r="I34" s="2538"/>
      <c r="J34" s="2538"/>
      <c r="K34" s="2538"/>
      <c r="L34" s="2538"/>
      <c r="M34" s="2537"/>
      <c r="N34" s="1332"/>
    </row>
    <row r="35" spans="8:14" ht="4.5" customHeight="1" x14ac:dyDescent="0.3">
      <c r="H35" s="221"/>
      <c r="I35" s="1332"/>
      <c r="J35" s="1332"/>
      <c r="K35" s="1332"/>
      <c r="L35" s="1332"/>
      <c r="M35" s="1470"/>
      <c r="N35" s="1332"/>
    </row>
    <row r="36" spans="8:14" x14ac:dyDescent="0.3">
      <c r="H36" s="214" t="s">
        <v>1705</v>
      </c>
      <c r="I36" s="2694">
        <f>I32/I55</f>
        <v>9.7534014406101406</v>
      </c>
      <c r="J36" s="1332"/>
      <c r="K36" s="1332"/>
      <c r="L36" s="1332"/>
      <c r="M36" s="1470"/>
      <c r="N36" s="1332"/>
    </row>
    <row r="37" spans="8:14" x14ac:dyDescent="0.3">
      <c r="H37" s="214" t="s">
        <v>3231</v>
      </c>
      <c r="I37" s="464">
        <f>I26/I36</f>
        <v>8.3525130049623017E-2</v>
      </c>
      <c r="J37" s="1332"/>
      <c r="K37" s="1332"/>
      <c r="L37" s="1332"/>
      <c r="M37" s="1470"/>
      <c r="N37" s="1332"/>
    </row>
    <row r="38" spans="8:14" x14ac:dyDescent="0.3">
      <c r="H38" s="214" t="s">
        <v>3230</v>
      </c>
      <c r="I38" s="464">
        <f>AVERAGE(I26:M26)/I36</f>
        <v>5.5161503380158579E-2</v>
      </c>
      <c r="J38" s="1332"/>
      <c r="K38" s="1332"/>
      <c r="L38" s="1332"/>
      <c r="M38" s="1470"/>
      <c r="N38" s="1332"/>
    </row>
    <row r="39" spans="8:14" ht="4.5" customHeight="1" x14ac:dyDescent="0.3">
      <c r="H39" s="221"/>
      <c r="I39" s="1332"/>
      <c r="J39" s="1332"/>
      <c r="K39" s="1332"/>
      <c r="L39" s="1332"/>
      <c r="M39" s="1470"/>
      <c r="N39" s="1332"/>
    </row>
    <row r="40" spans="8:14" ht="4.5" customHeight="1" x14ac:dyDescent="0.3">
      <c r="H40" s="2539"/>
      <c r="I40" s="2538"/>
      <c r="J40" s="2538"/>
      <c r="K40" s="2538"/>
      <c r="L40" s="2538"/>
      <c r="M40" s="2537"/>
      <c r="N40" s="1332"/>
    </row>
    <row r="41" spans="8:14" ht="4.5" customHeight="1" x14ac:dyDescent="0.3">
      <c r="H41" s="221"/>
      <c r="I41" s="1332"/>
      <c r="J41" s="1332"/>
      <c r="K41" s="1332"/>
      <c r="L41" s="1332"/>
      <c r="M41" s="1470"/>
      <c r="N41" s="1332"/>
    </row>
    <row r="42" spans="8:14" ht="16.2" thickBot="1" x14ac:dyDescent="0.35">
      <c r="H42" s="9" t="s">
        <v>3766</v>
      </c>
      <c r="I42" s="2536"/>
      <c r="J42" s="2536"/>
      <c r="K42" s="2536"/>
      <c r="L42" s="2536"/>
      <c r="M42" s="2535"/>
      <c r="N42" s="1332"/>
    </row>
    <row r="43" spans="8:14" ht="30.75" customHeight="1" x14ac:dyDescent="0.3">
      <c r="H43" s="2805" t="s">
        <v>3229</v>
      </c>
      <c r="I43" s="2805"/>
      <c r="J43" s="2805"/>
      <c r="K43" s="2805"/>
      <c r="L43" s="2805"/>
      <c r="M43" s="2805"/>
      <c r="N43" s="1332"/>
    </row>
    <row r="44" spans="8:14" x14ac:dyDescent="0.3">
      <c r="H44" s="320"/>
      <c r="I44" s="1332"/>
      <c r="J44" s="1332"/>
      <c r="K44" s="1332"/>
      <c r="L44" s="1332"/>
      <c r="M44" s="1332"/>
      <c r="N44" s="1332"/>
    </row>
    <row r="45" spans="8:14" x14ac:dyDescent="0.3">
      <c r="H45" s="320"/>
      <c r="I45" s="1332"/>
      <c r="J45" s="1332"/>
      <c r="K45" s="1332"/>
      <c r="L45" s="1332"/>
      <c r="M45" s="1332"/>
      <c r="N45" s="1332"/>
    </row>
    <row r="46" spans="8:14" x14ac:dyDescent="0.3">
      <c r="H46" s="211" t="s">
        <v>1</v>
      </c>
      <c r="I46" s="1379">
        <v>3177</v>
      </c>
      <c r="J46" s="1379">
        <v>2860</v>
      </c>
      <c r="K46" s="1379">
        <v>2585</v>
      </c>
      <c r="L46" s="1379">
        <v>2147</v>
      </c>
      <c r="M46" s="1379">
        <v>1683</v>
      </c>
      <c r="N46" s="1332"/>
    </row>
    <row r="47" spans="8:14" x14ac:dyDescent="0.3">
      <c r="H47" s="211" t="s">
        <v>3228</v>
      </c>
      <c r="I47" s="1379">
        <f>15375-3774</f>
        <v>11601</v>
      </c>
      <c r="J47" s="1379">
        <f>7429-3052</f>
        <v>4377</v>
      </c>
      <c r="K47" s="1379">
        <f>10578-3774</f>
        <v>6804</v>
      </c>
      <c r="L47" s="1379">
        <f>18828-4123</f>
        <v>14705</v>
      </c>
      <c r="M47" s="1379">
        <v>6399</v>
      </c>
      <c r="N47" s="1332"/>
    </row>
    <row r="48" spans="8:14" x14ac:dyDescent="0.3">
      <c r="H48" s="320" t="s">
        <v>3227</v>
      </c>
      <c r="I48" s="2534">
        <f>I46+I47</f>
        <v>14778</v>
      </c>
      <c r="J48" s="2534">
        <f>J46+J47</f>
        <v>7237</v>
      </c>
      <c r="K48" s="2534">
        <f>K46+K47</f>
        <v>9389</v>
      </c>
      <c r="L48" s="2534">
        <f>L46+L47</f>
        <v>16852</v>
      </c>
      <c r="M48" s="2534">
        <f>M46+M47</f>
        <v>8082</v>
      </c>
      <c r="N48" s="1332"/>
    </row>
    <row r="49" spans="8:14" x14ac:dyDescent="0.3">
      <c r="H49" s="320"/>
      <c r="I49" s="1379"/>
      <c r="J49" s="1379"/>
      <c r="K49" s="1379"/>
      <c r="L49" s="1379"/>
      <c r="M49" s="1379"/>
      <c r="N49" s="1332"/>
    </row>
    <row r="50" spans="8:14" x14ac:dyDescent="0.3">
      <c r="H50" s="320"/>
      <c r="I50" s="1332"/>
      <c r="J50" s="1332"/>
      <c r="K50" s="1332"/>
      <c r="L50" s="1332"/>
      <c r="M50" s="1332"/>
      <c r="N50" s="1332"/>
    </row>
    <row r="51" spans="8:14" x14ac:dyDescent="0.3">
      <c r="H51" s="211" t="s">
        <v>746</v>
      </c>
      <c r="I51" s="1911">
        <v>23172</v>
      </c>
      <c r="J51" s="1911">
        <v>22755</v>
      </c>
      <c r="K51" s="1911">
        <v>13584</v>
      </c>
      <c r="L51" s="1911">
        <v>28470</v>
      </c>
      <c r="M51" s="1911">
        <v>28506</v>
      </c>
      <c r="N51" s="1911">
        <v>33098</v>
      </c>
    </row>
    <row r="52" spans="8:14" x14ac:dyDescent="0.3">
      <c r="H52" s="211" t="s">
        <v>3226</v>
      </c>
      <c r="I52" s="1224">
        <f>21846+6778</f>
        <v>28624</v>
      </c>
      <c r="J52" s="1224">
        <f>21932+4168</f>
        <v>26100</v>
      </c>
      <c r="K52" s="1224">
        <f>22689+11236</f>
        <v>33925</v>
      </c>
      <c r="L52" s="1224">
        <f>23039+12235</f>
        <v>35274</v>
      </c>
      <c r="M52" s="1224">
        <f>13780+8902</f>
        <v>22682</v>
      </c>
      <c r="N52" s="1224">
        <f>15425+7216</f>
        <v>22641</v>
      </c>
    </row>
    <row r="53" spans="8:14" x14ac:dyDescent="0.3">
      <c r="H53" s="211" t="s">
        <v>346</v>
      </c>
      <c r="I53" s="1224">
        <v>-25136</v>
      </c>
      <c r="J53" s="1224">
        <v>-20190</v>
      </c>
      <c r="K53" s="1224">
        <v>-18226</v>
      </c>
      <c r="L53" s="1224">
        <v>-14285</v>
      </c>
      <c r="M53" s="1224">
        <v>-12854</v>
      </c>
      <c r="N53" s="1224">
        <v>-9441</v>
      </c>
    </row>
    <row r="54" spans="8:14" x14ac:dyDescent="0.3">
      <c r="H54" s="211" t="s">
        <v>3225</v>
      </c>
      <c r="I54" s="1224">
        <v>-3488</v>
      </c>
      <c r="J54" s="1224">
        <v>-2513</v>
      </c>
      <c r="K54" s="1224">
        <v>-2878</v>
      </c>
      <c r="L54" s="1224">
        <v>-2107</v>
      </c>
      <c r="M54" s="1224">
        <v>-2202</v>
      </c>
      <c r="N54" s="1224">
        <v>-1663</v>
      </c>
    </row>
    <row r="55" spans="8:14" x14ac:dyDescent="0.3">
      <c r="H55" s="211" t="s">
        <v>2299</v>
      </c>
      <c r="I55" s="1912">
        <f t="shared" ref="I55:N55" si="0">SUM(I51:I54)</f>
        <v>23172</v>
      </c>
      <c r="J55" s="1912">
        <f t="shared" si="0"/>
        <v>26152</v>
      </c>
      <c r="K55" s="1912">
        <f t="shared" si="0"/>
        <v>26405</v>
      </c>
      <c r="L55" s="1912">
        <f t="shared" si="0"/>
        <v>47352</v>
      </c>
      <c r="M55" s="1912">
        <f t="shared" si="0"/>
        <v>36132</v>
      </c>
      <c r="N55" s="1912">
        <f t="shared" si="0"/>
        <v>44635</v>
      </c>
    </row>
  </sheetData>
  <mergeCells count="2">
    <mergeCell ref="A11:D11"/>
    <mergeCell ref="H43:M43"/>
  </mergeCells>
  <pageMargins left="0.7" right="0.7" top="0.75" bottom="0.75" header="0.3" footer="0.3"/>
  <pageSetup orientation="portrait" r:id="rId1"/>
  <ignoredErrors>
    <ignoredError sqref="C8:D8" formulaRange="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9900D-824E-4EBF-BB31-1F43D1F72A42}">
  <sheetPr>
    <tabColor theme="4"/>
  </sheetPr>
  <dimension ref="A1:D7"/>
  <sheetViews>
    <sheetView workbookViewId="0">
      <selection activeCell="M22" sqref="M22"/>
    </sheetView>
  </sheetViews>
  <sheetFormatPr defaultRowHeight="15.6" x14ac:dyDescent="0.3"/>
  <cols>
    <col min="1" max="1" width="17.33203125" style="211" customWidth="1"/>
    <col min="2" max="16384" width="8.88671875" style="211"/>
  </cols>
  <sheetData>
    <row r="1" spans="1:4" x14ac:dyDescent="0.3">
      <c r="A1" s="211" t="s">
        <v>3243</v>
      </c>
    </row>
    <row r="2" spans="1:4" x14ac:dyDescent="0.3">
      <c r="B2" s="211">
        <v>2012</v>
      </c>
      <c r="C2" s="211">
        <v>2011</v>
      </c>
    </row>
    <row r="3" spans="1:4" x14ac:dyDescent="0.3">
      <c r="A3" s="211" t="s">
        <v>1019</v>
      </c>
      <c r="B3" s="211">
        <v>1287</v>
      </c>
      <c r="C3" s="211">
        <v>1287</v>
      </c>
      <c r="D3" s="211">
        <f>B3-C3</f>
        <v>0</v>
      </c>
    </row>
    <row r="4" spans="1:4" x14ac:dyDescent="0.3">
      <c r="A4" s="211" t="s">
        <v>2570</v>
      </c>
      <c r="B4" s="211">
        <v>1299</v>
      </c>
      <c r="C4" s="211">
        <v>1299</v>
      </c>
      <c r="D4" s="211">
        <f t="shared" ref="D4:D6" si="0">B4-C4</f>
        <v>0</v>
      </c>
    </row>
    <row r="5" spans="1:4" x14ac:dyDescent="0.3">
      <c r="A5" s="211" t="s">
        <v>2567</v>
      </c>
      <c r="B5" s="211">
        <v>11680</v>
      </c>
      <c r="C5" s="211">
        <v>10856</v>
      </c>
      <c r="D5" s="211">
        <f t="shared" si="0"/>
        <v>824</v>
      </c>
    </row>
    <row r="6" spans="1:4" x14ac:dyDescent="0.3">
      <c r="A6" s="211" t="s">
        <v>2572</v>
      </c>
      <c r="B6" s="211">
        <v>10906</v>
      </c>
      <c r="C6" s="211">
        <v>9086</v>
      </c>
      <c r="D6" s="211">
        <f t="shared" si="0"/>
        <v>1820</v>
      </c>
    </row>
    <row r="7" spans="1:4" x14ac:dyDescent="0.3">
      <c r="D7" s="211">
        <f>SUM(D3:D6)</f>
        <v>2644</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4E077-476B-440A-94C7-214412F5C4C0}">
  <sheetPr>
    <tabColor theme="4"/>
  </sheetPr>
  <dimension ref="A1:AO103"/>
  <sheetViews>
    <sheetView showGridLines="0" zoomScaleNormal="100" workbookViewId="0">
      <selection activeCell="H28" sqref="H28"/>
    </sheetView>
  </sheetViews>
  <sheetFormatPr defaultColWidth="9.109375" defaultRowHeight="13.8" outlineLevelRow="1" x14ac:dyDescent="0.25"/>
  <cols>
    <col min="1" max="1" width="50.44140625" style="1" customWidth="1"/>
    <col min="2" max="3" width="10.33203125" style="1" bestFit="1" customWidth="1"/>
    <col min="4" max="4" width="1.44140625" style="1" customWidth="1"/>
    <col min="5" max="6" width="9.109375" style="1"/>
    <col min="7" max="7" width="33.5546875" style="1" customWidth="1"/>
    <col min="8" max="8" width="9.109375" style="1"/>
    <col min="9" max="9" width="11.44140625" style="1" customWidth="1"/>
    <col min="10" max="10" width="12.33203125" style="1" bestFit="1" customWidth="1"/>
    <col min="11" max="11" width="3" style="1" customWidth="1"/>
    <col min="12" max="12" width="13.33203125" style="1" bestFit="1" customWidth="1"/>
    <col min="13" max="13" width="9.109375" style="1"/>
    <col min="14" max="14" width="6.6640625" style="1" customWidth="1"/>
    <col min="15" max="18" width="9.109375" style="1"/>
    <col min="19" max="19" width="31.109375" style="1" customWidth="1"/>
    <col min="20" max="22" width="9.109375" style="1"/>
    <col min="23" max="23" width="2.33203125" style="1" customWidth="1"/>
    <col min="24" max="28" width="9.109375" style="1"/>
    <col min="29" max="29" width="38.109375" style="1" customWidth="1"/>
    <col min="30" max="34" width="9.109375" style="1"/>
    <col min="35" max="35" width="38.88671875" style="1" customWidth="1"/>
    <col min="36" max="36" width="14" style="1" customWidth="1"/>
    <col min="37" max="37" width="1.5546875" style="1" customWidth="1"/>
    <col min="38" max="38" width="14" style="1" customWidth="1"/>
    <col min="39" max="16384" width="9.109375" style="1"/>
  </cols>
  <sheetData>
    <row r="1" spans="1:5" ht="15.6" x14ac:dyDescent="0.3">
      <c r="A1" s="459" t="s">
        <v>1863</v>
      </c>
      <c r="B1" s="211"/>
      <c r="C1" s="211"/>
      <c r="D1" s="211"/>
    </row>
    <row r="2" spans="1:5" ht="15.6" x14ac:dyDescent="0.3">
      <c r="A2" s="152" t="s">
        <v>1698</v>
      </c>
      <c r="B2" s="211"/>
      <c r="C2" s="211"/>
      <c r="D2" s="211"/>
    </row>
    <row r="3" spans="1:5" ht="8.25" customHeight="1" thickBot="1" x14ac:dyDescent="0.35">
      <c r="A3" s="211"/>
      <c r="B3" s="211"/>
      <c r="C3" s="211"/>
      <c r="D3" s="211"/>
    </row>
    <row r="4" spans="1:5" ht="15.6" x14ac:dyDescent="0.3">
      <c r="A4" s="212" t="s">
        <v>3190</v>
      </c>
      <c r="B4" s="712">
        <v>2012</v>
      </c>
      <c r="C4" s="712">
        <v>2011</v>
      </c>
      <c r="D4" s="713"/>
    </row>
    <row r="5" spans="1:5" ht="15.6" x14ac:dyDescent="0.3">
      <c r="A5" s="214" t="s">
        <v>394</v>
      </c>
      <c r="B5" s="1316">
        <v>113786</v>
      </c>
      <c r="C5" s="1316">
        <v>98366</v>
      </c>
      <c r="D5" s="1161"/>
      <c r="E5" s="69">
        <f>B5/C5-1</f>
        <v>0.15676148262611056</v>
      </c>
    </row>
    <row r="6" spans="1:5" ht="15.6" x14ac:dyDescent="0.3">
      <c r="A6" s="282" t="s">
        <v>1048</v>
      </c>
      <c r="B6" s="1319">
        <v>8085</v>
      </c>
      <c r="C6" s="1319">
        <v>6990</v>
      </c>
      <c r="D6" s="1320"/>
      <c r="E6" s="69">
        <f>B6/C6-1</f>
        <v>0.1566523605150214</v>
      </c>
    </row>
    <row r="7" spans="1:5" ht="31.2" x14ac:dyDescent="0.3">
      <c r="A7" s="282" t="s">
        <v>1693</v>
      </c>
      <c r="B7" s="1317">
        <f t="shared" ref="B7" si="0">B5+(10*B6)</f>
        <v>194636</v>
      </c>
      <c r="C7" s="1317">
        <f t="shared" ref="C7" si="1">C5+(10*C6)</f>
        <v>168266</v>
      </c>
      <c r="D7" s="1318"/>
    </row>
    <row r="8" spans="1:5" ht="34.200000000000003" hidden="1" outlineLevel="1" x14ac:dyDescent="0.3">
      <c r="A8" s="1307" t="s">
        <v>1690</v>
      </c>
      <c r="B8" s="1305"/>
      <c r="C8" s="1305"/>
      <c r="D8" s="1309"/>
    </row>
    <row r="9" spans="1:5" ht="15.6" hidden="1" outlineLevel="1" x14ac:dyDescent="0.3">
      <c r="A9" s="1307" t="s">
        <v>941</v>
      </c>
      <c r="B9" s="1305"/>
      <c r="C9" s="1305"/>
      <c r="D9" s="1309"/>
    </row>
    <row r="10" spans="1:5" ht="15.6" hidden="1" outlineLevel="1" x14ac:dyDescent="0.3">
      <c r="A10" s="1307" t="s">
        <v>942</v>
      </c>
      <c r="B10" s="1310">
        <f t="shared" ref="B10:C10" si="2">B7/C7-1</f>
        <v>0.15671615180725751</v>
      </c>
      <c r="C10" s="1310" t="e">
        <f t="shared" si="2"/>
        <v>#DIV/0!</v>
      </c>
      <c r="D10" s="1311"/>
    </row>
    <row r="11" spans="1:5" ht="15.6" hidden="1" outlineLevel="1" x14ac:dyDescent="0.3">
      <c r="A11" s="1307" t="s">
        <v>936</v>
      </c>
      <c r="B11" s="1308">
        <f>B17/B7</f>
        <v>0.68877288887975507</v>
      </c>
      <c r="C11" s="1308">
        <f>C17/C7</f>
        <v>0.68198566555335005</v>
      </c>
      <c r="D11" s="1312"/>
    </row>
    <row r="12" spans="1:5" ht="15.6" hidden="1" outlineLevel="1" x14ac:dyDescent="0.3">
      <c r="A12" s="214"/>
      <c r="B12" s="286"/>
      <c r="C12" s="286"/>
      <c r="D12" s="1107"/>
    </row>
    <row r="13" spans="1:5" ht="15.6" hidden="1" outlineLevel="1" x14ac:dyDescent="0.3">
      <c r="A13" s="214"/>
      <c r="B13" s="211"/>
      <c r="C13" s="211"/>
      <c r="D13" s="223"/>
    </row>
    <row r="14" spans="1:5" ht="4.5" customHeight="1" collapsed="1" x14ac:dyDescent="0.3">
      <c r="A14" s="214"/>
      <c r="B14" s="604"/>
      <c r="C14" s="604"/>
      <c r="D14" s="461"/>
    </row>
    <row r="15" spans="1:5" ht="4.5" customHeight="1" x14ac:dyDescent="0.3">
      <c r="A15" s="1155"/>
      <c r="B15" s="1323"/>
      <c r="C15" s="1323"/>
      <c r="D15" s="1324"/>
    </row>
    <row r="16" spans="1:5" ht="4.5" customHeight="1" x14ac:dyDescent="0.3">
      <c r="A16" s="214"/>
      <c r="B16" s="604"/>
      <c r="C16" s="604"/>
      <c r="D16" s="461"/>
    </row>
    <row r="17" spans="1:9" ht="15.6" x14ac:dyDescent="0.3">
      <c r="A17" s="214" t="s">
        <v>927</v>
      </c>
      <c r="B17" s="1317">
        <v>134060</v>
      </c>
      <c r="C17" s="1317">
        <v>114755</v>
      </c>
      <c r="D17" s="1318"/>
    </row>
    <row r="18" spans="1:9" ht="15.6" x14ac:dyDescent="0.3">
      <c r="A18" s="214" t="s">
        <v>1691</v>
      </c>
      <c r="B18" s="1317">
        <v>114214</v>
      </c>
      <c r="C18" s="1317">
        <v>99860</v>
      </c>
      <c r="D18" s="1318"/>
    </row>
    <row r="19" spans="1:9" ht="4.5" customHeight="1" collapsed="1" x14ac:dyDescent="0.3">
      <c r="A19" s="214"/>
      <c r="B19" s="604"/>
      <c r="C19" s="604"/>
      <c r="D19" s="461"/>
    </row>
    <row r="20" spans="1:9" ht="4.5" customHeight="1" x14ac:dyDescent="0.3">
      <c r="A20" s="1155"/>
      <c r="B20" s="1323"/>
      <c r="C20" s="1323"/>
      <c r="D20" s="1324"/>
    </row>
    <row r="21" spans="1:9" ht="4.5" customHeight="1" x14ac:dyDescent="0.3">
      <c r="A21" s="214"/>
      <c r="B21" s="604"/>
      <c r="C21" s="604"/>
      <c r="D21" s="461"/>
    </row>
    <row r="22" spans="1:9" ht="15.6" x14ac:dyDescent="0.3">
      <c r="A22" s="214" t="s">
        <v>1694</v>
      </c>
      <c r="B22" s="2748">
        <f>B17/B7</f>
        <v>0.68877288887975507</v>
      </c>
      <c r="C22" s="2748">
        <f>C17/C7</f>
        <v>0.68198566555335005</v>
      </c>
      <c r="D22" s="349"/>
    </row>
    <row r="23" spans="1:9" ht="15.6" x14ac:dyDescent="0.3">
      <c r="A23" s="214" t="s">
        <v>1695</v>
      </c>
      <c r="B23" s="2748">
        <f t="shared" ref="B23" si="3">B17/B18</f>
        <v>1.1737615353634405</v>
      </c>
      <c r="C23" s="2748">
        <f t="shared" ref="C23" si="4">C17/C18</f>
        <v>1.1491588223512919</v>
      </c>
      <c r="D23" s="349"/>
    </row>
    <row r="24" spans="1:9" ht="15.6" x14ac:dyDescent="0.3">
      <c r="A24" s="214" t="s">
        <v>1696</v>
      </c>
      <c r="B24" s="2748">
        <f>B7/B18</f>
        <v>1.7041343443010488</v>
      </c>
      <c r="C24" s="2748">
        <f>C7/C18</f>
        <v>1.6850190266372922</v>
      </c>
      <c r="D24" s="349"/>
    </row>
    <row r="25" spans="1:9" ht="4.5" customHeight="1" collapsed="1" x14ac:dyDescent="0.3">
      <c r="A25" s="214"/>
      <c r="B25" s="604"/>
      <c r="C25" s="604"/>
      <c r="D25" s="461"/>
    </row>
    <row r="26" spans="1:9" ht="4.5" customHeight="1" x14ac:dyDescent="0.3">
      <c r="A26" s="1155"/>
      <c r="B26" s="1323"/>
      <c r="C26" s="1323"/>
      <c r="D26" s="1324"/>
    </row>
    <row r="27" spans="1:9" ht="4.5" customHeight="1" x14ac:dyDescent="0.3">
      <c r="A27" s="214"/>
      <c r="B27" s="604"/>
      <c r="C27" s="604"/>
      <c r="D27" s="461"/>
    </row>
    <row r="28" spans="1:9" ht="15.6" x14ac:dyDescent="0.3">
      <c r="A28" s="214" t="s">
        <v>937</v>
      </c>
      <c r="B28" s="2531">
        <f>B7/C7-1</f>
        <v>0.15671615180725751</v>
      </c>
      <c r="C28" s="2532"/>
      <c r="D28" s="461"/>
      <c r="I28" s="1" t="s">
        <v>176</v>
      </c>
    </row>
    <row r="29" spans="1:9" ht="16.2" thickBot="1" x14ac:dyDescent="0.35">
      <c r="A29" s="224" t="s">
        <v>928</v>
      </c>
      <c r="B29" s="2531">
        <f>B17/C17-1</f>
        <v>0.16822796392314054</v>
      </c>
      <c r="C29" s="2533"/>
      <c r="D29" s="1315"/>
    </row>
    <row r="30" spans="1:9" x14ac:dyDescent="0.25">
      <c r="A30" s="2811" t="s">
        <v>3244</v>
      </c>
      <c r="B30" s="2811"/>
      <c r="C30" s="2811"/>
      <c r="D30" s="2811"/>
    </row>
    <row r="31" spans="1:9" ht="7.2" customHeight="1" x14ac:dyDescent="0.25">
      <c r="A31" s="2805"/>
      <c r="B31" s="2805"/>
      <c r="C31" s="2805"/>
      <c r="D31" s="2805"/>
    </row>
    <row r="33" spans="1:26" ht="15.6" x14ac:dyDescent="0.3">
      <c r="G33" s="2513" t="s">
        <v>3192</v>
      </c>
      <c r="H33" s="2514"/>
      <c r="I33" s="2514"/>
      <c r="J33" s="211"/>
      <c r="K33" s="211"/>
      <c r="L33" s="211"/>
      <c r="M33" s="211"/>
    </row>
    <row r="34" spans="1:26" ht="15.6" x14ac:dyDescent="0.3">
      <c r="B34" s="1" t="s">
        <v>176</v>
      </c>
      <c r="G34" s="152" t="s">
        <v>3193</v>
      </c>
      <c r="H34" s="211"/>
      <c r="I34" s="211"/>
      <c r="J34" s="211"/>
      <c r="K34" s="211"/>
      <c r="L34" s="211"/>
      <c r="M34" s="211"/>
    </row>
    <row r="35" spans="1:26" ht="9" customHeight="1" thickBot="1" x14ac:dyDescent="0.35">
      <c r="A35" s="1" t="s">
        <v>176</v>
      </c>
      <c r="G35" s="211"/>
      <c r="H35" s="211"/>
      <c r="I35" s="211"/>
      <c r="J35" s="211"/>
      <c r="K35" s="211"/>
      <c r="L35" s="211"/>
      <c r="M35" s="211"/>
    </row>
    <row r="36" spans="1:26" ht="15.6" x14ac:dyDescent="0.3">
      <c r="A36" s="1" t="s">
        <v>176</v>
      </c>
      <c r="G36" s="453"/>
      <c r="H36" s="2937" t="s">
        <v>3194</v>
      </c>
      <c r="I36" s="2937"/>
      <c r="J36" s="2937"/>
      <c r="K36" s="522"/>
      <c r="L36" s="2937" t="s">
        <v>3195</v>
      </c>
      <c r="M36" s="2938"/>
      <c r="O36" s="1" t="s">
        <v>3196</v>
      </c>
    </row>
    <row r="37" spans="1:26" ht="15.6" x14ac:dyDescent="0.3">
      <c r="G37" s="221" t="s">
        <v>1250</v>
      </c>
      <c r="H37" s="1332">
        <v>2014</v>
      </c>
      <c r="I37" s="1332">
        <v>2013</v>
      </c>
      <c r="J37" s="1332">
        <v>2012</v>
      </c>
      <c r="K37" s="1332"/>
      <c r="L37" s="1332">
        <v>2013</v>
      </c>
      <c r="M37" s="1470">
        <v>2012</v>
      </c>
      <c r="O37" s="1">
        <v>2013</v>
      </c>
      <c r="P37" s="1">
        <v>2012</v>
      </c>
    </row>
    <row r="38" spans="1:26" ht="15.6" x14ac:dyDescent="0.3">
      <c r="G38" s="214" t="s">
        <v>975</v>
      </c>
      <c r="H38" s="2168">
        <v>97689</v>
      </c>
      <c r="I38" s="2168">
        <v>93472</v>
      </c>
      <c r="J38" s="2168">
        <v>81432</v>
      </c>
      <c r="K38" s="2168"/>
      <c r="L38" s="2168">
        <v>95291</v>
      </c>
      <c r="M38" s="1325">
        <v>83255</v>
      </c>
      <c r="O38" s="1">
        <f>I38-L38</f>
        <v>-1819</v>
      </c>
      <c r="P38" s="1">
        <f>J38-M38</f>
        <v>-1823</v>
      </c>
    </row>
    <row r="39" spans="1:26" ht="15.6" x14ac:dyDescent="0.3">
      <c r="G39" s="214" t="s">
        <v>976</v>
      </c>
      <c r="H39" s="1622">
        <v>90788</v>
      </c>
      <c r="I39" s="1622">
        <v>87208</v>
      </c>
      <c r="J39" s="1622">
        <v>75734</v>
      </c>
      <c r="K39" s="1622"/>
      <c r="L39" s="1622">
        <v>88414</v>
      </c>
      <c r="M39" s="1624">
        <v>76978</v>
      </c>
      <c r="O39" s="1">
        <f t="shared" ref="O39:P43" si="5">I39-L39</f>
        <v>-1206</v>
      </c>
      <c r="P39" s="1">
        <f t="shared" si="5"/>
        <v>-1244</v>
      </c>
    </row>
    <row r="40" spans="1:26" ht="15.6" x14ac:dyDescent="0.3">
      <c r="G40" s="214" t="s">
        <v>293</v>
      </c>
      <c r="H40" s="1622">
        <v>109</v>
      </c>
      <c r="I40" s="1622">
        <v>104</v>
      </c>
      <c r="J40" s="1622">
        <v>112</v>
      </c>
      <c r="K40" s="1622"/>
      <c r="L40" s="1622">
        <v>135</v>
      </c>
      <c r="M40" s="1624">
        <v>146</v>
      </c>
      <c r="O40" s="1">
        <f t="shared" si="5"/>
        <v>-31</v>
      </c>
      <c r="P40" s="1">
        <f t="shared" si="5"/>
        <v>-34</v>
      </c>
    </row>
    <row r="41" spans="1:26" ht="15.6" x14ac:dyDescent="0.3">
      <c r="G41" s="214" t="s">
        <v>2127</v>
      </c>
      <c r="H41" s="1328">
        <f>H38-H39-H40</f>
        <v>6792</v>
      </c>
      <c r="I41" s="1328">
        <f t="shared" ref="I41:M41" si="6">I38-I39-I40</f>
        <v>6160</v>
      </c>
      <c r="J41" s="1328">
        <f t="shared" si="6"/>
        <v>5586</v>
      </c>
      <c r="K41" s="1622"/>
      <c r="L41" s="1328">
        <f t="shared" si="6"/>
        <v>6742</v>
      </c>
      <c r="M41" s="2515">
        <f t="shared" si="6"/>
        <v>6131</v>
      </c>
      <c r="O41" s="1">
        <f t="shared" si="5"/>
        <v>-582</v>
      </c>
      <c r="P41" s="1">
        <f t="shared" si="5"/>
        <v>-545</v>
      </c>
    </row>
    <row r="42" spans="1:26" ht="15.6" x14ac:dyDescent="0.3">
      <c r="G42" s="214" t="s">
        <v>2218</v>
      </c>
      <c r="H42" s="1622">
        <v>2324</v>
      </c>
      <c r="I42" s="1622">
        <v>2283</v>
      </c>
      <c r="J42" s="1622">
        <v>2229</v>
      </c>
      <c r="K42" s="1622"/>
      <c r="L42" s="1622">
        <v>2512</v>
      </c>
      <c r="M42" s="1624">
        <v>2432</v>
      </c>
      <c r="O42" s="1">
        <f t="shared" si="5"/>
        <v>-229</v>
      </c>
      <c r="P42" s="1">
        <f t="shared" si="5"/>
        <v>-203</v>
      </c>
    </row>
    <row r="43" spans="1:26" ht="15.6" x14ac:dyDescent="0.3">
      <c r="G43" s="214" t="s">
        <v>301</v>
      </c>
      <c r="H43" s="1345">
        <f>H41-H42</f>
        <v>4468</v>
      </c>
      <c r="I43" s="1345">
        <f t="shared" ref="I43:M43" si="7">I41-I42</f>
        <v>3877</v>
      </c>
      <c r="J43" s="1345">
        <f t="shared" si="7"/>
        <v>3357</v>
      </c>
      <c r="K43" s="2168"/>
      <c r="L43" s="1345">
        <f t="shared" si="7"/>
        <v>4230</v>
      </c>
      <c r="M43" s="2516">
        <f t="shared" si="7"/>
        <v>3699</v>
      </c>
      <c r="O43" s="1">
        <f t="shared" si="5"/>
        <v>-353</v>
      </c>
      <c r="P43" s="1">
        <f t="shared" si="5"/>
        <v>-342</v>
      </c>
      <c r="S43" s="1" t="s">
        <v>176</v>
      </c>
    </row>
    <row r="44" spans="1:26" ht="5.25" customHeight="1" thickBot="1" x14ac:dyDescent="0.35">
      <c r="G44" s="224"/>
      <c r="H44" s="218"/>
      <c r="I44" s="218"/>
      <c r="J44" s="218"/>
      <c r="K44" s="218"/>
      <c r="L44" s="218"/>
      <c r="M44" s="219"/>
    </row>
    <row r="45" spans="1:26" x14ac:dyDescent="0.25">
      <c r="G45" s="12" t="s">
        <v>3197</v>
      </c>
    </row>
    <row r="48" spans="1:26" ht="15.6" x14ac:dyDescent="0.3">
      <c r="S48" s="459" t="s">
        <v>1863</v>
      </c>
      <c r="T48" s="211"/>
      <c r="U48" s="211"/>
      <c r="V48" s="211"/>
      <c r="W48" s="211"/>
      <c r="X48" s="211"/>
      <c r="Y48" s="211"/>
      <c r="Z48" s="211"/>
    </row>
    <row r="49" spans="19:32" ht="15.6" x14ac:dyDescent="0.3">
      <c r="S49" s="152" t="s">
        <v>3198</v>
      </c>
      <c r="T49" s="211"/>
      <c r="U49" s="211"/>
      <c r="V49" s="211"/>
      <c r="W49" s="211"/>
      <c r="X49" s="211"/>
      <c r="Y49" s="211"/>
      <c r="Z49" s="211"/>
    </row>
    <row r="50" spans="19:32" ht="8.25" customHeight="1" thickBot="1" x14ac:dyDescent="0.35">
      <c r="S50" s="211"/>
      <c r="T50" s="211"/>
      <c r="U50" s="211"/>
      <c r="V50" s="211"/>
      <c r="W50" s="211"/>
      <c r="X50" s="211"/>
      <c r="Y50" s="211"/>
      <c r="Z50" s="211"/>
    </row>
    <row r="51" spans="19:32" ht="15.6" x14ac:dyDescent="0.3">
      <c r="S51" s="453"/>
      <c r="T51" s="2865" t="s">
        <v>975</v>
      </c>
      <c r="U51" s="2865"/>
      <c r="V51" s="2865"/>
      <c r="W51" s="522"/>
      <c r="X51" s="2865" t="s">
        <v>2127</v>
      </c>
      <c r="Y51" s="2865"/>
      <c r="Z51" s="2922"/>
    </row>
    <row r="52" spans="19:32" ht="15.6" x14ac:dyDescent="0.3">
      <c r="S52" s="221" t="s">
        <v>1250</v>
      </c>
      <c r="T52" s="1332">
        <v>2014</v>
      </c>
      <c r="U52" s="1332">
        <v>2013</v>
      </c>
      <c r="V52" s="1332">
        <v>2012</v>
      </c>
      <c r="W52" s="1332"/>
      <c r="X52" s="1332">
        <v>2014</v>
      </c>
      <c r="Y52" s="1332">
        <v>2013</v>
      </c>
      <c r="Z52" s="1470">
        <v>2012</v>
      </c>
    </row>
    <row r="53" spans="19:32" ht="15.6" x14ac:dyDescent="0.3">
      <c r="S53" s="214" t="s">
        <v>3199</v>
      </c>
      <c r="T53" s="2168">
        <v>22314</v>
      </c>
      <c r="U53" s="2168">
        <v>20325</v>
      </c>
      <c r="V53" s="2168">
        <v>19003</v>
      </c>
      <c r="W53" s="2168"/>
      <c r="X53" s="2168">
        <v>3460</v>
      </c>
      <c r="Y53" s="2168">
        <v>3044</v>
      </c>
      <c r="Z53" s="1325">
        <v>2912</v>
      </c>
    </row>
    <row r="54" spans="19:32" ht="15.6" x14ac:dyDescent="0.3">
      <c r="S54" s="214" t="s">
        <v>2261</v>
      </c>
      <c r="T54" s="1622">
        <v>10124</v>
      </c>
      <c r="U54" s="1622">
        <v>9640</v>
      </c>
      <c r="V54" s="1622">
        <v>8953</v>
      </c>
      <c r="W54" s="1622"/>
      <c r="X54" s="1622">
        <v>896</v>
      </c>
      <c r="Y54" s="1622">
        <v>846</v>
      </c>
      <c r="Z54" s="1624">
        <v>748</v>
      </c>
    </row>
    <row r="55" spans="19:32" ht="15.6" x14ac:dyDescent="0.3">
      <c r="S55" s="214" t="s">
        <v>3200</v>
      </c>
      <c r="T55" s="1622">
        <v>4335</v>
      </c>
      <c r="U55" s="1622">
        <v>4293</v>
      </c>
      <c r="V55" s="1622">
        <v>4149</v>
      </c>
      <c r="W55" s="1622"/>
      <c r="X55" s="1622">
        <v>455</v>
      </c>
      <c r="Y55" s="1622">
        <v>315</v>
      </c>
      <c r="Z55" s="1624">
        <v>251</v>
      </c>
    </row>
    <row r="56" spans="19:32" ht="15.6" x14ac:dyDescent="0.3">
      <c r="S56" s="214"/>
      <c r="T56" s="1345">
        <f>SUM(T53:T55)</f>
        <v>36773</v>
      </c>
      <c r="U56" s="1345">
        <f t="shared" ref="U56:V56" si="8">SUM(U53:U55)</f>
        <v>34258</v>
      </c>
      <c r="V56" s="1345">
        <f t="shared" si="8"/>
        <v>32105</v>
      </c>
      <c r="W56" s="2168"/>
      <c r="X56" s="1345">
        <f>SUM(X53:X55)</f>
        <v>4811</v>
      </c>
      <c r="Y56" s="1345">
        <f t="shared" ref="Y56:Z56" si="9">SUM(Y53:Y55)</f>
        <v>4205</v>
      </c>
      <c r="Z56" s="2516">
        <f t="shared" si="9"/>
        <v>3911</v>
      </c>
    </row>
    <row r="57" spans="19:32" ht="5.25" customHeight="1" thickBot="1" x14ac:dyDescent="0.35">
      <c r="S57" s="224"/>
      <c r="T57" s="520"/>
      <c r="U57" s="520"/>
      <c r="V57" s="520"/>
      <c r="W57" s="520"/>
      <c r="X57" s="520"/>
      <c r="Y57" s="520"/>
      <c r="Z57" s="1887"/>
    </row>
    <row r="58" spans="19:32" x14ac:dyDescent="0.25">
      <c r="S58" s="12" t="s">
        <v>3201</v>
      </c>
    </row>
    <row r="60" spans="19:32" x14ac:dyDescent="0.25">
      <c r="Z60" s="1" t="s">
        <v>176</v>
      </c>
    </row>
    <row r="63" spans="19:32" ht="15.6" x14ac:dyDescent="0.3">
      <c r="AC63" s="459" t="s">
        <v>1863</v>
      </c>
      <c r="AD63" s="211"/>
      <c r="AE63" s="211"/>
      <c r="AF63" s="211"/>
    </row>
    <row r="64" spans="19:32" ht="15.6" x14ac:dyDescent="0.3">
      <c r="AC64" s="152" t="s">
        <v>3202</v>
      </c>
      <c r="AD64" s="211"/>
      <c r="AE64" s="211"/>
      <c r="AF64" s="211"/>
    </row>
    <row r="65" spans="29:32" ht="8.25" customHeight="1" thickBot="1" x14ac:dyDescent="0.35">
      <c r="AC65" s="211"/>
      <c r="AD65" s="211"/>
      <c r="AE65" s="211"/>
      <c r="AF65" s="211"/>
    </row>
    <row r="66" spans="29:32" ht="15.6" x14ac:dyDescent="0.3">
      <c r="AC66" s="212" t="s">
        <v>1250</v>
      </c>
      <c r="AD66" s="712">
        <v>2014</v>
      </c>
      <c r="AE66" s="712">
        <v>2013</v>
      </c>
      <c r="AF66" s="713">
        <v>2012</v>
      </c>
    </row>
    <row r="67" spans="29:32" ht="15.6" x14ac:dyDescent="0.3">
      <c r="AC67" s="214" t="s">
        <v>3203</v>
      </c>
      <c r="AD67" s="2168">
        <v>122</v>
      </c>
      <c r="AE67" s="2168">
        <v>80</v>
      </c>
      <c r="AF67" s="1325">
        <v>35</v>
      </c>
    </row>
    <row r="68" spans="29:32" ht="15.6" x14ac:dyDescent="0.3">
      <c r="AC68" s="214" t="s">
        <v>3204</v>
      </c>
      <c r="AD68" s="1622">
        <v>558</v>
      </c>
      <c r="AE68" s="1622">
        <v>416</v>
      </c>
      <c r="AF68" s="1624">
        <v>255</v>
      </c>
    </row>
    <row r="69" spans="29:32" ht="15.6" x14ac:dyDescent="0.3">
      <c r="AC69" s="214" t="s">
        <v>3205</v>
      </c>
      <c r="AD69" s="1622">
        <v>36</v>
      </c>
      <c r="AE69" s="1622">
        <v>40</v>
      </c>
      <c r="AF69" s="1624">
        <v>42</v>
      </c>
    </row>
    <row r="70" spans="29:32" ht="15.6" x14ac:dyDescent="0.3">
      <c r="AC70" s="214" t="s">
        <v>3206</v>
      </c>
      <c r="AD70" s="1622">
        <v>238</v>
      </c>
      <c r="AE70" s="1622">
        <v>226</v>
      </c>
      <c r="AF70" s="1624">
        <v>246</v>
      </c>
    </row>
    <row r="71" spans="29:32" ht="15.6" x14ac:dyDescent="0.3">
      <c r="AC71" s="214" t="s">
        <v>3207</v>
      </c>
      <c r="AD71" s="1622">
        <v>442</v>
      </c>
      <c r="AE71" s="1622">
        <v>353</v>
      </c>
      <c r="AF71" s="1624">
        <v>299</v>
      </c>
    </row>
    <row r="72" spans="29:32" ht="15.6" x14ac:dyDescent="0.3">
      <c r="AC72" s="214" t="s">
        <v>3208</v>
      </c>
      <c r="AD72" s="1622">
        <v>147</v>
      </c>
      <c r="AE72" s="1622">
        <v>125</v>
      </c>
      <c r="AF72" s="1624">
        <v>106</v>
      </c>
    </row>
    <row r="73" spans="29:32" ht="18.600000000000001" x14ac:dyDescent="0.3">
      <c r="AC73" s="214" t="s">
        <v>3209</v>
      </c>
      <c r="AD73" s="1622">
        <v>296</v>
      </c>
      <c r="AE73" s="1622">
        <v>324</v>
      </c>
      <c r="AF73" s="1624">
        <v>410</v>
      </c>
    </row>
    <row r="74" spans="29:32" ht="15.6" x14ac:dyDescent="0.3">
      <c r="AC74" s="214" t="s">
        <v>2217</v>
      </c>
      <c r="AD74" s="1345">
        <f>SUM(AD67:AD73)</f>
        <v>1839</v>
      </c>
      <c r="AE74" s="1345">
        <f t="shared" ref="AE74:AF74" si="10">SUM(AE67:AE73)</f>
        <v>1564</v>
      </c>
      <c r="AF74" s="2516">
        <f t="shared" si="10"/>
        <v>1393</v>
      </c>
    </row>
    <row r="75" spans="29:32" ht="4.5" customHeight="1" x14ac:dyDescent="0.25">
      <c r="AC75" s="6"/>
      <c r="AF75" s="8"/>
    </row>
    <row r="76" spans="29:32" x14ac:dyDescent="0.25">
      <c r="AC76" s="6" t="s">
        <v>1405</v>
      </c>
      <c r="AF76" s="8"/>
    </row>
    <row r="77" spans="29:32" ht="14.4" thickBot="1" x14ac:dyDescent="0.3">
      <c r="AC77" s="9" t="s">
        <v>3210</v>
      </c>
      <c r="AD77" s="25"/>
      <c r="AE77" s="25"/>
      <c r="AF77" s="26"/>
    </row>
    <row r="78" spans="29:32" x14ac:dyDescent="0.25">
      <c r="AC78" s="12" t="s">
        <v>3201</v>
      </c>
    </row>
    <row r="81" spans="35:41" ht="15.6" x14ac:dyDescent="0.3">
      <c r="AI81" s="459" t="s">
        <v>1863</v>
      </c>
    </row>
    <row r="82" spans="35:41" ht="15.6" x14ac:dyDescent="0.3">
      <c r="AI82" s="152" t="s">
        <v>3211</v>
      </c>
    </row>
    <row r="83" spans="35:41" ht="9" customHeight="1" thickBot="1" x14ac:dyDescent="0.3"/>
    <row r="84" spans="35:41" x14ac:dyDescent="0.25">
      <c r="AI84" s="131" t="s">
        <v>1250</v>
      </c>
      <c r="AJ84" s="2517" t="s">
        <v>3212</v>
      </c>
      <c r="AK84" s="2517"/>
      <c r="AL84" s="2518" t="s">
        <v>3213</v>
      </c>
    </row>
    <row r="85" spans="35:41" x14ac:dyDescent="0.25">
      <c r="AI85" s="28" t="s">
        <v>3214</v>
      </c>
      <c r="AJ85" s="77"/>
      <c r="AK85" s="77"/>
      <c r="AL85" s="2519"/>
    </row>
    <row r="86" spans="35:41" x14ac:dyDescent="0.25">
      <c r="AI86" s="6" t="s">
        <v>3215</v>
      </c>
      <c r="AJ86" s="2520">
        <f>SUM(AL87:AL89)</f>
        <v>1092</v>
      </c>
      <c r="AK86" s="2520"/>
      <c r="AL86" s="2519"/>
    </row>
    <row r="87" spans="35:41" x14ac:dyDescent="0.25">
      <c r="AI87" s="6" t="s">
        <v>5</v>
      </c>
      <c r="AJ87" s="2520"/>
      <c r="AK87" s="2520"/>
      <c r="AL87" s="2521">
        <v>328</v>
      </c>
    </row>
    <row r="88" spans="35:41" x14ac:dyDescent="0.25">
      <c r="AI88" s="6" t="s">
        <v>3216</v>
      </c>
      <c r="AJ88" s="2522"/>
      <c r="AK88" s="2522"/>
      <c r="AL88" s="2523">
        <v>364</v>
      </c>
    </row>
    <row r="89" spans="35:41" x14ac:dyDescent="0.25">
      <c r="AI89" s="6" t="s">
        <v>3217</v>
      </c>
      <c r="AJ89" s="2522"/>
      <c r="AK89" s="2522"/>
      <c r="AL89" s="2523">
        <v>400</v>
      </c>
    </row>
    <row r="90" spans="35:41" x14ac:dyDescent="0.25">
      <c r="AI90" s="6" t="s">
        <v>3</v>
      </c>
      <c r="AJ90" s="2524">
        <f>SUM(AJ86:AJ89)</f>
        <v>1092</v>
      </c>
      <c r="AK90" s="2522"/>
      <c r="AL90" s="2525">
        <f>SUM(AL87:AL89)</f>
        <v>1092</v>
      </c>
    </row>
    <row r="91" spans="35:41" x14ac:dyDescent="0.25">
      <c r="AI91" s="6"/>
      <c r="AJ91" s="2522"/>
      <c r="AK91" s="2522"/>
      <c r="AL91" s="2523"/>
    </row>
    <row r="92" spans="35:41" x14ac:dyDescent="0.25">
      <c r="AI92" s="6" t="s">
        <v>3218</v>
      </c>
      <c r="AJ92" s="2522">
        <f>0.38*(AJ86-11)</f>
        <v>410.78000000000003</v>
      </c>
      <c r="AK92" s="2522"/>
      <c r="AL92" s="2523"/>
      <c r="AO92" s="1" t="s">
        <v>3219</v>
      </c>
    </row>
    <row r="93" spans="35:41" ht="4.5" customHeight="1" x14ac:dyDescent="0.25">
      <c r="AI93" s="6"/>
      <c r="AJ93" s="2520"/>
      <c r="AK93" s="2520"/>
      <c r="AL93" s="2521"/>
    </row>
    <row r="94" spans="35:41" ht="4.5" customHeight="1" x14ac:dyDescent="0.25">
      <c r="AI94" s="1683"/>
      <c r="AJ94" s="2526"/>
      <c r="AK94" s="2526"/>
      <c r="AL94" s="2527"/>
    </row>
    <row r="95" spans="35:41" ht="4.5" customHeight="1" x14ac:dyDescent="0.25">
      <c r="AI95" s="6"/>
      <c r="AJ95" s="2520"/>
      <c r="AK95" s="2520"/>
      <c r="AL95" s="2521"/>
    </row>
    <row r="96" spans="35:41" x14ac:dyDescent="0.25">
      <c r="AI96" s="28" t="s">
        <v>3220</v>
      </c>
      <c r="AJ96" s="2520"/>
      <c r="AK96" s="2520"/>
      <c r="AL96" s="2521"/>
    </row>
    <row r="97" spans="35:40" x14ac:dyDescent="0.25">
      <c r="AI97" s="6" t="s">
        <v>3221</v>
      </c>
      <c r="AJ97" s="2520">
        <v>1350</v>
      </c>
      <c r="AK97" s="2520"/>
      <c r="AL97" s="2521"/>
    </row>
    <row r="98" spans="35:40" x14ac:dyDescent="0.25">
      <c r="AI98" s="6" t="s">
        <v>5</v>
      </c>
      <c r="AJ98" s="2520"/>
      <c r="AK98" s="2520"/>
      <c r="AL98" s="2521">
        <v>450</v>
      </c>
      <c r="AN98" s="1" t="s">
        <v>176</v>
      </c>
    </row>
    <row r="99" spans="35:40" x14ac:dyDescent="0.25">
      <c r="AI99" s="6" t="s">
        <v>3222</v>
      </c>
      <c r="AJ99" s="2522"/>
      <c r="AK99" s="2522"/>
      <c r="AL99" s="2523">
        <f>AJ97-AL98</f>
        <v>900</v>
      </c>
    </row>
    <row r="100" spans="35:40" x14ac:dyDescent="0.25">
      <c r="AI100" s="6"/>
      <c r="AJ100" s="2524">
        <f>SUM(AJ97:AJ99)</f>
        <v>1350</v>
      </c>
      <c r="AK100" s="2522"/>
      <c r="AL100" s="2525">
        <f>SUM(AL97:AL99)</f>
        <v>1350</v>
      </c>
    </row>
    <row r="101" spans="35:40" x14ac:dyDescent="0.25">
      <c r="AI101" s="6"/>
      <c r="AJ101" s="2522"/>
      <c r="AK101" s="2522"/>
      <c r="AL101" s="2523"/>
    </row>
    <row r="102" spans="35:40" ht="14.4" thickBot="1" x14ac:dyDescent="0.3">
      <c r="AI102" s="9" t="s">
        <v>3218</v>
      </c>
      <c r="AJ102" s="2528">
        <f>0.38*(2100-(1092-11))</f>
        <v>387.22</v>
      </c>
      <c r="AK102" s="2528"/>
      <c r="AL102" s="2529"/>
    </row>
    <row r="103" spans="35:40" x14ac:dyDescent="0.25">
      <c r="AI103" s="12" t="s">
        <v>3223</v>
      </c>
    </row>
  </sheetData>
  <mergeCells count="5">
    <mergeCell ref="A30:D31"/>
    <mergeCell ref="H36:J36"/>
    <mergeCell ref="L36:M36"/>
    <mergeCell ref="T51:V51"/>
    <mergeCell ref="X51:Z51"/>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28B42-BAFC-4184-A7FD-9461300F1848}">
  <sheetPr>
    <tabColor theme="4"/>
  </sheetPr>
  <dimension ref="A1:V103"/>
  <sheetViews>
    <sheetView showGridLines="0" zoomScaleNormal="100" workbookViewId="0">
      <selection activeCell="J32" sqref="J32"/>
    </sheetView>
  </sheetViews>
  <sheetFormatPr defaultColWidth="9.109375" defaultRowHeight="13.8" outlineLevelRow="1" x14ac:dyDescent="0.25"/>
  <cols>
    <col min="1" max="1" width="50.44140625" style="1" customWidth="1"/>
    <col min="2" max="3" width="10.33203125" style="1" bestFit="1" customWidth="1"/>
    <col min="4" max="4" width="1.44140625" style="1" customWidth="1"/>
    <col min="5" max="9" width="9.109375" style="1"/>
    <col min="10" max="10" width="38.109375" style="1" customWidth="1"/>
    <col min="11" max="15" width="9.109375" style="1"/>
    <col min="16" max="16" width="38.88671875" style="1" customWidth="1"/>
    <col min="17" max="17" width="14" style="1" customWidth="1"/>
    <col min="18" max="18" width="1.5546875" style="1" customWidth="1"/>
    <col min="19" max="19" width="14" style="1" customWidth="1"/>
    <col min="20" max="16384" width="9.109375" style="1"/>
  </cols>
  <sheetData>
    <row r="1" spans="1:5" ht="15.6" x14ac:dyDescent="0.3">
      <c r="A1" s="459" t="s">
        <v>1863</v>
      </c>
      <c r="B1" s="211"/>
      <c r="C1" s="211"/>
      <c r="D1" s="211"/>
    </row>
    <row r="2" spans="1:5" ht="15.6" x14ac:dyDescent="0.3">
      <c r="A2" s="152" t="s">
        <v>1698</v>
      </c>
      <c r="B2" s="211"/>
      <c r="C2" s="211"/>
      <c r="D2" s="211"/>
    </row>
    <row r="3" spans="1:5" ht="6.6" customHeight="1" thickBot="1" x14ac:dyDescent="0.35">
      <c r="A3" s="211"/>
      <c r="B3" s="211"/>
      <c r="C3" s="211"/>
      <c r="D3" s="211"/>
    </row>
    <row r="4" spans="1:5" ht="15.6" x14ac:dyDescent="0.3">
      <c r="A4" s="212" t="s">
        <v>3190</v>
      </c>
      <c r="B4" s="712">
        <v>2013</v>
      </c>
      <c r="C4" s="712">
        <v>2012</v>
      </c>
      <c r="D4" s="713"/>
    </row>
    <row r="5" spans="1:5" ht="15.6" x14ac:dyDescent="0.3">
      <c r="A5" s="214" t="s">
        <v>394</v>
      </c>
      <c r="B5" s="1316">
        <v>129253</v>
      </c>
      <c r="C5" s="1316">
        <v>113786</v>
      </c>
      <c r="D5" s="1161"/>
      <c r="E5" s="69">
        <f>B5/C5-1</f>
        <v>0.13593060657725897</v>
      </c>
    </row>
    <row r="6" spans="1:5" ht="16.2" customHeight="1" x14ac:dyDescent="0.3">
      <c r="A6" s="282" t="s">
        <v>1048</v>
      </c>
      <c r="B6" s="1319">
        <v>9116</v>
      </c>
      <c r="C6" s="1319">
        <v>8085</v>
      </c>
      <c r="D6" s="1320"/>
      <c r="E6" s="69">
        <f>B6/C6-1</f>
        <v>0.12752009894867045</v>
      </c>
    </row>
    <row r="7" spans="1:5" ht="31.2" x14ac:dyDescent="0.3">
      <c r="A7" s="282" t="s">
        <v>1693</v>
      </c>
      <c r="B7" s="1317">
        <f t="shared" ref="B7" si="0">B5+(10*B6)</f>
        <v>220413</v>
      </c>
      <c r="C7" s="1317">
        <f t="shared" ref="C7" si="1">C5+(10*C6)</f>
        <v>194636</v>
      </c>
      <c r="D7" s="1318"/>
    </row>
    <row r="8" spans="1:5" ht="34.200000000000003" hidden="1" outlineLevel="1" x14ac:dyDescent="0.3">
      <c r="A8" s="1307" t="s">
        <v>1690</v>
      </c>
      <c r="B8" s="1305"/>
      <c r="C8" s="1305"/>
      <c r="D8" s="1309"/>
    </row>
    <row r="9" spans="1:5" ht="15.6" hidden="1" outlineLevel="1" x14ac:dyDescent="0.3">
      <c r="A9" s="1307" t="s">
        <v>941</v>
      </c>
      <c r="B9" s="1305"/>
      <c r="C9" s="1305"/>
      <c r="D9" s="1309"/>
    </row>
    <row r="10" spans="1:5" ht="15.6" hidden="1" outlineLevel="1" x14ac:dyDescent="0.3">
      <c r="A10" s="1307" t="s">
        <v>942</v>
      </c>
      <c r="B10" s="1310">
        <f t="shared" ref="B10:C10" si="2">B7/C7-1</f>
        <v>0.13243695924700472</v>
      </c>
      <c r="C10" s="1310" t="e">
        <f t="shared" si="2"/>
        <v>#DIV/0!</v>
      </c>
      <c r="D10" s="1311"/>
    </row>
    <row r="11" spans="1:5" ht="15.6" hidden="1" outlineLevel="1" x14ac:dyDescent="0.3">
      <c r="A11" s="1307" t="s">
        <v>936</v>
      </c>
      <c r="B11" s="1308">
        <f>B17/B7</f>
        <v>0.80712117706305886</v>
      </c>
      <c r="C11" s="1308">
        <f>C17/C7</f>
        <v>0.68877288887975507</v>
      </c>
      <c r="D11" s="1312"/>
    </row>
    <row r="12" spans="1:5" ht="15.6" hidden="1" outlineLevel="1" x14ac:dyDescent="0.3">
      <c r="A12" s="214"/>
      <c r="B12" s="286"/>
      <c r="C12" s="286"/>
      <c r="D12" s="1107"/>
    </row>
    <row r="13" spans="1:5" ht="15.6" hidden="1" outlineLevel="1" x14ac:dyDescent="0.3">
      <c r="A13" s="214"/>
      <c r="B13" s="211"/>
      <c r="C13" s="211"/>
      <c r="D13" s="223"/>
    </row>
    <row r="14" spans="1:5" ht="4.5" customHeight="1" collapsed="1" x14ac:dyDescent="0.3">
      <c r="A14" s="214"/>
      <c r="B14" s="604"/>
      <c r="C14" s="604"/>
      <c r="D14" s="461"/>
    </row>
    <row r="15" spans="1:5" ht="4.5" customHeight="1" x14ac:dyDescent="0.3">
      <c r="A15" s="1155"/>
      <c r="B15" s="1323"/>
      <c r="C15" s="1323"/>
      <c r="D15" s="1324"/>
    </row>
    <row r="16" spans="1:5" ht="4.5" customHeight="1" x14ac:dyDescent="0.3">
      <c r="A16" s="214"/>
      <c r="B16" s="604"/>
      <c r="C16" s="604"/>
      <c r="D16" s="461"/>
    </row>
    <row r="17" spans="1:4" ht="15.6" x14ac:dyDescent="0.3">
      <c r="A17" s="214" t="s">
        <v>927</v>
      </c>
      <c r="B17" s="1317">
        <v>177900</v>
      </c>
      <c r="C17" s="1317">
        <v>134060</v>
      </c>
      <c r="D17" s="1318"/>
    </row>
    <row r="18" spans="1:4" ht="15.6" x14ac:dyDescent="0.3">
      <c r="A18" s="214" t="s">
        <v>1691</v>
      </c>
      <c r="B18" s="1317">
        <v>134973</v>
      </c>
      <c r="C18" s="1317">
        <v>114214</v>
      </c>
      <c r="D18" s="1318"/>
    </row>
    <row r="19" spans="1:4" ht="4.5" customHeight="1" collapsed="1" x14ac:dyDescent="0.3">
      <c r="A19" s="214"/>
      <c r="B19" s="604"/>
      <c r="C19" s="604"/>
      <c r="D19" s="461"/>
    </row>
    <row r="20" spans="1:4" ht="4.5" customHeight="1" x14ac:dyDescent="0.3">
      <c r="A20" s="1155"/>
      <c r="B20" s="1323"/>
      <c r="C20" s="1323"/>
      <c r="D20" s="1324"/>
    </row>
    <row r="21" spans="1:4" ht="4.5" customHeight="1" x14ac:dyDescent="0.3">
      <c r="A21" s="214"/>
      <c r="B21" s="604"/>
      <c r="C21" s="604"/>
      <c r="D21" s="461"/>
    </row>
    <row r="22" spans="1:4" ht="15.6" x14ac:dyDescent="0.3">
      <c r="A22" s="214" t="s">
        <v>1694</v>
      </c>
      <c r="B22" s="2748">
        <f>B17/B7</f>
        <v>0.80712117706305886</v>
      </c>
      <c r="C22" s="2748">
        <f>C17/C7</f>
        <v>0.68877288887975507</v>
      </c>
      <c r="D22" s="349"/>
    </row>
    <row r="23" spans="1:4" ht="15.6" x14ac:dyDescent="0.3">
      <c r="A23" s="214" t="s">
        <v>1695</v>
      </c>
      <c r="B23" s="2748">
        <f t="shared" ref="B23" si="3">B17/B18</f>
        <v>1.3180413860549889</v>
      </c>
      <c r="C23" s="2748">
        <f t="shared" ref="C23" si="4">C17/C18</f>
        <v>1.1737615353634405</v>
      </c>
      <c r="D23" s="349"/>
    </row>
    <row r="24" spans="1:4" ht="15.6" x14ac:dyDescent="0.3">
      <c r="A24" s="214" t="s">
        <v>1696</v>
      </c>
      <c r="B24" s="2748">
        <f>B7/B18</f>
        <v>1.6330154919872863</v>
      </c>
      <c r="C24" s="2748">
        <f>C7/C18</f>
        <v>1.7041343443010488</v>
      </c>
      <c r="D24" s="349"/>
    </row>
    <row r="25" spans="1:4" ht="4.5" customHeight="1" collapsed="1" x14ac:dyDescent="0.3">
      <c r="A25" s="214"/>
      <c r="B25" s="604"/>
      <c r="C25" s="604"/>
      <c r="D25" s="461"/>
    </row>
    <row r="26" spans="1:4" ht="4.5" customHeight="1" x14ac:dyDescent="0.3">
      <c r="A26" s="1155"/>
      <c r="B26" s="1323"/>
      <c r="C26" s="1323"/>
      <c r="D26" s="1324"/>
    </row>
    <row r="27" spans="1:4" ht="4.5" customHeight="1" x14ac:dyDescent="0.3">
      <c r="A27" s="214"/>
      <c r="B27" s="604"/>
      <c r="C27" s="604"/>
      <c r="D27" s="461"/>
    </row>
    <row r="28" spans="1:4" ht="15.6" x14ac:dyDescent="0.3">
      <c r="A28" s="214" t="s">
        <v>937</v>
      </c>
      <c r="B28" s="2531">
        <f>B7/C7-1</f>
        <v>0.13243695924700472</v>
      </c>
      <c r="C28" s="2532"/>
      <c r="D28" s="461"/>
    </row>
    <row r="29" spans="1:4" ht="16.2" thickBot="1" x14ac:dyDescent="0.35">
      <c r="A29" s="224" t="s">
        <v>928</v>
      </c>
      <c r="B29" s="2531">
        <f>B17/C17-1</f>
        <v>0.32701775324481575</v>
      </c>
      <c r="C29" s="2533"/>
      <c r="D29" s="1315"/>
    </row>
    <row r="30" spans="1:4" x14ac:dyDescent="0.25">
      <c r="A30" s="2811" t="s">
        <v>3245</v>
      </c>
      <c r="B30" s="2811"/>
      <c r="C30" s="2811"/>
      <c r="D30" s="2811"/>
    </row>
    <row r="31" spans="1:4" ht="7.2" customHeight="1" x14ac:dyDescent="0.25">
      <c r="A31" s="2805"/>
      <c r="B31" s="2805"/>
      <c r="C31" s="2805"/>
      <c r="D31" s="2805"/>
    </row>
    <row r="34" spans="1:2" x14ac:dyDescent="0.25">
      <c r="B34" s="1" t="s">
        <v>176</v>
      </c>
    </row>
    <row r="35" spans="1:2" ht="9" customHeight="1" x14ac:dyDescent="0.25">
      <c r="A35" s="1" t="s">
        <v>176</v>
      </c>
    </row>
    <row r="44" spans="1:2" ht="5.25" customHeight="1" x14ac:dyDescent="0.25"/>
    <row r="50" spans="10:13" ht="8.25" customHeight="1" x14ac:dyDescent="0.25"/>
    <row r="57" spans="10:13" ht="5.25" customHeight="1" x14ac:dyDescent="0.25"/>
    <row r="63" spans="10:13" ht="15.6" x14ac:dyDescent="0.3">
      <c r="J63" s="459" t="s">
        <v>1863</v>
      </c>
      <c r="K63" s="211"/>
      <c r="L63" s="211"/>
      <c r="M63" s="211"/>
    </row>
    <row r="64" spans="10:13" ht="15.6" x14ac:dyDescent="0.3">
      <c r="J64" s="152" t="s">
        <v>3202</v>
      </c>
      <c r="K64" s="211"/>
      <c r="L64" s="211"/>
      <c r="M64" s="211"/>
    </row>
    <row r="65" spans="10:13" ht="8.25" customHeight="1" thickBot="1" x14ac:dyDescent="0.35">
      <c r="J65" s="211"/>
      <c r="K65" s="211"/>
      <c r="L65" s="211"/>
      <c r="M65" s="211"/>
    </row>
    <row r="66" spans="10:13" ht="15.6" x14ac:dyDescent="0.3">
      <c r="J66" s="212" t="s">
        <v>1250</v>
      </c>
      <c r="K66" s="712">
        <v>2014</v>
      </c>
      <c r="L66" s="712">
        <v>2013</v>
      </c>
      <c r="M66" s="713">
        <v>2012</v>
      </c>
    </row>
    <row r="67" spans="10:13" ht="15.6" x14ac:dyDescent="0.3">
      <c r="J67" s="214" t="s">
        <v>3203</v>
      </c>
      <c r="K67" s="2168">
        <v>122</v>
      </c>
      <c r="L67" s="2168">
        <v>80</v>
      </c>
      <c r="M67" s="1325">
        <v>35</v>
      </c>
    </row>
    <row r="68" spans="10:13" ht="15.6" x14ac:dyDescent="0.3">
      <c r="J68" s="214" t="s">
        <v>3204</v>
      </c>
      <c r="K68" s="1622">
        <v>558</v>
      </c>
      <c r="L68" s="1622">
        <v>416</v>
      </c>
      <c r="M68" s="1624">
        <v>255</v>
      </c>
    </row>
    <row r="69" spans="10:13" ht="15.6" x14ac:dyDescent="0.3">
      <c r="J69" s="214" t="s">
        <v>3205</v>
      </c>
      <c r="K69" s="1622">
        <v>36</v>
      </c>
      <c r="L69" s="1622">
        <v>40</v>
      </c>
      <c r="M69" s="1624">
        <v>42</v>
      </c>
    </row>
    <row r="70" spans="10:13" ht="15.6" x14ac:dyDescent="0.3">
      <c r="J70" s="214" t="s">
        <v>3206</v>
      </c>
      <c r="K70" s="1622">
        <v>238</v>
      </c>
      <c r="L70" s="1622">
        <v>226</v>
      </c>
      <c r="M70" s="1624">
        <v>246</v>
      </c>
    </row>
    <row r="71" spans="10:13" ht="15.6" x14ac:dyDescent="0.3">
      <c r="J71" s="214" t="s">
        <v>3207</v>
      </c>
      <c r="K71" s="1622">
        <v>442</v>
      </c>
      <c r="L71" s="1622">
        <v>353</v>
      </c>
      <c r="M71" s="1624">
        <v>299</v>
      </c>
    </row>
    <row r="72" spans="10:13" ht="15.6" x14ac:dyDescent="0.3">
      <c r="J72" s="214" t="s">
        <v>3208</v>
      </c>
      <c r="K72" s="1622">
        <v>147</v>
      </c>
      <c r="L72" s="1622">
        <v>125</v>
      </c>
      <c r="M72" s="1624">
        <v>106</v>
      </c>
    </row>
    <row r="73" spans="10:13" ht="18.600000000000001" x14ac:dyDescent="0.3">
      <c r="J73" s="214" t="s">
        <v>3209</v>
      </c>
      <c r="K73" s="1622">
        <v>296</v>
      </c>
      <c r="L73" s="1622">
        <v>324</v>
      </c>
      <c r="M73" s="1624">
        <v>410</v>
      </c>
    </row>
    <row r="74" spans="10:13" ht="15.6" x14ac:dyDescent="0.3">
      <c r="J74" s="214" t="s">
        <v>2217</v>
      </c>
      <c r="K74" s="1345">
        <f>SUM(K67:K73)</f>
        <v>1839</v>
      </c>
      <c r="L74" s="1345">
        <f t="shared" ref="L74:M74" si="5">SUM(L67:L73)</f>
        <v>1564</v>
      </c>
      <c r="M74" s="2516">
        <f t="shared" si="5"/>
        <v>1393</v>
      </c>
    </row>
    <row r="75" spans="10:13" ht="4.5" customHeight="1" x14ac:dyDescent="0.25">
      <c r="J75" s="6"/>
      <c r="M75" s="8"/>
    </row>
    <row r="76" spans="10:13" x14ac:dyDescent="0.25">
      <c r="J76" s="6" t="s">
        <v>1405</v>
      </c>
      <c r="M76" s="8"/>
    </row>
    <row r="77" spans="10:13" ht="14.4" thickBot="1" x14ac:dyDescent="0.3">
      <c r="J77" s="9" t="s">
        <v>3210</v>
      </c>
      <c r="K77" s="25"/>
      <c r="L77" s="25"/>
      <c r="M77" s="26"/>
    </row>
    <row r="78" spans="10:13" x14ac:dyDescent="0.25">
      <c r="J78" s="12" t="s">
        <v>3201</v>
      </c>
    </row>
    <row r="81" spans="16:22" ht="15.6" x14ac:dyDescent="0.3">
      <c r="P81" s="459" t="s">
        <v>1863</v>
      </c>
    </row>
    <row r="82" spans="16:22" ht="15.6" x14ac:dyDescent="0.3">
      <c r="P82" s="152" t="s">
        <v>3211</v>
      </c>
    </row>
    <row r="83" spans="16:22" ht="9" customHeight="1" thickBot="1" x14ac:dyDescent="0.3"/>
    <row r="84" spans="16:22" x14ac:dyDescent="0.25">
      <c r="P84" s="131" t="s">
        <v>1250</v>
      </c>
      <c r="Q84" s="2517" t="s">
        <v>3212</v>
      </c>
      <c r="R84" s="2517"/>
      <c r="S84" s="2518" t="s">
        <v>3213</v>
      </c>
    </row>
    <row r="85" spans="16:22" x14ac:dyDescent="0.25">
      <c r="P85" s="28" t="s">
        <v>3214</v>
      </c>
      <c r="Q85" s="77"/>
      <c r="R85" s="77"/>
      <c r="S85" s="2519"/>
    </row>
    <row r="86" spans="16:22" x14ac:dyDescent="0.25">
      <c r="P86" s="6" t="s">
        <v>3215</v>
      </c>
      <c r="Q86" s="2520">
        <f>SUM(S87:S89)</f>
        <v>1092</v>
      </c>
      <c r="R86" s="2520"/>
      <c r="S86" s="2519"/>
    </row>
    <row r="87" spans="16:22" x14ac:dyDescent="0.25">
      <c r="P87" s="6" t="s">
        <v>5</v>
      </c>
      <c r="Q87" s="2520"/>
      <c r="R87" s="2520"/>
      <c r="S87" s="2521">
        <v>328</v>
      </c>
    </row>
    <row r="88" spans="16:22" x14ac:dyDescent="0.25">
      <c r="P88" s="6" t="s">
        <v>3216</v>
      </c>
      <c r="Q88" s="2522"/>
      <c r="R88" s="2522"/>
      <c r="S88" s="2523">
        <v>364</v>
      </c>
    </row>
    <row r="89" spans="16:22" x14ac:dyDescent="0.25">
      <c r="P89" s="6" t="s">
        <v>3217</v>
      </c>
      <c r="Q89" s="2522"/>
      <c r="R89" s="2522"/>
      <c r="S89" s="2523">
        <v>400</v>
      </c>
    </row>
    <row r="90" spans="16:22" x14ac:dyDescent="0.25">
      <c r="P90" s="6" t="s">
        <v>3</v>
      </c>
      <c r="Q90" s="2524">
        <f>SUM(Q86:Q89)</f>
        <v>1092</v>
      </c>
      <c r="R90" s="2522"/>
      <c r="S90" s="2525">
        <f>SUM(S87:S89)</f>
        <v>1092</v>
      </c>
    </row>
    <row r="91" spans="16:22" x14ac:dyDescent="0.25">
      <c r="P91" s="6"/>
      <c r="Q91" s="2522"/>
      <c r="R91" s="2522"/>
      <c r="S91" s="2523"/>
    </row>
    <row r="92" spans="16:22" x14ac:dyDescent="0.25">
      <c r="P92" s="6" t="s">
        <v>3218</v>
      </c>
      <c r="Q92" s="2522">
        <f>0.38*(Q86-11)</f>
        <v>410.78000000000003</v>
      </c>
      <c r="R92" s="2522"/>
      <c r="S92" s="2523"/>
      <c r="V92" s="1" t="s">
        <v>3219</v>
      </c>
    </row>
    <row r="93" spans="16:22" ht="4.5" customHeight="1" x14ac:dyDescent="0.25">
      <c r="P93" s="6"/>
      <c r="Q93" s="2520"/>
      <c r="R93" s="2520"/>
      <c r="S93" s="2521"/>
    </row>
    <row r="94" spans="16:22" ht="4.5" customHeight="1" x14ac:dyDescent="0.25">
      <c r="P94" s="1683"/>
      <c r="Q94" s="2526"/>
      <c r="R94" s="2526"/>
      <c r="S94" s="2527"/>
    </row>
    <row r="95" spans="16:22" ht="4.5" customHeight="1" x14ac:dyDescent="0.25">
      <c r="P95" s="6"/>
      <c r="Q95" s="2520"/>
      <c r="R95" s="2520"/>
      <c r="S95" s="2521"/>
    </row>
    <row r="96" spans="16:22" x14ac:dyDescent="0.25">
      <c r="P96" s="28" t="s">
        <v>3220</v>
      </c>
      <c r="Q96" s="2520"/>
      <c r="R96" s="2520"/>
      <c r="S96" s="2521"/>
    </row>
    <row r="97" spans="16:21" x14ac:dyDescent="0.25">
      <c r="P97" s="6" t="s">
        <v>3221</v>
      </c>
      <c r="Q97" s="2520">
        <v>1350</v>
      </c>
      <c r="R97" s="2520"/>
      <c r="S97" s="2521"/>
    </row>
    <row r="98" spans="16:21" x14ac:dyDescent="0.25">
      <c r="P98" s="6" t="s">
        <v>5</v>
      </c>
      <c r="Q98" s="2520"/>
      <c r="R98" s="2520"/>
      <c r="S98" s="2521">
        <v>450</v>
      </c>
      <c r="U98" s="1" t="s">
        <v>176</v>
      </c>
    </row>
    <row r="99" spans="16:21" x14ac:dyDescent="0.25">
      <c r="P99" s="6" t="s">
        <v>3222</v>
      </c>
      <c r="Q99" s="2522"/>
      <c r="R99" s="2522"/>
      <c r="S99" s="2523">
        <f>Q97-S98</f>
        <v>900</v>
      </c>
    </row>
    <row r="100" spans="16:21" x14ac:dyDescent="0.25">
      <c r="P100" s="6"/>
      <c r="Q100" s="2524">
        <f>SUM(Q97:Q99)</f>
        <v>1350</v>
      </c>
      <c r="R100" s="2522"/>
      <c r="S100" s="2525">
        <f>SUM(S97:S99)</f>
        <v>1350</v>
      </c>
    </row>
    <row r="101" spans="16:21" x14ac:dyDescent="0.25">
      <c r="P101" s="6"/>
      <c r="Q101" s="2522"/>
      <c r="R101" s="2522"/>
      <c r="S101" s="2523"/>
    </row>
    <row r="102" spans="16:21" ht="14.4" thickBot="1" x14ac:dyDescent="0.3">
      <c r="P102" s="9" t="s">
        <v>3218</v>
      </c>
      <c r="Q102" s="2528">
        <f>0.38*(2100-(1092-11))</f>
        <v>387.22</v>
      </c>
      <c r="R102" s="2528"/>
      <c r="S102" s="2529"/>
    </row>
    <row r="103" spans="16:21" x14ac:dyDescent="0.25">
      <c r="P103" s="12" t="s">
        <v>3223</v>
      </c>
    </row>
  </sheetData>
  <mergeCells count="1">
    <mergeCell ref="A30:D3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theme="9" tint="0.59999389629810485"/>
  </sheetPr>
  <dimension ref="B1:Q171"/>
  <sheetViews>
    <sheetView showGridLines="0" zoomScale="70" zoomScaleNormal="70" workbookViewId="0">
      <pane ySplit="1" topLeftCell="A2" activePane="bottomLeft" state="frozen"/>
      <selection activeCell="B21" sqref="B21"/>
      <selection pane="bottomLeft" activeCell="E174" sqref="E174"/>
    </sheetView>
  </sheetViews>
  <sheetFormatPr defaultColWidth="9.109375" defaultRowHeight="13.8" outlineLevelRow="2" x14ac:dyDescent="0.25"/>
  <cols>
    <col min="1" max="1" width="6.109375" style="1" customWidth="1"/>
    <col min="2" max="2" width="41.6640625" style="1" customWidth="1"/>
    <col min="3" max="8" width="8.88671875" style="1" customWidth="1"/>
    <col min="9" max="9" width="9.6640625" style="1" customWidth="1"/>
    <col min="10" max="13" width="8.88671875" style="1" customWidth="1"/>
    <col min="14" max="14" width="9.109375" style="1"/>
    <col min="15" max="15" width="32.88671875" style="1" customWidth="1"/>
    <col min="16" max="16" width="13.6640625" style="1" bestFit="1" customWidth="1"/>
    <col min="17" max="17" width="7.6640625" style="1" bestFit="1" customWidth="1"/>
    <col min="18" max="16384" width="9.109375" style="1"/>
  </cols>
  <sheetData>
    <row r="1" spans="2:16" x14ac:dyDescent="0.25">
      <c r="B1" s="1" t="s">
        <v>1282</v>
      </c>
    </row>
    <row r="3" spans="2:16" ht="15.6" x14ac:dyDescent="0.3">
      <c r="B3" s="499" t="s">
        <v>1293</v>
      </c>
      <c r="C3" s="211"/>
      <c r="D3" s="211"/>
      <c r="E3" s="211"/>
      <c r="F3" s="211"/>
      <c r="G3" s="211"/>
      <c r="H3" s="211"/>
      <c r="I3" s="211"/>
      <c r="J3" s="211"/>
      <c r="K3" s="211"/>
      <c r="L3" s="211"/>
      <c r="M3" s="211"/>
    </row>
    <row r="4" spans="2:16" ht="15.6" x14ac:dyDescent="0.3">
      <c r="B4" s="152" t="s">
        <v>1262</v>
      </c>
      <c r="C4" s="211"/>
      <c r="D4" s="211"/>
      <c r="E4" s="211"/>
      <c r="F4" s="211"/>
      <c r="G4" s="211"/>
      <c r="H4" s="211"/>
      <c r="I4" s="211"/>
      <c r="J4" s="211"/>
      <c r="K4" s="211"/>
      <c r="L4" s="211"/>
      <c r="M4" s="211"/>
    </row>
    <row r="5" spans="2:16" ht="8.25" customHeight="1" thickBot="1" x14ac:dyDescent="0.35">
      <c r="B5" s="211"/>
      <c r="C5" s="211"/>
      <c r="D5" s="211"/>
      <c r="E5" s="211"/>
      <c r="F5" s="211"/>
      <c r="G5" s="211"/>
      <c r="H5" s="211"/>
      <c r="I5" s="211"/>
      <c r="J5" s="211"/>
      <c r="K5" s="211"/>
      <c r="L5" s="211"/>
      <c r="M5" s="211"/>
    </row>
    <row r="6" spans="2:16" ht="15.6" x14ac:dyDescent="0.3">
      <c r="B6" s="212" t="s">
        <v>1204</v>
      </c>
      <c r="C6" s="443">
        <v>23653</v>
      </c>
      <c r="D6" s="443">
        <v>23282</v>
      </c>
      <c r="E6" s="443">
        <v>22918</v>
      </c>
      <c r="F6" s="443">
        <v>22554</v>
      </c>
      <c r="G6" s="443">
        <v>22190</v>
      </c>
      <c r="H6" s="443">
        <v>21826</v>
      </c>
      <c r="I6" s="443">
        <v>21455</v>
      </c>
      <c r="J6" s="443">
        <v>21093</v>
      </c>
      <c r="K6" s="443">
        <v>20728</v>
      </c>
      <c r="L6" s="443">
        <v>20362</v>
      </c>
      <c r="M6" s="444">
        <v>19997</v>
      </c>
    </row>
    <row r="7" spans="2:16" ht="15.6" x14ac:dyDescent="0.3">
      <c r="B7" s="221" t="s">
        <v>1253</v>
      </c>
      <c r="C7" s="220"/>
      <c r="D7" s="220"/>
      <c r="E7" s="220"/>
      <c r="F7" s="220"/>
      <c r="G7" s="220"/>
      <c r="H7" s="220"/>
      <c r="I7" s="220"/>
      <c r="J7" s="220"/>
      <c r="K7" s="220"/>
      <c r="L7" s="220"/>
      <c r="M7" s="223"/>
    </row>
    <row r="8" spans="2:16" ht="15.6" x14ac:dyDescent="0.3">
      <c r="B8" s="214" t="s">
        <v>5</v>
      </c>
      <c r="C8" s="414">
        <v>920089</v>
      </c>
      <c r="D8" s="414">
        <v>660264</v>
      </c>
      <c r="E8" s="414">
        <v>1444590</v>
      </c>
      <c r="F8" s="414">
        <v>939471</v>
      </c>
      <c r="G8" s="414">
        <v>1535261</v>
      </c>
      <c r="H8" s="414">
        <v>1986623</v>
      </c>
      <c r="I8" s="414">
        <v>2472525</v>
      </c>
      <c r="J8" s="414">
        <v>2002657</v>
      </c>
      <c r="K8" s="414">
        <v>2554457</v>
      </c>
      <c r="L8" s="414">
        <v>4169413</v>
      </c>
      <c r="M8" s="361">
        <v>4976547</v>
      </c>
      <c r="O8" s="53"/>
      <c r="P8" s="3"/>
    </row>
    <row r="9" spans="2:16" ht="15.6" x14ac:dyDescent="0.3">
      <c r="B9" s="214" t="s">
        <v>1251</v>
      </c>
      <c r="C9" s="423">
        <v>0</v>
      </c>
      <c r="D9" s="423">
        <v>0</v>
      </c>
      <c r="E9" s="423">
        <v>0</v>
      </c>
      <c r="F9" s="423">
        <v>0</v>
      </c>
      <c r="G9" s="423">
        <v>3248184</v>
      </c>
      <c r="H9" s="423">
        <v>4464204</v>
      </c>
      <c r="I9" s="423">
        <v>0</v>
      </c>
      <c r="J9" s="423">
        <v>162827</v>
      </c>
      <c r="K9" s="423">
        <v>482288</v>
      </c>
      <c r="L9" s="423">
        <v>4332595</v>
      </c>
      <c r="M9" s="240">
        <v>2962675</v>
      </c>
    </row>
    <row r="10" spans="2:16" ht="15.6" x14ac:dyDescent="0.3">
      <c r="B10" s="214" t="s">
        <v>1252</v>
      </c>
      <c r="C10" s="423">
        <v>7450564</v>
      </c>
      <c r="D10" s="423">
        <v>7670236</v>
      </c>
      <c r="E10" s="423">
        <v>7052387</v>
      </c>
      <c r="F10" s="423">
        <v>6852447</v>
      </c>
      <c r="G10" s="423">
        <v>7644809</v>
      </c>
      <c r="H10" s="423">
        <v>7069597</v>
      </c>
      <c r="I10" s="423">
        <v>7184448</v>
      </c>
      <c r="J10" s="423">
        <v>8050844</v>
      </c>
      <c r="K10" s="423">
        <v>7136305</v>
      </c>
      <c r="L10" s="423">
        <v>4343060</v>
      </c>
      <c r="M10" s="240">
        <v>3199898</v>
      </c>
    </row>
    <row r="11" spans="2:16" ht="15.6" x14ac:dyDescent="0.3">
      <c r="B11" s="214" t="s">
        <v>10</v>
      </c>
      <c r="C11" s="423">
        <v>11689145</v>
      </c>
      <c r="D11" s="423">
        <v>18011345</v>
      </c>
      <c r="E11" s="423">
        <v>19281265</v>
      </c>
      <c r="F11" s="423">
        <v>20880052</v>
      </c>
      <c r="G11" s="423">
        <v>14919764</v>
      </c>
      <c r="H11" s="423">
        <v>15655025</v>
      </c>
      <c r="I11" s="423">
        <v>22410997</v>
      </c>
      <c r="J11" s="423">
        <v>24065762</v>
      </c>
      <c r="K11" s="423">
        <v>30842230</v>
      </c>
      <c r="L11" s="423">
        <v>22977417</v>
      </c>
      <c r="M11" s="240">
        <v>27669252</v>
      </c>
    </row>
    <row r="12" spans="2:16" ht="15.6" x14ac:dyDescent="0.3">
      <c r="B12" s="214" t="s">
        <v>966</v>
      </c>
      <c r="C12" s="423">
        <f t="shared" ref="C12:M12" si="0">C13-SUM(C8:C11)</f>
        <v>190563</v>
      </c>
      <c r="D12" s="423">
        <f t="shared" si="0"/>
        <v>237374</v>
      </c>
      <c r="E12" s="423">
        <f t="shared" si="0"/>
        <v>320926</v>
      </c>
      <c r="F12" s="423">
        <f t="shared" si="0"/>
        <v>275423</v>
      </c>
      <c r="G12" s="423">
        <f t="shared" si="0"/>
        <v>494767</v>
      </c>
      <c r="H12" s="423">
        <f t="shared" si="0"/>
        <v>432961</v>
      </c>
      <c r="I12" s="423">
        <f t="shared" si="0"/>
        <v>1</v>
      </c>
      <c r="J12" s="423">
        <f t="shared" si="0"/>
        <v>875119</v>
      </c>
      <c r="K12" s="423">
        <f t="shared" si="0"/>
        <v>0</v>
      </c>
      <c r="L12" s="423">
        <f t="shared" si="0"/>
        <v>1000001</v>
      </c>
      <c r="M12" s="240">
        <f t="shared" si="0"/>
        <v>393999</v>
      </c>
    </row>
    <row r="13" spans="2:16" ht="15.6" x14ac:dyDescent="0.3">
      <c r="B13" s="214" t="s">
        <v>967</v>
      </c>
      <c r="C13" s="424">
        <v>20250361</v>
      </c>
      <c r="D13" s="424">
        <v>26579219</v>
      </c>
      <c r="E13" s="424">
        <v>28099168</v>
      </c>
      <c r="F13" s="424">
        <v>28947393</v>
      </c>
      <c r="G13" s="424">
        <v>27842785</v>
      </c>
      <c r="H13" s="424">
        <v>29608410</v>
      </c>
      <c r="I13" s="424">
        <v>32067971</v>
      </c>
      <c r="J13" s="424">
        <v>35157209</v>
      </c>
      <c r="K13" s="424">
        <v>41015280</v>
      </c>
      <c r="L13" s="424">
        <v>36822486</v>
      </c>
      <c r="M13" s="425">
        <v>39202371</v>
      </c>
    </row>
    <row r="14" spans="2:16" ht="15.6" x14ac:dyDescent="0.3">
      <c r="B14" s="214"/>
      <c r="C14" s="215"/>
      <c r="D14" s="215"/>
      <c r="E14" s="215"/>
      <c r="F14" s="215"/>
      <c r="G14" s="215"/>
      <c r="H14" s="215"/>
      <c r="I14" s="215"/>
      <c r="J14" s="215"/>
      <c r="K14" s="215"/>
      <c r="L14" s="215"/>
      <c r="M14" s="260"/>
    </row>
    <row r="15" spans="2:16" ht="15.6" x14ac:dyDescent="0.3">
      <c r="B15" s="214" t="s">
        <v>1254</v>
      </c>
      <c r="C15" s="423">
        <v>7571243</v>
      </c>
      <c r="D15" s="423">
        <v>12824953</v>
      </c>
      <c r="E15" s="423">
        <v>15913292</v>
      </c>
      <c r="F15" s="423">
        <v>16231795</v>
      </c>
      <c r="G15" s="423">
        <v>14389477</v>
      </c>
      <c r="H15" s="423">
        <v>12841989</v>
      </c>
      <c r="I15" s="423">
        <v>15020787</v>
      </c>
      <c r="J15" s="423">
        <v>16805579</v>
      </c>
      <c r="K15" s="423">
        <v>17131036</v>
      </c>
      <c r="L15" s="423">
        <v>16655267</v>
      </c>
      <c r="M15" s="240">
        <v>17249195</v>
      </c>
    </row>
    <row r="16" spans="2:16" ht="15.6" x14ac:dyDescent="0.3">
      <c r="B16" s="214" t="s">
        <v>348</v>
      </c>
      <c r="C16" s="423">
        <f t="shared" ref="C16:M16" si="1">C17-C15-C13</f>
        <v>65442</v>
      </c>
      <c r="D16" s="423">
        <f t="shared" si="1"/>
        <v>43434</v>
      </c>
      <c r="E16" s="423">
        <f t="shared" si="1"/>
        <v>76626</v>
      </c>
      <c r="F16" s="423">
        <f t="shared" si="1"/>
        <v>99778</v>
      </c>
      <c r="G16" s="423">
        <f t="shared" si="1"/>
        <v>162024</v>
      </c>
      <c r="H16" s="423">
        <f t="shared" si="1"/>
        <v>210573</v>
      </c>
      <c r="I16" s="423">
        <f t="shared" si="1"/>
        <v>939232</v>
      </c>
      <c r="J16" s="423">
        <f t="shared" si="1"/>
        <v>1696332</v>
      </c>
      <c r="K16" s="423">
        <f t="shared" si="1"/>
        <v>1812116</v>
      </c>
      <c r="L16" s="423">
        <f t="shared" si="1"/>
        <v>1722328</v>
      </c>
      <c r="M16" s="240">
        <f t="shared" si="1"/>
        <v>1778198</v>
      </c>
    </row>
    <row r="17" spans="2:13" ht="16.2" thickBot="1" x14ac:dyDescent="0.35">
      <c r="B17" s="214" t="s">
        <v>282</v>
      </c>
      <c r="C17" s="426">
        <v>27887046</v>
      </c>
      <c r="D17" s="426">
        <v>39447606</v>
      </c>
      <c r="E17" s="426">
        <v>44089086</v>
      </c>
      <c r="F17" s="426">
        <v>45278966</v>
      </c>
      <c r="G17" s="426">
        <v>42394286</v>
      </c>
      <c r="H17" s="426">
        <v>42660972</v>
      </c>
      <c r="I17" s="426">
        <v>48027990</v>
      </c>
      <c r="J17" s="426">
        <v>53659120</v>
      </c>
      <c r="K17" s="426">
        <v>59958432</v>
      </c>
      <c r="L17" s="426">
        <v>55200081</v>
      </c>
      <c r="M17" s="427">
        <v>58229764</v>
      </c>
    </row>
    <row r="18" spans="2:13" ht="16.2" thickTop="1" x14ac:dyDescent="0.3">
      <c r="B18" s="214"/>
      <c r="C18" s="215"/>
      <c r="D18" s="215"/>
      <c r="E18" s="215"/>
      <c r="F18" s="215"/>
      <c r="G18" s="215"/>
      <c r="H18" s="215"/>
      <c r="I18" s="215"/>
      <c r="J18" s="215"/>
      <c r="K18" s="215"/>
      <c r="L18" s="215"/>
      <c r="M18" s="260"/>
    </row>
    <row r="19" spans="2:13" ht="15.6" x14ac:dyDescent="0.3">
      <c r="B19" s="221" t="s">
        <v>1292</v>
      </c>
      <c r="C19" s="215"/>
      <c r="D19" s="215"/>
      <c r="E19" s="215"/>
      <c r="F19" s="215"/>
      <c r="G19" s="215"/>
      <c r="H19" s="215"/>
      <c r="I19" s="215"/>
      <c r="J19" s="215"/>
      <c r="K19" s="215"/>
      <c r="L19" s="215"/>
      <c r="M19" s="260"/>
    </row>
    <row r="20" spans="2:13" ht="15.6" x14ac:dyDescent="0.3">
      <c r="B20" s="214" t="s">
        <v>971</v>
      </c>
      <c r="C20" s="414">
        <v>2500000</v>
      </c>
      <c r="D20" s="414">
        <v>5400000</v>
      </c>
      <c r="E20" s="414">
        <v>6900000</v>
      </c>
      <c r="F20" s="414">
        <v>4150000</v>
      </c>
      <c r="G20" s="414">
        <v>0</v>
      </c>
      <c r="H20" s="414">
        <v>0</v>
      </c>
      <c r="I20" s="414">
        <v>4500000</v>
      </c>
      <c r="J20" s="414">
        <v>3350000</v>
      </c>
      <c r="K20" s="414">
        <v>4300000</v>
      </c>
      <c r="L20" s="414">
        <v>0</v>
      </c>
      <c r="M20" s="361">
        <v>878082</v>
      </c>
    </row>
    <row r="21" spans="2:13" ht="15.6" x14ac:dyDescent="0.3">
      <c r="B21" s="214" t="s">
        <v>1255</v>
      </c>
      <c r="C21" s="423">
        <v>2096726</v>
      </c>
      <c r="D21" s="423">
        <v>2415395</v>
      </c>
      <c r="E21" s="423">
        <v>3315956</v>
      </c>
      <c r="F21" s="423">
        <v>3371352</v>
      </c>
      <c r="G21" s="423">
        <v>2582672</v>
      </c>
      <c r="H21" s="423">
        <v>2424171</v>
      </c>
      <c r="I21" s="423">
        <v>2266843</v>
      </c>
      <c r="J21" s="423">
        <v>3836392</v>
      </c>
      <c r="K21" s="423">
        <v>2184993</v>
      </c>
      <c r="L21" s="423">
        <v>2334372</v>
      </c>
      <c r="M21" s="240">
        <v>2295603</v>
      </c>
    </row>
    <row r="22" spans="2:13" ht="15.6" x14ac:dyDescent="0.3">
      <c r="B22" s="214" t="s">
        <v>1256</v>
      </c>
      <c r="C22" s="423">
        <f t="shared" ref="C22:M22" si="2">C23-C21-C20</f>
        <v>1151567</v>
      </c>
      <c r="D22" s="423">
        <f t="shared" si="2"/>
        <v>1353321</v>
      </c>
      <c r="E22" s="423">
        <f t="shared" si="2"/>
        <v>1409429</v>
      </c>
      <c r="F22" s="423">
        <f t="shared" si="2"/>
        <v>1581919</v>
      </c>
      <c r="G22" s="423">
        <f t="shared" si="2"/>
        <v>1829794</v>
      </c>
      <c r="H22" s="423">
        <f t="shared" si="2"/>
        <v>1325253</v>
      </c>
      <c r="I22" s="423">
        <f t="shared" si="2"/>
        <v>1333300</v>
      </c>
      <c r="J22" s="423">
        <f t="shared" si="2"/>
        <v>1569421</v>
      </c>
      <c r="K22" s="423">
        <f t="shared" si="2"/>
        <v>3103719</v>
      </c>
      <c r="L22" s="423">
        <f t="shared" si="2"/>
        <v>1465953</v>
      </c>
      <c r="M22" s="240">
        <f t="shared" si="2"/>
        <v>1701761</v>
      </c>
    </row>
    <row r="23" spans="2:13" ht="15.6" x14ac:dyDescent="0.3">
      <c r="B23" s="214" t="s">
        <v>973</v>
      </c>
      <c r="C23" s="424">
        <v>5748293</v>
      </c>
      <c r="D23" s="424">
        <v>9168716</v>
      </c>
      <c r="E23" s="424">
        <v>11625385</v>
      </c>
      <c r="F23" s="424">
        <v>9103271</v>
      </c>
      <c r="G23" s="424">
        <v>4412466</v>
      </c>
      <c r="H23" s="424">
        <v>3749424</v>
      </c>
      <c r="I23" s="424">
        <v>8100143</v>
      </c>
      <c r="J23" s="424">
        <v>8755813</v>
      </c>
      <c r="K23" s="424">
        <v>9588712</v>
      </c>
      <c r="L23" s="424">
        <v>3800325</v>
      </c>
      <c r="M23" s="425">
        <v>4875446</v>
      </c>
    </row>
    <row r="24" spans="2:13" ht="15.6" x14ac:dyDescent="0.3">
      <c r="B24" s="214"/>
      <c r="C24" s="215"/>
      <c r="D24" s="215"/>
      <c r="E24" s="215"/>
      <c r="F24" s="215"/>
      <c r="G24" s="215"/>
      <c r="H24" s="215"/>
      <c r="I24" s="215"/>
      <c r="J24" s="215"/>
      <c r="K24" s="215"/>
      <c r="L24" s="215"/>
      <c r="M24" s="260"/>
    </row>
    <row r="25" spans="2:13" ht="15.6" x14ac:dyDescent="0.3">
      <c r="B25" s="214" t="s">
        <v>1257</v>
      </c>
      <c r="C25" s="423">
        <v>0</v>
      </c>
      <c r="D25" s="423">
        <v>0</v>
      </c>
      <c r="E25" s="423">
        <v>0</v>
      </c>
      <c r="F25" s="423">
        <v>0</v>
      </c>
      <c r="G25" s="423">
        <v>0</v>
      </c>
      <c r="H25" s="423">
        <v>0</v>
      </c>
      <c r="I25" s="423">
        <v>0</v>
      </c>
      <c r="J25" s="423">
        <v>0</v>
      </c>
      <c r="K25" s="423">
        <v>0</v>
      </c>
      <c r="L25" s="423">
        <v>0</v>
      </c>
      <c r="M25" s="240">
        <v>0</v>
      </c>
    </row>
    <row r="26" spans="2:13" ht="15.6" x14ac:dyDescent="0.3">
      <c r="B26" s="214"/>
      <c r="C26" s="220"/>
      <c r="D26" s="220"/>
      <c r="E26" s="220"/>
      <c r="F26" s="220"/>
      <c r="G26" s="220"/>
      <c r="H26" s="220"/>
      <c r="I26" s="220"/>
      <c r="J26" s="220"/>
      <c r="K26" s="220"/>
      <c r="L26" s="220"/>
      <c r="M26" s="223"/>
    </row>
    <row r="27" spans="2:13" s="12" customFormat="1" ht="15.6" hidden="1" outlineLevel="1" x14ac:dyDescent="0.3">
      <c r="B27" s="221" t="s">
        <v>16</v>
      </c>
      <c r="C27" s="428">
        <v>1607380</v>
      </c>
      <c r="D27" s="428">
        <v>1607380</v>
      </c>
      <c r="E27" s="428">
        <v>2294564</v>
      </c>
      <c r="F27" s="428">
        <v>2294564</v>
      </c>
      <c r="G27" s="428">
        <v>2294564</v>
      </c>
      <c r="H27" s="428">
        <v>2294564</v>
      </c>
      <c r="I27" s="428">
        <v>2294564</v>
      </c>
      <c r="J27" s="428">
        <v>2294564</v>
      </c>
      <c r="K27" s="428">
        <v>2294564</v>
      </c>
      <c r="L27" s="428">
        <v>2294564</v>
      </c>
      <c r="M27" s="429">
        <v>2295204</v>
      </c>
    </row>
    <row r="28" spans="2:13" s="12" customFormat="1" ht="15.6" hidden="1" outlineLevel="1" x14ac:dyDescent="0.3">
      <c r="B28" s="221" t="s">
        <v>26</v>
      </c>
      <c r="C28" s="430">
        <v>-469602</v>
      </c>
      <c r="D28" s="430">
        <v>0</v>
      </c>
      <c r="E28" s="431">
        <v>-687184</v>
      </c>
      <c r="F28" s="431">
        <v>-687184</v>
      </c>
      <c r="G28" s="431">
        <v>-669045</v>
      </c>
      <c r="H28" s="431">
        <v>-358243</v>
      </c>
      <c r="I28" s="431">
        <v>-188595</v>
      </c>
      <c r="J28" s="431">
        <v>-188595</v>
      </c>
      <c r="K28" s="431">
        <v>-48450</v>
      </c>
      <c r="L28" s="430">
        <v>0</v>
      </c>
      <c r="M28" s="432">
        <v>0</v>
      </c>
    </row>
    <row r="29" spans="2:13" s="12" customFormat="1" ht="15.6" collapsed="1" x14ac:dyDescent="0.3">
      <c r="B29" s="221" t="s">
        <v>2627</v>
      </c>
      <c r="C29" s="433">
        <f t="shared" ref="C29:J29" si="3">C27+C28</f>
        <v>1137778</v>
      </c>
      <c r="D29" s="433">
        <f t="shared" si="3"/>
        <v>1607380</v>
      </c>
      <c r="E29" s="433">
        <f t="shared" si="3"/>
        <v>1607380</v>
      </c>
      <c r="F29" s="433">
        <f t="shared" si="3"/>
        <v>1607380</v>
      </c>
      <c r="G29" s="433">
        <f t="shared" si="3"/>
        <v>1625519</v>
      </c>
      <c r="H29" s="433">
        <f t="shared" si="3"/>
        <v>1936321</v>
      </c>
      <c r="I29" s="433">
        <f t="shared" si="3"/>
        <v>2105969</v>
      </c>
      <c r="J29" s="433">
        <f t="shared" si="3"/>
        <v>2105969</v>
      </c>
      <c r="K29" s="433">
        <f>K27+K28</f>
        <v>2246114</v>
      </c>
      <c r="L29" s="433">
        <f t="shared" ref="L29:M29" si="4">L27+L28</f>
        <v>2294564</v>
      </c>
      <c r="M29" s="434">
        <f t="shared" si="4"/>
        <v>2295204</v>
      </c>
    </row>
    <row r="30" spans="2:13" s="16" customFormat="1" ht="15.6" hidden="1" outlineLevel="1" x14ac:dyDescent="0.3">
      <c r="B30" s="267" t="s">
        <v>17</v>
      </c>
      <c r="C30" s="435">
        <v>8036900</v>
      </c>
      <c r="D30" s="435">
        <v>8036900</v>
      </c>
      <c r="E30" s="435">
        <v>11472820</v>
      </c>
      <c r="F30" s="435">
        <v>11472820</v>
      </c>
      <c r="G30" s="435">
        <v>11472820</v>
      </c>
      <c r="H30" s="435">
        <v>11472820</v>
      </c>
      <c r="I30" s="435">
        <v>11472820</v>
      </c>
      <c r="J30" s="435">
        <v>11472820</v>
      </c>
      <c r="K30" s="435">
        <v>11472820</v>
      </c>
      <c r="L30" s="435">
        <v>11472820</v>
      </c>
      <c r="M30" s="436">
        <v>11476020</v>
      </c>
    </row>
    <row r="31" spans="2:13" s="16" customFormat="1" ht="15.6" hidden="1" outlineLevel="1" x14ac:dyDescent="0.3">
      <c r="B31" s="267" t="s">
        <v>18</v>
      </c>
      <c r="C31" s="437">
        <v>0</v>
      </c>
      <c r="D31" s="437">
        <v>0</v>
      </c>
      <c r="E31" s="435">
        <v>2738106</v>
      </c>
      <c r="F31" s="435">
        <v>2738106</v>
      </c>
      <c r="G31" s="435">
        <v>2738106</v>
      </c>
      <c r="H31" s="435">
        <v>2738106</v>
      </c>
      <c r="I31" s="435">
        <v>2738106</v>
      </c>
      <c r="J31" s="435">
        <v>2738106</v>
      </c>
      <c r="K31" s="435">
        <v>2736510</v>
      </c>
      <c r="L31" s="435">
        <v>1849611</v>
      </c>
      <c r="M31" s="436">
        <v>1856811</v>
      </c>
    </row>
    <row r="32" spans="2:13" s="16" customFormat="1" ht="15.6" hidden="1" outlineLevel="1" x14ac:dyDescent="0.3">
      <c r="B32" s="267" t="s">
        <v>19</v>
      </c>
      <c r="C32" s="437">
        <v>19417576</v>
      </c>
      <c r="D32" s="437">
        <v>22241990</v>
      </c>
      <c r="E32" s="435">
        <v>26018710</v>
      </c>
      <c r="F32" s="435">
        <v>29730704</v>
      </c>
      <c r="G32" s="435">
        <v>31329293</v>
      </c>
      <c r="H32" s="435">
        <v>28420636</v>
      </c>
      <c r="I32" s="435">
        <v>27562824</v>
      </c>
      <c r="J32" s="435">
        <v>32538284</v>
      </c>
      <c r="K32" s="435">
        <v>36739562</v>
      </c>
      <c r="L32" s="435">
        <v>38077326</v>
      </c>
      <c r="M32" s="436">
        <v>40021487</v>
      </c>
    </row>
    <row r="33" spans="2:13" s="16" customFormat="1" ht="15.6" hidden="1" outlineLevel="1" x14ac:dyDescent="0.3">
      <c r="B33" s="267" t="s">
        <v>21</v>
      </c>
      <c r="C33" s="437">
        <v>5315723</v>
      </c>
      <c r="D33" s="437">
        <v>0</v>
      </c>
      <c r="E33" s="435">
        <v>7765935</v>
      </c>
      <c r="F33" s="435">
        <v>7765935</v>
      </c>
      <c r="G33" s="435">
        <v>7558399</v>
      </c>
      <c r="H33" s="435">
        <v>3720012</v>
      </c>
      <c r="I33" s="435">
        <v>1845903</v>
      </c>
      <c r="J33" s="435">
        <v>1845903</v>
      </c>
      <c r="K33" s="435">
        <v>579172</v>
      </c>
      <c r="L33" s="437">
        <v>0</v>
      </c>
      <c r="M33" s="438">
        <v>0</v>
      </c>
    </row>
    <row r="34" spans="2:13" ht="15.6" collapsed="1" x14ac:dyDescent="0.3">
      <c r="B34" s="214" t="s">
        <v>642</v>
      </c>
      <c r="C34" s="423">
        <v>22138753</v>
      </c>
      <c r="D34" s="423">
        <v>30278890</v>
      </c>
      <c r="E34" s="423">
        <v>32463701</v>
      </c>
      <c r="F34" s="423">
        <v>36175695</v>
      </c>
      <c r="G34" s="423">
        <v>37981820</v>
      </c>
      <c r="H34" s="423">
        <v>38911549</v>
      </c>
      <c r="I34" s="423">
        <v>39927846</v>
      </c>
      <c r="J34" s="423">
        <v>44903306</v>
      </c>
      <c r="K34" s="423">
        <v>50369720</v>
      </c>
      <c r="L34" s="423">
        <v>51399756</v>
      </c>
      <c r="M34" s="240">
        <v>53354318</v>
      </c>
    </row>
    <row r="35" spans="2:13" ht="16.2" thickBot="1" x14ac:dyDescent="0.35">
      <c r="B35" s="282" t="s">
        <v>1259</v>
      </c>
      <c r="C35" s="258">
        <v>27887046</v>
      </c>
      <c r="D35" s="258">
        <v>39447606</v>
      </c>
      <c r="E35" s="258">
        <v>44089086</v>
      </c>
      <c r="F35" s="258">
        <v>45278966</v>
      </c>
      <c r="G35" s="258">
        <v>42394286</v>
      </c>
      <c r="H35" s="258">
        <v>42660972</v>
      </c>
      <c r="I35" s="258">
        <v>48027990</v>
      </c>
      <c r="J35" s="258">
        <v>53659120</v>
      </c>
      <c r="K35" s="258">
        <v>59958432</v>
      </c>
      <c r="L35" s="258">
        <v>55200081</v>
      </c>
      <c r="M35" s="259">
        <v>58229764</v>
      </c>
    </row>
    <row r="36" spans="2:13" ht="16.2" thickTop="1" x14ac:dyDescent="0.3">
      <c r="B36" s="282"/>
      <c r="C36" s="442"/>
      <c r="D36" s="442"/>
      <c r="E36" s="442"/>
      <c r="F36" s="442"/>
      <c r="G36" s="442"/>
      <c r="H36" s="442"/>
      <c r="I36" s="442"/>
      <c r="J36" s="442"/>
      <c r="K36" s="442"/>
      <c r="L36" s="442"/>
      <c r="M36" s="251"/>
    </row>
    <row r="37" spans="2:13" ht="16.2" thickBot="1" x14ac:dyDescent="0.35">
      <c r="B37" s="9" t="s">
        <v>1260</v>
      </c>
      <c r="C37" s="272"/>
      <c r="D37" s="272"/>
      <c r="E37" s="272"/>
      <c r="F37" s="272"/>
      <c r="G37" s="272"/>
      <c r="H37" s="272"/>
      <c r="I37" s="272"/>
      <c r="J37" s="272"/>
      <c r="K37" s="272"/>
      <c r="L37" s="272"/>
      <c r="M37" s="273"/>
    </row>
    <row r="38" spans="2:13" ht="15.6" x14ac:dyDescent="0.3">
      <c r="B38" s="410" t="s">
        <v>1261</v>
      </c>
      <c r="C38" s="442"/>
      <c r="D38" s="442"/>
      <c r="E38" s="442"/>
      <c r="F38" s="442"/>
      <c r="G38" s="442"/>
      <c r="H38" s="442"/>
      <c r="I38" s="442"/>
      <c r="J38" s="442"/>
      <c r="K38" s="442"/>
      <c r="L38" s="442"/>
      <c r="M38" s="442"/>
    </row>
    <row r="39" spans="2:13" s="54" customFormat="1" ht="15.6" hidden="1" outlineLevel="1" x14ac:dyDescent="0.3">
      <c r="B39" s="439" t="s">
        <v>238</v>
      </c>
      <c r="C39" s="440"/>
      <c r="D39" s="440">
        <f t="shared" ref="D39:M39" si="5">D17-D35</f>
        <v>0</v>
      </c>
      <c r="E39" s="440">
        <f t="shared" si="5"/>
        <v>0</v>
      </c>
      <c r="F39" s="440">
        <f t="shared" si="5"/>
        <v>0</v>
      </c>
      <c r="G39" s="440">
        <f t="shared" si="5"/>
        <v>0</v>
      </c>
      <c r="H39" s="440">
        <f t="shared" si="5"/>
        <v>0</v>
      </c>
      <c r="I39" s="440">
        <f t="shared" si="5"/>
        <v>0</v>
      </c>
      <c r="J39" s="440">
        <f t="shared" si="5"/>
        <v>0</v>
      </c>
      <c r="K39" s="440">
        <f t="shared" si="5"/>
        <v>0</v>
      </c>
      <c r="L39" s="440">
        <f t="shared" si="5"/>
        <v>0</v>
      </c>
      <c r="M39" s="440">
        <f t="shared" si="5"/>
        <v>0</v>
      </c>
    </row>
    <row r="40" spans="2:13" s="54" customFormat="1" ht="15.6" hidden="1" outlineLevel="1" x14ac:dyDescent="0.3">
      <c r="B40" s="439"/>
      <c r="C40" s="440"/>
      <c r="D40" s="440"/>
      <c r="E40" s="440"/>
      <c r="F40" s="440"/>
      <c r="G40" s="440"/>
      <c r="H40" s="440"/>
      <c r="I40" s="440"/>
      <c r="J40" s="440"/>
      <c r="K40" s="440"/>
      <c r="L40" s="440"/>
      <c r="M40" s="440"/>
    </row>
    <row r="41" spans="2:13" ht="15.6" collapsed="1" x14ac:dyDescent="0.3">
      <c r="B41" s="211"/>
      <c r="C41" s="211"/>
      <c r="D41" s="211"/>
      <c r="E41" s="211"/>
      <c r="F41" s="211"/>
      <c r="G41" s="211"/>
      <c r="H41" s="211"/>
      <c r="I41" s="211"/>
      <c r="J41" s="211"/>
      <c r="K41" s="211"/>
      <c r="L41" s="211"/>
      <c r="M41" s="211"/>
    </row>
    <row r="42" spans="2:13" s="15" customFormat="1" ht="15.6" hidden="1" outlineLevel="1" x14ac:dyDescent="0.3">
      <c r="B42" s="274" t="s">
        <v>27</v>
      </c>
      <c r="C42" s="2786">
        <f t="shared" ref="C42:K42" si="6">C33/-C28</f>
        <v>11.319634499001282</v>
      </c>
      <c r="D42" s="2786" t="e">
        <f t="shared" si="6"/>
        <v>#DIV/0!</v>
      </c>
      <c r="E42" s="2786">
        <f t="shared" si="6"/>
        <v>11.301099850986054</v>
      </c>
      <c r="F42" s="2786">
        <f t="shared" si="6"/>
        <v>11.301099850986054</v>
      </c>
      <c r="G42" s="2786">
        <f t="shared" si="6"/>
        <v>11.297295398665261</v>
      </c>
      <c r="H42" s="2786">
        <f t="shared" si="6"/>
        <v>10.384046582906016</v>
      </c>
      <c r="I42" s="2786">
        <f t="shared" si="6"/>
        <v>9.7876560884434909</v>
      </c>
      <c r="J42" s="2786">
        <f t="shared" si="6"/>
        <v>9.7876560884434909</v>
      </c>
      <c r="K42" s="2786">
        <f t="shared" si="6"/>
        <v>11.954014447884417</v>
      </c>
      <c r="L42" s="274"/>
      <c r="M42" s="274"/>
    </row>
    <row r="43" spans="2:13" s="15" customFormat="1" ht="15.6" hidden="1" outlineLevel="1" x14ac:dyDescent="0.3">
      <c r="B43" s="274" t="s">
        <v>28</v>
      </c>
      <c r="C43" s="2786">
        <f t="shared" ref="C43:J43" si="7">(C33-D33)/(-C28+D28)</f>
        <v>11.319634499001282</v>
      </c>
      <c r="D43" s="2786">
        <f t="shared" si="7"/>
        <v>11.301099850986054</v>
      </c>
      <c r="E43" s="2786" t="e">
        <f t="shared" si="7"/>
        <v>#DIV/0!</v>
      </c>
      <c r="F43" s="2786">
        <f t="shared" si="7"/>
        <v>11.441424554826616</v>
      </c>
      <c r="G43" s="2786">
        <f t="shared" si="7"/>
        <v>12.349943050559521</v>
      </c>
      <c r="H43" s="2786">
        <f t="shared" si="7"/>
        <v>11.047044468546638</v>
      </c>
      <c r="I43" s="2786" t="e">
        <f t="shared" si="7"/>
        <v>#DIV/0!</v>
      </c>
      <c r="J43" s="2786">
        <f t="shared" si="7"/>
        <v>9.0387170430625421</v>
      </c>
      <c r="K43" s="2786">
        <f>K33/-K28</f>
        <v>11.954014447884417</v>
      </c>
      <c r="L43" s="274"/>
      <c r="M43" s="274"/>
    </row>
    <row r="44" spans="2:13" s="15" customFormat="1" ht="15.6" hidden="1" outlineLevel="1" x14ac:dyDescent="0.3">
      <c r="B44" s="274" t="s">
        <v>29</v>
      </c>
      <c r="C44" s="2787">
        <f t="shared" ref="C44:K44" si="8">C43*C29</f>
        <v>12879231.101004681</v>
      </c>
      <c r="D44" s="2787">
        <f t="shared" si="8"/>
        <v>18165161.878477965</v>
      </c>
      <c r="E44" s="2787" t="e">
        <f t="shared" si="8"/>
        <v>#DIV/0!</v>
      </c>
      <c r="F44" s="2787">
        <f t="shared" si="8"/>
        <v>18390717.000937205</v>
      </c>
      <c r="G44" s="2787">
        <f t="shared" si="8"/>
        <v>20075067.077602461</v>
      </c>
      <c r="H44" s="2787">
        <f t="shared" si="8"/>
        <v>21390624.192380693</v>
      </c>
      <c r="I44" s="2787" t="e">
        <f t="shared" si="8"/>
        <v>#DIV/0!</v>
      </c>
      <c r="J44" s="2787">
        <f t="shared" si="8"/>
        <v>19035257.892461378</v>
      </c>
      <c r="K44" s="2787">
        <f t="shared" si="8"/>
        <v>26850079.20759546</v>
      </c>
      <c r="L44" s="274"/>
      <c r="M44" s="274"/>
    </row>
    <row r="45" spans="2:13" ht="15.6" collapsed="1" x14ac:dyDescent="0.3">
      <c r="B45" s="211"/>
      <c r="C45" s="211"/>
      <c r="D45" s="211"/>
      <c r="E45" s="211"/>
      <c r="F45" s="211"/>
      <c r="G45" s="211"/>
      <c r="H45" s="211"/>
      <c r="I45" s="211"/>
      <c r="J45" s="211"/>
      <c r="K45" s="211"/>
      <c r="L45" s="211"/>
      <c r="M45" s="211"/>
    </row>
    <row r="46" spans="2:13" s="445" customFormat="1" ht="15.6" x14ac:dyDescent="0.3">
      <c r="B46" s="372"/>
      <c r="C46" s="372"/>
      <c r="D46" s="372"/>
      <c r="E46" s="372"/>
      <c r="F46" s="372"/>
      <c r="G46" s="372"/>
      <c r="H46" s="372"/>
      <c r="I46" s="372"/>
      <c r="J46" s="372"/>
      <c r="K46" s="372"/>
      <c r="L46" s="372"/>
      <c r="M46" s="372"/>
    </row>
    <row r="48" spans="2:13" ht="15.6" x14ac:dyDescent="0.3">
      <c r="B48" s="499" t="s">
        <v>1294</v>
      </c>
      <c r="C48" s="211"/>
      <c r="D48" s="211"/>
      <c r="E48" s="211"/>
      <c r="F48" s="211"/>
      <c r="G48" s="211"/>
      <c r="H48" s="211"/>
      <c r="I48" s="211"/>
      <c r="J48" s="211"/>
      <c r="K48" s="211"/>
      <c r="L48" s="211"/>
      <c r="M48" s="211"/>
    </row>
    <row r="49" spans="2:13" ht="15.6" x14ac:dyDescent="0.3">
      <c r="B49" s="152" t="s">
        <v>1263</v>
      </c>
      <c r="C49" s="211"/>
      <c r="D49" s="211"/>
      <c r="E49" s="211"/>
      <c r="F49" s="211"/>
      <c r="G49" s="211"/>
      <c r="H49" s="211"/>
      <c r="I49" s="211"/>
      <c r="J49" s="211"/>
      <c r="K49" s="211"/>
      <c r="L49" s="211"/>
      <c r="M49" s="211"/>
    </row>
    <row r="50" spans="2:13" ht="8.25" customHeight="1" thickBot="1" x14ac:dyDescent="0.35">
      <c r="B50" s="211"/>
      <c r="C50" s="211"/>
      <c r="D50" s="211"/>
      <c r="E50" s="211"/>
      <c r="F50" s="211"/>
      <c r="G50" s="211"/>
      <c r="H50" s="211"/>
      <c r="I50" s="211"/>
      <c r="J50" s="211"/>
      <c r="K50" s="211"/>
      <c r="L50" s="211"/>
      <c r="M50" s="211"/>
    </row>
    <row r="51" spans="2:13" ht="15.6" x14ac:dyDescent="0.3">
      <c r="B51" s="212" t="s">
        <v>1204</v>
      </c>
      <c r="C51" s="443">
        <f t="shared" ref="C51:M51" si="9">C6</f>
        <v>23653</v>
      </c>
      <c r="D51" s="443">
        <f t="shared" si="9"/>
        <v>23282</v>
      </c>
      <c r="E51" s="443">
        <f t="shared" si="9"/>
        <v>22918</v>
      </c>
      <c r="F51" s="443">
        <f t="shared" si="9"/>
        <v>22554</v>
      </c>
      <c r="G51" s="443">
        <f t="shared" si="9"/>
        <v>22190</v>
      </c>
      <c r="H51" s="443">
        <f t="shared" si="9"/>
        <v>21826</v>
      </c>
      <c r="I51" s="443">
        <f t="shared" si="9"/>
        <v>21455</v>
      </c>
      <c r="J51" s="443">
        <f t="shared" si="9"/>
        <v>21093</v>
      </c>
      <c r="K51" s="443">
        <f t="shared" si="9"/>
        <v>20728</v>
      </c>
      <c r="L51" s="443">
        <f t="shared" si="9"/>
        <v>20362</v>
      </c>
      <c r="M51" s="444">
        <f t="shared" si="9"/>
        <v>19997</v>
      </c>
    </row>
    <row r="52" spans="2:13" ht="15.6" x14ac:dyDescent="0.3">
      <c r="B52" s="214" t="s">
        <v>1264</v>
      </c>
      <c r="C52" s="414">
        <v>49982830</v>
      </c>
      <c r="D52" s="414">
        <v>50590679</v>
      </c>
      <c r="E52" s="414">
        <v>53259302</v>
      </c>
      <c r="F52" s="414">
        <v>47722281</v>
      </c>
      <c r="G52" s="414">
        <v>62608679</v>
      </c>
      <c r="H52" s="414">
        <v>69511792</v>
      </c>
      <c r="I52" s="414">
        <v>61956405</v>
      </c>
      <c r="J52" s="414">
        <v>66098223</v>
      </c>
      <c r="K52" s="414">
        <v>68042770</v>
      </c>
      <c r="L52" s="414">
        <v>65498284</v>
      </c>
      <c r="M52" s="361">
        <v>66929036</v>
      </c>
    </row>
    <row r="53" spans="2:13" ht="15.6" x14ac:dyDescent="0.3">
      <c r="B53" s="214" t="s">
        <v>7</v>
      </c>
      <c r="C53" s="423">
        <v>48354012</v>
      </c>
      <c r="D53" s="423">
        <v>49418947</v>
      </c>
      <c r="E53" s="423">
        <v>53373065</v>
      </c>
      <c r="F53" s="423">
        <v>46144614</v>
      </c>
      <c r="G53" s="423">
        <v>56273523</v>
      </c>
      <c r="H53" s="423">
        <v>66368829</v>
      </c>
      <c r="I53" s="423">
        <v>64408879</v>
      </c>
      <c r="J53" s="423">
        <f>70211944-J54</f>
        <v>68240787</v>
      </c>
      <c r="K53" s="423">
        <f>66413221-K54</f>
        <v>64517415</v>
      </c>
      <c r="L53" s="423">
        <f>65169318-L54</f>
        <v>63369871</v>
      </c>
      <c r="M53" s="240">
        <f>65370406</f>
        <v>65370406</v>
      </c>
    </row>
    <row r="54" spans="2:13" ht="15.6" x14ac:dyDescent="0.3">
      <c r="B54" s="214" t="s">
        <v>8</v>
      </c>
      <c r="C54" s="446">
        <v>1101147</v>
      </c>
      <c r="D54" s="446">
        <v>1716613</v>
      </c>
      <c r="E54" s="446">
        <v>1905368</v>
      </c>
      <c r="F54" s="446">
        <v>2128699</v>
      </c>
      <c r="G54" s="446">
        <v>1713004</v>
      </c>
      <c r="H54" s="446">
        <v>1636769</v>
      </c>
      <c r="I54" s="446">
        <v>1941477</v>
      </c>
      <c r="J54" s="446">
        <v>1971157</v>
      </c>
      <c r="K54" s="446">
        <v>1895806</v>
      </c>
      <c r="L54" s="446">
        <v>1799447</v>
      </c>
      <c r="M54" s="447" t="s">
        <v>1269</v>
      </c>
    </row>
    <row r="55" spans="2:13" ht="15.6" x14ac:dyDescent="0.3">
      <c r="B55" s="214" t="s">
        <v>1265</v>
      </c>
      <c r="C55" s="235">
        <v>527671</v>
      </c>
      <c r="D55" s="235">
        <v>-544881</v>
      </c>
      <c r="E55" s="235">
        <v>-2019131</v>
      </c>
      <c r="F55" s="235">
        <v>-551032</v>
      </c>
      <c r="G55" s="235">
        <v>4622152</v>
      </c>
      <c r="H55" s="235">
        <v>1506193</v>
      </c>
      <c r="I55" s="235">
        <v>-4393951</v>
      </c>
      <c r="J55" s="235">
        <v>-4113720</v>
      </c>
      <c r="K55" s="235">
        <v>1629549</v>
      </c>
      <c r="L55" s="235">
        <v>328967</v>
      </c>
      <c r="M55" s="263">
        <v>1558630</v>
      </c>
    </row>
    <row r="56" spans="2:13" ht="15.6" x14ac:dyDescent="0.3">
      <c r="B56" s="214" t="s">
        <v>1266</v>
      </c>
      <c r="C56" s="446">
        <f t="shared" ref="C56:M56" si="10">C57-C55</f>
        <v>-352085</v>
      </c>
      <c r="D56" s="446">
        <f t="shared" si="10"/>
        <v>-139930</v>
      </c>
      <c r="E56" s="446">
        <f t="shared" si="10"/>
        <v>-132125</v>
      </c>
      <c r="F56" s="446">
        <f t="shared" si="10"/>
        <v>86056</v>
      </c>
      <c r="G56" s="446">
        <f t="shared" si="10"/>
        <v>1828</v>
      </c>
      <c r="H56" s="446">
        <f t="shared" si="10"/>
        <v>-184094</v>
      </c>
      <c r="I56" s="446">
        <f t="shared" si="10"/>
        <v>-581509</v>
      </c>
      <c r="J56" s="446">
        <f t="shared" si="10"/>
        <v>-14034</v>
      </c>
      <c r="K56" s="446">
        <f t="shared" si="10"/>
        <v>159999</v>
      </c>
      <c r="L56" s="446">
        <f t="shared" si="10"/>
        <v>383755</v>
      </c>
      <c r="M56" s="237">
        <f t="shared" si="10"/>
        <v>-172295</v>
      </c>
    </row>
    <row r="57" spans="2:13" ht="15.6" x14ac:dyDescent="0.3">
      <c r="B57" s="214" t="s">
        <v>979</v>
      </c>
      <c r="C57" s="446">
        <v>175586</v>
      </c>
      <c r="D57" s="446">
        <f>D59</f>
        <v>-684811</v>
      </c>
      <c r="E57" s="446">
        <v>-2151256</v>
      </c>
      <c r="F57" s="446">
        <v>-464976</v>
      </c>
      <c r="G57" s="446">
        <f>G59</f>
        <v>4623980</v>
      </c>
      <c r="H57" s="446">
        <f>H59</f>
        <v>1322099</v>
      </c>
      <c r="I57" s="446">
        <f>I59</f>
        <v>-4975460</v>
      </c>
      <c r="J57" s="446">
        <v>-4127754</v>
      </c>
      <c r="K57" s="446">
        <v>1789548</v>
      </c>
      <c r="L57" s="446">
        <v>712722</v>
      </c>
      <c r="M57" s="237">
        <v>1386335</v>
      </c>
    </row>
    <row r="58" spans="2:13" ht="15.6" x14ac:dyDescent="0.3">
      <c r="B58" s="214" t="s">
        <v>1267</v>
      </c>
      <c r="C58" s="446">
        <v>0</v>
      </c>
      <c r="D58" s="446">
        <v>0</v>
      </c>
      <c r="E58" s="446">
        <v>0</v>
      </c>
      <c r="F58" s="446">
        <v>-71922</v>
      </c>
      <c r="G58" s="446">
        <v>0</v>
      </c>
      <c r="H58" s="446">
        <v>0</v>
      </c>
      <c r="I58" s="446">
        <v>0</v>
      </c>
      <c r="J58" s="446">
        <v>-869719</v>
      </c>
      <c r="K58" s="446">
        <v>867000</v>
      </c>
      <c r="L58" s="446">
        <v>412000</v>
      </c>
      <c r="M58" s="237">
        <v>726000</v>
      </c>
    </row>
    <row r="59" spans="2:13" ht="16.2" thickBot="1" x14ac:dyDescent="0.35">
      <c r="B59" s="214" t="s">
        <v>1268</v>
      </c>
      <c r="C59" s="258">
        <v>175586</v>
      </c>
      <c r="D59" s="258">
        <v>-684811</v>
      </c>
      <c r="E59" s="258">
        <v>-2151256</v>
      </c>
      <c r="F59" s="258">
        <v>-393054</v>
      </c>
      <c r="G59" s="258">
        <v>4623980</v>
      </c>
      <c r="H59" s="258">
        <v>1322099</v>
      </c>
      <c r="I59" s="258">
        <v>-4975460</v>
      </c>
      <c r="J59" s="258">
        <v>-3258035</v>
      </c>
      <c r="K59" s="258">
        <v>922548</v>
      </c>
      <c r="L59" s="258">
        <v>300722</v>
      </c>
      <c r="M59" s="259">
        <v>660335</v>
      </c>
    </row>
    <row r="60" spans="2:13" ht="16.2" thickTop="1" x14ac:dyDescent="0.3">
      <c r="B60" s="214"/>
      <c r="C60" s="442"/>
      <c r="D60" s="442"/>
      <c r="E60" s="442"/>
      <c r="F60" s="442"/>
      <c r="G60" s="442"/>
      <c r="H60" s="442"/>
      <c r="I60" s="442"/>
      <c r="J60" s="442"/>
      <c r="K60" s="442"/>
      <c r="L60" s="442"/>
      <c r="M60" s="251"/>
    </row>
    <row r="61" spans="2:13" ht="45" customHeight="1" thickBot="1" x14ac:dyDescent="0.3">
      <c r="B61" s="2802" t="s">
        <v>1279</v>
      </c>
      <c r="C61" s="2803"/>
      <c r="D61" s="2803"/>
      <c r="E61" s="2803"/>
      <c r="F61" s="2803"/>
      <c r="G61" s="2803"/>
      <c r="H61" s="2803"/>
      <c r="I61" s="2803"/>
      <c r="J61" s="2803"/>
      <c r="K61" s="2803"/>
      <c r="L61" s="2803"/>
      <c r="M61" s="2804"/>
    </row>
    <row r="62" spans="2:13" ht="15.6" x14ac:dyDescent="0.3">
      <c r="B62" s="410" t="s">
        <v>1261</v>
      </c>
      <c r="C62" s="211"/>
      <c r="D62" s="211"/>
      <c r="E62" s="211"/>
      <c r="F62" s="211"/>
      <c r="G62" s="211"/>
      <c r="H62" s="211"/>
      <c r="I62" s="211"/>
      <c r="J62" s="211"/>
      <c r="K62" s="211"/>
      <c r="L62" s="211"/>
      <c r="M62" s="211"/>
    </row>
    <row r="63" spans="2:13" ht="15.6" x14ac:dyDescent="0.3">
      <c r="B63" s="211"/>
      <c r="C63" s="211"/>
      <c r="D63" s="211"/>
      <c r="E63" s="211"/>
      <c r="F63" s="211"/>
      <c r="G63" s="211"/>
      <c r="H63" s="211"/>
      <c r="I63" s="211"/>
      <c r="J63" s="211"/>
      <c r="K63" s="211"/>
      <c r="L63" s="211"/>
      <c r="M63" s="211"/>
    </row>
    <row r="64" spans="2:13" s="445" customFormat="1" ht="15.6" x14ac:dyDescent="0.3">
      <c r="B64" s="372"/>
      <c r="C64" s="372"/>
      <c r="D64" s="372"/>
      <c r="E64" s="372"/>
      <c r="F64" s="372"/>
      <c r="G64" s="372"/>
      <c r="H64" s="372"/>
      <c r="I64" s="372"/>
      <c r="J64" s="372"/>
      <c r="K64" s="372"/>
      <c r="L64" s="372"/>
      <c r="M64" s="372"/>
    </row>
    <row r="66" spans="2:13" ht="15.6" x14ac:dyDescent="0.3">
      <c r="B66" s="499" t="s">
        <v>1295</v>
      </c>
      <c r="C66" s="211"/>
      <c r="D66" s="211"/>
      <c r="E66" s="211"/>
      <c r="F66" s="211"/>
      <c r="G66" s="211"/>
      <c r="H66" s="211"/>
      <c r="I66" s="211"/>
      <c r="J66" s="211"/>
      <c r="K66" s="211"/>
      <c r="L66" s="211"/>
    </row>
    <row r="67" spans="2:13" ht="15.6" x14ac:dyDescent="0.3">
      <c r="B67" s="152" t="s">
        <v>1270</v>
      </c>
      <c r="C67" s="211"/>
      <c r="D67" s="211"/>
      <c r="E67" s="211"/>
      <c r="F67" s="211"/>
      <c r="G67" s="211"/>
      <c r="H67" s="211"/>
      <c r="I67" s="211"/>
      <c r="J67" s="211"/>
      <c r="K67" s="211"/>
      <c r="L67" s="211"/>
    </row>
    <row r="68" spans="2:13" ht="8.25" customHeight="1" thickBot="1" x14ac:dyDescent="0.35">
      <c r="B68" s="211"/>
      <c r="C68" s="211"/>
      <c r="D68" s="211"/>
      <c r="E68" s="211"/>
      <c r="F68" s="211"/>
      <c r="G68" s="211"/>
      <c r="H68" s="211"/>
      <c r="I68" s="211"/>
      <c r="J68" s="211"/>
      <c r="K68" s="211"/>
      <c r="L68" s="211"/>
    </row>
    <row r="69" spans="2:13" ht="15.6" x14ac:dyDescent="0.3">
      <c r="B69" s="448" t="s">
        <v>1204</v>
      </c>
      <c r="C69" s="443">
        <f t="shared" ref="C69:L69" si="11">C51</f>
        <v>23653</v>
      </c>
      <c r="D69" s="443">
        <f t="shared" si="11"/>
        <v>23282</v>
      </c>
      <c r="E69" s="443">
        <f t="shared" si="11"/>
        <v>22918</v>
      </c>
      <c r="F69" s="443">
        <f t="shared" si="11"/>
        <v>22554</v>
      </c>
      <c r="G69" s="443">
        <f t="shared" si="11"/>
        <v>22190</v>
      </c>
      <c r="H69" s="443">
        <f t="shared" si="11"/>
        <v>21826</v>
      </c>
      <c r="I69" s="443">
        <f t="shared" si="11"/>
        <v>21455</v>
      </c>
      <c r="J69" s="443">
        <f t="shared" si="11"/>
        <v>21093</v>
      </c>
      <c r="K69" s="443">
        <f t="shared" si="11"/>
        <v>20728</v>
      </c>
      <c r="L69" s="444">
        <f t="shared" si="11"/>
        <v>20362</v>
      </c>
    </row>
    <row r="70" spans="2:13" ht="15.6" x14ac:dyDescent="0.3">
      <c r="B70" s="214" t="s">
        <v>1271</v>
      </c>
      <c r="C70" s="1940">
        <f t="shared" ref="C70:L70" si="12">D34</f>
        <v>30278890</v>
      </c>
      <c r="D70" s="1940">
        <f t="shared" si="12"/>
        <v>32463701</v>
      </c>
      <c r="E70" s="1940">
        <f t="shared" si="12"/>
        <v>36175695</v>
      </c>
      <c r="F70" s="1940">
        <f t="shared" si="12"/>
        <v>37981820</v>
      </c>
      <c r="G70" s="1940">
        <f t="shared" si="12"/>
        <v>38911549</v>
      </c>
      <c r="H70" s="1940">
        <f t="shared" si="12"/>
        <v>39927846</v>
      </c>
      <c r="I70" s="1940">
        <f t="shared" si="12"/>
        <v>44903306</v>
      </c>
      <c r="J70" s="1940">
        <f t="shared" si="12"/>
        <v>50369720</v>
      </c>
      <c r="K70" s="1940">
        <f t="shared" si="12"/>
        <v>51399756</v>
      </c>
      <c r="L70" s="836">
        <f t="shared" si="12"/>
        <v>53354318</v>
      </c>
      <c r="M70" s="13"/>
    </row>
    <row r="71" spans="2:13" ht="15.6" x14ac:dyDescent="0.3">
      <c r="B71" s="214" t="s">
        <v>1272</v>
      </c>
      <c r="C71" s="819">
        <f t="shared" ref="C71:L71" si="13">C59</f>
        <v>175586</v>
      </c>
      <c r="D71" s="819">
        <f t="shared" si="13"/>
        <v>-684811</v>
      </c>
      <c r="E71" s="819">
        <f t="shared" si="13"/>
        <v>-2151256</v>
      </c>
      <c r="F71" s="819">
        <f t="shared" si="13"/>
        <v>-393054</v>
      </c>
      <c r="G71" s="819">
        <f t="shared" si="13"/>
        <v>4623980</v>
      </c>
      <c r="H71" s="819">
        <f t="shared" si="13"/>
        <v>1322099</v>
      </c>
      <c r="I71" s="819">
        <f t="shared" si="13"/>
        <v>-4975460</v>
      </c>
      <c r="J71" s="819">
        <f t="shared" si="13"/>
        <v>-3258035</v>
      </c>
      <c r="K71" s="819">
        <f t="shared" si="13"/>
        <v>922548</v>
      </c>
      <c r="L71" s="820">
        <f t="shared" si="13"/>
        <v>300722</v>
      </c>
    </row>
    <row r="72" spans="2:13" ht="15.6" x14ac:dyDescent="0.3">
      <c r="B72" s="214" t="s">
        <v>1273</v>
      </c>
      <c r="C72" s="819">
        <v>0</v>
      </c>
      <c r="D72" s="819">
        <v>0</v>
      </c>
      <c r="E72" s="819">
        <v>-160738</v>
      </c>
      <c r="F72" s="819">
        <v>-1205535</v>
      </c>
      <c r="G72" s="819">
        <v>-1715322</v>
      </c>
      <c r="H72" s="819">
        <v>-464287</v>
      </c>
      <c r="I72" s="819">
        <v>0</v>
      </c>
      <c r="J72" s="819">
        <v>-1107864</v>
      </c>
      <c r="K72" s="819">
        <v>-2275639</v>
      </c>
      <c r="L72" s="820">
        <v>-2244884</v>
      </c>
    </row>
    <row r="73" spans="2:13" ht="15.6" x14ac:dyDescent="0.3">
      <c r="B73" s="214" t="s">
        <v>478</v>
      </c>
      <c r="C73" s="819">
        <f t="shared" ref="C73:L73" si="14">C30-D30</f>
        <v>0</v>
      </c>
      <c r="D73" s="819">
        <f t="shared" si="14"/>
        <v>-3435920</v>
      </c>
      <c r="E73" s="819">
        <f t="shared" si="14"/>
        <v>0</v>
      </c>
      <c r="F73" s="819">
        <f t="shared" si="14"/>
        <v>0</v>
      </c>
      <c r="G73" s="819">
        <f t="shared" si="14"/>
        <v>0</v>
      </c>
      <c r="H73" s="819">
        <f t="shared" si="14"/>
        <v>0</v>
      </c>
      <c r="I73" s="819">
        <f t="shared" si="14"/>
        <v>0</v>
      </c>
      <c r="J73" s="819">
        <f t="shared" si="14"/>
        <v>0</v>
      </c>
      <c r="K73" s="819">
        <f t="shared" si="14"/>
        <v>0</v>
      </c>
      <c r="L73" s="820">
        <f t="shared" si="14"/>
        <v>-3200</v>
      </c>
    </row>
    <row r="74" spans="2:13" ht="15.6" x14ac:dyDescent="0.3">
      <c r="B74" s="214" t="s">
        <v>1274</v>
      </c>
      <c r="C74" s="819">
        <f t="shared" ref="C74:L74" si="15">C31-D31</f>
        <v>0</v>
      </c>
      <c r="D74" s="819">
        <f t="shared" si="15"/>
        <v>-2738106</v>
      </c>
      <c r="E74" s="819">
        <f t="shared" si="15"/>
        <v>0</v>
      </c>
      <c r="F74" s="819">
        <f t="shared" si="15"/>
        <v>0</v>
      </c>
      <c r="G74" s="819">
        <f t="shared" si="15"/>
        <v>0</v>
      </c>
      <c r="H74" s="819">
        <f t="shared" si="15"/>
        <v>0</v>
      </c>
      <c r="I74" s="819">
        <f t="shared" si="15"/>
        <v>0</v>
      </c>
      <c r="J74" s="819">
        <f t="shared" si="15"/>
        <v>1596</v>
      </c>
      <c r="K74" s="819">
        <f t="shared" si="15"/>
        <v>886899</v>
      </c>
      <c r="L74" s="820">
        <f t="shared" si="15"/>
        <v>-7200</v>
      </c>
    </row>
    <row r="75" spans="2:13" ht="15.6" x14ac:dyDescent="0.3">
      <c r="B75" s="214" t="s">
        <v>477</v>
      </c>
      <c r="C75" s="819">
        <f t="shared" ref="C75:K75" si="16">D33-C33</f>
        <v>-5315723</v>
      </c>
      <c r="D75" s="819">
        <f t="shared" si="16"/>
        <v>7765935</v>
      </c>
      <c r="E75" s="819">
        <f t="shared" si="16"/>
        <v>0</v>
      </c>
      <c r="F75" s="819">
        <f t="shared" si="16"/>
        <v>-207536</v>
      </c>
      <c r="G75" s="819">
        <f t="shared" si="16"/>
        <v>-3838387</v>
      </c>
      <c r="H75" s="819">
        <f t="shared" si="16"/>
        <v>-1874109</v>
      </c>
      <c r="I75" s="819">
        <f t="shared" si="16"/>
        <v>0</v>
      </c>
      <c r="J75" s="819">
        <f t="shared" si="16"/>
        <v>-1266731</v>
      </c>
      <c r="K75" s="819">
        <f t="shared" si="16"/>
        <v>-579172</v>
      </c>
      <c r="L75" s="820">
        <v>0</v>
      </c>
    </row>
    <row r="76" spans="2:13" ht="15.6" x14ac:dyDescent="0.3">
      <c r="B76" s="214" t="s">
        <v>1275</v>
      </c>
      <c r="C76" s="819">
        <v>0</v>
      </c>
      <c r="D76" s="819">
        <v>0</v>
      </c>
      <c r="E76" s="819">
        <v>0</v>
      </c>
      <c r="F76" s="819">
        <v>0</v>
      </c>
      <c r="G76" s="819">
        <v>0</v>
      </c>
      <c r="H76" s="819">
        <v>0</v>
      </c>
      <c r="I76" s="819">
        <v>0</v>
      </c>
      <c r="J76" s="819">
        <v>0</v>
      </c>
      <c r="K76" s="819">
        <v>15328</v>
      </c>
      <c r="L76" s="820">
        <v>0</v>
      </c>
    </row>
    <row r="77" spans="2:13" ht="15.6" x14ac:dyDescent="0.3">
      <c r="B77" s="214" t="s">
        <v>1276</v>
      </c>
      <c r="C77" s="819">
        <v>0</v>
      </c>
      <c r="D77" s="819">
        <v>0</v>
      </c>
      <c r="E77" s="819">
        <v>0</v>
      </c>
      <c r="F77" s="819">
        <v>0</v>
      </c>
      <c r="G77" s="819">
        <v>0</v>
      </c>
      <c r="H77" s="819">
        <v>0</v>
      </c>
      <c r="I77" s="819">
        <v>0</v>
      </c>
      <c r="J77" s="819">
        <v>164620</v>
      </c>
      <c r="K77" s="819"/>
      <c r="L77" s="820"/>
    </row>
    <row r="78" spans="2:13" ht="15.6" x14ac:dyDescent="0.3">
      <c r="B78" s="214" t="s">
        <v>1277</v>
      </c>
      <c r="C78" s="819">
        <v>-3000000</v>
      </c>
      <c r="D78" s="819">
        <v>-1500000</v>
      </c>
      <c r="E78" s="819">
        <v>-1400000</v>
      </c>
      <c r="F78" s="819">
        <v>0</v>
      </c>
      <c r="G78" s="819">
        <v>0</v>
      </c>
      <c r="H78" s="819">
        <v>0</v>
      </c>
      <c r="I78" s="819">
        <v>0</v>
      </c>
      <c r="J78" s="819">
        <v>0</v>
      </c>
      <c r="K78" s="819">
        <v>0</v>
      </c>
      <c r="L78" s="820">
        <v>0</v>
      </c>
    </row>
    <row r="79" spans="2:13" ht="15.6" x14ac:dyDescent="0.3">
      <c r="B79" s="214" t="s">
        <v>1278</v>
      </c>
      <c r="C79" s="819">
        <v>0</v>
      </c>
      <c r="D79" s="819">
        <v>-1591909</v>
      </c>
      <c r="E79" s="819">
        <v>0</v>
      </c>
      <c r="F79" s="819">
        <v>0</v>
      </c>
      <c r="G79" s="819">
        <v>0</v>
      </c>
      <c r="H79" s="819">
        <v>0</v>
      </c>
      <c r="I79" s="819">
        <v>0</v>
      </c>
      <c r="J79" s="819">
        <v>0</v>
      </c>
      <c r="K79" s="819">
        <v>0</v>
      </c>
      <c r="L79" s="820">
        <v>0</v>
      </c>
    </row>
    <row r="80" spans="2:13" ht="16.2" thickBot="1" x14ac:dyDescent="0.35">
      <c r="B80" s="214" t="s">
        <v>14</v>
      </c>
      <c r="C80" s="1972">
        <f t="shared" ref="C80:L80" si="17">C34</f>
        <v>22138753</v>
      </c>
      <c r="D80" s="1972">
        <f t="shared" si="17"/>
        <v>30278890</v>
      </c>
      <c r="E80" s="1972">
        <f t="shared" si="17"/>
        <v>32463701</v>
      </c>
      <c r="F80" s="1972">
        <f t="shared" si="17"/>
        <v>36175695</v>
      </c>
      <c r="G80" s="1972">
        <f t="shared" si="17"/>
        <v>37981820</v>
      </c>
      <c r="H80" s="1972">
        <f t="shared" si="17"/>
        <v>38911549</v>
      </c>
      <c r="I80" s="1972">
        <f t="shared" si="17"/>
        <v>39927846</v>
      </c>
      <c r="J80" s="1972">
        <f t="shared" si="17"/>
        <v>44903306</v>
      </c>
      <c r="K80" s="1972">
        <f t="shared" si="17"/>
        <v>50369720</v>
      </c>
      <c r="L80" s="1973">
        <f t="shared" si="17"/>
        <v>51399756</v>
      </c>
    </row>
    <row r="81" spans="2:16" ht="16.2" thickTop="1" x14ac:dyDescent="0.3">
      <c r="B81" s="214"/>
      <c r="C81" s="414"/>
      <c r="D81" s="414"/>
      <c r="E81" s="414"/>
      <c r="F81" s="414"/>
      <c r="G81" s="414"/>
      <c r="H81" s="414"/>
      <c r="I81" s="414"/>
      <c r="J81" s="414"/>
      <c r="K81" s="414"/>
      <c r="L81" s="361"/>
    </row>
    <row r="82" spans="2:16" ht="16.2" thickBot="1" x14ac:dyDescent="0.35">
      <c r="B82" s="9" t="s">
        <v>1260</v>
      </c>
      <c r="C82" s="449"/>
      <c r="D82" s="449"/>
      <c r="E82" s="449"/>
      <c r="F82" s="449"/>
      <c r="G82" s="449"/>
      <c r="H82" s="449"/>
      <c r="I82" s="449"/>
      <c r="J82" s="449"/>
      <c r="K82" s="449"/>
      <c r="L82" s="450"/>
    </row>
    <row r="83" spans="2:16" x14ac:dyDescent="0.25">
      <c r="B83" s="410" t="s">
        <v>1261</v>
      </c>
      <c r="C83" s="210"/>
      <c r="D83" s="210"/>
      <c r="E83" s="210"/>
      <c r="F83" s="210"/>
      <c r="G83" s="210"/>
      <c r="H83" s="210"/>
      <c r="I83" s="210"/>
      <c r="J83" s="210"/>
      <c r="K83" s="210"/>
      <c r="L83" s="210"/>
    </row>
    <row r="84" spans="2:16" x14ac:dyDescent="0.25">
      <c r="E84" s="210"/>
      <c r="F84" s="210"/>
      <c r="G84" s="210"/>
      <c r="H84" s="210"/>
      <c r="I84" s="210"/>
      <c r="J84" s="210"/>
      <c r="K84" s="210"/>
      <c r="L84" s="210"/>
    </row>
    <row r="85" spans="2:16" x14ac:dyDescent="0.25">
      <c r="P85" s="200"/>
    </row>
    <row r="86" spans="2:16" s="17" customFormat="1" hidden="1" outlineLevel="1" x14ac:dyDescent="0.25">
      <c r="B86" s="17" t="s">
        <v>20</v>
      </c>
      <c r="C86" s="18">
        <f t="shared" ref="C86:L86" si="18">SUM(C70:C79)-C80</f>
        <v>0</v>
      </c>
      <c r="D86" s="18">
        <f t="shared" si="18"/>
        <v>0</v>
      </c>
      <c r="E86" s="18">
        <f t="shared" si="18"/>
        <v>0</v>
      </c>
      <c r="F86" s="18">
        <f t="shared" si="18"/>
        <v>0</v>
      </c>
      <c r="G86" s="18">
        <f t="shared" si="18"/>
        <v>0</v>
      </c>
      <c r="H86" s="18">
        <f t="shared" si="18"/>
        <v>0</v>
      </c>
      <c r="I86" s="18">
        <f t="shared" si="18"/>
        <v>0</v>
      </c>
      <c r="J86" s="18">
        <f t="shared" si="18"/>
        <v>0</v>
      </c>
      <c r="K86" s="18">
        <f t="shared" si="18"/>
        <v>0</v>
      </c>
      <c r="L86" s="18">
        <f t="shared" si="18"/>
        <v>0</v>
      </c>
    </row>
    <row r="87" spans="2:16" collapsed="1" x14ac:dyDescent="0.25"/>
    <row r="89" spans="2:16" hidden="1" outlineLevel="1" x14ac:dyDescent="0.25">
      <c r="B89" s="19" t="s">
        <v>35</v>
      </c>
      <c r="C89" s="20">
        <f>L70</f>
        <v>53354318</v>
      </c>
      <c r="D89" s="19"/>
      <c r="E89" s="19"/>
      <c r="F89" s="19"/>
      <c r="G89" s="19"/>
      <c r="H89" s="19"/>
      <c r="I89" s="19"/>
    </row>
    <row r="90" spans="2:16" hidden="1" outlineLevel="1" x14ac:dyDescent="0.25">
      <c r="B90" s="19" t="s">
        <v>36</v>
      </c>
      <c r="C90" s="21">
        <f>SUM(C71:L71)+SUM(C78:L78)</f>
        <v>-10017681</v>
      </c>
      <c r="D90" s="19" t="s">
        <v>39</v>
      </c>
      <c r="E90" s="19"/>
      <c r="F90" s="19"/>
      <c r="G90" s="19"/>
      <c r="H90" s="19"/>
      <c r="I90" s="19"/>
    </row>
    <row r="91" spans="2:16" hidden="1" outlineLevel="1" x14ac:dyDescent="0.25">
      <c r="B91" s="19" t="s">
        <v>1</v>
      </c>
      <c r="C91" s="22">
        <f>SUM(C72:L72)</f>
        <v>-9174269</v>
      </c>
      <c r="D91" s="19"/>
      <c r="E91" s="19"/>
      <c r="F91" s="19"/>
      <c r="G91" s="19"/>
      <c r="H91" s="19"/>
      <c r="I91" s="19"/>
    </row>
    <row r="92" spans="2:16" hidden="1" outlineLevel="1" x14ac:dyDescent="0.25">
      <c r="B92" s="19" t="s">
        <v>2</v>
      </c>
      <c r="C92" s="22">
        <f>SUM(C75:L75)-D75</f>
        <v>-13081658</v>
      </c>
      <c r="D92" s="19" t="s">
        <v>41</v>
      </c>
      <c r="E92" s="19"/>
      <c r="F92" s="21"/>
      <c r="G92" s="19"/>
      <c r="H92" s="19"/>
      <c r="I92" s="19"/>
    </row>
    <row r="93" spans="2:16" hidden="1" outlineLevel="1" x14ac:dyDescent="0.25">
      <c r="B93" s="19" t="s">
        <v>38</v>
      </c>
      <c r="C93" s="22">
        <f>SUM(C74:L74)-D74+SUM(C73:L73)-D73</f>
        <v>878095</v>
      </c>
      <c r="D93" s="19" t="s">
        <v>42</v>
      </c>
      <c r="E93" s="19"/>
      <c r="F93" s="19"/>
      <c r="G93" s="19"/>
      <c r="H93" s="19"/>
      <c r="I93" s="19"/>
    </row>
    <row r="94" spans="2:16" hidden="1" outlineLevel="1" x14ac:dyDescent="0.25">
      <c r="B94" s="19" t="s">
        <v>43</v>
      </c>
      <c r="C94" s="22">
        <f>SUM(C76:L77)</f>
        <v>179948</v>
      </c>
      <c r="D94" s="19" t="s">
        <v>40</v>
      </c>
      <c r="E94" s="19"/>
      <c r="F94" s="19"/>
      <c r="G94" s="19"/>
      <c r="H94" s="19"/>
      <c r="I94" s="19"/>
    </row>
    <row r="95" spans="2:16" hidden="1" outlineLevel="2" x14ac:dyDescent="0.25">
      <c r="B95" s="19" t="s">
        <v>15</v>
      </c>
      <c r="C95" s="20">
        <f>C96-SUM(C89:C94)</f>
        <v>0</v>
      </c>
      <c r="D95" s="19"/>
      <c r="E95" s="19"/>
      <c r="F95" s="19"/>
      <c r="G95" s="19"/>
      <c r="H95" s="19"/>
      <c r="I95" s="19"/>
    </row>
    <row r="96" spans="2:16" hidden="1" outlineLevel="1" collapsed="1" x14ac:dyDescent="0.25">
      <c r="B96" s="19" t="s">
        <v>37</v>
      </c>
      <c r="C96" s="20">
        <f>C80</f>
        <v>22138753</v>
      </c>
      <c r="D96" s="19"/>
      <c r="E96" s="19"/>
      <c r="F96" s="19"/>
      <c r="G96" s="19"/>
      <c r="H96" s="19"/>
      <c r="I96" s="19"/>
    </row>
    <row r="97" spans="2:12" collapsed="1" x14ac:dyDescent="0.25"/>
    <row r="98" spans="2:12" ht="9" customHeight="1" x14ac:dyDescent="0.25">
      <c r="E98" s="210"/>
      <c r="F98" s="210"/>
      <c r="G98" s="210"/>
      <c r="H98" s="210"/>
      <c r="I98" s="210"/>
      <c r="J98" s="210"/>
      <c r="K98" s="210"/>
      <c r="L98" s="210"/>
    </row>
    <row r="99" spans="2:12" s="445" customFormat="1" x14ac:dyDescent="0.25">
      <c r="E99" s="451"/>
      <c r="F99" s="451"/>
      <c r="G99" s="451"/>
      <c r="H99" s="451"/>
      <c r="I99" s="451"/>
      <c r="J99" s="451"/>
      <c r="K99" s="451"/>
      <c r="L99" s="451"/>
    </row>
    <row r="100" spans="2:12" x14ac:dyDescent="0.25">
      <c r="E100" s="210"/>
      <c r="F100" s="210"/>
      <c r="G100" s="210"/>
      <c r="H100" s="210"/>
      <c r="I100" s="210"/>
      <c r="J100" s="210"/>
      <c r="K100" s="210"/>
      <c r="L100" s="210"/>
    </row>
    <row r="101" spans="2:12" ht="15.6" x14ac:dyDescent="0.3">
      <c r="B101" s="496" t="s">
        <v>1325</v>
      </c>
      <c r="C101" s="402"/>
      <c r="E101" s="210"/>
      <c r="F101" s="210"/>
      <c r="G101" s="210"/>
      <c r="H101" s="210"/>
      <c r="I101" s="210"/>
      <c r="J101" s="210"/>
      <c r="K101" s="210"/>
      <c r="L101" s="210"/>
    </row>
    <row r="102" spans="2:12" ht="15.6" x14ac:dyDescent="0.3">
      <c r="B102" s="441" t="s">
        <v>1291</v>
      </c>
      <c r="C102" s="220"/>
      <c r="D102" s="210"/>
      <c r="E102" s="210"/>
      <c r="F102" s="210"/>
      <c r="G102" s="210"/>
      <c r="H102" s="210"/>
      <c r="I102" s="210"/>
      <c r="J102" s="210"/>
      <c r="K102" s="210"/>
      <c r="L102" s="210"/>
    </row>
    <row r="103" spans="2:12" ht="9" customHeight="1" thickBot="1" x14ac:dyDescent="0.35">
      <c r="B103" s="211"/>
      <c r="C103" s="414"/>
      <c r="D103" s="210"/>
      <c r="E103" s="210"/>
      <c r="F103" s="210"/>
      <c r="G103" s="210"/>
      <c r="H103" s="210"/>
      <c r="I103" s="210"/>
      <c r="J103" s="210"/>
      <c r="K103" s="210"/>
      <c r="L103" s="210"/>
    </row>
    <row r="104" spans="2:12" ht="15.75" customHeight="1" x14ac:dyDescent="0.3">
      <c r="B104" s="212" t="s">
        <v>1204</v>
      </c>
      <c r="C104" s="416" t="s">
        <v>32</v>
      </c>
      <c r="D104" s="458" t="s">
        <v>1290</v>
      </c>
      <c r="E104" s="210"/>
      <c r="F104" s="210"/>
      <c r="G104" s="210"/>
      <c r="H104" s="210"/>
      <c r="I104" s="210"/>
      <c r="J104" s="210"/>
      <c r="K104" s="210"/>
      <c r="L104" s="210"/>
    </row>
    <row r="105" spans="2:12" ht="15.6" x14ac:dyDescent="0.3">
      <c r="B105" s="214" t="s">
        <v>1193</v>
      </c>
      <c r="C105" s="417">
        <f>L70</f>
        <v>53354318</v>
      </c>
      <c r="D105" s="418"/>
      <c r="E105" s="210"/>
      <c r="F105" s="210"/>
      <c r="G105" s="210"/>
      <c r="H105" s="210"/>
      <c r="I105" s="210"/>
      <c r="J105" s="210"/>
      <c r="K105" s="210"/>
      <c r="L105" s="210"/>
    </row>
    <row r="106" spans="2:12" ht="15.6" x14ac:dyDescent="0.3">
      <c r="B106" s="214" t="s">
        <v>99</v>
      </c>
      <c r="C106" s="1970">
        <f>SUM(C71:L71)</f>
        <v>-4117681</v>
      </c>
      <c r="D106" s="1883">
        <f t="shared" ref="D106:D112" si="19">C106/$C$112</f>
        <v>0.13191114753168812</v>
      </c>
      <c r="E106" s="210"/>
      <c r="F106" s="210"/>
      <c r="G106" s="210"/>
      <c r="H106" s="210"/>
      <c r="I106" s="210"/>
      <c r="J106" s="210"/>
      <c r="K106" s="210"/>
      <c r="L106" s="210"/>
    </row>
    <row r="107" spans="2:12" ht="15.6" x14ac:dyDescent="0.3">
      <c r="B107" s="214" t="s">
        <v>1194</v>
      </c>
      <c r="C107" s="1970">
        <f>SUM(C78:L78)</f>
        <v>-5900000</v>
      </c>
      <c r="D107" s="1883">
        <f t="shared" si="19"/>
        <v>0.1890082719950768</v>
      </c>
      <c r="E107" s="210"/>
      <c r="F107" s="210"/>
      <c r="G107" s="210"/>
      <c r="H107" s="210"/>
      <c r="I107" s="210"/>
      <c r="J107" s="210"/>
      <c r="K107" s="210"/>
      <c r="L107" s="210"/>
    </row>
    <row r="108" spans="2:12" ht="15.6" x14ac:dyDescent="0.3">
      <c r="B108" s="214" t="s">
        <v>1</v>
      </c>
      <c r="C108" s="1970">
        <f>SUM(C72:L72)</f>
        <v>-9174269</v>
      </c>
      <c r="D108" s="1883">
        <f t="shared" si="19"/>
        <v>0.29390046279796633</v>
      </c>
      <c r="E108" s="210"/>
      <c r="F108" s="210"/>
      <c r="G108" s="210"/>
      <c r="H108" s="210"/>
      <c r="I108" s="210"/>
      <c r="J108" s="210"/>
      <c r="K108" s="210"/>
      <c r="L108" s="210"/>
    </row>
    <row r="109" spans="2:12" ht="15.6" x14ac:dyDescent="0.3">
      <c r="B109" s="214" t="s">
        <v>779</v>
      </c>
      <c r="C109" s="1970">
        <f>SUM(C73:L75)-K74+D79</f>
        <v>-13090462</v>
      </c>
      <c r="D109" s="1883">
        <f t="shared" si="19"/>
        <v>0.41935688173512159</v>
      </c>
      <c r="E109" s="210"/>
      <c r="F109" s="210"/>
      <c r="G109" s="210"/>
      <c r="H109" s="210"/>
      <c r="I109" s="210"/>
      <c r="J109" s="210"/>
      <c r="K109" s="210"/>
      <c r="L109" s="210"/>
    </row>
    <row r="110" spans="2:12" ht="15.6" x14ac:dyDescent="0.3">
      <c r="B110" s="214" t="s">
        <v>1196</v>
      </c>
      <c r="C110" s="1970">
        <f>K74</f>
        <v>886899</v>
      </c>
      <c r="D110" s="1883">
        <f t="shared" si="19"/>
        <v>-2.8412075834603666E-2</v>
      </c>
      <c r="E110" s="210"/>
      <c r="F110" s="210"/>
      <c r="G110" s="210"/>
      <c r="H110" s="210"/>
      <c r="I110" s="210"/>
      <c r="J110" s="210"/>
      <c r="K110" s="210"/>
      <c r="L110" s="210"/>
    </row>
    <row r="111" spans="2:12" ht="15.6" x14ac:dyDescent="0.3">
      <c r="B111" s="214" t="s">
        <v>781</v>
      </c>
      <c r="C111" s="1970">
        <f>SUM(C76:L77)</f>
        <v>179948</v>
      </c>
      <c r="D111" s="1883">
        <f t="shared" si="19"/>
        <v>-5.764688225249167E-3</v>
      </c>
      <c r="E111" s="210"/>
      <c r="F111" s="210"/>
      <c r="G111" s="210"/>
      <c r="H111" s="210"/>
      <c r="I111" s="210"/>
      <c r="J111" s="210"/>
      <c r="K111" s="210"/>
      <c r="L111" s="210"/>
    </row>
    <row r="112" spans="2:12" ht="15.6" x14ac:dyDescent="0.3">
      <c r="B112" s="214" t="s">
        <v>803</v>
      </c>
      <c r="C112" s="1971">
        <f>SUM(C106:C111)</f>
        <v>-31215565</v>
      </c>
      <c r="D112" s="1884">
        <f t="shared" si="19"/>
        <v>1</v>
      </c>
      <c r="E112" s="210"/>
      <c r="F112" s="210"/>
      <c r="G112" s="210"/>
      <c r="H112" s="210"/>
      <c r="I112" s="210"/>
      <c r="J112" s="210"/>
      <c r="K112" s="210"/>
      <c r="L112" s="210"/>
    </row>
    <row r="113" spans="2:17" ht="16.2" thickBot="1" x14ac:dyDescent="0.35">
      <c r="B113" s="214" t="s">
        <v>1195</v>
      </c>
      <c r="C113" s="419">
        <f>C105+C112</f>
        <v>22138753</v>
      </c>
      <c r="D113" s="418"/>
      <c r="E113" s="210"/>
      <c r="F113" s="210"/>
      <c r="G113" s="210"/>
      <c r="H113" s="210"/>
      <c r="I113" s="210"/>
      <c r="J113" s="210"/>
      <c r="K113" s="210"/>
      <c r="L113" s="210"/>
    </row>
    <row r="114" spans="2:17" ht="16.8" thickTop="1" thickBot="1" x14ac:dyDescent="0.35">
      <c r="B114" s="224"/>
      <c r="C114" s="218"/>
      <c r="D114" s="413"/>
      <c r="E114" s="210"/>
      <c r="F114" s="210"/>
      <c r="G114" s="210"/>
      <c r="H114" s="210"/>
      <c r="I114" s="210"/>
      <c r="J114" s="210"/>
      <c r="K114" s="210"/>
      <c r="L114" s="210"/>
    </row>
    <row r="115" spans="2:17" x14ac:dyDescent="0.25">
      <c r="B115" s="2805" t="s">
        <v>2959</v>
      </c>
      <c r="C115" s="2805"/>
      <c r="D115" s="2805"/>
      <c r="E115" s="210"/>
      <c r="F115" s="210"/>
      <c r="G115" s="210"/>
      <c r="H115" s="210"/>
      <c r="I115" s="210"/>
      <c r="J115" s="210"/>
      <c r="K115" s="210"/>
      <c r="L115" s="210"/>
    </row>
    <row r="116" spans="2:17" ht="15.6" x14ac:dyDescent="0.3">
      <c r="B116" s="211"/>
      <c r="C116" s="211"/>
      <c r="D116" s="210"/>
      <c r="E116" s="210"/>
      <c r="F116" s="210"/>
      <c r="G116" s="210"/>
      <c r="H116" s="210"/>
      <c r="I116" s="210"/>
      <c r="J116" s="210"/>
      <c r="K116" s="210"/>
      <c r="L116" s="210"/>
      <c r="P116" s="53"/>
      <c r="Q116" s="210"/>
    </row>
    <row r="117" spans="2:17" ht="16.2" thickBot="1" x14ac:dyDescent="0.35">
      <c r="B117" s="211"/>
      <c r="C117" s="211"/>
      <c r="D117" s="210"/>
      <c r="E117" s="210"/>
      <c r="F117" s="210"/>
      <c r="G117" s="210"/>
      <c r="H117" s="210"/>
      <c r="I117" s="210"/>
      <c r="J117" s="210"/>
      <c r="K117" s="210"/>
      <c r="L117" s="210"/>
      <c r="P117" s="53"/>
      <c r="Q117" s="210"/>
    </row>
    <row r="118" spans="2:17" x14ac:dyDescent="0.25">
      <c r="B118" s="411" t="s">
        <v>20</v>
      </c>
      <c r="C118" s="412">
        <v>22139000</v>
      </c>
      <c r="D118" s="210"/>
      <c r="E118" s="210"/>
      <c r="F118" s="210"/>
      <c r="G118" s="210"/>
      <c r="H118" s="210"/>
      <c r="I118" s="210"/>
      <c r="J118" s="210"/>
      <c r="K118" s="210"/>
      <c r="L118" s="210"/>
      <c r="P118" s="53"/>
      <c r="Q118" s="210"/>
    </row>
    <row r="119" spans="2:17" ht="14.4" thickBot="1" x14ac:dyDescent="0.3">
      <c r="B119" s="9"/>
      <c r="C119" s="413">
        <f>C113-C118</f>
        <v>-247</v>
      </c>
      <c r="D119" s="210"/>
      <c r="E119" s="210"/>
      <c r="F119" s="210"/>
      <c r="G119" s="210"/>
      <c r="H119" s="210"/>
      <c r="I119" s="210"/>
      <c r="J119" s="210"/>
      <c r="K119" s="210"/>
      <c r="L119" s="210"/>
      <c r="P119" s="53"/>
      <c r="Q119" s="210"/>
    </row>
    <row r="120" spans="2:17" x14ac:dyDescent="0.25">
      <c r="E120" s="210"/>
      <c r="F120" s="210"/>
      <c r="G120" s="210"/>
      <c r="H120" s="210"/>
      <c r="I120" s="210"/>
      <c r="J120" s="210"/>
      <c r="K120" s="210"/>
      <c r="L120" s="210"/>
      <c r="P120" s="53"/>
      <c r="Q120" s="210"/>
    </row>
    <row r="121" spans="2:17" s="445" customFormat="1" x14ac:dyDescent="0.25">
      <c r="E121" s="451"/>
      <c r="F121" s="451"/>
      <c r="G121" s="451"/>
      <c r="H121" s="451"/>
      <c r="I121" s="451"/>
      <c r="J121" s="451"/>
      <c r="K121" s="451"/>
      <c r="L121" s="451"/>
      <c r="P121" s="452"/>
      <c r="Q121" s="451"/>
    </row>
    <row r="124" spans="2:17" ht="15.6" x14ac:dyDescent="0.3">
      <c r="B124" s="499" t="s">
        <v>1328</v>
      </c>
      <c r="C124" s="211"/>
      <c r="D124" s="211"/>
      <c r="E124" s="211"/>
      <c r="F124" s="211"/>
      <c r="G124" s="211"/>
      <c r="H124" s="211"/>
      <c r="I124" s="211"/>
      <c r="J124" s="211"/>
      <c r="K124" s="211"/>
      <c r="L124" s="211"/>
      <c r="M124" s="211"/>
    </row>
    <row r="125" spans="2:17" ht="15.6" x14ac:dyDescent="0.3">
      <c r="B125" s="152" t="s">
        <v>1280</v>
      </c>
      <c r="C125" s="211"/>
      <c r="D125" s="211"/>
      <c r="E125" s="211"/>
      <c r="F125" s="211"/>
      <c r="G125" s="211"/>
      <c r="H125" s="211"/>
      <c r="I125" s="211"/>
      <c r="J125" s="211"/>
      <c r="K125" s="211"/>
      <c r="L125" s="211"/>
      <c r="M125" s="211"/>
    </row>
    <row r="126" spans="2:17" ht="8.25" customHeight="1" thickBot="1" x14ac:dyDescent="0.35">
      <c r="B126" s="211"/>
      <c r="C126" s="211"/>
      <c r="D126" s="211"/>
      <c r="E126" s="211"/>
      <c r="F126" s="211"/>
      <c r="G126" s="211"/>
      <c r="H126" s="211"/>
      <c r="I126" s="211"/>
      <c r="J126" s="211"/>
      <c r="K126" s="211"/>
      <c r="L126" s="211"/>
      <c r="M126" s="211"/>
    </row>
    <row r="127" spans="2:17" ht="15.6" x14ac:dyDescent="0.3">
      <c r="B127" s="225"/>
      <c r="C127" s="443">
        <f t="shared" ref="C127:M127" si="20">C6</f>
        <v>23653</v>
      </c>
      <c r="D127" s="443">
        <f t="shared" si="20"/>
        <v>23282</v>
      </c>
      <c r="E127" s="443">
        <f t="shared" si="20"/>
        <v>22918</v>
      </c>
      <c r="F127" s="443">
        <f t="shared" si="20"/>
        <v>22554</v>
      </c>
      <c r="G127" s="443">
        <f t="shared" si="20"/>
        <v>22190</v>
      </c>
      <c r="H127" s="443">
        <f t="shared" si="20"/>
        <v>21826</v>
      </c>
      <c r="I127" s="443">
        <f t="shared" si="20"/>
        <v>21455</v>
      </c>
      <c r="J127" s="443">
        <f t="shared" si="20"/>
        <v>21093</v>
      </c>
      <c r="K127" s="443">
        <f t="shared" si="20"/>
        <v>20728</v>
      </c>
      <c r="L127" s="443">
        <f t="shared" si="20"/>
        <v>20362</v>
      </c>
      <c r="M127" s="444">
        <f t="shared" si="20"/>
        <v>19997</v>
      </c>
    </row>
    <row r="128" spans="2:17" ht="15.9" customHeight="1" x14ac:dyDescent="0.3">
      <c r="B128" s="214" t="s">
        <v>1283</v>
      </c>
      <c r="C128" s="1940">
        <f t="shared" ref="C128:M128" si="21">C13-C23</f>
        <v>14502068</v>
      </c>
      <c r="D128" s="1940">
        <f t="shared" si="21"/>
        <v>17410503</v>
      </c>
      <c r="E128" s="1940">
        <f t="shared" si="21"/>
        <v>16473783</v>
      </c>
      <c r="F128" s="1940">
        <f t="shared" si="21"/>
        <v>19844122</v>
      </c>
      <c r="G128" s="1940">
        <f t="shared" si="21"/>
        <v>23430319</v>
      </c>
      <c r="H128" s="1940">
        <f t="shared" si="21"/>
        <v>25858986</v>
      </c>
      <c r="I128" s="1940">
        <f t="shared" si="21"/>
        <v>23967828</v>
      </c>
      <c r="J128" s="1940">
        <f t="shared" si="21"/>
        <v>26401396</v>
      </c>
      <c r="K128" s="1940">
        <f t="shared" si="21"/>
        <v>31426568</v>
      </c>
      <c r="L128" s="1940">
        <f t="shared" si="21"/>
        <v>33022161</v>
      </c>
      <c r="M128" s="836">
        <f t="shared" si="21"/>
        <v>34326925</v>
      </c>
    </row>
    <row r="129" spans="2:13" ht="15.9" customHeight="1" x14ac:dyDescent="0.3">
      <c r="B129" s="214" t="s">
        <v>240</v>
      </c>
      <c r="C129" s="1978">
        <f t="shared" ref="C129:M129" si="22">C13/C23</f>
        <v>3.5228477393201771</v>
      </c>
      <c r="D129" s="1978">
        <f t="shared" si="22"/>
        <v>2.8989030743236022</v>
      </c>
      <c r="E129" s="1978">
        <f t="shared" si="22"/>
        <v>2.4170526825563194</v>
      </c>
      <c r="F129" s="1978">
        <f t="shared" si="22"/>
        <v>3.1798891848874979</v>
      </c>
      <c r="G129" s="1978">
        <f t="shared" si="22"/>
        <v>6.3100282245800878</v>
      </c>
      <c r="H129" s="1978">
        <f t="shared" si="22"/>
        <v>7.8967889467822259</v>
      </c>
      <c r="I129" s="1978">
        <f t="shared" si="22"/>
        <v>3.9589388730544632</v>
      </c>
      <c r="J129" s="1978">
        <f t="shared" si="22"/>
        <v>4.0152992075093428</v>
      </c>
      <c r="K129" s="1978">
        <f t="shared" si="22"/>
        <v>4.27745457366954</v>
      </c>
      <c r="L129" s="1978">
        <f t="shared" si="22"/>
        <v>9.6892992046732846</v>
      </c>
      <c r="M129" s="1979">
        <f t="shared" si="22"/>
        <v>8.0407763720488337</v>
      </c>
    </row>
    <row r="130" spans="2:13" ht="15.9" customHeight="1" x14ac:dyDescent="0.3">
      <c r="B130" s="214" t="s">
        <v>241</v>
      </c>
      <c r="C130" s="1974">
        <f t="shared" ref="C130:L130" si="23">C55/C52</f>
        <v>1.0557045289352364E-2</v>
      </c>
      <c r="D130" s="1974">
        <f t="shared" si="23"/>
        <v>-1.0770383216244241E-2</v>
      </c>
      <c r="E130" s="1974">
        <f t="shared" si="23"/>
        <v>-3.7911330493967048E-2</v>
      </c>
      <c r="F130" s="1974">
        <f t="shared" si="23"/>
        <v>-1.1546640027537662E-2</v>
      </c>
      <c r="G130" s="1974">
        <f t="shared" si="23"/>
        <v>7.3826058524569735E-2</v>
      </c>
      <c r="H130" s="1974">
        <f t="shared" si="23"/>
        <v>2.1668165309275872E-2</v>
      </c>
      <c r="I130" s="1974">
        <f t="shared" si="23"/>
        <v>-7.0920044505487362E-2</v>
      </c>
      <c r="J130" s="1974">
        <f t="shared" si="23"/>
        <v>-6.2236468898717597E-2</v>
      </c>
      <c r="K130" s="1974">
        <f t="shared" si="23"/>
        <v>2.3948892733202956E-2</v>
      </c>
      <c r="L130" s="1974">
        <f t="shared" si="23"/>
        <v>5.0225285291443664E-3</v>
      </c>
      <c r="M130" s="1279"/>
    </row>
    <row r="131" spans="2:13" ht="15.9" customHeight="1" x14ac:dyDescent="0.3">
      <c r="B131" s="214" t="s">
        <v>242</v>
      </c>
      <c r="C131" s="1974">
        <f t="shared" ref="C131:L131" si="24">C59/C52</f>
        <v>3.5129263389047801E-3</v>
      </c>
      <c r="D131" s="1974">
        <f t="shared" si="24"/>
        <v>-1.3536307745543404E-2</v>
      </c>
      <c r="E131" s="1974">
        <f t="shared" si="24"/>
        <v>-4.0392117793808115E-2</v>
      </c>
      <c r="F131" s="1974">
        <f t="shared" si="24"/>
        <v>-8.2362785634659836E-3</v>
      </c>
      <c r="G131" s="1974">
        <f t="shared" si="24"/>
        <v>7.3855255754557605E-2</v>
      </c>
      <c r="H131" s="1974">
        <f t="shared" si="24"/>
        <v>1.9019780125938919E-2</v>
      </c>
      <c r="I131" s="1974">
        <f t="shared" si="24"/>
        <v>-8.0305821488512771E-2</v>
      </c>
      <c r="J131" s="1974">
        <f t="shared" si="24"/>
        <v>-4.9290810737831786E-2</v>
      </c>
      <c r="K131" s="1974">
        <f t="shared" si="24"/>
        <v>1.3558354546706432E-2</v>
      </c>
      <c r="L131" s="1974">
        <f t="shared" si="24"/>
        <v>4.5912958574609378E-3</v>
      </c>
      <c r="M131" s="1279"/>
    </row>
    <row r="132" spans="2:13" s="32" customFormat="1" ht="15.9" hidden="1" customHeight="1" outlineLevel="1" x14ac:dyDescent="0.3">
      <c r="B132" s="245" t="s">
        <v>4</v>
      </c>
      <c r="C132" s="463">
        <f t="shared" ref="C132:M132" si="25">C34</f>
        <v>22138753</v>
      </c>
      <c r="D132" s="463">
        <f t="shared" si="25"/>
        <v>30278890</v>
      </c>
      <c r="E132" s="463">
        <f t="shared" si="25"/>
        <v>32463701</v>
      </c>
      <c r="F132" s="463">
        <f t="shared" si="25"/>
        <v>36175695</v>
      </c>
      <c r="G132" s="463">
        <f t="shared" si="25"/>
        <v>37981820</v>
      </c>
      <c r="H132" s="463">
        <f t="shared" si="25"/>
        <v>38911549</v>
      </c>
      <c r="I132" s="463">
        <f t="shared" si="25"/>
        <v>39927846</v>
      </c>
      <c r="J132" s="463">
        <f t="shared" si="25"/>
        <v>44903306</v>
      </c>
      <c r="K132" s="463">
        <f t="shared" si="25"/>
        <v>50369720</v>
      </c>
      <c r="L132" s="463">
        <f t="shared" si="25"/>
        <v>51399756</v>
      </c>
      <c r="M132" s="1976">
        <f t="shared" si="25"/>
        <v>53354318</v>
      </c>
    </row>
    <row r="133" spans="2:13" s="32" customFormat="1" ht="15.9" hidden="1" customHeight="1" outlineLevel="1" x14ac:dyDescent="0.3">
      <c r="B133" s="245" t="s">
        <v>23</v>
      </c>
      <c r="C133" s="463">
        <f t="shared" ref="C133:M133" si="26">C20+C25</f>
        <v>2500000</v>
      </c>
      <c r="D133" s="463">
        <f t="shared" si="26"/>
        <v>5400000</v>
      </c>
      <c r="E133" s="463">
        <f t="shared" si="26"/>
        <v>6900000</v>
      </c>
      <c r="F133" s="463">
        <f t="shared" si="26"/>
        <v>4150000</v>
      </c>
      <c r="G133" s="463">
        <f t="shared" si="26"/>
        <v>0</v>
      </c>
      <c r="H133" s="463">
        <f t="shared" si="26"/>
        <v>0</v>
      </c>
      <c r="I133" s="463">
        <f t="shared" si="26"/>
        <v>4500000</v>
      </c>
      <c r="J133" s="463">
        <f t="shared" si="26"/>
        <v>3350000</v>
      </c>
      <c r="K133" s="463">
        <f t="shared" si="26"/>
        <v>4300000</v>
      </c>
      <c r="L133" s="463">
        <f t="shared" si="26"/>
        <v>0</v>
      </c>
      <c r="M133" s="1976">
        <f t="shared" si="26"/>
        <v>878082</v>
      </c>
    </row>
    <row r="134" spans="2:13" s="32" customFormat="1" ht="15.9" hidden="1" customHeight="1" outlineLevel="1" x14ac:dyDescent="0.3">
      <c r="B134" s="245" t="s">
        <v>24</v>
      </c>
      <c r="C134" s="463">
        <f t="shared" ref="C134:H134" si="27">C132+C133</f>
        <v>24638753</v>
      </c>
      <c r="D134" s="463">
        <f t="shared" si="27"/>
        <v>35678890</v>
      </c>
      <c r="E134" s="463">
        <f t="shared" si="27"/>
        <v>39363701</v>
      </c>
      <c r="F134" s="463">
        <f t="shared" si="27"/>
        <v>40325695</v>
      </c>
      <c r="G134" s="463">
        <f t="shared" si="27"/>
        <v>37981820</v>
      </c>
      <c r="H134" s="463">
        <f t="shared" si="27"/>
        <v>38911549</v>
      </c>
      <c r="I134" s="463">
        <f t="shared" ref="I134:M134" si="28">I132+I133</f>
        <v>44427846</v>
      </c>
      <c r="J134" s="463">
        <f t="shared" si="28"/>
        <v>48253306</v>
      </c>
      <c r="K134" s="463">
        <f t="shared" si="28"/>
        <v>54669720</v>
      </c>
      <c r="L134" s="463">
        <f t="shared" si="28"/>
        <v>51399756</v>
      </c>
      <c r="M134" s="1976">
        <f t="shared" si="28"/>
        <v>54232400</v>
      </c>
    </row>
    <row r="135" spans="2:13" ht="15.9" customHeight="1" collapsed="1" x14ac:dyDescent="0.3">
      <c r="B135" s="214" t="s">
        <v>1284</v>
      </c>
      <c r="C135" s="1940">
        <f>AVERAGE(C134:D134)</f>
        <v>30158821.5</v>
      </c>
      <c r="D135" s="1940">
        <f t="shared" ref="D135:K135" si="29">AVERAGE(D134:E134)</f>
        <v>37521295.5</v>
      </c>
      <c r="E135" s="1940">
        <f t="shared" si="29"/>
        <v>39844698</v>
      </c>
      <c r="F135" s="1940">
        <f t="shared" si="29"/>
        <v>39153757.5</v>
      </c>
      <c r="G135" s="1940">
        <f t="shared" si="29"/>
        <v>38446684.5</v>
      </c>
      <c r="H135" s="1940">
        <f t="shared" si="29"/>
        <v>41669697.5</v>
      </c>
      <c r="I135" s="1940">
        <f t="shared" si="29"/>
        <v>46340576</v>
      </c>
      <c r="J135" s="1940">
        <f t="shared" si="29"/>
        <v>51461513</v>
      </c>
      <c r="K135" s="1940">
        <f t="shared" si="29"/>
        <v>53034738</v>
      </c>
      <c r="L135" s="1940">
        <f>AVERAGE(L134:M134)</f>
        <v>52816078</v>
      </c>
      <c r="M135" s="1279"/>
    </row>
    <row r="136" spans="2:13" ht="15.9" customHeight="1" x14ac:dyDescent="0.3">
      <c r="B136" s="214" t="s">
        <v>1326</v>
      </c>
      <c r="C136" s="1361">
        <f t="shared" ref="C136:L136" si="30">C52/C135</f>
        <v>1.6573203962893577</v>
      </c>
      <c r="D136" s="1361">
        <f t="shared" si="30"/>
        <v>1.3483190898885675</v>
      </c>
      <c r="E136" s="1361">
        <f t="shared" si="30"/>
        <v>1.3366722468319374</v>
      </c>
      <c r="F136" s="1361">
        <f t="shared" si="30"/>
        <v>1.2188429424685485</v>
      </c>
      <c r="G136" s="1361">
        <f t="shared" si="30"/>
        <v>1.6284545680395406</v>
      </c>
      <c r="H136" s="1361">
        <f t="shared" si="30"/>
        <v>1.668161665920421</v>
      </c>
      <c r="I136" s="1361">
        <f t="shared" si="30"/>
        <v>1.3369796050873428</v>
      </c>
      <c r="J136" s="1361">
        <f t="shared" si="30"/>
        <v>1.2844205144143352</v>
      </c>
      <c r="K136" s="1361">
        <f t="shared" si="30"/>
        <v>1.2829849371557185</v>
      </c>
      <c r="L136" s="1361">
        <f t="shared" si="30"/>
        <v>1.240120177041544</v>
      </c>
      <c r="M136" s="1279"/>
    </row>
    <row r="137" spans="2:13" ht="15.75" customHeight="1" x14ac:dyDescent="0.3">
      <c r="B137" s="282" t="s">
        <v>1327</v>
      </c>
      <c r="C137" s="1361">
        <f>1/C136</f>
        <v>0.60338363193920797</v>
      </c>
      <c r="D137" s="1361">
        <f t="shared" ref="D137:L137" si="31">1/D136</f>
        <v>0.74166420063268956</v>
      </c>
      <c r="E137" s="1361">
        <f t="shared" si="31"/>
        <v>0.7481265526161045</v>
      </c>
      <c r="F137" s="1361">
        <f t="shared" si="31"/>
        <v>0.82045025257698811</v>
      </c>
      <c r="G137" s="1361">
        <f t="shared" si="31"/>
        <v>0.61407915186966333</v>
      </c>
      <c r="H137" s="1361">
        <f t="shared" si="31"/>
        <v>0.59946228260091461</v>
      </c>
      <c r="I137" s="1361">
        <f t="shared" si="31"/>
        <v>0.74795456579509423</v>
      </c>
      <c r="J137" s="1361">
        <f t="shared" si="31"/>
        <v>0.7785612179014253</v>
      </c>
      <c r="K137" s="1361">
        <f t="shared" si="31"/>
        <v>0.77943237760602635</v>
      </c>
      <c r="L137" s="1361">
        <f t="shared" si="31"/>
        <v>0.80637346163145285</v>
      </c>
      <c r="M137" s="1279"/>
    </row>
    <row r="138" spans="2:13" ht="15.9" customHeight="1" x14ac:dyDescent="0.3">
      <c r="B138" s="214" t="s">
        <v>244</v>
      </c>
      <c r="C138" s="1974">
        <f>C133/C132</f>
        <v>0.1129241561166521</v>
      </c>
      <c r="D138" s="1974">
        <f t="shared" ref="D138:L138" si="32">D133/D132</f>
        <v>0.17834207264533145</v>
      </c>
      <c r="E138" s="1974">
        <f t="shared" si="32"/>
        <v>0.21254508227512323</v>
      </c>
      <c r="F138" s="1974">
        <f t="shared" si="32"/>
        <v>0.11471790659446902</v>
      </c>
      <c r="G138" s="1974">
        <f t="shared" si="32"/>
        <v>0</v>
      </c>
      <c r="H138" s="1974">
        <f t="shared" si="32"/>
        <v>0</v>
      </c>
      <c r="I138" s="1974">
        <f t="shared" si="32"/>
        <v>0.11270329984742979</v>
      </c>
      <c r="J138" s="1974">
        <f t="shared" si="32"/>
        <v>7.4604751819387194E-2</v>
      </c>
      <c r="K138" s="1974">
        <f t="shared" si="32"/>
        <v>8.5368749320027984E-2</v>
      </c>
      <c r="L138" s="1974">
        <f t="shared" si="32"/>
        <v>0</v>
      </c>
      <c r="M138" s="1975">
        <f>M133/M132</f>
        <v>1.6457562066485416E-2</v>
      </c>
    </row>
    <row r="139" spans="2:13" s="10" customFormat="1" ht="15.9" customHeight="1" x14ac:dyDescent="0.3">
      <c r="B139" s="214" t="s">
        <v>243</v>
      </c>
      <c r="C139" s="1974">
        <f>C131/C137</f>
        <v>5.8220444721289923E-3</v>
      </c>
      <c r="D139" s="1974">
        <f t="shared" ref="D139:L139" si="33">D131/D137</f>
        <v>-1.8251262139922651E-2</v>
      </c>
      <c r="E139" s="1974">
        <f t="shared" si="33"/>
        <v>-5.3991022845749768E-2</v>
      </c>
      <c r="F139" s="1974">
        <f t="shared" si="33"/>
        <v>-1.0038729999285508E-2</v>
      </c>
      <c r="G139" s="1974">
        <f t="shared" si="33"/>
        <v>0.1202699286072379</v>
      </c>
      <c r="H139" s="1974">
        <f t="shared" si="33"/>
        <v>3.1728068100326384E-2</v>
      </c>
      <c r="I139" s="1974">
        <f t="shared" si="33"/>
        <v>-0.10736724549992645</v>
      </c>
      <c r="J139" s="1974">
        <f t="shared" si="33"/>
        <v>-6.3310128483785547E-2</v>
      </c>
      <c r="K139" s="1974">
        <f t="shared" si="33"/>
        <v>1.7395164656041101E-2</v>
      </c>
      <c r="L139" s="1974">
        <f t="shared" si="33"/>
        <v>5.6937586316045657E-3</v>
      </c>
      <c r="M139" s="1977"/>
    </row>
    <row r="140" spans="2:13" ht="15.9" customHeight="1" x14ac:dyDescent="0.3">
      <c r="B140" s="214" t="s">
        <v>22</v>
      </c>
      <c r="C140" s="1974">
        <f t="shared" ref="C140:L140" si="34">C59/(AVERAGE(C80:D80))</f>
        <v>6.6995000137644494E-3</v>
      </c>
      <c r="D140" s="1974">
        <f t="shared" si="34"/>
        <v>-2.182922283206315E-2</v>
      </c>
      <c r="E140" s="1974">
        <f t="shared" si="34"/>
        <v>-6.2682835962018082E-2</v>
      </c>
      <c r="F140" s="1974">
        <f t="shared" si="34"/>
        <v>-1.0600517021100288E-2</v>
      </c>
      <c r="G140" s="1974">
        <f t="shared" si="34"/>
        <v>0.1202699286072379</v>
      </c>
      <c r="H140" s="1974">
        <f t="shared" si="34"/>
        <v>3.3539044788458865E-2</v>
      </c>
      <c r="I140" s="1974">
        <f t="shared" si="34"/>
        <v>-0.11730266258791346</v>
      </c>
      <c r="J140" s="1974">
        <f t="shared" si="34"/>
        <v>-6.8393650055788083E-2</v>
      </c>
      <c r="K140" s="1974">
        <f t="shared" si="34"/>
        <v>1.8130151323565821E-2</v>
      </c>
      <c r="L140" s="1974">
        <f t="shared" si="34"/>
        <v>5.8506503416086257E-3</v>
      </c>
      <c r="M140" s="1279"/>
    </row>
    <row r="141" spans="2:13" ht="15.9" customHeight="1" x14ac:dyDescent="0.3">
      <c r="B141" s="214" t="s">
        <v>1286</v>
      </c>
      <c r="C141" s="1361">
        <f t="shared" ref="C141:M141" si="35">C34/C29</f>
        <v>19.457884578538167</v>
      </c>
      <c r="D141" s="1361">
        <f t="shared" si="35"/>
        <v>18.837418656447138</v>
      </c>
      <c r="E141" s="1361">
        <f t="shared" si="35"/>
        <v>20.196656048974106</v>
      </c>
      <c r="F141" s="1361">
        <f t="shared" si="35"/>
        <v>22.506000447933904</v>
      </c>
      <c r="G141" s="1361">
        <f t="shared" si="35"/>
        <v>23.365964962575031</v>
      </c>
      <c r="H141" s="1361">
        <f t="shared" si="35"/>
        <v>20.095608631006947</v>
      </c>
      <c r="I141" s="1361">
        <f t="shared" si="35"/>
        <v>18.959370247140392</v>
      </c>
      <c r="J141" s="1361">
        <f t="shared" si="35"/>
        <v>21.321921642721236</v>
      </c>
      <c r="K141" s="1361">
        <f t="shared" si="35"/>
        <v>22.425273160667714</v>
      </c>
      <c r="L141" s="1361">
        <f t="shared" si="35"/>
        <v>22.400663481166792</v>
      </c>
      <c r="M141" s="1362">
        <f t="shared" si="35"/>
        <v>23.246002533979549</v>
      </c>
    </row>
    <row r="142" spans="2:13" ht="15.9" customHeight="1" x14ac:dyDescent="0.3">
      <c r="B142" s="214"/>
      <c r="C142" s="460"/>
      <c r="D142" s="460"/>
      <c r="E142" s="460"/>
      <c r="F142" s="460"/>
      <c r="G142" s="460"/>
      <c r="H142" s="460"/>
      <c r="I142" s="460"/>
      <c r="J142" s="460"/>
      <c r="K142" s="460"/>
      <c r="L142" s="460"/>
      <c r="M142" s="461"/>
    </row>
    <row r="143" spans="2:13" ht="14.4" thickBot="1" x14ac:dyDescent="0.3">
      <c r="B143" s="9" t="s">
        <v>1287</v>
      </c>
      <c r="C143" s="25"/>
      <c r="D143" s="25"/>
      <c r="E143" s="25"/>
      <c r="F143" s="25"/>
      <c r="G143" s="25"/>
      <c r="H143" s="25"/>
      <c r="I143" s="25"/>
      <c r="J143" s="25"/>
      <c r="K143" s="25"/>
      <c r="L143" s="25"/>
      <c r="M143" s="26"/>
    </row>
    <row r="144" spans="2:13" ht="15" customHeight="1" x14ac:dyDescent="0.25">
      <c r="B144" s="2805" t="s">
        <v>1285</v>
      </c>
      <c r="C144" s="2805"/>
      <c r="D144" s="2805"/>
      <c r="E144" s="2805"/>
      <c r="F144" s="2805"/>
      <c r="G144" s="2805"/>
      <c r="H144" s="2805"/>
      <c r="I144" s="2805"/>
      <c r="J144" s="2805"/>
      <c r="K144" s="2805"/>
      <c r="L144" s="2805"/>
      <c r="M144" s="2805"/>
    </row>
    <row r="147" spans="2:13" hidden="1" outlineLevel="1" x14ac:dyDescent="0.25">
      <c r="B147" s="34" t="s">
        <v>1281</v>
      </c>
    </row>
    <row r="148" spans="2:13" hidden="1" outlineLevel="1" x14ac:dyDescent="0.25">
      <c r="B148" s="51" t="s">
        <v>35</v>
      </c>
      <c r="C148" s="59">
        <f>M34</f>
        <v>53354318</v>
      </c>
      <c r="D148" s="51"/>
      <c r="E148" s="51"/>
      <c r="F148" s="51"/>
      <c r="G148" s="51"/>
      <c r="H148" s="51"/>
      <c r="I148" s="51"/>
      <c r="J148" s="51"/>
      <c r="K148" s="51"/>
      <c r="L148" s="51"/>
      <c r="M148" s="51"/>
    </row>
    <row r="149" spans="2:13" hidden="1" outlineLevel="1" x14ac:dyDescent="0.25">
      <c r="B149" s="51" t="s">
        <v>36</v>
      </c>
      <c r="C149" s="59">
        <f>SUM(C71:L71)+SUM(C78:L78)</f>
        <v>-10017681</v>
      </c>
      <c r="D149" s="51" t="s">
        <v>39</v>
      </c>
      <c r="E149" s="51"/>
      <c r="F149" s="51"/>
      <c r="G149" s="51"/>
      <c r="H149" s="51"/>
      <c r="I149" s="51"/>
      <c r="J149" s="51"/>
      <c r="K149" s="51"/>
      <c r="L149" s="51"/>
      <c r="M149" s="51"/>
    </row>
    <row r="150" spans="2:13" hidden="1" outlineLevel="1" x14ac:dyDescent="0.25">
      <c r="B150" s="51" t="s">
        <v>1</v>
      </c>
      <c r="C150" s="60">
        <f>SUM(C72:L72)</f>
        <v>-9174269</v>
      </c>
      <c r="D150" s="51"/>
      <c r="E150" s="51"/>
      <c r="F150" s="51"/>
      <c r="G150" s="51"/>
      <c r="H150" s="51"/>
      <c r="I150" s="51"/>
      <c r="J150" s="51"/>
      <c r="K150" s="51"/>
      <c r="L150" s="51"/>
      <c r="M150" s="51"/>
    </row>
    <row r="151" spans="2:13" hidden="1" outlineLevel="1" x14ac:dyDescent="0.25">
      <c r="B151" s="51" t="s">
        <v>2</v>
      </c>
      <c r="C151" s="59">
        <f>SUM(C75:L75)-D75</f>
        <v>-13081658</v>
      </c>
      <c r="D151" s="51" t="s">
        <v>233</v>
      </c>
      <c r="E151" s="51"/>
      <c r="F151" s="52"/>
      <c r="G151" s="51"/>
      <c r="H151" s="51"/>
      <c r="I151" s="51"/>
      <c r="J151" s="51"/>
      <c r="K151" s="51"/>
      <c r="L151" s="51"/>
      <c r="M151" s="51"/>
    </row>
    <row r="152" spans="2:13" hidden="1" outlineLevel="1" x14ac:dyDescent="0.25">
      <c r="B152" s="51" t="s">
        <v>38</v>
      </c>
      <c r="C152" s="59">
        <f>SUM(C74:L74)+SUM(C73:L73)-D73-D74</f>
        <v>878095</v>
      </c>
      <c r="D152" s="51" t="s">
        <v>42</v>
      </c>
      <c r="E152" s="51"/>
      <c r="F152" s="51"/>
      <c r="G152" s="51"/>
      <c r="H152" s="51"/>
      <c r="I152" s="51"/>
      <c r="J152" s="51"/>
      <c r="K152" s="51"/>
      <c r="L152" s="51"/>
      <c r="M152" s="51"/>
    </row>
    <row r="153" spans="2:13" hidden="1" outlineLevel="1" x14ac:dyDescent="0.25">
      <c r="B153" s="51" t="s">
        <v>43</v>
      </c>
      <c r="C153" s="59">
        <f>SUM(C76:L77)</f>
        <v>179948</v>
      </c>
      <c r="D153" s="51" t="s">
        <v>40</v>
      </c>
      <c r="E153" s="51"/>
      <c r="F153" s="51"/>
      <c r="G153" s="51"/>
      <c r="H153" s="51"/>
      <c r="I153" s="51"/>
      <c r="J153" s="51"/>
      <c r="K153" s="51"/>
      <c r="L153" s="51"/>
      <c r="M153" s="51"/>
    </row>
    <row r="154" spans="2:13" hidden="1" outlineLevel="1" x14ac:dyDescent="0.25">
      <c r="B154" s="51" t="s">
        <v>15</v>
      </c>
      <c r="C154" s="59">
        <v>0</v>
      </c>
      <c r="D154" s="51"/>
      <c r="E154" s="51"/>
      <c r="F154" s="51"/>
      <c r="G154" s="51"/>
      <c r="H154" s="51"/>
      <c r="I154" s="51"/>
      <c r="J154" s="51"/>
      <c r="K154" s="51"/>
      <c r="L154" s="51"/>
      <c r="M154" s="51"/>
    </row>
    <row r="155" spans="2:13" hidden="1" outlineLevel="1" x14ac:dyDescent="0.25">
      <c r="B155" s="51" t="s">
        <v>37</v>
      </c>
      <c r="C155" s="59">
        <f>SUM(C148:C154)</f>
        <v>22138753</v>
      </c>
      <c r="D155" s="51"/>
      <c r="E155" s="51"/>
      <c r="F155" s="51"/>
      <c r="G155" s="51"/>
      <c r="H155" s="51"/>
      <c r="I155" s="51"/>
      <c r="J155" s="51"/>
      <c r="K155" s="51"/>
      <c r="L155" s="51"/>
      <c r="M155" s="51"/>
    </row>
    <row r="156" spans="2:13" hidden="1" outlineLevel="1" x14ac:dyDescent="0.25"/>
    <row r="157" spans="2:13" hidden="1" outlineLevel="1" x14ac:dyDescent="0.25"/>
    <row r="158" spans="2:13" hidden="1" outlineLevel="1" x14ac:dyDescent="0.25">
      <c r="B158" s="1" t="s">
        <v>30</v>
      </c>
      <c r="C158" s="53">
        <f>M15</f>
        <v>17249195</v>
      </c>
    </row>
    <row r="159" spans="2:13" hidden="1" outlineLevel="1" x14ac:dyDescent="0.25">
      <c r="B159" s="1" t="s">
        <v>31</v>
      </c>
      <c r="C159" s="53">
        <f>C15</f>
        <v>7571243</v>
      </c>
    </row>
    <row r="160" spans="2:13" hidden="1" outlineLevel="1" x14ac:dyDescent="0.25">
      <c r="B160" s="1" t="s">
        <v>32</v>
      </c>
      <c r="C160" s="53">
        <f>C159-C158</f>
        <v>-9677952</v>
      </c>
    </row>
    <row r="161" spans="2:13" hidden="1" outlineLevel="1" x14ac:dyDescent="0.25">
      <c r="C161" s="53"/>
    </row>
    <row r="162" spans="2:13" hidden="1" outlineLevel="1" x14ac:dyDescent="0.25">
      <c r="B162" s="1" t="s">
        <v>33</v>
      </c>
      <c r="C162" s="53">
        <f>SUM(C54:L54)*-1</f>
        <v>-17809487</v>
      </c>
    </row>
    <row r="163" spans="2:13" hidden="1" outlineLevel="1" x14ac:dyDescent="0.25">
      <c r="B163" s="1" t="s">
        <v>34</v>
      </c>
      <c r="C163" s="53">
        <f>SUM(C78:E78)</f>
        <v>-5900000</v>
      </c>
    </row>
    <row r="164" spans="2:13" hidden="1" outlineLevel="1" x14ac:dyDescent="0.25">
      <c r="B164" s="1" t="s">
        <v>3</v>
      </c>
      <c r="C164" s="53">
        <f>C162+C163</f>
        <v>-23709487</v>
      </c>
    </row>
    <row r="165" spans="2:13" hidden="1" outlineLevel="1" x14ac:dyDescent="0.25">
      <c r="C165" s="53"/>
    </row>
    <row r="166" spans="2:13" hidden="1" outlineLevel="1" x14ac:dyDescent="0.25">
      <c r="C166" s="53">
        <f>C164-C160</f>
        <v>-14031535</v>
      </c>
    </row>
    <row r="167" spans="2:13" collapsed="1" x14ac:dyDescent="0.25">
      <c r="M167" s="29"/>
    </row>
    <row r="170" spans="2:13" x14ac:dyDescent="0.25">
      <c r="C170" s="2781">
        <f t="shared" ref="C170:L170" si="36">C127</f>
        <v>23653</v>
      </c>
      <c r="D170" s="2781">
        <f t="shared" si="36"/>
        <v>23282</v>
      </c>
      <c r="E170" s="2781">
        <f t="shared" si="36"/>
        <v>22918</v>
      </c>
      <c r="F170" s="2781">
        <f t="shared" si="36"/>
        <v>22554</v>
      </c>
      <c r="G170" s="2781">
        <f t="shared" si="36"/>
        <v>22190</v>
      </c>
      <c r="H170" s="2781">
        <f t="shared" si="36"/>
        <v>21826</v>
      </c>
      <c r="I170" s="2781">
        <f t="shared" si="36"/>
        <v>21455</v>
      </c>
      <c r="J170" s="2781">
        <f t="shared" si="36"/>
        <v>21093</v>
      </c>
      <c r="K170" s="2781">
        <f t="shared" si="36"/>
        <v>20728</v>
      </c>
      <c r="L170" s="2781">
        <f t="shared" si="36"/>
        <v>20362</v>
      </c>
    </row>
    <row r="171" spans="2:13" x14ac:dyDescent="0.25">
      <c r="C171" s="29">
        <f>C141/D141-1</f>
        <v>3.2937948314838428E-2</v>
      </c>
      <c r="D171" s="29">
        <f t="shared" ref="D171:L171" si="37">D141/E141-1</f>
        <v>-6.7300120833419408E-2</v>
      </c>
      <c r="E171" s="29">
        <f t="shared" si="37"/>
        <v>-0.10261016408945289</v>
      </c>
      <c r="F171" s="29">
        <f t="shared" si="37"/>
        <v>-3.6804151509193916E-2</v>
      </c>
      <c r="G171" s="29">
        <f t="shared" si="37"/>
        <v>0.16273984986560786</v>
      </c>
      <c r="H171" s="29">
        <f t="shared" si="37"/>
        <v>5.9930175372672645E-2</v>
      </c>
      <c r="I171" s="29">
        <f t="shared" si="37"/>
        <v>-0.11080386820516053</v>
      </c>
      <c r="J171" s="29">
        <f t="shared" si="37"/>
        <v>-4.920125208916859E-2</v>
      </c>
      <c r="K171" s="29">
        <f t="shared" si="37"/>
        <v>1.0986138656836619E-3</v>
      </c>
      <c r="L171" s="29">
        <f t="shared" si="37"/>
        <v>-3.6364921305376829E-2</v>
      </c>
    </row>
  </sheetData>
  <mergeCells count="3">
    <mergeCell ref="B115:D115"/>
    <mergeCell ref="B61:M61"/>
    <mergeCell ref="B144:M144"/>
  </mergeCells>
  <pageMargins left="0.7" right="0.7" top="0.75" bottom="0.75" header="0.3" footer="0.3"/>
  <pageSetup orientation="portrait" r:id="rId1"/>
  <legacy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F7FD-8102-4A82-A598-25B0A081F438}">
  <sheetPr>
    <tabColor theme="4"/>
  </sheetPr>
  <dimension ref="A2:B5"/>
  <sheetViews>
    <sheetView workbookViewId="0">
      <selection activeCell="N20" sqref="N20"/>
    </sheetView>
  </sheetViews>
  <sheetFormatPr defaultColWidth="9.109375" defaultRowHeight="15.6" x14ac:dyDescent="0.3"/>
  <cols>
    <col min="1" max="1" width="42.44140625" style="211" customWidth="1"/>
    <col min="2" max="2" width="11.5546875" style="211" bestFit="1" customWidth="1"/>
    <col min="3" max="16384" width="9.109375" style="211"/>
  </cols>
  <sheetData>
    <row r="2" spans="1:2" x14ac:dyDescent="0.3">
      <c r="A2" s="211" t="s">
        <v>3249</v>
      </c>
      <c r="B2" s="277">
        <v>5376</v>
      </c>
    </row>
    <row r="3" spans="1:2" x14ac:dyDescent="0.3">
      <c r="A3" s="211" t="s">
        <v>3248</v>
      </c>
      <c r="B3" s="277">
        <v>4241</v>
      </c>
    </row>
    <row r="4" spans="1:2" x14ac:dyDescent="0.3">
      <c r="A4" s="211" t="s">
        <v>3247</v>
      </c>
      <c r="B4" s="277">
        <v>1189</v>
      </c>
    </row>
    <row r="5" spans="1:2" x14ac:dyDescent="0.3">
      <c r="A5" s="211" t="s">
        <v>3246</v>
      </c>
      <c r="B5" s="277">
        <v>723</v>
      </c>
    </row>
  </sheetData>
  <pageMargins left="0.7" right="0.7" top="0.75" bottom="0.75" header="0.3" footer="0.3"/>
  <pageSetup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5B49-0BC3-4934-B63E-1C7C415BBAFA}">
  <sheetPr>
    <tabColor theme="4"/>
  </sheetPr>
  <dimension ref="A1:S75"/>
  <sheetViews>
    <sheetView showGridLines="0" zoomScale="115" zoomScaleNormal="115" workbookViewId="0">
      <selection activeCell="J26" sqref="J26"/>
    </sheetView>
  </sheetViews>
  <sheetFormatPr defaultColWidth="9.109375" defaultRowHeight="15.6" outlineLevelRow="1" x14ac:dyDescent="0.3"/>
  <cols>
    <col min="1" max="1" width="32.5546875" style="211" customWidth="1"/>
    <col min="2" max="2" width="11.44140625" style="211" bestFit="1" customWidth="1"/>
    <col min="3" max="6" width="9.109375" style="211" bestFit="1" customWidth="1"/>
    <col min="7" max="7" width="7.88671875" style="211" customWidth="1"/>
    <col min="8" max="9" width="9.109375" style="211"/>
    <col min="10" max="10" width="33.44140625" style="211" customWidth="1"/>
    <col min="11" max="11" width="9.109375" style="211" bestFit="1" customWidth="1"/>
    <col min="12" max="12" width="10.109375" style="211" bestFit="1" customWidth="1"/>
    <col min="13" max="15" width="9.109375" style="211"/>
    <col min="16" max="16" width="10.109375" style="211" bestFit="1" customWidth="1"/>
    <col min="17" max="17" width="14" style="211" bestFit="1" customWidth="1"/>
    <col min="18" max="16384" width="9.109375" style="211"/>
  </cols>
  <sheetData>
    <row r="1" spans="1:16" s="309" customFormat="1" x14ac:dyDescent="0.3">
      <c r="A1" s="309" t="s">
        <v>556</v>
      </c>
      <c r="B1" s="309">
        <v>2013</v>
      </c>
      <c r="C1" s="309">
        <v>2013</v>
      </c>
      <c r="D1" s="309">
        <v>2013</v>
      </c>
      <c r="E1" s="309">
        <v>2012</v>
      </c>
      <c r="F1" s="309">
        <v>2011</v>
      </c>
    </row>
    <row r="2" spans="1:16" x14ac:dyDescent="0.3">
      <c r="A2" s="459" t="s">
        <v>1863</v>
      </c>
    </row>
    <row r="3" spans="1:16" x14ac:dyDescent="0.3">
      <c r="A3" s="152" t="s">
        <v>1986</v>
      </c>
    </row>
    <row r="4" spans="1:16" ht="6.6" customHeight="1" thickBot="1" x14ac:dyDescent="0.35"/>
    <row r="5" spans="1:16" x14ac:dyDescent="0.3">
      <c r="A5" s="212" t="s">
        <v>1250</v>
      </c>
      <c r="B5" s="712">
        <v>2013</v>
      </c>
      <c r="C5" s="712">
        <v>2012</v>
      </c>
      <c r="D5" s="712">
        <v>2011</v>
      </c>
      <c r="E5" s="712">
        <v>2010</v>
      </c>
      <c r="F5" s="713">
        <v>2009</v>
      </c>
    </row>
    <row r="6" spans="1:16" x14ac:dyDescent="0.3">
      <c r="A6" s="214" t="s">
        <v>289</v>
      </c>
      <c r="B6" s="1339">
        <v>11528.886</v>
      </c>
      <c r="C6" s="1339">
        <v>11507.572</v>
      </c>
      <c r="D6" s="1339">
        <v>10558.636</v>
      </c>
      <c r="E6" s="1339">
        <v>10494.983</v>
      </c>
      <c r="F6" s="1340">
        <v>10011.331</v>
      </c>
      <c r="G6" s="1339"/>
    </row>
    <row r="7" spans="1:16" ht="18.600000000000001" x14ac:dyDescent="0.3">
      <c r="A7" s="214" t="s">
        <v>1737</v>
      </c>
      <c r="B7" s="1341">
        <f>B6/B39</f>
        <v>3.0677747024629585</v>
      </c>
      <c r="C7" s="1341">
        <f>C6/C39</f>
        <v>3.8031558973499702</v>
      </c>
      <c r="D7" s="1341">
        <f>D6/D39</f>
        <v>3.9132604209114445</v>
      </c>
      <c r="E7" s="1341">
        <f>E6/E39</f>
        <v>4.2524147535327614</v>
      </c>
      <c r="F7" s="1342">
        <f>F6/F39</f>
        <v>3.8776142093149146</v>
      </c>
      <c r="G7" s="1341"/>
      <c r="H7" s="211" t="s">
        <v>176</v>
      </c>
    </row>
    <row r="8" spans="1:16" hidden="1" outlineLevel="1" x14ac:dyDescent="0.3">
      <c r="A8" s="214" t="s">
        <v>1987</v>
      </c>
      <c r="B8" s="521">
        <f>1661.651+46.853</f>
        <v>1708.5040000000001</v>
      </c>
      <c r="C8" s="521">
        <f>1502.307+47.075</f>
        <v>1549.3820000000001</v>
      </c>
      <c r="D8" s="521">
        <f>1687.638+43.433</f>
        <v>1731.0709999999999</v>
      </c>
      <c r="E8" s="521">
        <f>1559.228+48.308</f>
        <v>1607.5360000000001</v>
      </c>
      <c r="F8" s="1624">
        <f>1502.446+40.081</f>
        <v>1542.5269999999998</v>
      </c>
      <c r="G8" s="1380"/>
    </row>
    <row r="9" spans="1:16" ht="18.600000000000001" collapsed="1" x14ac:dyDescent="0.3">
      <c r="A9" s="214" t="s">
        <v>1985</v>
      </c>
      <c r="B9" s="917">
        <f t="shared" ref="B9:F9" si="0">B8/B6</f>
        <v>0.14819332934682503</v>
      </c>
      <c r="C9" s="917">
        <f>C8/C6</f>
        <v>0.13464021776270443</v>
      </c>
      <c r="D9" s="917">
        <f t="shared" si="0"/>
        <v>0.16394835469278415</v>
      </c>
      <c r="E9" s="917">
        <f t="shared" si="0"/>
        <v>0.15317185363711405</v>
      </c>
      <c r="F9" s="918">
        <f t="shared" si="0"/>
        <v>0.15407811408892583</v>
      </c>
      <c r="G9" s="464"/>
      <c r="H9" s="464"/>
    </row>
    <row r="10" spans="1:16" x14ac:dyDescent="0.3">
      <c r="A10" s="734" t="s">
        <v>1563</v>
      </c>
      <c r="B10" s="1824">
        <f t="shared" ref="B10:F10" si="1">B9*B7</f>
        <v>0.45462374684395135</v>
      </c>
      <c r="C10" s="1824">
        <f t="shared" si="1"/>
        <v>0.51205773820471356</v>
      </c>
      <c r="D10" s="1824">
        <f t="shared" si="1"/>
        <v>0.6415726074928233</v>
      </c>
      <c r="E10" s="1824">
        <f t="shared" si="1"/>
        <v>0.65135025023242454</v>
      </c>
      <c r="F10" s="1837">
        <f t="shared" si="1"/>
        <v>0.59745548453566333</v>
      </c>
      <c r="G10" s="827"/>
    </row>
    <row r="11" spans="1:16" ht="4.5" customHeight="1" x14ac:dyDescent="0.3">
      <c r="A11" s="734"/>
      <c r="B11" s="397"/>
      <c r="C11" s="397"/>
      <c r="D11" s="397"/>
      <c r="E11" s="397"/>
      <c r="F11" s="1281"/>
      <c r="G11" s="397"/>
    </row>
    <row r="12" spans="1:16" ht="4.5" customHeight="1" x14ac:dyDescent="0.3">
      <c r="A12" s="734"/>
      <c r="B12" s="397"/>
      <c r="C12" s="397"/>
      <c r="D12" s="397"/>
      <c r="E12" s="397"/>
      <c r="F12" s="1281"/>
      <c r="G12" s="397"/>
    </row>
    <row r="13" spans="1:16" ht="4.5" customHeight="1" x14ac:dyDescent="0.3">
      <c r="A13" s="734"/>
      <c r="B13" s="397"/>
      <c r="C13" s="397"/>
      <c r="D13" s="397"/>
      <c r="E13" s="397"/>
      <c r="F13" s="1281"/>
      <c r="G13" s="397"/>
    </row>
    <row r="14" spans="1:16" x14ac:dyDescent="0.3">
      <c r="A14" s="734" t="s">
        <v>1730</v>
      </c>
      <c r="B14" s="1339">
        <f>4250*2</f>
        <v>8500</v>
      </c>
      <c r="C14" s="397"/>
      <c r="D14" s="397"/>
      <c r="E14" s="397"/>
      <c r="F14" s="1281"/>
      <c r="G14" s="397" t="s">
        <v>176</v>
      </c>
      <c r="P14" s="1329"/>
    </row>
    <row r="15" spans="1:16" x14ac:dyDescent="0.3">
      <c r="A15" s="734" t="s">
        <v>1988</v>
      </c>
      <c r="B15" s="1344">
        <v>8000</v>
      </c>
      <c r="C15" s="397"/>
      <c r="D15" s="397"/>
      <c r="E15" s="397"/>
      <c r="F15" s="1281"/>
      <c r="G15" s="397"/>
      <c r="P15" s="1329"/>
    </row>
    <row r="16" spans="1:16" x14ac:dyDescent="0.3">
      <c r="A16" s="734" t="s">
        <v>23</v>
      </c>
      <c r="B16" s="1344">
        <v>12600</v>
      </c>
      <c r="C16" s="397"/>
      <c r="D16" s="397"/>
      <c r="E16" s="397"/>
      <c r="F16" s="1281"/>
      <c r="G16" s="397"/>
      <c r="H16" s="211" t="s">
        <v>176</v>
      </c>
      <c r="N16" s="1619"/>
    </row>
    <row r="17" spans="1:16" x14ac:dyDescent="0.3">
      <c r="A17" s="734" t="s">
        <v>1708</v>
      </c>
      <c r="B17" s="1343">
        <f>B14+B15+B16</f>
        <v>29100</v>
      </c>
      <c r="C17" s="397"/>
      <c r="D17" s="397"/>
      <c r="E17" s="397"/>
      <c r="F17" s="1281"/>
      <c r="G17" s="397"/>
      <c r="P17" s="1329"/>
    </row>
    <row r="18" spans="1:16" ht="4.5" customHeight="1" x14ac:dyDescent="0.3">
      <c r="A18" s="734"/>
      <c r="B18" s="397"/>
      <c r="C18" s="397"/>
      <c r="D18" s="397"/>
      <c r="E18" s="397"/>
      <c r="F18" s="1281"/>
      <c r="G18" s="397"/>
    </row>
    <row r="19" spans="1:16" ht="4.5" customHeight="1" x14ac:dyDescent="0.3">
      <c r="A19" s="734"/>
      <c r="B19" s="397"/>
      <c r="C19" s="397"/>
      <c r="D19" s="397"/>
      <c r="E19" s="397"/>
      <c r="F19" s="1281"/>
      <c r="G19" s="397"/>
    </row>
    <row r="20" spans="1:16" ht="4.5" customHeight="1" x14ac:dyDescent="0.3">
      <c r="A20" s="734"/>
      <c r="B20" s="397"/>
      <c r="C20" s="397"/>
      <c r="D20" s="397"/>
      <c r="E20" s="397"/>
      <c r="F20" s="1281"/>
      <c r="G20" s="397"/>
    </row>
    <row r="21" spans="1:16" x14ac:dyDescent="0.3">
      <c r="A21" s="734" t="s">
        <v>1705</v>
      </c>
      <c r="B21" s="2694">
        <f>B17/B39</f>
        <v>7.7433538541080287</v>
      </c>
      <c r="C21" s="397"/>
      <c r="D21" s="397"/>
      <c r="E21" s="397"/>
      <c r="F21" s="1281"/>
      <c r="G21" s="397"/>
      <c r="L21" s="1621"/>
      <c r="P21" s="1620"/>
    </row>
    <row r="22" spans="1:16" x14ac:dyDescent="0.3">
      <c r="A22" s="734" t="s">
        <v>1989</v>
      </c>
      <c r="B22" s="827">
        <f>B10/B21</f>
        <v>5.8711477663230247E-2</v>
      </c>
      <c r="C22" s="397"/>
      <c r="D22" s="397"/>
      <c r="E22" s="397"/>
      <c r="F22" s="1281"/>
      <c r="G22" s="220"/>
      <c r="H22" s="211" t="s">
        <v>176</v>
      </c>
      <c r="P22" s="1329"/>
    </row>
    <row r="23" spans="1:16" x14ac:dyDescent="0.3">
      <c r="A23" s="734" t="s">
        <v>1972</v>
      </c>
      <c r="B23" s="827">
        <f>(AVERAGE(B10:F10)/B21)</f>
        <v>7.3793859382878121E-2</v>
      </c>
      <c r="C23" s="397"/>
      <c r="D23" s="397"/>
      <c r="E23" s="397"/>
      <c r="F23" s="1281"/>
      <c r="G23" s="220"/>
      <c r="P23" s="1329"/>
    </row>
    <row r="24" spans="1:16" ht="4.5" customHeight="1" x14ac:dyDescent="0.3">
      <c r="A24" s="734"/>
      <c r="B24" s="397"/>
      <c r="C24" s="397"/>
      <c r="D24" s="397"/>
      <c r="E24" s="397"/>
      <c r="F24" s="1281"/>
      <c r="G24" s="397"/>
    </row>
    <row r="25" spans="1:16" ht="4.5" customHeight="1" x14ac:dyDescent="0.3">
      <c r="A25" s="734"/>
      <c r="B25" s="397"/>
      <c r="C25" s="397"/>
      <c r="D25" s="397"/>
      <c r="E25" s="397"/>
      <c r="F25" s="1281"/>
      <c r="G25" s="397"/>
    </row>
    <row r="26" spans="1:16" ht="4.5" customHeight="1" x14ac:dyDescent="0.3">
      <c r="A26" s="734"/>
      <c r="B26" s="397"/>
      <c r="C26" s="397"/>
      <c r="D26" s="397"/>
      <c r="E26" s="397"/>
      <c r="F26" s="1281"/>
      <c r="G26" s="397"/>
    </row>
    <row r="27" spans="1:16" x14ac:dyDescent="0.3">
      <c r="A27" s="1175" t="s">
        <v>1991</v>
      </c>
      <c r="B27" s="1627"/>
      <c r="C27" s="1627"/>
      <c r="D27" s="1627"/>
      <c r="E27" s="1627"/>
      <c r="F27" s="1628"/>
      <c r="G27" s="397"/>
    </row>
    <row r="28" spans="1:16" ht="8.25" customHeight="1" x14ac:dyDescent="0.3">
      <c r="A28" s="1175"/>
      <c r="B28" s="1627"/>
      <c r="C28" s="1627"/>
      <c r="D28" s="1627"/>
      <c r="E28" s="1627"/>
      <c r="F28" s="1628"/>
      <c r="G28" s="397"/>
    </row>
    <row r="29" spans="1:16" x14ac:dyDescent="0.3">
      <c r="A29" s="1175" t="s">
        <v>1405</v>
      </c>
      <c r="B29" s="1627"/>
      <c r="C29" s="1627"/>
      <c r="D29" s="1627"/>
      <c r="E29" s="1627"/>
      <c r="F29" s="1628"/>
      <c r="G29" s="397"/>
    </row>
    <row r="30" spans="1:16" ht="16.2" thickBot="1" x14ac:dyDescent="0.35">
      <c r="A30" s="2918" t="s">
        <v>2350</v>
      </c>
      <c r="B30" s="2919"/>
      <c r="C30" s="2919"/>
      <c r="D30" s="2919"/>
      <c r="E30" s="2919"/>
      <c r="F30" s="2920"/>
      <c r="G30" s="220"/>
      <c r="J30" s="152"/>
    </row>
    <row r="31" spans="1:16" ht="30.75" customHeight="1" x14ac:dyDescent="0.3">
      <c r="A31" s="2936" t="s">
        <v>1990</v>
      </c>
      <c r="B31" s="2936"/>
      <c r="C31" s="2936"/>
      <c r="D31" s="2936"/>
      <c r="E31" s="2936"/>
      <c r="F31" s="2936"/>
      <c r="G31" s="397"/>
    </row>
    <row r="32" spans="1:16" ht="30.75" customHeight="1" x14ac:dyDescent="0.3">
      <c r="A32" s="1625"/>
      <c r="B32" s="1625"/>
      <c r="C32" s="1625"/>
      <c r="D32" s="1625"/>
      <c r="E32" s="1625"/>
      <c r="F32" s="1625"/>
      <c r="G32" s="397"/>
    </row>
    <row r="33" spans="1:16" x14ac:dyDescent="0.3">
      <c r="D33" s="309">
        <v>2012</v>
      </c>
      <c r="E33" s="309">
        <v>2011</v>
      </c>
      <c r="F33" s="309">
        <v>2010</v>
      </c>
      <c r="G33" s="309">
        <v>2009</v>
      </c>
    </row>
    <row r="34" spans="1:16" x14ac:dyDescent="0.3">
      <c r="B34" s="1332">
        <f>B5</f>
        <v>2013</v>
      </c>
      <c r="C34" s="1332">
        <f t="shared" ref="C34:F34" si="2">C5</f>
        <v>2012</v>
      </c>
      <c r="D34" s="1332">
        <f t="shared" si="2"/>
        <v>2011</v>
      </c>
      <c r="E34" s="1332">
        <f t="shared" si="2"/>
        <v>2010</v>
      </c>
      <c r="F34" s="1332">
        <f t="shared" si="2"/>
        <v>2009</v>
      </c>
      <c r="G34" s="1332">
        <v>2008</v>
      </c>
    </row>
    <row r="35" spans="1:16" x14ac:dyDescent="0.3">
      <c r="A35" s="211" t="s">
        <v>1766</v>
      </c>
      <c r="B35" s="1622">
        <v>2848.8209999999999</v>
      </c>
      <c r="C35" s="1622">
        <v>2810.8220000000001</v>
      </c>
      <c r="D35" s="1622">
        <v>3182.4659999999999</v>
      </c>
      <c r="E35" s="1622">
        <v>1948.4960000000001</v>
      </c>
      <c r="F35" s="1622">
        <v>1279.105</v>
      </c>
      <c r="G35" s="1622">
        <f>1887.82+65.727</f>
        <v>1953.547</v>
      </c>
    </row>
    <row r="36" spans="1:16" x14ac:dyDescent="0.3">
      <c r="A36" s="211" t="s">
        <v>23</v>
      </c>
      <c r="B36" s="1622">
        <f>3848.339+1137.181+1023.212</f>
        <v>6008.732</v>
      </c>
      <c r="C36" s="1622">
        <f>4779.981+46.46+200.248</f>
        <v>5026.6889999999994</v>
      </c>
      <c r="D36" s="1622">
        <f>3078.128+87.8+1447.132</f>
        <v>4613.0600000000004</v>
      </c>
      <c r="E36" s="1622">
        <f>4559.152+43.853+15.167</f>
        <v>4618.1720000000005</v>
      </c>
      <c r="F36" s="1622">
        <f>5076.186+61.297+4.341</f>
        <v>5141.8239999999996</v>
      </c>
      <c r="G36" s="1622">
        <f>4730.946+124.29+328.418</f>
        <v>5183.6539999999995</v>
      </c>
    </row>
    <row r="37" spans="1:16" x14ac:dyDescent="0.3">
      <c r="A37" s="211" t="s">
        <v>1980</v>
      </c>
      <c r="B37" s="1622">
        <f>-3079.25-1037.283-378.187</f>
        <v>-4494.7199999999993</v>
      </c>
      <c r="C37" s="1622">
        <f>-3185.527-1090.892-407.802</f>
        <v>-4684.2209999999995</v>
      </c>
      <c r="D37" s="1622">
        <f>-3298.441-1156.221-442.563</f>
        <v>-4897.2250000000004</v>
      </c>
      <c r="E37" s="1622">
        <f>-2770.918-895.138-402.576</f>
        <v>-4068.6320000000001</v>
      </c>
      <c r="F37" s="1622">
        <f>-2687.788-889.815-405.351</f>
        <v>-3982.9540000000002</v>
      </c>
      <c r="G37" s="1622">
        <f>-2997.462-957.111-456.948</f>
        <v>-4411.5209999999997</v>
      </c>
    </row>
    <row r="38" spans="1:16" x14ac:dyDescent="0.3">
      <c r="A38" s="211" t="s">
        <v>257</v>
      </c>
      <c r="B38" s="1622">
        <f>B35+B36+B37</f>
        <v>4362.8330000000005</v>
      </c>
      <c r="C38" s="1622">
        <f t="shared" ref="C38:G38" si="3">C35+C36+C37</f>
        <v>3153.29</v>
      </c>
      <c r="D38" s="1622">
        <f t="shared" si="3"/>
        <v>2898.3009999999995</v>
      </c>
      <c r="E38" s="1622">
        <f t="shared" si="3"/>
        <v>2498.0360000000005</v>
      </c>
      <c r="F38" s="1622">
        <f t="shared" si="3"/>
        <v>2437.9749999999999</v>
      </c>
      <c r="G38" s="1622">
        <f t="shared" si="3"/>
        <v>2725.6799999999994</v>
      </c>
    </row>
    <row r="39" spans="1:16" x14ac:dyDescent="0.3">
      <c r="A39" s="211" t="s">
        <v>1767</v>
      </c>
      <c r="B39" s="1622">
        <f>AVERAGE(B38:C38)</f>
        <v>3758.0615000000003</v>
      </c>
      <c r="C39" s="1622">
        <f t="shared" ref="C39:F39" si="4">AVERAGE(C38:D38)</f>
        <v>3025.7954999999997</v>
      </c>
      <c r="D39" s="1622">
        <f t="shared" si="4"/>
        <v>2698.1684999999998</v>
      </c>
      <c r="E39" s="1622">
        <f t="shared" si="4"/>
        <v>2468.0055000000002</v>
      </c>
      <c r="F39" s="1622">
        <f t="shared" si="4"/>
        <v>2581.8274999999994</v>
      </c>
      <c r="G39" s="1622">
        <f>AVERAGE(G38:G38)</f>
        <v>2725.6799999999994</v>
      </c>
      <c r="K39" s="211" t="s">
        <v>176</v>
      </c>
    </row>
    <row r="40" spans="1:16" x14ac:dyDescent="0.3">
      <c r="B40" s="1622"/>
      <c r="C40" s="1622"/>
      <c r="D40" s="1622"/>
      <c r="E40" s="1622"/>
      <c r="F40" s="1622"/>
      <c r="G40" s="1622"/>
    </row>
    <row r="41" spans="1:16" x14ac:dyDescent="0.3">
      <c r="B41" s="1622"/>
      <c r="C41" s="1622"/>
      <c r="D41" s="1622"/>
      <c r="E41" s="1622"/>
      <c r="F41" s="1622"/>
      <c r="G41" s="1622"/>
    </row>
    <row r="42" spans="1:16" x14ac:dyDescent="0.3">
      <c r="B42" s="1622"/>
      <c r="C42" s="1622"/>
      <c r="D42" s="1622"/>
      <c r="E42" s="1622"/>
      <c r="F42" s="1622"/>
      <c r="G42" s="1622"/>
      <c r="J42" s="459" t="s">
        <v>1994</v>
      </c>
    </row>
    <row r="43" spans="1:16" x14ac:dyDescent="0.3">
      <c r="B43" s="1622"/>
      <c r="C43" s="1622"/>
      <c r="D43" s="1622"/>
      <c r="E43" s="1622"/>
      <c r="F43" s="1622"/>
      <c r="G43" s="1622"/>
      <c r="J43" s="152" t="s">
        <v>1995</v>
      </c>
    </row>
    <row r="44" spans="1:16" ht="6" customHeight="1" thickBot="1" x14ac:dyDescent="0.35">
      <c r="B44" s="1622"/>
      <c r="C44" s="1622"/>
      <c r="D44" s="1622"/>
      <c r="E44" s="1622"/>
      <c r="F44" s="1622"/>
      <c r="G44" s="1622"/>
      <c r="H44" s="211" t="s">
        <v>176</v>
      </c>
      <c r="I44" s="1622"/>
    </row>
    <row r="45" spans="1:16" ht="18.600000000000001" x14ac:dyDescent="0.3">
      <c r="B45" s="1622"/>
      <c r="C45" s="1622"/>
      <c r="D45" s="1622"/>
      <c r="E45" s="1622"/>
      <c r="F45" s="1622"/>
      <c r="G45" s="1622"/>
      <c r="I45" s="1622"/>
      <c r="J45" s="212" t="s">
        <v>1250</v>
      </c>
      <c r="K45" s="501" t="s">
        <v>688</v>
      </c>
      <c r="L45" s="2749" t="s">
        <v>1996</v>
      </c>
    </row>
    <row r="46" spans="1:16" x14ac:dyDescent="0.3">
      <c r="B46" s="1622"/>
      <c r="C46" s="1622"/>
      <c r="D46" s="1622"/>
      <c r="E46" s="1622"/>
      <c r="F46" s="1622"/>
      <c r="G46" s="1622"/>
      <c r="I46" s="1622"/>
      <c r="J46" s="214" t="s">
        <v>23</v>
      </c>
      <c r="K46" s="1339">
        <v>12600</v>
      </c>
      <c r="L46" s="2684">
        <f>K46/K46</f>
        <v>1</v>
      </c>
      <c r="N46" s="211">
        <f>(K49/SUM(K46:K48))</f>
        <v>1</v>
      </c>
    </row>
    <row r="47" spans="1:16" x14ac:dyDescent="0.3">
      <c r="B47" s="1622"/>
      <c r="C47" s="1622"/>
      <c r="D47" s="1622"/>
      <c r="E47" s="1622"/>
      <c r="F47" s="1622"/>
      <c r="G47" s="1622"/>
      <c r="I47" s="1622"/>
      <c r="J47" s="214" t="s">
        <v>631</v>
      </c>
      <c r="K47" s="1344">
        <v>8000</v>
      </c>
      <c r="L47" s="2684">
        <f>K46/K47</f>
        <v>1.575</v>
      </c>
      <c r="N47" s="1329">
        <f>K49/(K48+K47)</f>
        <v>1.7636363636363637</v>
      </c>
    </row>
    <row r="48" spans="1:16" x14ac:dyDescent="0.3">
      <c r="B48" s="1622"/>
      <c r="C48" s="1622"/>
      <c r="D48" s="1622"/>
      <c r="E48" s="1622"/>
      <c r="F48" s="1622"/>
      <c r="G48" s="1622"/>
      <c r="I48" s="1622"/>
      <c r="J48" s="214" t="s">
        <v>95</v>
      </c>
      <c r="K48" s="1344">
        <v>8500</v>
      </c>
      <c r="L48" s="2684">
        <f>(K46+K47)/K48</f>
        <v>2.4235294117647057</v>
      </c>
      <c r="N48" s="1329">
        <f>K49/K48</f>
        <v>3.4235294117647057</v>
      </c>
      <c r="P48" s="211" t="s">
        <v>176</v>
      </c>
    </row>
    <row r="49" spans="2:14" x14ac:dyDescent="0.3">
      <c r="I49" s="403"/>
      <c r="J49" s="214" t="s">
        <v>257</v>
      </c>
      <c r="K49" s="1343">
        <f>SUM(K46:K48)</f>
        <v>29100</v>
      </c>
      <c r="L49" s="2750"/>
    </row>
    <row r="50" spans="2:14" ht="4.5" customHeight="1" x14ac:dyDescent="0.3">
      <c r="I50" s="403"/>
      <c r="J50" s="214"/>
      <c r="K50" s="1339"/>
      <c r="L50" s="2750"/>
    </row>
    <row r="51" spans="2:14" ht="4.5" customHeight="1" x14ac:dyDescent="0.3">
      <c r="I51" s="403"/>
      <c r="J51" s="1155"/>
      <c r="K51" s="1629"/>
      <c r="L51" s="2751"/>
    </row>
    <row r="52" spans="2:14" ht="4.5" customHeight="1" x14ac:dyDescent="0.3">
      <c r="B52" s="1379"/>
      <c r="C52" s="1379"/>
      <c r="D52" s="1379"/>
      <c r="E52" s="1379"/>
      <c r="F52" s="1379"/>
      <c r="G52" s="1379"/>
      <c r="J52" s="214"/>
      <c r="K52" s="220"/>
      <c r="L52" s="2750"/>
    </row>
    <row r="53" spans="2:14" x14ac:dyDescent="0.3">
      <c r="B53" s="1379"/>
      <c r="C53" s="1379"/>
      <c r="D53" s="1379"/>
      <c r="E53" s="1379"/>
      <c r="F53" s="1379"/>
      <c r="G53" s="1379"/>
      <c r="J53" s="214" t="s">
        <v>1998</v>
      </c>
      <c r="K53" s="220"/>
      <c r="L53" s="2750"/>
    </row>
    <row r="54" spans="2:14" x14ac:dyDescent="0.3">
      <c r="B54" s="1379"/>
      <c r="C54" s="1379"/>
      <c r="D54" s="1379"/>
      <c r="E54" s="1379"/>
      <c r="F54" s="1379"/>
      <c r="G54" s="1379"/>
      <c r="J54" s="214" t="s">
        <v>1999</v>
      </c>
      <c r="K54" s="1339">
        <f>0.5*K48+K47</f>
        <v>12250</v>
      </c>
      <c r="L54" s="2750">
        <f>(L48*4250/K54)+(L47*K47/K54)</f>
        <v>1.8693877551020406</v>
      </c>
      <c r="N54" s="211">
        <f>K49/K54</f>
        <v>2.3755102040816327</v>
      </c>
    </row>
    <row r="55" spans="2:14" ht="4.5" customHeight="1" x14ac:dyDescent="0.3">
      <c r="I55" s="403"/>
      <c r="J55" s="214"/>
      <c r="K55" s="1339"/>
      <c r="L55" s="223"/>
    </row>
    <row r="56" spans="2:14" ht="4.5" customHeight="1" x14ac:dyDescent="0.3">
      <c r="I56" s="403"/>
      <c r="J56" s="1155"/>
      <c r="K56" s="1629"/>
      <c r="L56" s="1279"/>
    </row>
    <row r="57" spans="2:14" ht="4.5" customHeight="1" x14ac:dyDescent="0.3">
      <c r="B57" s="1379"/>
      <c r="C57" s="1379"/>
      <c r="D57" s="1379"/>
      <c r="E57" s="1379"/>
      <c r="F57" s="1379"/>
      <c r="G57" s="1379"/>
      <c r="J57" s="214"/>
      <c r="K57" s="220"/>
      <c r="L57" s="223"/>
    </row>
    <row r="58" spans="2:14" x14ac:dyDescent="0.3">
      <c r="B58" s="1379"/>
      <c r="C58" s="1379"/>
      <c r="D58" s="1379"/>
      <c r="E58" s="1379"/>
      <c r="F58" s="1379"/>
      <c r="G58" s="1379"/>
      <c r="J58" s="214" t="s">
        <v>1405</v>
      </c>
      <c r="K58" s="220"/>
      <c r="L58" s="223"/>
    </row>
    <row r="59" spans="2:14" ht="33.75" customHeight="1" thickBot="1" x14ac:dyDescent="0.35">
      <c r="B59" s="403"/>
      <c r="C59" s="403"/>
      <c r="D59" s="403"/>
      <c r="E59" s="403"/>
      <c r="F59" s="403"/>
      <c r="G59" s="348"/>
      <c r="J59" s="2802" t="s">
        <v>2495</v>
      </c>
      <c r="K59" s="2803"/>
      <c r="L59" s="2804"/>
      <c r="N59" s="211">
        <f>K54</f>
        <v>12250</v>
      </c>
    </row>
    <row r="60" spans="2:14" ht="34.200000000000003" customHeight="1" x14ac:dyDescent="0.3">
      <c r="B60" s="403"/>
      <c r="C60" s="403"/>
      <c r="D60" s="403"/>
      <c r="E60" s="403"/>
      <c r="F60" s="403"/>
      <c r="J60" s="2805" t="s">
        <v>1997</v>
      </c>
      <c r="K60" s="2805"/>
      <c r="L60" s="2805"/>
    </row>
    <row r="62" spans="2:14" x14ac:dyDescent="0.3">
      <c r="B62" s="226"/>
      <c r="C62" s="226"/>
      <c r="D62" s="226"/>
      <c r="E62" s="226"/>
      <c r="F62" s="226"/>
    </row>
    <row r="63" spans="2:14" x14ac:dyDescent="0.3">
      <c r="B63" s="1379"/>
      <c r="C63" s="1379"/>
      <c r="D63" s="1379"/>
      <c r="E63" s="1379"/>
      <c r="F63" s="1379"/>
      <c r="G63" s="1379"/>
    </row>
    <row r="64" spans="2:14" x14ac:dyDescent="0.3">
      <c r="B64" s="1622"/>
      <c r="C64" s="1622"/>
      <c r="D64" s="1622"/>
      <c r="E64" s="1622"/>
      <c r="F64" s="1622"/>
      <c r="G64" s="227"/>
    </row>
    <row r="65" spans="2:19" x14ac:dyDescent="0.3">
      <c r="B65" s="226"/>
      <c r="C65" s="226"/>
      <c r="D65" s="226"/>
      <c r="E65" s="226"/>
      <c r="F65" s="226"/>
    </row>
    <row r="66" spans="2:19" x14ac:dyDescent="0.3">
      <c r="Q66" s="211" t="s">
        <v>2000</v>
      </c>
      <c r="R66" s="211">
        <v>425</v>
      </c>
    </row>
    <row r="67" spans="2:19" x14ac:dyDescent="0.3">
      <c r="B67" s="226"/>
      <c r="C67" s="226"/>
      <c r="D67" s="226"/>
      <c r="E67" s="226"/>
      <c r="F67" s="226"/>
      <c r="Q67" s="211" t="s">
        <v>2001</v>
      </c>
      <c r="R67" s="211">
        <v>425</v>
      </c>
    </row>
    <row r="68" spans="2:19" x14ac:dyDescent="0.3">
      <c r="Q68" s="211" t="s">
        <v>2002</v>
      </c>
      <c r="R68" s="211">
        <v>46</v>
      </c>
    </row>
    <row r="69" spans="2:19" x14ac:dyDescent="0.3">
      <c r="Q69" s="211" t="s">
        <v>2003</v>
      </c>
      <c r="R69" s="211">
        <v>39.6</v>
      </c>
    </row>
    <row r="70" spans="2:19" x14ac:dyDescent="0.3">
      <c r="R70" s="211">
        <f>SUM(R66:R69)</f>
        <v>935.6</v>
      </c>
    </row>
    <row r="72" spans="2:19" x14ac:dyDescent="0.3">
      <c r="Q72" s="211" t="s">
        <v>2004</v>
      </c>
      <c r="R72" s="211">
        <f>R66+R68</f>
        <v>471</v>
      </c>
      <c r="S72" s="211">
        <f>R72/R70</f>
        <v>0.50342026507054294</v>
      </c>
    </row>
    <row r="75" spans="2:19" ht="9" customHeight="1" x14ac:dyDescent="0.3"/>
  </sheetData>
  <mergeCells count="4">
    <mergeCell ref="A30:F30"/>
    <mergeCell ref="A31:F31"/>
    <mergeCell ref="J59:L59"/>
    <mergeCell ref="J60:L60"/>
  </mergeCells>
  <pageMargins left="0.7" right="0.7" top="0.75" bottom="0.75" header="0.3" footer="0.3"/>
  <pageSetup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709C-05C3-434C-BC59-AFFD36C24DF7}">
  <sheetPr>
    <tabColor theme="4"/>
  </sheetPr>
  <dimension ref="A1:I21"/>
  <sheetViews>
    <sheetView workbookViewId="0">
      <selection activeCell="F24" sqref="F24"/>
    </sheetView>
  </sheetViews>
  <sheetFormatPr defaultColWidth="9.109375" defaultRowHeight="15.6" x14ac:dyDescent="0.3"/>
  <cols>
    <col min="1" max="2" width="14.5546875" style="211" customWidth="1"/>
    <col min="3" max="4" width="9.5546875" style="211" bestFit="1" customWidth="1"/>
    <col min="5" max="5" width="11.109375" style="211" bestFit="1" customWidth="1"/>
    <col min="6" max="6" width="11.44140625" style="211" customWidth="1"/>
    <col min="7" max="7" width="12.109375" style="211" bestFit="1" customWidth="1"/>
    <col min="8" max="8" width="14.5546875" style="211" bestFit="1" customWidth="1"/>
    <col min="9" max="9" width="15.88671875" style="211" customWidth="1"/>
    <col min="10" max="16384" width="9.109375" style="211"/>
  </cols>
  <sheetData>
    <row r="1" spans="1:9" x14ac:dyDescent="0.3">
      <c r="A1" s="459" t="s">
        <v>1863</v>
      </c>
      <c r="B1" s="459"/>
    </row>
    <row r="2" spans="1:9" x14ac:dyDescent="0.3">
      <c r="A2" s="152" t="s">
        <v>2229</v>
      </c>
      <c r="B2" s="152"/>
    </row>
    <row r="3" spans="1:9" ht="8.25" customHeight="1" x14ac:dyDescent="0.3"/>
    <row r="4" spans="1:9" x14ac:dyDescent="0.3">
      <c r="A4" s="211" t="s">
        <v>2231</v>
      </c>
    </row>
    <row r="5" spans="1:9" x14ac:dyDescent="0.3">
      <c r="C5" s="1620"/>
    </row>
    <row r="6" spans="1:9" s="1497" customFormat="1" ht="46.8" x14ac:dyDescent="0.3">
      <c r="A6" s="1497" t="s">
        <v>156</v>
      </c>
      <c r="B6" s="1497" t="s">
        <v>2230</v>
      </c>
      <c r="C6" s="1497" t="s">
        <v>2232</v>
      </c>
      <c r="D6" s="1497" t="s">
        <v>2233</v>
      </c>
      <c r="E6" s="1497" t="s">
        <v>2005</v>
      </c>
      <c r="F6" s="1497" t="s">
        <v>2234</v>
      </c>
      <c r="G6" s="1497" t="s">
        <v>2235</v>
      </c>
      <c r="H6" s="1497" t="s">
        <v>2236</v>
      </c>
      <c r="I6" s="1497" t="s">
        <v>2237</v>
      </c>
    </row>
    <row r="7" spans="1:9" x14ac:dyDescent="0.3">
      <c r="A7" s="211">
        <v>1</v>
      </c>
      <c r="B7" s="545">
        <v>77000</v>
      </c>
      <c r="C7" s="226">
        <v>-0.03</v>
      </c>
      <c r="D7" s="230">
        <f>B7*C7</f>
        <v>-2310</v>
      </c>
      <c r="E7" s="545">
        <f>B7+D7</f>
        <v>74690</v>
      </c>
      <c r="F7" s="545">
        <f t="shared" ref="F7:F21" si="0">E7-$B$7</f>
        <v>-2310</v>
      </c>
      <c r="G7" s="226">
        <v>0.03</v>
      </c>
      <c r="H7" s="348">
        <f>G7*B7</f>
        <v>2310</v>
      </c>
      <c r="I7" s="348">
        <f>SUM($H$7:H7)</f>
        <v>2310</v>
      </c>
    </row>
    <row r="8" spans="1:9" x14ac:dyDescent="0.3">
      <c r="A8" s="211">
        <v>2</v>
      </c>
      <c r="B8" s="545">
        <f>E7</f>
        <v>74690</v>
      </c>
      <c r="C8" s="226">
        <v>-0.03</v>
      </c>
      <c r="D8" s="230">
        <f t="shared" ref="D8:D20" si="1">B8*C8</f>
        <v>-2240.6999999999998</v>
      </c>
      <c r="E8" s="545">
        <f>B8+D8</f>
        <v>72449.3</v>
      </c>
      <c r="F8" s="545">
        <f t="shared" si="0"/>
        <v>-4550.6999999999971</v>
      </c>
      <c r="G8" s="226">
        <v>0.03</v>
      </c>
      <c r="H8" s="348">
        <f t="shared" ref="H8:H21" si="2">G8*B8</f>
        <v>2240.6999999999998</v>
      </c>
      <c r="I8" s="348">
        <f>SUM($H$7:H8)</f>
        <v>4550.7</v>
      </c>
    </row>
    <row r="9" spans="1:9" x14ac:dyDescent="0.3">
      <c r="A9" s="211">
        <v>3</v>
      </c>
      <c r="B9" s="545">
        <f t="shared" ref="B9:B20" si="3">E8</f>
        <v>72449.3</v>
      </c>
      <c r="C9" s="226">
        <v>-0.03</v>
      </c>
      <c r="D9" s="230">
        <f t="shared" si="1"/>
        <v>-2173.4789999999998</v>
      </c>
      <c r="E9" s="545">
        <f t="shared" ref="E9:E20" si="4">B9+D9</f>
        <v>70275.820999999996</v>
      </c>
      <c r="F9" s="545">
        <f t="shared" si="0"/>
        <v>-6724.1790000000037</v>
      </c>
      <c r="G9" s="226">
        <v>0.03</v>
      </c>
      <c r="H9" s="348">
        <f t="shared" si="2"/>
        <v>2173.4789999999998</v>
      </c>
      <c r="I9" s="348">
        <f>SUM($H$7:H9)</f>
        <v>6724.1790000000001</v>
      </c>
    </row>
    <row r="10" spans="1:9" x14ac:dyDescent="0.3">
      <c r="A10" s="211">
        <v>4</v>
      </c>
      <c r="B10" s="545">
        <f t="shared" si="3"/>
        <v>70275.820999999996</v>
      </c>
      <c r="C10" s="226">
        <v>-0.03</v>
      </c>
      <c r="D10" s="230">
        <f t="shared" si="1"/>
        <v>-2108.2746299999999</v>
      </c>
      <c r="E10" s="545">
        <f t="shared" si="4"/>
        <v>68167.546369999996</v>
      </c>
      <c r="F10" s="545">
        <f t="shared" si="0"/>
        <v>-8832.4536300000036</v>
      </c>
      <c r="G10" s="226">
        <v>0.03</v>
      </c>
      <c r="H10" s="348">
        <f t="shared" si="2"/>
        <v>2108.2746299999999</v>
      </c>
      <c r="I10" s="348">
        <f>SUM($H$7:H10)</f>
        <v>8832.45363</v>
      </c>
    </row>
    <row r="11" spans="1:9" x14ac:dyDescent="0.3">
      <c r="A11" s="211">
        <v>5</v>
      </c>
      <c r="B11" s="545">
        <f t="shared" si="3"/>
        <v>68167.546369999996</v>
      </c>
      <c r="C11" s="226">
        <v>-0.03</v>
      </c>
      <c r="D11" s="230">
        <f t="shared" si="1"/>
        <v>-2045.0263910999997</v>
      </c>
      <c r="E11" s="545">
        <f t="shared" si="4"/>
        <v>66122.519978900003</v>
      </c>
      <c r="F11" s="545">
        <f t="shared" si="0"/>
        <v>-10877.480021099997</v>
      </c>
      <c r="G11" s="226">
        <v>0.03</v>
      </c>
      <c r="H11" s="348">
        <f t="shared" si="2"/>
        <v>2045.0263910999997</v>
      </c>
      <c r="I11" s="348">
        <f>SUM($H$7:H11)</f>
        <v>10877.4800211</v>
      </c>
    </row>
    <row r="12" spans="1:9" x14ac:dyDescent="0.3">
      <c r="A12" s="211">
        <v>6</v>
      </c>
      <c r="B12" s="545">
        <f t="shared" si="3"/>
        <v>66122.519978900003</v>
      </c>
      <c r="C12" s="226">
        <v>-0.03</v>
      </c>
      <c r="D12" s="230">
        <f t="shared" si="1"/>
        <v>-1983.6755993670001</v>
      </c>
      <c r="E12" s="545">
        <f t="shared" si="4"/>
        <v>64138.844379533002</v>
      </c>
      <c r="F12" s="545">
        <f t="shared" si="0"/>
        <v>-12861.155620466998</v>
      </c>
      <c r="G12" s="226">
        <v>0.03</v>
      </c>
      <c r="H12" s="348">
        <f t="shared" si="2"/>
        <v>1983.6755993670001</v>
      </c>
      <c r="I12" s="348">
        <f>SUM($H$7:H12)</f>
        <v>12861.155620467</v>
      </c>
    </row>
    <row r="13" spans="1:9" x14ac:dyDescent="0.3">
      <c r="A13" s="211">
        <v>7</v>
      </c>
      <c r="B13" s="545">
        <f t="shared" si="3"/>
        <v>64138.844379533002</v>
      </c>
      <c r="C13" s="226">
        <v>-0.03</v>
      </c>
      <c r="D13" s="230">
        <f t="shared" si="1"/>
        <v>-1924.1653313859899</v>
      </c>
      <c r="E13" s="545">
        <f t="shared" si="4"/>
        <v>62214.679048147009</v>
      </c>
      <c r="F13" s="545">
        <f t="shared" si="0"/>
        <v>-14785.320951852991</v>
      </c>
      <c r="G13" s="226">
        <v>0.03</v>
      </c>
      <c r="H13" s="348">
        <f t="shared" si="2"/>
        <v>1924.1653313859899</v>
      </c>
      <c r="I13" s="348">
        <f>SUM($H$7:H13)</f>
        <v>14785.320951852989</v>
      </c>
    </row>
    <row r="14" spans="1:9" x14ac:dyDescent="0.3">
      <c r="A14" s="211">
        <v>8</v>
      </c>
      <c r="B14" s="545">
        <f t="shared" si="3"/>
        <v>62214.679048147009</v>
      </c>
      <c r="C14" s="226">
        <v>-0.03</v>
      </c>
      <c r="D14" s="230">
        <f t="shared" si="1"/>
        <v>-1866.4403714444102</v>
      </c>
      <c r="E14" s="545">
        <f t="shared" si="4"/>
        <v>60348.238676702596</v>
      </c>
      <c r="F14" s="545">
        <f t="shared" si="0"/>
        <v>-16651.761323297404</v>
      </c>
      <c r="G14" s="226">
        <v>0.03</v>
      </c>
      <c r="H14" s="348">
        <f t="shared" si="2"/>
        <v>1866.4403714444102</v>
      </c>
      <c r="I14" s="348">
        <f>SUM($H$7:H14)</f>
        <v>16651.7613232974</v>
      </c>
    </row>
    <row r="15" spans="1:9" x14ac:dyDescent="0.3">
      <c r="A15" s="211">
        <v>9</v>
      </c>
      <c r="B15" s="545">
        <f t="shared" si="3"/>
        <v>60348.238676702596</v>
      </c>
      <c r="C15" s="226">
        <v>-0.03</v>
      </c>
      <c r="D15" s="230">
        <f t="shared" si="1"/>
        <v>-1810.4471603010779</v>
      </c>
      <c r="E15" s="545">
        <f t="shared" si="4"/>
        <v>58537.791516401521</v>
      </c>
      <c r="F15" s="545">
        <f t="shared" si="0"/>
        <v>-18462.208483598479</v>
      </c>
      <c r="G15" s="226">
        <v>0.03</v>
      </c>
      <c r="H15" s="348">
        <f t="shared" si="2"/>
        <v>1810.4471603010779</v>
      </c>
      <c r="I15" s="348">
        <f>SUM($H$7:H15)</f>
        <v>18462.208483598479</v>
      </c>
    </row>
    <row r="16" spans="1:9" x14ac:dyDescent="0.3">
      <c r="A16" s="211">
        <v>10</v>
      </c>
      <c r="B16" s="545">
        <f t="shared" si="3"/>
        <v>58537.791516401521</v>
      </c>
      <c r="C16" s="226">
        <v>-0.03</v>
      </c>
      <c r="D16" s="230">
        <f t="shared" si="1"/>
        <v>-1756.1337454920456</v>
      </c>
      <c r="E16" s="545">
        <f t="shared" si="4"/>
        <v>56781.657770909478</v>
      </c>
      <c r="F16" s="545">
        <f t="shared" si="0"/>
        <v>-20218.342229090522</v>
      </c>
      <c r="G16" s="226">
        <v>0.03</v>
      </c>
      <c r="H16" s="348">
        <f t="shared" si="2"/>
        <v>1756.1337454920456</v>
      </c>
      <c r="I16" s="348">
        <f>SUM($H$7:H16)</f>
        <v>20218.342229090526</v>
      </c>
    </row>
    <row r="17" spans="1:9" x14ac:dyDescent="0.3">
      <c r="A17" s="211">
        <v>11</v>
      </c>
      <c r="B17" s="545">
        <f t="shared" si="3"/>
        <v>56781.657770909478</v>
      </c>
      <c r="C17" s="226">
        <v>-0.03</v>
      </c>
      <c r="D17" s="230">
        <f t="shared" si="1"/>
        <v>-1703.4497331272844</v>
      </c>
      <c r="E17" s="545">
        <f t="shared" si="4"/>
        <v>55078.208037782191</v>
      </c>
      <c r="F17" s="545">
        <f t="shared" si="0"/>
        <v>-21921.791962217809</v>
      </c>
      <c r="G17" s="226">
        <v>0.03</v>
      </c>
      <c r="H17" s="348">
        <f t="shared" si="2"/>
        <v>1703.4497331272844</v>
      </c>
      <c r="I17" s="348">
        <f>SUM($H$7:H17)</f>
        <v>21921.791962217809</v>
      </c>
    </row>
    <row r="18" spans="1:9" x14ac:dyDescent="0.3">
      <c r="A18" s="211">
        <v>12</v>
      </c>
      <c r="B18" s="545">
        <f t="shared" si="3"/>
        <v>55078.208037782191</v>
      </c>
      <c r="C18" s="226">
        <v>-0.03</v>
      </c>
      <c r="D18" s="230">
        <f t="shared" si="1"/>
        <v>-1652.3462411334656</v>
      </c>
      <c r="E18" s="545">
        <f t="shared" si="4"/>
        <v>53425.861796648729</v>
      </c>
      <c r="F18" s="545">
        <f t="shared" si="0"/>
        <v>-23574.138203351271</v>
      </c>
      <c r="G18" s="226">
        <v>0.03</v>
      </c>
      <c r="H18" s="348">
        <f t="shared" si="2"/>
        <v>1652.3462411334656</v>
      </c>
      <c r="I18" s="348">
        <f>SUM($H$7:H18)</f>
        <v>23574.138203351275</v>
      </c>
    </row>
    <row r="19" spans="1:9" x14ac:dyDescent="0.3">
      <c r="A19" s="211">
        <v>13</v>
      </c>
      <c r="B19" s="545">
        <f t="shared" si="3"/>
        <v>53425.861796648729</v>
      </c>
      <c r="C19" s="226">
        <v>-0.03</v>
      </c>
      <c r="D19" s="230">
        <f t="shared" si="1"/>
        <v>-1602.7758538994617</v>
      </c>
      <c r="E19" s="545">
        <f t="shared" si="4"/>
        <v>51823.085942749269</v>
      </c>
      <c r="F19" s="545">
        <f t="shared" si="0"/>
        <v>-25176.914057250731</v>
      </c>
      <c r="G19" s="226">
        <v>0.03</v>
      </c>
      <c r="H19" s="348">
        <f t="shared" si="2"/>
        <v>1602.7758538994617</v>
      </c>
      <c r="I19" s="348">
        <f>SUM($H$7:H19)</f>
        <v>25176.914057250735</v>
      </c>
    </row>
    <row r="20" spans="1:9" x14ac:dyDescent="0.3">
      <c r="A20" s="211">
        <v>14</v>
      </c>
      <c r="B20" s="545">
        <f t="shared" si="3"/>
        <v>51823.085942749269</v>
      </c>
      <c r="C20" s="226">
        <v>-0.03</v>
      </c>
      <c r="D20" s="230">
        <f t="shared" si="1"/>
        <v>-1554.6925782824781</v>
      </c>
      <c r="E20" s="545">
        <f t="shared" si="4"/>
        <v>50268.393364466792</v>
      </c>
      <c r="F20" s="545">
        <f t="shared" si="0"/>
        <v>-26731.606635533208</v>
      </c>
      <c r="G20" s="226">
        <v>0.03</v>
      </c>
      <c r="H20" s="348">
        <f t="shared" si="2"/>
        <v>1554.6925782824781</v>
      </c>
      <c r="I20" s="348">
        <f>SUM($H$7:H20)</f>
        <v>26731.606635533211</v>
      </c>
    </row>
    <row r="21" spans="1:9" x14ac:dyDescent="0.3">
      <c r="A21" s="211">
        <v>15</v>
      </c>
      <c r="B21" s="545">
        <f t="shared" ref="B21" si="5">E20</f>
        <v>50268.393364466792</v>
      </c>
      <c r="C21" s="226">
        <v>-0.03</v>
      </c>
      <c r="D21" s="230">
        <f t="shared" ref="D21" si="6">B21*C21</f>
        <v>-1508.0518009340037</v>
      </c>
      <c r="E21" s="545">
        <f t="shared" ref="E21" si="7">B21+D21</f>
        <v>48760.341563532791</v>
      </c>
      <c r="F21" s="545">
        <f t="shared" si="0"/>
        <v>-28239.658436467209</v>
      </c>
      <c r="G21" s="226">
        <v>0.03</v>
      </c>
      <c r="H21" s="348">
        <f t="shared" si="2"/>
        <v>1508.0518009340037</v>
      </c>
      <c r="I21" s="348">
        <f>SUM($H$7:H21)</f>
        <v>28239.658436467216</v>
      </c>
    </row>
  </sheetData>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EF77-ECBA-413A-8BEF-8E98AFC790FB}">
  <sheetPr>
    <tabColor theme="4"/>
  </sheetPr>
  <dimension ref="A1:V32"/>
  <sheetViews>
    <sheetView showGridLines="0" zoomScale="85" zoomScaleNormal="85" workbookViewId="0">
      <selection activeCell="I34" sqref="I34"/>
    </sheetView>
  </sheetViews>
  <sheetFormatPr defaultColWidth="9.109375" defaultRowHeight="15.6" x14ac:dyDescent="0.3"/>
  <cols>
    <col min="1" max="1" width="18.44140625" style="211" customWidth="1"/>
    <col min="2" max="8" width="9.109375" style="211"/>
    <col min="9" max="9" width="41.6640625" style="211" customWidth="1"/>
    <col min="10" max="10" width="3.5546875" style="211" customWidth="1"/>
    <col min="11" max="11" width="43.6640625" style="211" customWidth="1"/>
    <col min="12" max="16" width="9.109375" style="211"/>
    <col min="17" max="17" width="10.33203125" style="211" customWidth="1"/>
    <col min="18" max="16384" width="9.109375" style="211"/>
  </cols>
  <sheetData>
    <row r="1" spans="1:11" x14ac:dyDescent="0.3">
      <c r="A1" s="459" t="s">
        <v>1863</v>
      </c>
    </row>
    <row r="2" spans="1:11" x14ac:dyDescent="0.3">
      <c r="A2" s="152" t="s">
        <v>3261</v>
      </c>
    </row>
    <row r="3" spans="1:11" ht="8.25" customHeight="1" thickBot="1" x14ac:dyDescent="0.35"/>
    <row r="4" spans="1:11" x14ac:dyDescent="0.3">
      <c r="A4" s="212" t="s">
        <v>1250</v>
      </c>
      <c r="B4" s="712">
        <v>2013</v>
      </c>
      <c r="C4" s="712">
        <v>2012</v>
      </c>
      <c r="D4" s="712">
        <v>2011</v>
      </c>
      <c r="E4" s="712">
        <v>2010</v>
      </c>
      <c r="F4" s="713">
        <v>2009</v>
      </c>
    </row>
    <row r="5" spans="1:11" x14ac:dyDescent="0.3">
      <c r="A5" s="214" t="s">
        <v>2015</v>
      </c>
      <c r="B5" s="1303">
        <v>6020</v>
      </c>
      <c r="C5" s="1303">
        <v>7280</v>
      </c>
      <c r="D5" s="1303">
        <v>7825</v>
      </c>
      <c r="E5" s="1303">
        <v>8426</v>
      </c>
      <c r="F5" s="1422">
        <v>8082</v>
      </c>
    </row>
    <row r="6" spans="1:11" x14ac:dyDescent="0.3">
      <c r="A6" s="214" t="s">
        <v>5</v>
      </c>
      <c r="B6" s="1224">
        <v>6625</v>
      </c>
      <c r="C6" s="1224">
        <v>5338</v>
      </c>
      <c r="D6" s="1224">
        <v>4241</v>
      </c>
      <c r="E6" s="1224">
        <v>2673</v>
      </c>
      <c r="F6" s="927">
        <v>3018</v>
      </c>
      <c r="J6" s="211" t="s">
        <v>176</v>
      </c>
    </row>
    <row r="7" spans="1:11" ht="16.2" thickBot="1" x14ac:dyDescent="0.35">
      <c r="A7" s="224" t="s">
        <v>2009</v>
      </c>
      <c r="B7" s="2551">
        <f>B5-B6</f>
        <v>-605</v>
      </c>
      <c r="C7" s="2551">
        <f>C5-C6</f>
        <v>1942</v>
      </c>
      <c r="D7" s="2551">
        <f>D5-D6</f>
        <v>3584</v>
      </c>
      <c r="E7" s="2551">
        <f>E5-E6</f>
        <v>5753</v>
      </c>
      <c r="F7" s="2550">
        <f>F5-F6</f>
        <v>5064</v>
      </c>
    </row>
    <row r="8" spans="1:11" x14ac:dyDescent="0.3">
      <c r="A8" s="2805" t="s">
        <v>3260</v>
      </c>
      <c r="B8" s="2805"/>
      <c r="C8" s="2805"/>
      <c r="D8" s="2805"/>
      <c r="E8" s="2805"/>
      <c r="F8" s="2805"/>
    </row>
    <row r="9" spans="1:11" x14ac:dyDescent="0.3">
      <c r="A9" s="2805"/>
      <c r="B9" s="2805"/>
      <c r="C9" s="2805"/>
      <c r="D9" s="2805"/>
      <c r="E9" s="2805"/>
      <c r="F9" s="2805"/>
    </row>
    <row r="13" spans="1:11" x14ac:dyDescent="0.3">
      <c r="I13" s="459" t="s">
        <v>1863</v>
      </c>
    </row>
    <row r="14" spans="1:11" x14ac:dyDescent="0.3">
      <c r="I14" s="152" t="s">
        <v>3259</v>
      </c>
    </row>
    <row r="15" spans="1:11" ht="8.25" customHeight="1" thickBot="1" x14ac:dyDescent="0.35"/>
    <row r="16" spans="1:11" x14ac:dyDescent="0.3">
      <c r="I16" s="225" t="s">
        <v>1161</v>
      </c>
      <c r="J16" s="359"/>
      <c r="K16" s="360" t="s">
        <v>3176</v>
      </c>
    </row>
    <row r="17" spans="9:22" ht="31.2" x14ac:dyDescent="0.3">
      <c r="I17" s="2501" t="s">
        <v>3258</v>
      </c>
      <c r="J17" s="2545"/>
      <c r="K17" s="2502" t="s">
        <v>3257</v>
      </c>
    </row>
    <row r="18" spans="9:22" ht="4.5" customHeight="1" x14ac:dyDescent="0.3">
      <c r="I18" s="2546"/>
      <c r="J18" s="2545"/>
      <c r="K18" s="2544"/>
    </row>
    <row r="19" spans="9:22" ht="4.5" customHeight="1" x14ac:dyDescent="0.3">
      <c r="I19" s="2549"/>
      <c r="J19" s="2548"/>
      <c r="K19" s="2547"/>
    </row>
    <row r="20" spans="9:22" ht="4.5" customHeight="1" x14ac:dyDescent="0.3">
      <c r="I20" s="2546"/>
      <c r="J20" s="2545"/>
      <c r="K20" s="2544"/>
    </row>
    <row r="21" spans="9:22" ht="33.75" customHeight="1" x14ac:dyDescent="0.3">
      <c r="I21" s="2501" t="s">
        <v>3256</v>
      </c>
      <c r="J21" s="2545"/>
      <c r="K21" s="2502" t="s">
        <v>3255</v>
      </c>
    </row>
    <row r="22" spans="9:22" ht="4.5" customHeight="1" x14ac:dyDescent="0.3">
      <c r="I22" s="2546"/>
      <c r="J22" s="2545"/>
      <c r="K22" s="2544"/>
    </row>
    <row r="23" spans="9:22" ht="4.5" customHeight="1" x14ac:dyDescent="0.3">
      <c r="I23" s="2549"/>
      <c r="J23" s="2548"/>
      <c r="K23" s="2547"/>
    </row>
    <row r="24" spans="9:22" ht="4.5" customHeight="1" x14ac:dyDescent="0.3">
      <c r="I24" s="2546"/>
      <c r="J24" s="2545"/>
      <c r="K24" s="2544"/>
    </row>
    <row r="25" spans="9:22" ht="51" customHeight="1" thickBot="1" x14ac:dyDescent="0.35">
      <c r="I25" s="2506" t="s">
        <v>3254</v>
      </c>
      <c r="J25" s="2543"/>
      <c r="K25" s="2507" t="s">
        <v>3253</v>
      </c>
    </row>
    <row r="26" spans="9:22" x14ac:dyDescent="0.3">
      <c r="I26" s="12" t="s">
        <v>3252</v>
      </c>
    </row>
    <row r="28" spans="9:22" x14ac:dyDescent="0.3">
      <c r="O28" s="459" t="s">
        <v>1863</v>
      </c>
    </row>
    <row r="29" spans="9:22" x14ac:dyDescent="0.3">
      <c r="O29" s="152" t="s">
        <v>3251</v>
      </c>
    </row>
    <row r="30" spans="9:22" x14ac:dyDescent="0.3">
      <c r="R30" s="211">
        <v>2013</v>
      </c>
      <c r="S30" s="211">
        <v>2012</v>
      </c>
      <c r="T30" s="211">
        <v>2011</v>
      </c>
      <c r="U30" s="211">
        <v>2010</v>
      </c>
      <c r="V30" s="211">
        <v>2009</v>
      </c>
    </row>
    <row r="31" spans="9:22" x14ac:dyDescent="0.3">
      <c r="O31" s="211" t="s">
        <v>3250</v>
      </c>
      <c r="R31" s="227">
        <v>6.7000000000000004E-2</v>
      </c>
      <c r="S31" s="227">
        <v>6.6000000000000003E-2</v>
      </c>
      <c r="T31" s="227">
        <v>6.6000000000000003E-2</v>
      </c>
      <c r="U31" s="227">
        <v>6.9000000000000006E-2</v>
      </c>
      <c r="V31" s="227">
        <v>6.9000000000000006E-2</v>
      </c>
    </row>
    <row r="32" spans="9:22" x14ac:dyDescent="0.3">
      <c r="I32" s="211" t="s">
        <v>176</v>
      </c>
    </row>
  </sheetData>
  <mergeCells count="1">
    <mergeCell ref="A8:F9"/>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7E10B-6B6F-474C-BC2D-029C6E8E04DF}">
  <sheetPr>
    <tabColor theme="4"/>
  </sheetPr>
  <dimension ref="A1:P64"/>
  <sheetViews>
    <sheetView showGridLines="0" zoomScale="115" zoomScaleNormal="115" workbookViewId="0">
      <selection activeCell="H25" sqref="H25"/>
    </sheetView>
  </sheetViews>
  <sheetFormatPr defaultColWidth="9.109375" defaultRowHeight="15.6" outlineLevelRow="1" x14ac:dyDescent="0.3"/>
  <cols>
    <col min="1" max="1" width="32.5546875" style="211" customWidth="1"/>
    <col min="2" max="6" width="9.109375" style="211" bestFit="1" customWidth="1"/>
    <col min="7" max="7" width="7.88671875" style="211" customWidth="1"/>
    <col min="8" max="10" width="9.109375" style="211"/>
    <col min="11" max="11" width="27.33203125" style="211" customWidth="1"/>
    <col min="12" max="12" width="23.33203125" style="211" bestFit="1" customWidth="1"/>
    <col min="13" max="15" width="9.109375" style="211"/>
    <col min="16" max="16" width="10.109375" style="211" bestFit="1" customWidth="1"/>
    <col min="17" max="16384" width="9.109375" style="211"/>
  </cols>
  <sheetData>
    <row r="1" spans="1:16" s="309" customFormat="1" x14ac:dyDescent="0.3">
      <c r="A1" s="309" t="s">
        <v>556</v>
      </c>
      <c r="B1" s="309">
        <v>2013</v>
      </c>
      <c r="C1" s="309">
        <v>2013</v>
      </c>
      <c r="D1" s="309">
        <v>2013</v>
      </c>
      <c r="E1" s="309">
        <v>2012</v>
      </c>
      <c r="F1" s="309">
        <v>2011</v>
      </c>
    </row>
    <row r="2" spans="1:16" x14ac:dyDescent="0.3">
      <c r="A2" s="459" t="s">
        <v>1863</v>
      </c>
    </row>
    <row r="3" spans="1:16" x14ac:dyDescent="0.3">
      <c r="A3" s="152" t="s">
        <v>1992</v>
      </c>
    </row>
    <row r="4" spans="1:16" ht="7.2" customHeight="1" thickBot="1" x14ac:dyDescent="0.35"/>
    <row r="5" spans="1:16" x14ac:dyDescent="0.3">
      <c r="A5" s="212" t="s">
        <v>1250</v>
      </c>
      <c r="B5" s="712">
        <v>2013</v>
      </c>
      <c r="C5" s="712">
        <v>2012</v>
      </c>
      <c r="D5" s="712">
        <v>2011</v>
      </c>
      <c r="E5" s="712">
        <v>2010</v>
      </c>
      <c r="F5" s="713">
        <v>2009</v>
      </c>
      <c r="H5" s="211" t="s">
        <v>2016</v>
      </c>
      <c r="I5" s="211" t="s">
        <v>2017</v>
      </c>
    </row>
    <row r="6" spans="1:16" x14ac:dyDescent="0.3">
      <c r="A6" s="214" t="s">
        <v>289</v>
      </c>
      <c r="B6" s="1339">
        <f>C6-I6+H6</f>
        <v>2929.5819999999999</v>
      </c>
      <c r="C6" s="1339">
        <v>2979.1770000000001</v>
      </c>
      <c r="D6" s="1339">
        <v>2943.3069999999998</v>
      </c>
      <c r="E6" s="1339">
        <v>3280.2220000000002</v>
      </c>
      <c r="F6" s="1340">
        <v>3585.7979999999998</v>
      </c>
      <c r="G6" s="1339"/>
      <c r="H6" s="211">
        <v>2329.011</v>
      </c>
      <c r="I6" s="211">
        <v>2378.6060000000002</v>
      </c>
    </row>
    <row r="7" spans="1:16" x14ac:dyDescent="0.3">
      <c r="A7" s="214" t="s">
        <v>1703</v>
      </c>
      <c r="B7" s="1341">
        <f>B6/B36</f>
        <v>0.34038564689849615</v>
      </c>
      <c r="C7" s="1341">
        <f>C6/C36</f>
        <v>0.34766008845492247</v>
      </c>
      <c r="D7" s="1341">
        <f>D6/D36</f>
        <v>0.34252676809545246</v>
      </c>
      <c r="E7" s="1341">
        <f>E6/E36</f>
        <v>0.37937849632753506</v>
      </c>
      <c r="F7" s="1342">
        <f>F6/F36</f>
        <v>0.42014804198342603</v>
      </c>
      <c r="G7" s="1341"/>
    </row>
    <row r="8" spans="1:16" hidden="1" outlineLevel="1" x14ac:dyDescent="0.3">
      <c r="A8" s="214" t="s">
        <v>1987</v>
      </c>
      <c r="B8" s="521">
        <f>C8-I8+H8</f>
        <v>732.83400000000006</v>
      </c>
      <c r="C8" s="521">
        <v>785.06299999999999</v>
      </c>
      <c r="D8" s="521">
        <v>610.66499999999996</v>
      </c>
      <c r="E8" s="521">
        <v>644.43499999999995</v>
      </c>
      <c r="F8" s="1624">
        <v>564.08299999999997</v>
      </c>
      <c r="G8" s="1380"/>
      <c r="H8" s="211">
        <v>636.31500000000005</v>
      </c>
      <c r="I8" s="211">
        <v>688.54399999999998</v>
      </c>
    </row>
    <row r="9" spans="1:16" collapsed="1" x14ac:dyDescent="0.3">
      <c r="A9" s="214" t="s">
        <v>1993</v>
      </c>
      <c r="B9" s="917">
        <f t="shared" ref="B9:F9" si="0">B8/B6</f>
        <v>0.25014968005674532</v>
      </c>
      <c r="C9" s="917">
        <f>C8/C6</f>
        <v>0.26351673633355788</v>
      </c>
      <c r="D9" s="917">
        <f t="shared" si="0"/>
        <v>0.20747580867371293</v>
      </c>
      <c r="E9" s="917">
        <f t="shared" si="0"/>
        <v>0.19646078832469263</v>
      </c>
      <c r="F9" s="918">
        <f t="shared" si="0"/>
        <v>0.15731031140069798</v>
      </c>
      <c r="G9" s="464"/>
      <c r="H9" s="464" t="s">
        <v>176</v>
      </c>
    </row>
    <row r="10" spans="1:16" x14ac:dyDescent="0.3">
      <c r="A10" s="734" t="s">
        <v>1563</v>
      </c>
      <c r="B10" s="827">
        <f t="shared" ref="B10:F10" si="1">B9*B7</f>
        <v>8.514736066756709E-2</v>
      </c>
      <c r="C10" s="827">
        <f t="shared" si="1"/>
        <v>9.1614251863077215E-2</v>
      </c>
      <c r="D10" s="827">
        <f t="shared" si="1"/>
        <v>7.1066018202997336E-2</v>
      </c>
      <c r="E10" s="827">
        <f t="shared" si="1"/>
        <v>7.4532998461944042E-2</v>
      </c>
      <c r="F10" s="890">
        <f t="shared" si="1"/>
        <v>6.6093619318806279E-2</v>
      </c>
      <c r="G10" s="827"/>
    </row>
    <row r="11" spans="1:16" ht="4.5" customHeight="1" x14ac:dyDescent="0.3">
      <c r="A11" s="734"/>
      <c r="B11" s="401"/>
      <c r="C11" s="401"/>
      <c r="D11" s="401"/>
      <c r="E11" s="401"/>
      <c r="F11" s="2752"/>
      <c r="G11" s="397"/>
    </row>
    <row r="12" spans="1:16" ht="4.5" customHeight="1" x14ac:dyDescent="0.3">
      <c r="A12" s="734"/>
      <c r="B12" s="397"/>
      <c r="C12" s="397"/>
      <c r="D12" s="397"/>
      <c r="E12" s="397"/>
      <c r="F12" s="1281"/>
      <c r="G12" s="397"/>
    </row>
    <row r="13" spans="1:16" ht="4.5" customHeight="1" x14ac:dyDescent="0.3">
      <c r="A13" s="734"/>
      <c r="B13" s="397"/>
      <c r="C13" s="397"/>
      <c r="D13" s="397"/>
      <c r="E13" s="397"/>
      <c r="F13" s="1281"/>
      <c r="G13" s="397"/>
    </row>
    <row r="14" spans="1:16" x14ac:dyDescent="0.3">
      <c r="A14" s="734" t="s">
        <v>1730</v>
      </c>
      <c r="B14" s="1339">
        <v>5596</v>
      </c>
      <c r="C14" s="397"/>
      <c r="D14" s="397"/>
      <c r="E14" s="397"/>
      <c r="F14" s="1281"/>
      <c r="G14" s="397"/>
      <c r="P14" s="1329"/>
    </row>
    <row r="15" spans="1:16" x14ac:dyDescent="0.3">
      <c r="A15" s="734" t="s">
        <v>1731</v>
      </c>
      <c r="B15" s="1344">
        <f>B33</f>
        <v>4921.2660000000005</v>
      </c>
      <c r="C15" s="397"/>
      <c r="D15" s="397"/>
      <c r="E15" s="397"/>
      <c r="F15" s="1281"/>
      <c r="G15" s="397"/>
      <c r="H15" s="211" t="s">
        <v>176</v>
      </c>
      <c r="N15" s="1619"/>
    </row>
    <row r="16" spans="1:16" x14ac:dyDescent="0.3">
      <c r="A16" s="734" t="s">
        <v>1708</v>
      </c>
      <c r="B16" s="1343">
        <f>B14+B15</f>
        <v>10517.266</v>
      </c>
      <c r="C16" s="397"/>
      <c r="D16" s="397"/>
      <c r="E16" s="397"/>
      <c r="F16" s="1281"/>
      <c r="G16" s="397"/>
      <c r="P16" s="1329"/>
    </row>
    <row r="17" spans="1:16" ht="4.5" customHeight="1" x14ac:dyDescent="0.3">
      <c r="A17" s="734"/>
      <c r="B17" s="397"/>
      <c r="C17" s="397"/>
      <c r="D17" s="397"/>
      <c r="E17" s="397"/>
      <c r="F17" s="1281"/>
      <c r="G17" s="397"/>
    </row>
    <row r="18" spans="1:16" ht="4.5" customHeight="1" x14ac:dyDescent="0.3">
      <c r="A18" s="734"/>
      <c r="B18" s="397"/>
      <c r="C18" s="397"/>
      <c r="D18" s="397"/>
      <c r="E18" s="397"/>
      <c r="F18" s="1281"/>
      <c r="G18" s="397"/>
    </row>
    <row r="19" spans="1:16" ht="4.5" customHeight="1" x14ac:dyDescent="0.3">
      <c r="A19" s="734"/>
      <c r="B19" s="397"/>
      <c r="C19" s="397"/>
      <c r="D19" s="397"/>
      <c r="E19" s="397"/>
      <c r="F19" s="1281"/>
      <c r="G19" s="397"/>
    </row>
    <row r="20" spans="1:16" x14ac:dyDescent="0.3">
      <c r="A20" s="734" t="s">
        <v>1705</v>
      </c>
      <c r="B20" s="2694">
        <f>B16/B36</f>
        <v>1.2219922128868757</v>
      </c>
      <c r="C20" s="397"/>
      <c r="D20" s="397"/>
      <c r="E20" s="397"/>
      <c r="F20" s="1281"/>
      <c r="G20" s="397"/>
      <c r="L20" s="1621"/>
      <c r="P20" s="1620"/>
    </row>
    <row r="21" spans="1:16" x14ac:dyDescent="0.3">
      <c r="A21" s="734" t="s">
        <v>1989</v>
      </c>
      <c r="B21" s="827">
        <f>B10/B20</f>
        <v>6.9679135242942419E-2</v>
      </c>
      <c r="C21" s="397"/>
      <c r="D21" s="397"/>
      <c r="E21" s="397"/>
      <c r="F21" s="1281"/>
      <c r="G21" s="220"/>
      <c r="P21" s="1329"/>
    </row>
    <row r="22" spans="1:16" ht="4.5" customHeight="1" x14ac:dyDescent="0.3">
      <c r="A22" s="734"/>
      <c r="B22" s="397"/>
      <c r="C22" s="397"/>
      <c r="D22" s="397"/>
      <c r="E22" s="397"/>
      <c r="F22" s="1281"/>
      <c r="G22" s="397"/>
    </row>
    <row r="23" spans="1:16" ht="4.5" customHeight="1" x14ac:dyDescent="0.3">
      <c r="A23" s="734"/>
      <c r="B23" s="397"/>
      <c r="C23" s="397"/>
      <c r="D23" s="397"/>
      <c r="E23" s="397"/>
      <c r="F23" s="1281"/>
      <c r="G23" s="397"/>
    </row>
    <row r="24" spans="1:16" ht="4.5" customHeight="1" x14ac:dyDescent="0.3">
      <c r="A24" s="734"/>
      <c r="B24" s="397"/>
      <c r="C24" s="397"/>
      <c r="D24" s="397"/>
      <c r="E24" s="397"/>
      <c r="F24" s="1281"/>
      <c r="G24" s="397"/>
    </row>
    <row r="25" spans="1:16" ht="31.5" customHeight="1" x14ac:dyDescent="0.3">
      <c r="A25" s="2939" t="s">
        <v>2238</v>
      </c>
      <c r="B25" s="2940"/>
      <c r="C25" s="2940"/>
      <c r="D25" s="2940"/>
      <c r="E25" s="2940"/>
      <c r="F25" s="2941"/>
      <c r="G25" s="397"/>
    </row>
    <row r="26" spans="1:16" ht="0.75" customHeight="1" x14ac:dyDescent="0.3">
      <c r="A26" s="734"/>
      <c r="B26" s="397"/>
      <c r="C26" s="397"/>
      <c r="D26" s="397"/>
      <c r="E26" s="397"/>
      <c r="F26" s="1281"/>
      <c r="G26" s="397"/>
    </row>
    <row r="27" spans="1:16" ht="0.75" customHeight="1" thickBot="1" x14ac:dyDescent="0.35">
      <c r="A27" s="2918"/>
      <c r="B27" s="2919"/>
      <c r="C27" s="2919"/>
      <c r="D27" s="2919"/>
      <c r="E27" s="2919"/>
      <c r="F27" s="2920"/>
      <c r="G27" s="220"/>
      <c r="J27" s="152"/>
    </row>
    <row r="28" spans="1:16" ht="30.75" customHeight="1" x14ac:dyDescent="0.3">
      <c r="A28" s="2936" t="s">
        <v>2239</v>
      </c>
      <c r="B28" s="2936"/>
      <c r="C28" s="2936"/>
      <c r="D28" s="2936"/>
      <c r="E28" s="2936"/>
      <c r="F28" s="2936"/>
      <c r="G28" s="397"/>
    </row>
    <row r="29" spans="1:16" ht="30.75" customHeight="1" x14ac:dyDescent="0.3">
      <c r="A29" s="1625"/>
      <c r="B29" s="1625"/>
      <c r="C29" s="1625"/>
      <c r="D29" s="1625"/>
      <c r="E29" s="1625"/>
      <c r="F29" s="1625"/>
      <c r="G29" s="397"/>
    </row>
    <row r="30" spans="1:16" x14ac:dyDescent="0.3">
      <c r="D30" s="1626"/>
      <c r="E30" s="1626"/>
      <c r="F30" s="1626"/>
      <c r="G30" s="1626"/>
    </row>
    <row r="31" spans="1:16" x14ac:dyDescent="0.3">
      <c r="B31" s="1332">
        <f>B5</f>
        <v>2013</v>
      </c>
      <c r="C31" s="1332">
        <f>C5</f>
        <v>2012</v>
      </c>
      <c r="D31" s="1332">
        <f>D5</f>
        <v>2011</v>
      </c>
      <c r="E31" s="1332">
        <f>E5</f>
        <v>2010</v>
      </c>
      <c r="F31" s="1332">
        <f>F5</f>
        <v>2009</v>
      </c>
      <c r="G31" s="1332">
        <v>2008</v>
      </c>
    </row>
    <row r="32" spans="1:16" x14ac:dyDescent="0.3">
      <c r="A32" s="211" t="s">
        <v>1766</v>
      </c>
      <c r="B32" s="1622">
        <v>3708.5929999999998</v>
      </c>
      <c r="C32" s="1622">
        <v>3557.3710000000001</v>
      </c>
      <c r="D32" s="1622">
        <v>3406.0790000000002</v>
      </c>
      <c r="E32" s="1622">
        <v>3350.8180000000002</v>
      </c>
      <c r="F32" s="1622">
        <v>3223.922</v>
      </c>
      <c r="G32" s="1622">
        <v>3131.1860000000001</v>
      </c>
    </row>
    <row r="33" spans="1:9" x14ac:dyDescent="0.3">
      <c r="A33" s="211" t="s">
        <v>23</v>
      </c>
      <c r="B33" s="1622">
        <f>4791.809+129.457</f>
        <v>4921.2660000000005</v>
      </c>
      <c r="C33" s="1622">
        <f>4669.798+356.283</f>
        <v>5026.0810000000001</v>
      </c>
      <c r="D33" s="1622">
        <f>5008.931+139.985</f>
        <v>5148.9159999999993</v>
      </c>
      <c r="E33" s="1622">
        <f>4924.109+355.929</f>
        <v>5280.0380000000005</v>
      </c>
      <c r="F33" s="1622">
        <f>5303.357+134.474</f>
        <v>5437.8310000000001</v>
      </c>
      <c r="G33" s="1622">
        <f>5266.982+9.291</f>
        <v>5276.2730000000001</v>
      </c>
    </row>
    <row r="34" spans="1:9" x14ac:dyDescent="0.3">
      <c r="A34" s="211" t="s">
        <v>1980</v>
      </c>
      <c r="B34" s="1622"/>
      <c r="C34" s="1622"/>
      <c r="D34" s="1622"/>
      <c r="E34" s="1622"/>
      <c r="F34" s="1622"/>
      <c r="G34" s="1622"/>
    </row>
    <row r="35" spans="1:9" x14ac:dyDescent="0.3">
      <c r="A35" s="211" t="s">
        <v>257</v>
      </c>
      <c r="B35" s="1622">
        <f>B32+B33+B34</f>
        <v>8629.8590000000004</v>
      </c>
      <c r="C35" s="1622">
        <f t="shared" ref="C35:G35" si="2">C32+C33+C34</f>
        <v>8583.4520000000011</v>
      </c>
      <c r="D35" s="1622">
        <f t="shared" si="2"/>
        <v>8554.994999999999</v>
      </c>
      <c r="E35" s="1622">
        <f t="shared" si="2"/>
        <v>8630.8559999999998</v>
      </c>
      <c r="F35" s="1622">
        <f t="shared" si="2"/>
        <v>8661.7530000000006</v>
      </c>
      <c r="G35" s="1622">
        <f t="shared" si="2"/>
        <v>8407.4590000000007</v>
      </c>
    </row>
    <row r="36" spans="1:9" x14ac:dyDescent="0.3">
      <c r="A36" s="211" t="s">
        <v>1767</v>
      </c>
      <c r="B36" s="1622">
        <f>AVERAGE(B35:C35)</f>
        <v>8606.6555000000008</v>
      </c>
      <c r="C36" s="1622">
        <f t="shared" ref="C36:F36" si="3">AVERAGE(C35:D35)</f>
        <v>8569.2235000000001</v>
      </c>
      <c r="D36" s="1622">
        <f t="shared" si="3"/>
        <v>8592.9254999999994</v>
      </c>
      <c r="E36" s="1622">
        <f t="shared" si="3"/>
        <v>8646.3045000000002</v>
      </c>
      <c r="F36" s="1622">
        <f t="shared" si="3"/>
        <v>8534.6059999999998</v>
      </c>
      <c r="G36" s="1622">
        <f>AVERAGE(G35:G35)</f>
        <v>8407.4590000000007</v>
      </c>
    </row>
    <row r="37" spans="1:9" x14ac:dyDescent="0.3">
      <c r="B37" s="1622"/>
      <c r="C37" s="1622"/>
      <c r="D37" s="1622"/>
      <c r="E37" s="1622"/>
      <c r="F37" s="1622"/>
      <c r="G37" s="1622"/>
    </row>
    <row r="38" spans="1:9" x14ac:dyDescent="0.3">
      <c r="B38" s="1622"/>
      <c r="C38" s="1622"/>
      <c r="D38" s="1622"/>
      <c r="E38" s="1622"/>
      <c r="F38" s="1622"/>
      <c r="G38" s="1622"/>
    </row>
    <row r="39" spans="1:9" x14ac:dyDescent="0.3">
      <c r="B39" s="1622"/>
      <c r="C39" s="1622"/>
      <c r="D39" s="1622"/>
      <c r="E39" s="1622"/>
      <c r="F39" s="1622"/>
      <c r="G39" s="1622"/>
    </row>
    <row r="40" spans="1:9" x14ac:dyDescent="0.3">
      <c r="B40" s="1622"/>
      <c r="C40" s="1622"/>
      <c r="D40" s="1622"/>
      <c r="E40" s="1622"/>
      <c r="F40" s="1622"/>
      <c r="G40" s="1622"/>
    </row>
    <row r="41" spans="1:9" x14ac:dyDescent="0.3">
      <c r="B41" s="1622"/>
      <c r="C41" s="1622"/>
      <c r="D41" s="1622"/>
      <c r="E41" s="1622"/>
      <c r="F41" s="1622"/>
      <c r="G41" s="1622"/>
      <c r="H41" s="211" t="s">
        <v>176</v>
      </c>
      <c r="I41" s="1622"/>
    </row>
    <row r="42" spans="1:9" x14ac:dyDescent="0.3">
      <c r="B42" s="1622"/>
      <c r="C42" s="1622"/>
      <c r="D42" s="1622"/>
      <c r="E42" s="1622"/>
      <c r="F42" s="1622"/>
      <c r="G42" s="1622"/>
      <c r="I42" s="1622"/>
    </row>
    <row r="43" spans="1:9" x14ac:dyDescent="0.3">
      <c r="B43" s="1622"/>
      <c r="C43" s="1622"/>
      <c r="D43" s="1622"/>
      <c r="E43" s="1622"/>
      <c r="F43" s="1622"/>
      <c r="G43" s="1622"/>
      <c r="I43" s="1622"/>
    </row>
    <row r="44" spans="1:9" x14ac:dyDescent="0.3">
      <c r="B44" s="1622"/>
      <c r="C44" s="1622"/>
      <c r="D44" s="1622"/>
      <c r="E44" s="1622"/>
      <c r="F44" s="1622"/>
      <c r="G44" s="1622"/>
      <c r="I44" s="1622"/>
    </row>
    <row r="45" spans="1:9" x14ac:dyDescent="0.3">
      <c r="B45" s="1622"/>
      <c r="C45" s="1622"/>
      <c r="D45" s="1622"/>
      <c r="E45" s="1622"/>
      <c r="F45" s="1622"/>
      <c r="G45" s="1622"/>
      <c r="I45" s="1622"/>
    </row>
    <row r="46" spans="1:9" x14ac:dyDescent="0.3">
      <c r="I46" s="403"/>
    </row>
    <row r="47" spans="1:9" x14ac:dyDescent="0.3">
      <c r="B47" s="1379"/>
      <c r="C47" s="1379"/>
      <c r="D47" s="1379"/>
      <c r="E47" s="1379"/>
      <c r="F47" s="1379"/>
      <c r="G47" s="1379"/>
    </row>
    <row r="48" spans="1:9" x14ac:dyDescent="0.3">
      <c r="B48" s="403"/>
      <c r="C48" s="403"/>
      <c r="D48" s="403"/>
      <c r="E48" s="403"/>
      <c r="F48" s="403"/>
      <c r="G48" s="348"/>
    </row>
    <row r="49" spans="2:7" x14ac:dyDescent="0.3">
      <c r="B49" s="403"/>
      <c r="C49" s="403"/>
      <c r="D49" s="403"/>
      <c r="E49" s="403"/>
      <c r="F49" s="403"/>
    </row>
    <row r="51" spans="2:7" x14ac:dyDescent="0.3">
      <c r="B51" s="226"/>
      <c r="C51" s="226"/>
      <c r="D51" s="226"/>
      <c r="E51" s="226"/>
      <c r="F51" s="226"/>
    </row>
    <row r="52" spans="2:7" x14ac:dyDescent="0.3">
      <c r="B52" s="1379"/>
      <c r="C52" s="1379"/>
      <c r="D52" s="1379"/>
      <c r="E52" s="1379"/>
      <c r="F52" s="1379"/>
      <c r="G52" s="1379"/>
    </row>
    <row r="53" spans="2:7" x14ac:dyDescent="0.3">
      <c r="B53" s="1622"/>
      <c r="C53" s="1622"/>
      <c r="D53" s="1622"/>
      <c r="E53" s="1622"/>
      <c r="F53" s="1622"/>
      <c r="G53" s="227"/>
    </row>
    <row r="54" spans="2:7" x14ac:dyDescent="0.3">
      <c r="B54" s="226"/>
      <c r="C54" s="226"/>
      <c r="D54" s="226"/>
      <c r="E54" s="226"/>
      <c r="F54" s="226"/>
    </row>
    <row r="56" spans="2:7" x14ac:dyDescent="0.3">
      <c r="B56" s="226"/>
      <c r="C56" s="226"/>
      <c r="D56" s="226"/>
      <c r="E56" s="226"/>
      <c r="F56" s="226"/>
    </row>
    <row r="64" spans="2:7" ht="9" customHeight="1" x14ac:dyDescent="0.3"/>
  </sheetData>
  <mergeCells count="3">
    <mergeCell ref="A27:F27"/>
    <mergeCell ref="A28:F28"/>
    <mergeCell ref="A25:F25"/>
  </mergeCells>
  <pageMargins left="0.7" right="0.7" top="0.75" bottom="0.75" header="0.3" footer="0.3"/>
  <pageSetup orientation="portrait" r:id="rId1"/>
  <ignoredErrors>
    <ignoredError sqref="B7" formula="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28D5-599F-4FF6-A269-9116F61851A5}">
  <sheetPr>
    <tabColor theme="4"/>
  </sheetPr>
  <dimension ref="A1:B21"/>
  <sheetViews>
    <sheetView showGridLines="0" workbookViewId="0">
      <selection activeCell="H7" sqref="H7"/>
    </sheetView>
  </sheetViews>
  <sheetFormatPr defaultColWidth="9.109375" defaultRowHeight="15.6" x14ac:dyDescent="0.3"/>
  <cols>
    <col min="1" max="1" width="37.6640625" style="211" customWidth="1"/>
    <col min="2" max="2" width="13.33203125" style="211" bestFit="1" customWidth="1"/>
    <col min="3" max="16384" width="9.109375" style="211"/>
  </cols>
  <sheetData>
    <row r="1" spans="1:2" x14ac:dyDescent="0.3">
      <c r="A1" s="459" t="s">
        <v>1863</v>
      </c>
    </row>
    <row r="2" spans="1:2" x14ac:dyDescent="0.3">
      <c r="A2" s="152" t="s">
        <v>3273</v>
      </c>
    </row>
    <row r="3" spans="1:2" ht="8.25" customHeight="1" thickBot="1" x14ac:dyDescent="0.35"/>
    <row r="4" spans="1:2" x14ac:dyDescent="0.3">
      <c r="A4" s="212" t="s">
        <v>1250</v>
      </c>
      <c r="B4" s="389"/>
    </row>
    <row r="5" spans="1:2" x14ac:dyDescent="0.3">
      <c r="A5" s="214" t="s">
        <v>3272</v>
      </c>
      <c r="B5" s="2499">
        <v>500000000</v>
      </c>
    </row>
    <row r="6" spans="1:2" x14ac:dyDescent="0.3">
      <c r="A6" s="214" t="s">
        <v>3271</v>
      </c>
      <c r="B6" s="2553">
        <v>40</v>
      </c>
    </row>
    <row r="7" spans="1:2" x14ac:dyDescent="0.3">
      <c r="A7" s="214" t="s">
        <v>3270</v>
      </c>
      <c r="B7" s="2553">
        <v>60</v>
      </c>
    </row>
    <row r="8" spans="1:2" ht="4.5" customHeight="1" x14ac:dyDescent="0.3">
      <c r="A8" s="214"/>
      <c r="B8" s="2553"/>
    </row>
    <row r="9" spans="1:2" ht="4.5" customHeight="1" x14ac:dyDescent="0.3">
      <c r="A9" s="1155"/>
      <c r="B9" s="2552"/>
    </row>
    <row r="10" spans="1:2" ht="4.5" customHeight="1" x14ac:dyDescent="0.3">
      <c r="A10" s="214"/>
      <c r="B10" s="223"/>
    </row>
    <row r="11" spans="1:2" x14ac:dyDescent="0.3">
      <c r="A11" s="214" t="s">
        <v>3269</v>
      </c>
      <c r="B11" s="1325">
        <f>(B7-B6)*B5/1000000</f>
        <v>10000</v>
      </c>
    </row>
    <row r="12" spans="1:2" x14ac:dyDescent="0.3">
      <c r="A12" s="214"/>
      <c r="B12" s="1325"/>
    </row>
    <row r="13" spans="1:2" x14ac:dyDescent="0.3">
      <c r="A13" s="214" t="s">
        <v>3268</v>
      </c>
      <c r="B13" s="1624">
        <f>B5*B6/1000000</f>
        <v>20000</v>
      </c>
    </row>
    <row r="14" spans="1:2" x14ac:dyDescent="0.3">
      <c r="A14" s="214" t="s">
        <v>3267</v>
      </c>
      <c r="B14" s="1624">
        <f>0.35*B11</f>
        <v>3500</v>
      </c>
    </row>
    <row r="15" spans="1:2" x14ac:dyDescent="0.3">
      <c r="A15" s="214" t="s">
        <v>3266</v>
      </c>
      <c r="B15" s="2516">
        <f>B14+B13</f>
        <v>23500</v>
      </c>
    </row>
    <row r="16" spans="1:2" x14ac:dyDescent="0.3">
      <c r="A16" s="214"/>
      <c r="B16" s="223"/>
    </row>
    <row r="17" spans="1:2" x14ac:dyDescent="0.3">
      <c r="A17" s="214" t="s">
        <v>3265</v>
      </c>
      <c r="B17" s="2499">
        <f>B15/B7*1000000</f>
        <v>391666666.66666669</v>
      </c>
    </row>
    <row r="18" spans="1:2" x14ac:dyDescent="0.3">
      <c r="A18" s="214" t="s">
        <v>3264</v>
      </c>
      <c r="B18" s="1624">
        <f>B5-B17</f>
        <v>108333333.33333331</v>
      </c>
    </row>
    <row r="19" spans="1:2" x14ac:dyDescent="0.3">
      <c r="A19" s="214"/>
      <c r="B19" s="223"/>
    </row>
    <row r="20" spans="1:2" ht="16.2" thickBot="1" x14ac:dyDescent="0.35">
      <c r="A20" s="224" t="s">
        <v>3263</v>
      </c>
      <c r="B20" s="2457">
        <f>B18/4400000000</f>
        <v>2.4621212121212117E-2</v>
      </c>
    </row>
    <row r="21" spans="1:2" ht="31.5" customHeight="1" x14ac:dyDescent="0.3">
      <c r="A21" s="2810" t="s">
        <v>3262</v>
      </c>
      <c r="B21" s="2810"/>
    </row>
  </sheetData>
  <mergeCells count="1">
    <mergeCell ref="A21:B21"/>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9F5D-8E05-4D43-91B4-E60D03069502}">
  <sheetPr>
    <tabColor theme="4"/>
  </sheetPr>
  <dimension ref="A1:AP103"/>
  <sheetViews>
    <sheetView showGridLines="0" zoomScale="70" zoomScaleNormal="70" workbookViewId="0">
      <selection activeCell="AD88" sqref="AD88"/>
    </sheetView>
  </sheetViews>
  <sheetFormatPr defaultColWidth="9.109375" defaultRowHeight="13.8" outlineLevelRow="1" x14ac:dyDescent="0.25"/>
  <cols>
    <col min="1" max="1" width="50.44140625" style="1" customWidth="1"/>
    <col min="2" max="2" width="10.109375" style="1" bestFit="1" customWidth="1"/>
    <col min="3" max="3" width="0.88671875" style="1" customWidth="1"/>
    <col min="4" max="4" width="10.109375" style="1" bestFit="1" customWidth="1"/>
    <col min="5" max="5" width="1.44140625" style="1" customWidth="1"/>
    <col min="6" max="7" width="9.109375" style="1"/>
    <col min="8" max="8" width="33.5546875" style="1" customWidth="1"/>
    <col min="9" max="9" width="9.109375" style="1"/>
    <col min="10" max="10" width="11.44140625" style="1" customWidth="1"/>
    <col min="11" max="11" width="12.33203125" style="1" bestFit="1" customWidth="1"/>
    <col min="12" max="12" width="3" style="1" customWidth="1"/>
    <col min="13" max="13" width="13.33203125" style="1" bestFit="1" customWidth="1"/>
    <col min="14" max="14" width="9.109375" style="1"/>
    <col min="15" max="15" width="6.6640625" style="1" customWidth="1"/>
    <col min="16" max="19" width="9.109375" style="1"/>
    <col min="20" max="20" width="31.109375" style="1" customWidth="1"/>
    <col min="21" max="23" width="9.109375" style="1"/>
    <col min="24" max="24" width="2.33203125" style="1" customWidth="1"/>
    <col min="25" max="29" width="9.109375" style="1"/>
    <col min="30" max="30" width="38.109375" style="1" customWidth="1"/>
    <col min="31" max="35" width="9.109375" style="1"/>
    <col min="36" max="36" width="38.88671875" style="1" customWidth="1"/>
    <col min="37" max="37" width="14" style="1" customWidth="1"/>
    <col min="38" max="38" width="1.5546875" style="1" customWidth="1"/>
    <col min="39" max="39" width="14" style="1" customWidth="1"/>
    <col min="40" max="16384" width="9.109375" style="1"/>
  </cols>
  <sheetData>
    <row r="1" spans="1:5" ht="15.6" x14ac:dyDescent="0.3">
      <c r="A1" s="459" t="s">
        <v>1863</v>
      </c>
      <c r="B1" s="211"/>
      <c r="C1" s="211"/>
      <c r="D1" s="211"/>
      <c r="E1" s="211"/>
    </row>
    <row r="2" spans="1:5" ht="15.6" x14ac:dyDescent="0.3">
      <c r="A2" s="152" t="s">
        <v>1698</v>
      </c>
      <c r="B2" s="211"/>
      <c r="C2" s="211"/>
      <c r="D2" s="211"/>
      <c r="E2" s="211"/>
    </row>
    <row r="3" spans="1:5" ht="6" customHeight="1" thickBot="1" x14ac:dyDescent="0.35">
      <c r="A3" s="211"/>
      <c r="B3" s="211"/>
      <c r="C3" s="211"/>
      <c r="D3" s="211"/>
      <c r="E3" s="211"/>
    </row>
    <row r="4" spans="1:5" ht="15.6" x14ac:dyDescent="0.3">
      <c r="A4" s="212" t="s">
        <v>3190</v>
      </c>
      <c r="B4" s="712">
        <v>2014</v>
      </c>
      <c r="C4" s="712"/>
      <c r="D4" s="712">
        <v>2013</v>
      </c>
      <c r="E4" s="713"/>
    </row>
    <row r="5" spans="1:5" ht="15.6" x14ac:dyDescent="0.3">
      <c r="A5" s="214" t="s">
        <v>394</v>
      </c>
      <c r="B5" s="1316">
        <v>140123</v>
      </c>
      <c r="C5" s="1316"/>
      <c r="D5" s="1316">
        <v>129253</v>
      </c>
      <c r="E5" s="1161"/>
    </row>
    <row r="6" spans="1:5" ht="15.6" x14ac:dyDescent="0.3">
      <c r="A6" s="282" t="s">
        <v>1048</v>
      </c>
      <c r="B6" s="1319">
        <v>10847</v>
      </c>
      <c r="C6" s="1319"/>
      <c r="D6" s="1319">
        <v>9116</v>
      </c>
      <c r="E6" s="1320"/>
    </row>
    <row r="7" spans="1:5" ht="31.2" x14ac:dyDescent="0.3">
      <c r="A7" s="282" t="s">
        <v>1693</v>
      </c>
      <c r="B7" s="1317">
        <f>B5+(10*B6)</f>
        <v>248593</v>
      </c>
      <c r="C7" s="1317"/>
      <c r="D7" s="1317">
        <f>D5+(10*D6)</f>
        <v>220413</v>
      </c>
      <c r="E7" s="1318"/>
    </row>
    <row r="8" spans="1:5" ht="34.200000000000003" hidden="1" outlineLevel="1" x14ac:dyDescent="0.3">
      <c r="A8" s="1307" t="s">
        <v>1690</v>
      </c>
      <c r="B8" s="1305"/>
      <c r="C8" s="1305"/>
      <c r="D8" s="1305"/>
      <c r="E8" s="1309"/>
    </row>
    <row r="9" spans="1:5" ht="15.6" hidden="1" outlineLevel="1" x14ac:dyDescent="0.3">
      <c r="A9" s="1307" t="s">
        <v>941</v>
      </c>
      <c r="B9" s="1305"/>
      <c r="C9" s="1305"/>
      <c r="D9" s="1305"/>
      <c r="E9" s="1309"/>
    </row>
    <row r="10" spans="1:5" ht="15.6" hidden="1" outlineLevel="1" x14ac:dyDescent="0.3">
      <c r="A10" s="1307" t="s">
        <v>942</v>
      </c>
      <c r="B10" s="1310">
        <f>B7/D7-1</f>
        <v>0.12785089808677341</v>
      </c>
      <c r="C10" s="1310"/>
      <c r="D10" s="1310" t="e">
        <f>D7/E7-1</f>
        <v>#DIV/0!</v>
      </c>
      <c r="E10" s="1311"/>
    </row>
    <row r="11" spans="1:5" ht="15.6" hidden="1" outlineLevel="1" x14ac:dyDescent="0.3">
      <c r="A11" s="1307" t="s">
        <v>936</v>
      </c>
      <c r="B11" s="1308">
        <f>B17/B7</f>
        <v>0.90911650770536578</v>
      </c>
      <c r="C11" s="1308"/>
      <c r="D11" s="1308">
        <f>D17/D7</f>
        <v>0.80712117706305886</v>
      </c>
      <c r="E11" s="1312"/>
    </row>
    <row r="12" spans="1:5" ht="15.6" hidden="1" outlineLevel="1" x14ac:dyDescent="0.3">
      <c r="A12" s="214"/>
      <c r="B12" s="286"/>
      <c r="C12" s="286"/>
      <c r="D12" s="286"/>
      <c r="E12" s="1107"/>
    </row>
    <row r="13" spans="1:5" ht="15.6" hidden="1" outlineLevel="1" x14ac:dyDescent="0.3">
      <c r="A13" s="214"/>
      <c r="B13" s="211"/>
      <c r="C13" s="211"/>
      <c r="D13" s="211"/>
      <c r="E13" s="223"/>
    </row>
    <row r="14" spans="1:5" ht="4.5" customHeight="1" collapsed="1" x14ac:dyDescent="0.3">
      <c r="A14" s="214"/>
      <c r="B14" s="604"/>
      <c r="C14" s="604"/>
      <c r="D14" s="604"/>
      <c r="E14" s="461"/>
    </row>
    <row r="15" spans="1:5" ht="4.5" customHeight="1" x14ac:dyDescent="0.3">
      <c r="A15" s="1155"/>
      <c r="B15" s="1323"/>
      <c r="C15" s="1323"/>
      <c r="D15" s="1323"/>
      <c r="E15" s="1324"/>
    </row>
    <row r="16" spans="1:5" ht="4.5" customHeight="1" x14ac:dyDescent="0.3">
      <c r="A16" s="214"/>
      <c r="B16" s="604"/>
      <c r="C16" s="604"/>
      <c r="D16" s="604"/>
      <c r="E16" s="461"/>
    </row>
    <row r="17" spans="1:10" ht="15.6" x14ac:dyDescent="0.3">
      <c r="A17" s="214" t="s">
        <v>927</v>
      </c>
      <c r="B17" s="1317">
        <v>226000</v>
      </c>
      <c r="C17" s="1317"/>
      <c r="D17" s="1317">
        <v>177900</v>
      </c>
      <c r="E17" s="1318"/>
    </row>
    <row r="18" spans="1:10" ht="15.6" x14ac:dyDescent="0.3">
      <c r="A18" s="214" t="s">
        <v>1691</v>
      </c>
      <c r="B18" s="1317">
        <v>146186</v>
      </c>
      <c r="C18" s="1317"/>
      <c r="D18" s="1317">
        <v>134973</v>
      </c>
      <c r="E18" s="1318"/>
    </row>
    <row r="19" spans="1:10" ht="4.5" customHeight="1" collapsed="1" x14ac:dyDescent="0.3">
      <c r="A19" s="214"/>
      <c r="B19" s="604"/>
      <c r="C19" s="604"/>
      <c r="D19" s="604"/>
      <c r="E19" s="461"/>
    </row>
    <row r="20" spans="1:10" ht="4.5" customHeight="1" x14ac:dyDescent="0.3">
      <c r="A20" s="1155"/>
      <c r="B20" s="1323"/>
      <c r="C20" s="1323"/>
      <c r="D20" s="1323"/>
      <c r="E20" s="1324"/>
      <c r="H20" s="1" t="s">
        <v>176</v>
      </c>
    </row>
    <row r="21" spans="1:10" ht="4.5" customHeight="1" x14ac:dyDescent="0.3">
      <c r="A21" s="214"/>
      <c r="B21" s="604"/>
      <c r="C21" s="604"/>
      <c r="D21" s="604"/>
      <c r="E21" s="461"/>
    </row>
    <row r="22" spans="1:10" ht="15.6" x14ac:dyDescent="0.3">
      <c r="A22" s="214" t="s">
        <v>1694</v>
      </c>
      <c r="B22" s="2748">
        <f>B17/B7</f>
        <v>0.90911650770536578</v>
      </c>
      <c r="C22" s="2748"/>
      <c r="D22" s="2748">
        <f>D17/D7</f>
        <v>0.80712117706305886</v>
      </c>
      <c r="E22" s="349"/>
    </row>
    <row r="23" spans="1:10" ht="15.6" x14ac:dyDescent="0.3">
      <c r="A23" s="214" t="s">
        <v>1695</v>
      </c>
      <c r="B23" s="2748">
        <f>B17/B18</f>
        <v>1.5459756748252227</v>
      </c>
      <c r="C23" s="2748"/>
      <c r="D23" s="2748">
        <f>D17/D18</f>
        <v>1.3180413860549889</v>
      </c>
      <c r="E23" s="349"/>
    </row>
    <row r="24" spans="1:10" ht="15.6" x14ac:dyDescent="0.3">
      <c r="A24" s="214" t="s">
        <v>1696</v>
      </c>
      <c r="B24" s="2748">
        <f>B7/B18</f>
        <v>1.7005253581054274</v>
      </c>
      <c r="C24" s="2748"/>
      <c r="D24" s="2748">
        <f>D7/D18</f>
        <v>1.6330154919872863</v>
      </c>
      <c r="E24" s="349"/>
    </row>
    <row r="25" spans="1:10" ht="4.5" customHeight="1" collapsed="1" x14ac:dyDescent="0.3">
      <c r="A25" s="214"/>
      <c r="B25" s="604"/>
      <c r="C25" s="604"/>
      <c r="D25" s="604"/>
      <c r="E25" s="461"/>
    </row>
    <row r="26" spans="1:10" ht="4.5" customHeight="1" x14ac:dyDescent="0.3">
      <c r="A26" s="1155"/>
      <c r="B26" s="1323"/>
      <c r="C26" s="1323"/>
      <c r="D26" s="1323"/>
      <c r="E26" s="1324"/>
    </row>
    <row r="27" spans="1:10" ht="4.5" customHeight="1" x14ac:dyDescent="0.3">
      <c r="A27" s="214"/>
      <c r="B27" s="604"/>
      <c r="C27" s="604"/>
      <c r="D27" s="604"/>
      <c r="E27" s="461"/>
    </row>
    <row r="28" spans="1:10" ht="15.6" x14ac:dyDescent="0.3">
      <c r="A28" s="214" t="s">
        <v>937</v>
      </c>
      <c r="B28" s="226">
        <f>B7/D7-1</f>
        <v>0.12785089808677341</v>
      </c>
      <c r="C28" s="226"/>
      <c r="D28" s="2532"/>
      <c r="E28" s="461"/>
      <c r="J28" s="1" t="s">
        <v>176</v>
      </c>
    </row>
    <row r="29" spans="1:10" ht="16.2" thickBot="1" x14ac:dyDescent="0.35">
      <c r="A29" s="224" t="s">
        <v>928</v>
      </c>
      <c r="B29" s="1314">
        <f>B17/D17-1</f>
        <v>0.27037661607644736</v>
      </c>
      <c r="C29" s="1314"/>
      <c r="D29" s="2533"/>
      <c r="E29" s="1315"/>
    </row>
    <row r="30" spans="1:10" ht="26.25" customHeight="1" x14ac:dyDescent="0.25">
      <c r="A30" s="2811" t="s">
        <v>3191</v>
      </c>
      <c r="B30" s="2811"/>
      <c r="C30" s="2811"/>
      <c r="D30" s="2811"/>
      <c r="E30" s="2811"/>
    </row>
    <row r="31" spans="1:10" ht="4.2" customHeight="1" x14ac:dyDescent="0.25">
      <c r="A31" s="2805"/>
      <c r="B31" s="2805"/>
      <c r="C31" s="2805"/>
      <c r="D31" s="2805"/>
      <c r="E31" s="2805"/>
    </row>
    <row r="33" spans="1:27" ht="15.6" x14ac:dyDescent="0.3">
      <c r="H33" s="2513" t="s">
        <v>3192</v>
      </c>
      <c r="I33" s="2514"/>
      <c r="J33" s="2514"/>
      <c r="K33" s="211"/>
      <c r="L33" s="211"/>
      <c r="M33" s="211"/>
      <c r="N33" s="211"/>
    </row>
    <row r="34" spans="1:27" ht="15.6" x14ac:dyDescent="0.3">
      <c r="H34" s="152" t="s">
        <v>3193</v>
      </c>
      <c r="I34" s="211"/>
      <c r="J34" s="211"/>
      <c r="K34" s="211"/>
      <c r="L34" s="211"/>
      <c r="M34" s="211"/>
      <c r="N34" s="211"/>
    </row>
    <row r="35" spans="1:27" ht="9" customHeight="1" thickBot="1" x14ac:dyDescent="0.35">
      <c r="A35" s="1" t="s">
        <v>176</v>
      </c>
      <c r="H35" s="211"/>
      <c r="I35" s="211"/>
      <c r="J35" s="211"/>
      <c r="K35" s="211"/>
      <c r="L35" s="211"/>
      <c r="M35" s="211"/>
      <c r="N35" s="211"/>
    </row>
    <row r="36" spans="1:27" ht="15.6" x14ac:dyDescent="0.3">
      <c r="H36" s="453"/>
      <c r="I36" s="2937" t="s">
        <v>3194</v>
      </c>
      <c r="J36" s="2937"/>
      <c r="K36" s="2937"/>
      <c r="L36" s="522"/>
      <c r="M36" s="2937" t="s">
        <v>3195</v>
      </c>
      <c r="N36" s="2938"/>
      <c r="P36" s="1" t="s">
        <v>3196</v>
      </c>
    </row>
    <row r="37" spans="1:27" ht="15.6" x14ac:dyDescent="0.3">
      <c r="H37" s="221" t="s">
        <v>1250</v>
      </c>
      <c r="I37" s="1332">
        <v>2014</v>
      </c>
      <c r="J37" s="1332">
        <v>2013</v>
      </c>
      <c r="K37" s="1332">
        <v>2012</v>
      </c>
      <c r="L37" s="1332"/>
      <c r="M37" s="1332">
        <v>2013</v>
      </c>
      <c r="N37" s="1470">
        <v>2012</v>
      </c>
      <c r="P37" s="1">
        <v>2013</v>
      </c>
      <c r="Q37" s="1">
        <v>2012</v>
      </c>
    </row>
    <row r="38" spans="1:27" ht="15.6" x14ac:dyDescent="0.3">
      <c r="H38" s="214" t="s">
        <v>975</v>
      </c>
      <c r="I38" s="2168">
        <v>97689</v>
      </c>
      <c r="J38" s="2168">
        <v>93472</v>
      </c>
      <c r="K38" s="2168">
        <v>81432</v>
      </c>
      <c r="L38" s="2168"/>
      <c r="M38" s="2168">
        <v>95291</v>
      </c>
      <c r="N38" s="1325">
        <v>83255</v>
      </c>
      <c r="P38" s="1">
        <f t="shared" ref="P38:Q43" si="0">J38-M38</f>
        <v>-1819</v>
      </c>
      <c r="Q38" s="1">
        <f t="shared" si="0"/>
        <v>-1823</v>
      </c>
    </row>
    <row r="39" spans="1:27" ht="15.6" x14ac:dyDescent="0.3">
      <c r="H39" s="214" t="s">
        <v>976</v>
      </c>
      <c r="I39" s="1622">
        <v>90788</v>
      </c>
      <c r="J39" s="1622">
        <v>87208</v>
      </c>
      <c r="K39" s="1622">
        <v>75734</v>
      </c>
      <c r="L39" s="1622"/>
      <c r="M39" s="1622">
        <v>88414</v>
      </c>
      <c r="N39" s="1624">
        <v>76978</v>
      </c>
      <c r="P39" s="1">
        <f t="shared" si="0"/>
        <v>-1206</v>
      </c>
      <c r="Q39" s="1">
        <f t="shared" si="0"/>
        <v>-1244</v>
      </c>
    </row>
    <row r="40" spans="1:27" ht="15.6" x14ac:dyDescent="0.3">
      <c r="H40" s="214" t="s">
        <v>293</v>
      </c>
      <c r="I40" s="1622">
        <v>109</v>
      </c>
      <c r="J40" s="1622">
        <v>104</v>
      </c>
      <c r="K40" s="1622">
        <v>112</v>
      </c>
      <c r="L40" s="1622"/>
      <c r="M40" s="1622">
        <v>135</v>
      </c>
      <c r="N40" s="1624">
        <v>146</v>
      </c>
      <c r="P40" s="1">
        <f t="shared" si="0"/>
        <v>-31</v>
      </c>
      <c r="Q40" s="1">
        <f t="shared" si="0"/>
        <v>-34</v>
      </c>
    </row>
    <row r="41" spans="1:27" ht="15.6" x14ac:dyDescent="0.3">
      <c r="H41" s="214" t="s">
        <v>2127</v>
      </c>
      <c r="I41" s="1328">
        <f>I38-I39-I40</f>
        <v>6792</v>
      </c>
      <c r="J41" s="1328">
        <f>J38-J39-J40</f>
        <v>6160</v>
      </c>
      <c r="K41" s="1328">
        <f>K38-K39-K40</f>
        <v>5586</v>
      </c>
      <c r="L41" s="1622"/>
      <c r="M41" s="1328">
        <f>M38-M39-M40</f>
        <v>6742</v>
      </c>
      <c r="N41" s="2515">
        <f>N38-N39-N40</f>
        <v>6131</v>
      </c>
      <c r="P41" s="1">
        <f t="shared" si="0"/>
        <v>-582</v>
      </c>
      <c r="Q41" s="1">
        <f t="shared" si="0"/>
        <v>-545</v>
      </c>
    </row>
    <row r="42" spans="1:27" ht="15.6" x14ac:dyDescent="0.3">
      <c r="H42" s="214" t="s">
        <v>2218</v>
      </c>
      <c r="I42" s="1622">
        <v>2324</v>
      </c>
      <c r="J42" s="1622">
        <v>2283</v>
      </c>
      <c r="K42" s="1622">
        <v>2229</v>
      </c>
      <c r="L42" s="1622"/>
      <c r="M42" s="1622">
        <v>2512</v>
      </c>
      <c r="N42" s="1624">
        <v>2432</v>
      </c>
      <c r="P42" s="1">
        <f t="shared" si="0"/>
        <v>-229</v>
      </c>
      <c r="Q42" s="1">
        <f t="shared" si="0"/>
        <v>-203</v>
      </c>
    </row>
    <row r="43" spans="1:27" ht="15.6" x14ac:dyDescent="0.3">
      <c r="H43" s="214" t="s">
        <v>301</v>
      </c>
      <c r="I43" s="1345">
        <f>I41-I42</f>
        <v>4468</v>
      </c>
      <c r="J43" s="1345">
        <f>J41-J42</f>
        <v>3877</v>
      </c>
      <c r="K43" s="1345">
        <f>K41-K42</f>
        <v>3357</v>
      </c>
      <c r="L43" s="2168"/>
      <c r="M43" s="1345">
        <f>M41-M42</f>
        <v>4230</v>
      </c>
      <c r="N43" s="2516">
        <f>N41-N42</f>
        <v>3699</v>
      </c>
      <c r="P43" s="1">
        <f t="shared" si="0"/>
        <v>-353</v>
      </c>
      <c r="Q43" s="1">
        <f t="shared" si="0"/>
        <v>-342</v>
      </c>
      <c r="T43" s="1" t="s">
        <v>176</v>
      </c>
    </row>
    <row r="44" spans="1:27" ht="5.25" customHeight="1" thickBot="1" x14ac:dyDescent="0.35">
      <c r="H44" s="224"/>
      <c r="I44" s="218"/>
      <c r="J44" s="218"/>
      <c r="K44" s="218"/>
      <c r="L44" s="218"/>
      <c r="M44" s="218"/>
      <c r="N44" s="219"/>
    </row>
    <row r="45" spans="1:27" x14ac:dyDescent="0.25">
      <c r="H45" s="12" t="s">
        <v>3197</v>
      </c>
    </row>
    <row r="48" spans="1:27" ht="15.6" x14ac:dyDescent="0.3">
      <c r="T48" s="459" t="s">
        <v>1863</v>
      </c>
      <c r="U48" s="211"/>
      <c r="V48" s="211"/>
      <c r="W48" s="211"/>
      <c r="X48" s="211"/>
      <c r="Y48" s="211"/>
      <c r="Z48" s="211"/>
      <c r="AA48" s="211"/>
    </row>
    <row r="49" spans="20:33" ht="15.6" x14ac:dyDescent="0.3">
      <c r="T49" s="152" t="s">
        <v>3198</v>
      </c>
      <c r="U49" s="211"/>
      <c r="V49" s="211"/>
      <c r="W49" s="211"/>
      <c r="X49" s="211"/>
      <c r="Y49" s="211"/>
      <c r="Z49" s="211"/>
      <c r="AA49" s="211"/>
    </row>
    <row r="50" spans="20:33" ht="8.25" customHeight="1" thickBot="1" x14ac:dyDescent="0.35">
      <c r="T50" s="211"/>
      <c r="U50" s="211"/>
      <c r="V50" s="211"/>
      <c r="W50" s="211"/>
      <c r="X50" s="211"/>
      <c r="Y50" s="211"/>
      <c r="Z50" s="211"/>
      <c r="AA50" s="211"/>
    </row>
    <row r="51" spans="20:33" ht="15.6" x14ac:dyDescent="0.3">
      <c r="T51" s="453"/>
      <c r="U51" s="2865" t="s">
        <v>975</v>
      </c>
      <c r="V51" s="2865"/>
      <c r="W51" s="2865"/>
      <c r="X51" s="522"/>
      <c r="Y51" s="2865" t="s">
        <v>2127</v>
      </c>
      <c r="Z51" s="2865"/>
      <c r="AA51" s="2922"/>
    </row>
    <row r="52" spans="20:33" ht="15.6" x14ac:dyDescent="0.3">
      <c r="T52" s="221" t="s">
        <v>1250</v>
      </c>
      <c r="U52" s="1332">
        <v>2014</v>
      </c>
      <c r="V52" s="1332">
        <v>2013</v>
      </c>
      <c r="W52" s="1332">
        <v>2012</v>
      </c>
      <c r="X52" s="1332"/>
      <c r="Y52" s="1332">
        <v>2014</v>
      </c>
      <c r="Z52" s="1332">
        <v>2013</v>
      </c>
      <c r="AA52" s="1470">
        <v>2012</v>
      </c>
    </row>
    <row r="53" spans="20:33" ht="15.6" x14ac:dyDescent="0.3">
      <c r="T53" s="214" t="s">
        <v>3199</v>
      </c>
      <c r="U53" s="2168">
        <v>22314</v>
      </c>
      <c r="V53" s="2168">
        <v>20325</v>
      </c>
      <c r="W53" s="2168">
        <v>19003</v>
      </c>
      <c r="X53" s="2168"/>
      <c r="Y53" s="2168">
        <v>3460</v>
      </c>
      <c r="Z53" s="2168">
        <v>3044</v>
      </c>
      <c r="AA53" s="1325">
        <v>2912</v>
      </c>
    </row>
    <row r="54" spans="20:33" ht="15.6" x14ac:dyDescent="0.3">
      <c r="T54" s="214" t="s">
        <v>2261</v>
      </c>
      <c r="U54" s="1622">
        <v>10124</v>
      </c>
      <c r="V54" s="1622">
        <v>9640</v>
      </c>
      <c r="W54" s="1622">
        <v>8953</v>
      </c>
      <c r="X54" s="1622"/>
      <c r="Y54" s="1622">
        <v>896</v>
      </c>
      <c r="Z54" s="1622">
        <v>846</v>
      </c>
      <c r="AA54" s="1624">
        <v>748</v>
      </c>
    </row>
    <row r="55" spans="20:33" ht="15.6" x14ac:dyDescent="0.3">
      <c r="T55" s="214" t="s">
        <v>3200</v>
      </c>
      <c r="U55" s="1622">
        <v>4335</v>
      </c>
      <c r="V55" s="1622">
        <v>4293</v>
      </c>
      <c r="W55" s="1622">
        <v>4149</v>
      </c>
      <c r="X55" s="1622"/>
      <c r="Y55" s="1622">
        <v>455</v>
      </c>
      <c r="Z55" s="1622">
        <v>315</v>
      </c>
      <c r="AA55" s="1624">
        <v>251</v>
      </c>
    </row>
    <row r="56" spans="20:33" ht="15.6" x14ac:dyDescent="0.3">
      <c r="T56" s="214"/>
      <c r="U56" s="1345">
        <f>SUM(U53:U55)</f>
        <v>36773</v>
      </c>
      <c r="V56" s="1345">
        <f>SUM(V53:V55)</f>
        <v>34258</v>
      </c>
      <c r="W56" s="1345">
        <f>SUM(W53:W55)</f>
        <v>32105</v>
      </c>
      <c r="X56" s="2168"/>
      <c r="Y56" s="1345">
        <f>SUM(Y53:Y55)</f>
        <v>4811</v>
      </c>
      <c r="Z56" s="1345">
        <f>SUM(Z53:Z55)</f>
        <v>4205</v>
      </c>
      <c r="AA56" s="2516">
        <f>SUM(AA53:AA55)</f>
        <v>3911</v>
      </c>
    </row>
    <row r="57" spans="20:33" ht="5.25" customHeight="1" thickBot="1" x14ac:dyDescent="0.35">
      <c r="T57" s="224"/>
      <c r="U57" s="520"/>
      <c r="V57" s="520"/>
      <c r="W57" s="520"/>
      <c r="X57" s="520"/>
      <c r="Y57" s="520"/>
      <c r="Z57" s="520"/>
      <c r="AA57" s="1887"/>
    </row>
    <row r="58" spans="20:33" x14ac:dyDescent="0.25">
      <c r="T58" s="12" t="s">
        <v>3201</v>
      </c>
    </row>
    <row r="60" spans="20:33" x14ac:dyDescent="0.25">
      <c r="AA60" s="1" t="s">
        <v>176</v>
      </c>
    </row>
    <row r="63" spans="20:33" ht="15.6" x14ac:dyDescent="0.3">
      <c r="AD63" s="459" t="s">
        <v>1863</v>
      </c>
      <c r="AE63" s="211"/>
      <c r="AF63" s="211"/>
      <c r="AG63" s="211"/>
    </row>
    <row r="64" spans="20:33" ht="15.6" x14ac:dyDescent="0.3">
      <c r="AD64" s="152" t="s">
        <v>3202</v>
      </c>
      <c r="AE64" s="211"/>
      <c r="AF64" s="211"/>
      <c r="AG64" s="211"/>
    </row>
    <row r="65" spans="30:33" ht="8.25" customHeight="1" thickBot="1" x14ac:dyDescent="0.35">
      <c r="AD65" s="211"/>
      <c r="AE65" s="211"/>
      <c r="AF65" s="211"/>
      <c r="AG65" s="211"/>
    </row>
    <row r="66" spans="30:33" ht="15.6" x14ac:dyDescent="0.3">
      <c r="AD66" s="212" t="s">
        <v>1250</v>
      </c>
      <c r="AE66" s="712">
        <v>2014</v>
      </c>
      <c r="AF66" s="712">
        <v>2013</v>
      </c>
      <c r="AG66" s="713">
        <v>2012</v>
      </c>
    </row>
    <row r="67" spans="30:33" ht="15.6" x14ac:dyDescent="0.3">
      <c r="AD67" s="214" t="s">
        <v>3203</v>
      </c>
      <c r="AE67" s="2168">
        <v>122</v>
      </c>
      <c r="AF67" s="2168">
        <v>80</v>
      </c>
      <c r="AG67" s="1325">
        <v>35</v>
      </c>
    </row>
    <row r="68" spans="30:33" ht="15.6" x14ac:dyDescent="0.3">
      <c r="AD68" s="214" t="s">
        <v>3204</v>
      </c>
      <c r="AE68" s="1622">
        <v>558</v>
      </c>
      <c r="AF68" s="1622">
        <v>416</v>
      </c>
      <c r="AG68" s="1624">
        <v>255</v>
      </c>
    </row>
    <row r="69" spans="30:33" ht="15.6" x14ac:dyDescent="0.3">
      <c r="AD69" s="214" t="s">
        <v>3205</v>
      </c>
      <c r="AE69" s="1622">
        <v>36</v>
      </c>
      <c r="AF69" s="1622">
        <v>40</v>
      </c>
      <c r="AG69" s="1624">
        <v>42</v>
      </c>
    </row>
    <row r="70" spans="30:33" ht="15.6" x14ac:dyDescent="0.3">
      <c r="AD70" s="214" t="s">
        <v>3206</v>
      </c>
      <c r="AE70" s="1622">
        <v>238</v>
      </c>
      <c r="AF70" s="1622">
        <v>226</v>
      </c>
      <c r="AG70" s="1624">
        <v>246</v>
      </c>
    </row>
    <row r="71" spans="30:33" ht="15.6" x14ac:dyDescent="0.3">
      <c r="AD71" s="214" t="s">
        <v>3207</v>
      </c>
      <c r="AE71" s="1622">
        <v>442</v>
      </c>
      <c r="AF71" s="1622">
        <v>353</v>
      </c>
      <c r="AG71" s="1624">
        <v>299</v>
      </c>
    </row>
    <row r="72" spans="30:33" ht="15.6" x14ac:dyDescent="0.3">
      <c r="AD72" s="214" t="s">
        <v>3208</v>
      </c>
      <c r="AE72" s="1622">
        <v>147</v>
      </c>
      <c r="AF72" s="1622">
        <v>125</v>
      </c>
      <c r="AG72" s="1624">
        <v>106</v>
      </c>
    </row>
    <row r="73" spans="30:33" ht="18.600000000000001" x14ac:dyDescent="0.3">
      <c r="AD73" s="214" t="s">
        <v>3209</v>
      </c>
      <c r="AE73" s="1622">
        <v>296</v>
      </c>
      <c r="AF73" s="1622">
        <v>324</v>
      </c>
      <c r="AG73" s="1624">
        <v>410</v>
      </c>
    </row>
    <row r="74" spans="30:33" ht="15.6" x14ac:dyDescent="0.3">
      <c r="AD74" s="214" t="s">
        <v>2217</v>
      </c>
      <c r="AE74" s="1345">
        <f>SUM(AE67:AE73)</f>
        <v>1839</v>
      </c>
      <c r="AF74" s="1345">
        <f>SUM(AF67:AF73)</f>
        <v>1564</v>
      </c>
      <c r="AG74" s="2516">
        <f>SUM(AG67:AG73)</f>
        <v>1393</v>
      </c>
    </row>
    <row r="75" spans="30:33" ht="4.5" customHeight="1" x14ac:dyDescent="0.25">
      <c r="AD75" s="6"/>
      <c r="AG75" s="8"/>
    </row>
    <row r="76" spans="30:33" x14ac:dyDescent="0.25">
      <c r="AD76" s="6" t="s">
        <v>1405</v>
      </c>
      <c r="AG76" s="8"/>
    </row>
    <row r="77" spans="30:33" ht="14.4" thickBot="1" x14ac:dyDescent="0.3">
      <c r="AD77" s="9" t="s">
        <v>3210</v>
      </c>
      <c r="AE77" s="25"/>
      <c r="AF77" s="25"/>
      <c r="AG77" s="26"/>
    </row>
    <row r="78" spans="30:33" x14ac:dyDescent="0.25">
      <c r="AD78" s="12" t="s">
        <v>3201</v>
      </c>
    </row>
    <row r="81" spans="36:42" ht="15.6" x14ac:dyDescent="0.3">
      <c r="AJ81" s="459" t="s">
        <v>1863</v>
      </c>
    </row>
    <row r="82" spans="36:42" ht="15.6" x14ac:dyDescent="0.3">
      <c r="AJ82" s="152" t="s">
        <v>3211</v>
      </c>
    </row>
    <row r="83" spans="36:42" ht="9" customHeight="1" thickBot="1" x14ac:dyDescent="0.3"/>
    <row r="84" spans="36:42" x14ac:dyDescent="0.25">
      <c r="AJ84" s="131" t="s">
        <v>1250</v>
      </c>
      <c r="AK84" s="2517" t="s">
        <v>3212</v>
      </c>
      <c r="AL84" s="2517"/>
      <c r="AM84" s="2518" t="s">
        <v>3213</v>
      </c>
    </row>
    <row r="85" spans="36:42" x14ac:dyDescent="0.25">
      <c r="AJ85" s="28" t="s">
        <v>3214</v>
      </c>
      <c r="AK85" s="2753"/>
      <c r="AL85" s="2753"/>
      <c r="AM85" s="2519"/>
    </row>
    <row r="86" spans="36:42" x14ac:dyDescent="0.25">
      <c r="AJ86" s="6" t="s">
        <v>3215</v>
      </c>
      <c r="AK86" s="2754">
        <f>SUM(AM87:AM89)</f>
        <v>1092</v>
      </c>
      <c r="AL86" s="2754"/>
      <c r="AM86" s="2519"/>
    </row>
    <row r="87" spans="36:42" x14ac:dyDescent="0.25">
      <c r="AJ87" s="6" t="s">
        <v>5</v>
      </c>
      <c r="AK87" s="2754"/>
      <c r="AL87" s="2754"/>
      <c r="AM87" s="2521">
        <v>328</v>
      </c>
    </row>
    <row r="88" spans="36:42" x14ac:dyDescent="0.25">
      <c r="AJ88" s="6" t="s">
        <v>3216</v>
      </c>
      <c r="AK88" s="2755"/>
      <c r="AL88" s="2755"/>
      <c r="AM88" s="2523">
        <v>364</v>
      </c>
    </row>
    <row r="89" spans="36:42" x14ac:dyDescent="0.25">
      <c r="AJ89" s="6" t="s">
        <v>3217</v>
      </c>
      <c r="AK89" s="2755"/>
      <c r="AL89" s="2755"/>
      <c r="AM89" s="2523">
        <v>400</v>
      </c>
    </row>
    <row r="90" spans="36:42" x14ac:dyDescent="0.25">
      <c r="AJ90" s="6" t="s">
        <v>3</v>
      </c>
      <c r="AK90" s="2524">
        <f>SUM(AK86:AK89)</f>
        <v>1092</v>
      </c>
      <c r="AL90" s="2755"/>
      <c r="AM90" s="2525">
        <f>SUM(AM87:AM89)</f>
        <v>1092</v>
      </c>
    </row>
    <row r="91" spans="36:42" x14ac:dyDescent="0.25">
      <c r="AJ91" s="6"/>
      <c r="AK91" s="2755"/>
      <c r="AL91" s="2755"/>
      <c r="AM91" s="2523"/>
    </row>
    <row r="92" spans="36:42" x14ac:dyDescent="0.25">
      <c r="AJ92" s="6" t="s">
        <v>3218</v>
      </c>
      <c r="AK92" s="2754">
        <f>0.38*(AK86-11)</f>
        <v>410.78000000000003</v>
      </c>
      <c r="AL92" s="2755"/>
      <c r="AM92" s="2523"/>
      <c r="AP92" s="1" t="s">
        <v>3219</v>
      </c>
    </row>
    <row r="93" spans="36:42" ht="4.5" customHeight="1" x14ac:dyDescent="0.25">
      <c r="AJ93" s="6"/>
      <c r="AK93" s="2754"/>
      <c r="AL93" s="2754"/>
      <c r="AM93" s="2521"/>
    </row>
    <row r="94" spans="36:42" ht="4.5" customHeight="1" x14ac:dyDescent="0.25">
      <c r="AJ94" s="1683"/>
      <c r="AK94" s="2756"/>
      <c r="AL94" s="2756"/>
      <c r="AM94" s="2527"/>
    </row>
    <row r="95" spans="36:42" ht="4.5" customHeight="1" x14ac:dyDescent="0.25">
      <c r="AJ95" s="6"/>
      <c r="AK95" s="2754"/>
      <c r="AL95" s="2754"/>
      <c r="AM95" s="2521"/>
    </row>
    <row r="96" spans="36:42" x14ac:dyDescent="0.25">
      <c r="AJ96" s="28" t="s">
        <v>3220</v>
      </c>
      <c r="AK96" s="2754"/>
      <c r="AL96" s="2754"/>
      <c r="AM96" s="2521"/>
    </row>
    <row r="97" spans="36:41" x14ac:dyDescent="0.25">
      <c r="AJ97" s="6" t="s">
        <v>3221</v>
      </c>
      <c r="AK97" s="2754">
        <v>1350</v>
      </c>
      <c r="AL97" s="2754"/>
      <c r="AM97" s="2521"/>
    </row>
    <row r="98" spans="36:41" x14ac:dyDescent="0.25">
      <c r="AJ98" s="6" t="s">
        <v>5</v>
      </c>
      <c r="AK98" s="2754"/>
      <c r="AL98" s="2754"/>
      <c r="AM98" s="2521">
        <v>450</v>
      </c>
      <c r="AO98" s="1" t="s">
        <v>176</v>
      </c>
    </row>
    <row r="99" spans="36:41" x14ac:dyDescent="0.25">
      <c r="AJ99" s="6" t="s">
        <v>3222</v>
      </c>
      <c r="AK99" s="2755"/>
      <c r="AL99" s="2755"/>
      <c r="AM99" s="2523">
        <f>AK97-AM98</f>
        <v>900</v>
      </c>
    </row>
    <row r="100" spans="36:41" x14ac:dyDescent="0.25">
      <c r="AJ100" s="6"/>
      <c r="AK100" s="2524">
        <f>SUM(AK97:AK99)</f>
        <v>1350</v>
      </c>
      <c r="AL100" s="2755"/>
      <c r="AM100" s="2525">
        <f>SUM(AM97:AM99)</f>
        <v>1350</v>
      </c>
    </row>
    <row r="101" spans="36:41" x14ac:dyDescent="0.25">
      <c r="AJ101" s="6"/>
      <c r="AK101" s="2755"/>
      <c r="AL101" s="2755"/>
      <c r="AM101" s="2523"/>
    </row>
    <row r="102" spans="36:41" ht="14.4" thickBot="1" x14ac:dyDescent="0.3">
      <c r="AJ102" s="9" t="s">
        <v>3218</v>
      </c>
      <c r="AK102" s="2757">
        <f>0.38*(2100-(1092-11))</f>
        <v>387.22</v>
      </c>
      <c r="AL102" s="2528"/>
      <c r="AM102" s="2529"/>
    </row>
    <row r="103" spans="36:41" x14ac:dyDescent="0.25">
      <c r="AJ103" s="12" t="s">
        <v>3223</v>
      </c>
    </row>
  </sheetData>
  <mergeCells count="5">
    <mergeCell ref="A30:E31"/>
    <mergeCell ref="I36:K36"/>
    <mergeCell ref="M36:N36"/>
    <mergeCell ref="U51:W51"/>
    <mergeCell ref="Y51:AA51"/>
  </mergeCells>
  <pageMargins left="0.7" right="0.7" top="0.75" bottom="0.75" header="0.3" footer="0.3"/>
  <pageSetup orientation="portrait" r:id="rId1"/>
  <ignoredErrors>
    <ignoredError sqref="AE74:AG74 U56:AA56" formulaRange="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F9D93-581B-4590-8A37-32CDFE985962}">
  <sheetPr>
    <tabColor theme="4"/>
  </sheetPr>
  <dimension ref="A1:N29"/>
  <sheetViews>
    <sheetView showGridLines="0" workbookViewId="0">
      <selection activeCell="O24" sqref="O24"/>
    </sheetView>
  </sheetViews>
  <sheetFormatPr defaultColWidth="8.6640625" defaultRowHeight="15.6" x14ac:dyDescent="0.3"/>
  <cols>
    <col min="1" max="1" width="30.88671875" style="211" customWidth="1"/>
    <col min="2" max="2" width="9" style="211" bestFit="1" customWidth="1"/>
    <col min="3" max="3" width="10.109375" style="211" bestFit="1" customWidth="1"/>
    <col min="4" max="4" width="1.6640625" style="211" customWidth="1"/>
    <col min="5" max="5" width="9.109375" style="211" bestFit="1" customWidth="1"/>
    <col min="6" max="6" width="10.33203125" style="211" bestFit="1" customWidth="1"/>
    <col min="7" max="7" width="1.44140625" style="211" customWidth="1"/>
    <col min="8" max="9" width="9.109375" style="211" bestFit="1" customWidth="1"/>
    <col min="10" max="16384" width="8.6640625" style="211"/>
  </cols>
  <sheetData>
    <row r="1" spans="1:14" x14ac:dyDescent="0.3">
      <c r="A1" s="459" t="s">
        <v>1863</v>
      </c>
    </row>
    <row r="2" spans="1:14" x14ac:dyDescent="0.3">
      <c r="A2" s="152" t="s">
        <v>1784</v>
      </c>
    </row>
    <row r="3" spans="1:14" ht="8.25" customHeight="1" thickBot="1" x14ac:dyDescent="0.35"/>
    <row r="4" spans="1:14" ht="16.2" x14ac:dyDescent="0.35">
      <c r="A4" s="1426"/>
      <c r="B4" s="2865">
        <v>2014</v>
      </c>
      <c r="C4" s="2865"/>
      <c r="D4" s="885"/>
      <c r="E4" s="2865">
        <v>2004</v>
      </c>
      <c r="F4" s="2865"/>
      <c r="G4" s="885"/>
      <c r="H4" s="2865" t="s">
        <v>32</v>
      </c>
      <c r="I4" s="2922"/>
    </row>
    <row r="5" spans="1:14" x14ac:dyDescent="0.3">
      <c r="A5" s="221" t="s">
        <v>1250</v>
      </c>
      <c r="B5" s="1676" t="s">
        <v>1017</v>
      </c>
      <c r="C5" s="1676" t="s">
        <v>1018</v>
      </c>
      <c r="D5" s="1676"/>
      <c r="E5" s="1676" t="s">
        <v>1017</v>
      </c>
      <c r="F5" s="1676" t="s">
        <v>1018</v>
      </c>
      <c r="G5" s="1676"/>
      <c r="H5" s="1676" t="s">
        <v>1017</v>
      </c>
      <c r="I5" s="1436" t="s">
        <v>1018</v>
      </c>
    </row>
    <row r="6" spans="1:14" x14ac:dyDescent="0.3">
      <c r="A6" s="214" t="s">
        <v>1019</v>
      </c>
      <c r="B6" s="1516">
        <v>1287</v>
      </c>
      <c r="C6" s="1516">
        <v>14106</v>
      </c>
      <c r="D6" s="1516"/>
      <c r="E6" s="1516">
        <v>1470</v>
      </c>
      <c r="F6" s="1516">
        <v>8546</v>
      </c>
      <c r="G6" s="1516"/>
      <c r="H6" s="1516">
        <f>B6-E6</f>
        <v>-183</v>
      </c>
      <c r="I6" s="1430">
        <f>C6-F6</f>
        <v>5560</v>
      </c>
    </row>
    <row r="7" spans="1:14" x14ac:dyDescent="0.3">
      <c r="A7" s="214" t="s">
        <v>1012</v>
      </c>
      <c r="B7" s="922">
        <v>1299</v>
      </c>
      <c r="C7" s="922">
        <v>16888</v>
      </c>
      <c r="D7" s="922"/>
      <c r="E7" s="922">
        <v>1299</v>
      </c>
      <c r="F7" s="922">
        <v>8328</v>
      </c>
      <c r="G7" s="922"/>
      <c r="H7" s="922">
        <f>B7-E7+0.000000000000001</f>
        <v>1.0000000000000001E-15</v>
      </c>
      <c r="I7" s="923">
        <f>C7-F7</f>
        <v>8560</v>
      </c>
    </row>
    <row r="8" spans="1:14" x14ac:dyDescent="0.3">
      <c r="A8" s="214" t="s">
        <v>1013</v>
      </c>
      <c r="B8" s="2464"/>
      <c r="C8" s="2464"/>
      <c r="D8" s="922"/>
      <c r="E8" s="922">
        <v>600</v>
      </c>
      <c r="F8" s="922">
        <v>4299</v>
      </c>
      <c r="G8" s="922"/>
      <c r="H8" s="922">
        <f>B8-E8+0.000000000000001</f>
        <v>-600</v>
      </c>
      <c r="I8" s="923">
        <f>C8-F8</f>
        <v>-4299</v>
      </c>
    </row>
    <row r="9" spans="1:14" x14ac:dyDescent="0.3">
      <c r="A9" s="214" t="s">
        <v>2056</v>
      </c>
      <c r="B9" s="922">
        <v>336</v>
      </c>
      <c r="C9" s="922">
        <v>4683</v>
      </c>
      <c r="D9" s="922"/>
      <c r="E9" s="2464"/>
      <c r="F9" s="2464"/>
      <c r="G9" s="922"/>
      <c r="H9" s="922">
        <f>B9-E9+0.000000000000001</f>
        <v>336</v>
      </c>
      <c r="I9" s="923">
        <f>C9-F9</f>
        <v>4683</v>
      </c>
      <c r="N9" s="211" t="s">
        <v>176</v>
      </c>
    </row>
    <row r="10" spans="1:14" x14ac:dyDescent="0.3">
      <c r="A10" s="214" t="s">
        <v>1014</v>
      </c>
      <c r="B10" s="922">
        <v>11871</v>
      </c>
      <c r="C10" s="922">
        <v>26504</v>
      </c>
      <c r="D10" s="922"/>
      <c r="E10" s="922">
        <v>463</v>
      </c>
      <c r="F10" s="922">
        <v>3508</v>
      </c>
      <c r="G10" s="922"/>
      <c r="H10" s="922">
        <f>B10-E10</f>
        <v>11408</v>
      </c>
      <c r="I10" s="923">
        <f>C10-F10</f>
        <v>22996</v>
      </c>
    </row>
    <row r="11" spans="1:14" x14ac:dyDescent="0.3">
      <c r="A11" s="214" t="s">
        <v>2054</v>
      </c>
      <c r="B11" s="922">
        <v>13157</v>
      </c>
      <c r="C11" s="922">
        <v>12349</v>
      </c>
      <c r="D11" s="922"/>
      <c r="E11" s="2464"/>
      <c r="F11" s="2464"/>
      <c r="G11" s="922"/>
      <c r="H11" s="922">
        <f>B11-E11</f>
        <v>13157</v>
      </c>
      <c r="I11" s="923">
        <f>C11-F11</f>
        <v>12349</v>
      </c>
    </row>
    <row r="12" spans="1:14" x14ac:dyDescent="0.3">
      <c r="A12" s="214" t="s">
        <v>1015</v>
      </c>
      <c r="B12" s="1232">
        <f>B13-SUM(B6:B11)</f>
        <v>27106</v>
      </c>
      <c r="C12" s="1232">
        <f>C13-SUM(C6:C11)</f>
        <v>42940</v>
      </c>
      <c r="D12" s="926"/>
      <c r="E12" s="1232">
        <f>E13-SUM(E6:E11)</f>
        <v>5224</v>
      </c>
      <c r="F12" s="1232">
        <f>F13-SUM(F6:F11)</f>
        <v>13036</v>
      </c>
      <c r="G12" s="926"/>
      <c r="H12" s="1232">
        <f>H13-SUM(H6:H11)</f>
        <v>21882</v>
      </c>
      <c r="I12" s="1241">
        <f>I13-SUM(I6:I11)</f>
        <v>29904</v>
      </c>
    </row>
    <row r="13" spans="1:14" x14ac:dyDescent="0.3">
      <c r="A13" s="214" t="s">
        <v>1016</v>
      </c>
      <c r="B13" s="1516">
        <v>55056</v>
      </c>
      <c r="C13" s="1516">
        <v>117470</v>
      </c>
      <c r="D13" s="1369"/>
      <c r="E13" s="1516">
        <v>9056</v>
      </c>
      <c r="F13" s="1516">
        <v>37717</v>
      </c>
      <c r="G13" s="1369"/>
      <c r="H13" s="1516">
        <f>B13-E13</f>
        <v>46000</v>
      </c>
      <c r="I13" s="1430">
        <f>C13-F13</f>
        <v>79753</v>
      </c>
    </row>
    <row r="14" spans="1:14" ht="7.5" customHeight="1" x14ac:dyDescent="0.3">
      <c r="A14" s="214"/>
      <c r="B14" s="1516"/>
      <c r="C14" s="1516"/>
      <c r="D14" s="1369"/>
      <c r="E14" s="1516"/>
      <c r="F14" s="1516"/>
      <c r="G14" s="1369"/>
      <c r="H14" s="1516"/>
      <c r="I14" s="1430"/>
    </row>
    <row r="15" spans="1:14" ht="16.2" thickBot="1" x14ac:dyDescent="0.35">
      <c r="A15" s="224" t="s">
        <v>2094</v>
      </c>
      <c r="B15" s="1432"/>
      <c r="C15" s="1432"/>
      <c r="D15" s="1433"/>
      <c r="E15" s="1432"/>
      <c r="F15" s="1432"/>
      <c r="G15" s="1433"/>
      <c r="H15" s="1432"/>
      <c r="I15" s="1434"/>
    </row>
    <row r="16" spans="1:14" x14ac:dyDescent="0.3">
      <c r="A16" s="12" t="s">
        <v>2055</v>
      </c>
    </row>
    <row r="18" spans="1:11" x14ac:dyDescent="0.3">
      <c r="A18" s="211" t="s">
        <v>1022</v>
      </c>
      <c r="C18" s="226">
        <f>SUM(F6:F10)/F13</f>
        <v>0.65437335949306674</v>
      </c>
      <c r="F18" s="226">
        <f>SUM(C6+C7+C10+C11)/C13</f>
        <v>0.59459436451860048</v>
      </c>
    </row>
    <row r="21" spans="1:11" x14ac:dyDescent="0.3">
      <c r="K21" s="211" t="s">
        <v>176</v>
      </c>
    </row>
    <row r="28" spans="1:11" x14ac:dyDescent="0.3">
      <c r="J28" s="211" t="s">
        <v>176</v>
      </c>
    </row>
    <row r="29" spans="1:11" x14ac:dyDescent="0.3">
      <c r="E29" s="211" t="s">
        <v>176</v>
      </c>
    </row>
  </sheetData>
  <mergeCells count="3">
    <mergeCell ref="E4:F4"/>
    <mergeCell ref="B4:C4"/>
    <mergeCell ref="H4:I4"/>
  </mergeCells>
  <pageMargins left="0.7" right="0.7" top="0.75" bottom="0.75" header="0.3" footer="0.3"/>
  <pageSetup orientation="portrait" r:id="rId1"/>
  <ignoredErrors>
    <ignoredError sqref="H12:I12" formula="1"/>
  </ignoredErrors>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032-30D9-4DE6-904D-11F19C67CA59}">
  <sheetPr>
    <tabColor theme="4"/>
  </sheetPr>
  <dimension ref="A1:N111"/>
  <sheetViews>
    <sheetView showGridLines="0" topLeftCell="A69" zoomScale="70" zoomScaleNormal="70" workbookViewId="0">
      <selection activeCell="Q102" sqref="Q102"/>
    </sheetView>
  </sheetViews>
  <sheetFormatPr defaultColWidth="8.6640625" defaultRowHeight="15.6" outlineLevelRow="1" x14ac:dyDescent="0.3"/>
  <cols>
    <col min="1" max="1" width="42.44140625" style="211" customWidth="1"/>
    <col min="2" max="2" width="11.109375" style="211" customWidth="1"/>
    <col min="3" max="3" width="8.88671875" style="211" bestFit="1" customWidth="1"/>
    <col min="4" max="5" width="9.88671875" style="211" bestFit="1" customWidth="1"/>
    <col min="6" max="6" width="11" style="211" bestFit="1" customWidth="1"/>
    <col min="7" max="7" width="10.33203125" style="211" bestFit="1" customWidth="1"/>
    <col min="8" max="10" width="8.6640625" style="211"/>
    <col min="11" max="11" width="8.88671875" style="211" bestFit="1" customWidth="1"/>
    <col min="12" max="12" width="15.6640625" style="211" bestFit="1" customWidth="1"/>
    <col min="13" max="13" width="12.109375" style="211" bestFit="1" customWidth="1"/>
    <col min="14" max="14" width="11.33203125" style="211" bestFit="1" customWidth="1"/>
    <col min="15" max="16384" width="8.6640625" style="211"/>
  </cols>
  <sheetData>
    <row r="1" spans="1:2" x14ac:dyDescent="0.3">
      <c r="A1" s="211" t="s">
        <v>783</v>
      </c>
      <c r="B1" s="252">
        <v>22.138999999999999</v>
      </c>
    </row>
    <row r="2" spans="1:2" x14ac:dyDescent="0.3">
      <c r="A2" s="211" t="s">
        <v>778</v>
      </c>
      <c r="B2" s="230">
        <v>64.438000000000002</v>
      </c>
    </row>
    <row r="3" spans="1:2" x14ac:dyDescent="0.3">
      <c r="A3" s="211" t="s">
        <v>1</v>
      </c>
      <c r="B3" s="230">
        <v>-0.10199999999999999</v>
      </c>
    </row>
    <row r="4" spans="1:2" x14ac:dyDescent="0.3">
      <c r="A4" s="211" t="s">
        <v>779</v>
      </c>
      <c r="B4" s="230">
        <v>-2.4550000000000001</v>
      </c>
    </row>
    <row r="5" spans="1:2" x14ac:dyDescent="0.3">
      <c r="A5" s="211" t="s">
        <v>780</v>
      </c>
      <c r="B5" s="230">
        <v>-0.3</v>
      </c>
    </row>
    <row r="6" spans="1:2" x14ac:dyDescent="0.3">
      <c r="A6" s="211" t="s">
        <v>781</v>
      </c>
      <c r="B6" s="230">
        <v>4.4779999999999998</v>
      </c>
    </row>
    <row r="7" spans="1:2" x14ac:dyDescent="0.3">
      <c r="A7" s="211" t="s">
        <v>782</v>
      </c>
      <c r="B7" s="277">
        <f>SUM(B1:B6)</f>
        <v>88.197999999999993</v>
      </c>
    </row>
    <row r="9" spans="1:2" x14ac:dyDescent="0.3">
      <c r="A9" s="211" t="s">
        <v>782</v>
      </c>
      <c r="B9" s="252">
        <v>88</v>
      </c>
    </row>
    <row r="10" spans="1:2" x14ac:dyDescent="0.3">
      <c r="A10" s="211" t="s">
        <v>493</v>
      </c>
      <c r="B10" s="230">
        <v>565</v>
      </c>
    </row>
    <row r="11" spans="1:2" x14ac:dyDescent="0.3">
      <c r="A11" s="211" t="s">
        <v>784</v>
      </c>
      <c r="B11" s="230">
        <v>486</v>
      </c>
    </row>
    <row r="12" spans="1:2" x14ac:dyDescent="0.3">
      <c r="A12" s="211" t="s">
        <v>785</v>
      </c>
      <c r="B12" s="230">
        <v>133</v>
      </c>
    </row>
    <row r="13" spans="1:2" x14ac:dyDescent="0.3">
      <c r="A13" s="211" t="s">
        <v>786</v>
      </c>
      <c r="B13" s="252">
        <f>SUM(B9:B12)</f>
        <v>1272</v>
      </c>
    </row>
    <row r="16" spans="1:2" x14ac:dyDescent="0.3">
      <c r="A16" s="211" t="s">
        <v>786</v>
      </c>
      <c r="B16" s="252">
        <v>1271.761</v>
      </c>
    </row>
    <row r="17" spans="1:14" x14ac:dyDescent="0.3">
      <c r="A17" s="211" t="s">
        <v>809</v>
      </c>
      <c r="B17" s="230">
        <v>4223.68</v>
      </c>
    </row>
    <row r="18" spans="1:14" x14ac:dyDescent="0.3">
      <c r="A18" s="211" t="s">
        <v>810</v>
      </c>
      <c r="B18" s="230">
        <v>433.03199999999998</v>
      </c>
    </row>
    <row r="19" spans="1:14" x14ac:dyDescent="0.3">
      <c r="A19" s="211" t="s">
        <v>720</v>
      </c>
      <c r="B19" s="230">
        <v>70.355000000000004</v>
      </c>
    </row>
    <row r="20" spans="1:14" x14ac:dyDescent="0.3">
      <c r="A20" s="211" t="s">
        <v>816</v>
      </c>
      <c r="B20" s="230">
        <v>171.77500000000001</v>
      </c>
    </row>
    <row r="21" spans="1:14" x14ac:dyDescent="0.3">
      <c r="A21" s="211" t="s">
        <v>719</v>
      </c>
      <c r="B21" s="230">
        <v>-1.355</v>
      </c>
    </row>
    <row r="22" spans="1:14" x14ac:dyDescent="0.3">
      <c r="A22" s="211" t="s">
        <v>784</v>
      </c>
      <c r="B22" s="230">
        <v>5705.634</v>
      </c>
    </row>
    <row r="23" spans="1:14" x14ac:dyDescent="0.3">
      <c r="A23" s="211" t="s">
        <v>788</v>
      </c>
      <c r="B23" s="252">
        <f>SUM(B16:B22)</f>
        <v>11874.882000000001</v>
      </c>
    </row>
    <row r="25" spans="1:14" ht="16.2" thickBot="1" x14ac:dyDescent="0.35">
      <c r="K25" s="211" t="s">
        <v>814</v>
      </c>
    </row>
    <row r="26" spans="1:14" x14ac:dyDescent="0.3">
      <c r="A26" s="225" t="s">
        <v>811</v>
      </c>
      <c r="B26" s="389"/>
    </row>
    <row r="27" spans="1:14" x14ac:dyDescent="0.3">
      <c r="A27" s="213" t="s">
        <v>789</v>
      </c>
      <c r="B27" s="1395">
        <f>B1</f>
        <v>22.138999999999999</v>
      </c>
    </row>
    <row r="28" spans="1:14" x14ac:dyDescent="0.3">
      <c r="A28" s="214" t="s">
        <v>812</v>
      </c>
      <c r="B28" s="1152">
        <f>B2+B10+B17-B29</f>
        <v>3292.0180000000005</v>
      </c>
      <c r="K28" s="211" t="s">
        <v>793</v>
      </c>
    </row>
    <row r="29" spans="1:14" x14ac:dyDescent="0.3">
      <c r="A29" s="214" t="s">
        <v>815</v>
      </c>
      <c r="B29" s="260">
        <v>1561.1</v>
      </c>
      <c r="K29" s="211" t="s">
        <v>792</v>
      </c>
      <c r="L29" s="230">
        <f>SUM('3. Financials'!C86:L86)</f>
        <v>7312528</v>
      </c>
      <c r="M29" s="1018">
        <v>7.3129999999999997</v>
      </c>
      <c r="N29" s="320">
        <f>M29</f>
        <v>7.3129999999999997</v>
      </c>
    </row>
    <row r="30" spans="1:14" x14ac:dyDescent="0.3">
      <c r="A30" s="214" t="s">
        <v>784</v>
      </c>
      <c r="B30" s="1152">
        <f>B11+B22+B20</f>
        <v>6363.4089999999997</v>
      </c>
      <c r="K30" s="211" t="s">
        <v>794</v>
      </c>
      <c r="L30" s="230">
        <f>SUM('4. Financials'!B144:D144,'4. Financials'!G144:J145,'4. Financials'!K141,'4. Financials'!N141:O141)</f>
        <v>199471557</v>
      </c>
      <c r="M30" s="211">
        <v>199.5</v>
      </c>
      <c r="N30" s="320">
        <f>M30</f>
        <v>199.5</v>
      </c>
    </row>
    <row r="31" spans="1:14" x14ac:dyDescent="0.3">
      <c r="A31" s="214" t="s">
        <v>790</v>
      </c>
      <c r="B31" s="1152">
        <f>B18+B12</f>
        <v>566.03199999999993</v>
      </c>
      <c r="K31" s="211">
        <v>1985</v>
      </c>
      <c r="L31" s="230">
        <v>325237000</v>
      </c>
      <c r="M31" s="1043">
        <f>L31/1000000</f>
        <v>325.23700000000002</v>
      </c>
      <c r="N31" s="320"/>
    </row>
    <row r="32" spans="1:14" x14ac:dyDescent="0.3">
      <c r="A32" s="214" t="s">
        <v>791</v>
      </c>
      <c r="B32" s="1152">
        <f>B21+B3+B4+B19</f>
        <v>66.442999999999998</v>
      </c>
      <c r="C32" s="211" t="s">
        <v>817</v>
      </c>
      <c r="K32" s="211">
        <v>1986</v>
      </c>
      <c r="L32" s="230">
        <v>150897000</v>
      </c>
      <c r="M32" s="1043">
        <f t="shared" ref="M32:M36" si="0">L32/1000000</f>
        <v>150.89699999999999</v>
      </c>
      <c r="N32" s="320"/>
    </row>
    <row r="33" spans="1:14" x14ac:dyDescent="0.3">
      <c r="A33" s="214" t="s">
        <v>279</v>
      </c>
      <c r="B33" s="1152">
        <f>B6</f>
        <v>4.4779999999999998</v>
      </c>
      <c r="K33" s="211">
        <v>1987</v>
      </c>
      <c r="L33" s="230">
        <v>19806000</v>
      </c>
      <c r="M33" s="1043">
        <f t="shared" si="0"/>
        <v>19.806000000000001</v>
      </c>
      <c r="N33" s="320"/>
    </row>
    <row r="34" spans="1:14" ht="16.2" thickBot="1" x14ac:dyDescent="0.35">
      <c r="A34" s="213" t="s">
        <v>813</v>
      </c>
      <c r="B34" s="1396">
        <f>SUM(B27:B33)-1</f>
        <v>11874.618999999999</v>
      </c>
      <c r="K34" s="211">
        <v>1988</v>
      </c>
      <c r="L34" s="230">
        <v>85829000</v>
      </c>
      <c r="M34" s="1043">
        <f t="shared" si="0"/>
        <v>85.828999999999994</v>
      </c>
      <c r="N34" s="320"/>
    </row>
    <row r="35" spans="1:14" ht="16.8" thickTop="1" thickBot="1" x14ac:dyDescent="0.35">
      <c r="A35" s="217" t="s">
        <v>797</v>
      </c>
      <c r="B35" s="219"/>
      <c r="K35" s="211">
        <v>1989</v>
      </c>
      <c r="L35" s="230">
        <v>147575000</v>
      </c>
      <c r="M35" s="1043">
        <f t="shared" si="0"/>
        <v>147.57499999999999</v>
      </c>
      <c r="N35" s="320"/>
    </row>
    <row r="36" spans="1:14" ht="16.2" thickBot="1" x14ac:dyDescent="0.35">
      <c r="A36" s="320"/>
      <c r="K36" s="211">
        <v>1990</v>
      </c>
      <c r="L36" s="230">
        <v>23348000</v>
      </c>
      <c r="M36" s="1043">
        <f t="shared" si="0"/>
        <v>23.347999999999999</v>
      </c>
      <c r="N36" s="320"/>
    </row>
    <row r="37" spans="1:14" x14ac:dyDescent="0.3">
      <c r="A37" s="453" t="s">
        <v>724</v>
      </c>
      <c r="B37" s="1397">
        <v>11651.5</v>
      </c>
      <c r="K37" s="211">
        <v>1991</v>
      </c>
      <c r="L37" s="230">
        <v>124155000</v>
      </c>
      <c r="M37" s="1043">
        <f>L37/1000000</f>
        <v>124.155</v>
      </c>
      <c r="N37" s="320"/>
    </row>
    <row r="38" spans="1:14" x14ac:dyDescent="0.3">
      <c r="A38" s="214" t="s">
        <v>990</v>
      </c>
      <c r="B38" s="1152">
        <v>33440.1</v>
      </c>
      <c r="K38" s="211">
        <v>1992</v>
      </c>
      <c r="L38" s="230">
        <v>59559000</v>
      </c>
      <c r="M38" s="1043">
        <f>L38/1000000</f>
        <v>59.558999999999997</v>
      </c>
      <c r="N38" s="320"/>
    </row>
    <row r="39" spans="1:14" x14ac:dyDescent="0.3">
      <c r="A39" s="214" t="s">
        <v>2071</v>
      </c>
      <c r="B39" s="1398">
        <v>15000</v>
      </c>
      <c r="K39" s="211">
        <v>1993</v>
      </c>
      <c r="L39" s="230">
        <v>356702000</v>
      </c>
      <c r="M39" s="1043">
        <f>L39/1000000</f>
        <v>356.702</v>
      </c>
      <c r="N39" s="320"/>
    </row>
    <row r="40" spans="1:14" x14ac:dyDescent="0.3">
      <c r="A40" s="214" t="s">
        <v>995</v>
      </c>
      <c r="B40" s="1152">
        <v>158</v>
      </c>
      <c r="K40" s="211">
        <v>1994</v>
      </c>
      <c r="L40" s="230">
        <v>61139000</v>
      </c>
      <c r="M40" s="1043">
        <f>L40/1000000</f>
        <v>61.139000000000003</v>
      </c>
      <c r="N40" s="1399">
        <f>SUM(M31:M40)</f>
        <v>1354.2469999999998</v>
      </c>
    </row>
    <row r="41" spans="1:14" x14ac:dyDescent="0.3">
      <c r="A41" s="214" t="s">
        <v>994</v>
      </c>
      <c r="B41" s="1152">
        <v>25085.3</v>
      </c>
      <c r="K41" s="152" t="s">
        <v>3</v>
      </c>
      <c r="L41" s="1400">
        <f>SUM(L29:L40)</f>
        <v>1561031085</v>
      </c>
      <c r="M41" s="1401">
        <f>SUM(M29:M40)</f>
        <v>1561.0599999999997</v>
      </c>
    </row>
    <row r="42" spans="1:14" x14ac:dyDescent="0.3">
      <c r="A42" s="214" t="s">
        <v>993</v>
      </c>
      <c r="B42" s="1402">
        <v>565</v>
      </c>
    </row>
    <row r="43" spans="1:14" x14ac:dyDescent="0.3">
      <c r="A43" s="214" t="s">
        <v>279</v>
      </c>
      <c r="B43" s="1398">
        <v>0.3</v>
      </c>
    </row>
    <row r="44" spans="1:14" x14ac:dyDescent="0.3">
      <c r="A44" s="214" t="s">
        <v>991</v>
      </c>
      <c r="B44" s="1403">
        <v>85900.200000000012</v>
      </c>
    </row>
    <row r="45" spans="1:14" x14ac:dyDescent="0.3">
      <c r="A45" s="214"/>
      <c r="B45" s="223"/>
    </row>
    <row r="46" spans="1:14" x14ac:dyDescent="0.3">
      <c r="A46" s="1404" t="s">
        <v>992</v>
      </c>
      <c r="B46" s="1405">
        <v>85900</v>
      </c>
    </row>
    <row r="47" spans="1:14" ht="16.2" thickBot="1" x14ac:dyDescent="0.35">
      <c r="A47" s="1406" t="s">
        <v>649</v>
      </c>
      <c r="B47" s="1407">
        <v>0.20000000001164153</v>
      </c>
    </row>
    <row r="48" spans="1:14" s="612" customFormat="1" x14ac:dyDescent="0.3">
      <c r="A48" s="397"/>
      <c r="B48" s="1675"/>
    </row>
    <row r="49" spans="1:3" s="612" customFormat="1" x14ac:dyDescent="0.3">
      <c r="A49" s="397" t="s">
        <v>2073</v>
      </c>
      <c r="B49" s="2942">
        <v>85900</v>
      </c>
      <c r="C49" s="2942"/>
    </row>
    <row r="50" spans="1:3" s="612" customFormat="1" x14ac:dyDescent="0.3">
      <c r="A50" s="397" t="s">
        <v>799</v>
      </c>
      <c r="B50" s="2942">
        <v>107393</v>
      </c>
      <c r="C50" s="2942"/>
    </row>
    <row r="51" spans="1:3" s="612" customFormat="1" x14ac:dyDescent="0.3">
      <c r="A51" s="397" t="s">
        <v>800</v>
      </c>
      <c r="B51" s="2942">
        <v>15805.000000000002</v>
      </c>
      <c r="C51" s="2942"/>
    </row>
    <row r="52" spans="1:3" s="612" customFormat="1" x14ac:dyDescent="0.3">
      <c r="A52" s="397" t="s">
        <v>784</v>
      </c>
      <c r="B52" s="2942">
        <v>25720</v>
      </c>
      <c r="C52" s="2942"/>
    </row>
    <row r="53" spans="1:3" s="612" customFormat="1" x14ac:dyDescent="0.3">
      <c r="A53" s="397" t="s">
        <v>790</v>
      </c>
      <c r="B53" s="2942">
        <v>12816</v>
      </c>
      <c r="C53" s="2942"/>
    </row>
    <row r="54" spans="1:3" s="612" customFormat="1" x14ac:dyDescent="0.3">
      <c r="A54" s="397" t="s">
        <v>791</v>
      </c>
      <c r="B54" s="2942">
        <v>-1763</v>
      </c>
      <c r="C54" s="2942"/>
    </row>
    <row r="55" spans="1:3" s="612" customFormat="1" x14ac:dyDescent="0.3">
      <c r="A55" s="397" t="s">
        <v>2074</v>
      </c>
      <c r="B55" s="2942">
        <v>0</v>
      </c>
      <c r="C55" s="2942"/>
    </row>
    <row r="56" spans="1:3" s="612" customFormat="1" x14ac:dyDescent="0.3">
      <c r="A56" s="397" t="s">
        <v>279</v>
      </c>
      <c r="B56" s="2942">
        <v>-5701</v>
      </c>
      <c r="C56" s="2942"/>
    </row>
    <row r="57" spans="1:3" s="612" customFormat="1" x14ac:dyDescent="0.3">
      <c r="A57" s="397" t="s">
        <v>2075</v>
      </c>
      <c r="B57" s="2942">
        <v>240170</v>
      </c>
      <c r="C57" s="2942"/>
    </row>
    <row r="58" spans="1:3" s="612" customFormat="1" x14ac:dyDescent="0.3">
      <c r="A58" s="397"/>
      <c r="B58" s="2942"/>
      <c r="C58" s="2942"/>
    </row>
    <row r="59" spans="1:3" s="612" customFormat="1" x14ac:dyDescent="0.3">
      <c r="A59" s="397" t="s">
        <v>2076</v>
      </c>
      <c r="B59" s="2942">
        <v>154270</v>
      </c>
      <c r="C59" s="2942"/>
    </row>
    <row r="60" spans="1:3" s="612" customFormat="1" x14ac:dyDescent="0.3">
      <c r="A60" s="397"/>
      <c r="B60" s="2942"/>
      <c r="C60" s="2942"/>
    </row>
    <row r="61" spans="1:3" s="612" customFormat="1" x14ac:dyDescent="0.3">
      <c r="A61" s="397" t="s">
        <v>997</v>
      </c>
      <c r="B61" s="2942">
        <v>240170</v>
      </c>
      <c r="C61" s="2942"/>
    </row>
    <row r="62" spans="1:3" s="612" customFormat="1" x14ac:dyDescent="0.3">
      <c r="A62" s="397" t="s">
        <v>649</v>
      </c>
      <c r="B62" s="2942">
        <v>0</v>
      </c>
      <c r="C62" s="2942"/>
    </row>
    <row r="63" spans="1:3" s="612" customFormat="1" x14ac:dyDescent="0.3">
      <c r="A63" s="397"/>
      <c r="B63" s="1675"/>
    </row>
    <row r="64" spans="1:3" x14ac:dyDescent="0.3">
      <c r="A64" s="152"/>
    </row>
    <row r="65" spans="1:11" x14ac:dyDescent="0.3">
      <c r="A65" s="459" t="s">
        <v>1863</v>
      </c>
      <c r="H65" s="1303"/>
    </row>
    <row r="66" spans="1:11" x14ac:dyDescent="0.3">
      <c r="A66" s="152" t="s">
        <v>1781</v>
      </c>
    </row>
    <row r="67" spans="1:11" ht="8.25" customHeight="1" thickBot="1" x14ac:dyDescent="0.35"/>
    <row r="68" spans="1:11" x14ac:dyDescent="0.3">
      <c r="A68" s="212" t="s">
        <v>1250</v>
      </c>
      <c r="B68" s="470" t="s">
        <v>1579</v>
      </c>
      <c r="C68" s="470" t="s">
        <v>1580</v>
      </c>
      <c r="D68" s="470" t="s">
        <v>1584</v>
      </c>
      <c r="E68" s="470" t="s">
        <v>1782</v>
      </c>
      <c r="F68" s="470" t="s">
        <v>2077</v>
      </c>
      <c r="G68" s="1408" t="s">
        <v>2096</v>
      </c>
      <c r="H68" s="320"/>
      <c r="K68" s="277"/>
    </row>
    <row r="69" spans="1:11" x14ac:dyDescent="0.3">
      <c r="A69" s="214" t="s">
        <v>798</v>
      </c>
      <c r="B69" s="1417">
        <f>B27</f>
        <v>22.138999999999999</v>
      </c>
      <c r="C69" s="1417">
        <f>B77</f>
        <v>88.49803</v>
      </c>
      <c r="D69" s="1417">
        <f>C77</f>
        <v>1272.49803</v>
      </c>
      <c r="E69" s="1417">
        <f>D77</f>
        <v>11874.619041</v>
      </c>
      <c r="F69" s="1417">
        <f>E77</f>
        <v>85900.359051000007</v>
      </c>
      <c r="G69" s="1418">
        <f>B69</f>
        <v>22.138999999999999</v>
      </c>
      <c r="H69" s="320"/>
    </row>
    <row r="70" spans="1:11" x14ac:dyDescent="0.3">
      <c r="A70" s="214" t="s">
        <v>799</v>
      </c>
      <c r="B70" s="922">
        <f>B2-M29</f>
        <v>57.125</v>
      </c>
      <c r="C70" s="926">
        <f>B10-C71</f>
        <v>365.53</v>
      </c>
      <c r="D70" s="922">
        <f>B17-D71</f>
        <v>2869.4330000000004</v>
      </c>
      <c r="E70" s="922">
        <f>'6. Equity Reconc.'!B36-E71</f>
        <v>19344.099999999999</v>
      </c>
      <c r="F70" s="922">
        <f>'7. Equity Reconc. ''04-''14'!B43</f>
        <v>107301</v>
      </c>
      <c r="G70" s="1423">
        <f>SUM(B70:F70)</f>
        <v>129937.18799999999</v>
      </c>
      <c r="H70" s="1335"/>
    </row>
    <row r="71" spans="1:11" x14ac:dyDescent="0.3">
      <c r="A71" s="214" t="s">
        <v>800</v>
      </c>
      <c r="B71" s="922">
        <f>M29</f>
        <v>7.3129999999999997</v>
      </c>
      <c r="C71" s="922">
        <v>199.47</v>
      </c>
      <c r="D71" s="922">
        <f>N40</f>
        <v>1354.2469999999998</v>
      </c>
      <c r="E71" s="922">
        <f>SUM('6. Select Parent Fin''l Data'!B33:T33)</f>
        <v>14096</v>
      </c>
      <c r="F71" s="922">
        <f>'7. Equity Reconc. ''04-''14'!B44</f>
        <v>15897</v>
      </c>
      <c r="G71" s="1423">
        <f t="shared" ref="G71:G75" si="1">SUM(B71:F71)</f>
        <v>31554.03</v>
      </c>
      <c r="H71" s="1335"/>
    </row>
    <row r="72" spans="1:11" x14ac:dyDescent="0.3">
      <c r="A72" s="214" t="s">
        <v>784</v>
      </c>
      <c r="B72" s="922">
        <v>1.0000000000000001E-5</v>
      </c>
      <c r="C72" s="926">
        <f>B11</f>
        <v>486</v>
      </c>
      <c r="D72" s="922">
        <f>B22+B20</f>
        <v>5877.4089999999997</v>
      </c>
      <c r="E72" s="922">
        <f>'6. Equity Reconc.'!B37</f>
        <v>15000.040000000003</v>
      </c>
      <c r="F72" s="922">
        <f>'7. Equity Reconc. ''04-''14'!B45</f>
        <v>25720</v>
      </c>
      <c r="G72" s="1423">
        <f t="shared" si="1"/>
        <v>47083.449010000004</v>
      </c>
      <c r="H72" s="1335"/>
    </row>
    <row r="73" spans="1:11" x14ac:dyDescent="0.3">
      <c r="A73" s="214" t="s">
        <v>790</v>
      </c>
      <c r="B73" s="922">
        <v>1.0000000000000001E-5</v>
      </c>
      <c r="C73" s="926">
        <f>B12</f>
        <v>133</v>
      </c>
      <c r="D73" s="922">
        <f>B18</f>
        <v>433.03199999999998</v>
      </c>
      <c r="E73" s="922">
        <f>'6. Equity Reconc.'!B39</f>
        <v>25085.3</v>
      </c>
      <c r="F73" s="922">
        <f>'7. Equity Reconc. ''04-''14'!B46</f>
        <v>12816</v>
      </c>
      <c r="G73" s="1423">
        <f t="shared" si="1"/>
        <v>38467.332009999998</v>
      </c>
      <c r="H73" s="1335"/>
    </row>
    <row r="74" spans="1:11" x14ac:dyDescent="0.3">
      <c r="A74" s="214" t="s">
        <v>791</v>
      </c>
      <c r="B74" s="922">
        <f>B3+B4</f>
        <v>-2.5569999999999999</v>
      </c>
      <c r="C74" s="926">
        <v>0</v>
      </c>
      <c r="D74" s="922">
        <f>B21+B19</f>
        <v>69</v>
      </c>
      <c r="E74" s="922">
        <v>1.0000000000000001E-5</v>
      </c>
      <c r="F74" s="922">
        <f>'7. Equity Reconc. ''04-''14'!B47</f>
        <v>-1763</v>
      </c>
      <c r="G74" s="1423">
        <f t="shared" si="1"/>
        <v>-1696.55699</v>
      </c>
      <c r="H74" s="1335"/>
    </row>
    <row r="75" spans="1:11" x14ac:dyDescent="0.3">
      <c r="A75" s="214" t="s">
        <v>996</v>
      </c>
      <c r="B75" s="922">
        <v>1.0000000000000001E-5</v>
      </c>
      <c r="C75" s="926">
        <v>0</v>
      </c>
      <c r="D75" s="922">
        <v>1.0000000000000001E-5</v>
      </c>
      <c r="E75" s="922">
        <v>565</v>
      </c>
      <c r="F75" s="922">
        <v>0</v>
      </c>
      <c r="G75" s="1423">
        <f t="shared" si="1"/>
        <v>565.00001999999995</v>
      </c>
      <c r="H75" s="1335"/>
    </row>
    <row r="76" spans="1:11" x14ac:dyDescent="0.3">
      <c r="A76" s="214" t="s">
        <v>279</v>
      </c>
      <c r="B76" s="922">
        <f>B6</f>
        <v>4.4779999999999998</v>
      </c>
      <c r="C76" s="926">
        <v>0</v>
      </c>
      <c r="D76" s="922">
        <v>9.9999999999999995E-7</v>
      </c>
      <c r="E76" s="922">
        <f>'6. Equity Reconc.'!B41-65</f>
        <v>-64.7</v>
      </c>
      <c r="F76" s="922">
        <f>'7. Equity Reconc. ''04-''14'!B49</f>
        <v>-5701</v>
      </c>
      <c r="G76" s="1423">
        <f>SUM(B76:F76)</f>
        <v>-5761.2219990000003</v>
      </c>
      <c r="H76" s="1335"/>
    </row>
    <row r="77" spans="1:11" ht="16.2" thickBot="1" x14ac:dyDescent="0.35">
      <c r="A77" s="214" t="s">
        <v>801</v>
      </c>
      <c r="B77" s="1419">
        <f>SUM(B69:B76)</f>
        <v>88.49803</v>
      </c>
      <c r="C77" s="1419">
        <f>SUM(C69:C76)</f>
        <v>1272.49803</v>
      </c>
      <c r="D77" s="1419">
        <f>SUM(D69:D76)-1</f>
        <v>11874.619041</v>
      </c>
      <c r="E77" s="1419">
        <f>SUM(E69:E76)</f>
        <v>85900.359051000007</v>
      </c>
      <c r="F77" s="1419">
        <f>SUM(F69:F76)</f>
        <v>240170.35905100001</v>
      </c>
      <c r="G77" s="1420">
        <f>SUM(G69:G76)-1</f>
        <v>240170.35905100001</v>
      </c>
    </row>
    <row r="78" spans="1:11" ht="6.6" customHeight="1" thickTop="1" x14ac:dyDescent="0.3">
      <c r="A78" s="221"/>
      <c r="B78" s="1417"/>
      <c r="C78" s="1417"/>
      <c r="D78" s="1421"/>
      <c r="E78" s="1421"/>
      <c r="F78" s="1421"/>
      <c r="G78" s="1422"/>
    </row>
    <row r="79" spans="1:11" ht="6.6" customHeight="1" x14ac:dyDescent="0.3">
      <c r="A79" s="221"/>
      <c r="B79" s="1417"/>
      <c r="C79" s="1417"/>
      <c r="D79" s="1417"/>
      <c r="E79" s="1417"/>
      <c r="F79" s="1417"/>
      <c r="G79" s="1422"/>
    </row>
    <row r="80" spans="1:11" x14ac:dyDescent="0.3">
      <c r="A80" s="214" t="s">
        <v>803</v>
      </c>
      <c r="B80" s="1417">
        <f t="shared" ref="B80:G80" si="2">B77-B69</f>
        <v>66.359030000000004</v>
      </c>
      <c r="C80" s="1417">
        <f t="shared" si="2"/>
        <v>1184</v>
      </c>
      <c r="D80" s="1417">
        <f t="shared" si="2"/>
        <v>10602.121010999999</v>
      </c>
      <c r="E80" s="1417">
        <f t="shared" si="2"/>
        <v>74025.740010000009</v>
      </c>
      <c r="F80" s="1417">
        <f t="shared" si="2"/>
        <v>154270</v>
      </c>
      <c r="G80" s="1422">
        <f t="shared" si="2"/>
        <v>240148.22005100001</v>
      </c>
    </row>
    <row r="81" spans="1:11" ht="9" customHeight="1" x14ac:dyDescent="0.3">
      <c r="A81" s="221"/>
      <c r="B81" s="1417"/>
      <c r="C81" s="1417"/>
      <c r="D81" s="1417"/>
      <c r="E81" s="1417"/>
      <c r="F81" s="1417"/>
      <c r="G81" s="1422"/>
      <c r="K81" s="211" t="s">
        <v>176</v>
      </c>
    </row>
    <row r="82" spans="1:11" ht="16.2" thickBot="1" x14ac:dyDescent="0.35">
      <c r="A82" s="9" t="s">
        <v>1945</v>
      </c>
      <c r="B82" s="218"/>
      <c r="C82" s="218"/>
      <c r="D82" s="218"/>
      <c r="E82" s="218"/>
      <c r="F82" s="218"/>
      <c r="G82" s="219"/>
    </row>
    <row r="83" spans="1:11" x14ac:dyDescent="0.3">
      <c r="A83" s="12" t="s">
        <v>1893</v>
      </c>
      <c r="B83" s="277"/>
      <c r="C83" s="277"/>
      <c r="D83" s="277"/>
      <c r="E83" s="277"/>
      <c r="F83" s="277"/>
      <c r="G83" s="277"/>
    </row>
    <row r="84" spans="1:11" x14ac:dyDescent="0.3">
      <c r="B84" s="277"/>
      <c r="C84" s="277"/>
      <c r="D84" s="277"/>
      <c r="E84" s="277"/>
      <c r="F84" s="277"/>
      <c r="G84" s="277"/>
    </row>
    <row r="85" spans="1:11" s="309" customFormat="1" hidden="1" outlineLevel="1" x14ac:dyDescent="0.3">
      <c r="A85" s="309" t="s">
        <v>997</v>
      </c>
      <c r="E85" s="1409" t="e">
        <f>#REF!</f>
        <v>#REF!</v>
      </c>
      <c r="F85" s="1409">
        <f>'7. Equity Reconc. ''04-''14'!B15</f>
        <v>240170</v>
      </c>
    </row>
    <row r="86" spans="1:11" collapsed="1" x14ac:dyDescent="0.3">
      <c r="E86" s="1303" t="e">
        <f>E77-E85</f>
        <v>#REF!</v>
      </c>
      <c r="F86" s="1303">
        <f>F77-F85</f>
        <v>0.35905100000672974</v>
      </c>
    </row>
    <row r="87" spans="1:11" x14ac:dyDescent="0.3">
      <c r="B87" s="277"/>
      <c r="C87" s="277"/>
      <c r="D87" s="277"/>
      <c r="E87" s="277"/>
      <c r="F87" s="277"/>
      <c r="G87" s="277"/>
    </row>
    <row r="88" spans="1:11" s="309" customFormat="1" outlineLevel="1" x14ac:dyDescent="0.3">
      <c r="A88" s="309" t="s">
        <v>1010</v>
      </c>
      <c r="B88" s="1410"/>
      <c r="C88" s="1411">
        <f>C77/B77</f>
        <v>14.378828884665568</v>
      </c>
      <c r="D88" s="1411">
        <f>D77/C77</f>
        <v>9.331738644027606</v>
      </c>
      <c r="E88" s="1411">
        <f>E77/D77</f>
        <v>7.2339465168868324</v>
      </c>
      <c r="F88" s="1411">
        <f>F77/E77</f>
        <v>2.7959179880541383</v>
      </c>
      <c r="G88" s="1411"/>
    </row>
    <row r="89" spans="1:11" s="309" customFormat="1" outlineLevel="1" x14ac:dyDescent="0.3">
      <c r="A89" s="309" t="s">
        <v>1011</v>
      </c>
      <c r="C89" s="1412">
        <f>C88^0.1-1</f>
        <v>0.30548639895935081</v>
      </c>
      <c r="D89" s="1412">
        <f>D88^0.1-1</f>
        <v>0.25024825392353667</v>
      </c>
      <c r="E89" s="1412">
        <f>E88^0.1-1</f>
        <v>0.21881426722358244</v>
      </c>
      <c r="F89" s="1412">
        <f>F88^0.1-1</f>
        <v>0.10828751995430386</v>
      </c>
      <c r="G89" s="1412"/>
    </row>
    <row r="90" spans="1:11" s="309" customFormat="1" outlineLevel="1" x14ac:dyDescent="0.3">
      <c r="C90" s="1412"/>
      <c r="D90" s="1412"/>
      <c r="E90" s="1412"/>
      <c r="F90" s="1412"/>
    </row>
    <row r="91" spans="1:11" x14ac:dyDescent="0.3">
      <c r="D91" s="227"/>
      <c r="E91" s="227"/>
      <c r="F91" s="227"/>
    </row>
    <row r="92" spans="1:11" x14ac:dyDescent="0.3">
      <c r="A92" s="459" t="s">
        <v>1863</v>
      </c>
      <c r="D92" s="227"/>
      <c r="E92" s="227"/>
      <c r="F92" s="227"/>
    </row>
    <row r="93" spans="1:11" x14ac:dyDescent="0.3">
      <c r="A93" s="152" t="s">
        <v>1352</v>
      </c>
      <c r="D93" s="227"/>
      <c r="E93" s="227"/>
      <c r="F93" s="227"/>
    </row>
    <row r="94" spans="1:11" ht="8.25" customHeight="1" thickBot="1" x14ac:dyDescent="0.35">
      <c r="A94" s="1413"/>
      <c r="D94" s="227"/>
      <c r="E94" s="227"/>
      <c r="F94" s="227"/>
    </row>
    <row r="95" spans="1:11" x14ac:dyDescent="0.3">
      <c r="A95" s="212"/>
      <c r="B95" s="470" t="s">
        <v>1579</v>
      </c>
      <c r="C95" s="470" t="s">
        <v>1580</v>
      </c>
      <c r="D95" s="470" t="s">
        <v>1584</v>
      </c>
      <c r="E95" s="470" t="s">
        <v>1782</v>
      </c>
      <c r="F95" s="470" t="str">
        <f>F68</f>
        <v xml:space="preserve">2004-14 </v>
      </c>
      <c r="G95" s="1425" t="s">
        <v>2096</v>
      </c>
    </row>
    <row r="96" spans="1:11" x14ac:dyDescent="0.3">
      <c r="A96" s="214" t="s">
        <v>799</v>
      </c>
      <c r="B96" s="1867">
        <f t="shared" ref="B96:G102" si="3">B70/B$80</f>
        <v>0.86084742347801035</v>
      </c>
      <c r="C96" s="1867">
        <f t="shared" si="3"/>
        <v>0.30872466216216216</v>
      </c>
      <c r="D96" s="1867">
        <f t="shared" si="3"/>
        <v>0.27064707118725423</v>
      </c>
      <c r="E96" s="1868">
        <f t="shared" si="3"/>
        <v>0.2613158611772991</v>
      </c>
      <c r="F96" s="1867">
        <f>F70/F$80</f>
        <v>0.69554028651066313</v>
      </c>
      <c r="G96" s="1869">
        <f t="shared" si="3"/>
        <v>0.5410707935807535</v>
      </c>
      <c r="K96" s="211" t="s">
        <v>176</v>
      </c>
    </row>
    <row r="97" spans="1:12" x14ac:dyDescent="0.3">
      <c r="A97" s="214" t="s">
        <v>800</v>
      </c>
      <c r="B97" s="1867">
        <f t="shared" si="3"/>
        <v>0.11020353974432717</v>
      </c>
      <c r="C97" s="1867">
        <f t="shared" si="3"/>
        <v>0.16847128378378379</v>
      </c>
      <c r="D97" s="1867">
        <f>D71/D$80</f>
        <v>0.1277335920420952</v>
      </c>
      <c r="E97" s="1868">
        <f>E71/E$80</f>
        <v>0.19042025109233351</v>
      </c>
      <c r="F97" s="1867">
        <f>F71/F$80</f>
        <v>0.10304660659882026</v>
      </c>
      <c r="G97" s="1869">
        <f t="shared" si="3"/>
        <v>0.13139397824101676</v>
      </c>
    </row>
    <row r="98" spans="1:12" x14ac:dyDescent="0.3">
      <c r="A98" s="214" t="s">
        <v>784</v>
      </c>
      <c r="B98" s="1867">
        <f t="shared" si="3"/>
        <v>1.5069539141847009E-7</v>
      </c>
      <c r="C98" s="1867">
        <f t="shared" si="3"/>
        <v>0.41047297297297297</v>
      </c>
      <c r="D98" s="1867">
        <f t="shared" si="3"/>
        <v>0.55436162197186978</v>
      </c>
      <c r="E98" s="1868">
        <f t="shared" si="3"/>
        <v>0.20263275987479049</v>
      </c>
      <c r="F98" s="1867">
        <f t="shared" ref="F98" si="4">F72/F$80</f>
        <v>0.16672068451416347</v>
      </c>
      <c r="G98" s="1869">
        <f t="shared" si="3"/>
        <v>0.19605995413999297</v>
      </c>
    </row>
    <row r="99" spans="1:12" x14ac:dyDescent="0.3">
      <c r="A99" s="214" t="s">
        <v>790</v>
      </c>
      <c r="B99" s="1867">
        <f t="shared" si="3"/>
        <v>1.5069539141847009E-7</v>
      </c>
      <c r="C99" s="1867">
        <f t="shared" si="3"/>
        <v>0.11233108108108109</v>
      </c>
      <c r="D99" s="1867">
        <f t="shared" si="3"/>
        <v>4.0843902795555442E-2</v>
      </c>
      <c r="E99" s="1868">
        <f t="shared" si="3"/>
        <v>0.33887266775869135</v>
      </c>
      <c r="F99" s="1867">
        <f t="shared" ref="F99" si="5">F73/F$80</f>
        <v>8.3075128022298564E-2</v>
      </c>
      <c r="G99" s="1869">
        <f t="shared" si="3"/>
        <v>0.16018162450602688</v>
      </c>
    </row>
    <row r="100" spans="1:12" x14ac:dyDescent="0.3">
      <c r="A100" s="214" t="s">
        <v>791</v>
      </c>
      <c r="B100" s="1867">
        <f t="shared" si="3"/>
        <v>-3.8532811585702799E-2</v>
      </c>
      <c r="C100" s="1867">
        <f t="shared" si="3"/>
        <v>0</v>
      </c>
      <c r="D100" s="1867">
        <f t="shared" si="3"/>
        <v>6.5081317151927014E-3</v>
      </c>
      <c r="E100" s="1868">
        <f t="shared" si="3"/>
        <v>1.3508814634813672E-10</v>
      </c>
      <c r="F100" s="1867">
        <f t="shared" ref="F100" si="6">F74/F$80</f>
        <v>-1.1428015816425748E-2</v>
      </c>
      <c r="G100" s="1869">
        <f t="shared" si="3"/>
        <v>-7.0646244625077971E-3</v>
      </c>
      <c r="L100" s="211" t="s">
        <v>176</v>
      </c>
    </row>
    <row r="101" spans="1:12" x14ac:dyDescent="0.3">
      <c r="A101" s="214" t="s">
        <v>996</v>
      </c>
      <c r="B101" s="1867">
        <f t="shared" si="3"/>
        <v>1.5069539141847009E-7</v>
      </c>
      <c r="C101" s="1867">
        <f t="shared" si="3"/>
        <v>0</v>
      </c>
      <c r="D101" s="1867">
        <f t="shared" si="3"/>
        <v>9.4320749495546398E-10</v>
      </c>
      <c r="E101" s="1868">
        <f t="shared" si="3"/>
        <v>7.6324802686697241E-3</v>
      </c>
      <c r="F101" s="1867">
        <f t="shared" ref="F101" si="7">F75/F$80</f>
        <v>0</v>
      </c>
      <c r="G101" s="1869">
        <f t="shared" si="3"/>
        <v>2.3527137526982776E-3</v>
      </c>
    </row>
    <row r="102" spans="1:12" x14ac:dyDescent="0.3">
      <c r="A102" s="214" t="s">
        <v>279</v>
      </c>
      <c r="B102" s="1867">
        <f t="shared" si="3"/>
        <v>6.7481396277190908E-2</v>
      </c>
      <c r="C102" s="1867">
        <f t="shared" si="3"/>
        <v>0</v>
      </c>
      <c r="D102" s="1867">
        <f t="shared" si="3"/>
        <v>9.4320749495546395E-11</v>
      </c>
      <c r="E102" s="1868">
        <f t="shared" si="3"/>
        <v>-8.7402030687244454E-4</v>
      </c>
      <c r="F102" s="1867">
        <f>F76/F$80</f>
        <v>-3.6954689829519674E-2</v>
      </c>
      <c r="G102" s="1869">
        <f t="shared" si="3"/>
        <v>-2.3990275662990532E-2</v>
      </c>
      <c r="J102" s="211" t="s">
        <v>176</v>
      </c>
      <c r="L102" s="211" t="s">
        <v>176</v>
      </c>
    </row>
    <row r="103" spans="1:12" ht="16.2" thickBot="1" x14ac:dyDescent="0.35">
      <c r="A103" s="214" t="s">
        <v>3</v>
      </c>
      <c r="B103" s="1870">
        <f>SUM(B96:B102)</f>
        <v>0.99999999999999978</v>
      </c>
      <c r="C103" s="1870">
        <f t="shared" ref="C103:E103" si="8">SUM(C96:C102)</f>
        <v>1</v>
      </c>
      <c r="D103" s="1870">
        <f t="shared" si="8"/>
        <v>1.0000943207494957</v>
      </c>
      <c r="E103" s="1870">
        <f t="shared" si="8"/>
        <v>1</v>
      </c>
      <c r="F103" s="1870">
        <f t="shared" ref="F103" si="9">SUM(F96:F102)</f>
        <v>1</v>
      </c>
      <c r="G103" s="1871">
        <f>SUM(G96:G102)</f>
        <v>1.0000041640949897</v>
      </c>
    </row>
    <row r="104" spans="1:12" ht="9.75" customHeight="1" thickTop="1" x14ac:dyDescent="0.3">
      <c r="A104" s="214"/>
      <c r="B104" s="508"/>
      <c r="C104" s="508"/>
      <c r="D104" s="508"/>
      <c r="E104" s="508"/>
      <c r="F104" s="508"/>
      <c r="G104" s="1610"/>
    </row>
    <row r="105" spans="1:12" ht="16.2" thickBot="1" x14ac:dyDescent="0.35">
      <c r="A105" s="9" t="s">
        <v>1945</v>
      </c>
      <c r="B105" s="218"/>
      <c r="C105" s="218"/>
      <c r="D105" s="218"/>
      <c r="E105" s="218"/>
      <c r="F105" s="218"/>
      <c r="G105" s="219"/>
    </row>
    <row r="106" spans="1:12" x14ac:dyDescent="0.3">
      <c r="A106" s="12" t="s">
        <v>1893</v>
      </c>
      <c r="B106" s="277"/>
      <c r="C106" s="277"/>
      <c r="D106" s="277"/>
      <c r="E106" s="277"/>
      <c r="F106" s="277"/>
      <c r="G106" s="277"/>
    </row>
    <row r="108" spans="1:12" x14ac:dyDescent="0.3">
      <c r="A108" s="211" t="s">
        <v>998</v>
      </c>
    </row>
    <row r="109" spans="1:12" x14ac:dyDescent="0.3">
      <c r="A109" s="211" t="s">
        <v>999</v>
      </c>
    </row>
    <row r="110" spans="1:12" x14ac:dyDescent="0.3">
      <c r="A110" s="211" t="s">
        <v>1002</v>
      </c>
    </row>
    <row r="111" spans="1:12" x14ac:dyDescent="0.3">
      <c r="A111" s="211" t="s">
        <v>1000</v>
      </c>
    </row>
  </sheetData>
  <mergeCells count="14">
    <mergeCell ref="B61:C61"/>
    <mergeCell ref="B62:C62"/>
    <mergeCell ref="B55:C55"/>
    <mergeCell ref="B56:C56"/>
    <mergeCell ref="B57:C57"/>
    <mergeCell ref="B58:C58"/>
    <mergeCell ref="B59:C59"/>
    <mergeCell ref="B60:C60"/>
    <mergeCell ref="B54:C54"/>
    <mergeCell ref="B49:C49"/>
    <mergeCell ref="B50:C50"/>
    <mergeCell ref="B51:C51"/>
    <mergeCell ref="B52:C52"/>
    <mergeCell ref="B53:C53"/>
  </mergeCells>
  <pageMargins left="0.7" right="0.7" top="0.75" bottom="0.75" header="0.3" footer="0.3"/>
  <pageSetup orientation="portrait" r:id="rId1"/>
  <ignoredErrors>
    <ignoredError sqref="D77" formula="1"/>
  </ignoredErrors>
  <drawing r:id="rId2"/>
  <legacyDrawing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3BFA9-91F8-4CF2-8604-C687501C673C}">
  <sheetPr>
    <tabColor theme="4"/>
  </sheetPr>
  <dimension ref="A1:W216"/>
  <sheetViews>
    <sheetView zoomScale="55" zoomScaleNormal="55" workbookViewId="0">
      <pane xSplit="3" ySplit="1" topLeftCell="D184" activePane="bottomRight" state="frozen"/>
      <selection pane="topRight" activeCell="D1" sqref="D1"/>
      <selection pane="bottomLeft" activeCell="A2" sqref="A2"/>
      <selection pane="bottomRight" activeCell="P221" sqref="P221"/>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6" width="23.109375" style="211" bestFit="1" customWidth="1"/>
    <col min="17" max="17" width="20.6640625" style="211" bestFit="1" customWidth="1"/>
    <col min="18" max="18" width="14.109375" style="211" customWidth="1"/>
    <col min="19" max="19" width="16.6640625" style="211" customWidth="1"/>
    <col min="20" max="20" width="17.5546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156</v>
      </c>
    </row>
    <row r="2" spans="1:22" x14ac:dyDescent="0.3">
      <c r="I2" s="2230">
        <v>23653</v>
      </c>
      <c r="J2" s="230">
        <v>1137778</v>
      </c>
      <c r="P2" s="252">
        <f>'3. Financials'!M58</f>
        <v>22138753</v>
      </c>
      <c r="V2" s="2088"/>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Table2456[[#This Row],[Column3]]</f>
        <v>1965-Q1</v>
      </c>
    </row>
    <row r="4" spans="1:22" x14ac:dyDescent="0.3">
      <c r="A4" s="211">
        <v>1965</v>
      </c>
      <c r="B4" s="211" t="s">
        <v>2907</v>
      </c>
      <c r="C4" s="2088" t="str">
        <f t="shared" ref="C4:C67" si="0">CONCATENATE(A4,"-",B4)</f>
        <v>1965-Q2</v>
      </c>
      <c r="D4" s="2228"/>
      <c r="E4" s="252">
        <v>21</v>
      </c>
      <c r="F4" s="252">
        <v>16</v>
      </c>
      <c r="G4" s="252">
        <f t="shared" ref="G4:G82" si="1">AVERAGE(E4:F4)</f>
        <v>18.5</v>
      </c>
      <c r="I4" s="460"/>
      <c r="J4" s="230"/>
      <c r="L4" s="252">
        <f>K3*E4</f>
        <v>22630912.5</v>
      </c>
      <c r="M4" s="252">
        <f>K3*F4</f>
        <v>17242600</v>
      </c>
      <c r="N4" s="252">
        <f t="shared" ref="N4:N67" si="2">AVERAGE(L4:M4)</f>
        <v>19936756.25</v>
      </c>
      <c r="P4" s="252"/>
      <c r="S4" s="348">
        <f>L4/Q3</f>
        <v>0.97005838140047418</v>
      </c>
      <c r="T4" s="348">
        <f>M4/Q3</f>
        <v>0.73909210011464699</v>
      </c>
      <c r="U4" s="1043">
        <f t="shared" ref="U4:U67" si="3">AVERAGE(S4:T4)</f>
        <v>0.85457524075756064</v>
      </c>
      <c r="V4" s="2088" t="str">
        <f>Table2456[[#This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Table2456[[#This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Table2456[[#This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Table2456[[#This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Table2456[[#This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Table2456[[#This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Table2456[[#This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Table2456[[#This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Table2456[[#This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Table2456[[#This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Table2456[[#This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Table2456[[#This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Table2456[[#This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Table2456[[#This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Table2456[[#This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Table2456[[#This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Table2456[[#This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Table2456[[#This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Table2456[[#This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Table2456[[#This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Table2456[[#This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Table2456[[#This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Table2456[[#This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Table2456[[#This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30" t="str">
        <f>Table2456[[#This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Table2456[[#This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Table2456[[#This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Table2456[[#This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Table2456[[#This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Table2456[[#This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Table2456[[#This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Table2456[[#This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Table2456[[#This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Table2456[[#This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Table2456[[#This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c r="V39" s="2088" t="str">
        <f>Table2456[[#This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c r="V40" s="2088" t="str">
        <f>Table2456[[#This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c r="V41" s="2088" t="str">
        <f>Table2456[[#This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c r="V42" s="2088" t="str">
        <f>Table2456[[#This Row],[Column3]]</f>
        <v>1974-Q4</v>
      </c>
    </row>
    <row r="43" spans="1:22" x14ac:dyDescent="0.3">
      <c r="A43" s="211">
        <f t="shared" si="6"/>
        <v>1975</v>
      </c>
      <c r="B43" s="211" t="str">
        <f t="shared" si="7"/>
        <v>Q1</v>
      </c>
      <c r="C43" s="2088" t="str">
        <f t="shared" si="0"/>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si="2"/>
        <v>43590820.5</v>
      </c>
      <c r="P43" s="252">
        <f>'4. Financials'!O84</f>
        <v>92890192</v>
      </c>
      <c r="Q43" s="252">
        <f>AVERAGE(P39,P43)</f>
        <v>90544409.5</v>
      </c>
      <c r="S43" s="348">
        <f>L43/Q43</f>
        <v>0.55175155789160013</v>
      </c>
      <c r="T43" s="348">
        <f>M43/Q43</f>
        <v>0.4111090039192315</v>
      </c>
      <c r="U43" s="1043">
        <f t="shared" si="3"/>
        <v>0.48143028090541584</v>
      </c>
      <c r="V43" s="2088" t="str">
        <f>Table2456[[#This Row],[Column3]]</f>
        <v>1975-Q1</v>
      </c>
    </row>
    <row r="44" spans="1:22" x14ac:dyDescent="0.3">
      <c r="A44" s="211">
        <f t="shared" si="6"/>
        <v>1975</v>
      </c>
      <c r="B44" s="211" t="str">
        <f t="shared" si="7"/>
        <v>Q2</v>
      </c>
      <c r="C44" s="2088" t="str">
        <f t="shared" si="0"/>
        <v>1975-Q2</v>
      </c>
      <c r="E44" s="252">
        <v>51</v>
      </c>
      <c r="F44" s="252">
        <v>45</v>
      </c>
      <c r="G44" s="252">
        <f t="shared" si="1"/>
        <v>48</v>
      </c>
      <c r="J44" s="230"/>
      <c r="L44" s="252">
        <f>K43*E44</f>
        <v>49958019</v>
      </c>
      <c r="M44" s="252">
        <f>K43*F44</f>
        <v>44080605</v>
      </c>
      <c r="N44" s="252">
        <f t="shared" si="2"/>
        <v>47019312</v>
      </c>
      <c r="P44" s="252"/>
      <c r="Q44" s="252"/>
      <c r="S44" s="348">
        <f>L44/Q43</f>
        <v>0.55175155789160013</v>
      </c>
      <c r="T44" s="348">
        <f>M44/Q43</f>
        <v>0.48683960990435304</v>
      </c>
      <c r="U44" s="1043">
        <f t="shared" si="3"/>
        <v>0.51929558389797659</v>
      </c>
      <c r="V44" s="2088" t="str">
        <f>Table2456[[#This Row],[Column3]]</f>
        <v>1975-Q2</v>
      </c>
    </row>
    <row r="45" spans="1:22" x14ac:dyDescent="0.3">
      <c r="A45" s="211">
        <f t="shared" si="6"/>
        <v>1975</v>
      </c>
      <c r="B45" s="211" t="str">
        <f t="shared" si="7"/>
        <v>Q3</v>
      </c>
      <c r="C45" s="2088" t="str">
        <f t="shared" si="0"/>
        <v>1975-Q3</v>
      </c>
      <c r="E45" s="252">
        <v>60</v>
      </c>
      <c r="F45" s="252">
        <v>41</v>
      </c>
      <c r="G45" s="252">
        <f t="shared" si="1"/>
        <v>50.5</v>
      </c>
      <c r="J45" s="230"/>
      <c r="L45" s="252">
        <f>K43*E45</f>
        <v>58774140</v>
      </c>
      <c r="M45" s="252">
        <f>K43*F45</f>
        <v>40162329</v>
      </c>
      <c r="N45" s="252">
        <f t="shared" si="2"/>
        <v>49468234.5</v>
      </c>
      <c r="P45" s="252"/>
      <c r="Q45" s="252"/>
      <c r="S45" s="348">
        <f>L45/Q43</f>
        <v>0.64911947987247076</v>
      </c>
      <c r="T45" s="348">
        <f>M45/Q43</f>
        <v>0.44356497791285504</v>
      </c>
      <c r="U45" s="1043">
        <f t="shared" si="3"/>
        <v>0.54634222889266293</v>
      </c>
      <c r="V45" s="2088" t="str">
        <f>Table2456[[#This Row],[Column3]]</f>
        <v>1975-Q3</v>
      </c>
    </row>
    <row r="46" spans="1:22" x14ac:dyDescent="0.3">
      <c r="A46" s="211">
        <f t="shared" si="6"/>
        <v>1975</v>
      </c>
      <c r="B46" s="211" t="str">
        <f t="shared" si="7"/>
        <v>Q4</v>
      </c>
      <c r="C46" s="2088" t="str">
        <f t="shared" si="0"/>
        <v>1975-Q4</v>
      </c>
      <c r="E46" s="252">
        <v>43</v>
      </c>
      <c r="F46" s="252">
        <v>38</v>
      </c>
      <c r="G46" s="252">
        <f t="shared" si="1"/>
        <v>40.5</v>
      </c>
      <c r="J46" s="230"/>
      <c r="L46" s="252">
        <f>K43*E46</f>
        <v>42121467</v>
      </c>
      <c r="M46" s="252">
        <f>K43*F46</f>
        <v>37223622</v>
      </c>
      <c r="N46" s="252">
        <f t="shared" si="2"/>
        <v>39672544.5</v>
      </c>
      <c r="P46" s="252"/>
      <c r="Q46" s="252"/>
      <c r="S46" s="348">
        <f>L46/Q43</f>
        <v>0.46520229390860407</v>
      </c>
      <c r="T46" s="348">
        <f>M46/Q43</f>
        <v>0.4111090039192315</v>
      </c>
      <c r="U46" s="1043">
        <f t="shared" si="3"/>
        <v>0.43815564891391778</v>
      </c>
      <c r="V46" s="2088" t="str">
        <f>Table2456[[#This Row],[Column3]]</f>
        <v>1975-Q4</v>
      </c>
    </row>
    <row r="47" spans="1:22" x14ac:dyDescent="0.3">
      <c r="A47" s="211">
        <f t="shared" si="6"/>
        <v>1976</v>
      </c>
      <c r="B47" s="211" t="str">
        <f t="shared" si="7"/>
        <v>Q1</v>
      </c>
      <c r="C47" s="2088" t="str">
        <f t="shared" si="0"/>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2"/>
        <v>45883538.5</v>
      </c>
      <c r="P47" s="252">
        <f>'4. Financials'!N84</f>
        <v>115293133</v>
      </c>
      <c r="Q47" s="252">
        <f>AVERAGE(P43,P47)</f>
        <v>104091662.5</v>
      </c>
      <c r="S47" s="348">
        <f>L47/Q47</f>
        <v>0.52520775138931031</v>
      </c>
      <c r="T47" s="348">
        <f>M47/Q47</f>
        <v>0.35639097415703203</v>
      </c>
      <c r="U47" s="1043">
        <f t="shared" si="3"/>
        <v>0.44079936277317117</v>
      </c>
      <c r="V47" s="2088" t="str">
        <f>Table2456[[#This Row],[Column3]]</f>
        <v>1976-Q1</v>
      </c>
    </row>
    <row r="48" spans="1:22" x14ac:dyDescent="0.3">
      <c r="A48" s="211">
        <f t="shared" si="6"/>
        <v>1976</v>
      </c>
      <c r="B48" s="211" t="str">
        <f t="shared" si="7"/>
        <v>Q2</v>
      </c>
      <c r="C48" s="2088" t="str">
        <f t="shared" si="0"/>
        <v>1976-Q2</v>
      </c>
      <c r="E48" s="252">
        <v>60</v>
      </c>
      <c r="F48" s="252">
        <v>55</v>
      </c>
      <c r="G48" s="252">
        <f t="shared" si="1"/>
        <v>57.5</v>
      </c>
      <c r="J48" s="230"/>
      <c r="L48" s="252">
        <f>K47*E48</f>
        <v>58574730</v>
      </c>
      <c r="M48" s="252">
        <f>K47*F48</f>
        <v>53693502.5</v>
      </c>
      <c r="N48" s="252">
        <f t="shared" si="2"/>
        <v>56134116.25</v>
      </c>
      <c r="P48" s="252"/>
      <c r="Q48" s="252"/>
      <c r="S48" s="348">
        <f>L48/Q47</f>
        <v>0.56272259077426112</v>
      </c>
      <c r="T48" s="348">
        <f>M48/Q47</f>
        <v>0.51582904154307263</v>
      </c>
      <c r="U48" s="1043">
        <f t="shared" si="3"/>
        <v>0.53927581615866682</v>
      </c>
      <c r="V48" s="2088" t="str">
        <f>Table2456[[#This Row],[Column3]]</f>
        <v>1976-Q2</v>
      </c>
    </row>
    <row r="49" spans="1:22" x14ac:dyDescent="0.3">
      <c r="A49" s="211">
        <f t="shared" si="6"/>
        <v>1976</v>
      </c>
      <c r="B49" s="211" t="str">
        <f t="shared" si="7"/>
        <v>Q3</v>
      </c>
      <c r="C49" s="2088" t="str">
        <f t="shared" si="0"/>
        <v>1976-Q3</v>
      </c>
      <c r="E49" s="252">
        <v>73</v>
      </c>
      <c r="F49" s="252">
        <v>61</v>
      </c>
      <c r="G49" s="252">
        <f t="shared" si="1"/>
        <v>67</v>
      </c>
      <c r="J49" s="230"/>
      <c r="L49" s="252">
        <f>K47*E49</f>
        <v>71265921.5</v>
      </c>
      <c r="M49" s="252">
        <f>K47*F49</f>
        <v>59550975.5</v>
      </c>
      <c r="N49" s="252">
        <f t="shared" si="2"/>
        <v>65408448.5</v>
      </c>
      <c r="P49" s="252"/>
      <c r="Q49" s="252"/>
      <c r="S49" s="348">
        <f>L49/Q47</f>
        <v>0.68464581877535102</v>
      </c>
      <c r="T49" s="348">
        <f>M49/Q47</f>
        <v>0.5721013006204988</v>
      </c>
      <c r="U49" s="1043">
        <f t="shared" si="3"/>
        <v>0.62837355969792497</v>
      </c>
      <c r="V49" s="2088" t="str">
        <f>Table2456[[#This Row],[Column3]]</f>
        <v>1976-Q3</v>
      </c>
    </row>
    <row r="50" spans="1:22" x14ac:dyDescent="0.3">
      <c r="A50" s="211">
        <f t="shared" si="6"/>
        <v>1976</v>
      </c>
      <c r="B50" s="211" t="str">
        <f t="shared" si="7"/>
        <v>Q4</v>
      </c>
      <c r="C50" s="2088" t="str">
        <f t="shared" si="0"/>
        <v>1976-Q4</v>
      </c>
      <c r="E50" s="252">
        <v>95</v>
      </c>
      <c r="F50" s="252">
        <v>66</v>
      </c>
      <c r="G50" s="252">
        <f t="shared" si="1"/>
        <v>80.5</v>
      </c>
      <c r="J50" s="230"/>
      <c r="L50" s="252">
        <f>K47*E50</f>
        <v>92743322.5</v>
      </c>
      <c r="M50" s="252">
        <f>K47*F50</f>
        <v>64432203</v>
      </c>
      <c r="N50" s="252">
        <f t="shared" si="2"/>
        <v>78587762.75</v>
      </c>
      <c r="P50" s="252"/>
      <c r="Q50" s="252"/>
      <c r="S50" s="348">
        <f>L50/Q47</f>
        <v>0.89097743539258012</v>
      </c>
      <c r="T50" s="348">
        <f>M50/Q47</f>
        <v>0.61899484985168718</v>
      </c>
      <c r="U50" s="1043">
        <f t="shared" si="3"/>
        <v>0.75498614262213359</v>
      </c>
      <c r="V50" s="2088" t="str">
        <f>Table2456[[#This Row],[Column3]]</f>
        <v>1976-Q4</v>
      </c>
    </row>
    <row r="51" spans="1:22" x14ac:dyDescent="0.3">
      <c r="A51" s="211">
        <f t="shared" si="6"/>
        <v>1977</v>
      </c>
      <c r="B51" s="211" t="str">
        <f t="shared" si="7"/>
        <v>Q1</v>
      </c>
      <c r="C51" s="2088" t="str">
        <f t="shared" si="0"/>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si="2"/>
        <v>91163891</v>
      </c>
      <c r="P51" s="252">
        <f>'4. Financials'!M84</f>
        <v>141788403</v>
      </c>
      <c r="Q51" s="252">
        <f>AVERAGE(P47,P51)</f>
        <v>128540768</v>
      </c>
      <c r="S51" s="348">
        <f>L51/Q51</f>
        <v>0.75598347910913366</v>
      </c>
      <c r="T51" s="348">
        <f>M51/Q51</f>
        <v>0.66245974973480792</v>
      </c>
      <c r="U51" s="1043">
        <f t="shared" si="3"/>
        <v>0.70922161442197074</v>
      </c>
      <c r="V51" s="2088" t="str">
        <f>Table2456[[#This Row],[Column3]]</f>
        <v>1977-Q1</v>
      </c>
    </row>
    <row r="52" spans="1:22" x14ac:dyDescent="0.3">
      <c r="A52" s="211">
        <f t="shared" si="6"/>
        <v>1977</v>
      </c>
      <c r="B52" s="211" t="str">
        <f t="shared" si="7"/>
        <v>Q2</v>
      </c>
      <c r="C52" s="2088" t="str">
        <f t="shared" si="0"/>
        <v>1977-Q2</v>
      </c>
      <c r="E52" s="252">
        <v>100</v>
      </c>
      <c r="F52" s="252">
        <v>95</v>
      </c>
      <c r="G52" s="252">
        <f t="shared" si="1"/>
        <v>97.5</v>
      </c>
      <c r="J52" s="230"/>
      <c r="L52" s="252">
        <f>K51*E52</f>
        <v>100180100</v>
      </c>
      <c r="M52" s="252">
        <f>K51*F52</f>
        <v>95171095</v>
      </c>
      <c r="N52" s="252">
        <f t="shared" si="2"/>
        <v>97675597.5</v>
      </c>
      <c r="P52" s="252"/>
      <c r="Q52" s="252"/>
      <c r="S52" s="348">
        <f>L52/Q51</f>
        <v>0.77936441145271518</v>
      </c>
      <c r="T52" s="348">
        <f>M52/Q51</f>
        <v>0.74039619088007935</v>
      </c>
      <c r="U52" s="1043">
        <f t="shared" si="3"/>
        <v>0.75988030116639727</v>
      </c>
      <c r="V52" s="2088" t="str">
        <f>Table2456[[#This Row],[Column3]]</f>
        <v>1977-Q2</v>
      </c>
    </row>
    <row r="53" spans="1:22" x14ac:dyDescent="0.3">
      <c r="A53" s="211">
        <f t="shared" si="6"/>
        <v>1977</v>
      </c>
      <c r="B53" s="211" t="str">
        <f t="shared" si="7"/>
        <v>Q3</v>
      </c>
      <c r="C53" s="2088" t="str">
        <f t="shared" si="0"/>
        <v>1977-Q3</v>
      </c>
      <c r="E53" s="252">
        <v>107</v>
      </c>
      <c r="F53" s="252">
        <v>100</v>
      </c>
      <c r="G53" s="252">
        <f t="shared" si="1"/>
        <v>103.5</v>
      </c>
      <c r="J53" s="230"/>
      <c r="L53" s="252">
        <f>K51*E53</f>
        <v>107192707</v>
      </c>
      <c r="M53" s="252">
        <f>K51*F53</f>
        <v>100180100</v>
      </c>
      <c r="N53" s="252">
        <f t="shared" si="2"/>
        <v>103686403.5</v>
      </c>
      <c r="P53" s="252"/>
      <c r="Q53" s="252"/>
      <c r="S53" s="348">
        <f>L53/Q51</f>
        <v>0.8339199202544052</v>
      </c>
      <c r="T53" s="348">
        <f>M53/Q51</f>
        <v>0.77936441145271518</v>
      </c>
      <c r="U53" s="1043">
        <f t="shared" si="3"/>
        <v>0.80664216585356019</v>
      </c>
      <c r="V53" s="2088" t="str">
        <f>Table2456[[#This Row],[Column3]]</f>
        <v>1977-Q3</v>
      </c>
    </row>
    <row r="54" spans="1:22" x14ac:dyDescent="0.3">
      <c r="A54" s="211">
        <f t="shared" si="6"/>
        <v>1977</v>
      </c>
      <c r="B54" s="211" t="str">
        <f t="shared" si="7"/>
        <v>Q4</v>
      </c>
      <c r="C54" s="2088" t="str">
        <f t="shared" si="0"/>
        <v>1977-Q4</v>
      </c>
      <c r="E54" s="252">
        <v>139</v>
      </c>
      <c r="F54" s="252">
        <v>107</v>
      </c>
      <c r="G54" s="252">
        <f t="shared" si="1"/>
        <v>123</v>
      </c>
      <c r="J54" s="230"/>
      <c r="L54" s="252">
        <f>K51*E54</f>
        <v>139250339</v>
      </c>
      <c r="M54" s="252">
        <f>K51*F54</f>
        <v>107192707</v>
      </c>
      <c r="N54" s="252">
        <f t="shared" si="2"/>
        <v>123221523</v>
      </c>
      <c r="P54" s="252"/>
      <c r="Q54" s="252"/>
      <c r="S54" s="348">
        <f>L54/Q51</f>
        <v>1.0833165319192741</v>
      </c>
      <c r="T54" s="348">
        <f>M54/Q51</f>
        <v>0.8339199202544052</v>
      </c>
      <c r="U54" s="1043">
        <f t="shared" si="3"/>
        <v>0.95861822608683966</v>
      </c>
      <c r="V54" s="2088" t="str">
        <f>Table2456[[#This Row],[Column3]]</f>
        <v>1977-Q4</v>
      </c>
    </row>
    <row r="55" spans="1:22" x14ac:dyDescent="0.3">
      <c r="A55" s="211">
        <f t="shared" si="6"/>
        <v>1978</v>
      </c>
      <c r="B55" s="211" t="str">
        <f t="shared" si="7"/>
        <v>Q1</v>
      </c>
      <c r="C55" s="2088" t="str">
        <f t="shared" si="0"/>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2"/>
        <v>141989925</v>
      </c>
      <c r="P55" s="252">
        <f>'4. Financials'!J84</f>
        <v>254166000</v>
      </c>
      <c r="Q55" s="252">
        <f>AVERAGE(P51,P55)</f>
        <v>197977201.5</v>
      </c>
      <c r="S55" s="348">
        <f>L55/Q55</f>
        <v>0.73799191974132439</v>
      </c>
      <c r="T55" s="348">
        <f>M55/Q55</f>
        <v>0.69641491017843282</v>
      </c>
      <c r="U55" s="1043">
        <f t="shared" si="3"/>
        <v>0.7172034149598786</v>
      </c>
      <c r="V55" s="2088" t="str">
        <f>Table2456[[#This Row],[Column3]]</f>
        <v>1978-Q1</v>
      </c>
    </row>
    <row r="56" spans="1:22" x14ac:dyDescent="0.3">
      <c r="A56" s="211">
        <f t="shared" si="6"/>
        <v>1978</v>
      </c>
      <c r="B56" s="211" t="str">
        <f t="shared" si="7"/>
        <v>Q2</v>
      </c>
      <c r="C56" s="2088" t="str">
        <f t="shared" si="0"/>
        <v>1978-Q2</v>
      </c>
      <c r="E56" s="252">
        <v>180</v>
      </c>
      <c r="F56" s="252">
        <v>142</v>
      </c>
      <c r="G56" s="252">
        <f t="shared" si="1"/>
        <v>161</v>
      </c>
      <c r="J56" s="230"/>
      <c r="L56" s="252">
        <f>K55*E56</f>
        <v>185204250</v>
      </c>
      <c r="M56" s="252">
        <f>K55*F56</f>
        <v>146105575</v>
      </c>
      <c r="N56" s="252">
        <f t="shared" si="2"/>
        <v>165654912.5</v>
      </c>
      <c r="P56" s="252"/>
      <c r="Q56" s="252"/>
      <c r="S56" s="348">
        <f>L56/Q55</f>
        <v>0.9354827151650591</v>
      </c>
      <c r="T56" s="348">
        <f>M56/Q55</f>
        <v>0.73799191974132439</v>
      </c>
      <c r="U56" s="1043">
        <f t="shared" si="3"/>
        <v>0.8367373174531918</v>
      </c>
      <c r="V56" s="2088" t="str">
        <f>Table2456[[#This Row],[Column3]]</f>
        <v>1978-Q2</v>
      </c>
    </row>
    <row r="57" spans="1:22" x14ac:dyDescent="0.3">
      <c r="A57" s="211">
        <f t="shared" si="6"/>
        <v>1978</v>
      </c>
      <c r="B57" s="211" t="str">
        <f t="shared" si="7"/>
        <v>Q3</v>
      </c>
      <c r="C57" s="2088" t="str">
        <f t="shared" si="0"/>
        <v>1978-Q3</v>
      </c>
      <c r="E57" s="252">
        <v>180</v>
      </c>
      <c r="F57" s="252">
        <v>165</v>
      </c>
      <c r="G57" s="252">
        <f t="shared" si="1"/>
        <v>172.5</v>
      </c>
      <c r="J57" s="230"/>
      <c r="L57" s="252">
        <f>K55*E57</f>
        <v>185204250</v>
      </c>
      <c r="M57" s="252">
        <f>K55*F57</f>
        <v>169770562.5</v>
      </c>
      <c r="N57" s="252">
        <f t="shared" si="2"/>
        <v>177487406.25</v>
      </c>
      <c r="P57" s="252"/>
      <c r="Q57" s="252"/>
      <c r="S57" s="348">
        <f>L57/Q55</f>
        <v>0.9354827151650591</v>
      </c>
      <c r="T57" s="348">
        <f>M57/Q55</f>
        <v>0.85752582223463747</v>
      </c>
      <c r="U57" s="1043">
        <f t="shared" si="3"/>
        <v>0.89650426869984834</v>
      </c>
      <c r="V57" s="2088" t="str">
        <f>Table2456[[#This Row],[Column3]]</f>
        <v>1978-Q3</v>
      </c>
    </row>
    <row r="58" spans="1:22" x14ac:dyDescent="0.3">
      <c r="A58" s="211">
        <f t="shared" si="6"/>
        <v>1978</v>
      </c>
      <c r="B58" s="211" t="str">
        <f t="shared" si="7"/>
        <v>Q4</v>
      </c>
      <c r="C58" s="2088" t="str">
        <f t="shared" si="0"/>
        <v>1978-Q4</v>
      </c>
      <c r="E58" s="252">
        <v>189</v>
      </c>
      <c r="F58" s="252">
        <v>152</v>
      </c>
      <c r="G58" s="252">
        <f t="shared" si="1"/>
        <v>170.5</v>
      </c>
      <c r="J58" s="230"/>
      <c r="L58" s="252">
        <f>K55*E58</f>
        <v>194464462.5</v>
      </c>
      <c r="M58" s="252">
        <f>K55*F58</f>
        <v>156394700</v>
      </c>
      <c r="N58" s="252">
        <f t="shared" si="2"/>
        <v>175429581.25</v>
      </c>
      <c r="P58" s="252"/>
      <c r="Q58" s="252"/>
      <c r="S58" s="348">
        <f>L58/Q55</f>
        <v>0.98225685092331194</v>
      </c>
      <c r="T58" s="348">
        <f>M58/Q55</f>
        <v>0.78996318169493873</v>
      </c>
      <c r="U58" s="1043">
        <f t="shared" si="3"/>
        <v>0.88611001630912534</v>
      </c>
      <c r="V58" s="2088" t="str">
        <f>Table2456[[#This Row],[Column3]]</f>
        <v>1978-Q4</v>
      </c>
    </row>
    <row r="59" spans="1:22" x14ac:dyDescent="0.3">
      <c r="A59" s="211">
        <f t="shared" si="6"/>
        <v>1979</v>
      </c>
      <c r="B59" s="211" t="str">
        <f t="shared" si="7"/>
        <v>Q1</v>
      </c>
      <c r="C59" s="2088" t="str">
        <f t="shared" si="0"/>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si="2"/>
        <v>174101077.5</v>
      </c>
      <c r="P59" s="252">
        <f>'4. Financials'!I84</f>
        <v>344962000</v>
      </c>
      <c r="Q59" s="252">
        <f>AVERAGE(P55,P59)</f>
        <v>299564000</v>
      </c>
      <c r="S59" s="348">
        <f>L59/Q59</f>
        <v>0.63432797332122681</v>
      </c>
      <c r="T59" s="348">
        <f>M59/Q59</f>
        <v>0.52803517779172393</v>
      </c>
      <c r="U59" s="1043">
        <f t="shared" si="3"/>
        <v>0.58118157555647532</v>
      </c>
      <c r="V59" s="2088" t="str">
        <f>Table2456[[#This Row],[Column3]]</f>
        <v>1979-Q1</v>
      </c>
    </row>
    <row r="60" spans="1:22" x14ac:dyDescent="0.3">
      <c r="A60" s="211">
        <f t="shared" si="6"/>
        <v>1979</v>
      </c>
      <c r="B60" s="211" t="str">
        <f t="shared" si="7"/>
        <v>Q2</v>
      </c>
      <c r="C60" s="2088" t="str">
        <f t="shared" si="0"/>
        <v>1979-Q2</v>
      </c>
      <c r="E60" s="252">
        <v>215</v>
      </c>
      <c r="F60" s="252">
        <v>185</v>
      </c>
      <c r="G60" s="252">
        <f t="shared" si="1"/>
        <v>200</v>
      </c>
      <c r="J60" s="230"/>
      <c r="L60" s="252">
        <f>K59*E60</f>
        <v>220836175</v>
      </c>
      <c r="M60" s="252">
        <f>K59*F60</f>
        <v>190021825</v>
      </c>
      <c r="N60" s="252">
        <f t="shared" si="2"/>
        <v>205429000</v>
      </c>
      <c r="P60" s="252"/>
      <c r="Q60" s="252"/>
      <c r="S60" s="348">
        <f>L60/Q59</f>
        <v>0.73719196899493933</v>
      </c>
      <c r="T60" s="348">
        <f>M60/Q59</f>
        <v>0.63432797332122681</v>
      </c>
      <c r="U60" s="1043">
        <f t="shared" si="3"/>
        <v>0.68575997115808307</v>
      </c>
      <c r="V60" s="2088" t="str">
        <f>Table2456[[#This Row],[Column3]]</f>
        <v>1979-Q2</v>
      </c>
    </row>
    <row r="61" spans="1:22" x14ac:dyDescent="0.3">
      <c r="A61" s="211">
        <f t="shared" si="6"/>
        <v>1979</v>
      </c>
      <c r="B61" s="211" t="str">
        <f t="shared" si="7"/>
        <v>Q3</v>
      </c>
      <c r="C61" s="2088" t="str">
        <f t="shared" si="0"/>
        <v>1979-Q3</v>
      </c>
      <c r="E61" s="252">
        <v>350</v>
      </c>
      <c r="F61" s="252">
        <v>215</v>
      </c>
      <c r="G61" s="252">
        <f t="shared" si="1"/>
        <v>282.5</v>
      </c>
      <c r="J61" s="230"/>
      <c r="L61" s="252">
        <f>K59*E61</f>
        <v>359500750</v>
      </c>
      <c r="M61" s="252">
        <f>K59*F61</f>
        <v>220836175</v>
      </c>
      <c r="N61" s="252">
        <f t="shared" si="2"/>
        <v>290168462.5</v>
      </c>
      <c r="P61" s="252"/>
      <c r="Q61" s="252"/>
      <c r="S61" s="348">
        <f>L61/Q59</f>
        <v>1.2000799495266454</v>
      </c>
      <c r="T61" s="348">
        <f>M61/Q59</f>
        <v>0.73719196899493933</v>
      </c>
      <c r="U61" s="1043">
        <f t="shared" si="3"/>
        <v>0.96863595926079238</v>
      </c>
      <c r="V61" s="2088" t="str">
        <f>Table2456[[#This Row],[Column3]]</f>
        <v>1979-Q3</v>
      </c>
    </row>
    <row r="62" spans="1:22" x14ac:dyDescent="0.3">
      <c r="A62" s="211">
        <f t="shared" si="6"/>
        <v>1979</v>
      </c>
      <c r="B62" s="211" t="str">
        <f t="shared" si="7"/>
        <v>Q4</v>
      </c>
      <c r="C62" s="2088" t="str">
        <f t="shared" si="0"/>
        <v>1979-Q4</v>
      </c>
      <c r="E62" s="252">
        <v>335</v>
      </c>
      <c r="F62" s="252">
        <v>240</v>
      </c>
      <c r="G62" s="252">
        <f t="shared" si="1"/>
        <v>287.5</v>
      </c>
      <c r="J62" s="230"/>
      <c r="L62" s="252">
        <f>K59*E62</f>
        <v>344093575</v>
      </c>
      <c r="M62" s="252">
        <f>K59*F62</f>
        <v>246514800</v>
      </c>
      <c r="N62" s="252">
        <f t="shared" si="2"/>
        <v>295304187.5</v>
      </c>
      <c r="P62" s="252"/>
      <c r="Q62" s="252"/>
      <c r="S62" s="348">
        <f>L62/Q59</f>
        <v>1.1486479516897892</v>
      </c>
      <c r="T62" s="348">
        <f>M62/Q59</f>
        <v>0.82291196538969968</v>
      </c>
      <c r="U62" s="1043">
        <f t="shared" si="3"/>
        <v>0.98577995853974443</v>
      </c>
      <c r="V62" s="2088" t="str">
        <f>Table2456[[#This Row],[Column3]]</f>
        <v>1979-Q4</v>
      </c>
    </row>
    <row r="63" spans="1:22" x14ac:dyDescent="0.3">
      <c r="A63" s="211">
        <f t="shared" si="6"/>
        <v>1980</v>
      </c>
      <c r="B63" s="211" t="str">
        <f t="shared" si="7"/>
        <v>Q1</v>
      </c>
      <c r="C63" s="2088" t="str">
        <f t="shared" si="0"/>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2"/>
        <v>312046620</v>
      </c>
      <c r="P63" s="252">
        <f>'4. Financials'!H84</f>
        <v>395214000</v>
      </c>
      <c r="Q63" s="252">
        <f>AVERAGE(P59,P63)</f>
        <v>370088000</v>
      </c>
      <c r="S63" s="348">
        <f>L63/Q63</f>
        <v>0.97916365837314367</v>
      </c>
      <c r="T63" s="348">
        <f>M63/Q63</f>
        <v>0.70717375326949261</v>
      </c>
      <c r="U63" s="1043">
        <f t="shared" si="3"/>
        <v>0.8431687058213182</v>
      </c>
      <c r="V63" s="2088" t="str">
        <f>Table2456[[#This Row],[Column3]]</f>
        <v>1980-Q1</v>
      </c>
    </row>
    <row r="64" spans="1:22" x14ac:dyDescent="0.3">
      <c r="A64" s="211">
        <f t="shared" si="6"/>
        <v>1980</v>
      </c>
      <c r="B64" s="211" t="str">
        <f t="shared" si="7"/>
        <v>Q2</v>
      </c>
      <c r="C64" s="2088" t="str">
        <f t="shared" si="0"/>
        <v>1980-Q2</v>
      </c>
      <c r="E64" s="252">
        <v>340</v>
      </c>
      <c r="F64" s="252">
        <v>250</v>
      </c>
      <c r="G64" s="252">
        <f t="shared" si="1"/>
        <v>295</v>
      </c>
      <c r="J64" s="230"/>
      <c r="L64" s="252">
        <f>K63*E64</f>
        <v>342244680</v>
      </c>
      <c r="M64" s="252">
        <f>K63*F64</f>
        <v>251650500</v>
      </c>
      <c r="N64" s="252">
        <f t="shared" si="2"/>
        <v>296947590</v>
      </c>
      <c r="P64" s="252"/>
      <c r="Q64" s="252"/>
      <c r="S64" s="348">
        <f>L64/Q63</f>
        <v>0.92476567735241344</v>
      </c>
      <c r="T64" s="348">
        <f>M64/Q63</f>
        <v>0.6799747627591276</v>
      </c>
      <c r="U64" s="1043">
        <f t="shared" si="3"/>
        <v>0.80237022005577052</v>
      </c>
      <c r="V64" s="2088" t="str">
        <f>Table2456[[#This Row],[Column3]]</f>
        <v>1980-Q2</v>
      </c>
    </row>
    <row r="65" spans="1:22" x14ac:dyDescent="0.3">
      <c r="A65" s="211">
        <f t="shared" si="6"/>
        <v>1980</v>
      </c>
      <c r="B65" s="211" t="str">
        <f t="shared" si="7"/>
        <v>Q3</v>
      </c>
      <c r="C65" s="2088" t="str">
        <f t="shared" si="0"/>
        <v>1980-Q3</v>
      </c>
      <c r="E65" s="252">
        <v>415</v>
      </c>
      <c r="F65" s="252">
        <v>305</v>
      </c>
      <c r="G65" s="252">
        <f t="shared" si="1"/>
        <v>360</v>
      </c>
      <c r="J65" s="230"/>
      <c r="L65" s="252">
        <f>K63*E65</f>
        <v>417739830</v>
      </c>
      <c r="M65" s="252">
        <f>K63*F65</f>
        <v>307013610</v>
      </c>
      <c r="N65" s="252">
        <f t="shared" si="2"/>
        <v>362376720</v>
      </c>
      <c r="P65" s="252"/>
      <c r="Q65" s="252"/>
      <c r="S65" s="348">
        <f>L65/Q63</f>
        <v>1.1287581061801517</v>
      </c>
      <c r="T65" s="348">
        <f>M65/Q63</f>
        <v>0.82956921056613564</v>
      </c>
      <c r="U65" s="1043">
        <f t="shared" si="3"/>
        <v>0.97916365837314367</v>
      </c>
      <c r="V65" s="2088" t="str">
        <f>Table2456[[#This Row],[Column3]]</f>
        <v>1980-Q3</v>
      </c>
    </row>
    <row r="66" spans="1:22" x14ac:dyDescent="0.3">
      <c r="A66" s="211">
        <f t="shared" si="6"/>
        <v>1980</v>
      </c>
      <c r="B66" s="211" t="str">
        <f t="shared" si="7"/>
        <v>Q4</v>
      </c>
      <c r="C66" s="2088" t="str">
        <f t="shared" si="0"/>
        <v>1980-Q4</v>
      </c>
      <c r="E66" s="252">
        <v>490</v>
      </c>
      <c r="F66" s="252">
        <v>385</v>
      </c>
      <c r="G66" s="252">
        <f t="shared" si="1"/>
        <v>437.5</v>
      </c>
      <c r="J66" s="230"/>
      <c r="L66" s="252">
        <f>K63*E66</f>
        <v>493234980</v>
      </c>
      <c r="M66" s="252">
        <f>K63*F66</f>
        <v>387541770</v>
      </c>
      <c r="N66" s="252">
        <f t="shared" si="2"/>
        <v>440388375</v>
      </c>
      <c r="P66" s="252"/>
      <c r="Q66" s="252"/>
      <c r="S66" s="348">
        <f>L66/Q63</f>
        <v>1.3327505350078901</v>
      </c>
      <c r="T66" s="348">
        <f>M66/Q63</f>
        <v>1.0471611346490564</v>
      </c>
      <c r="U66" s="1043">
        <f t="shared" si="3"/>
        <v>1.1899558348284733</v>
      </c>
      <c r="V66" s="2088" t="str">
        <f>Table2456[[#This Row],[Column3]]</f>
        <v>1980-Q4</v>
      </c>
    </row>
    <row r="67" spans="1:22" x14ac:dyDescent="0.3">
      <c r="A67" s="211">
        <f t="shared" si="6"/>
        <v>1981</v>
      </c>
      <c r="B67" s="211" t="str">
        <f t="shared" si="7"/>
        <v>Q1</v>
      </c>
      <c r="C67" s="2088" t="str">
        <f t="shared" si="0"/>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2"/>
        <v>458622060</v>
      </c>
      <c r="P67" s="252">
        <f>'4. Financials'!G84</f>
        <v>519463000</v>
      </c>
      <c r="Q67" s="252">
        <f>AVERAGE(P63,P67)</f>
        <v>457338500</v>
      </c>
      <c r="S67" s="348">
        <f>L67/Q67</f>
        <v>1.0890695185294919</v>
      </c>
      <c r="T67" s="348">
        <f>M67/Q67</f>
        <v>0.91654365420798822</v>
      </c>
      <c r="U67" s="1043">
        <f t="shared" si="3"/>
        <v>1.0028065863687401</v>
      </c>
      <c r="V67" s="2088" t="str">
        <f>Table2456[[#This Row],[Column3]]</f>
        <v>1981-Q1</v>
      </c>
    </row>
    <row r="68" spans="1:22" x14ac:dyDescent="0.3">
      <c r="A68" s="211">
        <f t="shared" si="6"/>
        <v>1981</v>
      </c>
      <c r="B68" s="211" t="str">
        <f t="shared" si="7"/>
        <v>Q2</v>
      </c>
      <c r="C68" s="2088" t="str">
        <f t="shared" ref="C68:C131" si="8">CONCATENATE(A68,"-",B68)</f>
        <v>1981-Q2</v>
      </c>
      <c r="E68" s="252">
        <v>525</v>
      </c>
      <c r="F68" s="252">
        <v>485</v>
      </c>
      <c r="G68" s="252">
        <f t="shared" si="1"/>
        <v>505</v>
      </c>
      <c r="J68" s="230"/>
      <c r="L68" s="252">
        <f>K67*E68</f>
        <v>517799100</v>
      </c>
      <c r="M68" s="252">
        <f>K67*F68</f>
        <v>478347740</v>
      </c>
      <c r="N68" s="252">
        <f t="shared" ref="N68:N121" si="9">AVERAGE(L68:M68)</f>
        <v>498073420</v>
      </c>
      <c r="P68" s="252"/>
      <c r="Q68" s="252"/>
      <c r="S68" s="348">
        <f>L68/Q67</f>
        <v>1.1322009846098677</v>
      </c>
      <c r="T68" s="348">
        <f>M68/Q67</f>
        <v>1.045938052449116</v>
      </c>
      <c r="U68" s="1043">
        <f t="shared" ref="U68:U131" si="10">AVERAGE(S68:T68)</f>
        <v>1.0890695185294919</v>
      </c>
      <c r="V68" s="2088" t="str">
        <f>Table2456[[#This Row],[Column3]]</f>
        <v>1981-Q2</v>
      </c>
    </row>
    <row r="69" spans="1:22" x14ac:dyDescent="0.3">
      <c r="A69" s="211">
        <f t="shared" si="6"/>
        <v>1981</v>
      </c>
      <c r="B69" s="211" t="str">
        <f t="shared" si="7"/>
        <v>Q3</v>
      </c>
      <c r="C69" s="2088" t="str">
        <f t="shared" si="8"/>
        <v>1981-Q3</v>
      </c>
      <c r="E69" s="252">
        <v>520</v>
      </c>
      <c r="F69" s="252">
        <v>460</v>
      </c>
      <c r="G69" s="252">
        <f t="shared" si="1"/>
        <v>490</v>
      </c>
      <c r="J69" s="230"/>
      <c r="L69" s="252">
        <f>K67*E69</f>
        <v>512867680</v>
      </c>
      <c r="M69" s="252">
        <f>K67*F69</f>
        <v>453690640</v>
      </c>
      <c r="N69" s="252">
        <f t="shared" si="9"/>
        <v>483279160</v>
      </c>
      <c r="P69" s="252"/>
      <c r="Q69" s="252"/>
      <c r="S69" s="348">
        <f>L69/Q67</f>
        <v>1.1214181180897738</v>
      </c>
      <c r="T69" s="348">
        <f>M69/Q67</f>
        <v>0.99202371984864601</v>
      </c>
      <c r="U69" s="1043">
        <f t="shared" si="10"/>
        <v>1.0567209189692099</v>
      </c>
      <c r="V69" s="2088" t="str">
        <f>Table2456[[#This Row],[Column3]]</f>
        <v>1981-Q3</v>
      </c>
    </row>
    <row r="70" spans="1:22" x14ac:dyDescent="0.3">
      <c r="A70" s="211">
        <f t="shared" si="6"/>
        <v>1981</v>
      </c>
      <c r="B70" s="211" t="str">
        <f t="shared" si="7"/>
        <v>Q4</v>
      </c>
      <c r="C70" s="2088" t="str">
        <f t="shared" si="8"/>
        <v>1981-Q4</v>
      </c>
      <c r="E70" s="252">
        <v>590</v>
      </c>
      <c r="F70" s="252">
        <v>460</v>
      </c>
      <c r="G70" s="252">
        <f t="shared" si="1"/>
        <v>525</v>
      </c>
      <c r="J70" s="230"/>
      <c r="L70" s="252">
        <f>K67*E70</f>
        <v>581907560</v>
      </c>
      <c r="M70" s="252">
        <f>K67*F70</f>
        <v>453690640</v>
      </c>
      <c r="N70" s="252">
        <f t="shared" si="9"/>
        <v>517799100</v>
      </c>
      <c r="P70" s="252"/>
      <c r="Q70" s="252"/>
      <c r="S70" s="348">
        <f>L70/Q67</f>
        <v>1.2723782493710896</v>
      </c>
      <c r="T70" s="348">
        <f>M70/Q67</f>
        <v>0.99202371984864601</v>
      </c>
      <c r="U70" s="1043">
        <f t="shared" si="10"/>
        <v>1.1322009846098677</v>
      </c>
      <c r="V70" s="2088" t="str">
        <f>Table2456[[#This Row],[Column3]]</f>
        <v>1981-Q4</v>
      </c>
    </row>
    <row r="71" spans="1:22" x14ac:dyDescent="0.3">
      <c r="A71" s="211">
        <f t="shared" si="6"/>
        <v>1982</v>
      </c>
      <c r="B71" s="211" t="str">
        <f t="shared" si="7"/>
        <v>Q1</v>
      </c>
      <c r="C71" s="2088" t="str">
        <f t="shared" si="8"/>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9"/>
        <v>505585862.5</v>
      </c>
      <c r="P71" s="252">
        <f>'4. Financials'!D84</f>
        <v>727483000</v>
      </c>
      <c r="Q71" s="252">
        <f>AVERAGE(P67,P71)</f>
        <v>623473000</v>
      </c>
      <c r="S71" s="348">
        <f>L71/Q71</f>
        <v>0.88607692714840902</v>
      </c>
      <c r="T71" s="348">
        <f>M71/Q71</f>
        <v>0.73576030557858962</v>
      </c>
      <c r="U71" s="1043">
        <f t="shared" si="10"/>
        <v>0.81091861636349938</v>
      </c>
      <c r="V71" s="2088" t="str">
        <f>Table2456[[#This Row],[Column3]]</f>
        <v>1982-Q1</v>
      </c>
    </row>
    <row r="72" spans="1:22" x14ac:dyDescent="0.3">
      <c r="A72" s="211">
        <f t="shared" si="6"/>
        <v>1982</v>
      </c>
      <c r="B72" s="211" t="str">
        <f t="shared" si="7"/>
        <v>Q2</v>
      </c>
      <c r="C72" s="2088" t="str">
        <f t="shared" si="8"/>
        <v>1982-Q2</v>
      </c>
      <c r="E72" s="252">
        <v>520</v>
      </c>
      <c r="F72" s="252">
        <v>470</v>
      </c>
      <c r="G72" s="252">
        <f t="shared" si="1"/>
        <v>495</v>
      </c>
      <c r="J72" s="230"/>
      <c r="L72" s="252">
        <f>K71*E72</f>
        <v>512984680</v>
      </c>
      <c r="M72" s="252">
        <f>K71*F72</f>
        <v>463659230</v>
      </c>
      <c r="N72" s="252">
        <f t="shared" si="9"/>
        <v>488321955</v>
      </c>
      <c r="P72" s="252"/>
      <c r="Q72" s="252"/>
      <c r="S72" s="348">
        <f>L72/Q71</f>
        <v>0.82278571806637979</v>
      </c>
      <c r="T72" s="348">
        <f>M72/Q71</f>
        <v>0.74367170671384331</v>
      </c>
      <c r="U72" s="1043">
        <f t="shared" si="10"/>
        <v>0.7832287123901116</v>
      </c>
      <c r="V72" s="2088" t="str">
        <f>Table2456[[#This Row],[Column3]]</f>
        <v>1982-Q2</v>
      </c>
    </row>
    <row r="73" spans="1:22" x14ac:dyDescent="0.3">
      <c r="A73" s="211">
        <f t="shared" si="6"/>
        <v>1982</v>
      </c>
      <c r="B73" s="211" t="str">
        <f t="shared" si="7"/>
        <v>Q3</v>
      </c>
      <c r="C73" s="2088" t="str">
        <f t="shared" si="8"/>
        <v>1982-Q3</v>
      </c>
      <c r="E73" s="252">
        <v>550</v>
      </c>
      <c r="F73" s="252">
        <v>430</v>
      </c>
      <c r="G73" s="252">
        <f t="shared" si="1"/>
        <v>490</v>
      </c>
      <c r="J73" s="230"/>
      <c r="L73" s="252">
        <f>K71*E73</f>
        <v>542579950</v>
      </c>
      <c r="M73" s="252">
        <f>K71*F73</f>
        <v>424198870</v>
      </c>
      <c r="N73" s="252">
        <f t="shared" si="9"/>
        <v>483389410</v>
      </c>
      <c r="P73" s="252"/>
      <c r="Q73" s="252"/>
      <c r="S73" s="348">
        <f>L73/Q71</f>
        <v>0.87025412487790166</v>
      </c>
      <c r="T73" s="348">
        <f>M73/Q71</f>
        <v>0.68038049763181407</v>
      </c>
      <c r="U73" s="1043">
        <f t="shared" si="10"/>
        <v>0.77531731125485792</v>
      </c>
      <c r="V73" s="2088" t="str">
        <f>Table2456[[#This Row],[Column3]]</f>
        <v>1982-Q3</v>
      </c>
    </row>
    <row r="74" spans="1:22" x14ac:dyDescent="0.3">
      <c r="A74" s="211">
        <f t="shared" si="6"/>
        <v>1982</v>
      </c>
      <c r="B74" s="211" t="str">
        <f t="shared" si="7"/>
        <v>Q4</v>
      </c>
      <c r="C74" s="2088" t="str">
        <f t="shared" si="8"/>
        <v>1982-Q4</v>
      </c>
      <c r="E74" s="252">
        <v>775</v>
      </c>
      <c r="F74" s="252">
        <v>540</v>
      </c>
      <c r="G74" s="252">
        <f t="shared" si="1"/>
        <v>657.5</v>
      </c>
      <c r="J74" s="230"/>
      <c r="L74" s="252">
        <f>K71*E74</f>
        <v>764544475</v>
      </c>
      <c r="M74" s="252">
        <f>K71*F74</f>
        <v>532714860</v>
      </c>
      <c r="N74" s="252">
        <f t="shared" si="9"/>
        <v>648629667.5</v>
      </c>
      <c r="P74" s="252"/>
      <c r="Q74" s="252"/>
      <c r="S74" s="348">
        <f>L74/Q71</f>
        <v>1.226267175964316</v>
      </c>
      <c r="T74" s="348">
        <f>M74/Q71</f>
        <v>0.85443132260739441</v>
      </c>
      <c r="U74" s="1043">
        <f t="shared" si="10"/>
        <v>1.0403492492858553</v>
      </c>
      <c r="V74" s="2088" t="str">
        <f>Table2456[[#This Row],[Column3]]</f>
        <v>1982-Q4</v>
      </c>
    </row>
    <row r="75" spans="1:22" x14ac:dyDescent="0.3">
      <c r="A75" s="211">
        <f t="shared" si="6"/>
        <v>1983</v>
      </c>
      <c r="B75" s="211" t="str">
        <f t="shared" si="7"/>
        <v>Q1</v>
      </c>
      <c r="C75" s="2088" t="str">
        <f t="shared" si="8"/>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si="9"/>
        <v>928036830</v>
      </c>
      <c r="P75" s="252">
        <f>'4. Financials'!C84</f>
        <v>1119193000</v>
      </c>
      <c r="Q75" s="252">
        <f>AVERAGE(P71,P75)</f>
        <v>923338000</v>
      </c>
      <c r="S75" s="348">
        <f>L75/Q75</f>
        <v>1.114840053154966</v>
      </c>
      <c r="T75" s="348">
        <f>M75/Q75</f>
        <v>0.89533786652341829</v>
      </c>
      <c r="U75" s="1043">
        <f t="shared" si="10"/>
        <v>1.0050889598391921</v>
      </c>
      <c r="V75" s="2088" t="str">
        <f>Table2456[[#This Row],[Column3]]</f>
        <v>1983-Q1</v>
      </c>
    </row>
    <row r="76" spans="1:22" x14ac:dyDescent="0.3">
      <c r="A76" s="211">
        <f t="shared" ref="A76:A139" si="11">A72+1</f>
        <v>1983</v>
      </c>
      <c r="B76" s="211" t="str">
        <f t="shared" ref="B76:B139" si="12">B72</f>
        <v>Q2</v>
      </c>
      <c r="C76" s="2088" t="str">
        <f t="shared" si="8"/>
        <v>1983-Q2</v>
      </c>
      <c r="E76" s="252">
        <v>985</v>
      </c>
      <c r="F76" s="252">
        <v>890</v>
      </c>
      <c r="G76" s="252">
        <f t="shared" si="1"/>
        <v>937.5</v>
      </c>
      <c r="J76" s="230"/>
      <c r="L76" s="252">
        <f>K75*E76</f>
        <v>1050708365</v>
      </c>
      <c r="M76" s="252">
        <f>K75*F76</f>
        <v>949371010</v>
      </c>
      <c r="N76" s="252">
        <f t="shared" si="9"/>
        <v>1000039687.5</v>
      </c>
      <c r="P76" s="252"/>
      <c r="Q76" s="252"/>
      <c r="S76" s="348">
        <f>L76/Q75</f>
        <v>1.1379455464846027</v>
      </c>
      <c r="T76" s="348">
        <f>M76/Q75</f>
        <v>1.0281944531688287</v>
      </c>
      <c r="U76" s="1043">
        <f t="shared" si="10"/>
        <v>1.0830699998267157</v>
      </c>
      <c r="V76" s="2088" t="str">
        <f>Table2456[[#This Row],[Column3]]</f>
        <v>1983-Q2</v>
      </c>
    </row>
    <row r="77" spans="1:22" x14ac:dyDescent="0.3">
      <c r="A77" s="211">
        <f t="shared" si="11"/>
        <v>1983</v>
      </c>
      <c r="B77" s="211" t="str">
        <f t="shared" si="12"/>
        <v>Q3</v>
      </c>
      <c r="C77" s="2088" t="str">
        <f t="shared" si="8"/>
        <v>1983-Q3</v>
      </c>
      <c r="E77" s="252">
        <v>1245</v>
      </c>
      <c r="F77" s="252">
        <v>905</v>
      </c>
      <c r="G77" s="252">
        <f t="shared" si="1"/>
        <v>1075</v>
      </c>
      <c r="J77" s="230"/>
      <c r="L77" s="252">
        <f>K75*E77</f>
        <v>1328052705</v>
      </c>
      <c r="M77" s="252">
        <f>K75*F77</f>
        <v>965371645</v>
      </c>
      <c r="N77" s="252">
        <f t="shared" si="9"/>
        <v>1146712175</v>
      </c>
      <c r="P77" s="252"/>
      <c r="Q77" s="252"/>
      <c r="S77" s="348">
        <f>L77/Q75</f>
        <v>1.4383169597698784</v>
      </c>
      <c r="T77" s="348">
        <f>M77/Q75</f>
        <v>1.0455235731660562</v>
      </c>
      <c r="U77" s="1043">
        <f t="shared" si="10"/>
        <v>1.2419202664679672</v>
      </c>
      <c r="V77" s="2088" t="str">
        <f>Table2456[[#This Row],[Column3]]</f>
        <v>1983-Q3</v>
      </c>
    </row>
    <row r="78" spans="1:22" x14ac:dyDescent="0.3">
      <c r="A78" s="211">
        <f t="shared" si="11"/>
        <v>1983</v>
      </c>
      <c r="B78" s="211" t="str">
        <f t="shared" si="12"/>
        <v>Q4</v>
      </c>
      <c r="C78" s="2088" t="str">
        <f t="shared" si="8"/>
        <v>1983-Q4</v>
      </c>
      <c r="E78" s="252">
        <v>1385</v>
      </c>
      <c r="F78" s="252">
        <v>1240</v>
      </c>
      <c r="G78" s="252">
        <f t="shared" si="1"/>
        <v>1312.5</v>
      </c>
      <c r="J78" s="230"/>
      <c r="L78" s="252">
        <f>K75*E78</f>
        <v>1477391965</v>
      </c>
      <c r="M78" s="252">
        <f>K75*F78</f>
        <v>1322719160</v>
      </c>
      <c r="N78" s="252">
        <f t="shared" si="9"/>
        <v>1400055562.5</v>
      </c>
      <c r="P78" s="252"/>
      <c r="Q78" s="252"/>
      <c r="S78" s="348">
        <f>L78/Q75</f>
        <v>1.6000554130773346</v>
      </c>
      <c r="T78" s="348">
        <f>M78/Q75</f>
        <v>1.4325405864374692</v>
      </c>
      <c r="U78" s="1043">
        <f t="shared" si="10"/>
        <v>1.516297999757402</v>
      </c>
      <c r="V78" s="2088" t="str">
        <f>Table2456[[#This Row],[Column3]]</f>
        <v>1983-Q4</v>
      </c>
    </row>
    <row r="79" spans="1:22" x14ac:dyDescent="0.3">
      <c r="A79" s="211">
        <f t="shared" si="11"/>
        <v>1984</v>
      </c>
      <c r="B79" s="211" t="str">
        <f t="shared" si="12"/>
        <v>Q1</v>
      </c>
      <c r="C79" s="2088" t="str">
        <f t="shared" si="8"/>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si="9"/>
        <v>1490981700</v>
      </c>
      <c r="P79" s="252">
        <f>'4. Financials'!B84</f>
        <v>1271761000</v>
      </c>
      <c r="Q79" s="252">
        <f>AVERAGE(P75,P79)</f>
        <v>1195477000</v>
      </c>
      <c r="S79" s="348">
        <f>L79/Q79</f>
        <v>1.3047480127179361</v>
      </c>
      <c r="T79" s="348">
        <f>M79/Q79</f>
        <v>1.1896231880663535</v>
      </c>
      <c r="U79" s="1043">
        <f t="shared" si="10"/>
        <v>1.2471856003921449</v>
      </c>
      <c r="V79" s="2088" t="str">
        <f>Table2456[[#This Row],[Column3]]</f>
        <v>1984-Q1</v>
      </c>
    </row>
    <row r="80" spans="1:22" x14ac:dyDescent="0.3">
      <c r="A80" s="211">
        <f t="shared" si="11"/>
        <v>1984</v>
      </c>
      <c r="B80" s="211" t="str">
        <f t="shared" si="12"/>
        <v>Q2</v>
      </c>
      <c r="C80" s="2088" t="str">
        <f t="shared" si="8"/>
        <v>1984-Q2</v>
      </c>
      <c r="E80" s="252">
        <v>1345</v>
      </c>
      <c r="F80" s="252">
        <v>1220</v>
      </c>
      <c r="G80" s="252">
        <f t="shared" si="1"/>
        <v>1282.5</v>
      </c>
      <c r="J80" s="230"/>
      <c r="L80" s="252">
        <f>K79*E80</f>
        <v>1542592605</v>
      </c>
      <c r="M80" s="252">
        <f>K79*F80</f>
        <v>1399228980</v>
      </c>
      <c r="N80" s="252">
        <f t="shared" si="9"/>
        <v>1470910792.5</v>
      </c>
      <c r="P80" s="252"/>
      <c r="Q80" s="252"/>
      <c r="S80" s="348">
        <f>L80/Q79</f>
        <v>1.2903574096364883</v>
      </c>
      <c r="T80" s="348">
        <f>M80/Q79</f>
        <v>1.1704357172910897</v>
      </c>
      <c r="U80" s="1043">
        <f t="shared" si="10"/>
        <v>1.230396563463789</v>
      </c>
      <c r="V80" s="2088" t="str">
        <f>Table2456[[#This Row],[Column3]]</f>
        <v>1984-Q2</v>
      </c>
    </row>
    <row r="81" spans="1:22" x14ac:dyDescent="0.3">
      <c r="A81" s="211">
        <f t="shared" si="11"/>
        <v>1984</v>
      </c>
      <c r="B81" s="211" t="str">
        <f t="shared" si="12"/>
        <v>Q3</v>
      </c>
      <c r="C81" s="2088" t="str">
        <f t="shared" si="8"/>
        <v>1984-Q3</v>
      </c>
      <c r="E81" s="252">
        <v>1305</v>
      </c>
      <c r="F81" s="252">
        <v>1230</v>
      </c>
      <c r="G81" s="252">
        <f t="shared" si="1"/>
        <v>1267.5</v>
      </c>
      <c r="J81" s="230"/>
      <c r="L81" s="252">
        <f>K79*E81</f>
        <v>1496716245</v>
      </c>
      <c r="M81" s="252">
        <f>K79*F81</f>
        <v>1410698070</v>
      </c>
      <c r="N81" s="252">
        <f t="shared" si="9"/>
        <v>1453707157.5</v>
      </c>
      <c r="P81" s="252"/>
      <c r="Q81" s="252"/>
      <c r="S81" s="348">
        <f>L81/Q79</f>
        <v>1.2519824680859606</v>
      </c>
      <c r="T81" s="348">
        <f>M81/Q79</f>
        <v>1.1800294526787216</v>
      </c>
      <c r="U81" s="1043">
        <f t="shared" si="10"/>
        <v>1.2160059603823412</v>
      </c>
      <c r="V81" s="2088" t="str">
        <f>Table2456[[#This Row],[Column3]]</f>
        <v>1984-Q3</v>
      </c>
    </row>
    <row r="82" spans="1:22" x14ac:dyDescent="0.3">
      <c r="A82" s="211">
        <f t="shared" si="11"/>
        <v>1984</v>
      </c>
      <c r="B82" s="211" t="str">
        <f t="shared" si="12"/>
        <v>Q4</v>
      </c>
      <c r="C82" s="2088" t="str">
        <f t="shared" si="8"/>
        <v>1984-Q4</v>
      </c>
      <c r="E82" s="252">
        <v>1305</v>
      </c>
      <c r="F82" s="252">
        <v>1265</v>
      </c>
      <c r="G82" s="252">
        <f t="shared" si="1"/>
        <v>1285</v>
      </c>
      <c r="J82" s="230"/>
      <c r="L82" s="252">
        <f>K79*E82</f>
        <v>1496716245</v>
      </c>
      <c r="M82" s="252">
        <f>K79*F82</f>
        <v>1450839885</v>
      </c>
      <c r="N82" s="252">
        <f t="shared" si="9"/>
        <v>1473778065</v>
      </c>
      <c r="P82" s="252"/>
      <c r="Q82" s="252"/>
      <c r="S82" s="348">
        <f>L82/Q79</f>
        <v>1.2519824680859606</v>
      </c>
      <c r="T82" s="348">
        <f>M82/Q79</f>
        <v>1.2136075265354331</v>
      </c>
      <c r="U82" s="1043">
        <f t="shared" si="10"/>
        <v>1.2327949973106969</v>
      </c>
      <c r="V82" s="2088" t="str">
        <f>Table2456[[#This Row],[Column3]]</f>
        <v>1984-Q4</v>
      </c>
    </row>
    <row r="83" spans="1:22" x14ac:dyDescent="0.3">
      <c r="A83" s="211">
        <f t="shared" si="11"/>
        <v>1985</v>
      </c>
      <c r="B83" s="211" t="str">
        <f t="shared" si="12"/>
        <v>Q1</v>
      </c>
      <c r="C83" s="2088" t="str">
        <f t="shared" si="8"/>
        <v>1985-Q1</v>
      </c>
      <c r="D83" s="211">
        <v>1985</v>
      </c>
      <c r="E83" s="252">
        <v>1930</v>
      </c>
      <c r="F83" s="252">
        <v>1275</v>
      </c>
      <c r="G83" s="252">
        <f t="shared" ref="G83:G146" si="13">AVERAGE(E83:F83)</f>
        <v>1602.5</v>
      </c>
      <c r="I83" s="2088">
        <v>31412</v>
      </c>
      <c r="J83" s="230">
        <v>1147000</v>
      </c>
      <c r="K83" s="278">
        <f>AVERAGE(J79,J83)</f>
        <v>1146954.5</v>
      </c>
      <c r="L83" s="252">
        <f>K83*E83</f>
        <v>2213622185</v>
      </c>
      <c r="M83" s="252">
        <f>K83*F83</f>
        <v>1462366987.5</v>
      </c>
      <c r="N83" s="252">
        <f t="shared" si="9"/>
        <v>1837994586.25</v>
      </c>
      <c r="P83" s="252">
        <v>1885330000</v>
      </c>
      <c r="Q83" s="252">
        <f>AVERAGE(P79,P83)</f>
        <v>1578545500</v>
      </c>
      <c r="S83" s="348">
        <f>L83/Q83</f>
        <v>1.4023176303755578</v>
      </c>
      <c r="T83" s="348">
        <f>M83/Q83</f>
        <v>0.92640154338281666</v>
      </c>
      <c r="U83" s="1043">
        <f t="shared" si="10"/>
        <v>1.1643595868791872</v>
      </c>
      <c r="V83" s="2088" t="str">
        <f>Table2456[[#This Row],[Column3]]</f>
        <v>1985-Q1</v>
      </c>
    </row>
    <row r="84" spans="1:22" x14ac:dyDescent="0.3">
      <c r="A84" s="211">
        <f t="shared" si="11"/>
        <v>1985</v>
      </c>
      <c r="B84" s="211" t="str">
        <f t="shared" si="12"/>
        <v>Q2</v>
      </c>
      <c r="C84" s="2088" t="str">
        <f t="shared" si="8"/>
        <v>1985-Q2</v>
      </c>
      <c r="E84" s="252">
        <v>2160</v>
      </c>
      <c r="F84" s="252">
        <v>1725</v>
      </c>
      <c r="G84" s="252">
        <f t="shared" si="13"/>
        <v>1942.5</v>
      </c>
      <c r="J84" s="230"/>
      <c r="L84" s="252">
        <f>K83*E84</f>
        <v>2477421720</v>
      </c>
      <c r="M84" s="252">
        <f>K83*F84</f>
        <v>1978496512.5</v>
      </c>
      <c r="N84" s="252">
        <f t="shared" si="9"/>
        <v>2227959116.25</v>
      </c>
      <c r="P84" s="252"/>
      <c r="Q84" s="252"/>
      <c r="S84" s="348">
        <f>L84/Q83</f>
        <v>1.5694332029073599</v>
      </c>
      <c r="T84" s="348">
        <f>M84/Q83</f>
        <v>1.2533667939885167</v>
      </c>
      <c r="U84" s="1043">
        <f t="shared" si="10"/>
        <v>1.4113999984479384</v>
      </c>
      <c r="V84" s="2088" t="str">
        <f>Table2456[[#This Row],[Column3]]</f>
        <v>1985-Q2</v>
      </c>
    </row>
    <row r="85" spans="1:22" x14ac:dyDescent="0.3">
      <c r="A85" s="211">
        <f t="shared" si="11"/>
        <v>1985</v>
      </c>
      <c r="B85" s="211" t="str">
        <f t="shared" si="12"/>
        <v>Q3</v>
      </c>
      <c r="C85" s="2088" t="str">
        <f t="shared" si="8"/>
        <v>1985-Q3</v>
      </c>
      <c r="E85" s="252">
        <v>2235</v>
      </c>
      <c r="F85" s="252">
        <v>2005</v>
      </c>
      <c r="G85" s="252">
        <f t="shared" si="13"/>
        <v>2120</v>
      </c>
      <c r="J85" s="230"/>
      <c r="L85" s="252">
        <f>K83*E85</f>
        <v>2563443307.5</v>
      </c>
      <c r="M85" s="252">
        <f>K83*F85</f>
        <v>2299643772.5</v>
      </c>
      <c r="N85" s="252">
        <f t="shared" si="9"/>
        <v>2431543540</v>
      </c>
      <c r="P85" s="252"/>
      <c r="Q85" s="252"/>
      <c r="S85" s="348">
        <f>L85/Q83</f>
        <v>1.6239274113416433</v>
      </c>
      <c r="T85" s="348">
        <f>M85/Q83</f>
        <v>1.456811838809841</v>
      </c>
      <c r="U85" s="1043">
        <f t="shared" si="10"/>
        <v>1.5403696250757422</v>
      </c>
      <c r="V85" s="2088" t="str">
        <f>Table2456[[#This Row],[Column3]]</f>
        <v>1985-Q3</v>
      </c>
    </row>
    <row r="86" spans="1:22" x14ac:dyDescent="0.3">
      <c r="A86" s="211">
        <f t="shared" si="11"/>
        <v>1985</v>
      </c>
      <c r="B86" s="211" t="str">
        <f t="shared" si="12"/>
        <v>Q4</v>
      </c>
      <c r="C86" s="2088" t="str">
        <f t="shared" si="8"/>
        <v>1985-Q4</v>
      </c>
      <c r="E86" s="252">
        <v>2730</v>
      </c>
      <c r="F86" s="252">
        <v>2075</v>
      </c>
      <c r="G86" s="252">
        <f t="shared" si="13"/>
        <v>2402.5</v>
      </c>
      <c r="J86" s="230"/>
      <c r="L86" s="252">
        <f>K83*E86</f>
        <v>3131185785</v>
      </c>
      <c r="M86" s="252">
        <f>K83*F86</f>
        <v>2379930587.5</v>
      </c>
      <c r="N86" s="252">
        <f t="shared" si="9"/>
        <v>2755558186.25</v>
      </c>
      <c r="P86" s="252"/>
      <c r="Q86" s="252"/>
      <c r="S86" s="348">
        <f>L86/Q83</f>
        <v>1.9835891870079132</v>
      </c>
      <c r="T86" s="348">
        <f>M86/Q83</f>
        <v>1.5076731000151722</v>
      </c>
      <c r="U86" s="1043">
        <f t="shared" si="10"/>
        <v>1.7456311435115426</v>
      </c>
      <c r="V86" s="2088" t="str">
        <f>Table2456[[#This Row],[Column3]]</f>
        <v>1985-Q4</v>
      </c>
    </row>
    <row r="87" spans="1:22" x14ac:dyDescent="0.3">
      <c r="A87" s="211">
        <f t="shared" si="11"/>
        <v>1986</v>
      </c>
      <c r="B87" s="211" t="str">
        <f t="shared" si="12"/>
        <v>Q1</v>
      </c>
      <c r="C87" s="2088" t="str">
        <f t="shared" si="8"/>
        <v>1986-Q1</v>
      </c>
      <c r="D87" s="211">
        <v>1986</v>
      </c>
      <c r="E87" s="252">
        <v>3250</v>
      </c>
      <c r="F87" s="252">
        <v>2220</v>
      </c>
      <c r="G87" s="252">
        <f t="shared" si="13"/>
        <v>2735</v>
      </c>
      <c r="I87" s="2088">
        <v>31777</v>
      </c>
      <c r="J87" s="230">
        <v>1147000</v>
      </c>
      <c r="K87" s="278">
        <f>AVERAGE(J83,J87)</f>
        <v>1147000</v>
      </c>
      <c r="L87" s="252">
        <f>K87*E87</f>
        <v>3727750000</v>
      </c>
      <c r="M87" s="252">
        <f>K87*F87</f>
        <v>2546340000</v>
      </c>
      <c r="N87" s="252">
        <f t="shared" si="9"/>
        <v>3137045000</v>
      </c>
      <c r="P87" s="252">
        <v>2377797000</v>
      </c>
      <c r="Q87" s="252">
        <f>AVERAGE(P83,P87)</f>
        <v>2131563500</v>
      </c>
      <c r="S87" s="348">
        <f>L87/Q87</f>
        <v>1.7488336613007307</v>
      </c>
      <c r="T87" s="348">
        <f>M87/Q87</f>
        <v>1.1945879163346529</v>
      </c>
      <c r="U87" s="1043">
        <f t="shared" si="10"/>
        <v>1.4717107888176919</v>
      </c>
      <c r="V87" s="2088" t="str">
        <f>Table2456[[#This Row],[Column3]]</f>
        <v>1986-Q1</v>
      </c>
    </row>
    <row r="88" spans="1:22" x14ac:dyDescent="0.3">
      <c r="A88" s="211">
        <f t="shared" si="11"/>
        <v>1986</v>
      </c>
      <c r="B88" s="211" t="str">
        <f t="shared" si="12"/>
        <v>Q2</v>
      </c>
      <c r="C88" s="2088" t="str">
        <f t="shared" si="8"/>
        <v>1986-Q2</v>
      </c>
      <c r="E88" s="252">
        <v>3160</v>
      </c>
      <c r="F88" s="252">
        <v>2640</v>
      </c>
      <c r="G88" s="252">
        <f t="shared" si="13"/>
        <v>2900</v>
      </c>
      <c r="J88" s="230"/>
      <c r="L88" s="252">
        <f>K87*E88</f>
        <v>3624520000</v>
      </c>
      <c r="M88" s="252">
        <f>K87*F88</f>
        <v>3028080000</v>
      </c>
      <c r="N88" s="252">
        <f t="shared" si="9"/>
        <v>3326300000</v>
      </c>
      <c r="P88" s="252"/>
      <c r="Q88" s="252"/>
      <c r="S88" s="348">
        <f>L88/Q87</f>
        <v>1.7004044214493259</v>
      </c>
      <c r="T88" s="348">
        <f>M88/Q87</f>
        <v>1.4205910356412088</v>
      </c>
      <c r="U88" s="1043">
        <f t="shared" si="10"/>
        <v>1.5604977285452675</v>
      </c>
      <c r="V88" s="2088" t="str">
        <f>Table2456[[#This Row],[Column3]]</f>
        <v>1986-Q2</v>
      </c>
    </row>
    <row r="89" spans="1:22" x14ac:dyDescent="0.3">
      <c r="A89" s="211">
        <f t="shared" si="11"/>
        <v>1986</v>
      </c>
      <c r="B89" s="211" t="str">
        <f t="shared" si="12"/>
        <v>Q3</v>
      </c>
      <c r="C89" s="2088" t="str">
        <f t="shared" si="8"/>
        <v>1986-Q3</v>
      </c>
      <c r="E89" s="252">
        <v>3100</v>
      </c>
      <c r="F89" s="252">
        <v>2525</v>
      </c>
      <c r="G89" s="252">
        <f t="shared" si="13"/>
        <v>2812.5</v>
      </c>
      <c r="J89" s="230"/>
      <c r="L89" s="252">
        <f>K87*E89</f>
        <v>3555700000</v>
      </c>
      <c r="M89" s="252">
        <f>K87*F89</f>
        <v>2896175000</v>
      </c>
      <c r="N89" s="252">
        <f t="shared" si="9"/>
        <v>3225937500</v>
      </c>
      <c r="P89" s="252"/>
      <c r="Q89" s="252"/>
      <c r="S89" s="348">
        <f>L89/Q87</f>
        <v>1.6681182615483892</v>
      </c>
      <c r="T89" s="348">
        <f>M89/Q87</f>
        <v>1.3587092291644138</v>
      </c>
      <c r="U89" s="1043">
        <f t="shared" si="10"/>
        <v>1.5134137453564014</v>
      </c>
      <c r="V89" s="2088" t="str">
        <f>Table2456[[#This Row],[Column3]]</f>
        <v>1986-Q3</v>
      </c>
    </row>
    <row r="90" spans="1:22" x14ac:dyDescent="0.3">
      <c r="A90" s="211">
        <f t="shared" si="11"/>
        <v>1986</v>
      </c>
      <c r="B90" s="211" t="str">
        <f t="shared" si="12"/>
        <v>Q4</v>
      </c>
      <c r="C90" s="2088" t="str">
        <f t="shared" si="8"/>
        <v>1986-Q4</v>
      </c>
      <c r="E90" s="252">
        <v>2925</v>
      </c>
      <c r="F90" s="252">
        <v>2620</v>
      </c>
      <c r="G90" s="252">
        <f t="shared" si="13"/>
        <v>2772.5</v>
      </c>
      <c r="J90" s="230"/>
      <c r="L90" s="252">
        <f>K87*E90</f>
        <v>3354975000</v>
      </c>
      <c r="M90" s="252">
        <f>K87*F90</f>
        <v>3005140000</v>
      </c>
      <c r="N90" s="252">
        <f t="shared" si="9"/>
        <v>3180057500</v>
      </c>
      <c r="P90" s="252"/>
      <c r="Q90" s="252"/>
      <c r="S90" s="348">
        <f>L90/Q87</f>
        <v>1.5739502951706577</v>
      </c>
      <c r="T90" s="348">
        <f>M90/Q87</f>
        <v>1.4098289823408967</v>
      </c>
      <c r="U90" s="1043">
        <f t="shared" si="10"/>
        <v>1.4918896387557772</v>
      </c>
      <c r="V90" s="2088" t="str">
        <f>Table2456[[#This Row],[Column3]]</f>
        <v>1986-Q4</v>
      </c>
    </row>
    <row r="91" spans="1:22" x14ac:dyDescent="0.3">
      <c r="A91" s="211">
        <f t="shared" si="11"/>
        <v>1987</v>
      </c>
      <c r="B91" s="211" t="str">
        <f t="shared" si="12"/>
        <v>Q1</v>
      </c>
      <c r="C91" s="2088" t="str">
        <f t="shared" si="8"/>
        <v>1987-Q1</v>
      </c>
      <c r="D91" s="211">
        <v>1987</v>
      </c>
      <c r="E91" s="252">
        <v>3630</v>
      </c>
      <c r="F91" s="252">
        <v>2800</v>
      </c>
      <c r="G91" s="252">
        <f t="shared" si="13"/>
        <v>3215</v>
      </c>
      <c r="I91" s="2088">
        <v>32142</v>
      </c>
      <c r="J91" s="230">
        <v>1147000</v>
      </c>
      <c r="K91" s="278">
        <f>AVERAGE(J87,J91)</f>
        <v>1147000</v>
      </c>
      <c r="L91" s="252">
        <f>K91*E91</f>
        <v>4163610000</v>
      </c>
      <c r="M91" s="252">
        <f>K91*F91</f>
        <v>3211600000</v>
      </c>
      <c r="N91" s="252">
        <f t="shared" si="9"/>
        <v>3687605000</v>
      </c>
      <c r="P91" s="252">
        <v>2841659000</v>
      </c>
      <c r="Q91" s="252">
        <f>AVERAGE(P87,P91)</f>
        <v>2609728000</v>
      </c>
      <c r="S91" s="348">
        <f>L91/Q91</f>
        <v>1.5954191394658754</v>
      </c>
      <c r="T91" s="348">
        <f>M91/Q91</f>
        <v>1.2306263334723007</v>
      </c>
      <c r="U91" s="1043">
        <f t="shared" si="10"/>
        <v>1.4130227364690882</v>
      </c>
      <c r="V91" s="2088" t="str">
        <f>Table2456[[#This Row],[Column3]]</f>
        <v>1987-Q1</v>
      </c>
    </row>
    <row r="92" spans="1:22" x14ac:dyDescent="0.3">
      <c r="A92" s="211">
        <f t="shared" si="11"/>
        <v>1987</v>
      </c>
      <c r="B92" s="211" t="str">
        <f t="shared" si="12"/>
        <v>Q2</v>
      </c>
      <c r="C92" s="2088" t="str">
        <f t="shared" si="8"/>
        <v>1987-Q2</v>
      </c>
      <c r="E92" s="252">
        <v>3530</v>
      </c>
      <c r="F92" s="252">
        <v>3300</v>
      </c>
      <c r="G92" s="252">
        <f t="shared" si="13"/>
        <v>3415</v>
      </c>
      <c r="J92" s="230"/>
      <c r="L92" s="252">
        <f>K91*E92</f>
        <v>4048910000</v>
      </c>
      <c r="M92" s="252">
        <f>K91*F92</f>
        <v>3785100000</v>
      </c>
      <c r="N92" s="252">
        <f t="shared" si="9"/>
        <v>3917005000</v>
      </c>
      <c r="P92" s="252"/>
      <c r="Q92" s="252"/>
      <c r="S92" s="348">
        <f>L92/Q91</f>
        <v>1.5514681989847219</v>
      </c>
      <c r="T92" s="348">
        <f>M92/Q91</f>
        <v>1.4503810358780684</v>
      </c>
      <c r="U92" s="1043">
        <f t="shared" si="10"/>
        <v>1.5009246174313953</v>
      </c>
      <c r="V92" s="2088" t="str">
        <f>Table2456[[#This Row],[Column3]]</f>
        <v>1987-Q2</v>
      </c>
    </row>
    <row r="93" spans="1:22" x14ac:dyDescent="0.3">
      <c r="A93" s="211">
        <f t="shared" si="11"/>
        <v>1987</v>
      </c>
      <c r="B93" s="211" t="str">
        <f t="shared" si="12"/>
        <v>Q3</v>
      </c>
      <c r="C93" s="2088" t="str">
        <f t="shared" si="8"/>
        <v>1987-Q3</v>
      </c>
      <c r="E93" s="252">
        <v>4220</v>
      </c>
      <c r="F93" s="252">
        <v>3420</v>
      </c>
      <c r="G93" s="252">
        <f t="shared" si="13"/>
        <v>3820</v>
      </c>
      <c r="J93" s="230"/>
      <c r="L93" s="252">
        <f>K91*E93</f>
        <v>4840340000</v>
      </c>
      <c r="M93" s="252">
        <f>K91*F93</f>
        <v>3922740000</v>
      </c>
      <c r="N93" s="252">
        <f t="shared" si="9"/>
        <v>4381540000</v>
      </c>
      <c r="P93" s="252"/>
      <c r="Q93" s="252"/>
      <c r="S93" s="348">
        <f>L93/Q91</f>
        <v>1.8547296883046815</v>
      </c>
      <c r="T93" s="348">
        <f>M93/Q91</f>
        <v>1.5031221644554529</v>
      </c>
      <c r="U93" s="1043">
        <f t="shared" si="10"/>
        <v>1.6789259263800673</v>
      </c>
      <c r="V93" s="2088" t="str">
        <f>Table2456[[#This Row],[Column3]]</f>
        <v>1987-Q3</v>
      </c>
    </row>
    <row r="94" spans="1:22" x14ac:dyDescent="0.3">
      <c r="A94" s="211">
        <f t="shared" si="11"/>
        <v>1987</v>
      </c>
      <c r="B94" s="211" t="str">
        <f t="shared" si="12"/>
        <v>Q4</v>
      </c>
      <c r="C94" s="2088" t="str">
        <f t="shared" si="8"/>
        <v>1987-Q4</v>
      </c>
      <c r="E94" s="252">
        <v>4270</v>
      </c>
      <c r="F94" s="252">
        <v>2550</v>
      </c>
      <c r="G94" s="252">
        <f t="shared" si="13"/>
        <v>3410</v>
      </c>
      <c r="J94" s="230"/>
      <c r="L94" s="252">
        <f>K91*E94</f>
        <v>4897690000</v>
      </c>
      <c r="M94" s="252">
        <f>K91*F94</f>
        <v>2924850000</v>
      </c>
      <c r="N94" s="252">
        <f t="shared" si="9"/>
        <v>3911270000</v>
      </c>
      <c r="P94" s="252"/>
      <c r="Q94" s="252"/>
      <c r="S94" s="348">
        <f>L94/Q91</f>
        <v>1.8767051585452583</v>
      </c>
      <c r="T94" s="348">
        <f>M94/Q91</f>
        <v>1.1207489822694165</v>
      </c>
      <c r="U94" s="1043">
        <f t="shared" si="10"/>
        <v>1.4987270704073374</v>
      </c>
      <c r="V94" s="2088" t="str">
        <f>Table2456[[#This Row],[Column3]]</f>
        <v>1987-Q4</v>
      </c>
    </row>
    <row r="95" spans="1:22" x14ac:dyDescent="0.3">
      <c r="A95" s="211">
        <f t="shared" si="11"/>
        <v>1988</v>
      </c>
      <c r="B95" s="211" t="str">
        <f t="shared" si="12"/>
        <v>Q1</v>
      </c>
      <c r="C95" s="2088" t="str">
        <f t="shared" si="8"/>
        <v>1988-Q1</v>
      </c>
      <c r="D95" s="211">
        <v>1988</v>
      </c>
      <c r="E95" s="252">
        <v>3500</v>
      </c>
      <c r="F95" s="252">
        <v>3000</v>
      </c>
      <c r="G95" s="252">
        <f t="shared" si="13"/>
        <v>3250</v>
      </c>
      <c r="I95" s="2088">
        <v>32508</v>
      </c>
      <c r="J95" s="230">
        <v>1146000</v>
      </c>
      <c r="K95" s="278">
        <f>AVERAGE(J91,J95)</f>
        <v>1146500</v>
      </c>
      <c r="L95" s="252">
        <f>K95*E95</f>
        <v>4012750000</v>
      </c>
      <c r="M95" s="252">
        <f>K95*F95</f>
        <v>3439500000</v>
      </c>
      <c r="N95" s="252">
        <f t="shared" si="9"/>
        <v>3726125000</v>
      </c>
      <c r="P95" s="252">
        <v>3410108000</v>
      </c>
      <c r="Q95" s="252">
        <f>AVERAGE(P91,P95)</f>
        <v>3125883500</v>
      </c>
      <c r="S95" s="348">
        <f>L95/Q95</f>
        <v>1.2837170675106735</v>
      </c>
      <c r="T95" s="348">
        <f>M95/Q95</f>
        <v>1.1003289150091486</v>
      </c>
      <c r="U95" s="1043">
        <f t="shared" si="10"/>
        <v>1.1920229912599112</v>
      </c>
      <c r="V95" s="2088" t="str">
        <f>Table2456[[#This Row],[Column3]]</f>
        <v>1988-Q1</v>
      </c>
    </row>
    <row r="96" spans="1:22" x14ac:dyDescent="0.3">
      <c r="A96" s="211">
        <f t="shared" si="11"/>
        <v>1988</v>
      </c>
      <c r="B96" s="211" t="str">
        <f t="shared" si="12"/>
        <v>Q2</v>
      </c>
      <c r="C96" s="2088" t="str">
        <f t="shared" si="8"/>
        <v>1988-Q2</v>
      </c>
      <c r="E96" s="252">
        <v>4150</v>
      </c>
      <c r="F96" s="252">
        <v>3400</v>
      </c>
      <c r="G96" s="252">
        <f t="shared" si="13"/>
        <v>3775</v>
      </c>
      <c r="J96" s="230"/>
      <c r="L96" s="252">
        <f>K95*E96</f>
        <v>4757975000</v>
      </c>
      <c r="M96" s="252">
        <f>K95*F96</f>
        <v>3898100000</v>
      </c>
      <c r="N96" s="252">
        <f t="shared" si="9"/>
        <v>4328037500</v>
      </c>
      <c r="P96" s="252"/>
      <c r="Q96" s="252"/>
      <c r="S96" s="348">
        <f>L96/Q95</f>
        <v>1.5221216657626555</v>
      </c>
      <c r="T96" s="348">
        <f>M96/Q95</f>
        <v>1.2470394370103683</v>
      </c>
      <c r="U96" s="1043">
        <f t="shared" si="10"/>
        <v>1.3845805513865119</v>
      </c>
      <c r="V96" s="2088" t="str">
        <f>Table2456[[#This Row],[Column3]]</f>
        <v>1988-Q2</v>
      </c>
    </row>
    <row r="97" spans="1:22" x14ac:dyDescent="0.3">
      <c r="A97" s="211">
        <f t="shared" si="11"/>
        <v>1988</v>
      </c>
      <c r="B97" s="211" t="str">
        <f t="shared" si="12"/>
        <v>Q3</v>
      </c>
      <c r="C97" s="2088" t="str">
        <f t="shared" si="8"/>
        <v>1988-Q3</v>
      </c>
      <c r="E97" s="252">
        <v>5000</v>
      </c>
      <c r="F97" s="252">
        <v>4040</v>
      </c>
      <c r="G97" s="252">
        <f t="shared" si="13"/>
        <v>4520</v>
      </c>
      <c r="J97" s="230"/>
      <c r="L97" s="252">
        <f>K95*E97</f>
        <v>5732500000</v>
      </c>
      <c r="M97" s="252">
        <f>K95*F97</f>
        <v>4631860000</v>
      </c>
      <c r="N97" s="252">
        <f t="shared" si="9"/>
        <v>5182180000</v>
      </c>
      <c r="P97" s="252"/>
      <c r="Q97" s="252"/>
      <c r="S97" s="348">
        <f>L97/Q95</f>
        <v>1.8338815250152476</v>
      </c>
      <c r="T97" s="348">
        <f>M97/Q95</f>
        <v>1.4817762722123202</v>
      </c>
      <c r="U97" s="1043">
        <f t="shared" si="10"/>
        <v>1.6578288986137839</v>
      </c>
      <c r="V97" s="2088" t="str">
        <f>Table2456[[#This Row],[Column3]]</f>
        <v>1988-Q3</v>
      </c>
    </row>
    <row r="98" spans="1:22" x14ac:dyDescent="0.3">
      <c r="A98" s="211">
        <f t="shared" si="11"/>
        <v>1988</v>
      </c>
      <c r="B98" s="211" t="str">
        <f t="shared" si="12"/>
        <v>Q4</v>
      </c>
      <c r="C98" s="2088" t="str">
        <f t="shared" si="8"/>
        <v>1988-Q4</v>
      </c>
      <c r="E98" s="252">
        <v>5050</v>
      </c>
      <c r="F98" s="252">
        <v>4600</v>
      </c>
      <c r="G98" s="252">
        <f t="shared" si="13"/>
        <v>4825</v>
      </c>
      <c r="J98" s="230"/>
      <c r="L98" s="252">
        <f>K95*E98</f>
        <v>5789825000</v>
      </c>
      <c r="M98" s="252">
        <f>K95*F98</f>
        <v>5273900000</v>
      </c>
      <c r="N98" s="252">
        <f t="shared" si="9"/>
        <v>5531862500</v>
      </c>
      <c r="P98" s="252"/>
      <c r="Q98" s="252"/>
      <c r="S98" s="348">
        <f>L98/Q95</f>
        <v>1.8522203402654001</v>
      </c>
      <c r="T98" s="348">
        <f>M98/Q95</f>
        <v>1.6871710030140279</v>
      </c>
      <c r="U98" s="1043">
        <f t="shared" si="10"/>
        <v>1.7696956716397141</v>
      </c>
      <c r="V98" s="2088" t="str">
        <f>Table2456[[#This Row],[Column3]]</f>
        <v>1988-Q4</v>
      </c>
    </row>
    <row r="99" spans="1:22" x14ac:dyDescent="0.3">
      <c r="A99" s="211">
        <f t="shared" si="11"/>
        <v>1989</v>
      </c>
      <c r="B99" s="211" t="str">
        <f t="shared" si="12"/>
        <v>Q1</v>
      </c>
      <c r="C99" s="2088" t="str">
        <f t="shared" si="8"/>
        <v>1989-Q1</v>
      </c>
      <c r="D99" s="211">
        <v>1989</v>
      </c>
      <c r="E99" s="252">
        <v>5025</v>
      </c>
      <c r="F99" s="252">
        <v>4625</v>
      </c>
      <c r="G99" s="252">
        <f t="shared" si="13"/>
        <v>4825</v>
      </c>
      <c r="I99" s="2088">
        <v>32873</v>
      </c>
      <c r="J99" s="230">
        <v>1146000</v>
      </c>
      <c r="K99" s="278">
        <f>AVERAGE(J95,J99)</f>
        <v>1146000</v>
      </c>
      <c r="L99" s="252">
        <f>K99*E99</f>
        <v>5758650000</v>
      </c>
      <c r="M99" s="252">
        <f>K99*F99</f>
        <v>5300250000</v>
      </c>
      <c r="N99" s="252">
        <f t="shared" si="9"/>
        <v>5529450000</v>
      </c>
      <c r="P99" s="252">
        <v>4925126000</v>
      </c>
      <c r="Q99" s="252">
        <f>AVERAGE(P95,P99)</f>
        <v>4167617000</v>
      </c>
      <c r="S99" s="348">
        <f>L99/Q99</f>
        <v>1.3817608479857915</v>
      </c>
      <c r="T99" s="348">
        <f>M99/Q99</f>
        <v>1.2717699347132907</v>
      </c>
      <c r="U99" s="1043">
        <f t="shared" si="10"/>
        <v>1.3267653913495412</v>
      </c>
      <c r="V99" s="2088" t="str">
        <f>Table2456[[#This Row],[Column3]]</f>
        <v>1989-Q1</v>
      </c>
    </row>
    <row r="100" spans="1:22" x14ac:dyDescent="0.3">
      <c r="A100" s="211">
        <f t="shared" si="11"/>
        <v>1989</v>
      </c>
      <c r="B100" s="211" t="str">
        <f t="shared" si="12"/>
        <v>Q2</v>
      </c>
      <c r="C100" s="2088" t="str">
        <f t="shared" si="8"/>
        <v>1989-Q2</v>
      </c>
      <c r="E100" s="252">
        <v>7000</v>
      </c>
      <c r="F100" s="252">
        <v>4950</v>
      </c>
      <c r="G100" s="252">
        <f t="shared" si="13"/>
        <v>5975</v>
      </c>
      <c r="J100" s="230"/>
      <c r="L100" s="252">
        <f>K99*E100</f>
        <v>8022000000</v>
      </c>
      <c r="M100" s="252">
        <f>K99*F100</f>
        <v>5672700000</v>
      </c>
      <c r="N100" s="252">
        <f t="shared" si="9"/>
        <v>6847350000</v>
      </c>
      <c r="P100" s="252"/>
      <c r="Q100" s="252"/>
      <c r="S100" s="348">
        <f>L100/Q99</f>
        <v>1.9248409822687642</v>
      </c>
      <c r="T100" s="348">
        <f>M100/Q99</f>
        <v>1.3611375517471975</v>
      </c>
      <c r="U100" s="1043">
        <f t="shared" si="10"/>
        <v>1.6429892670079809</v>
      </c>
      <c r="V100" s="2088" t="str">
        <f>Table2456[[#This Row],[Column3]]</f>
        <v>1989-Q2</v>
      </c>
    </row>
    <row r="101" spans="1:22" x14ac:dyDescent="0.3">
      <c r="A101" s="211">
        <f t="shared" si="11"/>
        <v>1989</v>
      </c>
      <c r="B101" s="211" t="str">
        <f t="shared" si="12"/>
        <v>Q3</v>
      </c>
      <c r="C101" s="2088" t="str">
        <f t="shared" si="8"/>
        <v>1989-Q3</v>
      </c>
      <c r="E101" s="252">
        <v>8750</v>
      </c>
      <c r="F101" s="252">
        <v>6600</v>
      </c>
      <c r="G101" s="252">
        <f t="shared" si="13"/>
        <v>7675</v>
      </c>
      <c r="J101" s="230"/>
      <c r="L101" s="252">
        <f>K99*E101</f>
        <v>10027500000</v>
      </c>
      <c r="M101" s="252">
        <f>K99*F101</f>
        <v>7563600000</v>
      </c>
      <c r="N101" s="252">
        <f t="shared" si="9"/>
        <v>8795550000</v>
      </c>
      <c r="P101" s="252"/>
      <c r="Q101" s="252"/>
      <c r="S101" s="348">
        <f>L101/Q99</f>
        <v>2.4060512278359552</v>
      </c>
      <c r="T101" s="348">
        <f>M101/Q99</f>
        <v>1.8148500689962632</v>
      </c>
      <c r="U101" s="1043">
        <f t="shared" si="10"/>
        <v>2.1104506484161094</v>
      </c>
      <c r="V101" s="2088" t="str">
        <f>Table2456[[#This Row],[Column3]]</f>
        <v>1989-Q3</v>
      </c>
    </row>
    <row r="102" spans="1:22" x14ac:dyDescent="0.3">
      <c r="A102" s="211">
        <f t="shared" si="11"/>
        <v>1989</v>
      </c>
      <c r="B102" s="211" t="str">
        <f t="shared" si="12"/>
        <v>Q4</v>
      </c>
      <c r="C102" s="2088" t="str">
        <f t="shared" si="8"/>
        <v>1989-Q4</v>
      </c>
      <c r="E102" s="252">
        <v>8900</v>
      </c>
      <c r="F102" s="252">
        <v>7950</v>
      </c>
      <c r="G102" s="252">
        <f t="shared" si="13"/>
        <v>8425</v>
      </c>
      <c r="J102" s="230"/>
      <c r="L102" s="252">
        <f>K99*E102</f>
        <v>10199400000</v>
      </c>
      <c r="M102" s="252">
        <f>K99*F102</f>
        <v>9110700000</v>
      </c>
      <c r="N102" s="252">
        <f t="shared" si="9"/>
        <v>9655050000</v>
      </c>
      <c r="P102" s="252"/>
      <c r="Q102" s="252"/>
      <c r="S102" s="348">
        <f>L102/Q99</f>
        <v>2.447297820313143</v>
      </c>
      <c r="T102" s="348">
        <f>M102/Q99</f>
        <v>2.1860694012909536</v>
      </c>
      <c r="U102" s="1043">
        <f t="shared" si="10"/>
        <v>2.3166836108020483</v>
      </c>
      <c r="V102" s="2088" t="str">
        <f>Table2456[[#This Row],[Column3]]</f>
        <v>1989-Q4</v>
      </c>
    </row>
    <row r="103" spans="1:22" x14ac:dyDescent="0.3">
      <c r="A103" s="211">
        <f t="shared" si="11"/>
        <v>1990</v>
      </c>
      <c r="B103" s="211" t="str">
        <f t="shared" si="12"/>
        <v>Q1</v>
      </c>
      <c r="C103" s="2088" t="str">
        <f t="shared" si="8"/>
        <v>1990-Q1</v>
      </c>
      <c r="D103" s="211">
        <v>1990</v>
      </c>
      <c r="E103" s="252">
        <v>8725</v>
      </c>
      <c r="F103" s="252">
        <v>6675</v>
      </c>
      <c r="G103" s="252">
        <f t="shared" si="13"/>
        <v>7700</v>
      </c>
      <c r="I103" s="2088">
        <v>33238</v>
      </c>
      <c r="J103" s="230">
        <v>1146000</v>
      </c>
      <c r="K103" s="278">
        <f>AVERAGE(J99,J103)</f>
        <v>1146000</v>
      </c>
      <c r="L103" s="252">
        <f>K103*E103</f>
        <v>9998850000</v>
      </c>
      <c r="M103" s="252">
        <f>K103*F103</f>
        <v>7649550000</v>
      </c>
      <c r="N103" s="252">
        <f t="shared" si="9"/>
        <v>8824200000</v>
      </c>
      <c r="P103" s="252">
        <v>5287454000</v>
      </c>
      <c r="Q103" s="252">
        <f>AVERAGE(P99,P103)</f>
        <v>5106290000</v>
      </c>
      <c r="S103" s="348">
        <f>L103/Q103</f>
        <v>1.9581437795346524</v>
      </c>
      <c r="T103" s="348">
        <f>M103/Q103</f>
        <v>1.4980641522514389</v>
      </c>
      <c r="U103" s="1043">
        <f t="shared" si="10"/>
        <v>1.7281039658930455</v>
      </c>
      <c r="V103" s="2088" t="str">
        <f>Table2456[[#This Row],[Column3]]</f>
        <v>1990-Q1</v>
      </c>
    </row>
    <row r="104" spans="1:22" x14ac:dyDescent="0.3">
      <c r="A104" s="211">
        <f t="shared" si="11"/>
        <v>1990</v>
      </c>
      <c r="B104" s="211" t="str">
        <f t="shared" si="12"/>
        <v>Q2</v>
      </c>
      <c r="C104" s="2088" t="str">
        <f t="shared" si="8"/>
        <v>1990-Q2</v>
      </c>
      <c r="E104" s="252">
        <v>7675</v>
      </c>
      <c r="F104" s="252">
        <v>6600</v>
      </c>
      <c r="G104" s="252">
        <f t="shared" si="13"/>
        <v>7137.5</v>
      </c>
      <c r="J104" s="230"/>
      <c r="L104" s="252">
        <f>K103*E104</f>
        <v>8795550000</v>
      </c>
      <c r="M104" s="252">
        <f>K103*F104</f>
        <v>7563600000</v>
      </c>
      <c r="N104" s="252">
        <f t="shared" si="9"/>
        <v>8179575000</v>
      </c>
      <c r="P104" s="252"/>
      <c r="Q104" s="252"/>
      <c r="S104" s="348">
        <f>L104/Q103</f>
        <v>1.7224932387310552</v>
      </c>
      <c r="T104" s="348">
        <f>M104/Q103</f>
        <v>1.4812319707654678</v>
      </c>
      <c r="U104" s="1043">
        <f t="shared" si="10"/>
        <v>1.6018626047482614</v>
      </c>
      <c r="V104" s="2088" t="str">
        <f>Table2456[[#This Row],[Column3]]</f>
        <v>1990-Q2</v>
      </c>
    </row>
    <row r="105" spans="1:22" x14ac:dyDescent="0.3">
      <c r="A105" s="211">
        <f t="shared" si="11"/>
        <v>1990</v>
      </c>
      <c r="B105" s="211" t="str">
        <f t="shared" si="12"/>
        <v>Q3</v>
      </c>
      <c r="C105" s="2088" t="str">
        <f t="shared" si="8"/>
        <v>1990-Q3</v>
      </c>
      <c r="E105" s="252">
        <v>7325</v>
      </c>
      <c r="F105" s="252">
        <v>5500</v>
      </c>
      <c r="G105" s="252">
        <f t="shared" si="13"/>
        <v>6412.5</v>
      </c>
      <c r="J105" s="230"/>
      <c r="L105" s="252">
        <f>K103*E105</f>
        <v>8394450000</v>
      </c>
      <c r="M105" s="252">
        <f>K103*F105</f>
        <v>6303000000</v>
      </c>
      <c r="N105" s="252">
        <f t="shared" si="9"/>
        <v>7348725000</v>
      </c>
      <c r="P105" s="252"/>
      <c r="Q105" s="252"/>
      <c r="S105" s="348">
        <f>L105/Q103</f>
        <v>1.6439430584631896</v>
      </c>
      <c r="T105" s="348">
        <f>M105/Q103</f>
        <v>1.2343599756378898</v>
      </c>
      <c r="U105" s="1043">
        <f t="shared" si="10"/>
        <v>1.4391515170505396</v>
      </c>
      <c r="V105" s="2088" t="str">
        <f>Table2456[[#This Row],[Column3]]</f>
        <v>1990-Q3</v>
      </c>
    </row>
    <row r="106" spans="1:22" x14ac:dyDescent="0.3">
      <c r="A106" s="211">
        <f t="shared" si="11"/>
        <v>1990</v>
      </c>
      <c r="B106" s="211" t="str">
        <f t="shared" si="12"/>
        <v>Q4</v>
      </c>
      <c r="C106" s="2088" t="str">
        <f t="shared" si="8"/>
        <v>1990-Q4</v>
      </c>
      <c r="E106" s="252">
        <v>6900</v>
      </c>
      <c r="F106" s="252">
        <v>5500</v>
      </c>
      <c r="G106" s="252">
        <f t="shared" si="13"/>
        <v>6200</v>
      </c>
      <c r="J106" s="230"/>
      <c r="L106" s="252">
        <f>K103*E106</f>
        <v>7907400000</v>
      </c>
      <c r="M106" s="252">
        <f>K103*F106</f>
        <v>6303000000</v>
      </c>
      <c r="N106" s="252">
        <f t="shared" si="9"/>
        <v>7105200000</v>
      </c>
      <c r="P106" s="252"/>
      <c r="Q106" s="252"/>
      <c r="S106" s="348">
        <f>L106/Q103</f>
        <v>1.5485606967093526</v>
      </c>
      <c r="T106" s="348">
        <f>M106/Q103</f>
        <v>1.2343599756378898</v>
      </c>
      <c r="U106" s="1043">
        <f t="shared" si="10"/>
        <v>1.3914603361736213</v>
      </c>
      <c r="V106" s="2088" t="str">
        <f>Table2456[[#This Row],[Column3]]</f>
        <v>1990-Q4</v>
      </c>
    </row>
    <row r="107" spans="1:22" x14ac:dyDescent="0.3">
      <c r="A107" s="211">
        <f t="shared" si="11"/>
        <v>1991</v>
      </c>
      <c r="B107" s="211" t="str">
        <f t="shared" si="12"/>
        <v>Q1</v>
      </c>
      <c r="C107" s="2088" t="str">
        <f t="shared" si="8"/>
        <v>1991-Q1</v>
      </c>
      <c r="D107" s="211">
        <v>1991</v>
      </c>
      <c r="E107" s="252">
        <v>8275</v>
      </c>
      <c r="F107" s="252">
        <v>6550</v>
      </c>
      <c r="G107" s="252">
        <f t="shared" si="13"/>
        <v>7412.5</v>
      </c>
      <c r="I107" s="2088">
        <v>33603</v>
      </c>
      <c r="J107" s="230">
        <v>1146000</v>
      </c>
      <c r="K107" s="278">
        <f>AVERAGE(J103,J107)</f>
        <v>1146000</v>
      </c>
      <c r="L107" s="252">
        <f>K107*E107</f>
        <v>9483150000</v>
      </c>
      <c r="M107" s="252">
        <f>K107*F107</f>
        <v>7506300000</v>
      </c>
      <c r="N107" s="252">
        <f t="shared" si="9"/>
        <v>8494725000</v>
      </c>
      <c r="P107" s="252">
        <v>7379918000</v>
      </c>
      <c r="Q107" s="252">
        <f>AVERAGE(P103,P107)</f>
        <v>6333686000</v>
      </c>
      <c r="S107" s="348">
        <f>L107/Q107</f>
        <v>1.4972561001603173</v>
      </c>
      <c r="T107" s="348">
        <f>M107/Q107</f>
        <v>1.1851392696133025</v>
      </c>
      <c r="U107" s="1043">
        <f t="shared" si="10"/>
        <v>1.3411976848868099</v>
      </c>
      <c r="V107" s="2088" t="str">
        <f>Table2456[[#This Row],[Column3]]</f>
        <v>1991-Q1</v>
      </c>
    </row>
    <row r="108" spans="1:22" x14ac:dyDescent="0.3">
      <c r="A108" s="211">
        <f t="shared" si="11"/>
        <v>1991</v>
      </c>
      <c r="B108" s="211" t="str">
        <f t="shared" si="12"/>
        <v>Q2</v>
      </c>
      <c r="C108" s="2088" t="str">
        <f t="shared" si="8"/>
        <v>1991-Q2</v>
      </c>
      <c r="E108" s="252">
        <v>8750</v>
      </c>
      <c r="F108" s="252">
        <v>7760</v>
      </c>
      <c r="G108" s="252">
        <f t="shared" si="13"/>
        <v>8255</v>
      </c>
      <c r="J108" s="230"/>
      <c r="L108" s="252">
        <f>K107*E108</f>
        <v>10027500000</v>
      </c>
      <c r="M108" s="252">
        <f>K107*F108</f>
        <v>8892960000</v>
      </c>
      <c r="N108" s="252">
        <f t="shared" si="9"/>
        <v>9460230000</v>
      </c>
      <c r="P108" s="252"/>
      <c r="Q108" s="252"/>
      <c r="S108" s="348">
        <f>L108/Q107</f>
        <v>1.5832013143689156</v>
      </c>
      <c r="T108" s="348">
        <f>M108/Q107</f>
        <v>1.4040733942288899</v>
      </c>
      <c r="U108" s="1043">
        <f t="shared" si="10"/>
        <v>1.4936373542989028</v>
      </c>
      <c r="V108" s="2088" t="str">
        <f>Table2456[[#This Row],[Column3]]</f>
        <v>1991-Q2</v>
      </c>
    </row>
    <row r="109" spans="1:22" x14ac:dyDescent="0.3">
      <c r="A109" s="211">
        <f t="shared" si="11"/>
        <v>1991</v>
      </c>
      <c r="B109" s="211" t="str">
        <f t="shared" si="12"/>
        <v>Q3</v>
      </c>
      <c r="C109" s="2088" t="str">
        <f t="shared" si="8"/>
        <v>1991-Q3</v>
      </c>
      <c r="E109" s="252">
        <v>9000</v>
      </c>
      <c r="F109" s="252">
        <v>8325</v>
      </c>
      <c r="G109" s="252">
        <f t="shared" si="13"/>
        <v>8662.5</v>
      </c>
      <c r="J109" s="230"/>
      <c r="L109" s="252">
        <f>K107*E109</f>
        <v>10314000000</v>
      </c>
      <c r="M109" s="252">
        <f>K107*F109</f>
        <v>9540450000</v>
      </c>
      <c r="N109" s="252">
        <f t="shared" si="9"/>
        <v>9927225000</v>
      </c>
      <c r="P109" s="252"/>
      <c r="Q109" s="252"/>
      <c r="S109" s="348">
        <f>L109/Q107</f>
        <v>1.6284356376365989</v>
      </c>
      <c r="T109" s="348">
        <f>M109/Q107</f>
        <v>1.506302964813854</v>
      </c>
      <c r="U109" s="1043">
        <f t="shared" si="10"/>
        <v>1.5673693012252263</v>
      </c>
      <c r="V109" s="2088" t="str">
        <f>Table2456[[#This Row],[Column3]]</f>
        <v>1991-Q3</v>
      </c>
    </row>
    <row r="110" spans="1:22" x14ac:dyDescent="0.3">
      <c r="A110" s="211">
        <f t="shared" si="11"/>
        <v>1991</v>
      </c>
      <c r="B110" s="211" t="str">
        <f t="shared" si="12"/>
        <v>Q4</v>
      </c>
      <c r="C110" s="2088" t="str">
        <f t="shared" si="8"/>
        <v>1991-Q4</v>
      </c>
      <c r="E110" s="252">
        <v>9125</v>
      </c>
      <c r="F110" s="252">
        <v>8150</v>
      </c>
      <c r="G110" s="252">
        <f t="shared" si="13"/>
        <v>8637.5</v>
      </c>
      <c r="J110" s="230"/>
      <c r="L110" s="252">
        <f>K107*E110</f>
        <v>10457250000</v>
      </c>
      <c r="M110" s="252">
        <f>K107*F110</f>
        <v>9339900000</v>
      </c>
      <c r="N110" s="252">
        <f t="shared" si="9"/>
        <v>9898575000</v>
      </c>
      <c r="P110" s="252"/>
      <c r="Q110" s="252"/>
      <c r="S110" s="348">
        <f>L110/Q107</f>
        <v>1.6510527992704407</v>
      </c>
      <c r="T110" s="348">
        <f>M110/Q107</f>
        <v>1.4746389385264758</v>
      </c>
      <c r="U110" s="1043">
        <f t="shared" si="10"/>
        <v>1.5628458688984583</v>
      </c>
      <c r="V110" s="2088" t="str">
        <f>Table2456[[#This Row],[Column3]]</f>
        <v>1991-Q4</v>
      </c>
    </row>
    <row r="111" spans="1:22" x14ac:dyDescent="0.3">
      <c r="A111" s="211">
        <f t="shared" si="11"/>
        <v>1992</v>
      </c>
      <c r="B111" s="211" t="str">
        <f t="shared" si="12"/>
        <v>Q1</v>
      </c>
      <c r="C111" s="2088" t="str">
        <f t="shared" si="8"/>
        <v>1992-Q1</v>
      </c>
      <c r="D111" s="211">
        <v>1992</v>
      </c>
      <c r="E111" s="252">
        <v>9000</v>
      </c>
      <c r="F111" s="252">
        <v>8575</v>
      </c>
      <c r="G111" s="252">
        <f t="shared" si="13"/>
        <v>8787.5</v>
      </c>
      <c r="I111" s="2088">
        <v>33969</v>
      </c>
      <c r="J111" s="230">
        <v>1149000</v>
      </c>
      <c r="K111" s="278">
        <f>AVERAGE(J107,J111)</f>
        <v>1147500</v>
      </c>
      <c r="L111" s="252">
        <f>K111*E111</f>
        <v>10327500000</v>
      </c>
      <c r="M111" s="252">
        <f>K111*F111</f>
        <v>9839812500</v>
      </c>
      <c r="N111" s="252">
        <f t="shared" si="9"/>
        <v>10083656250</v>
      </c>
      <c r="P111" s="252">
        <v>8896331000</v>
      </c>
      <c r="Q111" s="252">
        <f>AVERAGE(P107,P111)</f>
        <v>8138124500</v>
      </c>
      <c r="S111" s="348">
        <f>L111/Q111</f>
        <v>1.2690270344229804</v>
      </c>
      <c r="T111" s="348">
        <f>M111/Q111</f>
        <v>1.2091007577974509</v>
      </c>
      <c r="U111" s="1043">
        <f t="shared" si="10"/>
        <v>1.2390638961102156</v>
      </c>
      <c r="V111" s="2088" t="str">
        <f>Table2456[[#This Row],[Column3]]</f>
        <v>1992-Q1</v>
      </c>
    </row>
    <row r="112" spans="1:22" x14ac:dyDescent="0.3">
      <c r="A112" s="211">
        <f t="shared" si="11"/>
        <v>1992</v>
      </c>
      <c r="B112" s="211" t="str">
        <f t="shared" si="12"/>
        <v>Q2</v>
      </c>
      <c r="C112" s="2088" t="str">
        <f t="shared" si="8"/>
        <v>1992-Q2</v>
      </c>
      <c r="E112" s="252">
        <v>9300</v>
      </c>
      <c r="F112" s="252">
        <v>8850</v>
      </c>
      <c r="G112" s="252">
        <f t="shared" si="13"/>
        <v>9075</v>
      </c>
      <c r="J112" s="230"/>
      <c r="L112" s="252">
        <f>K111*E112</f>
        <v>10671750000</v>
      </c>
      <c r="M112" s="252">
        <f>K111*F112</f>
        <v>10155375000</v>
      </c>
      <c r="N112" s="252">
        <f t="shared" si="9"/>
        <v>10413562500</v>
      </c>
      <c r="P112" s="252"/>
      <c r="Q112" s="252"/>
      <c r="S112" s="348">
        <f>L112/Q111</f>
        <v>1.3113279355704131</v>
      </c>
      <c r="T112" s="348">
        <f>M112/Q111</f>
        <v>1.247876583849264</v>
      </c>
      <c r="U112" s="1043">
        <f t="shared" si="10"/>
        <v>1.2796022597098387</v>
      </c>
      <c r="V112" s="2088" t="str">
        <f>Table2456[[#This Row],[Column3]]</f>
        <v>1992-Q2</v>
      </c>
    </row>
    <row r="113" spans="1:22" x14ac:dyDescent="0.3">
      <c r="A113" s="211">
        <f t="shared" si="11"/>
        <v>1992</v>
      </c>
      <c r="B113" s="211" t="str">
        <f t="shared" si="12"/>
        <v>Q3</v>
      </c>
      <c r="C113" s="2088" t="str">
        <f t="shared" si="8"/>
        <v>1992-Q3</v>
      </c>
      <c r="E113" s="252">
        <v>9950</v>
      </c>
      <c r="F113" s="252">
        <v>9050</v>
      </c>
      <c r="G113" s="252">
        <f t="shared" si="13"/>
        <v>9500</v>
      </c>
      <c r="J113" s="230"/>
      <c r="L113" s="252">
        <f>K111*E113</f>
        <v>11417625000</v>
      </c>
      <c r="M113" s="252">
        <f>K111*F113</f>
        <v>10384875000</v>
      </c>
      <c r="N113" s="252">
        <f t="shared" si="9"/>
        <v>10901250000</v>
      </c>
      <c r="P113" s="252"/>
      <c r="Q113" s="252"/>
      <c r="S113" s="348">
        <f>L113/Q111</f>
        <v>1.4029798880565172</v>
      </c>
      <c r="T113" s="348">
        <f>M113/Q111</f>
        <v>1.2760771846142192</v>
      </c>
      <c r="U113" s="1043">
        <f t="shared" si="10"/>
        <v>1.3395285363353682</v>
      </c>
      <c r="V113" s="2088" t="str">
        <f>Table2456[[#This Row],[Column3]]</f>
        <v>1992-Q3</v>
      </c>
    </row>
    <row r="114" spans="1:22" x14ac:dyDescent="0.3">
      <c r="A114" s="211">
        <f t="shared" si="11"/>
        <v>1992</v>
      </c>
      <c r="B114" s="211" t="str">
        <f t="shared" si="12"/>
        <v>Q4</v>
      </c>
      <c r="C114" s="2088" t="str">
        <f t="shared" si="8"/>
        <v>1992-Q4</v>
      </c>
      <c r="E114" s="252">
        <v>11750</v>
      </c>
      <c r="F114" s="252">
        <v>9150</v>
      </c>
      <c r="G114" s="252">
        <f t="shared" si="13"/>
        <v>10450</v>
      </c>
      <c r="J114" s="230"/>
      <c r="L114" s="252">
        <f>K111*E114</f>
        <v>13483125000</v>
      </c>
      <c r="M114" s="252">
        <f>K111*F114</f>
        <v>10499625000</v>
      </c>
      <c r="N114" s="252">
        <f t="shared" si="9"/>
        <v>11991375000</v>
      </c>
      <c r="P114" s="252"/>
      <c r="Q114" s="252"/>
      <c r="S114" s="348">
        <f>L114/Q111</f>
        <v>1.6567852949411133</v>
      </c>
      <c r="T114" s="348">
        <f>M114/Q111</f>
        <v>1.2901774849966967</v>
      </c>
      <c r="U114" s="1043">
        <f t="shared" si="10"/>
        <v>1.473481389968905</v>
      </c>
      <c r="V114" s="2088" t="str">
        <f>Table2456[[#This Row],[Column3]]</f>
        <v>1992-Q4</v>
      </c>
    </row>
    <row r="115" spans="1:22" x14ac:dyDescent="0.3">
      <c r="A115" s="211">
        <f t="shared" si="11"/>
        <v>1993</v>
      </c>
      <c r="B115" s="211" t="str">
        <f t="shared" si="12"/>
        <v>Q1</v>
      </c>
      <c r="C115" s="2088" t="str">
        <f t="shared" si="8"/>
        <v>1993-Q1</v>
      </c>
      <c r="D115" s="211">
        <v>1993</v>
      </c>
      <c r="E115" s="252">
        <v>13200</v>
      </c>
      <c r="F115" s="252">
        <v>11350</v>
      </c>
      <c r="G115" s="252">
        <f t="shared" si="13"/>
        <v>12275</v>
      </c>
      <c r="I115" s="2088">
        <v>34334</v>
      </c>
      <c r="J115" s="230">
        <v>1178000</v>
      </c>
      <c r="K115" s="278">
        <f>AVERAGE(J111,J115)</f>
        <v>1163500</v>
      </c>
      <c r="L115" s="252">
        <f>K115*E115</f>
        <v>15358200000</v>
      </c>
      <c r="M115" s="252">
        <f>K115*F115</f>
        <v>13205725000</v>
      </c>
      <c r="N115" s="252">
        <f t="shared" si="9"/>
        <v>14281962500</v>
      </c>
      <c r="P115" s="252">
        <v>10428374000</v>
      </c>
      <c r="Q115" s="252">
        <f>AVERAGE(P111,P115)</f>
        <v>9662352500</v>
      </c>
      <c r="S115" s="348">
        <f>L115/Q115</f>
        <v>1.5894886881843733</v>
      </c>
      <c r="T115" s="348">
        <f>M115/Q115</f>
        <v>1.3667194402191392</v>
      </c>
      <c r="U115" s="1043">
        <f t="shared" si="10"/>
        <v>1.4781040642017562</v>
      </c>
      <c r="V115" s="2088" t="str">
        <f>Table2456[[#This Row],[Column3]]</f>
        <v>1993-Q1</v>
      </c>
    </row>
    <row r="116" spans="1:22" x14ac:dyDescent="0.3">
      <c r="A116" s="211">
        <f t="shared" si="11"/>
        <v>1993</v>
      </c>
      <c r="B116" s="211" t="str">
        <f t="shared" si="12"/>
        <v>Q2</v>
      </c>
      <c r="C116" s="2088" t="str">
        <f t="shared" si="8"/>
        <v>1993-Q2</v>
      </c>
      <c r="E116" s="252">
        <v>16200</v>
      </c>
      <c r="F116" s="252">
        <v>11800</v>
      </c>
      <c r="G116" s="252">
        <f t="shared" si="13"/>
        <v>14000</v>
      </c>
      <c r="J116" s="230"/>
      <c r="L116" s="252">
        <f>K115*E116</f>
        <v>18848700000</v>
      </c>
      <c r="M116" s="252">
        <f>K115*F116</f>
        <v>13729300000</v>
      </c>
      <c r="N116" s="252">
        <f t="shared" si="9"/>
        <v>16289000000</v>
      </c>
      <c r="P116" s="252"/>
      <c r="Q116" s="252"/>
      <c r="S116" s="348">
        <f>L116/Q115</f>
        <v>1.9507361173171855</v>
      </c>
      <c r="T116" s="348">
        <f>M116/Q115</f>
        <v>1.4209065545890609</v>
      </c>
      <c r="U116" s="1043">
        <f t="shared" si="10"/>
        <v>1.6858213359531233</v>
      </c>
      <c r="V116" s="2088" t="str">
        <f>Table2456[[#This Row],[Column3]]</f>
        <v>1993-Q2</v>
      </c>
    </row>
    <row r="117" spans="1:22" x14ac:dyDescent="0.3">
      <c r="A117" s="211">
        <f t="shared" si="11"/>
        <v>1993</v>
      </c>
      <c r="B117" s="211" t="str">
        <f t="shared" si="12"/>
        <v>Q3</v>
      </c>
      <c r="C117" s="2088" t="str">
        <f t="shared" si="8"/>
        <v>1993-Q3</v>
      </c>
      <c r="E117" s="252">
        <v>17800</v>
      </c>
      <c r="F117" s="252">
        <v>15100</v>
      </c>
      <c r="G117" s="252">
        <f t="shared" si="13"/>
        <v>16450</v>
      </c>
      <c r="J117" s="230"/>
      <c r="L117" s="252">
        <f>K115*E117</f>
        <v>20710300000</v>
      </c>
      <c r="M117" s="252">
        <f>K115*F117</f>
        <v>17568850000</v>
      </c>
      <c r="N117" s="252">
        <f t="shared" si="9"/>
        <v>19139575000</v>
      </c>
      <c r="P117" s="252"/>
      <c r="Q117" s="252"/>
      <c r="S117" s="348">
        <f>L117/Q115</f>
        <v>2.1434014128546854</v>
      </c>
      <c r="T117" s="348">
        <f>M117/Q115</f>
        <v>1.8182787266351543</v>
      </c>
      <c r="U117" s="1043">
        <f t="shared" si="10"/>
        <v>1.9808400697449198</v>
      </c>
      <c r="V117" s="2088" t="str">
        <f>Table2456[[#This Row],[Column3]]</f>
        <v>1993-Q3</v>
      </c>
    </row>
    <row r="118" spans="1:22" x14ac:dyDescent="0.3">
      <c r="A118" s="211">
        <f t="shared" si="11"/>
        <v>1993</v>
      </c>
      <c r="B118" s="211" t="str">
        <f t="shared" si="12"/>
        <v>Q4</v>
      </c>
      <c r="C118" s="2088" t="str">
        <f t="shared" si="8"/>
        <v>1993-Q4</v>
      </c>
      <c r="E118" s="252">
        <v>17800</v>
      </c>
      <c r="F118" s="252">
        <v>16200</v>
      </c>
      <c r="G118" s="252">
        <f t="shared" si="13"/>
        <v>17000</v>
      </c>
      <c r="J118" s="230"/>
      <c r="L118" s="252">
        <f>K115*E118</f>
        <v>20710300000</v>
      </c>
      <c r="M118" s="252">
        <f>K115*F118</f>
        <v>18848700000</v>
      </c>
      <c r="N118" s="252">
        <f t="shared" si="9"/>
        <v>19779500000</v>
      </c>
      <c r="P118" s="252"/>
      <c r="Q118" s="252"/>
      <c r="S118" s="348">
        <f>L118/Q115</f>
        <v>2.1434014128546854</v>
      </c>
      <c r="T118" s="348">
        <f>M118/Q115</f>
        <v>1.9507361173171855</v>
      </c>
      <c r="U118" s="1043">
        <f t="shared" si="10"/>
        <v>2.0470687650859354</v>
      </c>
      <c r="V118" s="2088" t="str">
        <f>Table2456[[#This Row],[Column3]]</f>
        <v>1993-Q4</v>
      </c>
    </row>
    <row r="119" spans="1:22" x14ac:dyDescent="0.3">
      <c r="A119" s="211">
        <f t="shared" si="11"/>
        <v>1994</v>
      </c>
      <c r="B119" s="211" t="str">
        <f t="shared" si="12"/>
        <v>Q1</v>
      </c>
      <c r="C119" s="2088" t="str">
        <f t="shared" si="8"/>
        <v>1994-Q1</v>
      </c>
      <c r="D119" s="211">
        <v>1994</v>
      </c>
      <c r="E119" s="252">
        <v>16900</v>
      </c>
      <c r="F119" s="252">
        <v>15150</v>
      </c>
      <c r="G119" s="252">
        <f t="shared" si="13"/>
        <v>16025</v>
      </c>
      <c r="I119" s="2088">
        <v>34699</v>
      </c>
      <c r="J119" s="230">
        <v>1178000</v>
      </c>
      <c r="K119" s="278">
        <f>AVERAGE(J115,J119)</f>
        <v>1178000</v>
      </c>
      <c r="L119" s="252">
        <f>K119*E119</f>
        <v>19908200000</v>
      </c>
      <c r="M119" s="252">
        <f>K119*F119</f>
        <v>17846700000</v>
      </c>
      <c r="N119" s="252">
        <f t="shared" si="9"/>
        <v>18877450000</v>
      </c>
      <c r="P119" s="252">
        <v>11874882000</v>
      </c>
      <c r="Q119" s="252">
        <f>AVERAGE(P115,P119)</f>
        <v>11151628000</v>
      </c>
      <c r="S119" s="348">
        <f>L119/Q119</f>
        <v>1.7852281299196853</v>
      </c>
      <c r="T119" s="348">
        <f>M119/Q119</f>
        <v>1.6003672288924988</v>
      </c>
      <c r="U119" s="1043">
        <f t="shared" si="10"/>
        <v>1.6927976794060919</v>
      </c>
      <c r="V119" s="2088" t="str">
        <f>Table2456[[#This Row],[Column3]]</f>
        <v>1994-Q1</v>
      </c>
    </row>
    <row r="120" spans="1:22" x14ac:dyDescent="0.3">
      <c r="A120" s="211">
        <f t="shared" si="11"/>
        <v>1994</v>
      </c>
      <c r="B120" s="211" t="str">
        <f t="shared" si="12"/>
        <v>Q2</v>
      </c>
      <c r="C120" s="2088" t="str">
        <f t="shared" si="8"/>
        <v>1994-Q2</v>
      </c>
      <c r="E120" s="252">
        <v>16700</v>
      </c>
      <c r="F120" s="252">
        <v>15400</v>
      </c>
      <c r="G120" s="252">
        <f t="shared" si="13"/>
        <v>16050</v>
      </c>
      <c r="J120" s="230"/>
      <c r="L120" s="252">
        <f>K119*E120</f>
        <v>19672600000</v>
      </c>
      <c r="M120" s="252">
        <f>K119*F120</f>
        <v>18141200000</v>
      </c>
      <c r="N120" s="252">
        <f t="shared" si="9"/>
        <v>18906900000</v>
      </c>
      <c r="P120" s="252"/>
      <c r="Q120" s="252"/>
      <c r="S120" s="348">
        <f>L120/Q119</f>
        <v>1.7641011698022926</v>
      </c>
      <c r="T120" s="348">
        <f>M120/Q119</f>
        <v>1.6267759290392398</v>
      </c>
      <c r="U120" s="1043">
        <f t="shared" si="10"/>
        <v>1.6954385494207662</v>
      </c>
      <c r="V120" s="2088" t="str">
        <f>Table2456[[#This Row],[Column3]]</f>
        <v>1994-Q2</v>
      </c>
    </row>
    <row r="121" spans="1:22" x14ac:dyDescent="0.3">
      <c r="A121" s="211">
        <f t="shared" si="11"/>
        <v>1994</v>
      </c>
      <c r="B121" s="211" t="str">
        <f t="shared" si="12"/>
        <v>Q3</v>
      </c>
      <c r="C121" s="2088" t="str">
        <f t="shared" si="8"/>
        <v>1994-Q3</v>
      </c>
      <c r="E121" s="252">
        <v>19750</v>
      </c>
      <c r="F121" s="252">
        <v>16425</v>
      </c>
      <c r="G121" s="252">
        <f t="shared" si="13"/>
        <v>18087.5</v>
      </c>
      <c r="J121" s="230"/>
      <c r="L121" s="252">
        <f>K119*E121</f>
        <v>23265500000</v>
      </c>
      <c r="M121" s="252">
        <f>K119*F121</f>
        <v>19348650000</v>
      </c>
      <c r="N121" s="252">
        <f t="shared" si="9"/>
        <v>21307075000</v>
      </c>
      <c r="P121" s="252"/>
      <c r="Q121" s="252"/>
      <c r="S121" s="348">
        <f>L121/Q119</f>
        <v>2.0862873115925318</v>
      </c>
      <c r="T121" s="348">
        <f>M121/Q119</f>
        <v>1.7350515996408775</v>
      </c>
      <c r="U121" s="1043">
        <f t="shared" si="10"/>
        <v>1.9106694556167048</v>
      </c>
      <c r="V121" s="2088" t="str">
        <f>Table2456[[#This Row],[Column3]]</f>
        <v>1994-Q3</v>
      </c>
    </row>
    <row r="122" spans="1:22" x14ac:dyDescent="0.3">
      <c r="A122" s="211">
        <f t="shared" si="11"/>
        <v>1994</v>
      </c>
      <c r="B122" s="211" t="str">
        <f t="shared" si="12"/>
        <v>Q4</v>
      </c>
      <c r="C122" s="2088" t="str">
        <f t="shared" si="8"/>
        <v>1994-Q4</v>
      </c>
      <c r="E122" s="252">
        <v>20800</v>
      </c>
      <c r="F122" s="252">
        <v>19200</v>
      </c>
      <c r="G122" s="252">
        <f t="shared" si="13"/>
        <v>20000</v>
      </c>
      <c r="J122" s="230"/>
      <c r="L122" s="252">
        <f>K119*E122</f>
        <v>24502400000</v>
      </c>
      <c r="M122" s="252">
        <f>K119*F122</f>
        <v>22617600000</v>
      </c>
      <c r="N122" s="252">
        <f>AVERAGE(L122:M122)</f>
        <v>23560000000</v>
      </c>
      <c r="P122" s="252"/>
      <c r="Q122" s="252"/>
      <c r="S122" s="348">
        <f>L122/Q119</f>
        <v>2.1972038522088435</v>
      </c>
      <c r="T122" s="348">
        <f>M122/Q119</f>
        <v>2.0281881712697016</v>
      </c>
      <c r="U122" s="1043">
        <f t="shared" si="10"/>
        <v>2.1126960117392724</v>
      </c>
      <c r="V122" s="2088" t="str">
        <f>Table2456[[#This Row],[Column3]]</f>
        <v>1994-Q4</v>
      </c>
    </row>
    <row r="123" spans="1:22" x14ac:dyDescent="0.3">
      <c r="A123" s="211">
        <f t="shared" si="11"/>
        <v>1995</v>
      </c>
      <c r="B123" s="211" t="str">
        <f t="shared" si="12"/>
        <v>Q1</v>
      </c>
      <c r="C123" s="2088" t="str">
        <f t="shared" si="8"/>
        <v>1995-Q1</v>
      </c>
      <c r="D123" s="211">
        <v>1995</v>
      </c>
      <c r="E123" s="252">
        <v>25200</v>
      </c>
      <c r="F123" s="252">
        <v>20250</v>
      </c>
      <c r="G123" s="252">
        <f t="shared" si="13"/>
        <v>22725</v>
      </c>
      <c r="I123" s="2088">
        <v>35064</v>
      </c>
      <c r="J123" s="230">
        <v>1194000</v>
      </c>
      <c r="K123" s="230">
        <f>AVERAGE(J119,J123)</f>
        <v>1186000</v>
      </c>
      <c r="L123" s="252">
        <f>K123*E123</f>
        <v>29887200000</v>
      </c>
      <c r="M123" s="252">
        <f>K123*F123</f>
        <v>24016500000</v>
      </c>
      <c r="N123" s="252">
        <f>AVERAGE(L123:M123)</f>
        <v>26951850000</v>
      </c>
      <c r="P123" s="252">
        <v>16739000000</v>
      </c>
      <c r="Q123" s="252">
        <f>AVERAGE(P119,P123)</f>
        <v>14306941000</v>
      </c>
      <c r="S123" s="348">
        <f>L123/Q123</f>
        <v>2.0890000175439321</v>
      </c>
      <c r="T123" s="348">
        <f>M123/Q123</f>
        <v>1.6786607283835169</v>
      </c>
      <c r="U123" s="1043">
        <f t="shared" si="10"/>
        <v>1.8838303729637245</v>
      </c>
      <c r="V123" s="2088" t="str">
        <f>Table2456[[#This Row],[Column3]]</f>
        <v>1995-Q1</v>
      </c>
    </row>
    <row r="124" spans="1:22" x14ac:dyDescent="0.3">
      <c r="A124" s="211">
        <f t="shared" si="11"/>
        <v>1995</v>
      </c>
      <c r="B124" s="211" t="str">
        <f t="shared" si="12"/>
        <v>Q2</v>
      </c>
      <c r="C124" s="2088" t="str">
        <f t="shared" si="8"/>
        <v>1995-Q2</v>
      </c>
      <c r="E124" s="252">
        <v>24450</v>
      </c>
      <c r="F124" s="252">
        <v>21500</v>
      </c>
      <c r="G124" s="252">
        <f t="shared" si="13"/>
        <v>22975</v>
      </c>
      <c r="J124" s="230"/>
      <c r="K124" s="230"/>
      <c r="L124" s="252">
        <f>K123*E124</f>
        <v>28997700000</v>
      </c>
      <c r="M124" s="252">
        <f>K123*F124</f>
        <v>25499000000</v>
      </c>
      <c r="N124" s="252">
        <f t="shared" ref="N124:N161" si="14">AVERAGE(L124:M124)</f>
        <v>27248350000</v>
      </c>
      <c r="P124" s="252"/>
      <c r="Q124" s="252"/>
      <c r="S124" s="348">
        <f>L124/Q123</f>
        <v>2.0268273979741722</v>
      </c>
      <c r="T124" s="348">
        <f>M124/Q123</f>
        <v>1.7822817609997832</v>
      </c>
      <c r="U124" s="1043">
        <f t="shared" si="10"/>
        <v>1.9045545794869776</v>
      </c>
      <c r="V124" s="2088" t="str">
        <f>Table2456[[#This Row],[Column3]]</f>
        <v>1995-Q2</v>
      </c>
    </row>
    <row r="125" spans="1:22" x14ac:dyDescent="0.3">
      <c r="A125" s="211">
        <f t="shared" si="11"/>
        <v>1995</v>
      </c>
      <c r="B125" s="211" t="str">
        <f t="shared" si="12"/>
        <v>Q3</v>
      </c>
      <c r="C125" s="2088" t="str">
        <f t="shared" si="8"/>
        <v>1995-Q3</v>
      </c>
      <c r="E125" s="252">
        <v>30600</v>
      </c>
      <c r="F125" s="252">
        <v>23400</v>
      </c>
      <c r="G125" s="252">
        <f t="shared" si="13"/>
        <v>27000</v>
      </c>
      <c r="J125" s="230"/>
      <c r="K125" s="230"/>
      <c r="L125" s="252">
        <f>K123*E125</f>
        <v>36291600000</v>
      </c>
      <c r="M125" s="252">
        <f>K123*F125</f>
        <v>27752400000</v>
      </c>
      <c r="N125" s="252">
        <f t="shared" si="14"/>
        <v>32022000000</v>
      </c>
      <c r="P125" s="252"/>
      <c r="Q125" s="252"/>
      <c r="S125" s="348">
        <f>L125/Q123</f>
        <v>2.536642878446203</v>
      </c>
      <c r="T125" s="348">
        <f>M125/Q123</f>
        <v>1.9397857305765083</v>
      </c>
      <c r="U125" s="1043">
        <f t="shared" si="10"/>
        <v>2.2382143045113558</v>
      </c>
      <c r="V125" s="2088" t="str">
        <f>Table2456[[#This Row],[Column3]]</f>
        <v>1995-Q3</v>
      </c>
    </row>
    <row r="126" spans="1:22" x14ac:dyDescent="0.3">
      <c r="A126" s="211">
        <f t="shared" si="11"/>
        <v>1995</v>
      </c>
      <c r="B126" s="211" t="str">
        <f t="shared" si="12"/>
        <v>Q4</v>
      </c>
      <c r="C126" s="2088" t="str">
        <f t="shared" si="8"/>
        <v>1995-Q4</v>
      </c>
      <c r="E126" s="252">
        <v>33400</v>
      </c>
      <c r="F126" s="252">
        <v>28850</v>
      </c>
      <c r="G126" s="252">
        <f t="shared" si="13"/>
        <v>31125</v>
      </c>
      <c r="J126" s="230"/>
      <c r="K126" s="230"/>
      <c r="L126" s="252">
        <f>K123*E126</f>
        <v>39612400000</v>
      </c>
      <c r="M126" s="252">
        <f>K123*F126</f>
        <v>34216100000</v>
      </c>
      <c r="N126" s="252">
        <f t="shared" si="14"/>
        <v>36914250000</v>
      </c>
      <c r="P126" s="252"/>
      <c r="Q126" s="252"/>
      <c r="S126" s="348">
        <f>L126/Q123</f>
        <v>2.7687539915066401</v>
      </c>
      <c r="T126" s="348">
        <f>M126/Q123</f>
        <v>2.3915734327834302</v>
      </c>
      <c r="U126" s="1043">
        <f t="shared" si="10"/>
        <v>2.5801637121450351</v>
      </c>
      <c r="V126" s="2088" t="str">
        <f>Table2456[[#This Row],[Column3]]</f>
        <v>1995-Q4</v>
      </c>
    </row>
    <row r="127" spans="1:22" x14ac:dyDescent="0.3">
      <c r="A127" s="211">
        <f t="shared" si="11"/>
        <v>1996</v>
      </c>
      <c r="B127" s="211" t="str">
        <f t="shared" si="12"/>
        <v>Q1</v>
      </c>
      <c r="C127" s="2088" t="str">
        <f t="shared" si="8"/>
        <v>1996-Q1</v>
      </c>
      <c r="D127" s="211">
        <v>1996</v>
      </c>
      <c r="E127" s="252">
        <v>38000</v>
      </c>
      <c r="F127" s="252">
        <v>29800</v>
      </c>
      <c r="G127" s="252">
        <f t="shared" si="13"/>
        <v>33900</v>
      </c>
      <c r="I127" s="2088">
        <v>35430</v>
      </c>
      <c r="J127" s="230">
        <v>1232000</v>
      </c>
      <c r="K127" s="278">
        <f>AVERAGE(J123,J127)</f>
        <v>1213000</v>
      </c>
      <c r="L127" s="252">
        <f>K127*E127</f>
        <v>46094000000</v>
      </c>
      <c r="M127" s="252">
        <f>K127*F127</f>
        <v>36147400000</v>
      </c>
      <c r="N127" s="252">
        <f t="shared" si="14"/>
        <v>41120700000</v>
      </c>
      <c r="P127" s="252">
        <v>23427000000</v>
      </c>
      <c r="Q127" s="252">
        <f>AVERAGE(P123,P127)</f>
        <v>20083000000</v>
      </c>
      <c r="S127" s="348">
        <f>L127/Q127</f>
        <v>2.2951750236518449</v>
      </c>
      <c r="T127" s="348">
        <f>M127/Q127</f>
        <v>1.7999004132848677</v>
      </c>
      <c r="U127" s="1043">
        <f t="shared" si="10"/>
        <v>2.0475377184683561</v>
      </c>
      <c r="V127" s="2088" t="str">
        <f>Table2456[[#This Row],[Column3]]</f>
        <v>1996-Q1</v>
      </c>
    </row>
    <row r="128" spans="1:22" x14ac:dyDescent="0.3">
      <c r="A128" s="211">
        <f t="shared" si="11"/>
        <v>1996</v>
      </c>
      <c r="B128" s="211" t="str">
        <f t="shared" si="12"/>
        <v>Q2</v>
      </c>
      <c r="C128" s="2088" t="str">
        <f t="shared" si="8"/>
        <v>1996-Q2</v>
      </c>
      <c r="E128" s="252">
        <v>36000</v>
      </c>
      <c r="F128" s="252">
        <v>30000</v>
      </c>
      <c r="G128" s="252">
        <f t="shared" si="13"/>
        <v>33000</v>
      </c>
      <c r="J128" s="230"/>
      <c r="L128" s="252">
        <f>K127*E128</f>
        <v>43668000000</v>
      </c>
      <c r="M128" s="252">
        <f>K127*F128</f>
        <v>36390000000</v>
      </c>
      <c r="N128" s="252">
        <f t="shared" si="14"/>
        <v>40029000000</v>
      </c>
      <c r="P128" s="252"/>
      <c r="Q128" s="252"/>
      <c r="S128" s="348">
        <f>L128/Q127</f>
        <v>2.1743763381964847</v>
      </c>
      <c r="T128" s="348">
        <f>M128/Q127</f>
        <v>1.8119802818304038</v>
      </c>
      <c r="U128" s="1043">
        <f t="shared" si="10"/>
        <v>1.9931783100134441</v>
      </c>
      <c r="V128" s="2088" t="str">
        <f>Table2456[[#This Row],[Column3]]</f>
        <v>1996-Q2</v>
      </c>
    </row>
    <row r="129" spans="1:22" x14ac:dyDescent="0.3">
      <c r="A129" s="211">
        <f t="shared" si="11"/>
        <v>1996</v>
      </c>
      <c r="B129" s="211" t="str">
        <f t="shared" si="12"/>
        <v>Q3</v>
      </c>
      <c r="C129" s="2088" t="str">
        <f t="shared" si="8"/>
        <v>1996-Q3</v>
      </c>
      <c r="E129" s="252">
        <v>33500</v>
      </c>
      <c r="F129" s="252">
        <v>30500</v>
      </c>
      <c r="G129" s="252">
        <f t="shared" si="13"/>
        <v>32000</v>
      </c>
      <c r="J129" s="230"/>
      <c r="L129" s="252">
        <f>K127*E129</f>
        <v>40635500000</v>
      </c>
      <c r="M129" s="252">
        <f>K127*F129</f>
        <v>36996500000</v>
      </c>
      <c r="N129" s="252">
        <f t="shared" si="14"/>
        <v>38816000000</v>
      </c>
      <c r="P129" s="252"/>
      <c r="Q129" s="252"/>
      <c r="S129" s="348">
        <f>L129/Q127</f>
        <v>2.0233779813772843</v>
      </c>
      <c r="T129" s="348">
        <f>M129/Q127</f>
        <v>1.842179953194244</v>
      </c>
      <c r="U129" s="1043">
        <f t="shared" si="10"/>
        <v>1.9327789672857643</v>
      </c>
      <c r="V129" s="2088" t="str">
        <f>Table2456[[#This Row],[Column3]]</f>
        <v>1996-Q3</v>
      </c>
    </row>
    <row r="130" spans="1:22" x14ac:dyDescent="0.3">
      <c r="A130" s="211">
        <f t="shared" si="11"/>
        <v>1996</v>
      </c>
      <c r="B130" s="211" t="str">
        <f t="shared" si="12"/>
        <v>Q4</v>
      </c>
      <c r="C130" s="2088" t="str">
        <f t="shared" si="8"/>
        <v>1996-Q4</v>
      </c>
      <c r="E130" s="252">
        <v>36500</v>
      </c>
      <c r="F130" s="252">
        <v>31000</v>
      </c>
      <c r="G130" s="252">
        <f t="shared" si="13"/>
        <v>33750</v>
      </c>
      <c r="J130" s="230"/>
      <c r="L130" s="252">
        <f>K127*E130</f>
        <v>44274500000</v>
      </c>
      <c r="M130" s="252">
        <f>K127*F130</f>
        <v>37603000000</v>
      </c>
      <c r="N130" s="252">
        <f t="shared" si="14"/>
        <v>40938750000</v>
      </c>
      <c r="P130" s="252"/>
      <c r="Q130" s="252"/>
      <c r="S130" s="348">
        <f>L130/Q127</f>
        <v>2.2045760095603248</v>
      </c>
      <c r="T130" s="348">
        <f>M130/Q127</f>
        <v>1.8723796245580839</v>
      </c>
      <c r="U130" s="1043">
        <f t="shared" si="10"/>
        <v>2.0384778170592046</v>
      </c>
      <c r="V130" s="2088" t="str">
        <f>Table2456[[#This Row],[Column3]]</f>
        <v>1996-Q4</v>
      </c>
    </row>
    <row r="131" spans="1:22" x14ac:dyDescent="0.3">
      <c r="A131" s="211">
        <f t="shared" si="11"/>
        <v>1997</v>
      </c>
      <c r="B131" s="211" t="str">
        <f t="shared" si="12"/>
        <v>Q1</v>
      </c>
      <c r="C131" s="2088" t="str">
        <f t="shared" si="8"/>
        <v>1997-Q1</v>
      </c>
      <c r="D131" s="211">
        <v>1997</v>
      </c>
      <c r="E131" s="252">
        <v>37900</v>
      </c>
      <c r="F131" s="252">
        <v>33000</v>
      </c>
      <c r="G131" s="252">
        <f t="shared" si="13"/>
        <v>35450</v>
      </c>
      <c r="I131" s="2088">
        <v>35795</v>
      </c>
      <c r="J131" s="230">
        <v>1234000</v>
      </c>
      <c r="K131" s="230">
        <f>AVERAGE(J127,J131)</f>
        <v>1233000</v>
      </c>
      <c r="L131" s="252">
        <f>K131*E131</f>
        <v>46730700000</v>
      </c>
      <c r="M131" s="252">
        <f>K131*F131</f>
        <v>40689000000</v>
      </c>
      <c r="N131" s="252">
        <f t="shared" si="14"/>
        <v>43709850000</v>
      </c>
      <c r="P131" s="252">
        <v>31455000000</v>
      </c>
      <c r="Q131" s="252">
        <f>AVERAGE(P127,P131)</f>
        <v>27441000000</v>
      </c>
      <c r="S131" s="348">
        <f>L131/Q131</f>
        <v>1.702951787471302</v>
      </c>
      <c r="T131" s="348">
        <f>M131/Q131</f>
        <v>1.4827812397507381</v>
      </c>
      <c r="U131" s="1043">
        <f t="shared" si="10"/>
        <v>1.5928665136110201</v>
      </c>
      <c r="V131" s="2088" t="str">
        <f>Table2456[[#This Row],[Column3]]</f>
        <v>1997-Q1</v>
      </c>
    </row>
    <row r="132" spans="1:22" x14ac:dyDescent="0.3">
      <c r="A132" s="211">
        <f t="shared" si="11"/>
        <v>1997</v>
      </c>
      <c r="B132" s="211" t="str">
        <f t="shared" si="12"/>
        <v>Q2</v>
      </c>
      <c r="C132" s="2088" t="str">
        <f t="shared" ref="C132:C162" si="15">CONCATENATE(A132,"-",B132)</f>
        <v>1997-Q2</v>
      </c>
      <c r="E132" s="252">
        <v>48600</v>
      </c>
      <c r="F132" s="252">
        <v>35900</v>
      </c>
      <c r="G132" s="252">
        <f t="shared" si="13"/>
        <v>42250</v>
      </c>
      <c r="J132" s="230"/>
      <c r="K132" s="230"/>
      <c r="L132" s="252">
        <f>K131*E132</f>
        <v>59923800000</v>
      </c>
      <c r="M132" s="252">
        <f>K131*F132</f>
        <v>44264700000</v>
      </c>
      <c r="N132" s="252">
        <f t="shared" si="14"/>
        <v>52094250000</v>
      </c>
      <c r="P132" s="252"/>
      <c r="Q132" s="252"/>
      <c r="S132" s="348">
        <f>L132/Q131</f>
        <v>2.1837323712692687</v>
      </c>
      <c r="T132" s="348">
        <f>M132/Q131</f>
        <v>1.6130862577894391</v>
      </c>
      <c r="U132" s="1043">
        <f t="shared" ref="U132:U161" si="16">AVERAGE(S132:T132)</f>
        <v>1.8984093145293539</v>
      </c>
      <c r="V132" s="2088" t="str">
        <f>Table2456[[#This Row],[Column3]]</f>
        <v>1997-Q2</v>
      </c>
    </row>
    <row r="133" spans="1:22" x14ac:dyDescent="0.3">
      <c r="A133" s="211">
        <f t="shared" si="11"/>
        <v>1997</v>
      </c>
      <c r="B133" s="211" t="str">
        <f t="shared" si="12"/>
        <v>Q3</v>
      </c>
      <c r="C133" s="2088" t="str">
        <f t="shared" si="15"/>
        <v>1997-Q3</v>
      </c>
      <c r="E133" s="252">
        <v>48300</v>
      </c>
      <c r="F133" s="252">
        <v>41300</v>
      </c>
      <c r="G133" s="252">
        <f t="shared" si="13"/>
        <v>44800</v>
      </c>
      <c r="J133" s="230"/>
      <c r="K133" s="230"/>
      <c r="L133" s="252">
        <f>K131*E133</f>
        <v>59553900000</v>
      </c>
      <c r="M133" s="252">
        <f>K131*F133</f>
        <v>50922900000</v>
      </c>
      <c r="N133" s="252">
        <f t="shared" si="14"/>
        <v>55238400000</v>
      </c>
      <c r="P133" s="252"/>
      <c r="Q133" s="252"/>
      <c r="S133" s="348">
        <f>L133/Q131</f>
        <v>2.1702525418169891</v>
      </c>
      <c r="T133" s="348">
        <f>M133/Q131</f>
        <v>1.855723187930469</v>
      </c>
      <c r="U133" s="1043">
        <f t="shared" si="16"/>
        <v>2.0129878648737289</v>
      </c>
      <c r="V133" s="2088" t="str">
        <f>Table2456[[#This Row],[Column3]]</f>
        <v>1997-Q3</v>
      </c>
    </row>
    <row r="134" spans="1:22" x14ac:dyDescent="0.3">
      <c r="A134" s="211">
        <f t="shared" si="11"/>
        <v>1997</v>
      </c>
      <c r="B134" s="211" t="str">
        <f t="shared" si="12"/>
        <v>Q4</v>
      </c>
      <c r="C134" s="2088" t="str">
        <f t="shared" si="15"/>
        <v>1997-Q4</v>
      </c>
      <c r="E134" s="252">
        <v>47200</v>
      </c>
      <c r="F134" s="252">
        <v>42500</v>
      </c>
      <c r="G134" s="252">
        <f t="shared" si="13"/>
        <v>44850</v>
      </c>
      <c r="J134" s="230"/>
      <c r="K134" s="230"/>
      <c r="L134" s="252">
        <f>K131*E134</f>
        <v>58197600000</v>
      </c>
      <c r="M134" s="252">
        <f>K131*F134</f>
        <v>52402500000</v>
      </c>
      <c r="N134" s="252">
        <f t="shared" si="14"/>
        <v>55300050000</v>
      </c>
      <c r="P134" s="252"/>
      <c r="Q134" s="252"/>
      <c r="S134" s="348">
        <f>L134/Q131</f>
        <v>2.1208265004919644</v>
      </c>
      <c r="T134" s="348">
        <f>M134/Q131</f>
        <v>1.9096425057395867</v>
      </c>
      <c r="U134" s="1043">
        <f t="shared" si="16"/>
        <v>2.0152345031157757</v>
      </c>
      <c r="V134" s="2088" t="str">
        <f>Table2456[[#This Row],[Column3]]</f>
        <v>1997-Q4</v>
      </c>
    </row>
    <row r="135" spans="1:22" x14ac:dyDescent="0.3">
      <c r="A135" s="211">
        <f t="shared" si="11"/>
        <v>1998</v>
      </c>
      <c r="B135" s="211" t="str">
        <f t="shared" si="12"/>
        <v>Q1</v>
      </c>
      <c r="C135" s="2088" t="str">
        <f t="shared" si="15"/>
        <v>1998-Q1</v>
      </c>
      <c r="D135" s="211">
        <v>1998</v>
      </c>
      <c r="E135" s="252">
        <v>69500</v>
      </c>
      <c r="F135" s="252">
        <v>45700</v>
      </c>
      <c r="G135" s="252">
        <f t="shared" si="13"/>
        <v>57600</v>
      </c>
      <c r="I135" s="2088">
        <v>36160</v>
      </c>
      <c r="J135" s="230">
        <v>1519000</v>
      </c>
      <c r="K135" s="230">
        <f>AVERAGE(J131,J135)</f>
        <v>1376500</v>
      </c>
      <c r="L135" s="252">
        <f>K135*E135</f>
        <v>95666750000</v>
      </c>
      <c r="M135" s="252">
        <f>K135*F135</f>
        <v>62906050000</v>
      </c>
      <c r="N135" s="252">
        <f t="shared" si="14"/>
        <v>79286400000</v>
      </c>
      <c r="P135" s="252">
        <v>57403000000</v>
      </c>
      <c r="Q135" s="252">
        <f>AVERAGE(P131,P135)</f>
        <v>44429000000</v>
      </c>
      <c r="S135" s="348">
        <f>L135/Q135</f>
        <v>2.1532501294199733</v>
      </c>
      <c r="T135" s="348">
        <f>M135/Q135</f>
        <v>1.4158781426545726</v>
      </c>
      <c r="U135" s="1043">
        <f t="shared" si="16"/>
        <v>1.784564136037273</v>
      </c>
      <c r="V135" s="2088" t="str">
        <f>Table2456[[#This Row],[Column3]]</f>
        <v>1998-Q1</v>
      </c>
    </row>
    <row r="136" spans="1:22" x14ac:dyDescent="0.3">
      <c r="A136" s="211">
        <f t="shared" si="11"/>
        <v>1998</v>
      </c>
      <c r="B136" s="211" t="str">
        <f t="shared" si="12"/>
        <v>Q2</v>
      </c>
      <c r="C136" s="2088" t="str">
        <f t="shared" si="15"/>
        <v>1998-Q2</v>
      </c>
      <c r="E136" s="252">
        <v>84000</v>
      </c>
      <c r="F136" s="252">
        <v>65800</v>
      </c>
      <c r="G136" s="252">
        <f t="shared" si="13"/>
        <v>74900</v>
      </c>
      <c r="J136" s="230"/>
      <c r="K136" s="230"/>
      <c r="L136" s="252">
        <f>K135*E136</f>
        <v>115626000000</v>
      </c>
      <c r="M136" s="252">
        <f>K135*F136</f>
        <v>90573700000</v>
      </c>
      <c r="N136" s="252">
        <f t="shared" si="14"/>
        <v>103099850000</v>
      </c>
      <c r="P136" s="252"/>
      <c r="Q136" s="252"/>
      <c r="S136" s="348">
        <f>L136/Q135</f>
        <v>2.6024893650543564</v>
      </c>
      <c r="T136" s="348">
        <f>M136/Q135</f>
        <v>2.0386166692925793</v>
      </c>
      <c r="U136" s="1043">
        <f t="shared" si="16"/>
        <v>2.3205530171734678</v>
      </c>
      <c r="V136" s="2088" t="str">
        <f>Table2456[[#This Row],[Column3]]</f>
        <v>1998-Q2</v>
      </c>
    </row>
    <row r="137" spans="1:22" x14ac:dyDescent="0.3">
      <c r="A137" s="211">
        <f t="shared" si="11"/>
        <v>1998</v>
      </c>
      <c r="B137" s="211" t="str">
        <f t="shared" si="12"/>
        <v>Q3</v>
      </c>
      <c r="C137" s="2088" t="str">
        <f t="shared" si="15"/>
        <v>1998-Q3</v>
      </c>
      <c r="E137" s="252">
        <v>78500</v>
      </c>
      <c r="F137" s="252">
        <v>57000</v>
      </c>
      <c r="G137" s="252">
        <f t="shared" si="13"/>
        <v>67750</v>
      </c>
      <c r="J137" s="230"/>
      <c r="K137" s="230"/>
      <c r="L137" s="252">
        <f>K135*E137</f>
        <v>108055250000</v>
      </c>
      <c r="M137" s="252">
        <f>K135*F137</f>
        <v>78460500000</v>
      </c>
      <c r="N137" s="252">
        <f t="shared" si="14"/>
        <v>93257875000</v>
      </c>
      <c r="P137" s="252"/>
      <c r="Q137" s="252"/>
      <c r="S137" s="348">
        <f>L137/Q135</f>
        <v>2.4320882756757976</v>
      </c>
      <c r="T137" s="348">
        <f>M137/Q135</f>
        <v>1.7659749262868847</v>
      </c>
      <c r="U137" s="1043">
        <f t="shared" si="16"/>
        <v>2.0990316009813412</v>
      </c>
      <c r="V137" s="2088" t="str">
        <f>Table2456[[#This Row],[Column3]]</f>
        <v>1998-Q3</v>
      </c>
    </row>
    <row r="138" spans="1:22" x14ac:dyDescent="0.3">
      <c r="A138" s="211">
        <f t="shared" si="11"/>
        <v>1998</v>
      </c>
      <c r="B138" s="211" t="str">
        <f t="shared" si="12"/>
        <v>Q4</v>
      </c>
      <c r="C138" s="2088" t="str">
        <f t="shared" si="15"/>
        <v>1998-Q4</v>
      </c>
      <c r="E138" s="252">
        <v>71000</v>
      </c>
      <c r="F138" s="252">
        <v>57700</v>
      </c>
      <c r="G138" s="252">
        <f t="shared" si="13"/>
        <v>64350</v>
      </c>
      <c r="J138" s="230"/>
      <c r="K138" s="230"/>
      <c r="L138" s="252">
        <f>K135*E138</f>
        <v>97731500000</v>
      </c>
      <c r="M138" s="252">
        <f>K135*F138</f>
        <v>79424050000</v>
      </c>
      <c r="N138" s="252">
        <f t="shared" si="14"/>
        <v>88577775000</v>
      </c>
      <c r="P138" s="252"/>
      <c r="Q138" s="252"/>
      <c r="S138" s="348">
        <f>L138/Q135</f>
        <v>2.1997231537959441</v>
      </c>
      <c r="T138" s="348">
        <f>M138/Q135</f>
        <v>1.7876623376623377</v>
      </c>
      <c r="U138" s="1043">
        <f t="shared" si="16"/>
        <v>1.9936927457291409</v>
      </c>
      <c r="V138" s="2088" t="str">
        <f>Table2456[[#This Row],[Column3]]</f>
        <v>1998-Q4</v>
      </c>
    </row>
    <row r="139" spans="1:22" x14ac:dyDescent="0.3">
      <c r="A139" s="211">
        <f t="shared" si="11"/>
        <v>1999</v>
      </c>
      <c r="B139" s="211" t="str">
        <f t="shared" si="12"/>
        <v>Q1</v>
      </c>
      <c r="C139" s="2088" t="str">
        <f t="shared" si="15"/>
        <v>1999-Q1</v>
      </c>
      <c r="D139" s="211">
        <v>1999</v>
      </c>
      <c r="E139" s="252">
        <v>81100</v>
      </c>
      <c r="F139" s="252">
        <v>61900</v>
      </c>
      <c r="G139" s="252">
        <f t="shared" si="13"/>
        <v>71500</v>
      </c>
      <c r="I139" s="2088">
        <v>36525</v>
      </c>
      <c r="J139" s="230">
        <v>1521000</v>
      </c>
      <c r="K139" s="278">
        <f>AVERAGE(J135,J139)</f>
        <v>1520000</v>
      </c>
      <c r="L139" s="252">
        <f>K139*E139</f>
        <v>123272000000</v>
      </c>
      <c r="M139" s="252">
        <f>K139*F139</f>
        <v>94088000000</v>
      </c>
      <c r="N139" s="252">
        <f t="shared" si="14"/>
        <v>108680000000</v>
      </c>
      <c r="P139" s="252">
        <v>57761000000</v>
      </c>
      <c r="Q139" s="252">
        <f>AVERAGE(P135,P139)</f>
        <v>57582000000</v>
      </c>
      <c r="S139" s="348">
        <f>L139/Q139</f>
        <v>2.1408078913549371</v>
      </c>
      <c r="T139" s="348">
        <f>M139/Q139</f>
        <v>1.6339828418603035</v>
      </c>
      <c r="U139" s="1043">
        <f t="shared" si="16"/>
        <v>1.8873953666076204</v>
      </c>
      <c r="V139" s="2088" t="str">
        <f>Table2456[[#This Row],[Column3]]</f>
        <v>1999-Q1</v>
      </c>
    </row>
    <row r="140" spans="1:22" x14ac:dyDescent="0.3">
      <c r="A140" s="211">
        <f t="shared" ref="A140:A202" si="17">A136+1</f>
        <v>1999</v>
      </c>
      <c r="B140" s="211" t="str">
        <f t="shared" ref="B140:B202" si="18">B136</f>
        <v>Q2</v>
      </c>
      <c r="C140" s="2088" t="str">
        <f t="shared" si="15"/>
        <v>1999-Q2</v>
      </c>
      <c r="E140" s="252">
        <v>78600</v>
      </c>
      <c r="F140" s="252">
        <v>68300</v>
      </c>
      <c r="G140" s="252">
        <f t="shared" si="13"/>
        <v>73450</v>
      </c>
      <c r="J140" s="230"/>
      <c r="L140" s="252">
        <f>K139*E140</f>
        <v>119472000000</v>
      </c>
      <c r="M140" s="252">
        <f>K139*F140</f>
        <v>103816000000</v>
      </c>
      <c r="N140" s="252">
        <f t="shared" si="14"/>
        <v>111644000000</v>
      </c>
      <c r="P140" s="252"/>
      <c r="Q140" s="252"/>
      <c r="S140" s="348">
        <f>L140/Q139</f>
        <v>2.074815046368657</v>
      </c>
      <c r="T140" s="348">
        <f>M140/Q139</f>
        <v>1.8029245250251815</v>
      </c>
      <c r="U140" s="1043">
        <f t="shared" si="16"/>
        <v>1.9388697856969193</v>
      </c>
      <c r="V140" s="2088" t="str">
        <f>Table2456[[#This Row],[Column3]]</f>
        <v>1999-Q2</v>
      </c>
    </row>
    <row r="141" spans="1:22" x14ac:dyDescent="0.3">
      <c r="A141" s="211">
        <f t="shared" si="17"/>
        <v>1999</v>
      </c>
      <c r="B141" s="211" t="str">
        <f t="shared" si="18"/>
        <v>Q3</v>
      </c>
      <c r="C141" s="2088" t="str">
        <f t="shared" si="15"/>
        <v>1999-Q3</v>
      </c>
      <c r="E141" s="252">
        <v>73000</v>
      </c>
      <c r="F141" s="252">
        <v>54000</v>
      </c>
      <c r="G141" s="252">
        <f t="shared" si="13"/>
        <v>63500</v>
      </c>
      <c r="J141" s="230"/>
      <c r="L141" s="252">
        <f>K139*E141</f>
        <v>110960000000</v>
      </c>
      <c r="M141" s="252">
        <f>K139*F141</f>
        <v>82080000000</v>
      </c>
      <c r="N141" s="252">
        <f t="shared" si="14"/>
        <v>96520000000</v>
      </c>
      <c r="P141" s="252"/>
      <c r="Q141" s="252"/>
      <c r="S141" s="348">
        <f>L141/Q139</f>
        <v>1.9269910735993887</v>
      </c>
      <c r="T141" s="348">
        <f>M141/Q139</f>
        <v>1.4254454517036574</v>
      </c>
      <c r="U141" s="1043">
        <f t="shared" si="16"/>
        <v>1.6762182626515232</v>
      </c>
      <c r="V141" s="2088" t="str">
        <f>Table2456[[#This Row],[Column3]]</f>
        <v>1999-Q3</v>
      </c>
    </row>
    <row r="142" spans="1:22" x14ac:dyDescent="0.3">
      <c r="A142" s="211">
        <f t="shared" si="17"/>
        <v>1999</v>
      </c>
      <c r="B142" s="211" t="str">
        <f t="shared" si="18"/>
        <v>Q4</v>
      </c>
      <c r="C142" s="2088" t="str">
        <f t="shared" si="15"/>
        <v>1999-Q4</v>
      </c>
      <c r="E142" s="252">
        <v>66900</v>
      </c>
      <c r="F142" s="252">
        <v>52000</v>
      </c>
      <c r="G142" s="252">
        <f t="shared" si="13"/>
        <v>59450</v>
      </c>
      <c r="J142" s="230"/>
      <c r="L142" s="252">
        <f>K139*E142</f>
        <v>101688000000</v>
      </c>
      <c r="M142" s="252">
        <f>K139*F142</f>
        <v>79040000000</v>
      </c>
      <c r="N142" s="252">
        <f t="shared" si="14"/>
        <v>90364000000</v>
      </c>
      <c r="P142" s="252"/>
      <c r="Q142" s="252"/>
      <c r="S142" s="348">
        <f>L142/Q139</f>
        <v>1.7659685318328644</v>
      </c>
      <c r="T142" s="348">
        <f>M142/Q139</f>
        <v>1.3726511757146331</v>
      </c>
      <c r="U142" s="1043">
        <f t="shared" si="16"/>
        <v>1.5693098537737487</v>
      </c>
      <c r="V142" s="2088" t="str">
        <f>Table2456[[#This Row],[Column3]]</f>
        <v>1999-Q4</v>
      </c>
    </row>
    <row r="143" spans="1:22" x14ac:dyDescent="0.3">
      <c r="A143" s="211">
        <f t="shared" si="17"/>
        <v>2000</v>
      </c>
      <c r="B143" s="211" t="str">
        <f t="shared" si="18"/>
        <v>Q1</v>
      </c>
      <c r="C143" s="2088" t="str">
        <f t="shared" si="15"/>
        <v>2000-Q1</v>
      </c>
      <c r="D143" s="211">
        <v>2000</v>
      </c>
      <c r="E143" s="252">
        <v>58000</v>
      </c>
      <c r="F143" s="252">
        <v>40800</v>
      </c>
      <c r="G143" s="252">
        <f t="shared" si="13"/>
        <v>49400</v>
      </c>
      <c r="I143" s="2088">
        <v>36891</v>
      </c>
      <c r="J143" s="230">
        <v>1526000</v>
      </c>
      <c r="K143" s="230">
        <f>AVERAGE(J139,J143)</f>
        <v>1523500</v>
      </c>
      <c r="L143" s="252">
        <f>K143*E143</f>
        <v>88363000000</v>
      </c>
      <c r="M143" s="252">
        <f>K143*F143</f>
        <v>62158800000</v>
      </c>
      <c r="N143" s="252">
        <f t="shared" si="14"/>
        <v>75260900000</v>
      </c>
      <c r="P143" s="252">
        <v>61724000000</v>
      </c>
      <c r="Q143" s="252">
        <f>AVERAGE(P139,P143)</f>
        <v>59742500000</v>
      </c>
      <c r="S143" s="348">
        <f>L143/Q143</f>
        <v>1.4790643176967819</v>
      </c>
      <c r="T143" s="348">
        <f>M143/Q143</f>
        <v>1.0404452441729086</v>
      </c>
      <c r="U143" s="1043">
        <f t="shared" si="16"/>
        <v>1.2597547809348453</v>
      </c>
      <c r="V143" s="2088" t="str">
        <f>Table2456[[#This Row],[Column3]]</f>
        <v>2000-Q1</v>
      </c>
    </row>
    <row r="144" spans="1:22" x14ac:dyDescent="0.3">
      <c r="A144" s="211">
        <f t="shared" si="17"/>
        <v>2000</v>
      </c>
      <c r="B144" s="211" t="str">
        <f t="shared" si="18"/>
        <v>Q2</v>
      </c>
      <c r="C144" s="2088" t="str">
        <f t="shared" si="15"/>
        <v>2000-Q2</v>
      </c>
      <c r="E144" s="252">
        <v>60800</v>
      </c>
      <c r="F144" s="252">
        <v>51800</v>
      </c>
      <c r="G144" s="252">
        <f t="shared" si="13"/>
        <v>56300</v>
      </c>
      <c r="J144" s="230"/>
      <c r="K144" s="230"/>
      <c r="L144" s="252">
        <f>K143*E144</f>
        <v>92628800000</v>
      </c>
      <c r="M144" s="252">
        <f>K143*F144</f>
        <v>78917300000</v>
      </c>
      <c r="N144" s="252">
        <f t="shared" si="14"/>
        <v>85773050000</v>
      </c>
      <c r="P144" s="252"/>
      <c r="Q144" s="252"/>
      <c r="S144" s="348">
        <f>L144/Q143</f>
        <v>1.5504674226890405</v>
      </c>
      <c r="T144" s="348">
        <f>M144/Q143</f>
        <v>1.3209574423567811</v>
      </c>
      <c r="U144" s="1043">
        <f t="shared" si="16"/>
        <v>1.4357124325229109</v>
      </c>
      <c r="V144" s="2088" t="str">
        <f>Table2456[[#This Row],[Column3]]</f>
        <v>2000-Q2</v>
      </c>
    </row>
    <row r="145" spans="1:22" x14ac:dyDescent="0.3">
      <c r="A145" s="211">
        <f t="shared" si="17"/>
        <v>2000</v>
      </c>
      <c r="B145" s="211" t="str">
        <f t="shared" si="18"/>
        <v>Q3</v>
      </c>
      <c r="C145" s="2088" t="str">
        <f t="shared" si="15"/>
        <v>2000-Q3</v>
      </c>
      <c r="E145" s="252">
        <v>64400</v>
      </c>
      <c r="F145" s="252">
        <v>51600</v>
      </c>
      <c r="G145" s="252">
        <f t="shared" si="13"/>
        <v>58000</v>
      </c>
      <c r="J145" s="230"/>
      <c r="K145" s="230"/>
      <c r="L145" s="252">
        <f>K143*E145</f>
        <v>98113400000</v>
      </c>
      <c r="M145" s="252">
        <f>K143*F145</f>
        <v>78612600000</v>
      </c>
      <c r="N145" s="252">
        <f t="shared" si="14"/>
        <v>88363000000</v>
      </c>
      <c r="P145" s="252"/>
      <c r="Q145" s="252"/>
      <c r="S145" s="348">
        <f>L145/Q143</f>
        <v>1.6422714148219442</v>
      </c>
      <c r="T145" s="348">
        <f>M145/Q143</f>
        <v>1.3158572205716199</v>
      </c>
      <c r="U145" s="1043">
        <f t="shared" si="16"/>
        <v>1.4790643176967819</v>
      </c>
      <c r="V145" s="2088" t="str">
        <f>Table2456[[#This Row],[Column3]]</f>
        <v>2000-Q3</v>
      </c>
    </row>
    <row r="146" spans="1:22" x14ac:dyDescent="0.3">
      <c r="A146" s="211">
        <f t="shared" si="17"/>
        <v>2000</v>
      </c>
      <c r="B146" s="211" t="str">
        <f t="shared" si="18"/>
        <v>Q4</v>
      </c>
      <c r="C146" s="2088" t="str">
        <f t="shared" si="15"/>
        <v>2000-Q4</v>
      </c>
      <c r="E146" s="252">
        <v>71300</v>
      </c>
      <c r="F146" s="252">
        <v>53500</v>
      </c>
      <c r="G146" s="252">
        <f t="shared" si="13"/>
        <v>62400</v>
      </c>
      <c r="J146" s="230"/>
      <c r="K146" s="230"/>
      <c r="L146" s="252">
        <f>K143*E146</f>
        <v>108625550000</v>
      </c>
      <c r="M146" s="252">
        <f>K143*F146</f>
        <v>81507250000</v>
      </c>
      <c r="N146" s="252">
        <f t="shared" si="14"/>
        <v>95066400000</v>
      </c>
      <c r="P146" s="252"/>
      <c r="Q146" s="252"/>
      <c r="S146" s="348">
        <f>L146/Q143</f>
        <v>1.8182290664100096</v>
      </c>
      <c r="T146" s="348">
        <f>M146/Q143</f>
        <v>1.3643093275306524</v>
      </c>
      <c r="U146" s="1043">
        <f t="shared" si="16"/>
        <v>1.591269196970331</v>
      </c>
      <c r="V146" s="2088" t="str">
        <f>Table2456[[#This Row],[Column3]]</f>
        <v>2000-Q4</v>
      </c>
    </row>
    <row r="147" spans="1:22" x14ac:dyDescent="0.3">
      <c r="A147" s="211">
        <f t="shared" si="17"/>
        <v>2001</v>
      </c>
      <c r="B147" s="211" t="str">
        <f t="shared" si="18"/>
        <v>Q1</v>
      </c>
      <c r="C147" s="2088" t="str">
        <f t="shared" si="15"/>
        <v>2001-Q1</v>
      </c>
      <c r="D147" s="211">
        <v>2001</v>
      </c>
      <c r="E147" s="252">
        <v>74600</v>
      </c>
      <c r="F147" s="252">
        <v>63000</v>
      </c>
      <c r="G147" s="252">
        <f t="shared" ref="G147:G161" si="19">AVERAGE(E147:F147)</f>
        <v>68800</v>
      </c>
      <c r="I147" s="2088">
        <v>37256</v>
      </c>
      <c r="J147" s="230">
        <v>1528000</v>
      </c>
      <c r="K147" s="230">
        <f>AVERAGE(J143,J147)</f>
        <v>1527000</v>
      </c>
      <c r="L147" s="252">
        <f>K147*E147</f>
        <v>113914200000</v>
      </c>
      <c r="M147" s="252">
        <f>K147*F147</f>
        <v>96201000000</v>
      </c>
      <c r="N147" s="252">
        <f t="shared" si="14"/>
        <v>105057600000</v>
      </c>
      <c r="P147" s="252">
        <v>57950000000</v>
      </c>
      <c r="Q147" s="252">
        <f>AVERAGE(P143,P147)</f>
        <v>59837000000</v>
      </c>
      <c r="S147" s="348">
        <f>L147/Q147</f>
        <v>1.9037418319768704</v>
      </c>
      <c r="T147" s="348">
        <f>M147/Q147</f>
        <v>1.607717632902719</v>
      </c>
      <c r="U147" s="1043">
        <f t="shared" si="16"/>
        <v>1.7557297324397947</v>
      </c>
      <c r="V147" s="2088" t="str">
        <f>Table2456[[#This Row],[Column3]]</f>
        <v>2001-Q1</v>
      </c>
    </row>
    <row r="148" spans="1:22" x14ac:dyDescent="0.3">
      <c r="A148" s="211">
        <f t="shared" si="17"/>
        <v>2001</v>
      </c>
      <c r="B148" s="211" t="str">
        <f t="shared" si="18"/>
        <v>Q2</v>
      </c>
      <c r="C148" s="2088" t="str">
        <f t="shared" si="15"/>
        <v>2001-Q2</v>
      </c>
      <c r="E148" s="252">
        <v>69800</v>
      </c>
      <c r="F148" s="252">
        <v>62800</v>
      </c>
      <c r="G148" s="252">
        <f t="shared" si="19"/>
        <v>66300</v>
      </c>
      <c r="J148" s="230"/>
      <c r="K148" s="230"/>
      <c r="L148" s="252">
        <f>K147*E148</f>
        <v>106584600000</v>
      </c>
      <c r="M148" s="252">
        <f>K147*F148</f>
        <v>95895600000</v>
      </c>
      <c r="N148" s="252">
        <f t="shared" si="14"/>
        <v>101240100000</v>
      </c>
      <c r="P148" s="252"/>
      <c r="Q148" s="252"/>
      <c r="S148" s="348">
        <f>L148/Q147</f>
        <v>1.7812490599461872</v>
      </c>
      <c r="T148" s="348">
        <f>M148/Q147</f>
        <v>1.6026137674014407</v>
      </c>
      <c r="U148" s="1043">
        <f t="shared" si="16"/>
        <v>1.6919314136738139</v>
      </c>
      <c r="V148" s="2088" t="str">
        <f>Table2456[[#This Row],[Column3]]</f>
        <v>2001-Q2</v>
      </c>
    </row>
    <row r="149" spans="1:22" x14ac:dyDescent="0.3">
      <c r="A149" s="211">
        <f t="shared" si="17"/>
        <v>2001</v>
      </c>
      <c r="B149" s="211" t="str">
        <f t="shared" si="18"/>
        <v>Q3</v>
      </c>
      <c r="C149" s="2088" t="str">
        <f t="shared" si="15"/>
        <v>2001-Q3</v>
      </c>
      <c r="E149" s="252">
        <v>70900</v>
      </c>
      <c r="F149" s="252">
        <v>59000</v>
      </c>
      <c r="G149" s="252">
        <f t="shared" si="19"/>
        <v>64950</v>
      </c>
      <c r="J149" s="230"/>
      <c r="K149" s="230"/>
      <c r="L149" s="252">
        <f>K147*E149</f>
        <v>108264300000</v>
      </c>
      <c r="M149" s="252">
        <f>K147*F149</f>
        <v>90093000000</v>
      </c>
      <c r="N149" s="252">
        <f t="shared" si="14"/>
        <v>99178650000</v>
      </c>
      <c r="P149" s="252"/>
      <c r="Q149" s="252"/>
      <c r="S149" s="348">
        <f>L149/Q147</f>
        <v>1.8093203202032186</v>
      </c>
      <c r="T149" s="348">
        <f>M149/Q147</f>
        <v>1.5056403228771496</v>
      </c>
      <c r="U149" s="1043">
        <f t="shared" si="16"/>
        <v>1.6574803215401841</v>
      </c>
      <c r="V149" s="2088" t="str">
        <f>Table2456[[#This Row],[Column3]]</f>
        <v>2001-Q3</v>
      </c>
    </row>
    <row r="150" spans="1:22" x14ac:dyDescent="0.3">
      <c r="A150" s="211">
        <f t="shared" si="17"/>
        <v>2001</v>
      </c>
      <c r="B150" s="211" t="str">
        <f t="shared" si="18"/>
        <v>Q4</v>
      </c>
      <c r="C150" s="2088" t="str">
        <f t="shared" si="15"/>
        <v>2001-Q4</v>
      </c>
      <c r="E150" s="252">
        <v>75600</v>
      </c>
      <c r="F150" s="252">
        <v>66600</v>
      </c>
      <c r="G150" s="252">
        <f t="shared" si="19"/>
        <v>71100</v>
      </c>
      <c r="J150" s="230"/>
      <c r="K150" s="230"/>
      <c r="L150" s="252">
        <f>K147*E150</f>
        <v>115441200000</v>
      </c>
      <c r="M150" s="252">
        <f>K147*F150</f>
        <v>101698200000</v>
      </c>
      <c r="N150" s="252">
        <f t="shared" si="14"/>
        <v>108569700000</v>
      </c>
      <c r="P150" s="252"/>
      <c r="Q150" s="252"/>
      <c r="S150" s="348">
        <f>L150/Q147</f>
        <v>1.9292611594832629</v>
      </c>
      <c r="T150" s="348">
        <f>M150/Q147</f>
        <v>1.6995872119257316</v>
      </c>
      <c r="U150" s="1043">
        <f t="shared" si="16"/>
        <v>1.8144241857044974</v>
      </c>
      <c r="V150" s="2088" t="str">
        <f>Table2456[[#This Row],[Column3]]</f>
        <v>2001-Q4</v>
      </c>
    </row>
    <row r="151" spans="1:22" x14ac:dyDescent="0.3">
      <c r="A151" s="211">
        <f t="shared" si="17"/>
        <v>2002</v>
      </c>
      <c r="B151" s="211" t="str">
        <f t="shared" si="18"/>
        <v>Q1</v>
      </c>
      <c r="C151" s="2088" t="str">
        <f t="shared" si="15"/>
        <v>2002-Q1</v>
      </c>
      <c r="D151" s="211">
        <v>2002</v>
      </c>
      <c r="E151" s="252">
        <v>74900</v>
      </c>
      <c r="F151" s="252">
        <v>69000</v>
      </c>
      <c r="G151" s="252">
        <f t="shared" si="19"/>
        <v>71950</v>
      </c>
      <c r="I151" s="2088">
        <v>37621</v>
      </c>
      <c r="J151" s="230">
        <v>1535000</v>
      </c>
      <c r="K151" s="278">
        <f>AVERAGE(J147,J151)</f>
        <v>1531500</v>
      </c>
      <c r="L151" s="252">
        <f>K151*E151</f>
        <v>114709350000</v>
      </c>
      <c r="M151" s="252">
        <f>K151*F151</f>
        <v>105673500000</v>
      </c>
      <c r="N151" s="252">
        <f t="shared" si="14"/>
        <v>110191425000</v>
      </c>
      <c r="P151" s="252">
        <v>64037000000</v>
      </c>
      <c r="Q151" s="252">
        <f>AVERAGE(P147,P151)</f>
        <v>60993500000</v>
      </c>
      <c r="S151" s="348">
        <f>L151/Q151</f>
        <v>1.8806815480338068</v>
      </c>
      <c r="T151" s="348">
        <f>M151/Q151</f>
        <v>1.7325370736225991</v>
      </c>
      <c r="U151" s="1043">
        <f t="shared" si="16"/>
        <v>1.8066093108282031</v>
      </c>
      <c r="V151" s="2088" t="str">
        <f>Table2456[[#This Row],[Column3]]</f>
        <v>2002-Q1</v>
      </c>
    </row>
    <row r="152" spans="1:22" x14ac:dyDescent="0.3">
      <c r="A152" s="211">
        <f t="shared" si="17"/>
        <v>2002</v>
      </c>
      <c r="B152" s="211" t="str">
        <f t="shared" si="18"/>
        <v>Q2</v>
      </c>
      <c r="C152" s="2088" t="str">
        <f t="shared" si="15"/>
        <v>2002-Q2</v>
      </c>
      <c r="E152" s="252">
        <v>78500</v>
      </c>
      <c r="F152" s="252">
        <v>66500</v>
      </c>
      <c r="G152" s="252">
        <f t="shared" si="19"/>
        <v>72500</v>
      </c>
      <c r="J152" s="230"/>
      <c r="L152" s="252">
        <f>K151*E152</f>
        <v>120222750000</v>
      </c>
      <c r="M152" s="252">
        <f>K151*F152</f>
        <v>101844750000</v>
      </c>
      <c r="N152" s="252">
        <f t="shared" si="14"/>
        <v>111033750000</v>
      </c>
      <c r="P152" s="252"/>
      <c r="Q152" s="252"/>
      <c r="S152" s="348">
        <f>L152/Q151</f>
        <v>1.9710747866575946</v>
      </c>
      <c r="T152" s="348">
        <f>M152/Q151</f>
        <v>1.6697639912449687</v>
      </c>
      <c r="U152" s="1043">
        <f t="shared" si="16"/>
        <v>1.8204193889512816</v>
      </c>
      <c r="V152" s="2088" t="str">
        <f>Table2456[[#This Row],[Column3]]</f>
        <v>2002-Q2</v>
      </c>
    </row>
    <row r="153" spans="1:22" x14ac:dyDescent="0.3">
      <c r="A153" s="211">
        <f t="shared" si="17"/>
        <v>2002</v>
      </c>
      <c r="B153" s="211" t="str">
        <f t="shared" si="18"/>
        <v>Q3</v>
      </c>
      <c r="C153" s="2088" t="str">
        <f t="shared" si="15"/>
        <v>2002-Q3</v>
      </c>
      <c r="E153" s="252">
        <v>75900</v>
      </c>
      <c r="F153" s="252">
        <v>59600</v>
      </c>
      <c r="G153" s="252">
        <f t="shared" si="19"/>
        <v>67750</v>
      </c>
      <c r="J153" s="230"/>
      <c r="L153" s="252">
        <f>K151*E153</f>
        <v>116240850000</v>
      </c>
      <c r="M153" s="252">
        <f>K151*F153</f>
        <v>91277400000</v>
      </c>
      <c r="N153" s="252">
        <f t="shared" si="14"/>
        <v>103759125000</v>
      </c>
      <c r="P153" s="252"/>
      <c r="Q153" s="252"/>
      <c r="S153" s="348">
        <f>L153/Q151</f>
        <v>1.9057907809848591</v>
      </c>
      <c r="T153" s="348">
        <f>M153/Q151</f>
        <v>1.4965102838827089</v>
      </c>
      <c r="U153" s="1043">
        <f t="shared" si="16"/>
        <v>1.7011505324337839</v>
      </c>
      <c r="V153" s="2088" t="str">
        <f>Table2456[[#This Row],[Column3]]</f>
        <v>2002-Q3</v>
      </c>
    </row>
    <row r="154" spans="1:22" x14ac:dyDescent="0.3">
      <c r="A154" s="211">
        <f t="shared" si="17"/>
        <v>2002</v>
      </c>
      <c r="B154" s="211" t="str">
        <f t="shared" si="18"/>
        <v>Q4</v>
      </c>
      <c r="C154" s="2088" t="str">
        <f t="shared" si="15"/>
        <v>2002-Q4</v>
      </c>
      <c r="E154" s="252">
        <v>75000</v>
      </c>
      <c r="F154" s="252">
        <v>67800</v>
      </c>
      <c r="G154" s="252">
        <f t="shared" si="19"/>
        <v>71400</v>
      </c>
      <c r="J154" s="230"/>
      <c r="L154" s="252">
        <f>K151*E154</f>
        <v>114862500000</v>
      </c>
      <c r="M154" s="252">
        <f>K151*F154</f>
        <v>103835700000</v>
      </c>
      <c r="N154" s="252">
        <f t="shared" si="14"/>
        <v>109349100000</v>
      </c>
      <c r="P154" s="252"/>
      <c r="Q154" s="252"/>
      <c r="S154" s="348">
        <f>L154/Q151</f>
        <v>1.8831924713289121</v>
      </c>
      <c r="T154" s="348">
        <f>M154/Q151</f>
        <v>1.7024059940813365</v>
      </c>
      <c r="U154" s="1043">
        <f t="shared" si="16"/>
        <v>1.7927992327051243</v>
      </c>
      <c r="V154" s="2088" t="str">
        <f>Table2456[[#This Row],[Column3]]</f>
        <v>2002-Q4</v>
      </c>
    </row>
    <row r="155" spans="1:22" x14ac:dyDescent="0.3">
      <c r="A155" s="211">
        <f t="shared" si="17"/>
        <v>2003</v>
      </c>
      <c r="B155" s="211" t="str">
        <f t="shared" si="18"/>
        <v>Q1</v>
      </c>
      <c r="C155" s="2088" t="str">
        <f t="shared" si="15"/>
        <v>2003-Q1</v>
      </c>
      <c r="D155" s="211">
        <v>2003</v>
      </c>
      <c r="E155" s="252">
        <v>73005</v>
      </c>
      <c r="F155" s="252">
        <v>60600</v>
      </c>
      <c r="G155" s="252">
        <f t="shared" si="19"/>
        <v>66802.5</v>
      </c>
      <c r="I155" s="2088">
        <v>37986</v>
      </c>
      <c r="J155" s="230">
        <v>1537000</v>
      </c>
      <c r="K155" s="230">
        <f>AVERAGE(J151,J155)</f>
        <v>1536000</v>
      </c>
      <c r="L155" s="252">
        <f>K155*E155</f>
        <v>112135680000</v>
      </c>
      <c r="M155" s="252">
        <f>K155*F155</f>
        <v>93081600000</v>
      </c>
      <c r="N155" s="252">
        <f t="shared" si="14"/>
        <v>102608640000</v>
      </c>
      <c r="P155" s="252">
        <v>77596000000</v>
      </c>
      <c r="Q155" s="252">
        <f>AVERAGE(P151,P155)</f>
        <v>70816500000</v>
      </c>
      <c r="S155" s="348">
        <f>L155/Q155</f>
        <v>1.5834682595157907</v>
      </c>
      <c r="T155" s="348">
        <f>M155/Q155</f>
        <v>1.3144055410815276</v>
      </c>
      <c r="U155" s="1043">
        <f t="shared" si="16"/>
        <v>1.4489369002986592</v>
      </c>
      <c r="V155" s="2088" t="str">
        <f>Table2456[[#This Row],[Column3]]</f>
        <v>2003-Q1</v>
      </c>
    </row>
    <row r="156" spans="1:22" x14ac:dyDescent="0.3">
      <c r="A156" s="211">
        <f t="shared" si="17"/>
        <v>2003</v>
      </c>
      <c r="B156" s="211" t="str">
        <f t="shared" si="18"/>
        <v>Q2</v>
      </c>
      <c r="C156" s="2088" t="str">
        <f t="shared" si="15"/>
        <v>2003-Q2</v>
      </c>
      <c r="E156" s="252">
        <v>75500</v>
      </c>
      <c r="F156" s="252">
        <v>64305</v>
      </c>
      <c r="G156" s="252">
        <f t="shared" si="19"/>
        <v>69902.5</v>
      </c>
      <c r="J156" s="230"/>
      <c r="K156" s="230"/>
      <c r="L156" s="252">
        <f>K155*E156</f>
        <v>115968000000</v>
      </c>
      <c r="M156" s="252">
        <f>K155*F156</f>
        <v>98772480000</v>
      </c>
      <c r="N156" s="252">
        <f t="shared" si="14"/>
        <v>107370240000</v>
      </c>
      <c r="P156" s="252"/>
      <c r="Q156" s="252"/>
      <c r="S156" s="348">
        <f>L156/Q155</f>
        <v>1.6375844612484378</v>
      </c>
      <c r="T156" s="348">
        <f>M156/Q155</f>
        <v>1.3947664739149774</v>
      </c>
      <c r="U156" s="1043">
        <f t="shared" si="16"/>
        <v>1.5161754675817076</v>
      </c>
      <c r="V156" s="2088" t="str">
        <f>Table2456[[#This Row],[Column3]]</f>
        <v>2003-Q2</v>
      </c>
    </row>
    <row r="157" spans="1:22" x14ac:dyDescent="0.3">
      <c r="A157" s="211">
        <f t="shared" si="17"/>
        <v>2003</v>
      </c>
      <c r="B157" s="211" t="str">
        <f t="shared" si="18"/>
        <v>Q3</v>
      </c>
      <c r="C157" s="2088" t="str">
        <f t="shared" si="15"/>
        <v>2003-Q3</v>
      </c>
      <c r="E157" s="252">
        <v>76400</v>
      </c>
      <c r="F157" s="252">
        <v>70900</v>
      </c>
      <c r="G157" s="252">
        <f t="shared" si="19"/>
        <v>73650</v>
      </c>
      <c r="J157" s="230"/>
      <c r="K157" s="230"/>
      <c r="L157" s="252">
        <f>K155*E157</f>
        <v>117350400000</v>
      </c>
      <c r="M157" s="252">
        <f>K155*F157</f>
        <v>108902400000</v>
      </c>
      <c r="N157" s="252">
        <f t="shared" si="14"/>
        <v>113126400000</v>
      </c>
      <c r="P157" s="252"/>
      <c r="Q157" s="252"/>
      <c r="S157" s="348">
        <f>L157/Q155</f>
        <v>1.6571053356209358</v>
      </c>
      <c r="T157" s="348">
        <f>M157/Q155</f>
        <v>1.5378111033445596</v>
      </c>
      <c r="U157" s="1043">
        <f t="shared" si="16"/>
        <v>1.5974582194827476</v>
      </c>
      <c r="V157" s="2088" t="str">
        <f>Table2456[[#This Row],[Column3]]</f>
        <v>2003-Q3</v>
      </c>
    </row>
    <row r="158" spans="1:22" x14ac:dyDescent="0.3">
      <c r="A158" s="211">
        <f t="shared" si="17"/>
        <v>2003</v>
      </c>
      <c r="B158" s="211" t="str">
        <f t="shared" si="18"/>
        <v>Q4</v>
      </c>
      <c r="C158" s="2088" t="str">
        <f t="shared" si="15"/>
        <v>2003-Q4</v>
      </c>
      <c r="E158" s="252">
        <v>84700</v>
      </c>
      <c r="F158" s="252">
        <v>75150</v>
      </c>
      <c r="G158" s="252">
        <f t="shared" si="19"/>
        <v>79925</v>
      </c>
      <c r="J158" s="230"/>
      <c r="K158" s="230"/>
      <c r="L158" s="252">
        <f>K155*E158</f>
        <v>130099200000</v>
      </c>
      <c r="M158" s="252">
        <f>K155*F158</f>
        <v>115430400000</v>
      </c>
      <c r="N158" s="252">
        <f t="shared" si="14"/>
        <v>122764800000</v>
      </c>
      <c r="P158" s="252"/>
      <c r="Q158" s="252"/>
      <c r="S158" s="348">
        <f>L158/Q155</f>
        <v>1.8371311770561944</v>
      </c>
      <c r="T158" s="348">
        <f>M158/Q155</f>
        <v>1.6299930101035776</v>
      </c>
      <c r="U158" s="1043">
        <f t="shared" si="16"/>
        <v>1.7335620935798861</v>
      </c>
      <c r="V158" s="2088" t="str">
        <f>Table2456[[#This Row],[Column3]]</f>
        <v>2003-Q4</v>
      </c>
    </row>
    <row r="159" spans="1:22" x14ac:dyDescent="0.3">
      <c r="A159" s="211">
        <f t="shared" si="17"/>
        <v>2004</v>
      </c>
      <c r="B159" s="211" t="str">
        <f t="shared" si="18"/>
        <v>Q1</v>
      </c>
      <c r="C159" s="2088" t="str">
        <f t="shared" si="15"/>
        <v>2004-Q1</v>
      </c>
      <c r="D159" s="211">
        <v>2004</v>
      </c>
      <c r="E159" s="252">
        <v>95700</v>
      </c>
      <c r="F159" s="252">
        <v>84000</v>
      </c>
      <c r="G159" s="252">
        <f t="shared" si="19"/>
        <v>89850</v>
      </c>
      <c r="I159" s="2088">
        <v>38352</v>
      </c>
      <c r="J159" s="230">
        <v>1539000</v>
      </c>
      <c r="K159" s="230">
        <f>AVERAGE(J155,J159)</f>
        <v>1538000</v>
      </c>
      <c r="L159" s="252">
        <f>K159*E159</f>
        <v>147186600000</v>
      </c>
      <c r="M159" s="252">
        <f>K159*F159</f>
        <v>129192000000</v>
      </c>
      <c r="N159" s="252">
        <f t="shared" si="14"/>
        <v>138189300000</v>
      </c>
      <c r="P159" s="252">
        <v>85900000000</v>
      </c>
      <c r="Q159" s="252">
        <f>AVERAGE(P155,P159)</f>
        <v>81748000000</v>
      </c>
      <c r="S159" s="348">
        <f>L159/Q159</f>
        <v>1.8004917551499731</v>
      </c>
      <c r="T159" s="348">
        <f>M159/Q159</f>
        <v>1.5803689386896316</v>
      </c>
      <c r="U159" s="1043">
        <f t="shared" si="16"/>
        <v>1.6904303469198023</v>
      </c>
      <c r="V159" s="2088" t="str">
        <f>Table2456[[#This Row],[Column3]]</f>
        <v>2004-Q1</v>
      </c>
    </row>
    <row r="160" spans="1:22" x14ac:dyDescent="0.3">
      <c r="A160" s="211">
        <f t="shared" si="17"/>
        <v>2004</v>
      </c>
      <c r="B160" s="211" t="str">
        <f t="shared" si="18"/>
        <v>Q2</v>
      </c>
      <c r="C160" s="2088" t="str">
        <f t="shared" si="15"/>
        <v>2004-Q2</v>
      </c>
      <c r="E160" s="252">
        <v>95650</v>
      </c>
      <c r="F160" s="252">
        <v>85100</v>
      </c>
      <c r="G160" s="252">
        <f t="shared" si="19"/>
        <v>90375</v>
      </c>
      <c r="J160" s="230"/>
      <c r="K160" s="230"/>
      <c r="L160" s="252">
        <f>K159*E160</f>
        <v>147109700000</v>
      </c>
      <c r="M160" s="252">
        <f>K159*F160</f>
        <v>130883800000</v>
      </c>
      <c r="N160" s="252">
        <f t="shared" si="14"/>
        <v>138996750000</v>
      </c>
      <c r="P160" s="252"/>
      <c r="Q160" s="252"/>
      <c r="S160" s="348">
        <f>L160/Q159</f>
        <v>1.7995510593531341</v>
      </c>
      <c r="T160" s="348">
        <f>M160/Q159</f>
        <v>1.601064246220091</v>
      </c>
      <c r="U160" s="1043">
        <f t="shared" si="16"/>
        <v>1.7003076527866126</v>
      </c>
      <c r="V160" s="2088" t="str">
        <f>Table2456[[#This Row],[Column3]]</f>
        <v>2004-Q2</v>
      </c>
    </row>
    <row r="161" spans="1:22" x14ac:dyDescent="0.3">
      <c r="A161" s="211">
        <f t="shared" si="17"/>
        <v>2004</v>
      </c>
      <c r="B161" s="211" t="str">
        <f t="shared" si="18"/>
        <v>Q3</v>
      </c>
      <c r="C161" s="2088" t="str">
        <f t="shared" si="15"/>
        <v>2004-Q3</v>
      </c>
      <c r="E161" s="252">
        <v>90750</v>
      </c>
      <c r="F161" s="252">
        <v>83400</v>
      </c>
      <c r="G161" s="252">
        <f t="shared" si="19"/>
        <v>87075</v>
      </c>
      <c r="J161" s="230"/>
      <c r="K161" s="230"/>
      <c r="L161" s="252">
        <f>K159*E161</f>
        <v>139573500000</v>
      </c>
      <c r="M161" s="252">
        <f>K159*F161</f>
        <v>128269200000</v>
      </c>
      <c r="N161" s="252">
        <f t="shared" si="14"/>
        <v>133921350000</v>
      </c>
      <c r="P161" s="252"/>
      <c r="Q161" s="252"/>
      <c r="S161" s="348">
        <f>L161/Q159</f>
        <v>1.7073628712629054</v>
      </c>
      <c r="T161" s="348">
        <f>M161/Q159</f>
        <v>1.5690805891275628</v>
      </c>
      <c r="U161" s="1043">
        <f t="shared" si="16"/>
        <v>1.6382217301952342</v>
      </c>
      <c r="V161" s="2088" t="str">
        <f>Table2456[[#This Row],[Column3]]</f>
        <v>2004-Q3</v>
      </c>
    </row>
    <row r="162" spans="1:22" x14ac:dyDescent="0.3">
      <c r="A162" s="211">
        <f t="shared" si="17"/>
        <v>2004</v>
      </c>
      <c r="B162" s="211" t="str">
        <f t="shared" si="18"/>
        <v>Q4</v>
      </c>
      <c r="C162" s="2088" t="str">
        <f t="shared" si="15"/>
        <v>2004-Q4</v>
      </c>
      <c r="E162" s="252">
        <v>89500</v>
      </c>
      <c r="F162" s="252">
        <v>81150</v>
      </c>
      <c r="G162" s="252">
        <f>AVERAGE(E162:F162)</f>
        <v>85325</v>
      </c>
      <c r="J162" s="230"/>
      <c r="K162" s="230"/>
      <c r="L162" s="252">
        <f>K159*E162</f>
        <v>137651000000</v>
      </c>
      <c r="M162" s="252">
        <f>K159*F162</f>
        <v>124808700000</v>
      </c>
      <c r="N162" s="252">
        <f>AVERAGE(L162:M162)</f>
        <v>131229850000</v>
      </c>
      <c r="P162" s="252"/>
      <c r="Q162" s="252"/>
      <c r="S162" s="348">
        <f>L162/Q159</f>
        <v>1.6838454763419288</v>
      </c>
      <c r="T162" s="348">
        <f>M162/Q159</f>
        <v>1.5267492782698047</v>
      </c>
      <c r="U162" s="1043">
        <f>AVERAGE(S162:T162)</f>
        <v>1.6052973773058667</v>
      </c>
      <c r="V162" s="2088" t="str">
        <f>Table2456[[#This Row],[Column3]]</f>
        <v>2004-Q4</v>
      </c>
    </row>
    <row r="163" spans="1:22" x14ac:dyDescent="0.3">
      <c r="A163" s="211">
        <f t="shared" si="17"/>
        <v>2005</v>
      </c>
      <c r="B163" s="211" t="str">
        <f t="shared" si="18"/>
        <v>Q1</v>
      </c>
      <c r="C163" s="2088" t="str">
        <f t="shared" ref="C163:C181" si="20">CONCATENATE(A163,"-",B163)</f>
        <v>2005-Q1</v>
      </c>
      <c r="D163" s="211">
        <v>2005</v>
      </c>
      <c r="E163" s="252">
        <v>92000</v>
      </c>
      <c r="F163" s="252">
        <v>84500</v>
      </c>
      <c r="G163" s="252">
        <f t="shared" ref="G163:G181" si="21">AVERAGE(E163:F163)</f>
        <v>88250</v>
      </c>
      <c r="I163" s="2088">
        <v>38717</v>
      </c>
      <c r="J163" s="230">
        <v>1541000</v>
      </c>
      <c r="K163" s="230">
        <f>AVERAGE(J159,J163)</f>
        <v>1540000</v>
      </c>
      <c r="L163" s="252">
        <f>K163*E163</f>
        <v>141680000000</v>
      </c>
      <c r="M163" s="252">
        <f>K163*F163</f>
        <v>130130000000</v>
      </c>
      <c r="N163" s="252">
        <f t="shared" ref="N163:N181" si="22">AVERAGE(L163:M163)</f>
        <v>135905000000</v>
      </c>
      <c r="P163" s="252">
        <v>91484000000</v>
      </c>
      <c r="Q163" s="252">
        <f>AVERAGE(P159,P163)</f>
        <v>88692000000</v>
      </c>
      <c r="S163" s="348">
        <f>L163/Q163</f>
        <v>1.5974383258918505</v>
      </c>
      <c r="T163" s="348">
        <f>M163/Q163</f>
        <v>1.4672123754115365</v>
      </c>
      <c r="U163" s="1043">
        <f t="shared" ref="U163:U181" si="23">AVERAGE(S163:T163)</f>
        <v>1.5323253506516936</v>
      </c>
      <c r="V163" s="2088" t="str">
        <f>Table2456[[#This Row],[Column3]]</f>
        <v>2005-Q1</v>
      </c>
    </row>
    <row r="164" spans="1:22" x14ac:dyDescent="0.3">
      <c r="A164" s="211">
        <f t="shared" si="17"/>
        <v>2005</v>
      </c>
      <c r="B164" s="211" t="str">
        <f t="shared" si="18"/>
        <v>Q2</v>
      </c>
      <c r="C164" s="2088" t="str">
        <f t="shared" si="20"/>
        <v>2005-Q2</v>
      </c>
      <c r="E164" s="252">
        <v>88900</v>
      </c>
      <c r="F164" s="252">
        <v>82000</v>
      </c>
      <c r="G164" s="252">
        <f t="shared" si="21"/>
        <v>85450</v>
      </c>
      <c r="J164" s="230"/>
      <c r="K164" s="230"/>
      <c r="L164" s="252">
        <f>K163*E164</f>
        <v>136906000000</v>
      </c>
      <c r="M164" s="252">
        <f>K163*F164</f>
        <v>126280000000</v>
      </c>
      <c r="N164" s="252">
        <f t="shared" si="22"/>
        <v>131593000000</v>
      </c>
      <c r="P164" s="252"/>
      <c r="Q164" s="252"/>
      <c r="S164" s="348">
        <f>L164/Q163</f>
        <v>1.5436115996933206</v>
      </c>
      <c r="T164" s="348">
        <f>M164/Q163</f>
        <v>1.423803725251432</v>
      </c>
      <c r="U164" s="1043">
        <f t="shared" si="23"/>
        <v>1.4837076624723764</v>
      </c>
      <c r="V164" s="2088" t="str">
        <f>Table2456[[#This Row],[Column3]]</f>
        <v>2005-Q2</v>
      </c>
    </row>
    <row r="165" spans="1:22" x14ac:dyDescent="0.3">
      <c r="A165" s="211">
        <f t="shared" si="17"/>
        <v>2005</v>
      </c>
      <c r="B165" s="211" t="str">
        <f t="shared" si="18"/>
        <v>Q3</v>
      </c>
      <c r="C165" s="2088" t="str">
        <f t="shared" si="20"/>
        <v>2005-Q3</v>
      </c>
      <c r="E165" s="252">
        <v>88450</v>
      </c>
      <c r="F165" s="252">
        <v>78800</v>
      </c>
      <c r="G165" s="252">
        <f t="shared" si="21"/>
        <v>83625</v>
      </c>
      <c r="J165" s="230"/>
      <c r="K165" s="230"/>
      <c r="L165" s="252">
        <f>K163*E165</f>
        <v>136213000000</v>
      </c>
      <c r="M165" s="252">
        <f>K163*F165</f>
        <v>121352000000</v>
      </c>
      <c r="N165" s="252">
        <f t="shared" si="22"/>
        <v>128782500000</v>
      </c>
      <c r="P165" s="252"/>
      <c r="Q165" s="252"/>
      <c r="S165" s="348">
        <f>L165/Q163</f>
        <v>1.5357980426645019</v>
      </c>
      <c r="T165" s="348">
        <f>M165/Q163</f>
        <v>1.3682406530464979</v>
      </c>
      <c r="U165" s="1043">
        <f t="shared" si="23"/>
        <v>1.4520193478554999</v>
      </c>
      <c r="V165" s="2088" t="str">
        <f>Table2456[[#This Row],[Column3]]</f>
        <v>2005-Q3</v>
      </c>
    </row>
    <row r="166" spans="1:22" x14ac:dyDescent="0.3">
      <c r="A166" s="211">
        <f t="shared" si="17"/>
        <v>2005</v>
      </c>
      <c r="B166" s="211" t="str">
        <f t="shared" si="18"/>
        <v>Q4</v>
      </c>
      <c r="C166" s="2088" t="str">
        <f t="shared" si="20"/>
        <v>2005-Q4</v>
      </c>
      <c r="E166" s="252">
        <v>91200</v>
      </c>
      <c r="F166" s="252">
        <v>82100</v>
      </c>
      <c r="G166" s="252">
        <f t="shared" si="21"/>
        <v>86650</v>
      </c>
      <c r="J166" s="230"/>
      <c r="K166" s="230"/>
      <c r="L166" s="252">
        <f>K163*E166</f>
        <v>140448000000</v>
      </c>
      <c r="M166" s="252">
        <f>K163*F166</f>
        <v>126434000000</v>
      </c>
      <c r="N166" s="252">
        <f t="shared" si="22"/>
        <v>133441000000</v>
      </c>
      <c r="P166" s="252"/>
      <c r="Q166" s="252"/>
      <c r="S166" s="348">
        <f>L166/Q163</f>
        <v>1.5835475578406171</v>
      </c>
      <c r="T166" s="348">
        <f>M166/Q163</f>
        <v>1.4255400712578361</v>
      </c>
      <c r="U166" s="1043">
        <f t="shared" si="23"/>
        <v>1.5045438145492267</v>
      </c>
      <c r="V166" s="2088" t="str">
        <f>Table2456[[#This Row],[Column3]]</f>
        <v>2005-Q4</v>
      </c>
    </row>
    <row r="167" spans="1:22" x14ac:dyDescent="0.3">
      <c r="A167" s="211">
        <f t="shared" si="17"/>
        <v>2006</v>
      </c>
      <c r="B167" s="211" t="str">
        <f t="shared" si="18"/>
        <v>Q1</v>
      </c>
      <c r="C167" s="2088" t="str">
        <f t="shared" si="20"/>
        <v>2006-Q1</v>
      </c>
      <c r="D167" s="211">
        <v>2006</v>
      </c>
      <c r="E167" s="252">
        <v>90650</v>
      </c>
      <c r="F167" s="252">
        <v>86200</v>
      </c>
      <c r="G167" s="252">
        <f t="shared" si="21"/>
        <v>88425</v>
      </c>
      <c r="I167" s="2088">
        <v>39082</v>
      </c>
      <c r="J167" s="230">
        <v>1543000</v>
      </c>
      <c r="K167" s="230">
        <f>AVERAGE(J163,J167)</f>
        <v>1542000</v>
      </c>
      <c r="L167" s="252">
        <f>K167*E167</f>
        <v>139782300000</v>
      </c>
      <c r="M167" s="252">
        <f>K167*F167</f>
        <v>132920400000</v>
      </c>
      <c r="N167" s="252">
        <f t="shared" si="22"/>
        <v>136351350000</v>
      </c>
      <c r="P167" s="252">
        <v>108419000000</v>
      </c>
      <c r="Q167" s="252">
        <f>AVERAGE(P163,P167)</f>
        <v>99951500000</v>
      </c>
      <c r="S167" s="348">
        <f>L167/Q167</f>
        <v>1.398501273117462</v>
      </c>
      <c r="T167" s="348">
        <f>M167/Q167</f>
        <v>1.3298489767537256</v>
      </c>
      <c r="U167" s="1043">
        <f t="shared" si="23"/>
        <v>1.3641751249355938</v>
      </c>
      <c r="V167" s="2088" t="str">
        <f>Table2456[[#This Row],[Column3]]</f>
        <v>2006-Q1</v>
      </c>
    </row>
    <row r="168" spans="1:22" x14ac:dyDescent="0.3">
      <c r="A168" s="211">
        <f t="shared" si="17"/>
        <v>2006</v>
      </c>
      <c r="B168" s="211" t="str">
        <f t="shared" si="18"/>
        <v>Q2</v>
      </c>
      <c r="C168" s="2088" t="str">
        <f t="shared" si="20"/>
        <v>2006-Q2</v>
      </c>
      <c r="E168" s="252">
        <v>93100</v>
      </c>
      <c r="F168" s="252">
        <v>85400</v>
      </c>
      <c r="G168" s="252">
        <f t="shared" si="21"/>
        <v>89250</v>
      </c>
      <c r="J168" s="230"/>
      <c r="K168" s="230"/>
      <c r="L168" s="252">
        <f>K167*E168</f>
        <v>143560200000</v>
      </c>
      <c r="M168" s="252">
        <f>K167*F168</f>
        <v>131686800000</v>
      </c>
      <c r="N168" s="252">
        <f t="shared" si="22"/>
        <v>137623500000</v>
      </c>
      <c r="P168" s="252"/>
      <c r="Q168" s="252"/>
      <c r="S168" s="348">
        <f>L168/Q167</f>
        <v>1.4362986048233393</v>
      </c>
      <c r="T168" s="348">
        <f>M168/Q167</f>
        <v>1.3175069908905819</v>
      </c>
      <c r="U168" s="1043">
        <f t="shared" si="23"/>
        <v>1.3769027978569606</v>
      </c>
      <c r="V168" s="2088" t="str">
        <f>Table2456[[#This Row],[Column3]]</f>
        <v>2006-Q2</v>
      </c>
    </row>
    <row r="169" spans="1:22" x14ac:dyDescent="0.3">
      <c r="A169" s="211">
        <f t="shared" si="17"/>
        <v>2006</v>
      </c>
      <c r="B169" s="211" t="str">
        <f t="shared" si="18"/>
        <v>Q3</v>
      </c>
      <c r="C169" s="2088" t="str">
        <f t="shared" si="20"/>
        <v>2006-Q3</v>
      </c>
      <c r="E169" s="252">
        <v>97100</v>
      </c>
      <c r="F169" s="252">
        <v>89400</v>
      </c>
      <c r="G169" s="252">
        <f t="shared" si="21"/>
        <v>93250</v>
      </c>
      <c r="J169" s="230"/>
      <c r="K169" s="230"/>
      <c r="L169" s="252">
        <f>K167*E169</f>
        <v>149728200000</v>
      </c>
      <c r="M169" s="252">
        <f>K167*F169</f>
        <v>137854800000</v>
      </c>
      <c r="N169" s="252">
        <f t="shared" si="22"/>
        <v>143791500000</v>
      </c>
      <c r="P169" s="252"/>
      <c r="Q169" s="252"/>
      <c r="S169" s="348">
        <f>L169/Q167</f>
        <v>1.4980085341390574</v>
      </c>
      <c r="T169" s="348">
        <f>M169/Q167</f>
        <v>1.3792169202063</v>
      </c>
      <c r="U169" s="1043">
        <f t="shared" si="23"/>
        <v>1.4386127271726787</v>
      </c>
      <c r="V169" s="2088" t="str">
        <f>Table2456[[#This Row],[Column3]]</f>
        <v>2006-Q3</v>
      </c>
    </row>
    <row r="170" spans="1:22" x14ac:dyDescent="0.3">
      <c r="A170" s="211">
        <f t="shared" si="17"/>
        <v>2006</v>
      </c>
      <c r="B170" s="211" t="str">
        <f t="shared" si="18"/>
        <v>Q4</v>
      </c>
      <c r="C170" s="2088" t="str">
        <f t="shared" si="20"/>
        <v>2006-Q4</v>
      </c>
      <c r="E170" s="252">
        <v>114500</v>
      </c>
      <c r="F170" s="252">
        <v>95200</v>
      </c>
      <c r="G170" s="252">
        <f t="shared" si="21"/>
        <v>104850</v>
      </c>
      <c r="J170" s="230"/>
      <c r="K170" s="230"/>
      <c r="L170" s="252">
        <f>K167*E170</f>
        <v>176559000000</v>
      </c>
      <c r="M170" s="252">
        <f>K167*F170</f>
        <v>146798400000</v>
      </c>
      <c r="N170" s="252">
        <f t="shared" si="22"/>
        <v>161678700000</v>
      </c>
      <c r="P170" s="252"/>
      <c r="Q170" s="252"/>
      <c r="S170" s="348">
        <f>L170/Q167</f>
        <v>1.7664467266624313</v>
      </c>
      <c r="T170" s="348">
        <f>M170/Q167</f>
        <v>1.4686963177140913</v>
      </c>
      <c r="U170" s="1043">
        <f t="shared" si="23"/>
        <v>1.6175715221882614</v>
      </c>
      <c r="V170" s="2088" t="str">
        <f>Table2456[[#This Row],[Column3]]</f>
        <v>2006-Q4</v>
      </c>
    </row>
    <row r="171" spans="1:22" x14ac:dyDescent="0.3">
      <c r="A171" s="211">
        <f t="shared" si="17"/>
        <v>2007</v>
      </c>
      <c r="B171" s="211" t="str">
        <f t="shared" si="18"/>
        <v>Q1</v>
      </c>
      <c r="C171" s="2088" t="str">
        <f t="shared" si="20"/>
        <v>2007-Q1</v>
      </c>
      <c r="D171" s="211">
        <v>2007</v>
      </c>
      <c r="E171" s="252">
        <v>110700</v>
      </c>
      <c r="F171" s="252">
        <v>103800</v>
      </c>
      <c r="G171" s="252">
        <f t="shared" si="21"/>
        <v>107250</v>
      </c>
      <c r="I171" s="2088">
        <v>39447</v>
      </c>
      <c r="J171" s="230">
        <v>1548000</v>
      </c>
      <c r="K171" s="230">
        <f>AVERAGE(J167,J171)</f>
        <v>1545500</v>
      </c>
      <c r="L171" s="252">
        <f>K171*E171</f>
        <v>171086850000</v>
      </c>
      <c r="M171" s="252">
        <f>K171*F171</f>
        <v>160422900000</v>
      </c>
      <c r="N171" s="252">
        <f t="shared" si="22"/>
        <v>165754875000</v>
      </c>
      <c r="P171" s="252">
        <v>120733000000</v>
      </c>
      <c r="Q171" s="252">
        <f>AVERAGE(P167,P171)</f>
        <v>114576000000</v>
      </c>
      <c r="S171" s="348">
        <f>L171/Q171</f>
        <v>1.4932171658986175</v>
      </c>
      <c r="T171" s="348">
        <f>M171/Q171</f>
        <v>1.4001440092165898</v>
      </c>
      <c r="U171" s="1043">
        <f t="shared" si="23"/>
        <v>1.4466805875576036</v>
      </c>
      <c r="V171" s="2088" t="str">
        <f>Table2456[[#This Row],[Column3]]</f>
        <v>2007-Q1</v>
      </c>
    </row>
    <row r="172" spans="1:22" x14ac:dyDescent="0.3">
      <c r="A172" s="211">
        <f t="shared" si="17"/>
        <v>2007</v>
      </c>
      <c r="B172" s="211" t="str">
        <f t="shared" si="18"/>
        <v>Q2</v>
      </c>
      <c r="C172" s="2088" t="str">
        <f t="shared" si="20"/>
        <v>2007-Q2</v>
      </c>
      <c r="E172" s="252">
        <v>110490</v>
      </c>
      <c r="F172" s="252">
        <v>107200</v>
      </c>
      <c r="G172" s="252">
        <f t="shared" si="21"/>
        <v>108845</v>
      </c>
      <c r="J172" s="230"/>
      <c r="K172" s="230"/>
      <c r="L172" s="252">
        <f>K171*E172</f>
        <v>170762295000</v>
      </c>
      <c r="M172" s="252">
        <f>K171*F172</f>
        <v>165677600000</v>
      </c>
      <c r="N172" s="252">
        <f t="shared" si="22"/>
        <v>168219947500</v>
      </c>
      <c r="P172" s="252"/>
      <c r="Q172" s="252"/>
      <c r="S172" s="348">
        <f>L172/Q171</f>
        <v>1.4903845046082949</v>
      </c>
      <c r="T172" s="348">
        <f>M172/Q171</f>
        <v>1.4460061443932413</v>
      </c>
      <c r="U172" s="1043">
        <f t="shared" si="23"/>
        <v>1.4681953245007682</v>
      </c>
      <c r="V172" s="2088" t="str">
        <f>Table2456[[#This Row],[Column3]]</f>
        <v>2007-Q2</v>
      </c>
    </row>
    <row r="173" spans="1:22" x14ac:dyDescent="0.3">
      <c r="A173" s="211">
        <f t="shared" si="17"/>
        <v>2007</v>
      </c>
      <c r="B173" s="211" t="str">
        <f t="shared" si="18"/>
        <v>Q3</v>
      </c>
      <c r="C173" s="2088" t="str">
        <f t="shared" si="20"/>
        <v>2007-Q3</v>
      </c>
      <c r="E173" s="252">
        <v>120800</v>
      </c>
      <c r="F173" s="252">
        <v>108600</v>
      </c>
      <c r="G173" s="252">
        <f t="shared" si="21"/>
        <v>114700</v>
      </c>
      <c r="J173" s="230"/>
      <c r="K173" s="230"/>
      <c r="L173" s="252">
        <f>K171*E173</f>
        <v>186696400000</v>
      </c>
      <c r="M173" s="252">
        <f>K171*F173</f>
        <v>167841300000</v>
      </c>
      <c r="N173" s="252">
        <f t="shared" si="22"/>
        <v>177268850000</v>
      </c>
      <c r="P173" s="252"/>
      <c r="Q173" s="252"/>
      <c r="S173" s="348">
        <f>L173/Q171</f>
        <v>1.6294546850998464</v>
      </c>
      <c r="T173" s="348">
        <f>M173/Q171</f>
        <v>1.4648905529953917</v>
      </c>
      <c r="U173" s="1043">
        <f t="shared" si="23"/>
        <v>1.5471726190476192</v>
      </c>
      <c r="V173" s="2088" t="str">
        <f>Table2456[[#This Row],[Column3]]</f>
        <v>2007-Q3</v>
      </c>
    </row>
    <row r="174" spans="1:22" x14ac:dyDescent="0.3">
      <c r="A174" s="211">
        <f t="shared" si="17"/>
        <v>2007</v>
      </c>
      <c r="B174" s="211" t="str">
        <f t="shared" si="18"/>
        <v>Q4</v>
      </c>
      <c r="C174" s="2088" t="str">
        <f t="shared" si="20"/>
        <v>2007-Q4</v>
      </c>
      <c r="E174" s="252">
        <v>151560</v>
      </c>
      <c r="F174" s="252">
        <v>118400</v>
      </c>
      <c r="G174" s="252">
        <f t="shared" si="21"/>
        <v>134980</v>
      </c>
      <c r="J174" s="230"/>
      <c r="K174" s="230"/>
      <c r="L174" s="252">
        <f>K171*E174</f>
        <v>234235980000</v>
      </c>
      <c r="M174" s="252">
        <f>K171*F174</f>
        <v>182987200000</v>
      </c>
      <c r="N174" s="252">
        <f t="shared" si="22"/>
        <v>208611590000</v>
      </c>
      <c r="P174" s="252"/>
      <c r="Q174" s="252"/>
      <c r="S174" s="348">
        <f>L174/Q171</f>
        <v>2.0443721198156681</v>
      </c>
      <c r="T174" s="348">
        <f>M174/Q171</f>
        <v>1.5970814132104454</v>
      </c>
      <c r="U174" s="1043">
        <f t="shared" si="23"/>
        <v>1.8207267665130566</v>
      </c>
      <c r="V174" s="2088" t="str">
        <f>Table2456[[#This Row],[Column3]]</f>
        <v>2007-Q4</v>
      </c>
    </row>
    <row r="175" spans="1:22" x14ac:dyDescent="0.3">
      <c r="A175" s="211">
        <f t="shared" si="17"/>
        <v>2008</v>
      </c>
      <c r="B175" s="211" t="str">
        <f t="shared" si="18"/>
        <v>Q1</v>
      </c>
      <c r="C175" s="2088" t="str">
        <f t="shared" si="20"/>
        <v>2008-Q1</v>
      </c>
      <c r="D175" s="211">
        <v>2008</v>
      </c>
      <c r="E175" s="252">
        <v>145900</v>
      </c>
      <c r="F175" s="252">
        <v>126100</v>
      </c>
      <c r="G175" s="252">
        <f t="shared" si="21"/>
        <v>136000</v>
      </c>
      <c r="I175" s="2088">
        <v>39813</v>
      </c>
      <c r="J175" s="230">
        <v>1549000</v>
      </c>
      <c r="K175" s="230">
        <f>AVERAGE(J171,J175)</f>
        <v>1548500</v>
      </c>
      <c r="L175" s="252">
        <f>K175*E175</f>
        <v>225926150000</v>
      </c>
      <c r="M175" s="252">
        <f>K175*F175</f>
        <v>195265850000</v>
      </c>
      <c r="N175" s="252">
        <f t="shared" si="22"/>
        <v>210596000000</v>
      </c>
      <c r="P175" s="252">
        <v>109267000000</v>
      </c>
      <c r="Q175" s="252">
        <f>AVERAGE(P171,P175)</f>
        <v>115000000000</v>
      </c>
      <c r="S175" s="348">
        <f>L175/Q175</f>
        <v>1.9645752173913043</v>
      </c>
      <c r="T175" s="348">
        <f>M175/Q175</f>
        <v>1.6979639130434783</v>
      </c>
      <c r="U175" s="1043">
        <f t="shared" si="23"/>
        <v>1.8312695652173914</v>
      </c>
      <c r="V175" s="2088" t="str">
        <f>Table2456[[#This Row],[Column3]]</f>
        <v>2008-Q1</v>
      </c>
    </row>
    <row r="176" spans="1:22" x14ac:dyDescent="0.3">
      <c r="A176" s="211">
        <f t="shared" si="17"/>
        <v>2008</v>
      </c>
      <c r="B176" s="211" t="str">
        <f t="shared" si="18"/>
        <v>Q2</v>
      </c>
      <c r="C176" s="2088" t="str">
        <f t="shared" si="20"/>
        <v>2008-Q2</v>
      </c>
      <c r="E176" s="252">
        <v>135500</v>
      </c>
      <c r="F176" s="252">
        <v>119450</v>
      </c>
      <c r="G176" s="252">
        <f t="shared" si="21"/>
        <v>127475</v>
      </c>
      <c r="J176" s="230"/>
      <c r="K176" s="230"/>
      <c r="L176" s="252">
        <f>K175*E176</f>
        <v>209821750000</v>
      </c>
      <c r="M176" s="252">
        <f>K175*F176</f>
        <v>184968325000</v>
      </c>
      <c r="N176" s="252">
        <f t="shared" si="22"/>
        <v>197395037500</v>
      </c>
      <c r="P176" s="252"/>
      <c r="Q176" s="252"/>
      <c r="S176" s="348">
        <f>L176/Q175</f>
        <v>1.8245369565217391</v>
      </c>
      <c r="T176" s="348">
        <f>M176/Q175</f>
        <v>1.6084202173913043</v>
      </c>
      <c r="U176" s="1043">
        <f t="shared" si="23"/>
        <v>1.7164785869565216</v>
      </c>
      <c r="V176" s="2088" t="str">
        <f>Table2456[[#This Row],[Column3]]</f>
        <v>2008-Q2</v>
      </c>
    </row>
    <row r="177" spans="1:22" x14ac:dyDescent="0.3">
      <c r="A177" s="211">
        <f t="shared" si="17"/>
        <v>2008</v>
      </c>
      <c r="B177" s="211" t="str">
        <f t="shared" si="18"/>
        <v>Q3</v>
      </c>
      <c r="C177" s="2088" t="str">
        <f t="shared" si="20"/>
        <v>2008-Q3</v>
      </c>
      <c r="E177" s="252">
        <v>147000</v>
      </c>
      <c r="F177" s="252">
        <v>111000</v>
      </c>
      <c r="G177" s="252">
        <f t="shared" si="21"/>
        <v>129000</v>
      </c>
      <c r="J177" s="230"/>
      <c r="K177" s="230"/>
      <c r="L177" s="252">
        <f>K175*E177</f>
        <v>227629500000</v>
      </c>
      <c r="M177" s="252">
        <f>K175*F177</f>
        <v>171883500000</v>
      </c>
      <c r="N177" s="252">
        <f t="shared" si="22"/>
        <v>199756500000</v>
      </c>
      <c r="P177" s="252"/>
      <c r="Q177" s="252"/>
      <c r="S177" s="348">
        <f>L177/Q175</f>
        <v>1.9793869565217392</v>
      </c>
      <c r="T177" s="348">
        <f>M177/Q175</f>
        <v>1.4946391304347826</v>
      </c>
      <c r="U177" s="1043">
        <f t="shared" si="23"/>
        <v>1.7370130434782609</v>
      </c>
      <c r="V177" s="2088" t="str">
        <f>Table2456[[#This Row],[Column3]]</f>
        <v>2008-Q3</v>
      </c>
    </row>
    <row r="178" spans="1:22" x14ac:dyDescent="0.3">
      <c r="A178" s="211">
        <f t="shared" si="17"/>
        <v>2008</v>
      </c>
      <c r="B178" s="211" t="str">
        <f t="shared" si="18"/>
        <v>Q4</v>
      </c>
      <c r="C178" s="2088" t="str">
        <f t="shared" si="20"/>
        <v>2008-Q4</v>
      </c>
      <c r="E178" s="252">
        <v>115750</v>
      </c>
      <c r="F178" s="252">
        <v>74100</v>
      </c>
      <c r="G178" s="252">
        <f t="shared" si="21"/>
        <v>94925</v>
      </c>
      <c r="J178" s="230"/>
      <c r="K178" s="230"/>
      <c r="L178" s="252">
        <f>K175*E178</f>
        <v>179238875000</v>
      </c>
      <c r="M178" s="252">
        <f>K175*F178</f>
        <v>114743850000</v>
      </c>
      <c r="N178" s="252">
        <f t="shared" si="22"/>
        <v>146991362500</v>
      </c>
      <c r="P178" s="252"/>
      <c r="Q178" s="252"/>
      <c r="S178" s="348">
        <f>L178/Q175</f>
        <v>1.5585989130434783</v>
      </c>
      <c r="T178" s="348">
        <f>M178/Q175</f>
        <v>0.99777260869565221</v>
      </c>
      <c r="U178" s="1043">
        <f t="shared" si="23"/>
        <v>1.2781857608695653</v>
      </c>
      <c r="V178" s="2088" t="str">
        <f>Table2456[[#This Row],[Column3]]</f>
        <v>2008-Q4</v>
      </c>
    </row>
    <row r="179" spans="1:22" x14ac:dyDescent="0.3">
      <c r="A179" s="211">
        <f t="shared" si="17"/>
        <v>2009</v>
      </c>
      <c r="B179" s="211" t="str">
        <f t="shared" si="18"/>
        <v>Q1</v>
      </c>
      <c r="C179" s="2088" t="str">
        <f t="shared" si="20"/>
        <v>2009-Q1</v>
      </c>
      <c r="D179" s="211">
        <v>2009</v>
      </c>
      <c r="E179" s="252">
        <v>102600</v>
      </c>
      <c r="F179" s="252">
        <v>70050</v>
      </c>
      <c r="G179" s="252">
        <f t="shared" si="21"/>
        <v>86325</v>
      </c>
      <c r="I179" s="2088">
        <v>40178</v>
      </c>
      <c r="J179" s="230">
        <v>1552000</v>
      </c>
      <c r="K179" s="230">
        <f>AVERAGE(J175,J179)</f>
        <v>1550500</v>
      </c>
      <c r="L179" s="252">
        <f>K179*E179</f>
        <v>159081300000</v>
      </c>
      <c r="M179" s="252">
        <f>K179*F179</f>
        <v>108612525000</v>
      </c>
      <c r="N179" s="252">
        <f t="shared" si="22"/>
        <v>133846912500</v>
      </c>
      <c r="P179" s="252">
        <v>131102000000</v>
      </c>
      <c r="Q179" s="252">
        <f>AVERAGE(P175,P179)</f>
        <v>120184500000</v>
      </c>
      <c r="S179" s="348">
        <f>L179/Q179</f>
        <v>1.3236423998102917</v>
      </c>
      <c r="T179" s="348">
        <f>M179/Q179</f>
        <v>0.90371491332076936</v>
      </c>
      <c r="U179" s="1043">
        <f t="shared" si="23"/>
        <v>1.1136786565655306</v>
      </c>
      <c r="V179" s="2088" t="str">
        <f>Table2456[[#This Row],[Column3]]</f>
        <v>2009-Q1</v>
      </c>
    </row>
    <row r="180" spans="1:22" x14ac:dyDescent="0.3">
      <c r="A180" s="211">
        <f t="shared" si="17"/>
        <v>2009</v>
      </c>
      <c r="B180" s="211" t="str">
        <f t="shared" si="18"/>
        <v>Q2</v>
      </c>
      <c r="C180" s="2088" t="str">
        <f t="shared" si="20"/>
        <v>2009-Q2</v>
      </c>
      <c r="E180" s="252">
        <v>95500</v>
      </c>
      <c r="F180" s="252">
        <v>83957</v>
      </c>
      <c r="G180" s="252">
        <f t="shared" si="21"/>
        <v>89728.5</v>
      </c>
      <c r="J180" s="230"/>
      <c r="K180" s="230"/>
      <c r="L180" s="252">
        <f>K179*E180</f>
        <v>148072750000</v>
      </c>
      <c r="M180" s="252">
        <f>K179*F180</f>
        <v>130175328500</v>
      </c>
      <c r="N180" s="252">
        <f t="shared" si="22"/>
        <v>139124039250</v>
      </c>
      <c r="P180" s="252"/>
      <c r="Q180" s="252"/>
      <c r="S180" s="348">
        <f>L180/Q179</f>
        <v>1.2320453136635756</v>
      </c>
      <c r="T180" s="348">
        <f>M180/Q179</f>
        <v>1.0831290931858935</v>
      </c>
      <c r="U180" s="1043">
        <f t="shared" si="23"/>
        <v>1.1575872034247345</v>
      </c>
      <c r="V180" s="2088" t="str">
        <f>Table2456[[#This Row],[Column3]]</f>
        <v>2009-Q2</v>
      </c>
    </row>
    <row r="181" spans="1:22" x14ac:dyDescent="0.3">
      <c r="A181" s="211">
        <f t="shared" si="17"/>
        <v>2009</v>
      </c>
      <c r="B181" s="211" t="str">
        <f t="shared" si="18"/>
        <v>Q3</v>
      </c>
      <c r="C181" s="2088" t="str">
        <f t="shared" si="20"/>
        <v>2009-Q3</v>
      </c>
      <c r="E181" s="252">
        <v>108450</v>
      </c>
      <c r="F181" s="252">
        <v>84600</v>
      </c>
      <c r="G181" s="252">
        <f t="shared" si="21"/>
        <v>96525</v>
      </c>
      <c r="J181" s="230"/>
      <c r="K181" s="230"/>
      <c r="L181" s="252">
        <f>K179*E181</f>
        <v>168151725000</v>
      </c>
      <c r="M181" s="252">
        <f>K179*F181</f>
        <v>131172300000</v>
      </c>
      <c r="N181" s="252">
        <f t="shared" si="22"/>
        <v>149662012500</v>
      </c>
      <c r="P181" s="252"/>
      <c r="Q181" s="252"/>
      <c r="S181" s="348">
        <f>L181/Q179</f>
        <v>1.3991132383959661</v>
      </c>
      <c r="T181" s="348">
        <f>M181/Q179</f>
        <v>1.0914244349312932</v>
      </c>
      <c r="U181" s="1043">
        <f t="shared" si="23"/>
        <v>1.2452688366636298</v>
      </c>
      <c r="V181" s="2088" t="str">
        <f>Table2456[[#This Row],[Column3]]</f>
        <v>2009-Q3</v>
      </c>
    </row>
    <row r="182" spans="1:22" x14ac:dyDescent="0.3">
      <c r="A182" s="211">
        <f t="shared" si="17"/>
        <v>2009</v>
      </c>
      <c r="B182" s="211" t="str">
        <f t="shared" si="18"/>
        <v>Q4</v>
      </c>
      <c r="C182" s="2088" t="str">
        <f t="shared" ref="C182:C189" si="24">CONCATENATE(A182,"-",B182)</f>
        <v>2009-Q4</v>
      </c>
      <c r="E182" s="252">
        <v>105980</v>
      </c>
      <c r="F182" s="252">
        <v>97870</v>
      </c>
      <c r="G182" s="252">
        <f t="shared" ref="G182:G184" si="25">AVERAGE(E182:F182)</f>
        <v>101925</v>
      </c>
      <c r="J182" s="230"/>
      <c r="K182" s="230"/>
      <c r="L182" s="252">
        <f>K179*E182</f>
        <v>164321990000</v>
      </c>
      <c r="M182" s="252">
        <f>K179*F182</f>
        <v>151747435000</v>
      </c>
      <c r="N182" s="252">
        <f t="shared" ref="N182:N184" si="26">AVERAGE(L182:M182)</f>
        <v>158034712500</v>
      </c>
      <c r="P182" s="252"/>
      <c r="Q182" s="252"/>
      <c r="S182" s="348">
        <f>L182/Q179</f>
        <v>1.3672477732153481</v>
      </c>
      <c r="T182" s="348">
        <f>M182/Q179</f>
        <v>1.2626206790393104</v>
      </c>
      <c r="U182" s="1043">
        <f t="shared" ref="U182:U184" si="27">AVERAGE(S182:T182)</f>
        <v>1.3149342261273294</v>
      </c>
      <c r="V182" s="2088" t="str">
        <f>Table2456[[#This Row],[Column3]]</f>
        <v>2009-Q4</v>
      </c>
    </row>
    <row r="183" spans="1:22" x14ac:dyDescent="0.3">
      <c r="A183" s="211">
        <f t="shared" si="17"/>
        <v>2010</v>
      </c>
      <c r="B183" s="211" t="str">
        <f t="shared" si="18"/>
        <v>Q1</v>
      </c>
      <c r="C183" s="2088" t="str">
        <f t="shared" si="24"/>
        <v>2010-Q1</v>
      </c>
      <c r="D183" s="211">
        <v>2010</v>
      </c>
      <c r="E183" s="252">
        <v>125252</v>
      </c>
      <c r="F183" s="252">
        <v>97205</v>
      </c>
      <c r="G183" s="252">
        <f t="shared" si="25"/>
        <v>111228.5</v>
      </c>
      <c r="I183" s="2088">
        <v>40543</v>
      </c>
      <c r="J183" s="230">
        <v>1648000</v>
      </c>
      <c r="K183" s="230">
        <f>AVERAGE(J179,J183)</f>
        <v>1600000</v>
      </c>
      <c r="L183" s="252">
        <f>K183*E183</f>
        <v>200403200000</v>
      </c>
      <c r="M183" s="252">
        <f>K183*F183</f>
        <v>155528000000</v>
      </c>
      <c r="N183" s="252">
        <f t="shared" si="26"/>
        <v>177965600000</v>
      </c>
      <c r="P183" s="252">
        <v>157318000000</v>
      </c>
      <c r="Q183" s="252">
        <f>AVERAGE(P179,P183)</f>
        <v>144210000000</v>
      </c>
      <c r="S183" s="348">
        <f>L183/Q183</f>
        <v>1.3896622980375841</v>
      </c>
      <c r="T183" s="348">
        <f>M183/Q183</f>
        <v>1.0784827681852853</v>
      </c>
      <c r="U183" s="1043">
        <f t="shared" si="27"/>
        <v>1.2340725331114348</v>
      </c>
      <c r="V183" s="2088" t="str">
        <f>Table2456[[#This Row],[Column3]]</f>
        <v>2010-Q1</v>
      </c>
    </row>
    <row r="184" spans="1:22" x14ac:dyDescent="0.3">
      <c r="A184" s="211">
        <f t="shared" si="17"/>
        <v>2010</v>
      </c>
      <c r="B184" s="211" t="str">
        <f t="shared" si="18"/>
        <v>Q2</v>
      </c>
      <c r="C184" s="2088" t="str">
        <f t="shared" si="24"/>
        <v>2010-Q2</v>
      </c>
      <c r="E184" s="252">
        <v>122908</v>
      </c>
      <c r="F184" s="252">
        <v>102751</v>
      </c>
      <c r="G184" s="252">
        <f t="shared" si="25"/>
        <v>112829.5</v>
      </c>
      <c r="J184" s="230"/>
      <c r="K184" s="230"/>
      <c r="L184" s="252">
        <f>K183*E184</f>
        <v>196652800000</v>
      </c>
      <c r="M184" s="252">
        <f>K183*F184</f>
        <v>164401600000</v>
      </c>
      <c r="N184" s="252">
        <f t="shared" si="26"/>
        <v>180527200000</v>
      </c>
      <c r="P184" s="252"/>
      <c r="Q184" s="252"/>
      <c r="S184" s="348">
        <f>L184/Q183</f>
        <v>1.3636557797656197</v>
      </c>
      <c r="T184" s="348">
        <f>M184/Q183</f>
        <v>1.1400152555301297</v>
      </c>
      <c r="U184" s="1043">
        <f t="shared" si="27"/>
        <v>1.2518355176478746</v>
      </c>
      <c r="V184" s="2088" t="str">
        <f>Table2456[[#This Row],[Column3]]</f>
        <v>2010-Q2</v>
      </c>
    </row>
    <row r="185" spans="1:22" x14ac:dyDescent="0.3">
      <c r="A185" s="211">
        <f t="shared" si="17"/>
        <v>2010</v>
      </c>
      <c r="B185" s="211" t="str">
        <f t="shared" si="18"/>
        <v>Q3</v>
      </c>
      <c r="C185" s="2088" t="str">
        <f t="shared" si="24"/>
        <v>2010-Q3</v>
      </c>
      <c r="E185" s="252">
        <v>128730</v>
      </c>
      <c r="F185" s="252">
        <v>113622</v>
      </c>
      <c r="G185" s="252">
        <f t="shared" ref="G185:G189" si="28">AVERAGE(E185:F185)</f>
        <v>121176</v>
      </c>
      <c r="J185" s="230"/>
      <c r="K185" s="230"/>
      <c r="L185" s="252">
        <f>K183*E185</f>
        <v>205968000000</v>
      </c>
      <c r="M185" s="252">
        <f>K183*F185</f>
        <v>181795200000</v>
      </c>
      <c r="N185" s="252">
        <f t="shared" ref="N185:N189" si="29">AVERAGE(L185:M185)</f>
        <v>193881600000</v>
      </c>
      <c r="P185" s="252"/>
      <c r="Q185" s="252"/>
      <c r="S185" s="348">
        <f>L185/Q183</f>
        <v>1.4282504680674017</v>
      </c>
      <c r="T185" s="348">
        <f>M185/Q183</f>
        <v>1.2606282504680675</v>
      </c>
      <c r="U185" s="1043">
        <f t="shared" ref="U185:U189" si="30">AVERAGE(S185:T185)</f>
        <v>1.3444393592677346</v>
      </c>
      <c r="V185" s="2088" t="str">
        <f>Table2456[[#This Row],[Column3]]</f>
        <v>2010-Q3</v>
      </c>
    </row>
    <row r="186" spans="1:22" x14ac:dyDescent="0.3">
      <c r="A186" s="211">
        <f t="shared" si="17"/>
        <v>2010</v>
      </c>
      <c r="B186" s="211" t="str">
        <f t="shared" si="18"/>
        <v>Q4</v>
      </c>
      <c r="C186" s="2088" t="str">
        <f t="shared" si="24"/>
        <v>2010-Q4</v>
      </c>
      <c r="E186" s="252">
        <v>126568</v>
      </c>
      <c r="F186" s="252">
        <v>118201</v>
      </c>
      <c r="G186" s="252">
        <f t="shared" si="28"/>
        <v>122384.5</v>
      </c>
      <c r="J186" s="230"/>
      <c r="K186" s="230"/>
      <c r="L186" s="252">
        <f>K183*E186</f>
        <v>202508800000</v>
      </c>
      <c r="M186" s="252">
        <f>K183*F186</f>
        <v>189121600000</v>
      </c>
      <c r="N186" s="252">
        <f t="shared" si="29"/>
        <v>195815200000</v>
      </c>
      <c r="P186" s="252"/>
      <c r="Q186" s="252"/>
      <c r="S186" s="348">
        <f>L186/Q183</f>
        <v>1.4042632272380555</v>
      </c>
      <c r="T186" s="348">
        <f>M186/Q183</f>
        <v>1.3114319395326259</v>
      </c>
      <c r="U186" s="1043">
        <f t="shared" si="30"/>
        <v>1.3578475833853407</v>
      </c>
      <c r="V186" s="2088" t="str">
        <f>Table2456[[#This Row],[Column3]]</f>
        <v>2010-Q4</v>
      </c>
    </row>
    <row r="187" spans="1:22" x14ac:dyDescent="0.3">
      <c r="A187" s="211">
        <f t="shared" si="17"/>
        <v>2011</v>
      </c>
      <c r="B187" s="211" t="str">
        <f t="shared" si="18"/>
        <v>Q1</v>
      </c>
      <c r="C187" s="2088" t="str">
        <f t="shared" si="24"/>
        <v>2011-Q1</v>
      </c>
      <c r="D187" s="211">
        <v>2011</v>
      </c>
      <c r="E187" s="252">
        <v>131463</v>
      </c>
      <c r="F187" s="252">
        <v>118792</v>
      </c>
      <c r="G187" s="252">
        <f t="shared" si="28"/>
        <v>125127.5</v>
      </c>
      <c r="I187" s="2088">
        <v>40908</v>
      </c>
      <c r="J187" s="230">
        <v>1651000</v>
      </c>
      <c r="K187" s="230">
        <f>AVERAGE(J183,J187)</f>
        <v>1649500</v>
      </c>
      <c r="L187" s="252">
        <f>K187*E187</f>
        <v>216848218500</v>
      </c>
      <c r="M187" s="252">
        <f>K187*F187</f>
        <v>195947404000</v>
      </c>
      <c r="N187" s="252">
        <f t="shared" si="29"/>
        <v>206397811250</v>
      </c>
      <c r="P187" s="252">
        <v>164850000000</v>
      </c>
      <c r="Q187" s="252">
        <f>AVERAGE(P183,P187)</f>
        <v>161084000000</v>
      </c>
      <c r="S187" s="348">
        <f>L187/Q187</f>
        <v>1.3461809894216683</v>
      </c>
      <c r="T187" s="348">
        <f>M187/Q187</f>
        <v>1.2164299620073999</v>
      </c>
      <c r="U187" s="1043">
        <f t="shared" si="30"/>
        <v>1.2813054757145341</v>
      </c>
      <c r="V187" s="2088" t="str">
        <f>Table2456[[#This Row],[Column3]]</f>
        <v>2011-Q1</v>
      </c>
    </row>
    <row r="188" spans="1:22" x14ac:dyDescent="0.3">
      <c r="A188" s="211">
        <f t="shared" si="17"/>
        <v>2011</v>
      </c>
      <c r="B188" s="211" t="str">
        <f t="shared" si="18"/>
        <v>Q2</v>
      </c>
      <c r="C188" s="2088" t="str">
        <f t="shared" si="24"/>
        <v>2011-Q2</v>
      </c>
      <c r="E188" s="252">
        <v>126100</v>
      </c>
      <c r="F188" s="252">
        <v>109925</v>
      </c>
      <c r="G188" s="252">
        <f t="shared" si="28"/>
        <v>118012.5</v>
      </c>
      <c r="J188" s="230"/>
      <c r="K188" s="230"/>
      <c r="L188" s="252">
        <f>K187*E188</f>
        <v>208001950000</v>
      </c>
      <c r="M188" s="252">
        <f>K187*F188</f>
        <v>181321287500</v>
      </c>
      <c r="N188" s="252">
        <f t="shared" si="29"/>
        <v>194661618750</v>
      </c>
      <c r="P188" s="252"/>
      <c r="Q188" s="252"/>
      <c r="S188" s="348">
        <f>L188/Q187</f>
        <v>1.2912638747485783</v>
      </c>
      <c r="T188" s="348">
        <f>M188/Q187</f>
        <v>1.1256318908147303</v>
      </c>
      <c r="U188" s="1043">
        <f t="shared" si="30"/>
        <v>1.2084478827816543</v>
      </c>
      <c r="V188" s="2088" t="str">
        <f>Table2456[[#This Row],[Column3]]</f>
        <v>2011-Q2</v>
      </c>
    </row>
    <row r="189" spans="1:22" x14ac:dyDescent="0.3">
      <c r="A189" s="211">
        <f t="shared" si="17"/>
        <v>2011</v>
      </c>
      <c r="B189" s="211" t="str">
        <f t="shared" si="18"/>
        <v>Q3</v>
      </c>
      <c r="C189" s="2088" t="str">
        <f t="shared" si="24"/>
        <v>2011-Q3</v>
      </c>
      <c r="E189" s="252">
        <v>117250</v>
      </c>
      <c r="F189" s="252">
        <v>98952</v>
      </c>
      <c r="G189" s="252">
        <f t="shared" si="28"/>
        <v>108101</v>
      </c>
      <c r="J189" s="230"/>
      <c r="K189" s="230"/>
      <c r="L189" s="252">
        <f>K187*E189</f>
        <v>193403875000</v>
      </c>
      <c r="M189" s="252">
        <f>K187*F189</f>
        <v>163221324000</v>
      </c>
      <c r="N189" s="252">
        <f t="shared" si="29"/>
        <v>178312599500</v>
      </c>
      <c r="P189" s="252"/>
      <c r="Q189" s="252"/>
      <c r="S189" s="348">
        <f>L189/Q187</f>
        <v>1.2006398835390231</v>
      </c>
      <c r="T189" s="348">
        <f>M189/Q187</f>
        <v>1.0132683817138883</v>
      </c>
      <c r="U189" s="1043">
        <f t="shared" si="30"/>
        <v>1.1069541326264556</v>
      </c>
      <c r="V189" s="2088" t="str">
        <f>Table2456[[#This Row],[Column3]]</f>
        <v>2011-Q3</v>
      </c>
    </row>
    <row r="190" spans="1:22" x14ac:dyDescent="0.3">
      <c r="A190" s="211">
        <f t="shared" si="17"/>
        <v>2011</v>
      </c>
      <c r="B190" s="211" t="str">
        <f t="shared" si="18"/>
        <v>Q4</v>
      </c>
      <c r="C190" s="2088" t="str">
        <f t="shared" ref="C190:C197" si="31">CONCATENATE(A190,"-",B190)</f>
        <v>2011-Q4</v>
      </c>
      <c r="E190" s="252">
        <v>120755</v>
      </c>
      <c r="F190" s="252">
        <v>104701</v>
      </c>
      <c r="G190" s="252">
        <f t="shared" ref="G190:G197" si="32">AVERAGE(E190:F190)</f>
        <v>112728</v>
      </c>
      <c r="J190" s="230"/>
      <c r="K190" s="230"/>
      <c r="L190" s="252">
        <f>K187*E190</f>
        <v>199185372500</v>
      </c>
      <c r="M190" s="252">
        <f>K187*F190</f>
        <v>172704299500</v>
      </c>
      <c r="N190" s="252">
        <f t="shared" ref="N190:N197" si="33">AVERAGE(L190:M190)</f>
        <v>185944836000</v>
      </c>
      <c r="P190" s="252"/>
      <c r="Q190" s="252"/>
      <c r="S190" s="348">
        <f>L190/Q187</f>
        <v>1.2365310800576097</v>
      </c>
      <c r="T190" s="348">
        <f>M190/Q187</f>
        <v>1.0721381360035758</v>
      </c>
      <c r="U190" s="1043">
        <f t="shared" ref="U190:U197" si="34">AVERAGE(S190:T190)</f>
        <v>1.1543346080305927</v>
      </c>
      <c r="V190" s="2088" t="str">
        <f>Table2456[[#This Row],[Column3]]</f>
        <v>2011-Q4</v>
      </c>
    </row>
    <row r="191" spans="1:22" x14ac:dyDescent="0.3">
      <c r="A191" s="211">
        <f t="shared" si="17"/>
        <v>2012</v>
      </c>
      <c r="B191" s="211" t="str">
        <f t="shared" si="18"/>
        <v>Q1</v>
      </c>
      <c r="C191" s="2088" t="str">
        <f t="shared" si="31"/>
        <v>2012-Q1</v>
      </c>
      <c r="D191" s="211">
        <v>2012</v>
      </c>
      <c r="E191" s="252">
        <v>123578</v>
      </c>
      <c r="F191" s="252">
        <v>113855</v>
      </c>
      <c r="G191" s="252">
        <f t="shared" si="32"/>
        <v>118716.5</v>
      </c>
      <c r="I191" s="2088">
        <v>41274</v>
      </c>
      <c r="J191" s="230">
        <v>1643000</v>
      </c>
      <c r="K191" s="230">
        <f>AVERAGE(J187,J191)</f>
        <v>1647000</v>
      </c>
      <c r="L191" s="252">
        <f>K191*E191</f>
        <v>203532966000</v>
      </c>
      <c r="M191" s="252">
        <f>K191*F191</f>
        <v>187519185000</v>
      </c>
      <c r="N191" s="252">
        <f t="shared" si="33"/>
        <v>195526075500</v>
      </c>
      <c r="P191" s="252">
        <v>187647000000</v>
      </c>
      <c r="Q191" s="252">
        <f>AVERAGE(P187,P191)</f>
        <v>176248500000</v>
      </c>
      <c r="S191" s="348">
        <f>L191/Q191</f>
        <v>1.1548067983557306</v>
      </c>
      <c r="T191" s="348">
        <f>M191/Q191</f>
        <v>1.0639476931718568</v>
      </c>
      <c r="U191" s="1043">
        <f t="shared" si="34"/>
        <v>1.1093772457637936</v>
      </c>
      <c r="V191" s="2088" t="str">
        <f>Table2456[[#This Row],[Column3]]</f>
        <v>2012-Q1</v>
      </c>
    </row>
    <row r="192" spans="1:22" x14ac:dyDescent="0.3">
      <c r="A192" s="211">
        <f t="shared" si="17"/>
        <v>2012</v>
      </c>
      <c r="B192" s="211" t="str">
        <f t="shared" si="18"/>
        <v>Q2</v>
      </c>
      <c r="C192" s="2088" t="str">
        <f t="shared" si="31"/>
        <v>2012-Q2</v>
      </c>
      <c r="E192" s="252">
        <v>124950</v>
      </c>
      <c r="F192" s="252">
        <v>117551</v>
      </c>
      <c r="G192" s="252">
        <f t="shared" si="32"/>
        <v>121250.5</v>
      </c>
      <c r="J192" s="230"/>
      <c r="K192" s="230"/>
      <c r="L192" s="252">
        <f>K191*E192</f>
        <v>205792650000</v>
      </c>
      <c r="M192" s="252">
        <f>K191*F192</f>
        <v>193606497000</v>
      </c>
      <c r="N192" s="252">
        <f t="shared" si="33"/>
        <v>199699573500</v>
      </c>
      <c r="P192" s="252"/>
      <c r="Q192" s="252"/>
      <c r="S192" s="348">
        <f>L192/Q191</f>
        <v>1.1676278095983796</v>
      </c>
      <c r="T192" s="348">
        <f>M192/Q191</f>
        <v>1.0984859275398089</v>
      </c>
      <c r="U192" s="1043">
        <f t="shared" si="34"/>
        <v>1.1330568685690943</v>
      </c>
      <c r="V192" s="2088" t="str">
        <f>Table2456[[#This Row],[Column3]]</f>
        <v>2012-Q2</v>
      </c>
    </row>
    <row r="193" spans="1:22" x14ac:dyDescent="0.3">
      <c r="A193" s="211">
        <f t="shared" si="17"/>
        <v>2012</v>
      </c>
      <c r="B193" s="211" t="str">
        <f t="shared" si="18"/>
        <v>Q3</v>
      </c>
      <c r="C193" s="2088" t="str">
        <f t="shared" si="31"/>
        <v>2012-Q3</v>
      </c>
      <c r="E193" s="252">
        <v>134892</v>
      </c>
      <c r="F193" s="252">
        <v>123227</v>
      </c>
      <c r="G193" s="252">
        <f t="shared" si="32"/>
        <v>129059.5</v>
      </c>
      <c r="J193" s="230"/>
      <c r="K193" s="230"/>
      <c r="L193" s="252">
        <f>K191*E193</f>
        <v>222167124000</v>
      </c>
      <c r="M193" s="252">
        <f>K191*F193</f>
        <v>202954869000</v>
      </c>
      <c r="N193" s="252">
        <f t="shared" si="33"/>
        <v>212560996500</v>
      </c>
      <c r="P193" s="252"/>
      <c r="Q193" s="252"/>
      <c r="S193" s="348">
        <f>L193/Q191</f>
        <v>1.2605334173056792</v>
      </c>
      <c r="T193" s="348">
        <f>M193/Q191</f>
        <v>1.151526787462021</v>
      </c>
      <c r="U193" s="1043">
        <f t="shared" si="34"/>
        <v>1.20603010238385</v>
      </c>
      <c r="V193" s="2088" t="str">
        <f>Table2456[[#This Row],[Column3]]</f>
        <v>2012-Q3</v>
      </c>
    </row>
    <row r="194" spans="1:22" x14ac:dyDescent="0.3">
      <c r="A194" s="211">
        <f t="shared" si="17"/>
        <v>2012</v>
      </c>
      <c r="B194" s="211" t="str">
        <f t="shared" si="18"/>
        <v>Q4</v>
      </c>
      <c r="C194" s="2088" t="str">
        <f t="shared" si="31"/>
        <v>2012-Q4</v>
      </c>
      <c r="E194" s="252">
        <v>136345</v>
      </c>
      <c r="F194" s="252">
        <v>125950</v>
      </c>
      <c r="G194" s="252">
        <f t="shared" si="32"/>
        <v>131147.5</v>
      </c>
      <c r="J194" s="230"/>
      <c r="K194" s="230"/>
      <c r="L194" s="252">
        <f>K191*E194</f>
        <v>224560215000</v>
      </c>
      <c r="M194" s="252">
        <f>K191*F194</f>
        <v>207439650000</v>
      </c>
      <c r="N194" s="252">
        <f t="shared" si="33"/>
        <v>215999932500</v>
      </c>
      <c r="P194" s="252"/>
      <c r="Q194" s="252"/>
      <c r="S194" s="348">
        <f>L194/Q191</f>
        <v>1.2741113541391842</v>
      </c>
      <c r="T194" s="348">
        <f>M194/Q191</f>
        <v>1.176972569979319</v>
      </c>
      <c r="U194" s="1043">
        <f t="shared" si="34"/>
        <v>1.2255419620592516</v>
      </c>
      <c r="V194" s="2088" t="str">
        <f>Table2456[[#This Row],[Column3]]</f>
        <v>2012-Q4</v>
      </c>
    </row>
    <row r="195" spans="1:22" x14ac:dyDescent="0.3">
      <c r="A195" s="211">
        <f t="shared" si="17"/>
        <v>2013</v>
      </c>
      <c r="B195" s="211" t="str">
        <f t="shared" si="18"/>
        <v>Q1</v>
      </c>
      <c r="C195" s="2088" t="str">
        <f t="shared" si="31"/>
        <v>2013-Q1</v>
      </c>
      <c r="D195" s="211">
        <v>2013</v>
      </c>
      <c r="E195" s="252">
        <v>156634</v>
      </c>
      <c r="F195" s="252">
        <v>136850</v>
      </c>
      <c r="G195" s="252">
        <f t="shared" si="32"/>
        <v>146742</v>
      </c>
      <c r="I195" s="2088">
        <v>41639</v>
      </c>
      <c r="J195" s="230">
        <v>1644000</v>
      </c>
      <c r="K195" s="230">
        <f>AVERAGE(J191,J195)</f>
        <v>1643500</v>
      </c>
      <c r="L195" s="252">
        <f>K195*E195</f>
        <v>257427979000</v>
      </c>
      <c r="M195" s="252">
        <f>K195*F195</f>
        <v>224912975000</v>
      </c>
      <c r="N195" s="252">
        <f t="shared" si="33"/>
        <v>241170477000</v>
      </c>
      <c r="P195" s="252">
        <v>221890000000</v>
      </c>
      <c r="Q195" s="252">
        <f>AVERAGE(P191,P195)</f>
        <v>204768500000</v>
      </c>
      <c r="S195" s="348">
        <f>L195/Q195</f>
        <v>1.2571659166326852</v>
      </c>
      <c r="T195" s="348">
        <f>M195/Q195</f>
        <v>1.0983768255371309</v>
      </c>
      <c r="U195" s="1043">
        <f t="shared" si="34"/>
        <v>1.177771371084908</v>
      </c>
      <c r="V195" s="2088" t="str">
        <f>Table2456[[#This Row],[Column3]]</f>
        <v>2013-Q1</v>
      </c>
    </row>
    <row r="196" spans="1:22" x14ac:dyDescent="0.3">
      <c r="A196" s="211">
        <f t="shared" si="17"/>
        <v>2013</v>
      </c>
      <c r="B196" s="211" t="str">
        <f t="shared" si="18"/>
        <v>Q2</v>
      </c>
      <c r="C196" s="2088" t="str">
        <f t="shared" si="31"/>
        <v>2013-Q2</v>
      </c>
      <c r="E196" s="252">
        <v>173810</v>
      </c>
      <c r="F196" s="252">
        <v>154145</v>
      </c>
      <c r="G196" s="252">
        <f t="shared" si="32"/>
        <v>163977.5</v>
      </c>
      <c r="J196" s="230"/>
      <c r="K196" s="230"/>
      <c r="L196" s="252">
        <f>K195*E196</f>
        <v>285656735000</v>
      </c>
      <c r="M196" s="252">
        <f>K195*F196</f>
        <v>253337307500</v>
      </c>
      <c r="N196" s="252">
        <f t="shared" si="33"/>
        <v>269497021250</v>
      </c>
      <c r="P196" s="252"/>
      <c r="Q196" s="252"/>
      <c r="S196" s="348">
        <f>L196/Q195</f>
        <v>1.3950228428688982</v>
      </c>
      <c r="T196" s="348">
        <f>M196/Q195</f>
        <v>1.2371888620564198</v>
      </c>
      <c r="U196" s="1043">
        <f t="shared" si="34"/>
        <v>1.316105852462659</v>
      </c>
      <c r="V196" s="2088" t="str">
        <f>Table2456[[#This Row],[Column3]]</f>
        <v>2013-Q2</v>
      </c>
    </row>
    <row r="197" spans="1:22" x14ac:dyDescent="0.3">
      <c r="A197" s="211">
        <f t="shared" si="17"/>
        <v>2013</v>
      </c>
      <c r="B197" s="211" t="str">
        <f t="shared" si="18"/>
        <v>Q3</v>
      </c>
      <c r="C197" s="2088" t="str">
        <f t="shared" si="31"/>
        <v>2013-Q3</v>
      </c>
      <c r="E197" s="252">
        <v>178900</v>
      </c>
      <c r="F197" s="252">
        <v>166168</v>
      </c>
      <c r="G197" s="252">
        <f t="shared" si="32"/>
        <v>172534</v>
      </c>
      <c r="J197" s="230"/>
      <c r="K197" s="230"/>
      <c r="L197" s="252">
        <f>K195*E197</f>
        <v>294022150000</v>
      </c>
      <c r="M197" s="252">
        <f>K195*F197</f>
        <v>273097108000</v>
      </c>
      <c r="N197" s="252">
        <f t="shared" si="33"/>
        <v>283559629000</v>
      </c>
      <c r="P197" s="252"/>
      <c r="Q197" s="252"/>
      <c r="S197" s="348">
        <f>L197/Q195</f>
        <v>1.4358758793466768</v>
      </c>
      <c r="T197" s="348">
        <f>M197/Q195</f>
        <v>1.3336871051944024</v>
      </c>
      <c r="U197" s="1043">
        <f t="shared" si="34"/>
        <v>1.3847814922705397</v>
      </c>
      <c r="V197" s="2088" t="str">
        <f>Table2456[[#This Row],[Column3]]</f>
        <v>2013-Q3</v>
      </c>
    </row>
    <row r="198" spans="1:22" x14ac:dyDescent="0.3">
      <c r="A198" s="211">
        <f t="shared" si="17"/>
        <v>2013</v>
      </c>
      <c r="B198" s="211" t="str">
        <f t="shared" si="18"/>
        <v>Q4</v>
      </c>
      <c r="C198" s="2088" t="str">
        <f t="shared" ref="C198:C202" si="35">CONCATENATE(A198,"-",B198)</f>
        <v>2013-Q4</v>
      </c>
      <c r="E198" s="252">
        <v>177950</v>
      </c>
      <c r="F198" s="252">
        <v>166510</v>
      </c>
      <c r="G198" s="252">
        <f t="shared" ref="G198:G202" si="36">AVERAGE(E198:F198)</f>
        <v>172230</v>
      </c>
      <c r="J198" s="230"/>
      <c r="K198" s="230"/>
      <c r="L198" s="252">
        <f>K195*E198</f>
        <v>292460825000</v>
      </c>
      <c r="M198" s="252">
        <f>K195*F198</f>
        <v>273659185000</v>
      </c>
      <c r="N198" s="252">
        <f t="shared" ref="N198:N202" si="37">AVERAGE(L198:M198)</f>
        <v>283060005000</v>
      </c>
      <c r="P198" s="252"/>
      <c r="Q198" s="252"/>
      <c r="S198" s="348">
        <f>L198/Q195</f>
        <v>1.4282510493557359</v>
      </c>
      <c r="T198" s="348">
        <f>M198/Q195</f>
        <v>1.3364320439911412</v>
      </c>
      <c r="U198" s="1043">
        <f t="shared" ref="U198:U202" si="38">AVERAGE(S198:T198)</f>
        <v>1.3823415466734386</v>
      </c>
      <c r="V198" s="2088" t="str">
        <f>Table2456[[#This Row],[Column3]]</f>
        <v>2013-Q4</v>
      </c>
    </row>
    <row r="199" spans="1:22" x14ac:dyDescent="0.3">
      <c r="A199" s="211">
        <f t="shared" si="17"/>
        <v>2014</v>
      </c>
      <c r="B199" s="211" t="str">
        <f t="shared" si="18"/>
        <v>Q1</v>
      </c>
      <c r="C199" s="2088" t="str">
        <f t="shared" si="35"/>
        <v>2014-Q1</v>
      </c>
      <c r="D199" s="211">
        <v>2014</v>
      </c>
      <c r="E199" s="252">
        <v>188853</v>
      </c>
      <c r="F199" s="252">
        <v>163039</v>
      </c>
      <c r="G199" s="252">
        <f t="shared" si="36"/>
        <v>175946</v>
      </c>
      <c r="I199" s="2088">
        <v>42004</v>
      </c>
      <c r="J199" s="230">
        <v>1643000</v>
      </c>
      <c r="K199" s="230">
        <f>AVERAGE(J195,J199)</f>
        <v>1643500</v>
      </c>
      <c r="L199" s="252">
        <f>K199*E199</f>
        <v>310379905500</v>
      </c>
      <c r="M199" s="252">
        <f>K199*F199</f>
        <v>267954596500</v>
      </c>
      <c r="N199" s="252">
        <f t="shared" si="37"/>
        <v>289167251000</v>
      </c>
      <c r="P199" s="252">
        <v>240170000000</v>
      </c>
      <c r="Q199" s="252">
        <f>AVERAGE(P195,P199)</f>
        <v>231030000000</v>
      </c>
      <c r="S199" s="348">
        <f>L199/Q199</f>
        <v>1.3434614790286976</v>
      </c>
      <c r="T199" s="348">
        <f>M199/Q199</f>
        <v>1.1598259814742675</v>
      </c>
      <c r="U199" s="1043">
        <f t="shared" si="38"/>
        <v>1.2516437302514825</v>
      </c>
      <c r="V199" s="2088" t="str">
        <f>Table2456[[#This Row],[Column3]]</f>
        <v>2014-Q1</v>
      </c>
    </row>
    <row r="200" spans="1:22" x14ac:dyDescent="0.3">
      <c r="A200" s="211">
        <f t="shared" si="17"/>
        <v>2014</v>
      </c>
      <c r="B200" s="211" t="str">
        <f t="shared" si="18"/>
        <v>Q2</v>
      </c>
      <c r="C200" s="2088" t="str">
        <f t="shared" si="35"/>
        <v>2014-Q2</v>
      </c>
      <c r="E200" s="252">
        <v>194670</v>
      </c>
      <c r="F200" s="252">
        <v>181785</v>
      </c>
      <c r="G200" s="252">
        <f t="shared" si="36"/>
        <v>188227.5</v>
      </c>
      <c r="J200" s="230"/>
      <c r="K200" s="230"/>
      <c r="L200" s="252">
        <f>K199*E200</f>
        <v>319940145000</v>
      </c>
      <c r="M200" s="252">
        <f>K199*F200</f>
        <v>298763647500</v>
      </c>
      <c r="N200" s="252">
        <f t="shared" si="37"/>
        <v>309351896250</v>
      </c>
      <c r="P200" s="252"/>
      <c r="Q200" s="252"/>
      <c r="S200" s="348">
        <f>L200/Q199</f>
        <v>1.3848424230619401</v>
      </c>
      <c r="T200" s="348">
        <f>M200/Q199</f>
        <v>1.2931811777691209</v>
      </c>
      <c r="U200" s="1043">
        <f t="shared" si="38"/>
        <v>1.3390118004155305</v>
      </c>
      <c r="V200" s="2088" t="str">
        <f>Table2456[[#This Row],[Column3]]</f>
        <v>2014-Q2</v>
      </c>
    </row>
    <row r="201" spans="1:22" x14ac:dyDescent="0.3">
      <c r="A201" s="211">
        <f t="shared" si="17"/>
        <v>2014</v>
      </c>
      <c r="B201" s="211" t="str">
        <f t="shared" si="18"/>
        <v>Q3</v>
      </c>
      <c r="C201" s="2088" t="str">
        <f t="shared" si="35"/>
        <v>2014-Q3</v>
      </c>
      <c r="E201" s="252">
        <v>213612</v>
      </c>
      <c r="F201" s="252">
        <v>185005</v>
      </c>
      <c r="G201" s="252">
        <f t="shared" si="36"/>
        <v>199308.5</v>
      </c>
      <c r="J201" s="230"/>
      <c r="L201" s="252">
        <f>K199*E201</f>
        <v>351071322000</v>
      </c>
      <c r="M201" s="252">
        <f>K199*F201</f>
        <v>304055717500</v>
      </c>
      <c r="N201" s="252">
        <f t="shared" si="37"/>
        <v>327563519750</v>
      </c>
      <c r="P201" s="252"/>
      <c r="Q201" s="252"/>
      <c r="S201" s="348">
        <f>L201/Q199</f>
        <v>1.5195919231268666</v>
      </c>
      <c r="T201" s="348">
        <f>M201/Q199</f>
        <v>1.3160875968488941</v>
      </c>
      <c r="U201" s="1043">
        <f t="shared" si="38"/>
        <v>1.4178397599878805</v>
      </c>
      <c r="V201" s="2088" t="str">
        <f>Table2456[[#This Row],[Column3]]</f>
        <v>2014-Q3</v>
      </c>
    </row>
    <row r="202" spans="1:22" x14ac:dyDescent="0.3">
      <c r="A202" s="211">
        <f t="shared" si="17"/>
        <v>2014</v>
      </c>
      <c r="B202" s="211" t="str">
        <f t="shared" si="18"/>
        <v>Q4</v>
      </c>
      <c r="C202" s="2088" t="str">
        <f t="shared" si="35"/>
        <v>2014-Q4</v>
      </c>
      <c r="E202" s="252">
        <v>229374</v>
      </c>
      <c r="F202" s="252">
        <v>198000</v>
      </c>
      <c r="G202" s="252">
        <f t="shared" si="36"/>
        <v>213687</v>
      </c>
      <c r="J202" s="230"/>
      <c r="L202" s="252">
        <f>K199*E202</f>
        <v>376976169000</v>
      </c>
      <c r="M202" s="252">
        <f>K199*F202</f>
        <v>325413000000</v>
      </c>
      <c r="N202" s="252">
        <f t="shared" si="37"/>
        <v>351194584500</v>
      </c>
      <c r="P202" s="252"/>
      <c r="Q202" s="252"/>
      <c r="S202" s="348">
        <f>L202/Q199</f>
        <v>1.6317195559018309</v>
      </c>
      <c r="T202" s="348">
        <f>M202/Q199</f>
        <v>1.408531359563693</v>
      </c>
      <c r="U202" s="1043">
        <f t="shared" si="38"/>
        <v>1.5201254577327621</v>
      </c>
      <c r="V202" s="2088" t="str">
        <f>Table2456[[#This Row],[Column3]]</f>
        <v>2014-Q4</v>
      </c>
    </row>
    <row r="203" spans="1:22" x14ac:dyDescent="0.3">
      <c r="C203" s="2088" t="str">
        <f>CONCATENATE(A203,"-",B203)</f>
        <v>-</v>
      </c>
      <c r="D203" s="211">
        <v>2015</v>
      </c>
      <c r="E203" s="252"/>
      <c r="F203" s="252"/>
      <c r="G203" s="252"/>
      <c r="I203" s="2088">
        <v>42369</v>
      </c>
      <c r="J203" s="230"/>
      <c r="L203" s="252"/>
      <c r="M203" s="252"/>
      <c r="N203" s="252" t="e">
        <f>AVERAGE(L203:M203)</f>
        <v>#DIV/0!</v>
      </c>
      <c r="P203" s="252"/>
      <c r="Q203" s="252"/>
      <c r="S203" s="348"/>
      <c r="T203" s="348"/>
      <c r="U203" s="1043"/>
      <c r="V203" s="2088" t="str">
        <f>Table2456[[#This Row],[Column3]]</f>
        <v>-</v>
      </c>
    </row>
    <row r="207" spans="1:22" x14ac:dyDescent="0.3">
      <c r="J207" s="211">
        <f>J199/J159</f>
        <v>1.0675763482781027</v>
      </c>
      <c r="K207" s="211">
        <f>K199/K159</f>
        <v>1.0685955786736021</v>
      </c>
      <c r="P207" s="211">
        <f>P199/P159</f>
        <v>2.7959254947613505</v>
      </c>
      <c r="Q207" s="211">
        <f>Q199/Q159</f>
        <v>2.8261241865244409</v>
      </c>
      <c r="T207" s="211">
        <f>T202/T162</f>
        <v>0.92256887205469473</v>
      </c>
      <c r="U207" s="211">
        <f>U202/U162</f>
        <v>0.94694321390093672</v>
      </c>
    </row>
    <row r="208" spans="1:22" x14ac:dyDescent="0.3">
      <c r="J208" s="350">
        <f>J207^(1/10)-1</f>
        <v>6.5605250019598049E-3</v>
      </c>
      <c r="K208" s="350">
        <f>K207^(1/10)-1</f>
        <v>6.6565815129533412E-3</v>
      </c>
      <c r="P208" s="227">
        <f>P207^(1/10)-1</f>
        <v>0.10828781751596006</v>
      </c>
      <c r="Q208" s="227">
        <f>Q207^(1/10)-1</f>
        <v>0.10947909651436749</v>
      </c>
      <c r="T208" s="350">
        <f>T207^(1/10)-1</f>
        <v>-8.0269354924169534E-3</v>
      </c>
      <c r="U208" s="350">
        <f>U207^(1/10)-1</f>
        <v>-5.4367820925428356E-3</v>
      </c>
    </row>
    <row r="213" spans="16:17" x14ac:dyDescent="0.3">
      <c r="P213" s="211" t="s">
        <v>3274</v>
      </c>
      <c r="Q213" s="2228">
        <f>Q159/K159</f>
        <v>53152.145643693111</v>
      </c>
    </row>
    <row r="214" spans="16:17" x14ac:dyDescent="0.3">
      <c r="P214" s="211" t="s">
        <v>3275</v>
      </c>
      <c r="Q214" s="211">
        <f>Q199/K199</f>
        <v>140571.95010648007</v>
      </c>
    </row>
    <row r="215" spans="16:17" x14ac:dyDescent="0.3">
      <c r="Q215" s="211">
        <f>Q214/Q213</f>
        <v>2.6447088523727351</v>
      </c>
    </row>
    <row r="216" spans="16:17" x14ac:dyDescent="0.3">
      <c r="Q216" s="211">
        <f>Q215^(1/10)-1</f>
        <v>0.10214259449521235</v>
      </c>
    </row>
  </sheetData>
  <pageMargins left="0.7" right="0.7" top="0.75" bottom="0.75" header="0.3" footer="0.3"/>
  <pageSetup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4"/>
  </sheetPr>
  <dimension ref="A1:C26"/>
  <sheetViews>
    <sheetView showGridLines="0" zoomScale="70" zoomScaleNormal="70" workbookViewId="0">
      <selection activeCell="M27" sqref="M27"/>
    </sheetView>
  </sheetViews>
  <sheetFormatPr defaultColWidth="9.109375" defaultRowHeight="13.8" x14ac:dyDescent="0.25"/>
  <cols>
    <col min="1" max="1" width="25" style="1" customWidth="1"/>
    <col min="2" max="2" width="32.88671875" style="1" customWidth="1"/>
    <col min="3" max="3" width="35.6640625" style="1" customWidth="1"/>
    <col min="4" max="4" width="1.44140625" style="1" customWidth="1"/>
    <col min="5" max="16384" width="9.109375" style="1"/>
  </cols>
  <sheetData>
    <row r="1" spans="1:3" ht="15.6" x14ac:dyDescent="0.3">
      <c r="A1" s="152" t="s">
        <v>1416</v>
      </c>
      <c r="B1" s="211"/>
      <c r="C1" s="211"/>
    </row>
    <row r="2" spans="1:3" ht="15.6" x14ac:dyDescent="0.3">
      <c r="A2" s="152" t="s">
        <v>1415</v>
      </c>
      <c r="B2" s="211"/>
      <c r="C2" s="211"/>
    </row>
    <row r="3" spans="1:3" ht="8.25" customHeight="1" thickBot="1" x14ac:dyDescent="0.35">
      <c r="A3" s="211"/>
      <c r="B3" s="211"/>
      <c r="C3" s="211"/>
    </row>
    <row r="4" spans="1:3" ht="15.6" x14ac:dyDescent="0.3">
      <c r="A4" s="453"/>
      <c r="B4" s="743">
        <v>1964</v>
      </c>
      <c r="C4" s="744">
        <v>1974</v>
      </c>
    </row>
    <row r="5" spans="1:3" ht="31.2" x14ac:dyDescent="0.3">
      <c r="A5" s="454" t="s">
        <v>45</v>
      </c>
      <c r="B5" s="745" t="s">
        <v>1245</v>
      </c>
      <c r="C5" s="2560" t="s">
        <v>1417</v>
      </c>
    </row>
    <row r="6" spans="1:3" ht="4.5" customHeight="1" x14ac:dyDescent="0.3">
      <c r="A6" s="214"/>
      <c r="B6" s="220"/>
      <c r="C6" s="223"/>
    </row>
    <row r="7" spans="1:3" ht="31.2" x14ac:dyDescent="0.25">
      <c r="A7" s="454" t="s">
        <v>1241</v>
      </c>
      <c r="B7" s="2558" t="s">
        <v>51</v>
      </c>
      <c r="C7" s="2559" t="s">
        <v>218</v>
      </c>
    </row>
    <row r="8" spans="1:3" ht="15.6" x14ac:dyDescent="0.3">
      <c r="A8" s="214" t="s">
        <v>1242</v>
      </c>
      <c r="B8" s="220" t="s">
        <v>1247</v>
      </c>
      <c r="C8" s="223" t="s">
        <v>219</v>
      </c>
    </row>
    <row r="9" spans="1:3" ht="15.6" x14ac:dyDescent="0.3">
      <c r="A9" s="214" t="s">
        <v>1418</v>
      </c>
      <c r="B9" s="220" t="s">
        <v>48</v>
      </c>
      <c r="C9" s="223" t="s">
        <v>221</v>
      </c>
    </row>
    <row r="10" spans="1:3" ht="15.6" x14ac:dyDescent="0.3">
      <c r="A10" s="214" t="s">
        <v>1244</v>
      </c>
      <c r="B10" s="409">
        <v>19.46</v>
      </c>
      <c r="C10" s="407">
        <v>90.02</v>
      </c>
    </row>
    <row r="11" spans="1:3" ht="15.6" x14ac:dyDescent="0.3">
      <c r="A11" s="214"/>
      <c r="B11" s="220"/>
      <c r="C11" s="223"/>
    </row>
    <row r="12" spans="1:3" ht="15.6" x14ac:dyDescent="0.3">
      <c r="A12" s="221" t="s">
        <v>502</v>
      </c>
      <c r="B12" s="220"/>
      <c r="C12" s="223"/>
    </row>
    <row r="13" spans="1:3" ht="31.5" customHeight="1" x14ac:dyDescent="0.25">
      <c r="A13" s="2806" t="s">
        <v>3695</v>
      </c>
      <c r="B13" s="2807"/>
      <c r="C13" s="2808"/>
    </row>
    <row r="14" spans="1:3" ht="15.6" x14ac:dyDescent="0.25">
      <c r="A14" s="2806" t="s">
        <v>1478</v>
      </c>
      <c r="B14" s="2807"/>
      <c r="C14" s="2808"/>
    </row>
    <row r="15" spans="1:3" ht="31.5" customHeight="1" x14ac:dyDescent="0.25">
      <c r="A15" s="2806" t="s">
        <v>1420</v>
      </c>
      <c r="B15" s="2807"/>
      <c r="C15" s="2808"/>
    </row>
    <row r="16" spans="1:3" ht="31.5" customHeight="1" x14ac:dyDescent="0.25">
      <c r="A16" s="2806" t="s">
        <v>1421</v>
      </c>
      <c r="B16" s="2807"/>
      <c r="C16" s="2808"/>
    </row>
    <row r="17" spans="1:3" ht="15.6" x14ac:dyDescent="0.25">
      <c r="A17" s="2806" t="s">
        <v>3698</v>
      </c>
      <c r="B17" s="2807"/>
      <c r="C17" s="2808"/>
    </row>
    <row r="18" spans="1:3" ht="32.25" customHeight="1" x14ac:dyDescent="0.25">
      <c r="A18" s="2806" t="s">
        <v>1422</v>
      </c>
      <c r="B18" s="2807"/>
      <c r="C18" s="2808"/>
    </row>
    <row r="19" spans="1:3" ht="15.6" x14ac:dyDescent="0.25">
      <c r="A19" s="2806" t="s">
        <v>1419</v>
      </c>
      <c r="B19" s="2807"/>
      <c r="C19" s="2808"/>
    </row>
    <row r="20" spans="1:3" ht="31.5" customHeight="1" x14ac:dyDescent="0.25">
      <c r="A20" s="2806" t="s">
        <v>1479</v>
      </c>
      <c r="B20" s="2807"/>
      <c r="C20" s="2808"/>
    </row>
    <row r="21" spans="1:3" ht="15.6" x14ac:dyDescent="0.3">
      <c r="A21" s="214"/>
      <c r="B21" s="220"/>
      <c r="C21" s="223"/>
    </row>
    <row r="22" spans="1:3" ht="15.6" x14ac:dyDescent="0.3">
      <c r="A22" s="221" t="s">
        <v>49</v>
      </c>
      <c r="B22" s="220"/>
      <c r="C22" s="223"/>
    </row>
    <row r="23" spans="1:3" ht="15.6" x14ac:dyDescent="0.3">
      <c r="A23" s="214" t="s">
        <v>2902</v>
      </c>
      <c r="B23" s="205"/>
      <c r="C23" s="8"/>
    </row>
    <row r="24" spans="1:3" ht="31.8" customHeight="1" x14ac:dyDescent="0.25">
      <c r="A24" s="2806" t="s">
        <v>3696</v>
      </c>
      <c r="B24" s="2807"/>
      <c r="C24" s="2808"/>
    </row>
    <row r="25" spans="1:3" ht="15.6" x14ac:dyDescent="0.3">
      <c r="A25" s="214" t="s">
        <v>2903</v>
      </c>
      <c r="B25" s="220"/>
      <c r="C25" s="223"/>
    </row>
    <row r="26" spans="1:3" ht="16.2" thickBot="1" x14ac:dyDescent="0.35">
      <c r="A26" s="224" t="s">
        <v>3697</v>
      </c>
      <c r="B26" s="218"/>
      <c r="C26" s="219"/>
    </row>
  </sheetData>
  <mergeCells count="9">
    <mergeCell ref="A18:C18"/>
    <mergeCell ref="A19:C19"/>
    <mergeCell ref="A20:C20"/>
    <mergeCell ref="A24:C24"/>
    <mergeCell ref="A13:C13"/>
    <mergeCell ref="A14:C14"/>
    <mergeCell ref="A15:C15"/>
    <mergeCell ref="A16:C16"/>
    <mergeCell ref="A17:C17"/>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F1E1C-0B51-4376-8212-EDD67B5D9067}">
  <sheetPr codeName="Sheet70">
    <tabColor theme="4"/>
  </sheetPr>
  <dimension ref="A1:AI200"/>
  <sheetViews>
    <sheetView showGridLines="0" zoomScale="70" zoomScaleNormal="70" workbookViewId="0">
      <pane xSplit="1" ySplit="6" topLeftCell="B7" activePane="bottomRight" state="frozen"/>
      <selection pane="topRight" activeCell="B1" sqref="B1"/>
      <selection pane="bottomLeft" activeCell="A2" sqref="A2"/>
      <selection pane="bottomRight" activeCell="Y28" sqref="Y28"/>
    </sheetView>
  </sheetViews>
  <sheetFormatPr defaultColWidth="8.6640625" defaultRowHeight="15.6" outlineLevelRow="1" x14ac:dyDescent="0.3"/>
  <cols>
    <col min="1" max="1" width="43.6640625" style="211" customWidth="1"/>
    <col min="2" max="2" width="10.109375" style="356" bestFit="1" customWidth="1"/>
    <col min="3" max="3" width="1.88671875" style="356" customWidth="1"/>
    <col min="4" max="4" width="10.109375" style="356" bestFit="1" customWidth="1"/>
    <col min="5" max="5" width="1.88671875" style="356" customWidth="1"/>
    <col min="6" max="6" width="10.109375" style="356" bestFit="1" customWidth="1"/>
    <col min="7" max="7" width="1.88671875" style="356" customWidth="1"/>
    <col min="8" max="8" width="10.109375" style="356" bestFit="1" customWidth="1"/>
    <col min="9" max="9" width="1.88671875" style="356" customWidth="1"/>
    <col min="10" max="10" width="10.109375" style="356" bestFit="1" customWidth="1"/>
    <col min="11" max="11" width="1.88671875" style="356" customWidth="1"/>
    <col min="12" max="12" width="10.109375" style="356" bestFit="1" customWidth="1"/>
    <col min="13" max="13" width="1.88671875" style="356" customWidth="1"/>
    <col min="14" max="14" width="10.109375" style="356" bestFit="1" customWidth="1"/>
    <col min="15" max="15" width="1.88671875" style="356" customWidth="1"/>
    <col min="16" max="16" width="10.109375" style="356" bestFit="1" customWidth="1"/>
    <col min="17" max="17" width="1.88671875" style="356" customWidth="1"/>
    <col min="18" max="18" width="9.5546875" style="356" bestFit="1" customWidth="1"/>
    <col min="19" max="19" width="1.88671875" style="356" customWidth="1"/>
    <col min="20" max="20" width="9.5546875" style="356" bestFit="1" customWidth="1"/>
    <col min="21" max="21" width="8.6640625" style="211"/>
    <col min="22" max="22" width="21" style="211" bestFit="1" customWidth="1"/>
    <col min="23" max="23" width="8.88671875" style="211" bestFit="1" customWidth="1"/>
    <col min="24" max="16384" width="8.6640625" style="211"/>
  </cols>
  <sheetData>
    <row r="1" spans="1:35" s="345" customFormat="1" hidden="1" outlineLevel="1" x14ac:dyDescent="0.3">
      <c r="A1" s="345" t="s">
        <v>708</v>
      </c>
      <c r="B1" s="345">
        <v>2014</v>
      </c>
      <c r="C1" s="211"/>
      <c r="D1" s="345">
        <v>2014</v>
      </c>
      <c r="E1" s="211"/>
      <c r="F1" s="345">
        <v>2014</v>
      </c>
      <c r="G1" s="211"/>
      <c r="H1" s="345">
        <v>2014</v>
      </c>
      <c r="I1" s="211"/>
      <c r="J1" s="345">
        <v>2014</v>
      </c>
      <c r="K1" s="211"/>
      <c r="L1" s="345">
        <v>2009</v>
      </c>
      <c r="M1" s="211"/>
      <c r="N1" s="345">
        <v>2009</v>
      </c>
      <c r="O1" s="211"/>
      <c r="P1" s="345">
        <v>2009</v>
      </c>
      <c r="Q1" s="211"/>
      <c r="R1" s="345">
        <v>2009</v>
      </c>
      <c r="S1" s="211"/>
      <c r="T1" s="345">
        <v>2009</v>
      </c>
    </row>
    <row r="2" spans="1:35" collapsed="1" x14ac:dyDescent="0.3">
      <c r="B2" s="211"/>
      <c r="C2" s="211"/>
      <c r="D2" s="211"/>
      <c r="E2" s="211"/>
      <c r="F2" s="211"/>
      <c r="G2" s="211"/>
      <c r="H2" s="211"/>
      <c r="I2" s="211"/>
      <c r="J2" s="211"/>
      <c r="K2" s="211"/>
      <c r="L2" s="211"/>
      <c r="M2" s="211"/>
      <c r="N2" s="211"/>
      <c r="O2" s="211"/>
      <c r="P2" s="211"/>
      <c r="Q2" s="211"/>
      <c r="R2" s="211"/>
      <c r="S2" s="211"/>
      <c r="T2" s="211"/>
    </row>
    <row r="3" spans="1:35" x14ac:dyDescent="0.3">
      <c r="A3" s="1693" t="s">
        <v>1863</v>
      </c>
      <c r="B3" s="211"/>
      <c r="C3" s="211"/>
      <c r="D3" s="211"/>
      <c r="E3" s="211"/>
      <c r="F3" s="211"/>
      <c r="G3" s="211"/>
      <c r="H3" s="211"/>
      <c r="I3" s="211"/>
      <c r="J3" s="211"/>
      <c r="K3" s="211"/>
      <c r="L3" s="211"/>
      <c r="M3" s="211"/>
      <c r="N3" s="211"/>
      <c r="O3" s="211"/>
      <c r="P3" s="211"/>
      <c r="Q3" s="211"/>
      <c r="R3" s="211"/>
      <c r="S3" s="211"/>
      <c r="T3" s="211"/>
    </row>
    <row r="4" spans="1:35" x14ac:dyDescent="0.3">
      <c r="A4" s="152" t="s">
        <v>1791</v>
      </c>
      <c r="B4" s="211"/>
      <c r="C4" s="211"/>
      <c r="D4" s="211"/>
      <c r="E4" s="211"/>
      <c r="F4" s="211"/>
      <c r="G4" s="211"/>
      <c r="H4" s="211"/>
      <c r="I4" s="211"/>
      <c r="J4" s="211"/>
      <c r="K4" s="211"/>
      <c r="L4" s="211"/>
      <c r="M4" s="211"/>
      <c r="N4" s="211"/>
      <c r="O4" s="211"/>
      <c r="P4" s="211"/>
      <c r="Q4" s="211"/>
      <c r="R4" s="211"/>
      <c r="S4" s="211"/>
      <c r="T4" s="211"/>
    </row>
    <row r="5" spans="1:35" ht="9" customHeight="1" thickBot="1" x14ac:dyDescent="0.35">
      <c r="B5" s="211"/>
      <c r="C5" s="211"/>
      <c r="D5" s="211"/>
      <c r="E5" s="211"/>
      <c r="F5" s="211"/>
      <c r="G5" s="211"/>
      <c r="H5" s="211"/>
      <c r="I5" s="211"/>
      <c r="J5" s="211"/>
      <c r="K5" s="211"/>
      <c r="L5" s="211"/>
      <c r="M5" s="211"/>
      <c r="N5" s="211"/>
      <c r="O5" s="211"/>
      <c r="P5" s="211"/>
      <c r="Q5" s="211"/>
      <c r="R5" s="211"/>
      <c r="S5" s="211"/>
      <c r="T5" s="211"/>
    </row>
    <row r="6" spans="1:35" x14ac:dyDescent="0.3">
      <c r="A6" s="956" t="s">
        <v>1947</v>
      </c>
      <c r="B6" s="1677">
        <v>2014</v>
      </c>
      <c r="C6" s="1677"/>
      <c r="D6" s="1677">
        <v>2013</v>
      </c>
      <c r="E6" s="1677"/>
      <c r="F6" s="1677">
        <v>2012</v>
      </c>
      <c r="G6" s="1677"/>
      <c r="H6" s="1677">
        <v>2011</v>
      </c>
      <c r="I6" s="1677"/>
      <c r="J6" s="1677">
        <v>2010</v>
      </c>
      <c r="K6" s="1677"/>
      <c r="L6" s="1677">
        <v>2009</v>
      </c>
      <c r="M6" s="1677"/>
      <c r="N6" s="1677">
        <v>2008</v>
      </c>
      <c r="O6" s="1677"/>
      <c r="P6" s="1677">
        <v>2007</v>
      </c>
      <c r="Q6" s="1677"/>
      <c r="R6" s="1677">
        <v>2006</v>
      </c>
      <c r="S6" s="1677"/>
      <c r="T6" s="1678">
        <v>2005</v>
      </c>
    </row>
    <row r="7" spans="1:35" x14ac:dyDescent="0.3">
      <c r="A7" s="1437" t="s">
        <v>561</v>
      </c>
      <c r="B7" s="1647"/>
      <c r="C7" s="1647"/>
      <c r="D7" s="1647"/>
      <c r="E7" s="1647"/>
      <c r="F7" s="1647"/>
      <c r="G7" s="1647"/>
      <c r="H7" s="1647"/>
      <c r="I7" s="1647"/>
      <c r="J7" s="1647"/>
      <c r="K7" s="1647"/>
      <c r="L7" s="1647"/>
      <c r="M7" s="1647"/>
      <c r="N7" s="1647"/>
      <c r="O7" s="1647"/>
      <c r="P7" s="1647"/>
      <c r="Q7" s="1647"/>
      <c r="R7" s="1647"/>
      <c r="S7" s="1647"/>
      <c r="T7" s="1643"/>
    </row>
    <row r="8" spans="1:35" ht="18.600000000000001" x14ac:dyDescent="0.3">
      <c r="A8" s="1648" t="s">
        <v>2099</v>
      </c>
      <c r="B8" s="1438">
        <v>41253</v>
      </c>
      <c r="C8" s="1438"/>
      <c r="D8" s="1438">
        <v>36684</v>
      </c>
      <c r="E8" s="1438"/>
      <c r="F8" s="1438">
        <v>34545</v>
      </c>
      <c r="G8" s="1438"/>
      <c r="H8" s="1438">
        <v>32075</v>
      </c>
      <c r="I8" s="1438"/>
      <c r="J8" s="1438">
        <v>30749</v>
      </c>
      <c r="K8" s="1438"/>
      <c r="L8" s="1438">
        <v>27884</v>
      </c>
      <c r="M8" s="1438"/>
      <c r="N8" s="1438">
        <v>25525</v>
      </c>
      <c r="O8" s="1438"/>
      <c r="P8" s="1438">
        <v>31783</v>
      </c>
      <c r="Q8" s="1438"/>
      <c r="R8" s="1438">
        <v>23964</v>
      </c>
      <c r="S8" s="1438"/>
      <c r="T8" s="1439">
        <v>21997</v>
      </c>
      <c r="Z8" s="211" t="s">
        <v>176</v>
      </c>
    </row>
    <row r="9" spans="1:35" x14ac:dyDescent="0.3">
      <c r="A9" s="1648" t="s">
        <v>697</v>
      </c>
      <c r="B9" s="1440">
        <v>97097</v>
      </c>
      <c r="C9" s="1440"/>
      <c r="D9" s="1440">
        <v>92993</v>
      </c>
      <c r="E9" s="1440"/>
      <c r="F9" s="1440">
        <v>81447</v>
      </c>
      <c r="G9" s="1440"/>
      <c r="H9" s="1440">
        <v>71226</v>
      </c>
      <c r="I9" s="1440"/>
      <c r="J9" s="1440">
        <v>65942</v>
      </c>
      <c r="K9" s="1440"/>
      <c r="L9" s="1440">
        <v>62555</v>
      </c>
      <c r="M9" s="1440"/>
      <c r="N9" s="1440">
        <v>65854</v>
      </c>
      <c r="O9" s="1440"/>
      <c r="P9" s="1440">
        <v>58243</v>
      </c>
      <c r="Q9" s="1440"/>
      <c r="R9" s="1440">
        <v>51803</v>
      </c>
      <c r="S9" s="1440"/>
      <c r="T9" s="1441">
        <v>46138</v>
      </c>
    </row>
    <row r="10" spans="1:35" ht="18.600000000000001" x14ac:dyDescent="0.3">
      <c r="A10" s="1648" t="s">
        <v>2100</v>
      </c>
      <c r="B10" s="1440">
        <v>40690</v>
      </c>
      <c r="C10" s="1440"/>
      <c r="D10" s="1440">
        <v>34757</v>
      </c>
      <c r="E10" s="1440"/>
      <c r="F10" s="1440">
        <v>32582</v>
      </c>
      <c r="G10" s="1440"/>
      <c r="H10" s="1440">
        <v>30839</v>
      </c>
      <c r="I10" s="1440"/>
      <c r="J10" s="1440">
        <v>26364</v>
      </c>
      <c r="K10" s="1440"/>
      <c r="L10" s="1440">
        <v>11443</v>
      </c>
      <c r="M10" s="1440"/>
      <c r="N10" s="1440">
        <v>13971</v>
      </c>
      <c r="O10" s="1440"/>
      <c r="P10" s="1440">
        <v>12628</v>
      </c>
      <c r="Q10" s="1440"/>
      <c r="R10" s="1440">
        <v>10644</v>
      </c>
      <c r="S10" s="1440"/>
      <c r="T10" s="1441">
        <v>0</v>
      </c>
    </row>
    <row r="11" spans="1:35" ht="34.200000000000003" x14ac:dyDescent="0.3">
      <c r="A11" s="1648" t="s">
        <v>2107</v>
      </c>
      <c r="B11" s="1440">
        <v>5026</v>
      </c>
      <c r="C11" s="1440"/>
      <c r="D11" s="1440">
        <v>4934</v>
      </c>
      <c r="E11" s="1440"/>
      <c r="F11" s="1440">
        <v>4532</v>
      </c>
      <c r="G11" s="1440"/>
      <c r="H11" s="1440">
        <v>4788</v>
      </c>
      <c r="I11" s="1440"/>
      <c r="J11" s="1440">
        <v>5213</v>
      </c>
      <c r="K11" s="1440"/>
      <c r="L11" s="1440">
        <v>5245</v>
      </c>
      <c r="M11" s="1440"/>
      <c r="N11" s="1440">
        <v>4966</v>
      </c>
      <c r="O11" s="1440"/>
      <c r="P11" s="1440">
        <v>4979</v>
      </c>
      <c r="Q11" s="1440"/>
      <c r="R11" s="1440">
        <v>4382</v>
      </c>
      <c r="S11" s="1440"/>
      <c r="T11" s="1441">
        <v>3487</v>
      </c>
    </row>
    <row r="12" spans="1:35" ht="46.8" x14ac:dyDescent="0.3">
      <c r="A12" s="1648" t="s">
        <v>1073</v>
      </c>
      <c r="B12" s="1442">
        <v>6526</v>
      </c>
      <c r="C12" s="1442"/>
      <c r="D12" s="1442">
        <v>6109</v>
      </c>
      <c r="E12" s="1442"/>
      <c r="F12" s="1442">
        <v>5932</v>
      </c>
      <c r="G12" s="1442"/>
      <c r="H12" s="1442">
        <v>5590</v>
      </c>
      <c r="I12" s="1442"/>
      <c r="J12" s="1442">
        <v>5571</v>
      </c>
      <c r="K12" s="1442"/>
      <c r="L12" s="1442">
        <v>4579</v>
      </c>
      <c r="M12" s="1442"/>
      <c r="N12" s="1442">
        <v>4931</v>
      </c>
      <c r="O12" s="1442"/>
      <c r="P12" s="1442">
        <v>5103</v>
      </c>
      <c r="Q12" s="1442"/>
      <c r="R12" s="1442">
        <v>5111</v>
      </c>
      <c r="S12" s="1442"/>
      <c r="T12" s="1679">
        <v>4633</v>
      </c>
      <c r="V12" s="211" t="s">
        <v>176</v>
      </c>
      <c r="AA12" s="211" t="s">
        <v>176</v>
      </c>
    </row>
    <row r="13" spans="1:35" x14ac:dyDescent="0.3">
      <c r="A13" s="1648" t="s">
        <v>1070</v>
      </c>
      <c r="B13" s="1680">
        <v>4081</v>
      </c>
      <c r="C13" s="1440"/>
      <c r="D13" s="1680">
        <v>6673</v>
      </c>
      <c r="E13" s="1440"/>
      <c r="F13" s="1680">
        <v>3425</v>
      </c>
      <c r="G13" s="1440"/>
      <c r="H13" s="1680">
        <v>-830</v>
      </c>
      <c r="I13" s="1440"/>
      <c r="J13" s="1680">
        <v>2346</v>
      </c>
      <c r="K13" s="1440"/>
      <c r="L13" s="1680">
        <v>787</v>
      </c>
      <c r="M13" s="1440"/>
      <c r="N13" s="1680">
        <v>-7461</v>
      </c>
      <c r="O13" s="1440"/>
      <c r="P13" s="1440">
        <v>5509</v>
      </c>
      <c r="Q13" s="1440"/>
      <c r="R13" s="1440">
        <v>2635</v>
      </c>
      <c r="S13" s="1440"/>
      <c r="T13" s="1441">
        <v>5408</v>
      </c>
    </row>
    <row r="14" spans="1:35" ht="16.2" thickBot="1" x14ac:dyDescent="0.35">
      <c r="A14" s="1648" t="s">
        <v>702</v>
      </c>
      <c r="B14" s="1687">
        <f>SUM(B8:B13)</f>
        <v>194673</v>
      </c>
      <c r="C14" s="1688"/>
      <c r="D14" s="1687">
        <f>SUM(D8:D13)</f>
        <v>182150</v>
      </c>
      <c r="E14" s="1688"/>
      <c r="F14" s="1687">
        <f>SUM(F8:F13)</f>
        <v>162463</v>
      </c>
      <c r="G14" s="1688"/>
      <c r="H14" s="1687">
        <f>SUM(H8:H13)</f>
        <v>143688</v>
      </c>
      <c r="I14" s="1688"/>
      <c r="J14" s="1687">
        <f>SUM(J8:J13)</f>
        <v>136185</v>
      </c>
      <c r="K14" s="1688"/>
      <c r="L14" s="1687">
        <f>SUM(L8:L13)</f>
        <v>112493</v>
      </c>
      <c r="M14" s="1688"/>
      <c r="N14" s="1687">
        <f>SUM(N8:N13)</f>
        <v>107786</v>
      </c>
      <c r="O14" s="1688"/>
      <c r="P14" s="1687">
        <f>SUM(P8:P13)</f>
        <v>118245</v>
      </c>
      <c r="Q14" s="1688"/>
      <c r="R14" s="1687">
        <f>SUM(R8:R13)</f>
        <v>98539</v>
      </c>
      <c r="S14" s="1688"/>
      <c r="T14" s="1689">
        <f>SUM(T8:T13)</f>
        <v>81663</v>
      </c>
    </row>
    <row r="15" spans="1:35" ht="4.5" customHeight="1" thickTop="1" x14ac:dyDescent="0.3">
      <c r="A15" s="1648"/>
      <c r="B15" s="1448"/>
      <c r="C15" s="1448"/>
      <c r="D15" s="1448"/>
      <c r="E15" s="1448"/>
      <c r="F15" s="1448"/>
      <c r="G15" s="1448"/>
      <c r="H15" s="1448"/>
      <c r="I15" s="1448"/>
      <c r="J15" s="1448"/>
      <c r="K15" s="1448"/>
      <c r="L15" s="1448"/>
      <c r="M15" s="1448"/>
      <c r="N15" s="1448"/>
      <c r="O15" s="1448"/>
      <c r="P15" s="1448"/>
      <c r="Q15" s="1448"/>
      <c r="R15" s="1448"/>
      <c r="S15" s="1448"/>
      <c r="T15" s="967"/>
      <c r="AI15" s="211" t="s">
        <v>176</v>
      </c>
    </row>
    <row r="16" spans="1:35" ht="4.5" customHeight="1" x14ac:dyDescent="0.3">
      <c r="A16" s="1756"/>
      <c r="B16" s="1757"/>
      <c r="C16" s="1757"/>
      <c r="D16" s="1757"/>
      <c r="E16" s="1757"/>
      <c r="F16" s="1757"/>
      <c r="G16" s="1757"/>
      <c r="H16" s="1757"/>
      <c r="I16" s="1757"/>
      <c r="J16" s="1757"/>
      <c r="K16" s="1757"/>
      <c r="L16" s="1757"/>
      <c r="M16" s="1757"/>
      <c r="N16" s="1757"/>
      <c r="O16" s="1757"/>
      <c r="P16" s="1757"/>
      <c r="Q16" s="1757"/>
      <c r="R16" s="1757"/>
      <c r="S16" s="1757"/>
      <c r="T16" s="1758"/>
    </row>
    <row r="17" spans="1:35" ht="4.5" customHeight="1" x14ac:dyDescent="0.3">
      <c r="A17" s="1755"/>
      <c r="B17" s="1448"/>
      <c r="C17" s="1448"/>
      <c r="D17" s="1448"/>
      <c r="E17" s="1448"/>
      <c r="F17" s="1448"/>
      <c r="G17" s="1448"/>
      <c r="H17" s="1448"/>
      <c r="I17" s="1448"/>
      <c r="J17" s="1448"/>
      <c r="K17" s="1448"/>
      <c r="L17" s="1448"/>
      <c r="M17" s="1448"/>
      <c r="N17" s="1448"/>
      <c r="O17" s="1448"/>
      <c r="P17" s="1448"/>
      <c r="Q17" s="1448"/>
      <c r="R17" s="1448"/>
      <c r="S17" s="1448"/>
      <c r="T17" s="967"/>
    </row>
    <row r="18" spans="1:35" x14ac:dyDescent="0.3">
      <c r="A18" s="1437" t="s">
        <v>694</v>
      </c>
      <c r="B18" s="1647"/>
      <c r="C18" s="1647"/>
      <c r="D18" s="1647"/>
      <c r="E18" s="1647"/>
      <c r="F18" s="1647"/>
      <c r="G18" s="1647"/>
      <c r="H18" s="1647"/>
      <c r="I18" s="1647"/>
      <c r="J18" s="1647"/>
      <c r="K18" s="1647"/>
      <c r="L18" s="1647"/>
      <c r="M18" s="1647"/>
      <c r="N18" s="1647"/>
      <c r="O18" s="1647"/>
      <c r="P18" s="1647"/>
      <c r="Q18" s="1647"/>
      <c r="R18" s="1647"/>
      <c r="S18" s="1647"/>
      <c r="T18" s="1643"/>
    </row>
    <row r="19" spans="1:35" ht="34.799999999999997" thickBot="1" x14ac:dyDescent="0.35">
      <c r="A19" s="1648" t="s">
        <v>2105</v>
      </c>
      <c r="B19" s="1690">
        <v>19872</v>
      </c>
      <c r="C19" s="1688"/>
      <c r="D19" s="1690">
        <v>19476</v>
      </c>
      <c r="E19" s="1688"/>
      <c r="F19" s="1690">
        <v>14824</v>
      </c>
      <c r="G19" s="1688"/>
      <c r="H19" s="1690">
        <v>10254</v>
      </c>
      <c r="I19" s="1688"/>
      <c r="J19" s="1690">
        <v>12967</v>
      </c>
      <c r="K19" s="1688"/>
      <c r="L19" s="1690">
        <v>8055</v>
      </c>
      <c r="M19" s="1688"/>
      <c r="N19" s="1690">
        <v>4994</v>
      </c>
      <c r="O19" s="1688"/>
      <c r="P19" s="1690">
        <v>13213</v>
      </c>
      <c r="Q19" s="1688"/>
      <c r="R19" s="1690">
        <v>11015</v>
      </c>
      <c r="S19" s="1688"/>
      <c r="T19" s="1691">
        <v>8528</v>
      </c>
      <c r="W19" s="211" t="s">
        <v>176</v>
      </c>
    </row>
    <row r="20" spans="1:35" ht="14.4" customHeight="1" thickTop="1" x14ac:dyDescent="0.3">
      <c r="A20" s="1648"/>
      <c r="B20" s="1487"/>
      <c r="C20" s="1692"/>
      <c r="D20" s="1487"/>
      <c r="E20" s="1692"/>
      <c r="F20" s="1487"/>
      <c r="G20" s="1692"/>
      <c r="H20" s="1487"/>
      <c r="I20" s="1692"/>
      <c r="J20" s="1487"/>
      <c r="K20" s="1692"/>
      <c r="L20" s="1487"/>
      <c r="M20" s="1692"/>
      <c r="N20" s="1487"/>
      <c r="O20" s="1692"/>
      <c r="P20" s="1487"/>
      <c r="Q20" s="1692"/>
      <c r="R20" s="1487"/>
      <c r="S20" s="1692"/>
      <c r="T20" s="1474"/>
    </row>
    <row r="21" spans="1:35" ht="16.2" thickBot="1" x14ac:dyDescent="0.35">
      <c r="A21" s="1648" t="s">
        <v>1071</v>
      </c>
      <c r="B21" s="1690">
        <v>12092</v>
      </c>
      <c r="C21" s="1688"/>
      <c r="D21" s="1690">
        <v>11850</v>
      </c>
      <c r="E21" s="1688"/>
      <c r="F21" s="1690">
        <v>8977</v>
      </c>
      <c r="G21" s="1688"/>
      <c r="H21" s="1690">
        <v>6215</v>
      </c>
      <c r="I21" s="1688"/>
      <c r="J21" s="1690">
        <v>7928</v>
      </c>
      <c r="K21" s="1688"/>
      <c r="L21" s="1690">
        <v>5193</v>
      </c>
      <c r="M21" s="1688"/>
      <c r="N21" s="1690">
        <v>3224</v>
      </c>
      <c r="O21" s="1688"/>
      <c r="P21" s="1690">
        <v>8548</v>
      </c>
      <c r="Q21" s="1688"/>
      <c r="R21" s="1690">
        <v>7144</v>
      </c>
      <c r="S21" s="1688"/>
      <c r="T21" s="1691">
        <v>5538</v>
      </c>
    </row>
    <row r="22" spans="1:35" ht="4.5" customHeight="1" thickTop="1" x14ac:dyDescent="0.3">
      <c r="A22" s="1755"/>
      <c r="B22" s="1448"/>
      <c r="C22" s="1448"/>
      <c r="D22" s="1448"/>
      <c r="E22" s="1448"/>
      <c r="F22" s="1448"/>
      <c r="G22" s="1448"/>
      <c r="H22" s="1448"/>
      <c r="I22" s="1448"/>
      <c r="J22" s="1448"/>
      <c r="K22" s="1448"/>
      <c r="L22" s="1448"/>
      <c r="M22" s="1448"/>
      <c r="N22" s="1448"/>
      <c r="O22" s="1448"/>
      <c r="P22" s="1448"/>
      <c r="Q22" s="1448"/>
      <c r="R22" s="1448"/>
      <c r="S22" s="1448"/>
      <c r="T22" s="967"/>
      <c r="AI22" s="211" t="s">
        <v>176</v>
      </c>
    </row>
    <row r="23" spans="1:35" ht="4.5" customHeight="1" x14ac:dyDescent="0.3">
      <c r="A23" s="1756"/>
      <c r="B23" s="1757"/>
      <c r="C23" s="1757"/>
      <c r="D23" s="1757"/>
      <c r="E23" s="1757"/>
      <c r="F23" s="1757"/>
      <c r="G23" s="1757"/>
      <c r="H23" s="1757"/>
      <c r="I23" s="1757"/>
      <c r="J23" s="1757"/>
      <c r="K23" s="1757"/>
      <c r="L23" s="1757"/>
      <c r="M23" s="1757"/>
      <c r="N23" s="1757"/>
      <c r="O23" s="1757"/>
      <c r="P23" s="1757"/>
      <c r="Q23" s="1757"/>
      <c r="R23" s="1757"/>
      <c r="S23" s="1757"/>
      <c r="T23" s="1758"/>
    </row>
    <row r="24" spans="1:35" ht="4.5" customHeight="1" x14ac:dyDescent="0.3">
      <c r="A24" s="1755"/>
      <c r="B24" s="1448"/>
      <c r="C24" s="1448"/>
      <c r="D24" s="1448"/>
      <c r="E24" s="1448"/>
      <c r="F24" s="1448"/>
      <c r="G24" s="1448"/>
      <c r="H24" s="1448"/>
      <c r="I24" s="1448"/>
      <c r="J24" s="1448"/>
      <c r="K24" s="1448"/>
      <c r="L24" s="1448"/>
      <c r="M24" s="1448"/>
      <c r="N24" s="1448"/>
      <c r="O24" s="1448"/>
      <c r="P24" s="1448"/>
      <c r="Q24" s="1448"/>
      <c r="R24" s="1448"/>
      <c r="S24" s="1448"/>
      <c r="T24" s="967"/>
    </row>
    <row r="25" spans="1:35" x14ac:dyDescent="0.3">
      <c r="A25" s="1437" t="s">
        <v>695</v>
      </c>
      <c r="B25" s="1647"/>
      <c r="C25" s="1647"/>
      <c r="D25" s="1647"/>
      <c r="E25" s="1647"/>
      <c r="F25" s="1647"/>
      <c r="G25" s="1647"/>
      <c r="H25" s="1647"/>
      <c r="I25" s="1647"/>
      <c r="J25" s="1647"/>
      <c r="K25" s="1647"/>
      <c r="L25" s="1647"/>
      <c r="M25" s="1647"/>
      <c r="N25" s="1647"/>
      <c r="O25" s="1647"/>
      <c r="P25" s="1647"/>
      <c r="Q25" s="1647"/>
      <c r="R25" s="1647"/>
      <c r="S25" s="1647"/>
      <c r="T25" s="1643"/>
    </row>
    <row r="26" spans="1:35" x14ac:dyDescent="0.3">
      <c r="A26" s="1648" t="s">
        <v>705</v>
      </c>
      <c r="B26" s="1438">
        <v>526186</v>
      </c>
      <c r="C26" s="1438"/>
      <c r="D26" s="1438">
        <v>484931</v>
      </c>
      <c r="E26" s="1438"/>
      <c r="F26" s="1438">
        <v>427452</v>
      </c>
      <c r="G26" s="1438"/>
      <c r="H26" s="1438">
        <v>392647</v>
      </c>
      <c r="I26" s="1438"/>
      <c r="J26" s="1438">
        <v>372229</v>
      </c>
      <c r="K26" s="1438"/>
      <c r="L26" s="1438">
        <v>297119</v>
      </c>
      <c r="M26" s="1438"/>
      <c r="N26" s="1438">
        <v>267399</v>
      </c>
      <c r="O26" s="1438"/>
      <c r="P26" s="1438">
        <v>273160</v>
      </c>
      <c r="Q26" s="1438"/>
      <c r="R26" s="1438">
        <v>248437</v>
      </c>
      <c r="S26" s="1438"/>
      <c r="T26" s="1439">
        <v>198325</v>
      </c>
    </row>
    <row r="27" spans="1:35" x14ac:dyDescent="0.3">
      <c r="A27" s="1648" t="s">
        <v>1066</v>
      </c>
      <c r="B27" s="1440"/>
      <c r="C27" s="1438"/>
      <c r="D27" s="1440"/>
      <c r="E27" s="1438"/>
      <c r="F27" s="1440"/>
      <c r="G27" s="1438"/>
      <c r="H27" s="1440"/>
      <c r="I27" s="1438"/>
      <c r="J27" s="1440"/>
      <c r="K27" s="1438"/>
      <c r="L27" s="1440"/>
      <c r="M27" s="1438"/>
      <c r="N27" s="1440"/>
      <c r="O27" s="1438"/>
      <c r="P27" s="1440"/>
      <c r="Q27" s="1438"/>
      <c r="R27" s="1440"/>
      <c r="S27" s="1438"/>
      <c r="T27" s="1441"/>
    </row>
    <row r="28" spans="1:35" ht="20.25" customHeight="1" x14ac:dyDescent="0.3">
      <c r="A28" s="1648" t="s">
        <v>2104</v>
      </c>
      <c r="B28" s="1442">
        <v>11894</v>
      </c>
      <c r="C28" s="1442"/>
      <c r="D28" s="1442">
        <v>12440</v>
      </c>
      <c r="E28" s="1442"/>
      <c r="F28" s="1442">
        <v>12988</v>
      </c>
      <c r="G28" s="1442"/>
      <c r="H28" s="1442">
        <v>13179</v>
      </c>
      <c r="I28" s="1442"/>
      <c r="J28" s="1442">
        <v>11803</v>
      </c>
      <c r="K28" s="1442"/>
      <c r="L28" s="1442">
        <v>3719</v>
      </c>
      <c r="M28" s="1442"/>
      <c r="N28" s="1442">
        <v>4349</v>
      </c>
      <c r="O28" s="1442"/>
      <c r="P28" s="1442">
        <v>2680</v>
      </c>
      <c r="Q28" s="1442"/>
      <c r="R28" s="1442">
        <v>3698</v>
      </c>
      <c r="S28" s="1442"/>
      <c r="T28" s="1679">
        <v>3583</v>
      </c>
    </row>
    <row r="29" spans="1:35" ht="18.600000000000001" x14ac:dyDescent="0.3">
      <c r="A29" s="1648" t="s">
        <v>2101</v>
      </c>
      <c r="B29" s="1442">
        <v>55579</v>
      </c>
      <c r="C29" s="1442"/>
      <c r="D29" s="1442">
        <v>46655</v>
      </c>
      <c r="E29" s="1442"/>
      <c r="F29" s="1442">
        <v>36156</v>
      </c>
      <c r="G29" s="1442"/>
      <c r="H29" s="1442">
        <v>32580</v>
      </c>
      <c r="I29" s="1442"/>
      <c r="J29" s="1442">
        <v>31626</v>
      </c>
      <c r="K29" s="1442"/>
      <c r="L29" s="1442">
        <v>19579</v>
      </c>
      <c r="M29" s="1442"/>
      <c r="N29" s="1442">
        <v>19145</v>
      </c>
      <c r="O29" s="1442"/>
      <c r="P29" s="1442">
        <v>19002</v>
      </c>
      <c r="Q29" s="1442"/>
      <c r="R29" s="1442">
        <v>16946</v>
      </c>
      <c r="S29" s="1442"/>
      <c r="T29" s="1681" t="s">
        <v>1009</v>
      </c>
    </row>
    <row r="30" spans="1:35" x14ac:dyDescent="0.3">
      <c r="A30" s="1648" t="s">
        <v>1067</v>
      </c>
      <c r="B30" s="1442">
        <v>12736</v>
      </c>
      <c r="C30" s="1442"/>
      <c r="D30" s="1442">
        <v>13129</v>
      </c>
      <c r="E30" s="1442"/>
      <c r="F30" s="1442">
        <v>13592</v>
      </c>
      <c r="G30" s="1442"/>
      <c r="H30" s="1442">
        <v>14625</v>
      </c>
      <c r="I30" s="1442"/>
      <c r="J30" s="1442">
        <v>15145</v>
      </c>
      <c r="K30" s="1442"/>
      <c r="L30" s="1442">
        <v>14611</v>
      </c>
      <c r="M30" s="1442"/>
      <c r="N30" s="1442">
        <v>13388</v>
      </c>
      <c r="O30" s="1442"/>
      <c r="P30" s="1442">
        <v>12144</v>
      </c>
      <c r="Q30" s="1442"/>
      <c r="R30" s="1442">
        <v>11961</v>
      </c>
      <c r="S30" s="1442"/>
      <c r="T30" s="1679">
        <v>10868</v>
      </c>
    </row>
    <row r="31" spans="1:35" x14ac:dyDescent="0.3">
      <c r="A31" s="1648" t="s">
        <v>706</v>
      </c>
      <c r="B31" s="1440">
        <v>240170</v>
      </c>
      <c r="C31" s="1440"/>
      <c r="D31" s="1440">
        <v>221890</v>
      </c>
      <c r="E31" s="1440"/>
      <c r="F31" s="1440">
        <v>187647</v>
      </c>
      <c r="G31" s="1440"/>
      <c r="H31" s="1440">
        <v>164850</v>
      </c>
      <c r="I31" s="1440"/>
      <c r="J31" s="1440">
        <v>157318</v>
      </c>
      <c r="K31" s="1440"/>
      <c r="L31" s="1440">
        <v>131102</v>
      </c>
      <c r="M31" s="1440"/>
      <c r="N31" s="1440">
        <v>109267</v>
      </c>
      <c r="O31" s="1440"/>
      <c r="P31" s="1440">
        <v>120733</v>
      </c>
      <c r="Q31" s="1440"/>
      <c r="R31" s="1440">
        <v>108419</v>
      </c>
      <c r="S31" s="1440"/>
      <c r="T31" s="1441">
        <v>91484</v>
      </c>
      <c r="V31" s="211">
        <v>85900</v>
      </c>
      <c r="W31" s="350">
        <f>(B31/V31)^(1/10)-1</f>
        <v>0.10828781751596006</v>
      </c>
    </row>
    <row r="32" spans="1:35" ht="31.2" x14ac:dyDescent="0.3">
      <c r="A32" s="1648" t="s">
        <v>1072</v>
      </c>
      <c r="B32" s="1440">
        <v>1643</v>
      </c>
      <c r="C32" s="1440"/>
      <c r="D32" s="1440">
        <v>1644</v>
      </c>
      <c r="E32" s="1440"/>
      <c r="F32" s="1440">
        <v>1643</v>
      </c>
      <c r="G32" s="1440"/>
      <c r="H32" s="1440">
        <v>1651</v>
      </c>
      <c r="I32" s="1440"/>
      <c r="J32" s="1440">
        <v>1648</v>
      </c>
      <c r="K32" s="1440"/>
      <c r="L32" s="1440">
        <v>1552</v>
      </c>
      <c r="M32" s="1440"/>
      <c r="N32" s="1440">
        <v>1549</v>
      </c>
      <c r="O32" s="1440"/>
      <c r="P32" s="1440">
        <v>1548</v>
      </c>
      <c r="Q32" s="1440"/>
      <c r="R32" s="1440">
        <v>1543</v>
      </c>
      <c r="S32" s="1440"/>
      <c r="T32" s="1441">
        <v>1541</v>
      </c>
      <c r="V32" s="211">
        <v>1539</v>
      </c>
      <c r="W32" s="350">
        <f>(B32/V32)^(1/10)-1</f>
        <v>6.5605250019598049E-3</v>
      </c>
    </row>
    <row r="33" spans="1:22" ht="16.2" thickBot="1" x14ac:dyDescent="0.35">
      <c r="A33" s="1648" t="s">
        <v>709</v>
      </c>
      <c r="B33" s="1687">
        <v>146186</v>
      </c>
      <c r="C33" s="1688"/>
      <c r="D33" s="1687">
        <v>134973</v>
      </c>
      <c r="E33" s="1688"/>
      <c r="F33" s="1687">
        <v>114214</v>
      </c>
      <c r="G33" s="1688"/>
      <c r="H33" s="1687">
        <v>99860</v>
      </c>
      <c r="I33" s="1688"/>
      <c r="J33" s="1687">
        <v>95453</v>
      </c>
      <c r="K33" s="1688"/>
      <c r="L33" s="1687">
        <v>84487</v>
      </c>
      <c r="M33" s="1688"/>
      <c r="N33" s="1687">
        <v>70530</v>
      </c>
      <c r="O33" s="1688"/>
      <c r="P33" s="1687">
        <v>78008</v>
      </c>
      <c r="Q33" s="1688"/>
      <c r="R33" s="1687">
        <v>70281</v>
      </c>
      <c r="S33" s="1688"/>
      <c r="T33" s="1689">
        <v>59377</v>
      </c>
      <c r="V33" s="211">
        <v>55824</v>
      </c>
    </row>
    <row r="34" spans="1:22" ht="16.2" thickTop="1" x14ac:dyDescent="0.3">
      <c r="A34" s="214"/>
      <c r="B34" s="211"/>
      <c r="C34" s="211"/>
      <c r="D34" s="211"/>
      <c r="E34" s="211"/>
      <c r="F34" s="211"/>
      <c r="G34" s="211"/>
      <c r="H34" s="211"/>
      <c r="I34" s="211"/>
      <c r="J34" s="211"/>
      <c r="K34" s="211"/>
      <c r="L34" s="211"/>
      <c r="M34" s="211"/>
      <c r="N34" s="211"/>
      <c r="O34" s="211"/>
      <c r="P34" s="211"/>
      <c r="Q34" s="211"/>
      <c r="R34" s="211"/>
      <c r="S34" s="211"/>
      <c r="T34" s="223"/>
    </row>
    <row r="35" spans="1:22" s="198" customFormat="1" ht="30.6" customHeight="1" x14ac:dyDescent="0.25">
      <c r="A35" s="2824" t="s">
        <v>1068</v>
      </c>
      <c r="B35" s="2946"/>
      <c r="C35" s="2946"/>
      <c r="D35" s="2946"/>
      <c r="E35" s="2946"/>
      <c r="F35" s="2946"/>
      <c r="G35" s="2946"/>
      <c r="H35" s="2946"/>
      <c r="I35" s="2946"/>
      <c r="J35" s="2946"/>
      <c r="K35" s="2946"/>
      <c r="L35" s="2946"/>
      <c r="M35" s="2946"/>
      <c r="N35" s="2946"/>
      <c r="O35" s="2946"/>
      <c r="P35" s="2946"/>
      <c r="Q35" s="2946"/>
      <c r="R35" s="2946"/>
      <c r="S35" s="2946"/>
      <c r="T35" s="2826"/>
    </row>
    <row r="36" spans="1:22" s="198" customFormat="1" ht="7.5" customHeight="1" x14ac:dyDescent="0.25">
      <c r="A36" s="1175"/>
      <c r="T36" s="1628"/>
    </row>
    <row r="37" spans="1:22" s="198" customFormat="1" ht="13.8" x14ac:dyDescent="0.25">
      <c r="A37" s="1175" t="s">
        <v>1398</v>
      </c>
      <c r="B37" s="664"/>
      <c r="C37" s="664"/>
      <c r="D37" s="664"/>
      <c r="T37" s="1628"/>
    </row>
    <row r="38" spans="1:22" s="198" customFormat="1" ht="13.8" x14ac:dyDescent="0.25">
      <c r="A38" s="2943" t="s">
        <v>1069</v>
      </c>
      <c r="B38" s="2944"/>
      <c r="C38" s="2944"/>
      <c r="D38" s="2944"/>
      <c r="E38" s="2944"/>
      <c r="F38" s="2944"/>
      <c r="G38" s="2944"/>
      <c r="H38" s="2944"/>
      <c r="I38" s="2944"/>
      <c r="J38" s="2944"/>
      <c r="K38" s="2944"/>
      <c r="L38" s="2944"/>
      <c r="M38" s="2944"/>
      <c r="N38" s="2944"/>
      <c r="O38" s="2944"/>
      <c r="P38" s="2944"/>
      <c r="Q38" s="2944"/>
      <c r="R38" s="2944"/>
      <c r="S38" s="2944"/>
      <c r="T38" s="2945"/>
    </row>
    <row r="39" spans="1:22" s="198" customFormat="1" ht="72.599999999999994" customHeight="1" x14ac:dyDescent="0.25">
      <c r="A39" s="2943" t="s">
        <v>1074</v>
      </c>
      <c r="B39" s="2944"/>
      <c r="C39" s="2944"/>
      <c r="D39" s="2944"/>
      <c r="E39" s="2944"/>
      <c r="F39" s="2944"/>
      <c r="G39" s="2944"/>
      <c r="H39" s="2944"/>
      <c r="I39" s="2944"/>
      <c r="J39" s="2944"/>
      <c r="K39" s="2944"/>
      <c r="L39" s="2944"/>
      <c r="M39" s="2944"/>
      <c r="N39" s="2944"/>
      <c r="O39" s="2944"/>
      <c r="P39" s="2944"/>
      <c r="Q39" s="2944"/>
      <c r="R39" s="2944"/>
      <c r="S39" s="2944"/>
      <c r="T39" s="2945"/>
    </row>
    <row r="40" spans="1:22" s="612" customFormat="1" x14ac:dyDescent="0.3">
      <c r="A40" s="1684" t="s">
        <v>2108</v>
      </c>
      <c r="B40" s="1685">
        <v>3321</v>
      </c>
      <c r="C40" s="1685"/>
      <c r="D40" s="1685">
        <v>4337</v>
      </c>
      <c r="E40" s="1685"/>
      <c r="F40" s="1685">
        <v>2227</v>
      </c>
      <c r="G40" s="1685"/>
      <c r="H40" s="1685">
        <v>-521</v>
      </c>
      <c r="I40" s="1685"/>
      <c r="J40" s="1685">
        <v>1874</v>
      </c>
      <c r="K40" s="1685"/>
      <c r="L40" s="1685">
        <v>486</v>
      </c>
      <c r="M40" s="1685"/>
      <c r="N40" s="1685">
        <v>-4645</v>
      </c>
      <c r="O40" s="1685"/>
      <c r="P40" s="1685">
        <v>3579</v>
      </c>
      <c r="Q40" s="1685"/>
      <c r="R40" s="1685">
        <v>1709</v>
      </c>
      <c r="S40" s="1685"/>
      <c r="T40" s="1686">
        <v>3530</v>
      </c>
    </row>
    <row r="41" spans="1:22" s="198" customFormat="1" ht="13.8" x14ac:dyDescent="0.25">
      <c r="A41" s="2943" t="s">
        <v>2106</v>
      </c>
      <c r="B41" s="2944"/>
      <c r="C41" s="2944"/>
      <c r="D41" s="2944"/>
      <c r="E41" s="2944"/>
      <c r="F41" s="2944"/>
      <c r="G41" s="2944"/>
      <c r="H41" s="2944"/>
      <c r="I41" s="2944"/>
      <c r="J41" s="2944"/>
      <c r="K41" s="2944"/>
      <c r="L41" s="2944"/>
      <c r="M41" s="2944"/>
      <c r="N41" s="2944"/>
      <c r="O41" s="2944"/>
      <c r="P41" s="2944"/>
      <c r="Q41" s="2944"/>
      <c r="R41" s="2944"/>
      <c r="S41" s="2944"/>
      <c r="T41" s="2945"/>
    </row>
    <row r="42" spans="1:22" s="198" customFormat="1" ht="13.8" x14ac:dyDescent="0.25">
      <c r="A42" s="2943" t="s">
        <v>2103</v>
      </c>
      <c r="B42" s="2944"/>
      <c r="C42" s="2944"/>
      <c r="D42" s="2944"/>
      <c r="E42" s="2944"/>
      <c r="F42" s="2944"/>
      <c r="G42" s="2944"/>
      <c r="H42" s="2944"/>
      <c r="I42" s="2944"/>
      <c r="J42" s="2944"/>
      <c r="K42" s="2944"/>
      <c r="L42" s="2944"/>
      <c r="M42" s="2944"/>
      <c r="N42" s="2944"/>
      <c r="O42" s="2944"/>
      <c r="P42" s="2944"/>
      <c r="Q42" s="2944"/>
      <c r="R42" s="2944"/>
      <c r="S42" s="2944"/>
      <c r="T42" s="2945"/>
    </row>
    <row r="43" spans="1:22" ht="6.9" customHeight="1" thickBot="1" x14ac:dyDescent="0.35">
      <c r="A43" s="224"/>
      <c r="B43" s="218"/>
      <c r="C43" s="218"/>
      <c r="D43" s="218"/>
      <c r="E43" s="218"/>
      <c r="F43" s="218"/>
      <c r="G43" s="218"/>
      <c r="H43" s="218"/>
      <c r="I43" s="218"/>
      <c r="J43" s="218"/>
      <c r="K43" s="218"/>
      <c r="L43" s="218"/>
      <c r="M43" s="218"/>
      <c r="N43" s="218"/>
      <c r="O43" s="218"/>
      <c r="P43" s="218"/>
      <c r="Q43" s="218"/>
      <c r="R43" s="218"/>
      <c r="S43" s="218"/>
      <c r="T43" s="219"/>
    </row>
    <row r="44" spans="1:22" x14ac:dyDescent="0.3">
      <c r="A44" s="12" t="s">
        <v>2102</v>
      </c>
      <c r="B44" s="211"/>
      <c r="C44" s="211"/>
      <c r="D44" s="211"/>
      <c r="E44" s="211"/>
      <c r="F44" s="211"/>
      <c r="G44" s="211"/>
      <c r="H44" s="211"/>
      <c r="I44" s="211"/>
      <c r="J44" s="211"/>
      <c r="K44" s="211"/>
      <c r="L44" s="211"/>
      <c r="M44" s="211"/>
      <c r="N44" s="211"/>
      <c r="O44" s="211"/>
      <c r="P44" s="211"/>
      <c r="Q44" s="211"/>
      <c r="R44" s="211"/>
      <c r="S44" s="211"/>
      <c r="T44" s="211"/>
    </row>
    <row r="45" spans="1:22" x14ac:dyDescent="0.3">
      <c r="B45" s="211"/>
      <c r="C45" s="211"/>
      <c r="D45" s="211"/>
      <c r="E45" s="211"/>
      <c r="F45" s="211"/>
      <c r="G45" s="211"/>
      <c r="H45" s="211"/>
      <c r="I45" s="211"/>
      <c r="J45" s="211"/>
      <c r="K45" s="211"/>
      <c r="L45" s="211"/>
      <c r="M45" s="211"/>
      <c r="N45" s="211"/>
      <c r="O45" s="211"/>
      <c r="P45" s="211"/>
      <c r="Q45" s="211"/>
      <c r="R45" s="211"/>
      <c r="S45" s="211"/>
      <c r="T45" s="211"/>
    </row>
    <row r="46" spans="1:22" x14ac:dyDescent="0.3">
      <c r="A46" s="211" t="s">
        <v>2078</v>
      </c>
      <c r="B46" s="227">
        <f>B33/D33-1</f>
        <v>8.3075874434145991E-2</v>
      </c>
      <c r="C46" s="227" t="e">
        <f t="shared" ref="C46:S46" si="0">C33/E33-1</f>
        <v>#DIV/0!</v>
      </c>
      <c r="D46" s="227">
        <f t="shared" si="0"/>
        <v>0.18175530145166086</v>
      </c>
      <c r="E46" s="227" t="e">
        <f t="shared" si="0"/>
        <v>#DIV/0!</v>
      </c>
      <c r="F46" s="227">
        <f t="shared" si="0"/>
        <v>0.14374123773282599</v>
      </c>
      <c r="G46" s="227" t="e">
        <f t="shared" si="0"/>
        <v>#DIV/0!</v>
      </c>
      <c r="H46" s="227">
        <f t="shared" si="0"/>
        <v>4.6169318931830405E-2</v>
      </c>
      <c r="I46" s="227" t="e">
        <f t="shared" si="0"/>
        <v>#DIV/0!</v>
      </c>
      <c r="J46" s="227">
        <f t="shared" si="0"/>
        <v>0.12979511640844144</v>
      </c>
      <c r="K46" s="227" t="e">
        <f t="shared" si="0"/>
        <v>#DIV/0!</v>
      </c>
      <c r="L46" s="227">
        <f t="shared" si="0"/>
        <v>0.19788742379129443</v>
      </c>
      <c r="M46" s="227" t="e">
        <f t="shared" si="0"/>
        <v>#DIV/0!</v>
      </c>
      <c r="N46" s="227">
        <f t="shared" si="0"/>
        <v>-9.5861962875602558E-2</v>
      </c>
      <c r="O46" s="227" t="e">
        <f t="shared" si="0"/>
        <v>#DIV/0!</v>
      </c>
      <c r="P46" s="227">
        <f t="shared" si="0"/>
        <v>0.10994436618716286</v>
      </c>
      <c r="Q46" s="227" t="e">
        <f t="shared" si="0"/>
        <v>#DIV/0!</v>
      </c>
      <c r="R46" s="227">
        <f t="shared" si="0"/>
        <v>0.18364013001667323</v>
      </c>
      <c r="S46" s="1682" t="e">
        <f t="shared" si="0"/>
        <v>#DIV/0!</v>
      </c>
      <c r="T46" s="227">
        <f>T33/V33-1</f>
        <v>6.3646460303812047E-2</v>
      </c>
      <c r="V46" s="350">
        <f>(B33/V33)^(1/10)-1</f>
        <v>0.10105365542066314</v>
      </c>
    </row>
    <row r="47" spans="1:22" x14ac:dyDescent="0.3">
      <c r="B47" s="211"/>
      <c r="C47" s="211"/>
      <c r="D47" s="211"/>
      <c r="E47" s="211"/>
      <c r="F47" s="211"/>
      <c r="G47" s="211"/>
      <c r="H47" s="211"/>
      <c r="I47" s="211"/>
      <c r="J47" s="211"/>
      <c r="K47" s="211"/>
      <c r="L47" s="211"/>
      <c r="M47" s="211"/>
      <c r="N47" s="211"/>
      <c r="O47" s="211"/>
      <c r="P47" s="211"/>
      <c r="Q47" s="211"/>
      <c r="R47" s="211"/>
      <c r="S47" s="211"/>
      <c r="T47" s="211"/>
    </row>
    <row r="48" spans="1:22" x14ac:dyDescent="0.3">
      <c r="B48" s="211"/>
      <c r="C48" s="211"/>
      <c r="D48" s="211"/>
      <c r="E48" s="211"/>
      <c r="F48" s="211"/>
      <c r="G48" s="211"/>
      <c r="H48" s="211"/>
      <c r="I48" s="211"/>
      <c r="J48" s="211"/>
      <c r="K48" s="211"/>
      <c r="L48" s="211"/>
      <c r="M48" s="211"/>
      <c r="N48" s="211"/>
      <c r="O48" s="211"/>
      <c r="P48" s="211"/>
      <c r="Q48" s="211"/>
      <c r="R48" s="211"/>
      <c r="S48" s="211"/>
      <c r="T48" s="211"/>
      <c r="V48" s="350">
        <f>(1+V46)*(1+W32)-1</f>
        <v>0.10827714545554956</v>
      </c>
    </row>
    <row r="49" spans="1:20" x14ac:dyDescent="0.3">
      <c r="A49" s="211" t="s">
        <v>1768</v>
      </c>
      <c r="B49" s="348">
        <f>B26/B31</f>
        <v>2.1908897864012991</v>
      </c>
      <c r="C49" s="348"/>
      <c r="D49" s="348">
        <f t="shared" ref="D49:T49" si="1">D26/D31</f>
        <v>2.1854567578529904</v>
      </c>
      <c r="E49" s="348"/>
      <c r="F49" s="348">
        <f t="shared" si="1"/>
        <v>2.2779580808646021</v>
      </c>
      <c r="G49" s="348"/>
      <c r="H49" s="348">
        <f t="shared" si="1"/>
        <v>2.3818441006976037</v>
      </c>
      <c r="I49" s="348"/>
      <c r="J49" s="348">
        <f t="shared" si="1"/>
        <v>2.3660928819334086</v>
      </c>
      <c r="K49" s="348"/>
      <c r="L49" s="348">
        <f t="shared" si="1"/>
        <v>2.2663193543958138</v>
      </c>
      <c r="M49" s="348"/>
      <c r="N49" s="348">
        <f t="shared" si="1"/>
        <v>2.4472072995506422</v>
      </c>
      <c r="O49" s="348"/>
      <c r="P49" s="348">
        <f t="shared" si="1"/>
        <v>2.2625131488491133</v>
      </c>
      <c r="Q49" s="348"/>
      <c r="R49" s="348">
        <f t="shared" si="1"/>
        <v>2.2914526051706803</v>
      </c>
      <c r="S49" s="348"/>
      <c r="T49" s="348">
        <f t="shared" si="1"/>
        <v>2.1678654190896767</v>
      </c>
    </row>
    <row r="50" spans="1:20" x14ac:dyDescent="0.3">
      <c r="B50" s="211"/>
      <c r="C50" s="211"/>
      <c r="D50" s="211"/>
      <c r="E50" s="211"/>
      <c r="F50" s="211"/>
      <c r="G50" s="211"/>
      <c r="H50" s="211"/>
      <c r="I50" s="211"/>
      <c r="J50" s="211"/>
      <c r="K50" s="211"/>
      <c r="L50" s="211"/>
      <c r="M50" s="211"/>
      <c r="N50" s="211"/>
      <c r="O50" s="211"/>
      <c r="P50" s="211"/>
      <c r="Q50" s="211"/>
      <c r="R50" s="211"/>
      <c r="S50" s="211"/>
      <c r="T50" s="211"/>
    </row>
    <row r="51" spans="1:20" x14ac:dyDescent="0.3">
      <c r="A51" s="211" t="s">
        <v>2177</v>
      </c>
      <c r="B51" s="211"/>
      <c r="C51" s="211"/>
      <c r="D51" s="211"/>
      <c r="E51" s="211"/>
      <c r="F51" s="211"/>
      <c r="G51" s="211"/>
      <c r="H51" s="211"/>
      <c r="I51" s="211"/>
      <c r="J51" s="211"/>
      <c r="K51" s="211"/>
      <c r="L51" s="211"/>
      <c r="M51" s="211"/>
      <c r="N51" s="211"/>
      <c r="O51" s="211"/>
      <c r="P51" s="211"/>
      <c r="Q51" s="211"/>
      <c r="R51" s="211"/>
      <c r="S51" s="211"/>
      <c r="T51" s="211"/>
    </row>
    <row r="52" spans="1:20" x14ac:dyDescent="0.3">
      <c r="B52" s="211"/>
      <c r="C52" s="211"/>
      <c r="D52" s="211"/>
      <c r="E52" s="211"/>
      <c r="F52" s="211"/>
      <c r="G52" s="211"/>
      <c r="H52" s="211"/>
      <c r="I52" s="211"/>
      <c r="J52" s="211"/>
      <c r="K52" s="211"/>
      <c r="L52" s="211"/>
      <c r="M52" s="211"/>
      <c r="N52" s="211"/>
      <c r="O52" s="211"/>
      <c r="P52" s="211"/>
      <c r="Q52" s="211"/>
      <c r="R52" s="211"/>
      <c r="S52" s="211"/>
      <c r="T52" s="211"/>
    </row>
    <row r="53" spans="1:20" x14ac:dyDescent="0.3">
      <c r="B53" s="211"/>
      <c r="C53" s="211"/>
      <c r="D53" s="211"/>
      <c r="E53" s="211"/>
      <c r="F53" s="211"/>
      <c r="G53" s="211"/>
      <c r="H53" s="211"/>
      <c r="I53" s="211"/>
      <c r="J53" s="211"/>
      <c r="K53" s="211"/>
      <c r="L53" s="211"/>
      <c r="M53" s="211"/>
      <c r="N53" s="211"/>
      <c r="O53" s="211"/>
      <c r="P53" s="211"/>
      <c r="Q53" s="211"/>
      <c r="R53" s="211"/>
      <c r="S53" s="211"/>
      <c r="T53" s="211"/>
    </row>
    <row r="54" spans="1:20" x14ac:dyDescent="0.3">
      <c r="B54" s="211"/>
      <c r="C54" s="211"/>
      <c r="D54" s="211"/>
      <c r="E54" s="211"/>
      <c r="F54" s="211"/>
      <c r="G54" s="211"/>
      <c r="H54" s="211"/>
      <c r="I54" s="211"/>
      <c r="J54" s="211"/>
      <c r="K54" s="211"/>
      <c r="L54" s="211"/>
      <c r="M54" s="211"/>
      <c r="N54" s="211"/>
      <c r="O54" s="211"/>
      <c r="P54" s="211"/>
      <c r="Q54" s="211"/>
      <c r="R54" s="211"/>
      <c r="S54" s="211"/>
      <c r="T54" s="211"/>
    </row>
    <row r="55" spans="1:20" x14ac:dyDescent="0.3">
      <c r="B55" s="211"/>
      <c r="C55" s="211"/>
      <c r="D55" s="211"/>
      <c r="E55" s="211"/>
      <c r="F55" s="211"/>
      <c r="G55" s="211"/>
      <c r="H55" s="211"/>
      <c r="I55" s="211"/>
      <c r="J55" s="211"/>
      <c r="K55" s="211"/>
      <c r="L55" s="211"/>
      <c r="M55" s="211"/>
      <c r="N55" s="211"/>
      <c r="O55" s="211"/>
      <c r="P55" s="211"/>
      <c r="Q55" s="211"/>
      <c r="R55" s="211"/>
      <c r="S55" s="211"/>
      <c r="T55" s="211"/>
    </row>
    <row r="56" spans="1:20" x14ac:dyDescent="0.3">
      <c r="B56" s="211"/>
      <c r="C56" s="211"/>
      <c r="D56" s="211"/>
      <c r="E56" s="211"/>
      <c r="F56" s="211"/>
      <c r="G56" s="211"/>
      <c r="H56" s="211"/>
      <c r="I56" s="211"/>
      <c r="J56" s="211"/>
      <c r="K56" s="211"/>
      <c r="L56" s="211"/>
      <c r="M56" s="211"/>
      <c r="N56" s="211"/>
      <c r="O56" s="211"/>
      <c r="P56" s="211"/>
      <c r="Q56" s="211"/>
      <c r="R56" s="211"/>
      <c r="S56" s="211"/>
      <c r="T56" s="211"/>
    </row>
    <row r="57" spans="1:20" x14ac:dyDescent="0.3">
      <c r="B57" s="211"/>
      <c r="C57" s="211"/>
      <c r="D57" s="211"/>
      <c r="E57" s="211"/>
      <c r="F57" s="211"/>
      <c r="G57" s="211"/>
      <c r="H57" s="211"/>
      <c r="I57" s="211"/>
      <c r="J57" s="211"/>
      <c r="K57" s="211"/>
      <c r="L57" s="211"/>
      <c r="M57" s="211"/>
      <c r="N57" s="211"/>
      <c r="O57" s="211"/>
      <c r="P57" s="211"/>
      <c r="Q57" s="211"/>
      <c r="R57" s="211"/>
      <c r="S57" s="211"/>
      <c r="T57" s="211"/>
    </row>
    <row r="58" spans="1:20" x14ac:dyDescent="0.3">
      <c r="B58" s="211"/>
      <c r="C58" s="211"/>
      <c r="D58" s="211"/>
      <c r="E58" s="211"/>
      <c r="F58" s="211"/>
      <c r="G58" s="211"/>
      <c r="H58" s="211"/>
      <c r="I58" s="211"/>
      <c r="J58" s="211"/>
      <c r="K58" s="211"/>
      <c r="L58" s="211"/>
      <c r="M58" s="211"/>
      <c r="N58" s="211"/>
      <c r="O58" s="211"/>
      <c r="P58" s="211"/>
      <c r="Q58" s="211"/>
      <c r="R58" s="211"/>
      <c r="S58" s="211"/>
      <c r="T58" s="211"/>
    </row>
    <row r="59" spans="1:20" x14ac:dyDescent="0.3">
      <c r="B59" s="211"/>
      <c r="C59" s="211"/>
      <c r="D59" s="211"/>
      <c r="E59" s="211"/>
      <c r="F59" s="211"/>
      <c r="G59" s="211"/>
      <c r="H59" s="211"/>
      <c r="I59" s="211"/>
      <c r="J59" s="211"/>
      <c r="K59" s="211"/>
      <c r="L59" s="211"/>
      <c r="M59" s="211"/>
      <c r="N59" s="211"/>
      <c r="O59" s="211"/>
      <c r="P59" s="211"/>
      <c r="Q59" s="211"/>
      <c r="R59" s="211"/>
      <c r="S59" s="211"/>
      <c r="T59" s="211"/>
    </row>
    <row r="60" spans="1:20" x14ac:dyDescent="0.3">
      <c r="B60" s="211"/>
      <c r="C60" s="211"/>
      <c r="D60" s="211"/>
      <c r="E60" s="211"/>
      <c r="F60" s="211"/>
      <c r="G60" s="211"/>
      <c r="H60" s="211"/>
      <c r="I60" s="211"/>
      <c r="J60" s="211"/>
      <c r="K60" s="211"/>
      <c r="L60" s="211"/>
      <c r="M60" s="211"/>
      <c r="N60" s="211"/>
      <c r="O60" s="211"/>
      <c r="P60" s="211"/>
      <c r="Q60" s="211"/>
      <c r="R60" s="211"/>
      <c r="S60" s="211"/>
      <c r="T60" s="211"/>
    </row>
    <row r="61" spans="1:20" x14ac:dyDescent="0.3">
      <c r="B61" s="211"/>
      <c r="C61" s="211"/>
      <c r="D61" s="211"/>
      <c r="E61" s="211"/>
      <c r="F61" s="211"/>
      <c r="G61" s="211"/>
      <c r="H61" s="211"/>
      <c r="I61" s="211"/>
      <c r="J61" s="211"/>
      <c r="K61" s="211"/>
      <c r="L61" s="211"/>
      <c r="M61" s="211"/>
      <c r="N61" s="211"/>
      <c r="O61" s="211"/>
      <c r="P61" s="211"/>
      <c r="Q61" s="211"/>
      <c r="R61" s="211"/>
      <c r="S61" s="211"/>
      <c r="T61" s="211"/>
    </row>
    <row r="62" spans="1:20" x14ac:dyDescent="0.3">
      <c r="B62" s="211"/>
      <c r="C62" s="211"/>
      <c r="D62" s="211"/>
      <c r="E62" s="211"/>
      <c r="F62" s="211"/>
      <c r="G62" s="211"/>
      <c r="H62" s="211"/>
      <c r="I62" s="211"/>
      <c r="J62" s="211"/>
      <c r="K62" s="211"/>
      <c r="L62" s="211"/>
      <c r="M62" s="211"/>
      <c r="N62" s="211"/>
      <c r="O62" s="211"/>
      <c r="P62" s="211"/>
      <c r="Q62" s="211"/>
      <c r="R62" s="211"/>
      <c r="S62" s="211"/>
      <c r="T62" s="211"/>
    </row>
    <row r="63" spans="1:20" x14ac:dyDescent="0.3">
      <c r="B63" s="211"/>
      <c r="C63" s="211"/>
      <c r="D63" s="211"/>
      <c r="E63" s="211"/>
      <c r="F63" s="211"/>
      <c r="G63" s="211"/>
      <c r="H63" s="211"/>
      <c r="I63" s="211"/>
      <c r="J63" s="211"/>
      <c r="K63" s="211"/>
      <c r="L63" s="211"/>
      <c r="M63" s="211"/>
      <c r="N63" s="211"/>
      <c r="O63" s="211"/>
      <c r="P63" s="211"/>
      <c r="Q63" s="211"/>
      <c r="R63" s="211"/>
      <c r="S63" s="211"/>
      <c r="T63" s="211"/>
    </row>
    <row r="64" spans="1:20" x14ac:dyDescent="0.3">
      <c r="B64" s="211"/>
      <c r="C64" s="211"/>
      <c r="D64" s="211"/>
      <c r="E64" s="211"/>
      <c r="F64" s="211"/>
      <c r="G64" s="211"/>
      <c r="H64" s="211"/>
      <c r="I64" s="211"/>
      <c r="J64" s="211"/>
      <c r="K64" s="211"/>
      <c r="L64" s="211"/>
      <c r="M64" s="211"/>
      <c r="N64" s="211"/>
      <c r="O64" s="211"/>
      <c r="P64" s="211"/>
      <c r="Q64" s="211"/>
      <c r="R64" s="211"/>
      <c r="S64" s="211"/>
      <c r="T64" s="211"/>
    </row>
    <row r="65" s="211" customFormat="1" x14ac:dyDescent="0.3"/>
    <row r="66" s="211" customFormat="1" x14ac:dyDescent="0.3"/>
    <row r="67" s="211" customFormat="1" x14ac:dyDescent="0.3"/>
    <row r="68" s="211" customFormat="1" x14ac:dyDescent="0.3"/>
    <row r="69" s="211" customFormat="1" x14ac:dyDescent="0.3"/>
    <row r="70" s="211" customFormat="1" x14ac:dyDescent="0.3"/>
    <row r="71" s="211" customFormat="1" x14ac:dyDescent="0.3"/>
    <row r="72" s="211" customFormat="1" x14ac:dyDescent="0.3"/>
    <row r="73" s="211" customFormat="1" x14ac:dyDescent="0.3"/>
    <row r="74" s="211" customFormat="1" x14ac:dyDescent="0.3"/>
    <row r="75" s="211" customFormat="1" x14ac:dyDescent="0.3"/>
    <row r="76" s="211" customFormat="1" x14ac:dyDescent="0.3"/>
    <row r="77" s="211" customFormat="1" x14ac:dyDescent="0.3"/>
    <row r="78" s="211" customFormat="1" x14ac:dyDescent="0.3"/>
    <row r="79" s="211" customFormat="1" x14ac:dyDescent="0.3"/>
    <row r="80" s="211" customFormat="1" x14ac:dyDescent="0.3"/>
    <row r="81" s="211" customFormat="1" x14ac:dyDescent="0.3"/>
    <row r="82" s="211" customFormat="1" x14ac:dyDescent="0.3"/>
    <row r="83" s="211" customFormat="1" x14ac:dyDescent="0.3"/>
    <row r="84" s="211" customFormat="1" x14ac:dyDescent="0.3"/>
    <row r="85" s="211" customFormat="1" x14ac:dyDescent="0.3"/>
    <row r="86" s="211" customFormat="1" x14ac:dyDescent="0.3"/>
    <row r="87" s="211" customFormat="1" x14ac:dyDescent="0.3"/>
    <row r="88" s="211" customFormat="1" x14ac:dyDescent="0.3"/>
    <row r="89" s="211" customFormat="1" x14ac:dyDescent="0.3"/>
    <row r="90" s="211" customFormat="1" x14ac:dyDescent="0.3"/>
    <row r="91" s="211" customFormat="1" x14ac:dyDescent="0.3"/>
    <row r="92" s="211" customFormat="1" x14ac:dyDescent="0.3"/>
    <row r="93" s="211" customFormat="1" x14ac:dyDescent="0.3"/>
    <row r="94" s="211" customFormat="1" x14ac:dyDescent="0.3"/>
    <row r="95" s="211" customFormat="1" x14ac:dyDescent="0.3"/>
    <row r="96" s="211" customFormat="1" x14ac:dyDescent="0.3"/>
    <row r="97" s="211" customFormat="1" x14ac:dyDescent="0.3"/>
    <row r="98" s="211" customFormat="1" x14ac:dyDescent="0.3"/>
    <row r="99" s="211" customFormat="1" x14ac:dyDescent="0.3"/>
    <row r="100" s="211" customFormat="1" x14ac:dyDescent="0.3"/>
    <row r="101" s="211" customFormat="1" x14ac:dyDescent="0.3"/>
    <row r="102" s="211" customFormat="1" x14ac:dyDescent="0.3"/>
    <row r="103" s="211" customFormat="1" x14ac:dyDescent="0.3"/>
    <row r="104" s="211" customFormat="1" x14ac:dyDescent="0.3"/>
    <row r="105" s="211" customFormat="1" x14ac:dyDescent="0.3"/>
    <row r="106" s="211" customFormat="1" x14ac:dyDescent="0.3"/>
    <row r="107" s="211" customFormat="1" x14ac:dyDescent="0.3"/>
    <row r="108" s="211" customFormat="1" x14ac:dyDescent="0.3"/>
    <row r="109" s="211" customFormat="1" x14ac:dyDescent="0.3"/>
    <row r="110" s="211" customFormat="1" x14ac:dyDescent="0.3"/>
    <row r="111" s="211" customFormat="1" x14ac:dyDescent="0.3"/>
    <row r="112" s="211" customFormat="1" x14ac:dyDescent="0.3"/>
    <row r="113" spans="2:20" x14ac:dyDescent="0.3">
      <c r="B113" s="211"/>
      <c r="C113" s="211"/>
      <c r="D113" s="211"/>
      <c r="E113" s="211"/>
      <c r="F113" s="211"/>
      <c r="G113" s="211"/>
      <c r="H113" s="211"/>
      <c r="I113" s="211"/>
      <c r="J113" s="211"/>
      <c r="K113" s="211"/>
      <c r="L113" s="211"/>
      <c r="M113" s="211"/>
      <c r="N113" s="211"/>
      <c r="O113" s="211"/>
      <c r="P113" s="211"/>
      <c r="Q113" s="211"/>
      <c r="R113" s="211"/>
      <c r="S113" s="211"/>
      <c r="T113" s="211"/>
    </row>
    <row r="114" spans="2:20" x14ac:dyDescent="0.3">
      <c r="B114" s="211"/>
      <c r="C114" s="211"/>
      <c r="D114" s="211"/>
      <c r="E114" s="211"/>
      <c r="F114" s="211"/>
      <c r="G114" s="211"/>
      <c r="H114" s="211"/>
      <c r="I114" s="211"/>
      <c r="J114" s="211"/>
      <c r="K114" s="211"/>
      <c r="L114" s="211"/>
      <c r="M114" s="211"/>
      <c r="N114" s="211"/>
      <c r="O114" s="211"/>
      <c r="P114" s="211"/>
      <c r="Q114" s="211"/>
      <c r="R114" s="211"/>
      <c r="S114" s="211"/>
      <c r="T114" s="211"/>
    </row>
    <row r="115" spans="2:20" x14ac:dyDescent="0.3">
      <c r="B115" s="211"/>
      <c r="C115" s="211"/>
      <c r="D115" s="211"/>
      <c r="E115" s="211"/>
      <c r="F115" s="211"/>
      <c r="G115" s="211"/>
      <c r="H115" s="211"/>
      <c r="I115" s="211"/>
      <c r="J115" s="211"/>
      <c r="K115" s="211"/>
      <c r="L115" s="211"/>
      <c r="M115" s="211"/>
      <c r="N115" s="211"/>
      <c r="O115" s="211"/>
      <c r="P115" s="211"/>
      <c r="Q115" s="211"/>
      <c r="R115" s="211"/>
      <c r="S115" s="211"/>
      <c r="T115" s="211"/>
    </row>
    <row r="116" spans="2:20" x14ac:dyDescent="0.3">
      <c r="B116" s="211"/>
      <c r="C116" s="211"/>
      <c r="D116" s="211"/>
      <c r="E116" s="211"/>
      <c r="F116" s="211"/>
      <c r="G116" s="211"/>
      <c r="H116" s="211"/>
      <c r="I116" s="211"/>
      <c r="J116" s="211"/>
      <c r="K116" s="211"/>
      <c r="L116" s="211"/>
      <c r="M116" s="211"/>
      <c r="N116" s="211"/>
      <c r="O116" s="211"/>
      <c r="P116" s="211"/>
      <c r="Q116" s="211"/>
      <c r="R116" s="211"/>
      <c r="S116" s="211"/>
      <c r="T116" s="211"/>
    </row>
    <row r="117" spans="2:20" x14ac:dyDescent="0.3">
      <c r="B117" s="211"/>
      <c r="C117" s="211"/>
      <c r="D117" s="211"/>
      <c r="E117" s="211"/>
      <c r="F117" s="211"/>
      <c r="G117" s="211"/>
      <c r="H117" s="211"/>
      <c r="I117" s="211"/>
      <c r="J117" s="211"/>
      <c r="K117" s="211"/>
      <c r="L117" s="211"/>
      <c r="M117" s="211"/>
      <c r="N117" s="211"/>
      <c r="O117" s="211"/>
      <c r="P117" s="211"/>
      <c r="Q117" s="211"/>
      <c r="R117" s="211"/>
      <c r="S117" s="211"/>
      <c r="T117" s="211"/>
    </row>
    <row r="118" spans="2:20" x14ac:dyDescent="0.3">
      <c r="B118" s="211"/>
      <c r="C118" s="211"/>
      <c r="D118" s="211"/>
      <c r="E118" s="211"/>
      <c r="F118" s="211"/>
      <c r="G118" s="211"/>
      <c r="H118" s="211"/>
      <c r="I118" s="211"/>
      <c r="J118" s="211"/>
      <c r="K118" s="211"/>
      <c r="L118" s="211"/>
      <c r="M118" s="211"/>
      <c r="N118" s="211"/>
      <c r="O118" s="211"/>
      <c r="P118" s="211"/>
      <c r="Q118" s="211"/>
      <c r="R118" s="211"/>
      <c r="S118" s="211"/>
      <c r="T118" s="211"/>
    </row>
    <row r="119" spans="2:20" x14ac:dyDescent="0.3">
      <c r="B119" s="211"/>
      <c r="C119" s="211"/>
      <c r="D119" s="211"/>
      <c r="E119" s="211"/>
      <c r="F119" s="211"/>
      <c r="G119" s="211"/>
      <c r="H119" s="211"/>
      <c r="I119" s="211"/>
      <c r="J119" s="211"/>
      <c r="K119" s="211"/>
      <c r="L119" s="211"/>
      <c r="M119" s="211"/>
      <c r="N119" s="211"/>
      <c r="O119" s="211"/>
      <c r="P119" s="211"/>
      <c r="Q119" s="211"/>
      <c r="R119" s="211"/>
      <c r="S119" s="211"/>
      <c r="T119" s="211"/>
    </row>
    <row r="120" spans="2:20" x14ac:dyDescent="0.3">
      <c r="B120" s="211"/>
      <c r="C120" s="211"/>
      <c r="D120" s="211"/>
      <c r="E120" s="211"/>
      <c r="F120" s="211"/>
      <c r="G120" s="211"/>
      <c r="H120" s="211"/>
      <c r="I120" s="211"/>
      <c r="J120" s="211"/>
      <c r="K120" s="211"/>
      <c r="L120" s="211"/>
      <c r="M120" s="211"/>
      <c r="N120" s="211"/>
      <c r="O120" s="211"/>
      <c r="P120" s="211"/>
      <c r="Q120" s="211"/>
      <c r="R120" s="211"/>
      <c r="S120" s="211"/>
      <c r="T120" s="211"/>
    </row>
    <row r="121" spans="2:20" x14ac:dyDescent="0.3">
      <c r="B121" s="211"/>
      <c r="C121" s="211"/>
      <c r="D121" s="211"/>
      <c r="E121" s="211"/>
      <c r="F121" s="211"/>
      <c r="G121" s="211"/>
      <c r="H121" s="211"/>
      <c r="I121" s="211"/>
      <c r="J121" s="211"/>
      <c r="K121" s="211"/>
      <c r="L121" s="211"/>
      <c r="M121" s="211"/>
      <c r="N121" s="211"/>
      <c r="O121" s="211"/>
      <c r="P121" s="211"/>
      <c r="Q121" s="211"/>
      <c r="R121" s="211"/>
      <c r="S121" s="211"/>
      <c r="T121" s="211"/>
    </row>
    <row r="122" spans="2:20" x14ac:dyDescent="0.3">
      <c r="B122" s="211"/>
      <c r="C122" s="211"/>
      <c r="D122" s="211"/>
      <c r="E122" s="211"/>
      <c r="F122" s="211"/>
      <c r="G122" s="211"/>
      <c r="H122" s="211"/>
      <c r="I122" s="211"/>
      <c r="J122" s="211"/>
      <c r="K122" s="211"/>
      <c r="L122" s="211"/>
      <c r="M122" s="211"/>
      <c r="N122" s="211"/>
      <c r="O122" s="211"/>
      <c r="P122" s="211"/>
      <c r="Q122" s="211"/>
      <c r="R122" s="211"/>
      <c r="S122" s="211"/>
      <c r="T122" s="211"/>
    </row>
    <row r="123" spans="2:20" x14ac:dyDescent="0.3">
      <c r="B123" s="211"/>
      <c r="C123" s="211"/>
      <c r="D123" s="211"/>
      <c r="E123" s="211"/>
      <c r="F123" s="211"/>
      <c r="G123" s="211"/>
      <c r="H123" s="211"/>
      <c r="I123" s="211"/>
      <c r="J123" s="211"/>
      <c r="K123" s="211"/>
      <c r="L123" s="211"/>
      <c r="M123" s="211"/>
      <c r="N123" s="211"/>
      <c r="O123" s="211"/>
      <c r="P123" s="211"/>
      <c r="Q123" s="211"/>
      <c r="R123" s="211"/>
      <c r="S123" s="211"/>
      <c r="T123" s="211"/>
    </row>
    <row r="124" spans="2:20" x14ac:dyDescent="0.3">
      <c r="B124" s="211"/>
      <c r="C124" s="211"/>
      <c r="D124" s="211"/>
      <c r="E124" s="211"/>
      <c r="F124" s="211"/>
      <c r="G124" s="211"/>
      <c r="H124" s="211"/>
      <c r="I124" s="211"/>
      <c r="J124" s="211"/>
      <c r="K124" s="211"/>
      <c r="L124" s="211"/>
      <c r="M124" s="211"/>
      <c r="N124" s="211"/>
      <c r="O124" s="211"/>
      <c r="P124" s="211"/>
      <c r="Q124" s="211"/>
      <c r="R124" s="211"/>
      <c r="S124" s="211"/>
      <c r="T124" s="211"/>
    </row>
    <row r="125" spans="2:20" x14ac:dyDescent="0.3">
      <c r="B125" s="211"/>
      <c r="C125" s="211"/>
      <c r="D125" s="211"/>
      <c r="E125" s="211"/>
      <c r="F125" s="211"/>
      <c r="G125" s="211"/>
      <c r="H125" s="211"/>
      <c r="I125" s="211"/>
      <c r="J125" s="211"/>
      <c r="K125" s="211"/>
      <c r="L125" s="211"/>
      <c r="M125" s="211"/>
      <c r="N125" s="211"/>
      <c r="O125" s="211"/>
      <c r="P125" s="211"/>
      <c r="Q125" s="211"/>
      <c r="R125" s="211"/>
      <c r="S125" s="211"/>
      <c r="T125" s="211"/>
    </row>
    <row r="126" spans="2:20" x14ac:dyDescent="0.3">
      <c r="K126" s="211"/>
      <c r="L126" s="211"/>
      <c r="M126" s="211"/>
      <c r="N126" s="211"/>
      <c r="O126" s="211"/>
      <c r="P126" s="211"/>
      <c r="Q126" s="211"/>
      <c r="R126" s="211"/>
      <c r="S126" s="211"/>
      <c r="T126" s="211"/>
    </row>
    <row r="127" spans="2:20" x14ac:dyDescent="0.3">
      <c r="K127" s="211"/>
      <c r="L127" s="211"/>
      <c r="M127" s="211"/>
      <c r="N127" s="211"/>
      <c r="O127" s="211"/>
      <c r="P127" s="211"/>
      <c r="Q127" s="211"/>
      <c r="R127" s="211"/>
      <c r="S127" s="211"/>
      <c r="T127" s="211"/>
    </row>
    <row r="128" spans="2:20" x14ac:dyDescent="0.3">
      <c r="K128" s="211"/>
      <c r="L128" s="211"/>
      <c r="M128" s="211"/>
      <c r="N128" s="211"/>
      <c r="O128" s="211"/>
      <c r="P128" s="211"/>
      <c r="Q128" s="211"/>
      <c r="R128" s="211"/>
      <c r="S128" s="211"/>
      <c r="T128" s="211"/>
    </row>
    <row r="129" spans="11:20" x14ac:dyDescent="0.3">
      <c r="K129" s="211"/>
      <c r="L129" s="211"/>
      <c r="M129" s="211"/>
      <c r="N129" s="211"/>
      <c r="O129" s="211"/>
      <c r="P129" s="211"/>
      <c r="Q129" s="211"/>
      <c r="R129" s="211"/>
      <c r="S129" s="211"/>
      <c r="T129" s="211"/>
    </row>
    <row r="130" spans="11:20" x14ac:dyDescent="0.3">
      <c r="K130" s="211"/>
      <c r="L130" s="211"/>
      <c r="M130" s="211"/>
      <c r="N130" s="211"/>
      <c r="O130" s="211"/>
      <c r="P130" s="211"/>
      <c r="Q130" s="211"/>
      <c r="R130" s="211"/>
      <c r="S130" s="211"/>
      <c r="T130" s="211"/>
    </row>
    <row r="131" spans="11:20" x14ac:dyDescent="0.3">
      <c r="K131" s="211"/>
      <c r="L131" s="211"/>
      <c r="M131" s="211"/>
      <c r="N131" s="211"/>
      <c r="O131" s="211"/>
      <c r="P131" s="211"/>
      <c r="Q131" s="211"/>
      <c r="R131" s="211"/>
      <c r="S131" s="211"/>
      <c r="T131" s="211"/>
    </row>
    <row r="132" spans="11:20" x14ac:dyDescent="0.3">
      <c r="K132" s="211"/>
      <c r="L132" s="211"/>
      <c r="M132" s="211"/>
      <c r="N132" s="211"/>
      <c r="O132" s="211"/>
      <c r="P132" s="211"/>
      <c r="Q132" s="211"/>
      <c r="R132" s="211"/>
      <c r="S132" s="211"/>
      <c r="T132" s="211"/>
    </row>
    <row r="133" spans="11:20" x14ac:dyDescent="0.3">
      <c r="K133" s="211"/>
      <c r="L133" s="211"/>
      <c r="M133" s="211"/>
      <c r="N133" s="211"/>
      <c r="O133" s="211"/>
      <c r="P133" s="211"/>
      <c r="Q133" s="211"/>
      <c r="R133" s="211"/>
      <c r="S133" s="211"/>
      <c r="T133" s="211"/>
    </row>
    <row r="134" spans="11:20" x14ac:dyDescent="0.3">
      <c r="K134" s="211"/>
      <c r="L134" s="211"/>
      <c r="M134" s="211"/>
      <c r="N134" s="211"/>
      <c r="O134" s="211"/>
      <c r="P134" s="211"/>
      <c r="Q134" s="211"/>
      <c r="R134" s="211"/>
      <c r="S134" s="211"/>
      <c r="T134" s="211"/>
    </row>
    <row r="135" spans="11:20" x14ac:dyDescent="0.3">
      <c r="K135" s="211"/>
      <c r="L135" s="211"/>
      <c r="M135" s="211"/>
      <c r="N135" s="211"/>
      <c r="O135" s="211"/>
      <c r="P135" s="211"/>
      <c r="Q135" s="211"/>
      <c r="R135" s="211"/>
      <c r="S135" s="211"/>
      <c r="T135" s="211"/>
    </row>
    <row r="136" spans="11:20" x14ac:dyDescent="0.3">
      <c r="K136" s="211"/>
      <c r="L136" s="211"/>
      <c r="M136" s="211"/>
      <c r="N136" s="211"/>
      <c r="O136" s="211"/>
      <c r="P136" s="211"/>
      <c r="Q136" s="211"/>
      <c r="R136" s="211"/>
      <c r="S136" s="211"/>
      <c r="T136" s="211"/>
    </row>
    <row r="137" spans="11:20" x14ac:dyDescent="0.3">
      <c r="K137" s="211"/>
      <c r="L137" s="211"/>
      <c r="M137" s="211"/>
      <c r="N137" s="211"/>
      <c r="O137" s="211"/>
      <c r="P137" s="211"/>
      <c r="Q137" s="211"/>
      <c r="R137" s="211"/>
      <c r="S137" s="211"/>
      <c r="T137" s="211"/>
    </row>
    <row r="138" spans="11:20" x14ac:dyDescent="0.3">
      <c r="K138" s="211"/>
      <c r="L138" s="211"/>
      <c r="M138" s="211"/>
      <c r="N138" s="211"/>
      <c r="O138" s="211"/>
      <c r="P138" s="211"/>
      <c r="Q138" s="211"/>
      <c r="R138" s="211"/>
      <c r="S138" s="211"/>
      <c r="T138" s="211"/>
    </row>
    <row r="139" spans="11:20" x14ac:dyDescent="0.3">
      <c r="K139" s="211"/>
      <c r="L139" s="211"/>
      <c r="M139" s="211"/>
      <c r="N139" s="211"/>
      <c r="O139" s="211"/>
      <c r="P139" s="211"/>
      <c r="Q139" s="211"/>
      <c r="R139" s="211"/>
      <c r="S139" s="211"/>
      <c r="T139" s="211"/>
    </row>
    <row r="140" spans="11:20" x14ac:dyDescent="0.3">
      <c r="K140" s="211"/>
      <c r="L140" s="211"/>
      <c r="M140" s="211"/>
      <c r="N140" s="211"/>
      <c r="O140" s="211"/>
      <c r="P140" s="211"/>
      <c r="Q140" s="211"/>
      <c r="R140" s="211"/>
      <c r="S140" s="211"/>
      <c r="T140" s="211"/>
    </row>
    <row r="141" spans="11:20" x14ac:dyDescent="0.3">
      <c r="K141" s="211"/>
      <c r="L141" s="211"/>
      <c r="M141" s="211"/>
      <c r="N141" s="211"/>
      <c r="O141" s="211"/>
      <c r="P141" s="211"/>
      <c r="Q141" s="211"/>
      <c r="R141" s="211"/>
      <c r="S141" s="211"/>
      <c r="T141" s="211"/>
    </row>
    <row r="142" spans="11:20" x14ac:dyDescent="0.3">
      <c r="K142" s="211"/>
      <c r="L142" s="211"/>
      <c r="M142" s="211"/>
      <c r="N142" s="211"/>
      <c r="O142" s="211"/>
      <c r="P142" s="211"/>
      <c r="Q142" s="211"/>
      <c r="R142" s="211"/>
      <c r="S142" s="211"/>
      <c r="T142" s="211"/>
    </row>
    <row r="143" spans="11:20" x14ac:dyDescent="0.3">
      <c r="K143" s="211"/>
      <c r="L143" s="211"/>
      <c r="M143" s="211"/>
      <c r="N143" s="211"/>
      <c r="O143" s="211"/>
      <c r="P143" s="211"/>
      <c r="Q143" s="211"/>
      <c r="R143" s="211"/>
      <c r="S143" s="211"/>
      <c r="T143" s="211"/>
    </row>
    <row r="144" spans="11:20" x14ac:dyDescent="0.3">
      <c r="K144" s="211"/>
      <c r="L144" s="211"/>
      <c r="M144" s="211"/>
      <c r="N144" s="211"/>
      <c r="O144" s="211"/>
      <c r="P144" s="211"/>
      <c r="Q144" s="211"/>
      <c r="R144" s="211"/>
      <c r="S144" s="211"/>
      <c r="T144" s="211"/>
    </row>
    <row r="145" spans="11:20" x14ac:dyDescent="0.3">
      <c r="K145" s="211"/>
      <c r="L145" s="211"/>
      <c r="M145" s="211"/>
      <c r="N145" s="211"/>
      <c r="O145" s="211"/>
      <c r="P145" s="211"/>
      <c r="Q145" s="211"/>
      <c r="R145" s="211"/>
      <c r="S145" s="211"/>
      <c r="T145" s="211"/>
    </row>
    <row r="146" spans="11:20" x14ac:dyDescent="0.3">
      <c r="K146" s="211"/>
      <c r="L146" s="211"/>
      <c r="M146" s="211"/>
      <c r="N146" s="211"/>
      <c r="O146" s="211"/>
      <c r="P146" s="211"/>
      <c r="Q146" s="211"/>
      <c r="R146" s="211"/>
      <c r="S146" s="211"/>
      <c r="T146" s="211"/>
    </row>
    <row r="147" spans="11:20" x14ac:dyDescent="0.3">
      <c r="K147" s="211"/>
      <c r="L147" s="211"/>
      <c r="M147" s="211"/>
      <c r="N147" s="211"/>
      <c r="O147" s="211"/>
      <c r="P147" s="211"/>
      <c r="Q147" s="211"/>
      <c r="R147" s="211"/>
      <c r="S147" s="211"/>
      <c r="T147" s="211"/>
    </row>
    <row r="148" spans="11:20" x14ac:dyDescent="0.3">
      <c r="K148" s="211"/>
      <c r="L148" s="211"/>
      <c r="M148" s="211"/>
      <c r="N148" s="211"/>
      <c r="O148" s="211"/>
      <c r="P148" s="211"/>
      <c r="Q148" s="211"/>
      <c r="R148" s="211"/>
      <c r="S148" s="211"/>
      <c r="T148" s="211"/>
    </row>
    <row r="149" spans="11:20" x14ac:dyDescent="0.3">
      <c r="K149" s="211"/>
      <c r="L149" s="211"/>
      <c r="M149" s="211"/>
      <c r="N149" s="211"/>
      <c r="O149" s="211"/>
      <c r="P149" s="211"/>
      <c r="Q149" s="211"/>
      <c r="R149" s="211"/>
      <c r="S149" s="211"/>
      <c r="T149" s="211"/>
    </row>
    <row r="150" spans="11:20" x14ac:dyDescent="0.3">
      <c r="K150" s="211"/>
      <c r="L150" s="211"/>
      <c r="M150" s="211"/>
      <c r="N150" s="211"/>
      <c r="O150" s="211"/>
      <c r="P150" s="211"/>
      <c r="Q150" s="211"/>
      <c r="R150" s="211"/>
      <c r="S150" s="211"/>
      <c r="T150" s="211"/>
    </row>
    <row r="151" spans="11:20" x14ac:dyDescent="0.3">
      <c r="K151" s="211"/>
      <c r="L151" s="211"/>
      <c r="M151" s="211"/>
      <c r="N151" s="211"/>
      <c r="O151" s="211"/>
      <c r="P151" s="211"/>
      <c r="Q151" s="211"/>
      <c r="R151" s="211"/>
      <c r="S151" s="211"/>
      <c r="T151" s="211"/>
    </row>
    <row r="152" spans="11:20" x14ac:dyDescent="0.3">
      <c r="K152" s="211"/>
      <c r="L152" s="211"/>
      <c r="M152" s="211"/>
      <c r="N152" s="211"/>
      <c r="O152" s="211"/>
      <c r="P152" s="211"/>
      <c r="Q152" s="211"/>
      <c r="R152" s="211"/>
      <c r="S152" s="211"/>
      <c r="T152" s="211"/>
    </row>
    <row r="153" spans="11:20" x14ac:dyDescent="0.3">
      <c r="K153" s="211"/>
      <c r="L153" s="211"/>
      <c r="M153" s="211"/>
      <c r="N153" s="211"/>
      <c r="O153" s="211"/>
      <c r="P153" s="211"/>
      <c r="Q153" s="211"/>
      <c r="R153" s="211"/>
      <c r="S153" s="211"/>
      <c r="T153" s="211"/>
    </row>
    <row r="154" spans="11:20" x14ac:dyDescent="0.3">
      <c r="K154" s="211"/>
      <c r="L154" s="211"/>
      <c r="M154" s="211"/>
      <c r="N154" s="211"/>
      <c r="O154" s="211"/>
      <c r="P154" s="211"/>
      <c r="Q154" s="211"/>
      <c r="R154" s="211"/>
      <c r="S154" s="211"/>
      <c r="T154" s="211"/>
    </row>
    <row r="155" spans="11:20" x14ac:dyDescent="0.3">
      <c r="K155" s="211"/>
      <c r="L155" s="211"/>
      <c r="M155" s="211"/>
      <c r="N155" s="211"/>
      <c r="O155" s="211"/>
      <c r="P155" s="211"/>
      <c r="Q155" s="211"/>
      <c r="R155" s="211"/>
      <c r="S155" s="211"/>
      <c r="T155" s="211"/>
    </row>
    <row r="156" spans="11:20" x14ac:dyDescent="0.3">
      <c r="K156" s="211"/>
      <c r="L156" s="211"/>
      <c r="M156" s="211"/>
      <c r="N156" s="211"/>
      <c r="O156" s="211"/>
      <c r="P156" s="211"/>
      <c r="Q156" s="211"/>
      <c r="R156" s="211"/>
      <c r="S156" s="211"/>
      <c r="T156" s="211"/>
    </row>
    <row r="157" spans="11:20" x14ac:dyDescent="0.3">
      <c r="K157" s="211"/>
      <c r="L157" s="211"/>
      <c r="M157" s="211"/>
      <c r="N157" s="211"/>
      <c r="O157" s="211"/>
      <c r="P157" s="211"/>
      <c r="Q157" s="211"/>
      <c r="R157" s="211"/>
      <c r="S157" s="211"/>
      <c r="T157" s="211"/>
    </row>
    <row r="158" spans="11:20" x14ac:dyDescent="0.3">
      <c r="K158" s="211"/>
      <c r="L158" s="211"/>
      <c r="M158" s="211"/>
      <c r="N158" s="211"/>
      <c r="O158" s="211"/>
      <c r="P158" s="211"/>
      <c r="Q158" s="211"/>
      <c r="R158" s="211"/>
      <c r="S158" s="211"/>
      <c r="T158" s="211"/>
    </row>
    <row r="159" spans="11:20" x14ac:dyDescent="0.3">
      <c r="K159" s="211"/>
      <c r="L159" s="211"/>
      <c r="M159" s="211"/>
      <c r="N159" s="211"/>
      <c r="O159" s="211"/>
      <c r="P159" s="211"/>
      <c r="Q159" s="211"/>
      <c r="R159" s="211"/>
      <c r="S159" s="211"/>
      <c r="T159" s="211"/>
    </row>
    <row r="160" spans="11:20" x14ac:dyDescent="0.3">
      <c r="K160" s="211"/>
      <c r="L160" s="211"/>
      <c r="M160" s="211"/>
      <c r="N160" s="211"/>
      <c r="O160" s="211"/>
      <c r="P160" s="211"/>
      <c r="Q160" s="211"/>
      <c r="R160" s="211"/>
      <c r="S160" s="211"/>
      <c r="T160" s="211"/>
    </row>
    <row r="161" spans="11:20" x14ac:dyDescent="0.3">
      <c r="K161" s="211"/>
      <c r="L161" s="211"/>
      <c r="M161" s="211"/>
      <c r="N161" s="211"/>
      <c r="O161" s="211"/>
      <c r="P161" s="211"/>
      <c r="Q161" s="211"/>
      <c r="R161" s="211"/>
      <c r="S161" s="211"/>
      <c r="T161" s="211"/>
    </row>
    <row r="162" spans="11:20" x14ac:dyDescent="0.3">
      <c r="K162" s="211"/>
      <c r="L162" s="211"/>
      <c r="M162" s="211"/>
      <c r="N162" s="211"/>
      <c r="O162" s="211"/>
      <c r="P162" s="211"/>
      <c r="Q162" s="211"/>
      <c r="R162" s="211"/>
      <c r="S162" s="211"/>
      <c r="T162" s="211"/>
    </row>
    <row r="163" spans="11:20" x14ac:dyDescent="0.3">
      <c r="K163" s="211"/>
      <c r="L163" s="211"/>
      <c r="M163" s="211"/>
      <c r="N163" s="211"/>
      <c r="O163" s="211"/>
      <c r="P163" s="211"/>
      <c r="Q163" s="211"/>
      <c r="R163" s="211"/>
      <c r="S163" s="211"/>
      <c r="T163" s="211"/>
    </row>
    <row r="164" spans="11:20" x14ac:dyDescent="0.3">
      <c r="K164" s="211"/>
      <c r="L164" s="211"/>
      <c r="M164" s="211"/>
      <c r="N164" s="211"/>
      <c r="O164" s="211"/>
      <c r="P164" s="211"/>
      <c r="Q164" s="211"/>
      <c r="R164" s="211"/>
      <c r="S164" s="211"/>
      <c r="T164" s="211"/>
    </row>
    <row r="165" spans="11:20" x14ac:dyDescent="0.3">
      <c r="K165" s="211"/>
      <c r="L165" s="211"/>
      <c r="M165" s="211"/>
      <c r="N165" s="211"/>
      <c r="O165" s="211"/>
      <c r="P165" s="211"/>
      <c r="Q165" s="211"/>
      <c r="R165" s="211"/>
      <c r="S165" s="211"/>
      <c r="T165" s="211"/>
    </row>
    <row r="166" spans="11:20" x14ac:dyDescent="0.3">
      <c r="K166" s="211"/>
      <c r="L166" s="211"/>
      <c r="M166" s="211"/>
      <c r="N166" s="211"/>
      <c r="O166" s="211"/>
      <c r="P166" s="211"/>
      <c r="Q166" s="211"/>
      <c r="R166" s="211"/>
      <c r="S166" s="211"/>
      <c r="T166" s="211"/>
    </row>
    <row r="167" spans="11:20" x14ac:dyDescent="0.3">
      <c r="K167" s="211"/>
      <c r="L167" s="211"/>
      <c r="M167" s="211"/>
      <c r="N167" s="211"/>
      <c r="O167" s="211"/>
      <c r="P167" s="211"/>
      <c r="Q167" s="211"/>
      <c r="R167" s="211"/>
      <c r="S167" s="211"/>
      <c r="T167" s="211"/>
    </row>
    <row r="168" spans="11:20" x14ac:dyDescent="0.3">
      <c r="K168" s="211"/>
      <c r="L168" s="211"/>
      <c r="M168" s="211"/>
      <c r="N168" s="211"/>
      <c r="O168" s="211"/>
      <c r="P168" s="211"/>
      <c r="Q168" s="211"/>
      <c r="R168" s="211"/>
      <c r="S168" s="211"/>
      <c r="T168" s="211"/>
    </row>
    <row r="169" spans="11:20" x14ac:dyDescent="0.3">
      <c r="K169" s="211"/>
      <c r="L169" s="211"/>
      <c r="M169" s="211"/>
      <c r="N169" s="211"/>
      <c r="O169" s="211"/>
      <c r="P169" s="211"/>
      <c r="Q169" s="211"/>
      <c r="R169" s="211"/>
      <c r="S169" s="211"/>
      <c r="T169" s="211"/>
    </row>
    <row r="170" spans="11:20" x14ac:dyDescent="0.3">
      <c r="K170" s="211"/>
      <c r="L170" s="211"/>
      <c r="M170" s="211"/>
      <c r="N170" s="211"/>
      <c r="O170" s="211"/>
      <c r="P170" s="211"/>
      <c r="Q170" s="211"/>
      <c r="R170" s="211"/>
      <c r="S170" s="211"/>
      <c r="T170" s="211"/>
    </row>
    <row r="171" spans="11:20" x14ac:dyDescent="0.3">
      <c r="K171" s="211"/>
      <c r="L171" s="211"/>
      <c r="M171" s="211"/>
      <c r="N171" s="211"/>
      <c r="O171" s="211"/>
      <c r="P171" s="211"/>
      <c r="Q171" s="211"/>
      <c r="R171" s="211"/>
      <c r="S171" s="211"/>
      <c r="T171" s="211"/>
    </row>
    <row r="172" spans="11:20" x14ac:dyDescent="0.3">
      <c r="K172" s="211"/>
      <c r="L172" s="211"/>
      <c r="M172" s="211"/>
      <c r="N172" s="211"/>
      <c r="O172" s="211"/>
      <c r="P172" s="211"/>
      <c r="Q172" s="211"/>
      <c r="R172" s="211"/>
      <c r="S172" s="211"/>
      <c r="T172" s="211"/>
    </row>
    <row r="173" spans="11:20" x14ac:dyDescent="0.3">
      <c r="K173" s="211"/>
      <c r="L173" s="211"/>
      <c r="M173" s="211"/>
      <c r="N173" s="211"/>
      <c r="O173" s="211"/>
      <c r="P173" s="211"/>
      <c r="Q173" s="211"/>
      <c r="R173" s="211"/>
      <c r="S173" s="211"/>
      <c r="T173" s="211"/>
    </row>
    <row r="174" spans="11:20" x14ac:dyDescent="0.3">
      <c r="K174" s="211"/>
      <c r="L174" s="211"/>
      <c r="M174" s="211"/>
      <c r="N174" s="211"/>
      <c r="O174" s="211"/>
      <c r="P174" s="211"/>
      <c r="Q174" s="211"/>
      <c r="R174" s="211"/>
      <c r="S174" s="211"/>
      <c r="T174" s="211"/>
    </row>
    <row r="175" spans="11:20" x14ac:dyDescent="0.3">
      <c r="K175" s="211"/>
      <c r="L175" s="211"/>
      <c r="M175" s="211"/>
      <c r="N175" s="211"/>
      <c r="O175" s="211"/>
      <c r="P175" s="211"/>
      <c r="Q175" s="211"/>
      <c r="R175" s="211"/>
      <c r="S175" s="211"/>
      <c r="T175" s="211"/>
    </row>
    <row r="176" spans="11:20" x14ac:dyDescent="0.3">
      <c r="K176" s="211"/>
      <c r="L176" s="211"/>
      <c r="M176" s="211"/>
      <c r="N176" s="211"/>
      <c r="O176" s="211"/>
      <c r="P176" s="211"/>
      <c r="Q176" s="211"/>
      <c r="R176" s="211"/>
      <c r="S176" s="211"/>
      <c r="T176" s="211"/>
    </row>
    <row r="177" spans="11:20" x14ac:dyDescent="0.3">
      <c r="K177" s="211"/>
      <c r="L177" s="211"/>
      <c r="M177" s="211"/>
      <c r="N177" s="211"/>
      <c r="O177" s="211"/>
      <c r="P177" s="211"/>
      <c r="Q177" s="211"/>
      <c r="R177" s="211"/>
      <c r="S177" s="211"/>
      <c r="T177" s="211"/>
    </row>
    <row r="178" spans="11:20" x14ac:dyDescent="0.3">
      <c r="K178" s="211"/>
      <c r="L178" s="211"/>
      <c r="M178" s="211"/>
      <c r="N178" s="211"/>
      <c r="O178" s="211"/>
      <c r="P178" s="211"/>
      <c r="Q178" s="211"/>
      <c r="R178" s="211"/>
      <c r="S178" s="211"/>
      <c r="T178" s="211"/>
    </row>
    <row r="179" spans="11:20" x14ac:dyDescent="0.3">
      <c r="K179" s="211"/>
      <c r="L179" s="211"/>
      <c r="M179" s="211"/>
      <c r="N179" s="211"/>
      <c r="O179" s="211"/>
      <c r="P179" s="211"/>
      <c r="Q179" s="211"/>
      <c r="R179" s="211"/>
      <c r="S179" s="211"/>
      <c r="T179" s="211"/>
    </row>
    <row r="180" spans="11:20" x14ac:dyDescent="0.3">
      <c r="K180" s="211"/>
      <c r="L180" s="211"/>
      <c r="M180" s="211"/>
      <c r="N180" s="211"/>
      <c r="O180" s="211"/>
      <c r="P180" s="211"/>
      <c r="Q180" s="211"/>
      <c r="R180" s="211"/>
      <c r="S180" s="211"/>
      <c r="T180" s="211"/>
    </row>
    <row r="181" spans="11:20" x14ac:dyDescent="0.3">
      <c r="K181" s="211"/>
      <c r="L181" s="211"/>
      <c r="M181" s="211"/>
      <c r="N181" s="211"/>
      <c r="O181" s="211"/>
      <c r="P181" s="211"/>
      <c r="Q181" s="211"/>
      <c r="R181" s="211"/>
      <c r="S181" s="211"/>
      <c r="T181" s="211"/>
    </row>
    <row r="182" spans="11:20" x14ac:dyDescent="0.3">
      <c r="K182" s="211"/>
      <c r="L182" s="211"/>
      <c r="M182" s="211"/>
      <c r="N182" s="211"/>
      <c r="O182" s="211"/>
      <c r="P182" s="211"/>
      <c r="Q182" s="211"/>
      <c r="R182" s="211"/>
      <c r="S182" s="211"/>
      <c r="T182" s="211"/>
    </row>
    <row r="183" spans="11:20" x14ac:dyDescent="0.3">
      <c r="K183" s="211"/>
      <c r="L183" s="211"/>
      <c r="M183" s="211"/>
      <c r="N183" s="211"/>
      <c r="O183" s="211"/>
      <c r="P183" s="211"/>
      <c r="Q183" s="211"/>
      <c r="R183" s="211"/>
      <c r="S183" s="211"/>
      <c r="T183" s="211"/>
    </row>
    <row r="184" spans="11:20" x14ac:dyDescent="0.3">
      <c r="K184" s="211"/>
      <c r="L184" s="211"/>
      <c r="M184" s="211"/>
      <c r="N184" s="211"/>
      <c r="O184" s="211"/>
      <c r="P184" s="211"/>
      <c r="Q184" s="211"/>
      <c r="R184" s="211"/>
      <c r="S184" s="211"/>
      <c r="T184" s="211"/>
    </row>
    <row r="185" spans="11:20" x14ac:dyDescent="0.3">
      <c r="K185" s="211"/>
      <c r="L185" s="211"/>
      <c r="M185" s="211"/>
      <c r="N185" s="211"/>
      <c r="O185" s="211"/>
      <c r="P185" s="211"/>
      <c r="Q185" s="211"/>
      <c r="R185" s="211"/>
      <c r="S185" s="211"/>
      <c r="T185" s="211"/>
    </row>
    <row r="186" spans="11:20" x14ac:dyDescent="0.3">
      <c r="K186" s="211"/>
      <c r="L186" s="211"/>
      <c r="M186" s="211"/>
      <c r="N186" s="211"/>
      <c r="O186" s="211"/>
      <c r="P186" s="211"/>
      <c r="Q186" s="211"/>
      <c r="R186" s="211"/>
      <c r="S186" s="211"/>
      <c r="T186" s="211"/>
    </row>
    <row r="187" spans="11:20" x14ac:dyDescent="0.3">
      <c r="K187" s="211"/>
      <c r="L187" s="211"/>
      <c r="M187" s="211"/>
      <c r="N187" s="211"/>
      <c r="O187" s="211"/>
      <c r="P187" s="211"/>
      <c r="Q187" s="211"/>
      <c r="R187" s="211"/>
      <c r="S187" s="211"/>
      <c r="T187" s="211"/>
    </row>
    <row r="188" spans="11:20" x14ac:dyDescent="0.3">
      <c r="K188" s="211"/>
      <c r="L188" s="211"/>
      <c r="M188" s="211"/>
      <c r="N188" s="211"/>
      <c r="O188" s="211"/>
      <c r="P188" s="211"/>
      <c r="Q188" s="211"/>
      <c r="R188" s="211"/>
      <c r="S188" s="211"/>
      <c r="T188" s="211"/>
    </row>
    <row r="189" spans="11:20" x14ac:dyDescent="0.3">
      <c r="K189" s="211"/>
      <c r="L189" s="211"/>
      <c r="M189" s="211"/>
      <c r="N189" s="211"/>
      <c r="O189" s="211"/>
      <c r="P189" s="211"/>
      <c r="Q189" s="211"/>
      <c r="R189" s="211"/>
      <c r="S189" s="211"/>
      <c r="T189" s="211"/>
    </row>
    <row r="190" spans="11:20" x14ac:dyDescent="0.3">
      <c r="K190" s="211"/>
      <c r="L190" s="211"/>
      <c r="M190" s="211"/>
      <c r="N190" s="211"/>
      <c r="O190" s="211"/>
      <c r="P190" s="211"/>
      <c r="Q190" s="211"/>
      <c r="R190" s="211"/>
      <c r="S190" s="211"/>
      <c r="T190" s="211"/>
    </row>
    <row r="191" spans="11:20" x14ac:dyDescent="0.3">
      <c r="K191" s="211"/>
      <c r="L191" s="211"/>
      <c r="M191" s="211"/>
      <c r="N191" s="211"/>
      <c r="O191" s="211"/>
      <c r="P191" s="211"/>
      <c r="Q191" s="211"/>
      <c r="R191" s="211"/>
      <c r="S191" s="211"/>
      <c r="T191" s="211"/>
    </row>
    <row r="192" spans="11:20" x14ac:dyDescent="0.3">
      <c r="K192" s="211"/>
      <c r="L192" s="211"/>
      <c r="M192" s="211"/>
      <c r="N192" s="211"/>
      <c r="O192" s="211"/>
      <c r="P192" s="211"/>
      <c r="Q192" s="211"/>
      <c r="R192" s="211"/>
      <c r="S192" s="211"/>
      <c r="T192" s="211"/>
    </row>
    <row r="193" spans="11:20" x14ac:dyDescent="0.3">
      <c r="K193" s="211"/>
      <c r="L193" s="211"/>
      <c r="M193" s="211"/>
      <c r="N193" s="211"/>
      <c r="O193" s="211"/>
      <c r="P193" s="211"/>
      <c r="Q193" s="211"/>
      <c r="R193" s="211"/>
      <c r="S193" s="211"/>
      <c r="T193" s="211"/>
    </row>
    <row r="194" spans="11:20" x14ac:dyDescent="0.3">
      <c r="K194" s="211"/>
      <c r="L194" s="211"/>
      <c r="M194" s="211"/>
      <c r="N194" s="211"/>
      <c r="O194" s="211"/>
      <c r="P194" s="211"/>
      <c r="Q194" s="211"/>
      <c r="R194" s="211"/>
      <c r="S194" s="211"/>
      <c r="T194" s="211"/>
    </row>
    <row r="195" spans="11:20" x14ac:dyDescent="0.3">
      <c r="K195" s="211"/>
      <c r="L195" s="211"/>
      <c r="M195" s="211"/>
      <c r="N195" s="211"/>
      <c r="O195" s="211"/>
      <c r="P195" s="211"/>
      <c r="Q195" s="211"/>
      <c r="R195" s="211"/>
      <c r="S195" s="211"/>
      <c r="T195" s="211"/>
    </row>
    <row r="196" spans="11:20" x14ac:dyDescent="0.3">
      <c r="K196" s="211"/>
      <c r="L196" s="211"/>
      <c r="M196" s="211"/>
      <c r="N196" s="211"/>
      <c r="O196" s="211"/>
      <c r="P196" s="211"/>
      <c r="Q196" s="211"/>
      <c r="R196" s="211"/>
      <c r="S196" s="211"/>
      <c r="T196" s="211"/>
    </row>
    <row r="197" spans="11:20" x14ac:dyDescent="0.3">
      <c r="K197" s="211"/>
      <c r="L197" s="211"/>
      <c r="M197" s="211"/>
      <c r="N197" s="211"/>
      <c r="O197" s="211"/>
      <c r="P197" s="211"/>
      <c r="Q197" s="211"/>
      <c r="R197" s="211"/>
      <c r="S197" s="211"/>
      <c r="T197" s="211"/>
    </row>
    <row r="198" spans="11:20" x14ac:dyDescent="0.3">
      <c r="K198" s="211"/>
      <c r="L198" s="211"/>
      <c r="M198" s="211"/>
      <c r="N198" s="211"/>
      <c r="O198" s="211"/>
      <c r="P198" s="211"/>
      <c r="Q198" s="211"/>
      <c r="R198" s="211"/>
      <c r="S198" s="211"/>
      <c r="T198" s="211"/>
    </row>
    <row r="199" spans="11:20" x14ac:dyDescent="0.3">
      <c r="K199" s="211"/>
      <c r="L199" s="211"/>
      <c r="M199" s="211"/>
      <c r="N199" s="211"/>
      <c r="O199" s="211"/>
      <c r="P199" s="211"/>
      <c r="Q199" s="211"/>
      <c r="R199" s="211"/>
      <c r="S199" s="211"/>
      <c r="T199" s="211"/>
    </row>
    <row r="200" spans="11:20" x14ac:dyDescent="0.3">
      <c r="K200" s="211"/>
      <c r="L200" s="211"/>
      <c r="M200" s="211"/>
      <c r="N200" s="211"/>
      <c r="O200" s="211"/>
      <c r="P200" s="211"/>
      <c r="Q200" s="211"/>
      <c r="R200" s="211"/>
      <c r="S200" s="211"/>
      <c r="T200" s="211"/>
    </row>
  </sheetData>
  <mergeCells count="5">
    <mergeCell ref="A39:T39"/>
    <mergeCell ref="A41:T41"/>
    <mergeCell ref="A42:T42"/>
    <mergeCell ref="A35:T35"/>
    <mergeCell ref="A38:T38"/>
  </mergeCells>
  <pageMargins left="0.7" right="0.7" top="0.75" bottom="0.75" header="0.3" footer="0.3"/>
  <pageSetup orientation="portrait" horizontalDpi="1200" verticalDpi="1200" r:id="rId1"/>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30-1A63-4581-80C1-8936F7ECF7F2}">
  <sheetPr>
    <tabColor theme="4"/>
  </sheetPr>
  <dimension ref="A1:N55"/>
  <sheetViews>
    <sheetView showGridLines="0" zoomScale="70" zoomScaleNormal="70" workbookViewId="0">
      <pane xSplit="1" ySplit="6" topLeftCell="B7" activePane="bottomRight" state="frozen"/>
      <selection pane="topRight" activeCell="B1" sqref="B1"/>
      <selection pane="bottomLeft" activeCell="A7" sqref="A7"/>
      <selection pane="bottomRight" activeCell="A37" sqref="A37"/>
    </sheetView>
  </sheetViews>
  <sheetFormatPr defaultColWidth="9.109375" defaultRowHeight="15.6" outlineLevelRow="1" x14ac:dyDescent="0.3"/>
  <cols>
    <col min="1" max="1" width="51.6640625" style="211" customWidth="1"/>
    <col min="2" max="6" width="15.6640625" style="211" bestFit="1" customWidth="1"/>
    <col min="7" max="7" width="14" style="211" bestFit="1" customWidth="1"/>
    <col min="8" max="10" width="12.6640625" style="211" bestFit="1" customWidth="1"/>
    <col min="11" max="12" width="11.5546875" style="211" bestFit="1" customWidth="1"/>
    <col min="13" max="16384" width="9.109375" style="211"/>
  </cols>
  <sheetData>
    <row r="1" spans="1:12" s="976" customFormat="1" outlineLevel="1" x14ac:dyDescent="0.3">
      <c r="A1" s="976" t="s">
        <v>708</v>
      </c>
      <c r="B1" s="976">
        <v>2014</v>
      </c>
      <c r="C1" s="976">
        <v>2013</v>
      </c>
      <c r="D1" s="976">
        <v>2012</v>
      </c>
      <c r="E1" s="976">
        <v>2011</v>
      </c>
      <c r="F1" s="976">
        <v>2010</v>
      </c>
      <c r="G1" s="976">
        <v>2009</v>
      </c>
      <c r="H1" s="976">
        <v>2008</v>
      </c>
      <c r="I1" s="976">
        <v>2007</v>
      </c>
      <c r="J1" s="976">
        <v>2006</v>
      </c>
      <c r="K1" s="976">
        <v>2005</v>
      </c>
      <c r="L1" s="976">
        <v>2004</v>
      </c>
    </row>
    <row r="2" spans="1:12" x14ac:dyDescent="0.3">
      <c r="A2" s="459" t="s">
        <v>1863</v>
      </c>
      <c r="B2" s="499"/>
      <c r="C2" s="499"/>
      <c r="D2" s="499"/>
      <c r="E2" s="499"/>
      <c r="F2" s="499"/>
      <c r="G2" s="499"/>
      <c r="H2" s="499"/>
      <c r="I2" s="499"/>
      <c r="J2" s="499"/>
      <c r="K2" s="499"/>
    </row>
    <row r="3" spans="1:12" x14ac:dyDescent="0.3">
      <c r="A3" s="441" t="s">
        <v>1797</v>
      </c>
      <c r="B3" s="441"/>
      <c r="C3" s="441"/>
      <c r="D3" s="441"/>
      <c r="E3" s="441"/>
      <c r="F3" s="441"/>
      <c r="G3" s="441"/>
      <c r="H3" s="441"/>
      <c r="I3" s="441"/>
      <c r="J3" s="441"/>
      <c r="K3" s="441"/>
    </row>
    <row r="4" spans="1:12" ht="9" customHeight="1" thickBot="1" x14ac:dyDescent="0.35"/>
    <row r="5" spans="1:12" x14ac:dyDescent="0.3">
      <c r="A5" s="212" t="s">
        <v>1250</v>
      </c>
      <c r="B5" s="1460">
        <v>2014</v>
      </c>
      <c r="C5" s="1460">
        <v>2013</v>
      </c>
      <c r="D5" s="1460">
        <v>2012</v>
      </c>
      <c r="E5" s="1460">
        <v>2011</v>
      </c>
      <c r="F5" s="1460">
        <v>2010</v>
      </c>
      <c r="G5" s="1460">
        <v>2009</v>
      </c>
      <c r="H5" s="1460">
        <v>2008</v>
      </c>
      <c r="I5" s="1460">
        <v>2007</v>
      </c>
      <c r="J5" s="1460">
        <v>2006</v>
      </c>
      <c r="K5" s="1460">
        <f t="shared" ref="K5" si="0">L5+1</f>
        <v>2005</v>
      </c>
      <c r="L5" s="1461">
        <v>2004</v>
      </c>
    </row>
    <row r="6" spans="1:12" ht="15.9" customHeight="1" x14ac:dyDescent="0.3">
      <c r="A6" s="214" t="s">
        <v>1372</v>
      </c>
      <c r="B6" s="1462">
        <f t="shared" ref="B6" si="1">C15</f>
        <v>221890</v>
      </c>
      <c r="C6" s="1462">
        <f t="shared" ref="C6" si="2">D15</f>
        <v>187647</v>
      </c>
      <c r="D6" s="1462">
        <f t="shared" ref="D6" si="3">E15</f>
        <v>164850</v>
      </c>
      <c r="E6" s="1462">
        <f t="shared" ref="E6" si="4">F15</f>
        <v>157318</v>
      </c>
      <c r="F6" s="1462">
        <f t="shared" ref="F6" si="5">G15</f>
        <v>131102</v>
      </c>
      <c r="G6" s="1462">
        <f t="shared" ref="G6" si="6">H15</f>
        <v>109267</v>
      </c>
      <c r="H6" s="1462">
        <f t="shared" ref="H6" si="7">I15</f>
        <v>120733</v>
      </c>
      <c r="I6" s="1462">
        <f t="shared" ref="I6:K6" si="8">J15</f>
        <v>108419</v>
      </c>
      <c r="J6" s="1462">
        <f t="shared" si="8"/>
        <v>91484</v>
      </c>
      <c r="K6" s="1462">
        <f t="shared" si="8"/>
        <v>85900</v>
      </c>
      <c r="L6" s="1463">
        <v>77596</v>
      </c>
    </row>
    <row r="7" spans="1:12" x14ac:dyDescent="0.3">
      <c r="A7" s="214" t="s">
        <v>1453</v>
      </c>
      <c r="B7" s="922">
        <v>19872</v>
      </c>
      <c r="C7" s="922">
        <v>19476</v>
      </c>
      <c r="D7" s="922">
        <v>14824</v>
      </c>
      <c r="E7" s="922">
        <v>10254</v>
      </c>
      <c r="F7" s="922">
        <v>12967</v>
      </c>
      <c r="G7" s="922">
        <v>8055</v>
      </c>
      <c r="H7" s="922">
        <v>4994</v>
      </c>
      <c r="I7" s="922">
        <v>13213</v>
      </c>
      <c r="J7" s="922">
        <v>11015</v>
      </c>
      <c r="K7" s="922">
        <v>8528</v>
      </c>
      <c r="L7" s="923">
        <v>7308</v>
      </c>
    </row>
    <row r="8" spans="1:12" ht="18.600000000000001" x14ac:dyDescent="0.3">
      <c r="A8" s="214" t="s">
        <v>2060</v>
      </c>
      <c r="B8" s="922">
        <v>118</v>
      </c>
      <c r="C8" s="1157">
        <v>92</v>
      </c>
      <c r="D8" s="922">
        <v>118</v>
      </c>
      <c r="E8" s="922">
        <v>355</v>
      </c>
      <c r="F8" s="922">
        <v>11096</v>
      </c>
      <c r="G8" s="922">
        <v>172</v>
      </c>
      <c r="H8" s="922">
        <v>181</v>
      </c>
      <c r="I8" s="922">
        <v>430</v>
      </c>
      <c r="J8" s="922">
        <v>123</v>
      </c>
      <c r="K8" s="922">
        <v>131</v>
      </c>
      <c r="L8" s="923">
        <v>117</v>
      </c>
    </row>
    <row r="9" spans="1:12" ht="18.600000000000001" x14ac:dyDescent="0.3">
      <c r="A9" s="214" t="s">
        <v>1794</v>
      </c>
      <c r="B9" s="922">
        <v>-400</v>
      </c>
      <c r="C9" s="1157">
        <v>0</v>
      </c>
      <c r="D9" s="922">
        <v>-1296</v>
      </c>
      <c r="E9" s="922">
        <v>-67</v>
      </c>
      <c r="F9" s="922">
        <v>0</v>
      </c>
      <c r="G9" s="922">
        <v>0</v>
      </c>
      <c r="H9" s="922">
        <v>0</v>
      </c>
      <c r="I9" s="922">
        <v>0</v>
      </c>
      <c r="J9" s="922">
        <v>0</v>
      </c>
      <c r="K9" s="922">
        <v>0</v>
      </c>
      <c r="L9" s="923">
        <v>0</v>
      </c>
    </row>
    <row r="10" spans="1:12" ht="18.600000000000001" x14ac:dyDescent="0.3">
      <c r="A10" s="214" t="s">
        <v>2061</v>
      </c>
      <c r="B10" s="922">
        <v>-17</v>
      </c>
      <c r="C10" s="1157">
        <f>-1850-21</f>
        <v>-1871</v>
      </c>
      <c r="D10" s="922">
        <v>-695</v>
      </c>
      <c r="E10" s="922">
        <v>-5</v>
      </c>
      <c r="F10" s="922">
        <v>-636</v>
      </c>
      <c r="G10" s="922">
        <v>-121</v>
      </c>
      <c r="H10" s="922">
        <v>0</v>
      </c>
      <c r="I10" s="922">
        <v>0</v>
      </c>
      <c r="J10" s="922">
        <v>0</v>
      </c>
      <c r="K10" s="922">
        <v>0</v>
      </c>
      <c r="L10" s="923">
        <v>0</v>
      </c>
    </row>
    <row r="11" spans="1:12" ht="18.600000000000001" x14ac:dyDescent="0.3">
      <c r="A11" s="214" t="s">
        <v>2064</v>
      </c>
      <c r="B11" s="922">
        <v>0</v>
      </c>
      <c r="C11" s="1157">
        <v>0</v>
      </c>
      <c r="D11" s="922">
        <v>0</v>
      </c>
      <c r="E11" s="922">
        <v>0</v>
      </c>
      <c r="F11" s="922">
        <v>0</v>
      </c>
      <c r="G11" s="922">
        <v>0</v>
      </c>
      <c r="H11" s="922">
        <f>1025-399</f>
        <v>626</v>
      </c>
      <c r="I11" s="922">
        <v>0</v>
      </c>
      <c r="J11" s="922">
        <v>0</v>
      </c>
      <c r="K11" s="922">
        <v>0</v>
      </c>
      <c r="L11" s="923">
        <v>0</v>
      </c>
    </row>
    <row r="12" spans="1:12" x14ac:dyDescent="0.3">
      <c r="A12" s="214" t="s">
        <v>2038</v>
      </c>
      <c r="B12" s="922">
        <v>0</v>
      </c>
      <c r="C12" s="922">
        <v>0</v>
      </c>
      <c r="D12" s="922">
        <v>0</v>
      </c>
      <c r="E12" s="922">
        <v>0</v>
      </c>
      <c r="F12" s="922">
        <v>0</v>
      </c>
      <c r="G12" s="922">
        <v>0</v>
      </c>
      <c r="H12" s="922">
        <v>0</v>
      </c>
      <c r="I12" s="922">
        <v>28</v>
      </c>
      <c r="J12" s="922">
        <v>180</v>
      </c>
      <c r="K12" s="922">
        <v>0</v>
      </c>
      <c r="L12" s="923">
        <v>0</v>
      </c>
    </row>
    <row r="13" spans="1:12" ht="15.9" customHeight="1" x14ac:dyDescent="0.3">
      <c r="A13" s="282" t="s">
        <v>338</v>
      </c>
      <c r="B13" s="922">
        <f>5831-2062-3360+1176</f>
        <v>1585</v>
      </c>
      <c r="C13" s="1157">
        <f>25111-8691-2447+856</f>
        <v>14829</v>
      </c>
      <c r="D13" s="922">
        <f>15700-5434-953+334</f>
        <v>9647</v>
      </c>
      <c r="E13" s="922">
        <f>-2146+811-1245+436</f>
        <v>-2144</v>
      </c>
      <c r="F13" s="922">
        <f>5398-1866-1068+374</f>
        <v>2838</v>
      </c>
      <c r="G13" s="922">
        <f>17607-6263+2768-969</f>
        <v>13143</v>
      </c>
      <c r="H13" s="922">
        <f>-23342+8257+895-313</f>
        <v>-14503</v>
      </c>
      <c r="I13" s="922">
        <f>2523-872-5494+1923</f>
        <v>-1920</v>
      </c>
      <c r="J13" s="922">
        <f>9278-3246-1646+576</f>
        <v>4962</v>
      </c>
      <c r="K13" s="922">
        <f>2081-728-6261+2191</f>
        <v>-2717</v>
      </c>
      <c r="L13" s="923">
        <f>2599-905-1569+549</f>
        <v>674</v>
      </c>
    </row>
    <row r="14" spans="1:12" ht="15.9" customHeight="1" x14ac:dyDescent="0.3">
      <c r="A14" s="282" t="s">
        <v>2065</v>
      </c>
      <c r="B14" s="922">
        <f>-2032+183-1703+624+8+42</f>
        <v>-2878</v>
      </c>
      <c r="C14" s="922">
        <f>-82+34+2602-950+138-25</f>
        <v>1717</v>
      </c>
      <c r="D14" s="922">
        <f>276-9+5-26-32-15</f>
        <v>199</v>
      </c>
      <c r="E14" s="922">
        <f>-126-18-1121+401+3</f>
        <v>-861</v>
      </c>
      <c r="F14" s="922">
        <f>-172-21-76+25+195</f>
        <v>-49</v>
      </c>
      <c r="G14" s="922">
        <f>851-17-41-1-206</f>
        <v>586</v>
      </c>
      <c r="H14" s="922">
        <f>-2140+118-1071+389-60</f>
        <v>-2764</v>
      </c>
      <c r="I14" s="922">
        <f>456-26+257-102-22</f>
        <v>563</v>
      </c>
      <c r="J14" s="922">
        <f>603+1+563-196-13-303</f>
        <v>655</v>
      </c>
      <c r="K14" s="922">
        <f>-359-26-62+38+51</f>
        <v>-358</v>
      </c>
      <c r="L14" s="923">
        <f>140+134-38+3-34</f>
        <v>205</v>
      </c>
    </row>
    <row r="15" spans="1:12" ht="15.9" customHeight="1" thickBot="1" x14ac:dyDescent="0.35">
      <c r="A15" s="214" t="s">
        <v>1456</v>
      </c>
      <c r="B15" s="1467">
        <f>SUM(B6:B14)</f>
        <v>240170</v>
      </c>
      <c r="C15" s="1467">
        <f t="shared" ref="C15:L15" si="9">SUM(C6:C14)</f>
        <v>221890</v>
      </c>
      <c r="D15" s="1467">
        <f t="shared" si="9"/>
        <v>187647</v>
      </c>
      <c r="E15" s="1467">
        <f t="shared" si="9"/>
        <v>164850</v>
      </c>
      <c r="F15" s="1467">
        <f t="shared" si="9"/>
        <v>157318</v>
      </c>
      <c r="G15" s="1467">
        <f t="shared" si="9"/>
        <v>131102</v>
      </c>
      <c r="H15" s="1467">
        <f t="shared" si="9"/>
        <v>109267</v>
      </c>
      <c r="I15" s="1467">
        <f t="shared" si="9"/>
        <v>120733</v>
      </c>
      <c r="J15" s="1467">
        <f t="shared" si="9"/>
        <v>108419</v>
      </c>
      <c r="K15" s="1467">
        <f t="shared" si="9"/>
        <v>91484</v>
      </c>
      <c r="L15" s="1468">
        <f t="shared" si="9"/>
        <v>85900</v>
      </c>
    </row>
    <row r="16" spans="1:12" ht="15.9" customHeight="1" thickTop="1" x14ac:dyDescent="0.3">
      <c r="A16" s="214"/>
      <c r="B16" s="1458"/>
      <c r="C16" s="1458"/>
      <c r="D16" s="1458"/>
      <c r="E16" s="1458"/>
      <c r="F16" s="1458"/>
      <c r="G16" s="1458"/>
      <c r="H16" s="1458"/>
      <c r="I16" s="1458"/>
      <c r="J16" s="1458"/>
      <c r="K16" s="1458"/>
      <c r="L16" s="1451"/>
    </row>
    <row r="17" spans="1:14" ht="15.9" customHeight="1" x14ac:dyDescent="0.3">
      <c r="A17" s="214" t="s">
        <v>895</v>
      </c>
      <c r="B17" s="1458"/>
      <c r="C17" s="1458"/>
      <c r="D17" s="1458"/>
      <c r="E17" s="1458"/>
      <c r="F17" s="1458"/>
      <c r="G17" s="1458"/>
      <c r="H17" s="1458"/>
      <c r="I17" s="1458"/>
      <c r="J17" s="1458"/>
      <c r="K17" s="1458"/>
      <c r="L17" s="1451"/>
    </row>
    <row r="18" spans="1:14" ht="15.9" customHeight="1" x14ac:dyDescent="0.3">
      <c r="A18" s="214" t="s">
        <v>896</v>
      </c>
      <c r="B18" s="215">
        <v>826339</v>
      </c>
      <c r="C18" s="215">
        <v>859043</v>
      </c>
      <c r="D18" s="215">
        <v>894955</v>
      </c>
      <c r="E18" s="215">
        <v>938244</v>
      </c>
      <c r="F18" s="215">
        <v>947460</v>
      </c>
      <c r="G18" s="215">
        <v>1055281</v>
      </c>
      <c r="H18" s="215">
        <v>1059001</v>
      </c>
      <c r="I18" s="215">
        <v>1081024</v>
      </c>
      <c r="J18" s="215">
        <v>1117568</v>
      </c>
      <c r="K18" s="215">
        <v>1260920</v>
      </c>
      <c r="L18" s="260">
        <v>1268783</v>
      </c>
    </row>
    <row r="19" spans="1:14" ht="15.9" customHeight="1" x14ac:dyDescent="0.3">
      <c r="A19" s="214" t="s">
        <v>897</v>
      </c>
      <c r="B19" s="215">
        <v>1224855488</v>
      </c>
      <c r="C19" s="215">
        <v>1177366608</v>
      </c>
      <c r="D19" s="215">
        <v>1121985472</v>
      </c>
      <c r="E19" s="215">
        <v>1068843376</v>
      </c>
      <c r="F19" s="215">
        <v>1050990468</v>
      </c>
      <c r="G19" s="215">
        <v>744701300</v>
      </c>
      <c r="H19" s="215">
        <v>14706996</v>
      </c>
      <c r="I19" s="215">
        <v>14000080</v>
      </c>
      <c r="J19" s="215">
        <v>12752431</v>
      </c>
      <c r="K19" s="215">
        <v>8394083</v>
      </c>
      <c r="L19" s="260">
        <v>8099175</v>
      </c>
    </row>
    <row r="20" spans="1:14" ht="15.9" customHeight="1" x14ac:dyDescent="0.3">
      <c r="A20" s="214" t="s">
        <v>898</v>
      </c>
      <c r="B20" s="472">
        <f t="shared" ref="B20:F20" si="10">B18+(B19/1500)</f>
        <v>1642909.3253333333</v>
      </c>
      <c r="C20" s="472">
        <f t="shared" si="10"/>
        <v>1643954.0720000002</v>
      </c>
      <c r="D20" s="472">
        <f t="shared" si="10"/>
        <v>1642945.3146666666</v>
      </c>
      <c r="E20" s="472">
        <f t="shared" si="10"/>
        <v>1650806.2506666668</v>
      </c>
      <c r="F20" s="472">
        <f t="shared" si="10"/>
        <v>1648120.3119999999</v>
      </c>
      <c r="G20" s="472">
        <f>G18+(G19/1500)</f>
        <v>1551748.5333333332</v>
      </c>
      <c r="H20" s="472">
        <f t="shared" ref="H20" si="11">H18+(H19/30)</f>
        <v>1549234.2</v>
      </c>
      <c r="I20" s="472">
        <f>I18+(I19/30)</f>
        <v>1547693.3333333333</v>
      </c>
      <c r="J20" s="472">
        <f>J18+(J19/30)</f>
        <v>1542649.0333333332</v>
      </c>
      <c r="K20" s="472">
        <f>K18+(K19/30)</f>
        <v>1540722.7666666666</v>
      </c>
      <c r="L20" s="404">
        <f>L18+(L19/30)</f>
        <v>1538755.5</v>
      </c>
      <c r="N20" s="1656">
        <f>B20/L20-1</f>
        <v>6.7687053162983624E-2</v>
      </c>
    </row>
    <row r="21" spans="1:14" ht="6.9" customHeight="1" x14ac:dyDescent="0.3">
      <c r="A21" s="214"/>
      <c r="B21" s="220"/>
      <c r="C21" s="220"/>
      <c r="D21" s="220"/>
      <c r="E21" s="220"/>
      <c r="F21" s="220"/>
      <c r="G21" s="220"/>
      <c r="H21" s="220"/>
      <c r="I21" s="220"/>
      <c r="J21" s="220"/>
      <c r="K21" s="220"/>
      <c r="L21" s="223"/>
    </row>
    <row r="22" spans="1:14" ht="7.5" customHeight="1" x14ac:dyDescent="0.3">
      <c r="A22" s="214"/>
      <c r="B22" s="220"/>
      <c r="C22" s="220"/>
      <c r="D22" s="220"/>
      <c r="E22" s="220"/>
      <c r="F22" s="220"/>
      <c r="G22" s="220"/>
      <c r="H22" s="220"/>
      <c r="I22" s="220"/>
      <c r="J22" s="220"/>
      <c r="K22" s="220"/>
      <c r="L22" s="223"/>
      <c r="M22" s="211" t="s">
        <v>176</v>
      </c>
    </row>
    <row r="23" spans="1:14" s="345" customFormat="1" hidden="1" outlineLevel="1" x14ac:dyDescent="0.3">
      <c r="A23" s="342" t="s">
        <v>20</v>
      </c>
      <c r="B23" s="1003"/>
      <c r="C23" s="1003"/>
      <c r="D23" s="1003"/>
      <c r="E23" s="1003"/>
      <c r="F23" s="1003"/>
      <c r="G23" s="1003"/>
      <c r="H23" s="1003"/>
      <c r="I23" s="1003"/>
      <c r="J23" s="1003"/>
      <c r="K23" s="1003"/>
      <c r="L23" s="1004"/>
    </row>
    <row r="24" spans="1:14" s="345" customFormat="1" hidden="1" outlineLevel="1" x14ac:dyDescent="0.3">
      <c r="A24" s="342" t="s">
        <v>711</v>
      </c>
      <c r="B24" s="1003"/>
      <c r="C24" s="1003"/>
      <c r="D24" s="1003"/>
      <c r="E24" s="1003"/>
      <c r="F24" s="1003"/>
      <c r="G24" s="1003"/>
      <c r="H24" s="1003"/>
      <c r="I24" s="1003"/>
      <c r="J24" s="1003"/>
      <c r="K24" s="1003"/>
      <c r="L24" s="1452">
        <v>85900</v>
      </c>
    </row>
    <row r="25" spans="1:14" s="345" customFormat="1" hidden="1" outlineLevel="1" x14ac:dyDescent="0.3">
      <c r="A25" s="342" t="s">
        <v>475</v>
      </c>
      <c r="B25" s="1003"/>
      <c r="C25" s="1003"/>
      <c r="D25" s="1003"/>
      <c r="E25" s="1003"/>
      <c r="F25" s="1003"/>
      <c r="G25" s="1003"/>
      <c r="H25" s="1003"/>
      <c r="I25" s="1003"/>
      <c r="J25" s="1003"/>
      <c r="K25" s="1003"/>
      <c r="L25" s="1452">
        <f t="shared" ref="L25" si="12">L15-L24</f>
        <v>0</v>
      </c>
    </row>
    <row r="26" spans="1:14" ht="5.25" customHeight="1" collapsed="1" x14ac:dyDescent="0.3">
      <c r="A26" s="1469"/>
      <c r="B26" s="1653"/>
      <c r="C26" s="1653"/>
      <c r="D26" s="1653"/>
      <c r="E26" s="1653"/>
      <c r="F26" s="1653"/>
      <c r="G26" s="1653"/>
      <c r="H26" s="1653"/>
      <c r="I26" s="1653"/>
      <c r="J26" s="1653"/>
      <c r="K26" s="1653"/>
      <c r="L26" s="1279"/>
    </row>
    <row r="27" spans="1:14" s="1" customFormat="1" ht="6" customHeight="1" x14ac:dyDescent="0.25">
      <c r="A27" s="6"/>
      <c r="B27" s="205"/>
      <c r="C27" s="205"/>
      <c r="D27" s="205"/>
      <c r="E27" s="205"/>
      <c r="F27" s="205"/>
      <c r="G27" s="205"/>
      <c r="H27" s="205"/>
      <c r="I27" s="205"/>
      <c r="J27" s="205"/>
      <c r="K27" s="205"/>
      <c r="L27" s="8"/>
    </row>
    <row r="28" spans="1:14" s="1" customFormat="1" ht="13.8" x14ac:dyDescent="0.25">
      <c r="A28" s="6" t="s">
        <v>1398</v>
      </c>
      <c r="B28" s="205"/>
      <c r="C28" s="205"/>
      <c r="D28" s="205"/>
      <c r="E28" s="205"/>
      <c r="F28" s="205"/>
      <c r="G28" s="205"/>
      <c r="H28" s="205"/>
      <c r="I28" s="205"/>
      <c r="J28" s="205"/>
      <c r="K28" s="205"/>
      <c r="L28" s="8"/>
    </row>
    <row r="29" spans="1:14" s="198" customFormat="1" ht="13.8" x14ac:dyDescent="0.25">
      <c r="A29" s="2824" t="s">
        <v>2062</v>
      </c>
      <c r="B29" s="2825"/>
      <c r="C29" s="2825"/>
      <c r="D29" s="2825"/>
      <c r="E29" s="2825"/>
      <c r="F29" s="2825"/>
      <c r="G29" s="2825"/>
      <c r="H29" s="2825"/>
      <c r="I29" s="2825"/>
      <c r="J29" s="2825"/>
      <c r="K29" s="2825"/>
      <c r="L29" s="2826"/>
    </row>
    <row r="30" spans="1:14" s="198" customFormat="1" ht="13.8" x14ac:dyDescent="0.25">
      <c r="A30" s="2824" t="s">
        <v>2063</v>
      </c>
      <c r="B30" s="2825"/>
      <c r="C30" s="2825"/>
      <c r="D30" s="2825"/>
      <c r="E30" s="2825"/>
      <c r="F30" s="2825"/>
      <c r="G30" s="2825"/>
      <c r="H30" s="2825"/>
      <c r="I30" s="2825"/>
      <c r="J30" s="2825"/>
      <c r="K30" s="2825"/>
      <c r="L30" s="2826"/>
    </row>
    <row r="31" spans="1:14" s="1" customFormat="1" ht="13.8" x14ac:dyDescent="0.25">
      <c r="A31" s="2799" t="s">
        <v>2067</v>
      </c>
      <c r="B31" s="2800"/>
      <c r="C31" s="2800"/>
      <c r="D31" s="2800"/>
      <c r="E31" s="2800"/>
      <c r="F31" s="2800"/>
      <c r="G31" s="2800"/>
      <c r="H31" s="2800"/>
      <c r="I31" s="2800"/>
      <c r="J31" s="2800"/>
      <c r="K31" s="2800"/>
      <c r="L31" s="2801"/>
    </row>
    <row r="32" spans="1:14" s="1" customFormat="1" ht="13.8" x14ac:dyDescent="0.25">
      <c r="A32" s="2799" t="s">
        <v>2066</v>
      </c>
      <c r="B32" s="2800"/>
      <c r="C32" s="2800"/>
      <c r="D32" s="2800"/>
      <c r="E32" s="2800"/>
      <c r="F32" s="2800"/>
      <c r="G32" s="2800"/>
      <c r="H32" s="2800"/>
      <c r="I32" s="2800"/>
      <c r="J32" s="2800"/>
      <c r="K32" s="2800"/>
      <c r="L32" s="2801"/>
    </row>
    <row r="33" spans="1:12" s="1" customFormat="1" ht="14.4" thickBot="1" x14ac:dyDescent="0.3">
      <c r="A33" s="2802" t="s">
        <v>2098</v>
      </c>
      <c r="B33" s="2803"/>
      <c r="C33" s="2803"/>
      <c r="D33" s="2803"/>
      <c r="E33" s="2803"/>
      <c r="F33" s="2803"/>
      <c r="G33" s="2803"/>
      <c r="H33" s="2803"/>
      <c r="I33" s="2803"/>
      <c r="J33" s="2803"/>
      <c r="K33" s="2803"/>
      <c r="L33" s="2804"/>
    </row>
    <row r="34" spans="1:12" x14ac:dyDescent="0.3">
      <c r="A34" s="12" t="s">
        <v>2147</v>
      </c>
      <c r="B34" s="12"/>
      <c r="C34" s="12"/>
      <c r="D34" s="12"/>
      <c r="E34" s="12"/>
      <c r="F34" s="12"/>
      <c r="G34" s="12"/>
      <c r="H34" s="12"/>
      <c r="I34" s="12"/>
      <c r="J34" s="12"/>
      <c r="K34" s="12"/>
    </row>
    <row r="36" spans="1:12" x14ac:dyDescent="0.3">
      <c r="B36" s="1655">
        <f t="shared" ref="B36:L36" si="13">B5</f>
        <v>2014</v>
      </c>
      <c r="C36" s="1655">
        <f t="shared" si="13"/>
        <v>2013</v>
      </c>
      <c r="D36" s="1655">
        <f t="shared" si="13"/>
        <v>2012</v>
      </c>
      <c r="E36" s="1655">
        <f t="shared" si="13"/>
        <v>2011</v>
      </c>
      <c r="F36" s="1655">
        <f t="shared" si="13"/>
        <v>2010</v>
      </c>
      <c r="G36" s="1655">
        <f t="shared" si="13"/>
        <v>2009</v>
      </c>
      <c r="H36" s="1655">
        <f t="shared" si="13"/>
        <v>2008</v>
      </c>
      <c r="I36" s="1655">
        <f t="shared" si="13"/>
        <v>2007</v>
      </c>
      <c r="J36" s="1655">
        <f t="shared" si="13"/>
        <v>2006</v>
      </c>
      <c r="K36" s="1655">
        <f t="shared" si="13"/>
        <v>2005</v>
      </c>
      <c r="L36" s="1655">
        <f t="shared" si="13"/>
        <v>2004</v>
      </c>
    </row>
    <row r="37" spans="1:12" x14ac:dyDescent="0.3">
      <c r="A37" s="211" t="s">
        <v>997</v>
      </c>
      <c r="B37" s="211">
        <v>240170</v>
      </c>
      <c r="C37" s="211">
        <v>221890</v>
      </c>
      <c r="D37" s="211">
        <v>187647</v>
      </c>
      <c r="E37" s="211">
        <v>164850</v>
      </c>
      <c r="F37" s="211">
        <v>157318</v>
      </c>
      <c r="G37" s="211">
        <v>131102</v>
      </c>
      <c r="H37" s="211">
        <v>109267</v>
      </c>
      <c r="I37" s="211">
        <v>120733</v>
      </c>
      <c r="J37" s="211">
        <v>108419</v>
      </c>
      <c r="K37" s="211">
        <v>91484</v>
      </c>
      <c r="L37" s="1654">
        <v>85900</v>
      </c>
    </row>
    <row r="38" spans="1:12" x14ac:dyDescent="0.3">
      <c r="A38" s="211" t="s">
        <v>649</v>
      </c>
      <c r="B38" s="1654">
        <f t="shared" ref="B38:L38" si="14">B15-B37</f>
        <v>0</v>
      </c>
      <c r="C38" s="1654">
        <f t="shared" si="14"/>
        <v>0</v>
      </c>
      <c r="D38" s="1654">
        <f t="shared" si="14"/>
        <v>0</v>
      </c>
      <c r="E38" s="1654">
        <f t="shared" si="14"/>
        <v>0</v>
      </c>
      <c r="F38" s="1654">
        <f t="shared" si="14"/>
        <v>0</v>
      </c>
      <c r="G38" s="1654">
        <f t="shared" si="14"/>
        <v>0</v>
      </c>
      <c r="H38" s="1654">
        <f t="shared" si="14"/>
        <v>0</v>
      </c>
      <c r="I38" s="1654">
        <f t="shared" si="14"/>
        <v>0</v>
      </c>
      <c r="J38" s="1654">
        <f t="shared" si="14"/>
        <v>0</v>
      </c>
      <c r="K38" s="1654">
        <f t="shared" si="14"/>
        <v>0</v>
      </c>
      <c r="L38" s="1654">
        <f t="shared" si="14"/>
        <v>0</v>
      </c>
    </row>
    <row r="42" spans="1:12" x14ac:dyDescent="0.3">
      <c r="A42" s="211" t="s">
        <v>2073</v>
      </c>
      <c r="B42" s="1673">
        <f>K6</f>
        <v>85900</v>
      </c>
    </row>
    <row r="43" spans="1:12" x14ac:dyDescent="0.3">
      <c r="A43" s="211" t="s">
        <v>799</v>
      </c>
      <c r="B43" s="1674">
        <f>SUM(B7:K7)-B44</f>
        <v>107301</v>
      </c>
      <c r="C43" s="227">
        <f>B43/$B$52</f>
        <v>0.69554028651066313</v>
      </c>
    </row>
    <row r="44" spans="1:12" x14ac:dyDescent="0.3">
      <c r="A44" s="211" t="s">
        <v>800</v>
      </c>
      <c r="B44" s="1674">
        <f>SUM('7. Select Parent Fin''l Data'!B40:T40)</f>
        <v>15897</v>
      </c>
      <c r="C44" s="227">
        <f t="shared" ref="C44:C52" si="15">B44/$B$52</f>
        <v>0.10304660659882026</v>
      </c>
    </row>
    <row r="45" spans="1:12" x14ac:dyDescent="0.3">
      <c r="A45" s="211" t="s">
        <v>784</v>
      </c>
      <c r="B45" s="1674">
        <f>SUM(B13:K13)</f>
        <v>25720</v>
      </c>
      <c r="C45" s="227">
        <f t="shared" si="15"/>
        <v>0.16672068451416347</v>
      </c>
    </row>
    <row r="46" spans="1:12" x14ac:dyDescent="0.3">
      <c r="A46" s="211" t="s">
        <v>790</v>
      </c>
      <c r="B46" s="1674">
        <f>SUM(B8:K8)</f>
        <v>12816</v>
      </c>
      <c r="C46" s="227">
        <f t="shared" si="15"/>
        <v>8.3075128022298564E-2</v>
      </c>
    </row>
    <row r="47" spans="1:12" x14ac:dyDescent="0.3">
      <c r="A47" s="211" t="s">
        <v>791</v>
      </c>
      <c r="B47" s="1674">
        <f>SUM(B9:K9)</f>
        <v>-1763</v>
      </c>
      <c r="C47" s="227">
        <f t="shared" si="15"/>
        <v>-1.1428015816425748E-2</v>
      </c>
    </row>
    <row r="48" spans="1:12" x14ac:dyDescent="0.3">
      <c r="A48" s="211" t="s">
        <v>2074</v>
      </c>
      <c r="B48" s="1299">
        <v>0</v>
      </c>
      <c r="C48" s="227">
        <f t="shared" si="15"/>
        <v>0</v>
      </c>
    </row>
    <row r="49" spans="1:3" x14ac:dyDescent="0.3">
      <c r="A49" s="211" t="s">
        <v>279</v>
      </c>
      <c r="B49" s="1674">
        <f>SUM(B10:K12)+SUM(B14:K14)</f>
        <v>-5701</v>
      </c>
      <c r="C49" s="227">
        <f t="shared" si="15"/>
        <v>-3.6954689829519674E-2</v>
      </c>
    </row>
    <row r="50" spans="1:3" x14ac:dyDescent="0.3">
      <c r="A50" s="211" t="s">
        <v>2075</v>
      </c>
      <c r="B50" s="1673">
        <f>SUM(B42:B49)</f>
        <v>240170</v>
      </c>
      <c r="C50" s="227"/>
    </row>
    <row r="51" spans="1:3" x14ac:dyDescent="0.3">
      <c r="B51" s="1299"/>
      <c r="C51" s="227"/>
    </row>
    <row r="52" spans="1:3" x14ac:dyDescent="0.3">
      <c r="A52" s="211" t="s">
        <v>2076</v>
      </c>
      <c r="B52" s="1673">
        <f>B50-B42</f>
        <v>154270</v>
      </c>
      <c r="C52" s="227">
        <f t="shared" si="15"/>
        <v>1</v>
      </c>
    </row>
    <row r="53" spans="1:3" x14ac:dyDescent="0.3">
      <c r="B53" s="1299"/>
    </row>
    <row r="54" spans="1:3" x14ac:dyDescent="0.3">
      <c r="A54" s="211" t="s">
        <v>997</v>
      </c>
      <c r="B54" s="1673">
        <f>B15</f>
        <v>240170</v>
      </c>
    </row>
    <row r="55" spans="1:3" x14ac:dyDescent="0.3">
      <c r="A55" s="211" t="s">
        <v>649</v>
      </c>
      <c r="B55" s="1673">
        <f>B50-B54</f>
        <v>0</v>
      </c>
    </row>
  </sheetData>
  <mergeCells count="5">
    <mergeCell ref="A29:L29"/>
    <mergeCell ref="A32:L32"/>
    <mergeCell ref="A33:L33"/>
    <mergeCell ref="A30:L30"/>
    <mergeCell ref="A31:L31"/>
  </mergeCells>
  <pageMargins left="0.7" right="0.7" top="0.75" bottom="0.75" header="0.3" footer="0.3"/>
  <pageSetup orientation="portrait" horizontalDpi="1200" verticalDpi="1200" r:id="rId1"/>
  <legacy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74249-97FD-41CA-A37B-132A85CD2B7A}">
  <dimension ref="A2:M20"/>
  <sheetViews>
    <sheetView zoomScale="85" zoomScaleNormal="85" workbookViewId="0">
      <pane xSplit="1" ySplit="2" topLeftCell="B3" activePane="bottomRight" state="frozen"/>
      <selection pane="topRight" activeCell="B1" sqref="B1"/>
      <selection pane="bottomLeft" activeCell="A3" sqref="A3"/>
      <selection pane="bottomRight" activeCell="O28" sqref="O28"/>
    </sheetView>
  </sheetViews>
  <sheetFormatPr defaultColWidth="9.109375" defaultRowHeight="15.6" x14ac:dyDescent="0.3"/>
  <cols>
    <col min="1" max="1" width="44.5546875" style="211" customWidth="1"/>
    <col min="2" max="16384" width="9.109375" style="211"/>
  </cols>
  <sheetData>
    <row r="2" spans="1:13" x14ac:dyDescent="0.3">
      <c r="B2" s="211">
        <v>2014</v>
      </c>
      <c r="C2" s="211">
        <v>2013</v>
      </c>
      <c r="D2" s="211">
        <v>2012</v>
      </c>
      <c r="E2" s="211">
        <v>2011</v>
      </c>
      <c r="F2" s="211">
        <v>2010</v>
      </c>
      <c r="G2" s="211">
        <v>2009</v>
      </c>
      <c r="H2" s="211">
        <v>2008</v>
      </c>
      <c r="I2" s="211">
        <v>2007</v>
      </c>
      <c r="J2" s="211">
        <v>2006</v>
      </c>
      <c r="K2" s="211">
        <v>2005</v>
      </c>
    </row>
    <row r="3" spans="1:13" x14ac:dyDescent="0.3">
      <c r="A3" s="211" t="s">
        <v>2028</v>
      </c>
      <c r="B3" s="1224">
        <v>-7774</v>
      </c>
      <c r="C3" s="1224">
        <v>-7546</v>
      </c>
      <c r="D3" s="1224">
        <v>-8250</v>
      </c>
      <c r="E3" s="1224">
        <v>-7362</v>
      </c>
      <c r="F3" s="1224">
        <v>-9819</v>
      </c>
      <c r="G3" s="1224">
        <v>-10798</v>
      </c>
      <c r="H3" s="1224">
        <v>-35615</v>
      </c>
      <c r="I3" s="1224">
        <v>-13394</v>
      </c>
      <c r="J3" s="1224">
        <v>-7747</v>
      </c>
      <c r="K3" s="1224">
        <v>-13937</v>
      </c>
    </row>
    <row r="4" spans="1:13" x14ac:dyDescent="0.3">
      <c r="A4" s="211" t="s">
        <v>2037</v>
      </c>
      <c r="B4" s="1224">
        <v>-7014</v>
      </c>
      <c r="C4" s="1224">
        <v>-8558</v>
      </c>
      <c r="D4" s="1224">
        <v>-7376</v>
      </c>
      <c r="E4" s="1224">
        <v>-15660</v>
      </c>
      <c r="F4" s="1224">
        <v>-4265</v>
      </c>
      <c r="G4" s="1224">
        <v>-4570</v>
      </c>
      <c r="H4" s="1224">
        <v>-10140</v>
      </c>
      <c r="I4" s="1224">
        <v>-19111</v>
      </c>
      <c r="J4" s="1224">
        <v>-9173</v>
      </c>
      <c r="K4" s="1224">
        <v>-8021</v>
      </c>
    </row>
    <row r="5" spans="1:13" x14ac:dyDescent="0.3">
      <c r="A5" s="211" t="s">
        <v>2040</v>
      </c>
      <c r="B5" s="1224">
        <v>-3000</v>
      </c>
      <c r="C5" s="1224">
        <v>-12250</v>
      </c>
      <c r="D5" s="1224">
        <v>0</v>
      </c>
      <c r="E5" s="1224">
        <v>-5000</v>
      </c>
      <c r="F5" s="1224">
        <v>0</v>
      </c>
      <c r="G5" s="1224">
        <v>-7068</v>
      </c>
      <c r="H5" s="1224">
        <v>-14452</v>
      </c>
      <c r="I5" s="1224"/>
      <c r="J5" s="1224"/>
      <c r="K5" s="1224"/>
    </row>
    <row r="6" spans="1:13" x14ac:dyDescent="0.3">
      <c r="A6" s="211" t="s">
        <v>2029</v>
      </c>
      <c r="B6" s="1224">
        <v>1697</v>
      </c>
      <c r="C6" s="1224">
        <v>4311</v>
      </c>
      <c r="D6" s="1224">
        <v>2982</v>
      </c>
      <c r="E6" s="1224">
        <v>3353</v>
      </c>
      <c r="F6" s="1224">
        <v>5435</v>
      </c>
      <c r="G6" s="1224">
        <v>4338</v>
      </c>
      <c r="H6" s="1224">
        <v>14796</v>
      </c>
      <c r="I6" s="1224">
        <v>7821</v>
      </c>
      <c r="J6" s="1224">
        <v>1818</v>
      </c>
      <c r="K6" s="1224">
        <v>3243</v>
      </c>
    </row>
    <row r="7" spans="1:13" x14ac:dyDescent="0.3">
      <c r="A7" s="211" t="s">
        <v>2030</v>
      </c>
      <c r="B7" s="1224">
        <v>6795</v>
      </c>
      <c r="C7" s="1224">
        <v>11203</v>
      </c>
      <c r="D7" s="1224">
        <v>6064</v>
      </c>
      <c r="E7" s="1224">
        <v>6872</v>
      </c>
      <c r="F7" s="1224">
        <v>6517</v>
      </c>
      <c r="G7" s="1224">
        <v>5234</v>
      </c>
      <c r="H7" s="1224">
        <v>18550</v>
      </c>
      <c r="I7" s="1224">
        <v>9158</v>
      </c>
      <c r="J7" s="1224">
        <v>10313</v>
      </c>
      <c r="K7" s="1224">
        <v>7142</v>
      </c>
    </row>
    <row r="8" spans="1:13" x14ac:dyDescent="0.3">
      <c r="A8" s="211" t="s">
        <v>2031</v>
      </c>
      <c r="B8" s="1224">
        <v>8896</v>
      </c>
      <c r="C8" s="1224">
        <v>3869</v>
      </c>
      <c r="D8" s="1224">
        <v>8088</v>
      </c>
      <c r="E8" s="1224">
        <v>1518</v>
      </c>
      <c r="F8" s="1224">
        <v>5886</v>
      </c>
      <c r="G8" s="1224">
        <v>5626</v>
      </c>
      <c r="H8" s="1224">
        <v>6840</v>
      </c>
      <c r="I8" s="1224">
        <v>8054</v>
      </c>
      <c r="J8" s="1224">
        <v>3778</v>
      </c>
      <c r="K8" s="1224">
        <v>1629</v>
      </c>
    </row>
    <row r="9" spans="1:13" x14ac:dyDescent="0.3">
      <c r="B9" s="1224"/>
      <c r="C9" s="1224"/>
      <c r="D9" s="1224"/>
      <c r="E9" s="1224"/>
      <c r="F9" s="1224"/>
      <c r="G9" s="1224"/>
      <c r="H9" s="1224"/>
      <c r="I9" s="1224"/>
      <c r="J9" s="1224"/>
      <c r="K9" s="1224"/>
    </row>
    <row r="10" spans="1:13" x14ac:dyDescent="0.3">
      <c r="A10" s="211" t="s">
        <v>8</v>
      </c>
      <c r="B10" s="1224">
        <v>6215</v>
      </c>
      <c r="C10" s="1224">
        <v>5418</v>
      </c>
      <c r="D10" s="1224">
        <v>5146</v>
      </c>
      <c r="E10" s="1224">
        <v>4683</v>
      </c>
      <c r="F10" s="1224">
        <v>4279</v>
      </c>
      <c r="G10" s="1224">
        <v>3127</v>
      </c>
      <c r="H10" s="1224">
        <v>2810</v>
      </c>
      <c r="I10" s="1224">
        <v>2407</v>
      </c>
      <c r="J10" s="1224">
        <v>2066</v>
      </c>
      <c r="K10" s="1224">
        <v>982</v>
      </c>
      <c r="M10" s="1224">
        <f>SUM(B10:K10)</f>
        <v>37133</v>
      </c>
    </row>
    <row r="11" spans="1:13" x14ac:dyDescent="0.3">
      <c r="A11" s="211" t="s">
        <v>2032</v>
      </c>
      <c r="B11" s="1224">
        <v>-15185</v>
      </c>
      <c r="C11" s="1224">
        <v>-11087</v>
      </c>
      <c r="D11" s="1224">
        <v>-9775</v>
      </c>
      <c r="E11" s="1224">
        <v>-8191</v>
      </c>
      <c r="F11" s="1224">
        <v>-5980</v>
      </c>
      <c r="G11" s="1224">
        <v>-4937</v>
      </c>
      <c r="H11" s="1224">
        <v>-6138</v>
      </c>
      <c r="I11" s="1224">
        <v>-5373</v>
      </c>
      <c r="J11" s="1224">
        <v>-4571</v>
      </c>
      <c r="K11" s="1224">
        <v>-2195</v>
      </c>
      <c r="M11" s="1224">
        <f>SUM(B11:K11)</f>
        <v>-73432</v>
      </c>
    </row>
    <row r="12" spans="1:13" x14ac:dyDescent="0.3">
      <c r="B12" s="1224"/>
      <c r="C12" s="1224"/>
      <c r="D12" s="1224"/>
      <c r="E12" s="1224"/>
      <c r="F12" s="1224"/>
      <c r="G12" s="1224"/>
      <c r="H12" s="1224"/>
      <c r="I12" s="1224"/>
      <c r="J12" s="1224"/>
      <c r="K12" s="1224"/>
    </row>
    <row r="13" spans="1:13" x14ac:dyDescent="0.3">
      <c r="B13" s="1224"/>
      <c r="C13" s="1224"/>
      <c r="D13" s="1224"/>
      <c r="E13" s="1224"/>
      <c r="F13" s="1224"/>
      <c r="G13" s="1224"/>
      <c r="H13" s="1224"/>
      <c r="I13" s="1224"/>
      <c r="J13" s="1224"/>
      <c r="K13" s="1224"/>
    </row>
    <row r="14" spans="1:13" x14ac:dyDescent="0.3">
      <c r="A14" s="211" t="s">
        <v>2036</v>
      </c>
      <c r="B14" s="1224">
        <f t="shared" ref="B14:J14" si="0">B4+B8</f>
        <v>1882</v>
      </c>
      <c r="C14" s="1224">
        <f t="shared" si="0"/>
        <v>-4689</v>
      </c>
      <c r="D14" s="1224">
        <f>D4+D8</f>
        <v>712</v>
      </c>
      <c r="E14" s="1224">
        <f t="shared" si="0"/>
        <v>-14142</v>
      </c>
      <c r="F14" s="1224">
        <f t="shared" si="0"/>
        <v>1621</v>
      </c>
      <c r="G14" s="1224">
        <f t="shared" si="0"/>
        <v>1056</v>
      </c>
      <c r="H14" s="1224">
        <f t="shared" si="0"/>
        <v>-3300</v>
      </c>
      <c r="I14" s="1224">
        <f t="shared" si="0"/>
        <v>-11057</v>
      </c>
      <c r="J14" s="1224">
        <f t="shared" si="0"/>
        <v>-5395</v>
      </c>
      <c r="K14" s="1224">
        <f>K4+K8</f>
        <v>-6392</v>
      </c>
      <c r="M14" s="1224">
        <f>SUM(B14:K14)</f>
        <v>-39704</v>
      </c>
    </row>
    <row r="15" spans="1:13" x14ac:dyDescent="0.3">
      <c r="A15" s="211" t="s">
        <v>2035</v>
      </c>
      <c r="B15" s="1224">
        <f t="shared" ref="B15:J15" si="1">B3+B6+B7</f>
        <v>718</v>
      </c>
      <c r="C15" s="1224">
        <f t="shared" si="1"/>
        <v>7968</v>
      </c>
      <c r="D15" s="1224">
        <f t="shared" si="1"/>
        <v>796</v>
      </c>
      <c r="E15" s="1224">
        <f t="shared" si="1"/>
        <v>2863</v>
      </c>
      <c r="F15" s="1224">
        <f t="shared" si="1"/>
        <v>2133</v>
      </c>
      <c r="G15" s="1224">
        <f t="shared" si="1"/>
        <v>-1226</v>
      </c>
      <c r="H15" s="1224">
        <f t="shared" si="1"/>
        <v>-2269</v>
      </c>
      <c r="I15" s="1224">
        <f t="shared" si="1"/>
        <v>3585</v>
      </c>
      <c r="J15" s="1224">
        <f t="shared" si="1"/>
        <v>4384</v>
      </c>
      <c r="K15" s="1224">
        <f>K3+K6+K7</f>
        <v>-3552</v>
      </c>
      <c r="M15" s="1224">
        <f>SUM(B15:K15)</f>
        <v>15400</v>
      </c>
    </row>
    <row r="16" spans="1:13" x14ac:dyDescent="0.3">
      <c r="A16" s="211" t="s">
        <v>2039</v>
      </c>
      <c r="B16" s="1224">
        <f t="shared" ref="B16:E16" si="2">B5</f>
        <v>-3000</v>
      </c>
      <c r="C16" s="1224">
        <f t="shared" si="2"/>
        <v>-12250</v>
      </c>
      <c r="D16" s="1224">
        <f t="shared" si="2"/>
        <v>0</v>
      </c>
      <c r="E16" s="1224">
        <f t="shared" si="2"/>
        <v>-5000</v>
      </c>
      <c r="F16" s="1224">
        <f>F5</f>
        <v>0</v>
      </c>
      <c r="G16" s="1224">
        <f>G5</f>
        <v>-7068</v>
      </c>
      <c r="H16" s="1224">
        <f>H5</f>
        <v>-14452</v>
      </c>
      <c r="I16" s="1224"/>
      <c r="J16" s="1224"/>
      <c r="K16" s="1224"/>
      <c r="M16" s="1224">
        <f>SUM(B16:K16)</f>
        <v>-41770</v>
      </c>
    </row>
    <row r="17" spans="1:13" x14ac:dyDescent="0.3">
      <c r="B17" s="1224"/>
      <c r="C17" s="1224"/>
      <c r="D17" s="1224"/>
      <c r="E17" s="1224"/>
      <c r="F17" s="1224"/>
      <c r="G17" s="1224"/>
      <c r="H17" s="1224"/>
      <c r="I17" s="1224"/>
      <c r="J17" s="1224"/>
      <c r="K17" s="1224"/>
    </row>
    <row r="18" spans="1:13" x14ac:dyDescent="0.3">
      <c r="A18" s="211" t="s">
        <v>2034</v>
      </c>
      <c r="B18" s="1224">
        <f t="shared" ref="B18:J18" si="3">B10+B11</f>
        <v>-8970</v>
      </c>
      <c r="C18" s="1224">
        <f t="shared" si="3"/>
        <v>-5669</v>
      </c>
      <c r="D18" s="1224">
        <f t="shared" si="3"/>
        <v>-4629</v>
      </c>
      <c r="E18" s="1224">
        <f t="shared" si="3"/>
        <v>-3508</v>
      </c>
      <c r="F18" s="1224">
        <f t="shared" si="3"/>
        <v>-1701</v>
      </c>
      <c r="G18" s="1224">
        <f t="shared" si="3"/>
        <v>-1810</v>
      </c>
      <c r="H18" s="1224">
        <f t="shared" si="3"/>
        <v>-3328</v>
      </c>
      <c r="I18" s="1224">
        <f t="shared" si="3"/>
        <v>-2966</v>
      </c>
      <c r="J18" s="1224">
        <f t="shared" si="3"/>
        <v>-2505</v>
      </c>
      <c r="K18" s="1224">
        <f>K10+K11</f>
        <v>-1213</v>
      </c>
      <c r="M18" s="1224">
        <f>SUM(B18:K18)</f>
        <v>-36299</v>
      </c>
    </row>
    <row r="19" spans="1:13" x14ac:dyDescent="0.3">
      <c r="B19" s="1224"/>
      <c r="C19" s="1224"/>
      <c r="D19" s="1224"/>
      <c r="E19" s="1224"/>
      <c r="F19" s="1224"/>
      <c r="G19" s="1224"/>
      <c r="H19" s="1224"/>
      <c r="I19" s="1224"/>
      <c r="J19" s="1224"/>
      <c r="K19" s="1224"/>
    </row>
    <row r="20" spans="1:13" x14ac:dyDescent="0.3">
      <c r="A20" s="211" t="s">
        <v>2033</v>
      </c>
      <c r="B20" s="1224">
        <v>-4824</v>
      </c>
      <c r="C20" s="1224">
        <v>-6431</v>
      </c>
      <c r="D20" s="1224">
        <v>-3188</v>
      </c>
      <c r="E20" s="1224">
        <v>-8685</v>
      </c>
      <c r="F20" s="1224">
        <v>-15924</v>
      </c>
      <c r="G20" s="1224">
        <v>-108</v>
      </c>
      <c r="H20" s="1224">
        <v>-6050</v>
      </c>
      <c r="I20" s="1224">
        <v>-1602</v>
      </c>
      <c r="J20" s="1224">
        <v>-10132</v>
      </c>
      <c r="K20" s="1224">
        <v>-2387</v>
      </c>
      <c r="M20" s="1224">
        <f>SUM(B20:K20)</f>
        <v>-59331</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28F2-94A6-4EBF-8D47-4F132BA5330B}">
  <sheetPr>
    <tabColor theme="4"/>
  </sheetPr>
  <dimension ref="A1:CH136"/>
  <sheetViews>
    <sheetView showGridLines="0" topLeftCell="A4" zoomScale="70" zoomScaleNormal="70" workbookViewId="0">
      <pane xSplit="1" ySplit="4" topLeftCell="B8" activePane="bottomRight" state="frozen"/>
      <selection activeCell="A4" sqref="A4"/>
      <selection pane="topRight" activeCell="B4" sqref="B4"/>
      <selection pane="bottomLeft" activeCell="A6" sqref="A6"/>
      <selection pane="bottomRight" activeCell="BC94" sqref="BC94"/>
    </sheetView>
  </sheetViews>
  <sheetFormatPr defaultColWidth="8.6640625" defaultRowHeight="15.6" outlineLevelRow="2" outlineLevelCol="1" x14ac:dyDescent="0.3"/>
  <cols>
    <col min="1" max="1" width="56.44140625" style="211" customWidth="1"/>
    <col min="2" max="2" width="9.6640625" style="356" customWidth="1"/>
    <col min="3" max="3" width="1.6640625" style="356" hidden="1" customWidth="1" outlineLevel="1"/>
    <col min="4" max="4" width="8.33203125" style="356" hidden="1" customWidth="1" outlineLevel="1"/>
    <col min="5" max="5" width="1.6640625" style="356" customWidth="1" collapsed="1"/>
    <col min="6" max="6" width="9.6640625" style="356" customWidth="1"/>
    <col min="7" max="7" width="1.6640625" style="356" hidden="1" customWidth="1" outlineLevel="1"/>
    <col min="8" max="8" width="8.33203125" style="356" hidden="1" customWidth="1" outlineLevel="1"/>
    <col min="9" max="9" width="1.6640625" style="356" customWidth="1" collapsed="1"/>
    <col min="10" max="10" width="9.6640625" style="356" customWidth="1"/>
    <col min="11" max="11" width="1.6640625" style="356" hidden="1" customWidth="1" outlineLevel="1"/>
    <col min="12" max="12" width="8.33203125" style="356" hidden="1" customWidth="1" outlineLevel="1"/>
    <col min="13" max="13" width="1.6640625" style="356" customWidth="1" collapsed="1"/>
    <col min="14" max="14" width="9.6640625" style="356" customWidth="1"/>
    <col min="15" max="15" width="1.6640625" style="356" hidden="1" customWidth="1" outlineLevel="1"/>
    <col min="16" max="16" width="8.33203125" style="356" hidden="1" customWidth="1" outlineLevel="1"/>
    <col min="17" max="17" width="1.6640625" style="356" customWidth="1" collapsed="1"/>
    <col min="18" max="18" width="9.6640625" style="356" customWidth="1"/>
    <col min="19" max="19" width="1.6640625" style="356" hidden="1" customWidth="1" outlineLevel="1"/>
    <col min="20" max="20" width="8.33203125" style="356" hidden="1" customWidth="1" outlineLevel="1"/>
    <col min="21" max="21" width="1.6640625" style="356" customWidth="1" collapsed="1"/>
    <col min="22" max="22" width="9.6640625" style="356" customWidth="1"/>
    <col min="23" max="23" width="1.6640625" style="356" hidden="1" customWidth="1" outlineLevel="1"/>
    <col min="24" max="24" width="8.33203125" style="356" hidden="1" customWidth="1" outlineLevel="1"/>
    <col min="25" max="25" width="1.6640625" style="356" customWidth="1" collapsed="1"/>
    <col min="26" max="26" width="9.6640625" style="356" customWidth="1"/>
    <col min="27" max="27" width="1.6640625" style="356" hidden="1" customWidth="1" outlineLevel="1"/>
    <col min="28" max="28" width="8.33203125" style="356" hidden="1" customWidth="1" outlineLevel="1"/>
    <col min="29" max="29" width="1.6640625" style="356" customWidth="1" collapsed="1"/>
    <col min="30" max="30" width="9.6640625" style="356" customWidth="1"/>
    <col min="31" max="31" width="1.6640625" style="356" hidden="1" customWidth="1" outlineLevel="1"/>
    <col min="32" max="32" width="8.33203125" style="356" hidden="1" customWidth="1" outlineLevel="1"/>
    <col min="33" max="33" width="1.6640625" style="356" customWidth="1" collapsed="1"/>
    <col min="34" max="34" width="9.6640625" style="356" customWidth="1"/>
    <col min="35" max="35" width="1.6640625" style="356" hidden="1" customWidth="1" outlineLevel="1"/>
    <col min="36" max="36" width="8.33203125" style="356" hidden="1" customWidth="1" outlineLevel="1"/>
    <col min="37" max="37" width="1.6640625" style="356" customWidth="1" collapsed="1"/>
    <col min="38" max="38" width="9.6640625" style="356" customWidth="1"/>
    <col min="39" max="39" width="1.6640625" style="356" hidden="1" customWidth="1" outlineLevel="1"/>
    <col min="40" max="40" width="8.5546875" style="356" hidden="1" customWidth="1" outlineLevel="1"/>
    <col min="41" max="41" width="1.6640625" style="356" customWidth="1" collapsed="1"/>
    <col min="42" max="42" width="9.6640625" style="356" customWidth="1"/>
    <col min="43" max="43" width="4.5546875" style="356" hidden="1" customWidth="1" outlineLevel="1"/>
    <col min="44" max="44" width="11.33203125" style="356" hidden="1" customWidth="1" outlineLevel="1"/>
    <col min="45" max="45" width="1.6640625" style="356" customWidth="1" collapsed="1"/>
    <col min="46" max="46" width="1.6640625" style="211" customWidth="1"/>
    <col min="47" max="51" width="11.109375" style="211" bestFit="1" customWidth="1"/>
    <col min="52" max="16384" width="8.6640625" style="211"/>
  </cols>
  <sheetData>
    <row r="1" spans="1:86" s="152" customFormat="1" outlineLevel="1" x14ac:dyDescent="0.3">
      <c r="A1" s="459" t="s">
        <v>691</v>
      </c>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row>
    <row r="2" spans="1:86" s="1262" customFormat="1" ht="16.2" outlineLevel="1" x14ac:dyDescent="0.35">
      <c r="A2" s="1262" t="s">
        <v>556</v>
      </c>
      <c r="B2" s="1262">
        <v>2014</v>
      </c>
      <c r="F2" s="1262">
        <v>2013</v>
      </c>
      <c r="J2" s="1262">
        <v>2012</v>
      </c>
      <c r="N2" s="1262">
        <v>2011</v>
      </c>
      <c r="R2" s="1262">
        <v>2010</v>
      </c>
      <c r="V2" s="1262">
        <v>2009</v>
      </c>
      <c r="Z2" s="1262">
        <v>2008</v>
      </c>
      <c r="AD2" s="1262">
        <v>2007</v>
      </c>
      <c r="AH2" s="1262">
        <v>2006</v>
      </c>
      <c r="AL2" s="1262">
        <v>2005</v>
      </c>
      <c r="AP2" s="1262">
        <v>2004</v>
      </c>
      <c r="AT2" s="1263"/>
      <c r="AU2" s="1263"/>
      <c r="AV2" s="1263"/>
      <c r="AW2" s="1263"/>
      <c r="AX2" s="1263"/>
      <c r="AY2" s="1263"/>
      <c r="AZ2" s="1263"/>
      <c r="BA2" s="1263"/>
      <c r="BB2" s="1263"/>
      <c r="BC2" s="1263"/>
      <c r="BD2" s="1263"/>
      <c r="BE2" s="1263"/>
      <c r="BF2" s="1263"/>
      <c r="BG2" s="1263"/>
      <c r="BH2" s="1263"/>
      <c r="BI2" s="1263"/>
      <c r="BJ2" s="1263"/>
      <c r="BK2" s="1263"/>
      <c r="BL2" s="1263"/>
      <c r="BM2" s="1263"/>
      <c r="BN2" s="1263"/>
      <c r="BO2" s="1263"/>
      <c r="BP2" s="1263"/>
      <c r="BQ2" s="1263"/>
      <c r="BR2" s="1263"/>
      <c r="BS2" s="1263"/>
      <c r="BT2" s="1263"/>
      <c r="BU2" s="1263"/>
      <c r="BV2" s="1263"/>
      <c r="BW2" s="1263"/>
      <c r="BX2" s="1263"/>
      <c r="BY2" s="1263"/>
      <c r="BZ2" s="1263"/>
      <c r="CA2" s="1263"/>
      <c r="CB2" s="1263"/>
      <c r="CC2" s="1263"/>
      <c r="CD2" s="1263"/>
      <c r="CE2" s="1263"/>
      <c r="CF2" s="1263"/>
      <c r="CG2" s="1263"/>
      <c r="CH2" s="1263"/>
    </row>
    <row r="3" spans="1:86" x14ac:dyDescent="0.3">
      <c r="A3" s="459" t="s">
        <v>1863</v>
      </c>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row>
    <row r="4" spans="1:86" x14ac:dyDescent="0.3">
      <c r="A4" s="459" t="s">
        <v>1863</v>
      </c>
      <c r="B4" s="211"/>
      <c r="C4" s="211"/>
      <c r="D4" s="211"/>
      <c r="E4" s="211"/>
      <c r="F4" s="211"/>
      <c r="G4" s="211"/>
      <c r="H4" s="211"/>
      <c r="I4" s="211"/>
      <c r="J4" s="211"/>
      <c r="K4" s="211"/>
      <c r="L4" s="211"/>
      <c r="M4" s="211"/>
      <c r="N4" s="211"/>
      <c r="O4" s="211"/>
      <c r="P4" s="211"/>
      <c r="Q4" s="211"/>
      <c r="R4" s="211"/>
      <c r="S4" s="211"/>
      <c r="T4" s="211"/>
      <c r="U4" s="211"/>
      <c r="V4" s="211" t="s">
        <v>176</v>
      </c>
      <c r="W4" s="211"/>
      <c r="X4" s="211"/>
      <c r="Y4" s="211"/>
      <c r="Z4" s="211"/>
      <c r="AA4" s="211"/>
      <c r="AB4" s="211"/>
      <c r="AC4" s="211"/>
      <c r="AD4" s="211"/>
      <c r="AE4" s="211"/>
      <c r="AF4" s="211"/>
      <c r="AG4" s="211"/>
      <c r="AH4" s="211"/>
      <c r="AI4" s="211"/>
      <c r="AJ4" s="211"/>
      <c r="AK4" s="211"/>
      <c r="AL4" s="211"/>
      <c r="AM4" s="211"/>
      <c r="AN4" s="211"/>
      <c r="AO4" s="211"/>
      <c r="AP4" s="211"/>
      <c r="AQ4" s="211"/>
      <c r="AR4" s="211"/>
      <c r="AS4" s="211"/>
    </row>
    <row r="5" spans="1:86" x14ac:dyDescent="0.3">
      <c r="A5" s="152" t="s">
        <v>827</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row>
    <row r="6" spans="1:86" ht="8.25" customHeight="1" thickBot="1" x14ac:dyDescent="0.35">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row>
    <row r="7" spans="1:86" x14ac:dyDescent="0.3">
      <c r="A7" s="212" t="s">
        <v>1250</v>
      </c>
      <c r="B7" s="2928">
        <v>2014</v>
      </c>
      <c r="C7" s="2928"/>
      <c r="D7" s="2928"/>
      <c r="E7" s="1562"/>
      <c r="F7" s="2928">
        <v>2013</v>
      </c>
      <c r="G7" s="2928"/>
      <c r="H7" s="2928"/>
      <c r="I7" s="1562"/>
      <c r="J7" s="2928">
        <v>2012</v>
      </c>
      <c r="K7" s="2928"/>
      <c r="L7" s="2928"/>
      <c r="M7" s="1562"/>
      <c r="N7" s="2928">
        <v>2011</v>
      </c>
      <c r="O7" s="2928"/>
      <c r="P7" s="2928"/>
      <c r="Q7" s="1562"/>
      <c r="R7" s="2928">
        <v>2010</v>
      </c>
      <c r="S7" s="2928"/>
      <c r="T7" s="2928"/>
      <c r="U7" s="1562"/>
      <c r="V7" s="2928">
        <v>2009</v>
      </c>
      <c r="W7" s="2928"/>
      <c r="X7" s="2928"/>
      <c r="Y7" s="1562"/>
      <c r="Z7" s="2928">
        <v>2008</v>
      </c>
      <c r="AA7" s="2928"/>
      <c r="AB7" s="2928"/>
      <c r="AC7" s="1562"/>
      <c r="AD7" s="2928">
        <v>2007</v>
      </c>
      <c r="AE7" s="2928"/>
      <c r="AF7" s="2928"/>
      <c r="AG7" s="1562"/>
      <c r="AH7" s="2928">
        <v>2006</v>
      </c>
      <c r="AI7" s="2928"/>
      <c r="AJ7" s="2928"/>
      <c r="AK7" s="1562"/>
      <c r="AL7" s="2928">
        <v>2005</v>
      </c>
      <c r="AM7" s="2928"/>
      <c r="AN7" s="2928"/>
      <c r="AO7" s="1562"/>
      <c r="AP7" s="2928">
        <v>2004</v>
      </c>
      <c r="AQ7" s="2928"/>
      <c r="AR7" s="2928"/>
      <c r="AS7" s="1564"/>
      <c r="AT7" s="1265"/>
    </row>
    <row r="8" spans="1:86" x14ac:dyDescent="0.3">
      <c r="A8" s="213" t="s">
        <v>497</v>
      </c>
      <c r="B8" s="220"/>
      <c r="C8" s="220"/>
      <c r="D8" s="220"/>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3"/>
    </row>
    <row r="9" spans="1:86" ht="16.2" thickBot="1" x14ac:dyDescent="0.35">
      <c r="A9" s="214" t="s">
        <v>526</v>
      </c>
      <c r="B9" s="1275">
        <v>20962</v>
      </c>
      <c r="C9" s="392"/>
      <c r="D9" s="392"/>
      <c r="E9" s="392"/>
      <c r="F9" s="1275">
        <v>19083</v>
      </c>
      <c r="G9" s="392"/>
      <c r="H9" s="392"/>
      <c r="I9" s="392"/>
      <c r="J9" s="1275">
        <v>17129</v>
      </c>
      <c r="K9" s="392"/>
      <c r="L9" s="392"/>
      <c r="M9" s="392"/>
      <c r="N9" s="1275">
        <v>15664</v>
      </c>
      <c r="O9" s="392"/>
      <c r="P9" s="392"/>
      <c r="Q9" s="392"/>
      <c r="R9" s="1275">
        <v>14494</v>
      </c>
      <c r="S9" s="392"/>
      <c r="T9" s="392"/>
      <c r="U9" s="392"/>
      <c r="V9" s="1275">
        <v>13758</v>
      </c>
      <c r="W9" s="392"/>
      <c r="X9" s="392"/>
      <c r="Y9" s="392"/>
      <c r="Z9" s="1275">
        <v>12741</v>
      </c>
      <c r="AA9" s="392"/>
      <c r="AB9" s="392"/>
      <c r="AC9" s="392"/>
      <c r="AD9" s="1275">
        <v>11931</v>
      </c>
      <c r="AE9" s="392"/>
      <c r="AF9" s="392"/>
      <c r="AG9" s="392"/>
      <c r="AH9" s="1275">
        <v>11303</v>
      </c>
      <c r="AI9" s="392"/>
      <c r="AJ9" s="392"/>
      <c r="AK9" s="392"/>
      <c r="AL9" s="1275">
        <v>10285</v>
      </c>
      <c r="AM9" s="392"/>
      <c r="AN9" s="392"/>
      <c r="AO9" s="392"/>
      <c r="AP9" s="1275">
        <v>9212</v>
      </c>
      <c r="AQ9" s="392"/>
      <c r="AR9" s="392"/>
      <c r="AS9" s="223"/>
    </row>
    <row r="10" spans="1:86" ht="16.2" thickTop="1" x14ac:dyDescent="0.3">
      <c r="A10" s="214" t="s">
        <v>101</v>
      </c>
      <c r="B10" s="1277">
        <v>20496</v>
      </c>
      <c r="C10" s="215"/>
      <c r="D10" s="868">
        <f>B10/B$10</f>
        <v>1</v>
      </c>
      <c r="E10" s="464"/>
      <c r="F10" s="1277">
        <v>18572</v>
      </c>
      <c r="G10" s="215"/>
      <c r="H10" s="868">
        <f>F10/F$10</f>
        <v>1</v>
      </c>
      <c r="I10" s="464"/>
      <c r="J10" s="1277">
        <v>16740</v>
      </c>
      <c r="K10" s="215"/>
      <c r="L10" s="868">
        <f>J10/J$10</f>
        <v>1</v>
      </c>
      <c r="M10" s="464"/>
      <c r="N10" s="1277">
        <v>15363</v>
      </c>
      <c r="O10" s="215"/>
      <c r="P10" s="868">
        <f>N10/N$10</f>
        <v>1</v>
      </c>
      <c r="Q10" s="464"/>
      <c r="R10" s="1277">
        <v>14283</v>
      </c>
      <c r="S10" s="215"/>
      <c r="T10" s="868">
        <f>R10/R$10</f>
        <v>1</v>
      </c>
      <c r="U10" s="464"/>
      <c r="V10" s="1277">
        <v>13576</v>
      </c>
      <c r="W10" s="215"/>
      <c r="X10" s="868">
        <f>V10/V$10</f>
        <v>1</v>
      </c>
      <c r="Y10" s="464"/>
      <c r="Z10" s="1277">
        <v>12479</v>
      </c>
      <c r="AA10" s="215"/>
      <c r="AB10" s="868">
        <f>Z10/Z$10</f>
        <v>1</v>
      </c>
      <c r="AC10" s="464"/>
      <c r="AD10" s="1277">
        <v>11806</v>
      </c>
      <c r="AE10" s="215"/>
      <c r="AF10" s="868">
        <f>AD10/AD$10</f>
        <v>1</v>
      </c>
      <c r="AG10" s="464"/>
      <c r="AH10" s="1277">
        <v>11055</v>
      </c>
      <c r="AI10" s="215"/>
      <c r="AJ10" s="868">
        <f>AH10/AH$10</f>
        <v>1</v>
      </c>
      <c r="AK10" s="464"/>
      <c r="AL10" s="1277">
        <v>10101</v>
      </c>
      <c r="AM10" s="215"/>
      <c r="AN10" s="868">
        <f>AL10/AL$10</f>
        <v>1</v>
      </c>
      <c r="AO10" s="464"/>
      <c r="AP10" s="1277">
        <v>8915</v>
      </c>
      <c r="AQ10" s="215"/>
      <c r="AR10" s="868">
        <f>AP10/AP$10</f>
        <v>1</v>
      </c>
      <c r="AS10" s="223"/>
    </row>
    <row r="11" spans="1:86" hidden="1" outlineLevel="1" x14ac:dyDescent="0.3">
      <c r="A11" s="214" t="s">
        <v>527</v>
      </c>
      <c r="B11" s="922">
        <v>15924</v>
      </c>
      <c r="C11" s="215"/>
      <c r="D11" s="464">
        <f>B11/B$10</f>
        <v>0.77693208430913352</v>
      </c>
      <c r="E11" s="464"/>
      <c r="F11" s="922">
        <v>14255</v>
      </c>
      <c r="G11" s="215"/>
      <c r="H11" s="464">
        <f>F11/F$10</f>
        <v>0.76755330605212146</v>
      </c>
      <c r="I11" s="464"/>
      <c r="J11" s="922">
        <v>12700</v>
      </c>
      <c r="K11" s="215"/>
      <c r="L11" s="464">
        <f>J11/J$10</f>
        <v>0.75866188769414578</v>
      </c>
      <c r="M11" s="464"/>
      <c r="N11" s="922">
        <v>12013</v>
      </c>
      <c r="O11" s="215"/>
      <c r="P11" s="464">
        <f>N11/N$10</f>
        <v>0.78194363080127582</v>
      </c>
      <c r="Q11" s="464"/>
      <c r="R11" s="922">
        <v>10631</v>
      </c>
      <c r="S11" s="215"/>
      <c r="T11" s="464">
        <f>R11/R$10</f>
        <v>0.74431141916964227</v>
      </c>
      <c r="U11" s="464"/>
      <c r="V11" s="922">
        <v>10457</v>
      </c>
      <c r="W11" s="215"/>
      <c r="X11" s="464">
        <f>V11/V$10</f>
        <v>0.77025633470830879</v>
      </c>
      <c r="Y11" s="464"/>
      <c r="Z11" s="922">
        <v>9332</v>
      </c>
      <c r="AA11" s="215"/>
      <c r="AB11" s="464">
        <f>Z11/Z$10</f>
        <v>0.74781633143681381</v>
      </c>
      <c r="AC11" s="464"/>
      <c r="AD11" s="922">
        <v>8523</v>
      </c>
      <c r="AE11" s="215"/>
      <c r="AF11" s="464">
        <f>AD11/AD$10</f>
        <v>0.7219210570896154</v>
      </c>
      <c r="AG11" s="464"/>
      <c r="AH11" s="922">
        <v>7749</v>
      </c>
      <c r="AI11" s="215"/>
      <c r="AJ11" s="464">
        <f>AH11/AH$10</f>
        <v>0.70094979647218458</v>
      </c>
      <c r="AK11" s="464"/>
      <c r="AL11" s="922">
        <v>7128</v>
      </c>
      <c r="AM11" s="215"/>
      <c r="AN11" s="464">
        <f>AL11/AL$10</f>
        <v>0.70567270567270568</v>
      </c>
      <c r="AO11" s="464"/>
      <c r="AP11" s="922">
        <v>6360</v>
      </c>
      <c r="AQ11" s="215"/>
      <c r="AR11" s="464">
        <f>AP11/AP$10</f>
        <v>0.71340437464946715</v>
      </c>
      <c r="AS11" s="223"/>
    </row>
    <row r="12" spans="1:86" hidden="1" outlineLevel="1" x14ac:dyDescent="0.3">
      <c r="A12" s="214" t="s">
        <v>102</v>
      </c>
      <c r="B12" s="1232">
        <v>3413</v>
      </c>
      <c r="C12" s="215"/>
      <c r="D12" s="868">
        <f>B12/B$10</f>
        <v>0.16652029664324747</v>
      </c>
      <c r="E12" s="464"/>
      <c r="F12" s="1232">
        <v>3190</v>
      </c>
      <c r="G12" s="215"/>
      <c r="H12" s="868">
        <f>F12/F$10</f>
        <v>0.17176394572474693</v>
      </c>
      <c r="I12" s="464"/>
      <c r="J12" s="1232">
        <v>3360</v>
      </c>
      <c r="K12" s="215"/>
      <c r="L12" s="868">
        <f>J12/J$10</f>
        <v>0.20071684587813621</v>
      </c>
      <c r="M12" s="464"/>
      <c r="N12" s="1232">
        <v>2774</v>
      </c>
      <c r="O12" s="215"/>
      <c r="P12" s="868">
        <f>N12/N$10</f>
        <v>0.18056369198724206</v>
      </c>
      <c r="Q12" s="464"/>
      <c r="R12" s="1232">
        <v>2535</v>
      </c>
      <c r="S12" s="215"/>
      <c r="T12" s="868">
        <f>R12/R$10</f>
        <v>0.17748372190716236</v>
      </c>
      <c r="U12" s="464"/>
      <c r="V12" s="1232">
        <v>2470</v>
      </c>
      <c r="W12" s="215"/>
      <c r="X12" s="868">
        <f>V12/V$10</f>
        <v>0.18193871538008249</v>
      </c>
      <c r="Y12" s="464"/>
      <c r="Z12" s="1232">
        <v>2231</v>
      </c>
      <c r="AA12" s="215"/>
      <c r="AB12" s="868">
        <f>Z12/Z$10</f>
        <v>0.17878035098966263</v>
      </c>
      <c r="AC12" s="464"/>
      <c r="AD12" s="1232">
        <v>2170</v>
      </c>
      <c r="AE12" s="215"/>
      <c r="AF12" s="868">
        <f>AD12/AD$10</f>
        <v>0.18380484499407082</v>
      </c>
      <c r="AG12" s="464"/>
      <c r="AH12" s="1232">
        <v>1992</v>
      </c>
      <c r="AI12" s="215"/>
      <c r="AJ12" s="868">
        <f>AH12/AH$10</f>
        <v>0.1801899592944369</v>
      </c>
      <c r="AK12" s="464"/>
      <c r="AL12" s="1232">
        <v>1752</v>
      </c>
      <c r="AM12" s="215"/>
      <c r="AN12" s="868">
        <f>AL12/AL$10</f>
        <v>0.17344817344817345</v>
      </c>
      <c r="AO12" s="464"/>
      <c r="AP12" s="1232">
        <v>1585</v>
      </c>
      <c r="AQ12" s="215"/>
      <c r="AR12" s="868">
        <f>AP12/AP$10</f>
        <v>0.17779024116657319</v>
      </c>
      <c r="AS12" s="223"/>
    </row>
    <row r="13" spans="1:86" hidden="1" outlineLevel="1" x14ac:dyDescent="0.3">
      <c r="A13" s="214" t="s">
        <v>685</v>
      </c>
      <c r="B13" s="922">
        <f>B11+B12</f>
        <v>19337</v>
      </c>
      <c r="C13" s="215"/>
      <c r="D13" s="464">
        <f>B13/B$10</f>
        <v>0.94345238095238093</v>
      </c>
      <c r="E13" s="464"/>
      <c r="F13" s="922">
        <f>F11+F12</f>
        <v>17445</v>
      </c>
      <c r="G13" s="215"/>
      <c r="H13" s="464">
        <f>F13/F$10</f>
        <v>0.93931725177686842</v>
      </c>
      <c r="I13" s="464"/>
      <c r="J13" s="922">
        <f>J11+J12</f>
        <v>16060</v>
      </c>
      <c r="K13" s="215"/>
      <c r="L13" s="464">
        <f>J13/J$10</f>
        <v>0.95937873357228198</v>
      </c>
      <c r="M13" s="464"/>
      <c r="N13" s="922">
        <f>N11+N12</f>
        <v>14787</v>
      </c>
      <c r="O13" s="215"/>
      <c r="P13" s="464">
        <f>N13/N$10</f>
        <v>0.96250732278851792</v>
      </c>
      <c r="Q13" s="464"/>
      <c r="R13" s="922">
        <f>R11+R12</f>
        <v>13166</v>
      </c>
      <c r="S13" s="215"/>
      <c r="T13" s="464">
        <f>R13/R$10</f>
        <v>0.9217951410768046</v>
      </c>
      <c r="U13" s="464"/>
      <c r="V13" s="922">
        <f>V11+V12</f>
        <v>12927</v>
      </c>
      <c r="W13" s="215"/>
      <c r="X13" s="464">
        <f>V13/V$10</f>
        <v>0.95219505008839123</v>
      </c>
      <c r="Y13" s="464"/>
      <c r="Z13" s="922">
        <f>Z11+Z12</f>
        <v>11563</v>
      </c>
      <c r="AA13" s="215"/>
      <c r="AB13" s="464">
        <f>Z13/Z$10</f>
        <v>0.92659668242647653</v>
      </c>
      <c r="AC13" s="464"/>
      <c r="AD13" s="922">
        <f>AD11+AD12</f>
        <v>10693</v>
      </c>
      <c r="AE13" s="215"/>
      <c r="AF13" s="464">
        <f>AD13/AD$10</f>
        <v>0.90572590208368631</v>
      </c>
      <c r="AG13" s="464"/>
      <c r="AH13" s="922">
        <f>AH11+AH12</f>
        <v>9741</v>
      </c>
      <c r="AI13" s="215"/>
      <c r="AJ13" s="464">
        <f>AH13/AH$10</f>
        <v>0.8811397557666214</v>
      </c>
      <c r="AK13" s="464"/>
      <c r="AL13" s="922">
        <f>AL11+AL12</f>
        <v>8880</v>
      </c>
      <c r="AM13" s="215"/>
      <c r="AN13" s="464">
        <f>AL13/AL$10</f>
        <v>0.87912087912087911</v>
      </c>
      <c r="AO13" s="464"/>
      <c r="AP13" s="922">
        <f>AP11+AP12</f>
        <v>7945</v>
      </c>
      <c r="AQ13" s="215"/>
      <c r="AR13" s="464">
        <f>AP13/AP$10</f>
        <v>0.89119461581604043</v>
      </c>
      <c r="AS13" s="223"/>
    </row>
    <row r="14" spans="1:86" collapsed="1" x14ac:dyDescent="0.3">
      <c r="A14" s="214" t="s">
        <v>1523</v>
      </c>
      <c r="B14" s="1282">
        <f>B10-B13</f>
        <v>1159</v>
      </c>
      <c r="C14" s="215"/>
      <c r="D14" s="464"/>
      <c r="E14" s="464"/>
      <c r="F14" s="1282">
        <f>F10-F13</f>
        <v>1127</v>
      </c>
      <c r="G14" s="215"/>
      <c r="H14" s="464"/>
      <c r="I14" s="464"/>
      <c r="J14" s="1282">
        <f>J10-J13</f>
        <v>680</v>
      </c>
      <c r="K14" s="215"/>
      <c r="L14" s="464"/>
      <c r="M14" s="464"/>
      <c r="N14" s="1282">
        <f>N10-N13</f>
        <v>576</v>
      </c>
      <c r="O14" s="215"/>
      <c r="P14" s="464"/>
      <c r="Q14" s="464"/>
      <c r="R14" s="1282">
        <f>R10-R13</f>
        <v>1117</v>
      </c>
      <c r="S14" s="215"/>
      <c r="T14" s="464"/>
      <c r="U14" s="464"/>
      <c r="V14" s="1282">
        <f>V10-V13</f>
        <v>649</v>
      </c>
      <c r="W14" s="215"/>
      <c r="X14" s="464"/>
      <c r="Y14" s="464"/>
      <c r="Z14" s="1282">
        <f>Z10-Z13</f>
        <v>916</v>
      </c>
      <c r="AA14" s="215"/>
      <c r="AB14" s="464"/>
      <c r="AC14" s="464"/>
      <c r="AD14" s="1282">
        <f>AD10-AD13</f>
        <v>1113</v>
      </c>
      <c r="AE14" s="215"/>
      <c r="AF14" s="464"/>
      <c r="AG14" s="464"/>
      <c r="AH14" s="1282">
        <f>AH10-AH13</f>
        <v>1314</v>
      </c>
      <c r="AI14" s="215"/>
      <c r="AJ14" s="464"/>
      <c r="AK14" s="464"/>
      <c r="AL14" s="1282">
        <f>AL10-AL13</f>
        <v>1221</v>
      </c>
      <c r="AM14" s="215"/>
      <c r="AN14" s="464"/>
      <c r="AO14" s="464"/>
      <c r="AP14" s="1282">
        <f>AP10-AP13</f>
        <v>970</v>
      </c>
      <c r="AQ14" s="215"/>
      <c r="AR14" s="464"/>
      <c r="AS14" s="223"/>
    </row>
    <row r="15" spans="1:86" ht="4.5" customHeight="1" x14ac:dyDescent="0.3">
      <c r="A15" s="214"/>
      <c r="B15" s="875"/>
      <c r="C15" s="215"/>
      <c r="D15" s="464"/>
      <c r="E15" s="464"/>
      <c r="F15" s="875"/>
      <c r="G15" s="215"/>
      <c r="H15" s="464"/>
      <c r="I15" s="464"/>
      <c r="J15" s="875"/>
      <c r="K15" s="215"/>
      <c r="L15" s="464"/>
      <c r="M15" s="464"/>
      <c r="N15" s="875"/>
      <c r="O15" s="215"/>
      <c r="P15" s="464"/>
      <c r="Q15" s="464"/>
      <c r="R15" s="875"/>
      <c r="S15" s="215"/>
      <c r="T15" s="464"/>
      <c r="U15" s="464"/>
      <c r="V15" s="875"/>
      <c r="W15" s="215"/>
      <c r="X15" s="464"/>
      <c r="Y15" s="464"/>
      <c r="Z15" s="875"/>
      <c r="AA15" s="215"/>
      <c r="AB15" s="464"/>
      <c r="AC15" s="464"/>
      <c r="AD15" s="875"/>
      <c r="AE15" s="215"/>
      <c r="AF15" s="464"/>
      <c r="AG15" s="464"/>
      <c r="AH15" s="875"/>
      <c r="AI15" s="215"/>
      <c r="AJ15" s="464"/>
      <c r="AK15" s="464"/>
      <c r="AL15" s="875"/>
      <c r="AM15" s="215"/>
      <c r="AN15" s="464"/>
      <c r="AO15" s="464"/>
      <c r="AP15" s="875"/>
      <c r="AQ15" s="215"/>
      <c r="AR15" s="464"/>
      <c r="AS15" s="223"/>
    </row>
    <row r="16" spans="1:86" ht="4.5" customHeight="1" x14ac:dyDescent="0.3">
      <c r="A16" s="1155"/>
      <c r="B16" s="1278"/>
      <c r="C16" s="686"/>
      <c r="D16" s="728"/>
      <c r="E16" s="728"/>
      <c r="F16" s="1278"/>
      <c r="G16" s="686"/>
      <c r="H16" s="728"/>
      <c r="I16" s="728"/>
      <c r="J16" s="1278"/>
      <c r="K16" s="686"/>
      <c r="L16" s="728"/>
      <c r="M16" s="728"/>
      <c r="N16" s="1278"/>
      <c r="O16" s="686"/>
      <c r="P16" s="728"/>
      <c r="Q16" s="728"/>
      <c r="R16" s="1278"/>
      <c r="S16" s="686"/>
      <c r="T16" s="728"/>
      <c r="U16" s="728"/>
      <c r="V16" s="1278"/>
      <c r="W16" s="686"/>
      <c r="X16" s="728"/>
      <c r="Y16" s="728"/>
      <c r="Z16" s="1278"/>
      <c r="AA16" s="686"/>
      <c r="AB16" s="728"/>
      <c r="AC16" s="728"/>
      <c r="AD16" s="1278"/>
      <c r="AE16" s="686"/>
      <c r="AF16" s="728"/>
      <c r="AG16" s="728"/>
      <c r="AH16" s="1278"/>
      <c r="AI16" s="686"/>
      <c r="AJ16" s="728"/>
      <c r="AK16" s="728"/>
      <c r="AL16" s="1278"/>
      <c r="AM16" s="686"/>
      <c r="AN16" s="728"/>
      <c r="AO16" s="728"/>
      <c r="AP16" s="1278"/>
      <c r="AQ16" s="686"/>
      <c r="AR16" s="728"/>
      <c r="AS16" s="1279"/>
    </row>
    <row r="17" spans="1:86" ht="4.5" customHeight="1" x14ac:dyDescent="0.3">
      <c r="A17" s="214"/>
      <c r="B17" s="875"/>
      <c r="C17" s="215"/>
      <c r="D17" s="464"/>
      <c r="E17" s="464"/>
      <c r="F17" s="875"/>
      <c r="G17" s="215"/>
      <c r="H17" s="464"/>
      <c r="I17" s="464"/>
      <c r="J17" s="875"/>
      <c r="K17" s="215"/>
      <c r="L17" s="464"/>
      <c r="M17" s="464"/>
      <c r="N17" s="875"/>
      <c r="O17" s="215"/>
      <c r="P17" s="464"/>
      <c r="Q17" s="464"/>
      <c r="R17" s="875"/>
      <c r="S17" s="215"/>
      <c r="T17" s="464"/>
      <c r="U17" s="464"/>
      <c r="V17" s="875"/>
      <c r="W17" s="215"/>
      <c r="X17" s="464"/>
      <c r="Y17" s="464"/>
      <c r="Z17" s="875"/>
      <c r="AA17" s="215"/>
      <c r="AB17" s="464"/>
      <c r="AC17" s="464"/>
      <c r="AD17" s="875"/>
      <c r="AE17" s="215"/>
      <c r="AF17" s="464"/>
      <c r="AG17" s="464"/>
      <c r="AH17" s="875"/>
      <c r="AI17" s="215"/>
      <c r="AJ17" s="464"/>
      <c r="AK17" s="464"/>
      <c r="AL17" s="875"/>
      <c r="AM17" s="215"/>
      <c r="AN17" s="464"/>
      <c r="AO17" s="464"/>
      <c r="AP17" s="875"/>
      <c r="AQ17" s="215"/>
      <c r="AR17" s="464"/>
      <c r="AS17" s="223"/>
    </row>
    <row r="18" spans="1:86" s="658" customFormat="1" x14ac:dyDescent="0.3">
      <c r="A18" s="213" t="s">
        <v>901</v>
      </c>
      <c r="B18" s="887"/>
      <c r="C18" s="886"/>
      <c r="D18" s="887"/>
      <c r="E18" s="887"/>
      <c r="F18" s="887"/>
      <c r="G18" s="886"/>
      <c r="H18" s="887"/>
      <c r="I18" s="887"/>
      <c r="J18" s="887"/>
      <c r="K18" s="886"/>
      <c r="L18" s="887"/>
      <c r="M18" s="887"/>
      <c r="N18" s="887"/>
      <c r="O18" s="886"/>
      <c r="P18" s="887"/>
      <c r="Q18" s="887"/>
      <c r="R18" s="887"/>
      <c r="S18" s="886"/>
      <c r="T18" s="887"/>
      <c r="U18" s="887"/>
      <c r="V18" s="887"/>
      <c r="W18" s="886"/>
      <c r="X18" s="887"/>
      <c r="Y18" s="887"/>
      <c r="Z18" s="887"/>
      <c r="AA18" s="886"/>
      <c r="AB18" s="887"/>
      <c r="AC18" s="887"/>
      <c r="AD18" s="887"/>
      <c r="AE18" s="886"/>
      <c r="AF18" s="887"/>
      <c r="AG18" s="887"/>
      <c r="AH18" s="887"/>
      <c r="AI18" s="886"/>
      <c r="AJ18" s="887"/>
      <c r="AK18" s="887"/>
      <c r="AL18" s="887"/>
      <c r="AM18" s="886"/>
      <c r="AN18" s="887"/>
      <c r="AO18" s="887"/>
      <c r="AP18" s="887"/>
      <c r="AQ18" s="886"/>
      <c r="AR18" s="887"/>
      <c r="AS18" s="223"/>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row>
    <row r="19" spans="1:86" s="658" customFormat="1" hidden="1" outlineLevel="1" x14ac:dyDescent="0.3">
      <c r="A19" s="214" t="s">
        <v>907</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3"/>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row>
    <row r="20" spans="1:86" s="658" customFormat="1" hidden="1" outlineLevel="1" x14ac:dyDescent="0.3">
      <c r="A20" s="214" t="s">
        <v>902</v>
      </c>
      <c r="B20" s="782"/>
      <c r="C20" s="220"/>
      <c r="D20" s="220"/>
      <c r="E20" s="220"/>
      <c r="F20" s="782"/>
      <c r="G20" s="220"/>
      <c r="H20" s="220"/>
      <c r="I20" s="220"/>
      <c r="J20" s="782"/>
      <c r="K20" s="220"/>
      <c r="L20" s="220"/>
      <c r="M20" s="220"/>
      <c r="N20" s="782"/>
      <c r="O20" s="220"/>
      <c r="P20" s="220"/>
      <c r="Q20" s="220"/>
      <c r="R20" s="782"/>
      <c r="S20" s="220"/>
      <c r="T20" s="220"/>
      <c r="U20" s="220"/>
      <c r="V20" s="782"/>
      <c r="W20" s="220"/>
      <c r="X20" s="220"/>
      <c r="Y20" s="220"/>
      <c r="Z20" s="782"/>
      <c r="AA20" s="220"/>
      <c r="AB20" s="220"/>
      <c r="AC20" s="220"/>
      <c r="AD20" s="782"/>
      <c r="AE20" s="220"/>
      <c r="AF20" s="220"/>
      <c r="AG20" s="220"/>
      <c r="AH20" s="1297">
        <v>1731</v>
      </c>
      <c r="AI20" s="220"/>
      <c r="AJ20" s="220"/>
      <c r="AK20" s="220"/>
      <c r="AL20" s="1297">
        <v>1988</v>
      </c>
      <c r="AM20" s="220"/>
      <c r="AN20" s="220"/>
      <c r="AO20" s="220"/>
      <c r="AP20" s="1297">
        <v>2747</v>
      </c>
      <c r="AQ20" s="220"/>
      <c r="AR20" s="220"/>
      <c r="AS20" s="223"/>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row>
    <row r="21" spans="1:86" s="658" customFormat="1" hidden="1" outlineLevel="1" x14ac:dyDescent="0.3">
      <c r="A21" s="214" t="s">
        <v>903</v>
      </c>
      <c r="B21" s="507"/>
      <c r="C21" s="220"/>
      <c r="D21" s="220"/>
      <c r="E21" s="220"/>
      <c r="F21" s="507"/>
      <c r="G21" s="220"/>
      <c r="H21" s="220"/>
      <c r="I21" s="220"/>
      <c r="J21" s="507"/>
      <c r="K21" s="220"/>
      <c r="L21" s="220"/>
      <c r="M21" s="220"/>
      <c r="N21" s="507"/>
      <c r="O21" s="220"/>
      <c r="P21" s="220"/>
      <c r="Q21" s="220"/>
      <c r="R21" s="507"/>
      <c r="S21" s="220"/>
      <c r="T21" s="220"/>
      <c r="U21" s="220"/>
      <c r="V21" s="507"/>
      <c r="W21" s="220"/>
      <c r="X21" s="220"/>
      <c r="Y21" s="220"/>
      <c r="Z21" s="507"/>
      <c r="AA21" s="220"/>
      <c r="AB21" s="220"/>
      <c r="AC21" s="220"/>
      <c r="AD21" s="507"/>
      <c r="AE21" s="220"/>
      <c r="AF21" s="220"/>
      <c r="AG21" s="220"/>
      <c r="AH21" s="922">
        <v>1850</v>
      </c>
      <c r="AI21" s="220"/>
      <c r="AJ21" s="220"/>
      <c r="AK21" s="220"/>
      <c r="AL21" s="922">
        <v>1864</v>
      </c>
      <c r="AM21" s="220"/>
      <c r="AN21" s="220"/>
      <c r="AO21" s="220"/>
      <c r="AP21" s="922">
        <v>2091</v>
      </c>
      <c r="AQ21" s="220"/>
      <c r="AR21" s="220"/>
      <c r="AS21" s="223"/>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row>
    <row r="22" spans="1:86" s="658" customFormat="1" hidden="1" outlineLevel="1" x14ac:dyDescent="0.3">
      <c r="A22" s="214" t="s">
        <v>1081</v>
      </c>
      <c r="B22" s="922">
        <v>3257</v>
      </c>
      <c r="C22" s="220"/>
      <c r="D22" s="220"/>
      <c r="E22" s="220"/>
      <c r="F22" s="922">
        <v>2972</v>
      </c>
      <c r="G22" s="220"/>
      <c r="H22" s="220"/>
      <c r="I22" s="220"/>
      <c r="J22" s="922">
        <v>2982</v>
      </c>
      <c r="K22" s="220"/>
      <c r="L22" s="220"/>
      <c r="M22" s="220"/>
      <c r="N22" s="922">
        <v>2910</v>
      </c>
      <c r="O22" s="220"/>
      <c r="P22" s="220"/>
      <c r="Q22" s="220"/>
      <c r="R22" s="922">
        <v>2923</v>
      </c>
      <c r="S22" s="220"/>
      <c r="T22" s="220"/>
      <c r="U22" s="220"/>
      <c r="V22" s="922">
        <v>3091</v>
      </c>
      <c r="W22" s="220"/>
      <c r="X22" s="220"/>
      <c r="Y22" s="220"/>
      <c r="Z22" s="922">
        <v>3383</v>
      </c>
      <c r="AA22" s="220"/>
      <c r="AB22" s="220"/>
      <c r="AC22" s="220"/>
      <c r="AD22" s="922">
        <v>3478</v>
      </c>
      <c r="AE22" s="220"/>
      <c r="AF22" s="220"/>
      <c r="AG22" s="220"/>
      <c r="AH22" s="507"/>
      <c r="AI22" s="220"/>
      <c r="AJ22" s="220"/>
      <c r="AK22" s="220"/>
      <c r="AL22" s="507"/>
      <c r="AM22" s="220"/>
      <c r="AN22" s="220"/>
      <c r="AO22" s="220"/>
      <c r="AP22" s="507"/>
      <c r="AQ22" s="220"/>
      <c r="AR22" s="220"/>
      <c r="AS22" s="223"/>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row>
    <row r="23" spans="1:86" s="658" customFormat="1" hidden="1" outlineLevel="1" x14ac:dyDescent="0.3">
      <c r="A23" s="214" t="s">
        <v>904</v>
      </c>
      <c r="B23" s="922">
        <v>3161</v>
      </c>
      <c r="C23" s="220"/>
      <c r="D23" s="220"/>
      <c r="E23" s="220"/>
      <c r="F23" s="922">
        <v>2991</v>
      </c>
      <c r="G23" s="220"/>
      <c r="H23" s="220"/>
      <c r="I23" s="220"/>
      <c r="J23" s="922">
        <v>3002</v>
      </c>
      <c r="K23" s="220"/>
      <c r="L23" s="220"/>
      <c r="M23" s="220"/>
      <c r="N23" s="922">
        <v>2909</v>
      </c>
      <c r="O23" s="220"/>
      <c r="P23" s="220"/>
      <c r="Q23" s="220"/>
      <c r="R23" s="922">
        <v>2709</v>
      </c>
      <c r="S23" s="220"/>
      <c r="T23" s="220"/>
      <c r="U23" s="220"/>
      <c r="V23" s="922">
        <v>2630</v>
      </c>
      <c r="W23" s="220"/>
      <c r="X23" s="220"/>
      <c r="Y23" s="220"/>
      <c r="Z23" s="922">
        <v>2588</v>
      </c>
      <c r="AA23" s="220"/>
      <c r="AB23" s="220"/>
      <c r="AC23" s="220"/>
      <c r="AD23" s="922">
        <v>2479</v>
      </c>
      <c r="AE23" s="220"/>
      <c r="AF23" s="220"/>
      <c r="AG23" s="220"/>
      <c r="AH23" s="922">
        <v>2368</v>
      </c>
      <c r="AI23" s="220"/>
      <c r="AJ23" s="220"/>
      <c r="AK23" s="220"/>
      <c r="AL23" s="922">
        <v>2303</v>
      </c>
      <c r="AM23" s="220"/>
      <c r="AN23" s="220"/>
      <c r="AO23" s="220"/>
      <c r="AP23" s="922">
        <v>2022</v>
      </c>
      <c r="AQ23" s="220"/>
      <c r="AR23" s="220"/>
      <c r="AS23" s="223"/>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row>
    <row r="24" spans="1:86" s="658" customFormat="1" ht="16.2" collapsed="1" thickBot="1" x14ac:dyDescent="0.35">
      <c r="A24" s="214" t="s">
        <v>526</v>
      </c>
      <c r="B24" s="1275">
        <f>SUM(B20:B23)</f>
        <v>6418</v>
      </c>
      <c r="C24" s="392"/>
      <c r="D24" s="392"/>
      <c r="E24" s="392"/>
      <c r="F24" s="1275">
        <f>SUM(F20:F23)</f>
        <v>5963</v>
      </c>
      <c r="G24" s="392"/>
      <c r="H24" s="392"/>
      <c r="I24" s="392"/>
      <c r="J24" s="1275">
        <f>SUM(J20:J23)</f>
        <v>5984</v>
      </c>
      <c r="K24" s="392"/>
      <c r="L24" s="392"/>
      <c r="M24" s="392"/>
      <c r="N24" s="1275">
        <f>SUM(N20:N23)</f>
        <v>5819</v>
      </c>
      <c r="O24" s="392"/>
      <c r="P24" s="392"/>
      <c r="Q24" s="392"/>
      <c r="R24" s="1275">
        <f>SUM(R20:R23)</f>
        <v>5632</v>
      </c>
      <c r="S24" s="392"/>
      <c r="T24" s="392"/>
      <c r="U24" s="392"/>
      <c r="V24" s="1275">
        <f>SUM(V20:V23)</f>
        <v>5721</v>
      </c>
      <c r="W24" s="392"/>
      <c r="X24" s="392"/>
      <c r="Y24" s="392"/>
      <c r="Z24" s="1275">
        <f>SUM(Z20:Z23)</f>
        <v>5971</v>
      </c>
      <c r="AA24" s="392"/>
      <c r="AB24" s="392"/>
      <c r="AC24" s="392"/>
      <c r="AD24" s="1275">
        <f>SUM(AD20:AD23)</f>
        <v>5957</v>
      </c>
      <c r="AE24" s="392"/>
      <c r="AF24" s="392"/>
      <c r="AG24" s="392"/>
      <c r="AH24" s="1275">
        <f>SUM(AH20:AH23)</f>
        <v>5949</v>
      </c>
      <c r="AI24" s="392"/>
      <c r="AJ24" s="392"/>
      <c r="AK24" s="392"/>
      <c r="AL24" s="1275">
        <f>SUM(AL20:AL23)</f>
        <v>6155</v>
      </c>
      <c r="AM24" s="392"/>
      <c r="AN24" s="392"/>
      <c r="AO24" s="392"/>
      <c r="AP24" s="1275">
        <f>SUM(AP20:AP23)</f>
        <v>6860</v>
      </c>
      <c r="AQ24" s="220"/>
      <c r="AR24" s="220"/>
      <c r="AS24" s="223"/>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row>
    <row r="25" spans="1:86" s="658" customFormat="1" ht="9" hidden="1" customHeight="1" outlineLevel="1" x14ac:dyDescent="0.3">
      <c r="A25" s="1272"/>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3"/>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row>
    <row r="26" spans="1:86" s="658" customFormat="1" ht="16.2" hidden="1" outlineLevel="1" thickTop="1" x14ac:dyDescent="0.3">
      <c r="A26" s="214" t="s">
        <v>452</v>
      </c>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3"/>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row>
    <row r="27" spans="1:86" s="658" customFormat="1" ht="16.2" hidden="1" outlineLevel="1" thickTop="1" x14ac:dyDescent="0.3">
      <c r="A27" s="214" t="s">
        <v>902</v>
      </c>
      <c r="B27" s="782"/>
      <c r="C27" s="220"/>
      <c r="D27" s="220"/>
      <c r="E27" s="220"/>
      <c r="F27" s="782"/>
      <c r="G27" s="220"/>
      <c r="H27" s="220"/>
      <c r="I27" s="220"/>
      <c r="J27" s="782"/>
      <c r="K27" s="220"/>
      <c r="L27" s="220"/>
      <c r="M27" s="220"/>
      <c r="N27" s="782"/>
      <c r="O27" s="220"/>
      <c r="P27" s="220"/>
      <c r="Q27" s="220"/>
      <c r="R27" s="782"/>
      <c r="S27" s="220"/>
      <c r="T27" s="220"/>
      <c r="U27" s="220"/>
      <c r="V27" s="782"/>
      <c r="W27" s="220"/>
      <c r="X27" s="220"/>
      <c r="Y27" s="220"/>
      <c r="Z27" s="782"/>
      <c r="AA27" s="220"/>
      <c r="AB27" s="220"/>
      <c r="AC27" s="220"/>
      <c r="AD27" s="782"/>
      <c r="AE27" s="220"/>
      <c r="AF27" s="220"/>
      <c r="AG27" s="220"/>
      <c r="AH27" s="1297">
        <v>1799</v>
      </c>
      <c r="AI27" s="220"/>
      <c r="AJ27" s="220"/>
      <c r="AK27" s="220"/>
      <c r="AL27" s="1297">
        <v>2201</v>
      </c>
      <c r="AM27" s="220"/>
      <c r="AN27" s="220"/>
      <c r="AO27" s="220"/>
      <c r="AP27" s="1297">
        <v>3012</v>
      </c>
      <c r="AQ27" s="220"/>
      <c r="AR27" s="220"/>
      <c r="AS27" s="223"/>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row>
    <row r="28" spans="1:86" s="658" customFormat="1" ht="16.2" hidden="1" outlineLevel="1" thickTop="1" x14ac:dyDescent="0.3">
      <c r="A28" s="214" t="s">
        <v>903</v>
      </c>
      <c r="B28" s="507"/>
      <c r="C28" s="220"/>
      <c r="D28" s="220"/>
      <c r="E28" s="220"/>
      <c r="F28" s="507"/>
      <c r="G28" s="220"/>
      <c r="H28" s="220"/>
      <c r="I28" s="220"/>
      <c r="J28" s="507"/>
      <c r="K28" s="220"/>
      <c r="L28" s="220"/>
      <c r="M28" s="220"/>
      <c r="N28" s="507"/>
      <c r="O28" s="220"/>
      <c r="P28" s="220"/>
      <c r="Q28" s="220"/>
      <c r="R28" s="507"/>
      <c r="S28" s="220"/>
      <c r="T28" s="220"/>
      <c r="U28" s="220"/>
      <c r="V28" s="507"/>
      <c r="W28" s="220"/>
      <c r="X28" s="220"/>
      <c r="Y28" s="220"/>
      <c r="Z28" s="507"/>
      <c r="AA28" s="220"/>
      <c r="AB28" s="220"/>
      <c r="AC28" s="220"/>
      <c r="AD28" s="507"/>
      <c r="AE28" s="220"/>
      <c r="AF28" s="220"/>
      <c r="AG28" s="220"/>
      <c r="AH28" s="922">
        <v>1912</v>
      </c>
      <c r="AI28" s="220"/>
      <c r="AJ28" s="220"/>
      <c r="AK28" s="220"/>
      <c r="AL28" s="922">
        <v>1939</v>
      </c>
      <c r="AM28" s="220"/>
      <c r="AN28" s="220"/>
      <c r="AO28" s="220"/>
      <c r="AP28" s="922">
        <v>2218</v>
      </c>
      <c r="AQ28" s="220"/>
      <c r="AR28" s="220"/>
      <c r="AS28" s="223"/>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row>
    <row r="29" spans="1:86" s="658" customFormat="1" ht="16.2" hidden="1" outlineLevel="1" thickTop="1" x14ac:dyDescent="0.3">
      <c r="A29" s="214" t="s">
        <v>1081</v>
      </c>
      <c r="B29" s="922">
        <v>3103</v>
      </c>
      <c r="C29" s="220"/>
      <c r="D29" s="220"/>
      <c r="E29" s="220"/>
      <c r="F29" s="922">
        <v>3007</v>
      </c>
      <c r="G29" s="220"/>
      <c r="H29" s="220"/>
      <c r="I29" s="220"/>
      <c r="J29" s="922">
        <v>2904</v>
      </c>
      <c r="K29" s="220"/>
      <c r="L29" s="220"/>
      <c r="M29" s="220"/>
      <c r="N29" s="922">
        <v>2941</v>
      </c>
      <c r="O29" s="220"/>
      <c r="P29" s="220"/>
      <c r="Q29" s="220"/>
      <c r="R29" s="922">
        <v>2979</v>
      </c>
      <c r="S29" s="220"/>
      <c r="T29" s="220"/>
      <c r="U29" s="220"/>
      <c r="V29" s="922">
        <v>3203</v>
      </c>
      <c r="W29" s="220"/>
      <c r="X29" s="220"/>
      <c r="Y29" s="220"/>
      <c r="Z29" s="922">
        <v>3434</v>
      </c>
      <c r="AA29" s="220"/>
      <c r="AB29" s="220"/>
      <c r="AC29" s="220"/>
      <c r="AD29" s="922">
        <v>3614</v>
      </c>
      <c r="AE29" s="220"/>
      <c r="AF29" s="220"/>
      <c r="AG29" s="220"/>
      <c r="AH29" s="507"/>
      <c r="AI29" s="220"/>
      <c r="AJ29" s="220"/>
      <c r="AK29" s="220"/>
      <c r="AL29" s="507"/>
      <c r="AM29" s="220"/>
      <c r="AN29" s="220"/>
      <c r="AO29" s="220"/>
      <c r="AP29" s="507"/>
      <c r="AQ29" s="220"/>
      <c r="AR29" s="220"/>
      <c r="AS29" s="223"/>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row>
    <row r="30" spans="1:86" s="658" customFormat="1" ht="16.2" hidden="1" outlineLevel="1" thickTop="1" x14ac:dyDescent="0.3">
      <c r="A30" s="214" t="s">
        <v>904</v>
      </c>
      <c r="B30" s="922">
        <v>3161</v>
      </c>
      <c r="C30" s="220"/>
      <c r="D30" s="220"/>
      <c r="E30" s="220"/>
      <c r="F30" s="922">
        <v>2977</v>
      </c>
      <c r="G30" s="220"/>
      <c r="H30" s="220"/>
      <c r="I30" s="220"/>
      <c r="J30" s="922">
        <v>2966</v>
      </c>
      <c r="K30" s="220"/>
      <c r="L30" s="220"/>
      <c r="M30" s="220"/>
      <c r="N30" s="922">
        <v>2875</v>
      </c>
      <c r="O30" s="220"/>
      <c r="P30" s="220"/>
      <c r="Q30" s="220"/>
      <c r="R30" s="922">
        <v>2714</v>
      </c>
      <c r="S30" s="220"/>
      <c r="T30" s="220"/>
      <c r="U30" s="220"/>
      <c r="V30" s="922">
        <v>2626</v>
      </c>
      <c r="W30" s="220"/>
      <c r="X30" s="220"/>
      <c r="Y30" s="220"/>
      <c r="Z30" s="922">
        <v>2580</v>
      </c>
      <c r="AA30" s="220"/>
      <c r="AB30" s="220"/>
      <c r="AC30" s="220"/>
      <c r="AD30" s="922">
        <v>2462</v>
      </c>
      <c r="AE30" s="220"/>
      <c r="AF30" s="220"/>
      <c r="AG30" s="220"/>
      <c r="AH30" s="922">
        <v>2364</v>
      </c>
      <c r="AI30" s="220"/>
      <c r="AJ30" s="220"/>
      <c r="AK30" s="220"/>
      <c r="AL30" s="922">
        <v>2295</v>
      </c>
      <c r="AM30" s="220"/>
      <c r="AN30" s="220"/>
      <c r="AO30" s="220"/>
      <c r="AP30" s="922">
        <v>2015</v>
      </c>
      <c r="AQ30" s="220"/>
      <c r="AR30" s="220"/>
      <c r="AS30" s="223"/>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row>
    <row r="31" spans="1:86" s="658" customFormat="1" ht="16.2" collapsed="1" thickTop="1" x14ac:dyDescent="0.3">
      <c r="A31" s="214" t="s">
        <v>101</v>
      </c>
      <c r="B31" s="1277">
        <f>SUM(B27:B30)</f>
        <v>6264</v>
      </c>
      <c r="C31" s="215"/>
      <c r="D31" s="868"/>
      <c r="E31" s="464"/>
      <c r="F31" s="1277">
        <f>SUM(F27:F30)</f>
        <v>5984</v>
      </c>
      <c r="G31" s="215"/>
      <c r="H31" s="868"/>
      <c r="I31" s="464"/>
      <c r="J31" s="1277">
        <f>SUM(J27:J30)</f>
        <v>5870</v>
      </c>
      <c r="K31" s="215"/>
      <c r="L31" s="868"/>
      <c r="M31" s="464"/>
      <c r="N31" s="1277">
        <f>SUM(N27:N30)</f>
        <v>5816</v>
      </c>
      <c r="O31" s="215"/>
      <c r="P31" s="868"/>
      <c r="Q31" s="464"/>
      <c r="R31" s="1277">
        <f>SUM(R27:R30)</f>
        <v>5693</v>
      </c>
      <c r="S31" s="215"/>
      <c r="T31" s="868"/>
      <c r="U31" s="464"/>
      <c r="V31" s="1277">
        <f>SUM(V27:V30)</f>
        <v>5829</v>
      </c>
      <c r="W31" s="215"/>
      <c r="X31" s="868"/>
      <c r="Y31" s="464"/>
      <c r="Z31" s="1277">
        <f>SUM(Z27:Z30)</f>
        <v>6014</v>
      </c>
      <c r="AA31" s="215"/>
      <c r="AB31" s="868"/>
      <c r="AC31" s="464"/>
      <c r="AD31" s="1277">
        <f>SUM(AD27:AD30)</f>
        <v>6076</v>
      </c>
      <c r="AE31" s="215"/>
      <c r="AF31" s="868"/>
      <c r="AG31" s="464"/>
      <c r="AH31" s="1277">
        <f>SUM(AH27:AH30)</f>
        <v>6075</v>
      </c>
      <c r="AI31" s="215"/>
      <c r="AJ31" s="868"/>
      <c r="AK31" s="464"/>
      <c r="AL31" s="1277">
        <f>SUM(AL27:AL30)</f>
        <v>6435</v>
      </c>
      <c r="AM31" s="215"/>
      <c r="AN31" s="868"/>
      <c r="AO31" s="464"/>
      <c r="AP31" s="1277">
        <f>SUM(AP27:AP30)</f>
        <v>7245</v>
      </c>
      <c r="AQ31" s="220"/>
      <c r="AR31" s="220"/>
      <c r="AS31" s="223"/>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row>
    <row r="32" spans="1:86" s="658" customFormat="1" ht="9" hidden="1" customHeight="1" outlineLevel="1" x14ac:dyDescent="0.3">
      <c r="A32" s="214"/>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3"/>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row>
    <row r="33" spans="1:86" s="658" customFormat="1" hidden="1" outlineLevel="1" x14ac:dyDescent="0.3">
      <c r="A33" s="214" t="s">
        <v>1868</v>
      </c>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3"/>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row>
    <row r="34" spans="1:86" s="658" customFormat="1" hidden="1" outlineLevel="1" x14ac:dyDescent="0.3">
      <c r="A34" s="214" t="s">
        <v>902</v>
      </c>
      <c r="B34" s="782"/>
      <c r="C34" s="903"/>
      <c r="D34" s="1577"/>
      <c r="E34" s="220"/>
      <c r="F34" s="782"/>
      <c r="G34" s="903"/>
      <c r="H34" s="1577"/>
      <c r="I34" s="220"/>
      <c r="J34" s="782"/>
      <c r="K34" s="903"/>
      <c r="L34" s="1577"/>
      <c r="M34" s="220"/>
      <c r="N34" s="782"/>
      <c r="O34" s="903"/>
      <c r="P34" s="1577"/>
      <c r="Q34" s="220"/>
      <c r="R34" s="782"/>
      <c r="S34" s="903"/>
      <c r="T34" s="1577"/>
      <c r="U34" s="220"/>
      <c r="V34" s="782"/>
      <c r="W34" s="903"/>
      <c r="X34" s="1577"/>
      <c r="Y34" s="220"/>
      <c r="Z34" s="782"/>
      <c r="AA34" s="903"/>
      <c r="AB34" s="1577"/>
      <c r="AC34" s="220"/>
      <c r="AD34" s="782"/>
      <c r="AE34" s="903"/>
      <c r="AF34" s="1577"/>
      <c r="AG34" s="220"/>
      <c r="AH34" s="1297">
        <v>127</v>
      </c>
      <c r="AI34" s="220"/>
      <c r="AJ34" s="464">
        <f>(AH27-AH34)/AH27</f>
        <v>0.92940522512506951</v>
      </c>
      <c r="AK34" s="220"/>
      <c r="AL34" s="1297">
        <v>-307</v>
      </c>
      <c r="AM34" s="220"/>
      <c r="AN34" s="464">
        <f>(AL27-AL34)/AL27</f>
        <v>1.1394820536119945</v>
      </c>
      <c r="AO34" s="220"/>
      <c r="AP34" s="1297">
        <v>11</v>
      </c>
      <c r="AQ34" s="220"/>
      <c r="AR34" s="464">
        <f>(AP27-AP34)/AP27</f>
        <v>0.99634794156706508</v>
      </c>
      <c r="AS34" s="223"/>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row>
    <row r="35" spans="1:86" s="658" customFormat="1" hidden="1" outlineLevel="1" x14ac:dyDescent="0.3">
      <c r="A35" s="214" t="s">
        <v>903</v>
      </c>
      <c r="B35" s="507"/>
      <c r="C35" s="903"/>
      <c r="D35" s="1577"/>
      <c r="E35" s="220"/>
      <c r="F35" s="507"/>
      <c r="G35" s="903"/>
      <c r="H35" s="1577"/>
      <c r="I35" s="220"/>
      <c r="J35" s="507"/>
      <c r="K35" s="903"/>
      <c r="L35" s="1577"/>
      <c r="M35" s="220"/>
      <c r="N35" s="507"/>
      <c r="O35" s="903"/>
      <c r="P35" s="1577"/>
      <c r="Q35" s="220"/>
      <c r="R35" s="507"/>
      <c r="S35" s="903"/>
      <c r="T35" s="1577"/>
      <c r="U35" s="220"/>
      <c r="V35" s="507"/>
      <c r="W35" s="903"/>
      <c r="X35" s="1577"/>
      <c r="Y35" s="220"/>
      <c r="Z35" s="507"/>
      <c r="AA35" s="903"/>
      <c r="AB35" s="1577"/>
      <c r="AC35" s="220"/>
      <c r="AD35" s="507"/>
      <c r="AE35" s="903"/>
      <c r="AF35" s="1577"/>
      <c r="AG35" s="220"/>
      <c r="AH35" s="922">
        <v>246</v>
      </c>
      <c r="AI35" s="220"/>
      <c r="AJ35" s="464">
        <f>(AH28-AH35)/AH28</f>
        <v>0.87133891213389125</v>
      </c>
      <c r="AK35" s="220"/>
      <c r="AL35" s="922">
        <v>-138</v>
      </c>
      <c r="AM35" s="220"/>
      <c r="AN35" s="464">
        <f>(AL28-AL35)/AL28</f>
        <v>1.071170706549768</v>
      </c>
      <c r="AO35" s="220"/>
      <c r="AP35" s="922">
        <v>-93</v>
      </c>
      <c r="AQ35" s="220"/>
      <c r="AR35" s="464">
        <f>(AP28-AP35)/AP28</f>
        <v>1.0419296663660955</v>
      </c>
      <c r="AS35" s="223"/>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row>
    <row r="36" spans="1:86" s="658" customFormat="1" hidden="1" outlineLevel="1" x14ac:dyDescent="0.3">
      <c r="A36" s="214" t="s">
        <v>1081</v>
      </c>
      <c r="B36" s="215">
        <v>170</v>
      </c>
      <c r="C36" s="220"/>
      <c r="D36" s="464">
        <f>(B29-B36)/B29</f>
        <v>0.94521430873348378</v>
      </c>
      <c r="E36" s="220"/>
      <c r="F36" s="215">
        <v>148</v>
      </c>
      <c r="G36" s="220"/>
      <c r="H36" s="464">
        <f>(F29-F36)/F29</f>
        <v>0.95078150981044229</v>
      </c>
      <c r="I36" s="220"/>
      <c r="J36" s="215">
        <v>399</v>
      </c>
      <c r="K36" s="220"/>
      <c r="L36" s="464">
        <f>(J29-J36)/J29</f>
        <v>0.86260330578512401</v>
      </c>
      <c r="M36" s="220"/>
      <c r="N36" s="215">
        <v>7</v>
      </c>
      <c r="O36" s="220"/>
      <c r="P36" s="464">
        <f>(N29-N36)/N29</f>
        <v>0.99761985719143154</v>
      </c>
      <c r="Q36" s="220"/>
      <c r="R36" s="215">
        <v>289</v>
      </c>
      <c r="S36" s="220"/>
      <c r="T36" s="464">
        <f>(R29-R36)/R29</f>
        <v>0.90298757972473986</v>
      </c>
      <c r="U36" s="220"/>
      <c r="V36" s="215">
        <v>300</v>
      </c>
      <c r="W36" s="220"/>
      <c r="X36" s="464">
        <f>(V29-V36)/V29</f>
        <v>0.90633780830471433</v>
      </c>
      <c r="Y36" s="220"/>
      <c r="Z36" s="215">
        <v>163</v>
      </c>
      <c r="AA36" s="220"/>
      <c r="AB36" s="464">
        <f>(Z29-Z36)/Z29</f>
        <v>0.95253348864298193</v>
      </c>
      <c r="AC36" s="220"/>
      <c r="AD36" s="215">
        <v>475</v>
      </c>
      <c r="AE36" s="220"/>
      <c r="AF36" s="464">
        <f>(AD29-AD36)/AD29</f>
        <v>0.8685666851134477</v>
      </c>
      <c r="AG36" s="220"/>
      <c r="AH36" s="507"/>
      <c r="AI36" s="220"/>
      <c r="AJ36" s="1577"/>
      <c r="AK36" s="220"/>
      <c r="AL36" s="507"/>
      <c r="AM36" s="903"/>
      <c r="AN36" s="1577"/>
      <c r="AO36" s="220"/>
      <c r="AP36" s="507"/>
      <c r="AQ36" s="903"/>
      <c r="AR36" s="1577"/>
      <c r="AS36" s="223"/>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row>
    <row r="37" spans="1:86" s="658" customFormat="1" hidden="1" outlineLevel="1" x14ac:dyDescent="0.3">
      <c r="A37" s="214" t="s">
        <v>904</v>
      </c>
      <c r="B37" s="215">
        <v>107</v>
      </c>
      <c r="C37" s="220"/>
      <c r="D37" s="464">
        <f>(B30-B37)/B30</f>
        <v>0.96614995254666247</v>
      </c>
      <c r="E37" s="220"/>
      <c r="F37" s="215">
        <v>135</v>
      </c>
      <c r="G37" s="220"/>
      <c r="H37" s="464">
        <f>(F30-F37)/F30</f>
        <v>0.95465233456499832</v>
      </c>
      <c r="I37" s="220"/>
      <c r="J37" s="215">
        <v>-44</v>
      </c>
      <c r="K37" s="220"/>
      <c r="L37" s="464">
        <f>(J30-J37)/J30</f>
        <v>1.0148347943358058</v>
      </c>
      <c r="M37" s="220"/>
      <c r="N37" s="215">
        <v>137</v>
      </c>
      <c r="O37" s="220"/>
      <c r="P37" s="464">
        <f>(N30-N37)/N30</f>
        <v>0.95234782608695656</v>
      </c>
      <c r="Q37" s="220"/>
      <c r="R37" s="215">
        <v>163</v>
      </c>
      <c r="S37" s="220"/>
      <c r="T37" s="464">
        <f>(R30-R37)/R30</f>
        <v>0.93994104642593956</v>
      </c>
      <c r="U37" s="220"/>
      <c r="V37" s="215">
        <v>177</v>
      </c>
      <c r="W37" s="220"/>
      <c r="X37" s="464">
        <f>(V30-V37)/V30</f>
        <v>0.93259710586443256</v>
      </c>
      <c r="Y37" s="220"/>
      <c r="Z37" s="215">
        <v>179</v>
      </c>
      <c r="AA37" s="220"/>
      <c r="AB37" s="464">
        <f>(Z30-Z37)/Z30</f>
        <v>0.93062015503875972</v>
      </c>
      <c r="AC37" s="220"/>
      <c r="AD37" s="215">
        <v>80</v>
      </c>
      <c r="AE37" s="220"/>
      <c r="AF37" s="464">
        <f>(AD30-AD37)/AD30</f>
        <v>0.96750609260763609</v>
      </c>
      <c r="AG37" s="220"/>
      <c r="AH37" s="922">
        <v>153</v>
      </c>
      <c r="AI37" s="220"/>
      <c r="AJ37" s="464">
        <f>(AH30-AH37)/AH30</f>
        <v>0.93527918781725883</v>
      </c>
      <c r="AK37" s="220"/>
      <c r="AL37" s="922">
        <v>111</v>
      </c>
      <c r="AM37" s="220"/>
      <c r="AN37" s="464">
        <f>(AL30-AL37)/AL30</f>
        <v>0.95163398692810452</v>
      </c>
      <c r="AO37" s="220"/>
      <c r="AP37" s="922">
        <v>85</v>
      </c>
      <c r="AQ37" s="220"/>
      <c r="AR37" s="464">
        <f>(AP30-AP37)/AP30</f>
        <v>0.95781637717121593</v>
      </c>
      <c r="AS37" s="223"/>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row>
    <row r="38" spans="1:86" s="658" customFormat="1" collapsed="1" x14ac:dyDescent="0.3">
      <c r="A38" s="214" t="s">
        <v>1523</v>
      </c>
      <c r="B38" s="1282">
        <f>SUM(B34:B37)</f>
        <v>277</v>
      </c>
      <c r="C38" s="220"/>
      <c r="D38" s="228">
        <f>(B31-B38)/B31</f>
        <v>0.955779054916986</v>
      </c>
      <c r="E38" s="220"/>
      <c r="F38" s="1282">
        <f>SUM(F34:F37)</f>
        <v>283</v>
      </c>
      <c r="G38" s="220"/>
      <c r="H38" s="228">
        <f>(F31-F38)/F31</f>
        <v>0.95270721925133695</v>
      </c>
      <c r="I38" s="220"/>
      <c r="J38" s="1282">
        <f>SUM(J34:J37)</f>
        <v>355</v>
      </c>
      <c r="K38" s="220"/>
      <c r="L38" s="228">
        <f>(J31-J38)/J31</f>
        <v>0.9395229982964225</v>
      </c>
      <c r="M38" s="220"/>
      <c r="N38" s="1282">
        <f>SUM(N34:N37)</f>
        <v>144</v>
      </c>
      <c r="O38" s="220"/>
      <c r="P38" s="228">
        <f>(N31-N38)/N31</f>
        <v>0.97524071526822553</v>
      </c>
      <c r="Q38" s="220"/>
      <c r="R38" s="1282">
        <f>SUM(R34:R37)</f>
        <v>452</v>
      </c>
      <c r="S38" s="220"/>
      <c r="T38" s="228">
        <f>(R31-R38)/R31</f>
        <v>0.92060425083435793</v>
      </c>
      <c r="U38" s="220"/>
      <c r="V38" s="1282">
        <f>SUM(V34:V37)</f>
        <v>477</v>
      </c>
      <c r="W38" s="220"/>
      <c r="X38" s="228">
        <f>(V31-V38)/V31</f>
        <v>0.91816778178075142</v>
      </c>
      <c r="Y38" s="220"/>
      <c r="Z38" s="1282">
        <f>SUM(Z34:Z37)</f>
        <v>342</v>
      </c>
      <c r="AA38" s="220"/>
      <c r="AB38" s="228">
        <f>(Z31-Z38)/Z31</f>
        <v>0.94313269038909209</v>
      </c>
      <c r="AC38" s="220"/>
      <c r="AD38" s="1282">
        <f>SUM(AD34:AD37)</f>
        <v>555</v>
      </c>
      <c r="AE38" s="220"/>
      <c r="AF38" s="228">
        <f>(AD31-AD38)/AD31</f>
        <v>0.90865701119157338</v>
      </c>
      <c r="AG38" s="220"/>
      <c r="AH38" s="1282">
        <f>SUM(AH34:AH37)</f>
        <v>526</v>
      </c>
      <c r="AI38" s="220"/>
      <c r="AJ38" s="228">
        <f>(AH31-AH38)/AH31</f>
        <v>0.91341563786008229</v>
      </c>
      <c r="AK38" s="220"/>
      <c r="AL38" s="1282">
        <f>SUM(AL34:AL37)</f>
        <v>-334</v>
      </c>
      <c r="AM38" s="220"/>
      <c r="AN38" s="228">
        <f>(AL31-AL38)/AL31</f>
        <v>1.051903651903652</v>
      </c>
      <c r="AO38" s="220"/>
      <c r="AP38" s="1282">
        <f>SUM(AP34:AP37)</f>
        <v>3</v>
      </c>
      <c r="AQ38" s="220"/>
      <c r="AR38" s="228">
        <f>(AP31-AP38)/AP31</f>
        <v>0.99958592132505175</v>
      </c>
      <c r="AS38" s="223"/>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row>
    <row r="39" spans="1:86" ht="9" hidden="1" customHeight="1" outlineLevel="1" x14ac:dyDescent="0.3">
      <c r="A39" s="214"/>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879"/>
    </row>
    <row r="40" spans="1:86" hidden="1" outlineLevel="1" x14ac:dyDescent="0.3">
      <c r="A40" s="1268" t="s">
        <v>909</v>
      </c>
      <c r="B40" s="848"/>
      <c r="C40" s="848"/>
      <c r="D40" s="848"/>
      <c r="E40" s="848"/>
      <c r="F40" s="848"/>
      <c r="G40" s="848"/>
      <c r="H40" s="848"/>
      <c r="I40" s="848"/>
      <c r="J40" s="848"/>
      <c r="K40" s="848"/>
      <c r="L40" s="8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48"/>
      <c r="AQ40" s="848"/>
      <c r="AR40" s="848"/>
      <c r="AS40" s="849"/>
    </row>
    <row r="41" spans="1:86" ht="16.2" hidden="1" outlineLevel="1" thickBot="1" x14ac:dyDescent="0.35">
      <c r="A41" s="214" t="s">
        <v>526</v>
      </c>
      <c r="B41" s="1565">
        <f>B24</f>
        <v>6418</v>
      </c>
      <c r="C41" s="392"/>
      <c r="D41" s="392"/>
      <c r="E41" s="392"/>
      <c r="F41" s="1565">
        <f>F24</f>
        <v>5963</v>
      </c>
      <c r="G41" s="392"/>
      <c r="H41" s="392"/>
      <c r="I41" s="392"/>
      <c r="J41" s="1565">
        <f>J24</f>
        <v>5984</v>
      </c>
      <c r="K41" s="392"/>
      <c r="L41" s="392"/>
      <c r="M41" s="392"/>
      <c r="N41" s="1565">
        <f>N24</f>
        <v>5819</v>
      </c>
      <c r="O41" s="392"/>
      <c r="P41" s="392"/>
      <c r="Q41" s="392"/>
      <c r="R41" s="1565">
        <f>R24</f>
        <v>5632</v>
      </c>
      <c r="S41" s="392"/>
      <c r="T41" s="392"/>
      <c r="U41" s="392"/>
      <c r="V41" s="1565">
        <f>V24</f>
        <v>5721</v>
      </c>
      <c r="W41" s="392"/>
      <c r="X41" s="392"/>
      <c r="Y41" s="392"/>
      <c r="Z41" s="1565">
        <f>Z24</f>
        <v>5971</v>
      </c>
      <c r="AA41" s="392"/>
      <c r="AB41" s="392"/>
      <c r="AC41" s="392"/>
      <c r="AD41" s="1565">
        <f>AD24</f>
        <v>5957</v>
      </c>
      <c r="AE41" s="392"/>
      <c r="AF41" s="392"/>
      <c r="AG41" s="392"/>
      <c r="AH41" s="1565">
        <f>AH24</f>
        <v>5949</v>
      </c>
      <c r="AI41" s="392"/>
      <c r="AJ41" s="392"/>
      <c r="AK41" s="392"/>
      <c r="AL41" s="1565">
        <f>AL24</f>
        <v>6155</v>
      </c>
      <c r="AM41" s="392"/>
      <c r="AN41" s="392"/>
      <c r="AO41" s="392"/>
      <c r="AP41" s="1565">
        <f>AP24</f>
        <v>6860</v>
      </c>
      <c r="AQ41" s="392"/>
      <c r="AR41" s="392"/>
      <c r="AS41" s="253"/>
      <c r="AT41" s="252"/>
    </row>
    <row r="42" spans="1:86" ht="16.2" hidden="1" outlineLevel="1" thickTop="1" x14ac:dyDescent="0.3">
      <c r="A42" s="214" t="s">
        <v>101</v>
      </c>
      <c r="B42" s="1566">
        <f>B31</f>
        <v>6264</v>
      </c>
      <c r="C42" s="215"/>
      <c r="D42" s="868">
        <f>B42/B$42</f>
        <v>1</v>
      </c>
      <c r="E42" s="215"/>
      <c r="F42" s="1566">
        <f>F31</f>
        <v>5984</v>
      </c>
      <c r="G42" s="215"/>
      <c r="H42" s="868">
        <f>F42/F$42</f>
        <v>1</v>
      </c>
      <c r="I42" s="215"/>
      <c r="J42" s="1566">
        <f>J31</f>
        <v>5870</v>
      </c>
      <c r="K42" s="215"/>
      <c r="L42" s="868">
        <f>J42/J$42</f>
        <v>1</v>
      </c>
      <c r="M42" s="215"/>
      <c r="N42" s="1566">
        <f>N31</f>
        <v>5816</v>
      </c>
      <c r="O42" s="215"/>
      <c r="P42" s="868">
        <f>N42/N$42</f>
        <v>1</v>
      </c>
      <c r="Q42" s="215"/>
      <c r="R42" s="1566">
        <f>R31</f>
        <v>5693</v>
      </c>
      <c r="S42" s="215"/>
      <c r="T42" s="868">
        <f>R42/R$42</f>
        <v>1</v>
      </c>
      <c r="U42" s="215"/>
      <c r="V42" s="1566">
        <f>V31</f>
        <v>5829</v>
      </c>
      <c r="W42" s="215"/>
      <c r="X42" s="868">
        <f>V42/V$42</f>
        <v>1</v>
      </c>
      <c r="Y42" s="215"/>
      <c r="Z42" s="1566">
        <f>Z31</f>
        <v>6014</v>
      </c>
      <c r="AA42" s="215"/>
      <c r="AB42" s="868">
        <f>Z42/Z$42</f>
        <v>1</v>
      </c>
      <c r="AC42" s="215"/>
      <c r="AD42" s="1566">
        <f>AD31</f>
        <v>6076</v>
      </c>
      <c r="AE42" s="215"/>
      <c r="AF42" s="868">
        <f>AD42/AD$42</f>
        <v>1</v>
      </c>
      <c r="AG42" s="215"/>
      <c r="AH42" s="1566">
        <f>AH31</f>
        <v>6075</v>
      </c>
      <c r="AI42" s="215"/>
      <c r="AJ42" s="868">
        <f>AH42/AH$42</f>
        <v>1</v>
      </c>
      <c r="AK42" s="215"/>
      <c r="AL42" s="1566">
        <f>AL31</f>
        <v>6435</v>
      </c>
      <c r="AM42" s="215"/>
      <c r="AN42" s="868">
        <f>AL42/AL$42</f>
        <v>1</v>
      </c>
      <c r="AO42" s="215"/>
      <c r="AP42" s="1566">
        <f>AP31</f>
        <v>7245</v>
      </c>
      <c r="AQ42" s="215"/>
      <c r="AR42" s="868">
        <f>AP42/AP$42</f>
        <v>1</v>
      </c>
      <c r="AS42" s="260"/>
      <c r="AT42" s="230"/>
    </row>
    <row r="43" spans="1:86" hidden="1" outlineLevel="2" x14ac:dyDescent="0.3">
      <c r="A43" s="214" t="s">
        <v>527</v>
      </c>
      <c r="B43" s="215"/>
      <c r="C43" s="215"/>
      <c r="D43" s="464">
        <f>B43/B$42</f>
        <v>0</v>
      </c>
      <c r="E43" s="215"/>
      <c r="F43" s="215"/>
      <c r="G43" s="215"/>
      <c r="H43" s="464">
        <f>F43/F$42</f>
        <v>0</v>
      </c>
      <c r="I43" s="215"/>
      <c r="J43" s="215"/>
      <c r="K43" s="215"/>
      <c r="L43" s="464">
        <f>J43/J$42</f>
        <v>0</v>
      </c>
      <c r="M43" s="215"/>
      <c r="N43" s="215"/>
      <c r="O43" s="215"/>
      <c r="P43" s="464">
        <f>N43/N$42</f>
        <v>0</v>
      </c>
      <c r="Q43" s="215"/>
      <c r="R43" s="215"/>
      <c r="S43" s="215"/>
      <c r="T43" s="464">
        <f>R43/R$42</f>
        <v>0</v>
      </c>
      <c r="U43" s="215"/>
      <c r="V43" s="215"/>
      <c r="W43" s="215"/>
      <c r="X43" s="464">
        <f>V43/V$42</f>
        <v>0</v>
      </c>
      <c r="Y43" s="215"/>
      <c r="Z43" s="215"/>
      <c r="AA43" s="215"/>
      <c r="AB43" s="464">
        <f>Z43/Z$42</f>
        <v>0</v>
      </c>
      <c r="AC43" s="215"/>
      <c r="AD43" s="215"/>
      <c r="AE43" s="215"/>
      <c r="AF43" s="464">
        <f>AD43/AD$42</f>
        <v>0</v>
      </c>
      <c r="AG43" s="215"/>
      <c r="AH43" s="215"/>
      <c r="AI43" s="215"/>
      <c r="AJ43" s="464">
        <f>AH43/AH$42</f>
        <v>0</v>
      </c>
      <c r="AK43" s="215"/>
      <c r="AL43" s="215"/>
      <c r="AM43" s="215"/>
      <c r="AN43" s="464">
        <f>AL43/AL$42</f>
        <v>0</v>
      </c>
      <c r="AO43" s="215"/>
      <c r="AP43" s="215"/>
      <c r="AQ43" s="215"/>
      <c r="AR43" s="464">
        <f>AP43/AP$42</f>
        <v>0</v>
      </c>
      <c r="AS43" s="260"/>
      <c r="AT43" s="230"/>
    </row>
    <row r="44" spans="1:86" hidden="1" outlineLevel="2" x14ac:dyDescent="0.3">
      <c r="A44" s="214" t="s">
        <v>102</v>
      </c>
      <c r="B44" s="503"/>
      <c r="C44" s="215"/>
      <c r="D44" s="868">
        <f>B44/B$42</f>
        <v>0</v>
      </c>
      <c r="E44" s="215"/>
      <c r="F44" s="503"/>
      <c r="G44" s="215"/>
      <c r="H44" s="868">
        <f>F44/F$42</f>
        <v>0</v>
      </c>
      <c r="I44" s="215"/>
      <c r="J44" s="503"/>
      <c r="K44" s="215"/>
      <c r="L44" s="868">
        <f>J44/J$42</f>
        <v>0</v>
      </c>
      <c r="M44" s="215"/>
      <c r="N44" s="503"/>
      <c r="O44" s="215"/>
      <c r="P44" s="868">
        <f>N44/N$42</f>
        <v>0</v>
      </c>
      <c r="Q44" s="215"/>
      <c r="R44" s="503"/>
      <c r="S44" s="215"/>
      <c r="T44" s="868">
        <f>R44/R$42</f>
        <v>0</v>
      </c>
      <c r="U44" s="215"/>
      <c r="V44" s="503"/>
      <c r="W44" s="215"/>
      <c r="X44" s="868">
        <f>V44/V$42</f>
        <v>0</v>
      </c>
      <c r="Y44" s="215"/>
      <c r="Z44" s="503"/>
      <c r="AA44" s="215"/>
      <c r="AB44" s="868">
        <f>Z44/Z$42</f>
        <v>0</v>
      </c>
      <c r="AC44" s="215"/>
      <c r="AD44" s="503"/>
      <c r="AE44" s="215"/>
      <c r="AF44" s="868">
        <f>AD44/AD$42</f>
        <v>0</v>
      </c>
      <c r="AG44" s="215"/>
      <c r="AH44" s="503"/>
      <c r="AI44" s="215"/>
      <c r="AJ44" s="868">
        <f>AH44/AH$42</f>
        <v>0</v>
      </c>
      <c r="AK44" s="215"/>
      <c r="AL44" s="503"/>
      <c r="AM44" s="215"/>
      <c r="AN44" s="868">
        <f>AL44/AL$42</f>
        <v>0</v>
      </c>
      <c r="AO44" s="215"/>
      <c r="AP44" s="503"/>
      <c r="AQ44" s="215"/>
      <c r="AR44" s="868">
        <f>AP44/AP$42</f>
        <v>0</v>
      </c>
      <c r="AS44" s="260"/>
      <c r="AT44" s="230"/>
    </row>
    <row r="45" spans="1:86" hidden="1" outlineLevel="1" x14ac:dyDescent="0.3">
      <c r="A45" s="214" t="s">
        <v>685</v>
      </c>
      <c r="B45" s="215">
        <f>B42-B46</f>
        <v>5987</v>
      </c>
      <c r="C45" s="215"/>
      <c r="D45" s="464">
        <f>B45/B$42</f>
        <v>0.955779054916986</v>
      </c>
      <c r="E45" s="215"/>
      <c r="F45" s="215">
        <f>F42-F46</f>
        <v>5701</v>
      </c>
      <c r="G45" s="215"/>
      <c r="H45" s="464">
        <f>F45/F$42</f>
        <v>0.95270721925133695</v>
      </c>
      <c r="I45" s="215"/>
      <c r="J45" s="215">
        <f>J42-J46</f>
        <v>5515</v>
      </c>
      <c r="K45" s="215"/>
      <c r="L45" s="464">
        <f>J45/J$42</f>
        <v>0.9395229982964225</v>
      </c>
      <c r="M45" s="215"/>
      <c r="N45" s="215">
        <f>N42-N46</f>
        <v>5672</v>
      </c>
      <c r="O45" s="215"/>
      <c r="P45" s="464">
        <f>N45/N$42</f>
        <v>0.97524071526822553</v>
      </c>
      <c r="Q45" s="215"/>
      <c r="R45" s="215">
        <f>R42-R46</f>
        <v>5241</v>
      </c>
      <c r="S45" s="215"/>
      <c r="T45" s="464">
        <f>R45/R$42</f>
        <v>0.92060425083435793</v>
      </c>
      <c r="U45" s="215"/>
      <c r="V45" s="215">
        <f>V42-V46</f>
        <v>5352</v>
      </c>
      <c r="W45" s="215"/>
      <c r="X45" s="464">
        <f>V45/V$42</f>
        <v>0.91816778178075142</v>
      </c>
      <c r="Y45" s="215"/>
      <c r="Z45" s="215">
        <f>Z42-Z46</f>
        <v>5672</v>
      </c>
      <c r="AA45" s="215"/>
      <c r="AB45" s="464">
        <f>Z45/Z$42</f>
        <v>0.94313269038909209</v>
      </c>
      <c r="AC45" s="215"/>
      <c r="AD45" s="215">
        <f>AD42-AD46</f>
        <v>5521</v>
      </c>
      <c r="AE45" s="215"/>
      <c r="AF45" s="464">
        <f>AD45/AD$42</f>
        <v>0.90865701119157338</v>
      </c>
      <c r="AG45" s="215"/>
      <c r="AH45" s="215">
        <f>AH42-AH46</f>
        <v>5549</v>
      </c>
      <c r="AI45" s="215"/>
      <c r="AJ45" s="464">
        <f>AH45/AH$42</f>
        <v>0.91341563786008229</v>
      </c>
      <c r="AK45" s="215"/>
      <c r="AL45" s="215">
        <f>AL42-AL46</f>
        <v>6769</v>
      </c>
      <c r="AM45" s="215"/>
      <c r="AN45" s="464">
        <f>AL45/AL$42</f>
        <v>1.051903651903652</v>
      </c>
      <c r="AO45" s="215"/>
      <c r="AP45" s="215">
        <f>AP42-AP46</f>
        <v>7242</v>
      </c>
      <c r="AQ45" s="215"/>
      <c r="AR45" s="464">
        <f>AP45/AP$42</f>
        <v>0.99958592132505175</v>
      </c>
      <c r="AS45" s="260"/>
      <c r="AT45" s="230"/>
    </row>
    <row r="46" spans="1:86" ht="16.2" hidden="1" outlineLevel="1" thickBot="1" x14ac:dyDescent="0.35">
      <c r="A46" s="214" t="s">
        <v>686</v>
      </c>
      <c r="B46" s="1567">
        <f>B38</f>
        <v>277</v>
      </c>
      <c r="C46" s="215"/>
      <c r="D46" s="215"/>
      <c r="E46" s="215"/>
      <c r="F46" s="1567">
        <f>F38</f>
        <v>283</v>
      </c>
      <c r="G46" s="215"/>
      <c r="H46" s="215"/>
      <c r="I46" s="215"/>
      <c r="J46" s="1567">
        <f>J38</f>
        <v>355</v>
      </c>
      <c r="K46" s="215"/>
      <c r="L46" s="215"/>
      <c r="M46" s="215"/>
      <c r="N46" s="1567">
        <f>N38</f>
        <v>144</v>
      </c>
      <c r="O46" s="215"/>
      <c r="P46" s="215"/>
      <c r="Q46" s="215"/>
      <c r="R46" s="1567">
        <f>R38</f>
        <v>452</v>
      </c>
      <c r="S46" s="215"/>
      <c r="T46" s="215"/>
      <c r="U46" s="215"/>
      <c r="V46" s="1567">
        <f>V38</f>
        <v>477</v>
      </c>
      <c r="W46" s="215"/>
      <c r="X46" s="215"/>
      <c r="Y46" s="215"/>
      <c r="Z46" s="1567">
        <f>Z38</f>
        <v>342</v>
      </c>
      <c r="AA46" s="215"/>
      <c r="AB46" s="215"/>
      <c r="AC46" s="215"/>
      <c r="AD46" s="1567">
        <f>AD38</f>
        <v>555</v>
      </c>
      <c r="AE46" s="215"/>
      <c r="AF46" s="215"/>
      <c r="AG46" s="215"/>
      <c r="AH46" s="1567">
        <f>AH38</f>
        <v>526</v>
      </c>
      <c r="AI46" s="215"/>
      <c r="AJ46" s="215"/>
      <c r="AK46" s="215"/>
      <c r="AL46" s="1567">
        <f>AL38</f>
        <v>-334</v>
      </c>
      <c r="AM46" s="215"/>
      <c r="AN46" s="215"/>
      <c r="AO46" s="215"/>
      <c r="AP46" s="1567">
        <f>AP38</f>
        <v>3</v>
      </c>
      <c r="AQ46" s="215"/>
      <c r="AR46" s="215"/>
      <c r="AS46" s="260"/>
      <c r="AT46" s="230"/>
    </row>
    <row r="47" spans="1:86" hidden="1" outlineLevel="1" x14ac:dyDescent="0.3">
      <c r="A47" s="878"/>
      <c r="B47" s="875"/>
      <c r="C47" s="215"/>
      <c r="D47" s="215"/>
      <c r="E47" s="215"/>
      <c r="F47" s="875"/>
      <c r="G47" s="215"/>
      <c r="H47" s="215"/>
      <c r="I47" s="215"/>
      <c r="J47" s="875"/>
      <c r="K47" s="215"/>
      <c r="L47" s="215"/>
      <c r="M47" s="215"/>
      <c r="N47" s="875"/>
      <c r="O47" s="215"/>
      <c r="P47" s="215"/>
      <c r="Q47" s="215"/>
      <c r="R47" s="875"/>
      <c r="S47" s="215"/>
      <c r="T47" s="215"/>
      <c r="U47" s="215"/>
      <c r="V47" s="875"/>
      <c r="W47" s="215"/>
      <c r="X47" s="215"/>
      <c r="Y47" s="215"/>
      <c r="Z47" s="875"/>
      <c r="AA47" s="215"/>
      <c r="AB47" s="215"/>
      <c r="AC47" s="215"/>
      <c r="AD47" s="875"/>
      <c r="AE47" s="215"/>
      <c r="AF47" s="215"/>
      <c r="AG47" s="215"/>
      <c r="AH47" s="875"/>
      <c r="AI47" s="215"/>
      <c r="AJ47" s="215"/>
      <c r="AK47" s="215"/>
      <c r="AL47" s="875"/>
      <c r="AM47" s="215"/>
      <c r="AN47" s="215"/>
      <c r="AO47" s="215"/>
      <c r="AP47" s="875"/>
      <c r="AQ47" s="215"/>
      <c r="AR47" s="215"/>
      <c r="AS47" s="506"/>
      <c r="AT47" s="230"/>
    </row>
    <row r="48" spans="1:86" ht="4.5" customHeight="1" collapsed="1" x14ac:dyDescent="0.3">
      <c r="A48" s="214"/>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3"/>
    </row>
    <row r="49" spans="1:45" ht="4.5" customHeight="1" x14ac:dyDescent="0.3">
      <c r="A49" s="1155"/>
      <c r="B49" s="1278"/>
      <c r="C49" s="686"/>
      <c r="D49" s="728"/>
      <c r="E49" s="728"/>
      <c r="F49" s="1278"/>
      <c r="G49" s="686"/>
      <c r="H49" s="728"/>
      <c r="I49" s="728"/>
      <c r="J49" s="1278"/>
      <c r="K49" s="686"/>
      <c r="L49" s="728"/>
      <c r="M49" s="728"/>
      <c r="N49" s="1278"/>
      <c r="O49" s="686"/>
      <c r="P49" s="728"/>
      <c r="Q49" s="728"/>
      <c r="R49" s="1278"/>
      <c r="S49" s="686"/>
      <c r="T49" s="728"/>
      <c r="U49" s="728"/>
      <c r="V49" s="1278"/>
      <c r="W49" s="686"/>
      <c r="X49" s="728"/>
      <c r="Y49" s="728"/>
      <c r="Z49" s="1278"/>
      <c r="AA49" s="686"/>
      <c r="AB49" s="728"/>
      <c r="AC49" s="728"/>
      <c r="AD49" s="1278"/>
      <c r="AE49" s="686"/>
      <c r="AF49" s="728"/>
      <c r="AG49" s="728"/>
      <c r="AH49" s="1278"/>
      <c r="AI49" s="686"/>
      <c r="AJ49" s="728"/>
      <c r="AK49" s="728"/>
      <c r="AL49" s="1278"/>
      <c r="AM49" s="686"/>
      <c r="AN49" s="728"/>
      <c r="AO49" s="728"/>
      <c r="AP49" s="1278"/>
      <c r="AQ49" s="686"/>
      <c r="AR49" s="728"/>
      <c r="AS49" s="1279"/>
    </row>
    <row r="50" spans="1:45" ht="4.5" customHeight="1" x14ac:dyDescent="0.3">
      <c r="A50" s="214"/>
      <c r="B50" s="875"/>
      <c r="C50" s="215"/>
      <c r="D50" s="464"/>
      <c r="E50" s="464"/>
      <c r="F50" s="875"/>
      <c r="G50" s="215"/>
      <c r="H50" s="464"/>
      <c r="I50" s="464"/>
      <c r="J50" s="875"/>
      <c r="K50" s="215"/>
      <c r="L50" s="464"/>
      <c r="M50" s="464"/>
      <c r="N50" s="875"/>
      <c r="O50" s="215"/>
      <c r="P50" s="464"/>
      <c r="Q50" s="464"/>
      <c r="R50" s="875"/>
      <c r="S50" s="215"/>
      <c r="T50" s="464"/>
      <c r="U50" s="464"/>
      <c r="V50" s="875"/>
      <c r="W50" s="215"/>
      <c r="X50" s="464"/>
      <c r="Y50" s="464"/>
      <c r="Z50" s="875"/>
      <c r="AA50" s="215"/>
      <c r="AB50" s="464"/>
      <c r="AC50" s="464"/>
      <c r="AD50" s="875"/>
      <c r="AE50" s="215"/>
      <c r="AF50" s="464"/>
      <c r="AG50" s="464"/>
      <c r="AH50" s="875"/>
      <c r="AI50" s="215"/>
      <c r="AJ50" s="464"/>
      <c r="AK50" s="464"/>
      <c r="AL50" s="875"/>
      <c r="AM50" s="215"/>
      <c r="AN50" s="464"/>
      <c r="AO50" s="464"/>
      <c r="AP50" s="875"/>
      <c r="AQ50" s="215"/>
      <c r="AR50" s="464"/>
      <c r="AS50" s="223"/>
    </row>
    <row r="51" spans="1:45" x14ac:dyDescent="0.3">
      <c r="A51" s="213" t="s">
        <v>899</v>
      </c>
      <c r="B51" s="2930"/>
      <c r="C51" s="2930"/>
      <c r="D51" s="2930"/>
      <c r="E51" s="1563"/>
      <c r="F51" s="2930"/>
      <c r="G51" s="2930"/>
      <c r="H51" s="2930"/>
      <c r="I51" s="1563"/>
      <c r="J51" s="2930"/>
      <c r="K51" s="2930"/>
      <c r="L51" s="2930"/>
      <c r="M51" s="1563"/>
      <c r="N51" s="2930"/>
      <c r="O51" s="2930"/>
      <c r="P51" s="2930"/>
      <c r="Q51" s="1563"/>
      <c r="R51" s="2930"/>
      <c r="S51" s="2930"/>
      <c r="T51" s="2930"/>
      <c r="U51" s="1563"/>
      <c r="V51" s="2930"/>
      <c r="W51" s="2930"/>
      <c r="X51" s="2930"/>
      <c r="Y51" s="1563"/>
      <c r="Z51" s="2930"/>
      <c r="AA51" s="2930"/>
      <c r="AB51" s="2930"/>
      <c r="AC51" s="1563"/>
      <c r="AD51" s="2930"/>
      <c r="AE51" s="2930"/>
      <c r="AF51" s="2930"/>
      <c r="AG51" s="1563"/>
      <c r="AH51" s="2930"/>
      <c r="AI51" s="2930"/>
      <c r="AJ51" s="2930"/>
      <c r="AK51" s="1563"/>
      <c r="AL51" s="2930"/>
      <c r="AM51" s="2930"/>
      <c r="AN51" s="2930"/>
      <c r="AO51" s="1563"/>
      <c r="AP51" s="2930"/>
      <c r="AQ51" s="2930"/>
      <c r="AR51" s="2930"/>
      <c r="AS51" s="223"/>
    </row>
    <row r="52" spans="1:45" hidden="1" outlineLevel="1" x14ac:dyDescent="0.3">
      <c r="A52" s="1272"/>
      <c r="B52" s="887"/>
      <c r="C52" s="886"/>
      <c r="D52" s="887"/>
      <c r="E52" s="887"/>
      <c r="F52" s="887"/>
      <c r="G52" s="886"/>
      <c r="H52" s="887"/>
      <c r="I52" s="887"/>
      <c r="J52" s="887"/>
      <c r="K52" s="886"/>
      <c r="L52" s="887"/>
      <c r="M52" s="887"/>
      <c r="N52" s="887"/>
      <c r="O52" s="886"/>
      <c r="P52" s="887"/>
      <c r="Q52" s="887"/>
      <c r="R52" s="887"/>
      <c r="S52" s="886"/>
      <c r="T52" s="887"/>
      <c r="U52" s="887"/>
      <c r="V52" s="887"/>
      <c r="W52" s="886"/>
      <c r="X52" s="887"/>
      <c r="Y52" s="887"/>
      <c r="Z52" s="887"/>
      <c r="AA52" s="886"/>
      <c r="AB52" s="887"/>
      <c r="AC52" s="887"/>
      <c r="AD52" s="887"/>
      <c r="AE52" s="886"/>
      <c r="AF52" s="887"/>
      <c r="AG52" s="887"/>
      <c r="AH52" s="887"/>
      <c r="AI52" s="886"/>
      <c r="AJ52" s="887"/>
      <c r="AK52" s="887"/>
      <c r="AL52" s="887"/>
      <c r="AM52" s="886"/>
      <c r="AN52" s="887"/>
      <c r="AO52" s="887"/>
      <c r="AP52" s="887"/>
      <c r="AQ52" s="886"/>
      <c r="AR52" s="887"/>
      <c r="AS52" s="223"/>
    </row>
    <row r="53" spans="1:45" hidden="1" outlineLevel="1" x14ac:dyDescent="0.3">
      <c r="A53" s="214" t="s">
        <v>452</v>
      </c>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3"/>
    </row>
    <row r="54" spans="1:45" hidden="1" outlineLevel="1" x14ac:dyDescent="0.3">
      <c r="A54" s="214" t="s">
        <v>950</v>
      </c>
      <c r="B54" s="782"/>
      <c r="C54" s="220"/>
      <c r="D54" s="220"/>
      <c r="E54" s="220"/>
      <c r="F54" s="1297">
        <v>801</v>
      </c>
      <c r="G54" s="220"/>
      <c r="H54" s="220"/>
      <c r="I54" s="220"/>
      <c r="J54" s="1297">
        <v>816</v>
      </c>
      <c r="K54" s="220"/>
      <c r="L54" s="220"/>
      <c r="M54" s="220"/>
      <c r="N54" s="1297">
        <v>751</v>
      </c>
      <c r="O54" s="220"/>
      <c r="P54" s="220"/>
      <c r="Q54" s="220"/>
      <c r="R54" s="1297">
        <v>623</v>
      </c>
      <c r="S54" s="220"/>
      <c r="T54" s="220"/>
      <c r="U54" s="220"/>
      <c r="V54" s="1297">
        <v>823</v>
      </c>
      <c r="W54" s="220"/>
      <c r="X54" s="220"/>
      <c r="Y54" s="220"/>
      <c r="Z54" s="1297">
        <v>955</v>
      </c>
      <c r="AA54" s="220"/>
      <c r="AB54" s="220"/>
      <c r="AC54" s="220"/>
      <c r="AD54" s="392">
        <v>1577</v>
      </c>
      <c r="AE54" s="220"/>
      <c r="AF54" s="220"/>
      <c r="AG54" s="220"/>
      <c r="AH54" s="392">
        <v>2196</v>
      </c>
      <c r="AI54" s="220"/>
      <c r="AJ54" s="220"/>
      <c r="AK54" s="220"/>
      <c r="AL54" s="392">
        <v>1663</v>
      </c>
      <c r="AM54" s="220"/>
      <c r="AN54" s="220"/>
      <c r="AO54" s="220"/>
      <c r="AP54" s="392">
        <v>1462</v>
      </c>
      <c r="AQ54" s="220"/>
      <c r="AR54" s="220"/>
      <c r="AS54" s="223"/>
    </row>
    <row r="55" spans="1:45" hidden="1" outlineLevel="1" x14ac:dyDescent="0.3">
      <c r="A55" s="214" t="s">
        <v>1081</v>
      </c>
      <c r="B55" s="1297">
        <v>4064</v>
      </c>
      <c r="C55" s="220"/>
      <c r="D55" s="220"/>
      <c r="E55" s="220"/>
      <c r="F55" s="782"/>
      <c r="G55" s="220"/>
      <c r="H55" s="220"/>
      <c r="I55" s="220"/>
      <c r="J55" s="782"/>
      <c r="K55" s="220"/>
      <c r="L55" s="220"/>
      <c r="M55" s="220"/>
      <c r="N55" s="782"/>
      <c r="O55" s="220"/>
      <c r="P55" s="220"/>
      <c r="Q55" s="220"/>
      <c r="R55" s="782"/>
      <c r="S55" s="220"/>
      <c r="T55" s="220"/>
      <c r="U55" s="220"/>
      <c r="V55" s="782"/>
      <c r="W55" s="220"/>
      <c r="X55" s="220"/>
      <c r="Y55" s="220"/>
      <c r="Z55" s="782"/>
      <c r="AA55" s="220"/>
      <c r="AB55" s="220"/>
      <c r="AC55" s="220"/>
      <c r="AD55" s="782"/>
      <c r="AE55" s="220"/>
      <c r="AF55" s="220"/>
      <c r="AG55" s="220"/>
      <c r="AH55" s="782"/>
      <c r="AI55" s="220"/>
      <c r="AJ55" s="220"/>
      <c r="AK55" s="220"/>
      <c r="AL55" s="782"/>
      <c r="AM55" s="220"/>
      <c r="AN55" s="220"/>
      <c r="AO55" s="220"/>
      <c r="AP55" s="782"/>
      <c r="AQ55" s="220"/>
      <c r="AR55" s="220"/>
      <c r="AS55" s="223"/>
    </row>
    <row r="56" spans="1:45" hidden="1" outlineLevel="1" x14ac:dyDescent="0.3">
      <c r="A56" s="214" t="s">
        <v>951</v>
      </c>
      <c r="B56" s="215">
        <v>3371</v>
      </c>
      <c r="C56" s="220"/>
      <c r="D56" s="220"/>
      <c r="E56" s="220"/>
      <c r="F56" s="215">
        <v>328</v>
      </c>
      <c r="G56" s="220"/>
      <c r="H56" s="220"/>
      <c r="I56" s="220"/>
      <c r="J56" s="215">
        <v>717</v>
      </c>
      <c r="K56" s="220"/>
      <c r="L56" s="220"/>
      <c r="M56" s="220"/>
      <c r="N56" s="215">
        <v>2011</v>
      </c>
      <c r="O56" s="220"/>
      <c r="P56" s="220"/>
      <c r="Q56" s="220"/>
      <c r="R56" s="215">
        <v>2621</v>
      </c>
      <c r="S56" s="220"/>
      <c r="T56" s="220"/>
      <c r="U56" s="220"/>
      <c r="V56" s="215">
        <v>1989</v>
      </c>
      <c r="W56" s="220"/>
      <c r="X56" s="220"/>
      <c r="Y56" s="220"/>
      <c r="Z56" s="215">
        <v>204</v>
      </c>
      <c r="AA56" s="220"/>
      <c r="AB56" s="220"/>
      <c r="AC56" s="220"/>
      <c r="AD56" s="215">
        <v>7708</v>
      </c>
      <c r="AE56" s="220"/>
      <c r="AF56" s="220"/>
      <c r="AG56" s="220"/>
      <c r="AH56" s="215">
        <v>146</v>
      </c>
      <c r="AI56" s="220"/>
      <c r="AJ56" s="220"/>
      <c r="AK56" s="220"/>
      <c r="AL56" s="215">
        <v>10</v>
      </c>
      <c r="AM56" s="220"/>
      <c r="AN56" s="220"/>
      <c r="AO56" s="220"/>
      <c r="AP56" s="215">
        <v>188</v>
      </c>
      <c r="AQ56" s="220"/>
      <c r="AR56" s="220"/>
      <c r="AS56" s="223"/>
    </row>
    <row r="57" spans="1:45" hidden="1" outlineLevel="1" x14ac:dyDescent="0.3">
      <c r="A57" s="214" t="s">
        <v>1080</v>
      </c>
      <c r="B57" s="782"/>
      <c r="C57" s="220"/>
      <c r="D57" s="220"/>
      <c r="E57" s="220"/>
      <c r="F57" s="215">
        <v>4348</v>
      </c>
      <c r="G57" s="220"/>
      <c r="H57" s="220"/>
      <c r="I57" s="220"/>
      <c r="J57" s="215">
        <v>5306</v>
      </c>
      <c r="K57" s="220"/>
      <c r="L57" s="220"/>
      <c r="M57" s="220"/>
      <c r="N57" s="215">
        <v>4224</v>
      </c>
      <c r="O57" s="220"/>
      <c r="P57" s="220"/>
      <c r="Q57" s="220"/>
      <c r="R57" s="215">
        <v>3459</v>
      </c>
      <c r="S57" s="220"/>
      <c r="T57" s="220"/>
      <c r="U57" s="220"/>
      <c r="V57" s="215">
        <v>3894</v>
      </c>
      <c r="W57" s="220"/>
      <c r="X57" s="220"/>
      <c r="Y57" s="220"/>
      <c r="Z57" s="215">
        <v>3923</v>
      </c>
      <c r="AA57" s="220"/>
      <c r="AB57" s="220"/>
      <c r="AC57" s="220"/>
      <c r="AD57" s="215">
        <v>2617</v>
      </c>
      <c r="AE57" s="220"/>
      <c r="AF57" s="220"/>
      <c r="AG57" s="220"/>
      <c r="AH57" s="215">
        <v>2634</v>
      </c>
      <c r="AI57" s="220"/>
      <c r="AJ57" s="220"/>
      <c r="AK57" s="220"/>
      <c r="AL57" s="215">
        <v>2290</v>
      </c>
      <c r="AM57" s="220"/>
      <c r="AN57" s="220"/>
      <c r="AO57" s="220"/>
      <c r="AP57" s="215">
        <v>2064</v>
      </c>
      <c r="AQ57" s="220"/>
      <c r="AR57" s="220"/>
      <c r="AS57" s="223"/>
    </row>
    <row r="58" spans="1:45" hidden="1" outlineLevel="1" x14ac:dyDescent="0.3">
      <c r="A58" s="214" t="s">
        <v>1082</v>
      </c>
      <c r="B58" s="215">
        <v>2681</v>
      </c>
      <c r="C58" s="220"/>
      <c r="D58" s="220"/>
      <c r="E58" s="220"/>
      <c r="F58" s="215">
        <v>3309</v>
      </c>
      <c r="G58" s="220"/>
      <c r="H58" s="220"/>
      <c r="I58" s="220"/>
      <c r="J58" s="215">
        <v>2833</v>
      </c>
      <c r="K58" s="220"/>
      <c r="L58" s="220"/>
      <c r="M58" s="220"/>
      <c r="N58" s="215">
        <v>2161</v>
      </c>
      <c r="O58" s="220"/>
      <c r="P58" s="220"/>
      <c r="Q58" s="220"/>
      <c r="R58" s="215">
        <v>2373</v>
      </c>
      <c r="S58" s="220"/>
      <c r="T58" s="220"/>
      <c r="U58" s="220"/>
      <c r="V58" s="507"/>
      <c r="W58" s="511"/>
      <c r="X58" s="220"/>
      <c r="Y58" s="220"/>
      <c r="Z58" s="507"/>
      <c r="AA58" s="220"/>
      <c r="AB58" s="220"/>
      <c r="AC58" s="220"/>
      <c r="AD58" s="507"/>
      <c r="AE58" s="220"/>
      <c r="AF58" s="220"/>
      <c r="AG58" s="220"/>
      <c r="AH58" s="507"/>
      <c r="AI58" s="220"/>
      <c r="AJ58" s="220"/>
      <c r="AK58" s="220"/>
      <c r="AL58" s="507"/>
      <c r="AM58" s="220"/>
      <c r="AN58" s="220"/>
      <c r="AO58" s="220"/>
      <c r="AP58" s="507"/>
      <c r="AQ58" s="220"/>
      <c r="AR58" s="220"/>
      <c r="AS58" s="223"/>
    </row>
    <row r="59" spans="1:45" collapsed="1" x14ac:dyDescent="0.3">
      <c r="A59" s="214" t="s">
        <v>101</v>
      </c>
      <c r="B59" s="1297">
        <f>SUM(B54:B58)</f>
        <v>10116</v>
      </c>
      <c r="C59" s="220"/>
      <c r="D59" s="220"/>
      <c r="E59" s="220"/>
      <c r="F59" s="1297">
        <f>SUM(F54:F58)</f>
        <v>8786</v>
      </c>
      <c r="G59" s="220"/>
      <c r="H59" s="220"/>
      <c r="I59" s="220"/>
      <c r="J59" s="1297">
        <f>SUM(J54:J58)</f>
        <v>9672</v>
      </c>
      <c r="K59" s="220"/>
      <c r="L59" s="220"/>
      <c r="M59" s="220"/>
      <c r="N59" s="1297">
        <f>SUM(N54:N58)</f>
        <v>9147</v>
      </c>
      <c r="O59" s="220"/>
      <c r="P59" s="220"/>
      <c r="Q59" s="220"/>
      <c r="R59" s="1297">
        <f>SUM(R54:R58)</f>
        <v>9076</v>
      </c>
      <c r="S59" s="220"/>
      <c r="T59" s="220"/>
      <c r="U59" s="220"/>
      <c r="V59" s="1297">
        <f>SUM(V54:V58)</f>
        <v>6706</v>
      </c>
      <c r="W59" s="220"/>
      <c r="X59" s="220"/>
      <c r="Y59" s="220"/>
      <c r="Z59" s="1297">
        <f>SUM(Z54:Z57)</f>
        <v>5082</v>
      </c>
      <c r="AA59" s="220"/>
      <c r="AB59" s="220"/>
      <c r="AC59" s="220"/>
      <c r="AD59" s="392">
        <f>SUM(AD54:AD57)</f>
        <v>11902</v>
      </c>
      <c r="AE59" s="220"/>
      <c r="AF59" s="220"/>
      <c r="AG59" s="220"/>
      <c r="AH59" s="1297">
        <f>SUM(AH54:AH57)</f>
        <v>4976</v>
      </c>
      <c r="AI59" s="1417"/>
      <c r="AJ59" s="1417"/>
      <c r="AK59" s="1417"/>
      <c r="AL59" s="1297">
        <f>SUM(AL54:AL57)</f>
        <v>3963</v>
      </c>
      <c r="AM59" s="1417"/>
      <c r="AN59" s="1417"/>
      <c r="AO59" s="1417"/>
      <c r="AP59" s="1297">
        <f>SUM(AP54:AP57)</f>
        <v>3714</v>
      </c>
      <c r="AQ59" s="220"/>
      <c r="AR59" s="220"/>
      <c r="AS59" s="223"/>
    </row>
    <row r="60" spans="1:45" ht="9" hidden="1" customHeight="1" outlineLevel="1" x14ac:dyDescent="0.3">
      <c r="A60" s="214" t="s">
        <v>176</v>
      </c>
      <c r="B60" s="220"/>
      <c r="C60" s="220"/>
      <c r="D60" s="220"/>
      <c r="E60" s="220"/>
      <c r="F60" s="220"/>
      <c r="G60" s="220"/>
      <c r="H60" s="220"/>
      <c r="I60" s="220"/>
      <c r="J60" s="220"/>
      <c r="K60" s="220"/>
      <c r="L60" s="220"/>
      <c r="M60" s="220"/>
      <c r="N60" s="220"/>
      <c r="O60" s="220"/>
      <c r="P60" s="220"/>
      <c r="Q60" s="220"/>
      <c r="R60" s="220"/>
      <c r="S60" s="220"/>
      <c r="T60" s="220"/>
      <c r="U60" s="220"/>
      <c r="V60" s="220" t="s">
        <v>176</v>
      </c>
      <c r="W60" s="220"/>
      <c r="X60" s="220"/>
      <c r="Y60" s="220"/>
      <c r="Z60" s="220"/>
      <c r="AA60" s="220"/>
      <c r="AB60" s="220"/>
      <c r="AC60" s="220"/>
      <c r="AD60" s="220"/>
      <c r="AE60" s="220"/>
      <c r="AF60" s="220"/>
      <c r="AG60" s="220"/>
      <c r="AH60" s="1417"/>
      <c r="AI60" s="1417"/>
      <c r="AJ60" s="1417"/>
      <c r="AK60" s="1417"/>
      <c r="AL60" s="1417"/>
      <c r="AM60" s="1417"/>
      <c r="AN60" s="1417"/>
      <c r="AO60" s="1417"/>
      <c r="AP60" s="1417"/>
      <c r="AQ60" s="220"/>
      <c r="AR60" s="220"/>
      <c r="AS60" s="223"/>
    </row>
    <row r="61" spans="1:45" hidden="1" outlineLevel="1" x14ac:dyDescent="0.3">
      <c r="A61" s="214" t="s">
        <v>1868</v>
      </c>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1417"/>
      <c r="AI61" s="1417"/>
      <c r="AJ61" s="1417"/>
      <c r="AK61" s="1417"/>
      <c r="AL61" s="1417"/>
      <c r="AM61" s="1417"/>
      <c r="AN61" s="1417"/>
      <c r="AO61" s="1417"/>
      <c r="AP61" s="1417"/>
      <c r="AQ61" s="220"/>
      <c r="AR61" s="220"/>
      <c r="AS61" s="223"/>
    </row>
    <row r="62" spans="1:45" hidden="1" outlineLevel="1" x14ac:dyDescent="0.3">
      <c r="A62" s="214" t="s">
        <v>950</v>
      </c>
      <c r="B62" s="782"/>
      <c r="C62" s="220"/>
      <c r="D62" s="1577"/>
      <c r="E62" s="220"/>
      <c r="F62" s="1297">
        <v>581</v>
      </c>
      <c r="G62" s="220"/>
      <c r="H62" s="464">
        <f>1-F62/F54</f>
        <v>0.27465667915106118</v>
      </c>
      <c r="I62" s="220"/>
      <c r="J62" s="1297">
        <v>400</v>
      </c>
      <c r="K62" s="220"/>
      <c r="L62" s="464">
        <f>1-J62/J54</f>
        <v>0.50980392156862742</v>
      </c>
      <c r="M62" s="220"/>
      <c r="N62" s="1297">
        <v>-321</v>
      </c>
      <c r="O62" s="220"/>
      <c r="P62" s="464">
        <f>1-N62/N54</f>
        <v>1.4274300932090547</v>
      </c>
      <c r="Q62" s="220"/>
      <c r="R62" s="1297">
        <v>260</v>
      </c>
      <c r="S62" s="220"/>
      <c r="T62" s="464">
        <f>1-R62/R54</f>
        <v>0.5826645264847512</v>
      </c>
      <c r="U62" s="220"/>
      <c r="V62" s="1297">
        <v>782</v>
      </c>
      <c r="W62" s="220"/>
      <c r="X62" s="464">
        <f>1-V62/V54</f>
        <v>4.9817739975698716E-2</v>
      </c>
      <c r="Y62" s="220"/>
      <c r="Z62" s="1297">
        <v>776</v>
      </c>
      <c r="AA62" s="220"/>
      <c r="AB62" s="464">
        <f>1-Z62/Z54</f>
        <v>0.187434554973822</v>
      </c>
      <c r="AC62" s="220"/>
      <c r="AD62" s="392">
        <v>1477</v>
      </c>
      <c r="AE62" s="220"/>
      <c r="AF62" s="464">
        <f>1-AD62/AD54</f>
        <v>6.3411540900443875E-2</v>
      </c>
      <c r="AG62" s="220"/>
      <c r="AH62" s="1297">
        <v>1588</v>
      </c>
      <c r="AI62" s="1417"/>
      <c r="AJ62" s="1582">
        <f>1-AH62/AH54</f>
        <v>0.27686703096539167</v>
      </c>
      <c r="AK62" s="1417"/>
      <c r="AL62" s="1297">
        <v>-1178</v>
      </c>
      <c r="AM62" s="1417"/>
      <c r="AN62" s="1582">
        <f>1-AL62/AL54</f>
        <v>1.7083583884546001</v>
      </c>
      <c r="AO62" s="1417"/>
      <c r="AP62" s="1297">
        <v>385</v>
      </c>
      <c r="AQ62" s="220"/>
      <c r="AR62" s="464">
        <f>1-AP62/AP54</f>
        <v>0.73666210670314636</v>
      </c>
      <c r="AS62" s="223"/>
    </row>
    <row r="63" spans="1:45" hidden="1" outlineLevel="1" x14ac:dyDescent="0.3">
      <c r="A63" s="214" t="s">
        <v>1081</v>
      </c>
      <c r="B63" s="1297">
        <v>1684</v>
      </c>
      <c r="C63" s="220"/>
      <c r="D63" s="464">
        <f>1-B63/B55</f>
        <v>0.58562992125984259</v>
      </c>
      <c r="E63" s="220"/>
      <c r="F63" s="782"/>
      <c r="G63" s="220"/>
      <c r="H63" s="1577"/>
      <c r="I63" s="220"/>
      <c r="J63" s="782"/>
      <c r="K63" s="220"/>
      <c r="L63" s="1577"/>
      <c r="M63" s="220"/>
      <c r="N63" s="782"/>
      <c r="O63" s="220"/>
      <c r="P63" s="1577"/>
      <c r="Q63" s="220"/>
      <c r="R63" s="782"/>
      <c r="S63" s="220"/>
      <c r="T63" s="1577"/>
      <c r="U63" s="220"/>
      <c r="V63" s="782"/>
      <c r="W63" s="220"/>
      <c r="X63" s="1577"/>
      <c r="Y63" s="220"/>
      <c r="Z63" s="782"/>
      <c r="AA63" s="220"/>
      <c r="AB63" s="1577"/>
      <c r="AC63" s="220"/>
      <c r="AD63" s="782"/>
      <c r="AE63" s="220"/>
      <c r="AF63" s="1577"/>
      <c r="AG63" s="220"/>
      <c r="AH63" s="1583"/>
      <c r="AI63" s="1417"/>
      <c r="AJ63" s="1584"/>
      <c r="AK63" s="1417"/>
      <c r="AL63" s="1583"/>
      <c r="AM63" s="1417"/>
      <c r="AN63" s="1584"/>
      <c r="AO63" s="1417"/>
      <c r="AP63" s="1583"/>
      <c r="AQ63" s="220"/>
      <c r="AR63" s="1577"/>
      <c r="AS63" s="223"/>
    </row>
    <row r="64" spans="1:45" hidden="1" outlineLevel="1" x14ac:dyDescent="0.3">
      <c r="A64" s="214" t="s">
        <v>951</v>
      </c>
      <c r="B64" s="215">
        <v>-905</v>
      </c>
      <c r="C64" s="220"/>
      <c r="D64" s="464">
        <f>1-B64/B56</f>
        <v>1.2684663304657371</v>
      </c>
      <c r="E64" s="220"/>
      <c r="F64" s="215">
        <v>-321</v>
      </c>
      <c r="G64" s="220"/>
      <c r="H64" s="464">
        <f>1-F64/F56</f>
        <v>1.9786585365853657</v>
      </c>
      <c r="I64" s="220"/>
      <c r="J64" s="215">
        <v>-201</v>
      </c>
      <c r="K64" s="220"/>
      <c r="L64" s="464">
        <f>1-J64/J56</f>
        <v>1.2803347280334729</v>
      </c>
      <c r="M64" s="220"/>
      <c r="N64" s="215">
        <v>645</v>
      </c>
      <c r="O64" s="220"/>
      <c r="P64" s="464">
        <f>1-N64/N56</f>
        <v>0.67926404773744409</v>
      </c>
      <c r="Q64" s="220"/>
      <c r="R64" s="215">
        <v>-90</v>
      </c>
      <c r="S64" s="220"/>
      <c r="T64" s="464">
        <f>1-R64/R56</f>
        <v>1.034338038916444</v>
      </c>
      <c r="U64" s="220"/>
      <c r="V64" s="215">
        <v>-448</v>
      </c>
      <c r="W64" s="220"/>
      <c r="X64" s="464">
        <f>1-V64/V56</f>
        <v>1.2252388134741077</v>
      </c>
      <c r="Y64" s="220"/>
      <c r="Z64" s="215">
        <v>-414</v>
      </c>
      <c r="AA64" s="220"/>
      <c r="AB64" s="464">
        <f>1-Z64/Z56</f>
        <v>3.0294117647058822</v>
      </c>
      <c r="AC64" s="220"/>
      <c r="AD64" s="215">
        <v>-375</v>
      </c>
      <c r="AE64" s="220"/>
      <c r="AF64" s="464">
        <f>1-AD64/AD56</f>
        <v>1.0486507524649715</v>
      </c>
      <c r="AG64" s="220"/>
      <c r="AH64" s="1298">
        <v>-173</v>
      </c>
      <c r="AI64" s="1417"/>
      <c r="AJ64" s="1582">
        <f>1-AH64/AH56</f>
        <v>2.1849315068493151</v>
      </c>
      <c r="AK64" s="1417"/>
      <c r="AL64" s="1298">
        <v>-214</v>
      </c>
      <c r="AM64" s="1417"/>
      <c r="AN64" s="1585" t="s">
        <v>272</v>
      </c>
      <c r="AO64" s="1417"/>
      <c r="AP64" s="1298">
        <v>-412</v>
      </c>
      <c r="AQ64" s="220"/>
      <c r="AR64" s="464">
        <f>1-AP64/AP56</f>
        <v>3.1914893617021276</v>
      </c>
      <c r="AS64" s="223"/>
    </row>
    <row r="65" spans="1:47" hidden="1" outlineLevel="1" x14ac:dyDescent="0.3">
      <c r="A65" s="214" t="s">
        <v>1080</v>
      </c>
      <c r="B65" s="782"/>
      <c r="C65" s="220"/>
      <c r="D65" s="1577"/>
      <c r="E65" s="220"/>
      <c r="F65" s="215">
        <v>655</v>
      </c>
      <c r="G65" s="220"/>
      <c r="H65" s="464">
        <f>1-F65/F57</f>
        <v>0.84935602575896962</v>
      </c>
      <c r="I65" s="220"/>
      <c r="J65" s="215">
        <v>295</v>
      </c>
      <c r="K65" s="220"/>
      <c r="L65" s="464">
        <f>1-J65/J57</f>
        <v>0.9444025631360724</v>
      </c>
      <c r="M65" s="220"/>
      <c r="N65" s="215">
        <v>-338</v>
      </c>
      <c r="O65" s="220"/>
      <c r="P65" s="464">
        <f>1-N65/N57</f>
        <v>1.0800189393939394</v>
      </c>
      <c r="Q65" s="220"/>
      <c r="R65" s="215">
        <v>203</v>
      </c>
      <c r="S65" s="220"/>
      <c r="T65" s="464">
        <f>1-R65/R57</f>
        <v>0.941312518068806</v>
      </c>
      <c r="U65" s="220"/>
      <c r="V65" s="215">
        <v>15</v>
      </c>
      <c r="W65" s="220"/>
      <c r="X65" s="464">
        <f>1-V65/V57</f>
        <v>0.99614791987673346</v>
      </c>
      <c r="Y65" s="220"/>
      <c r="Z65" s="215">
        <v>962</v>
      </c>
      <c r="AA65" s="220"/>
      <c r="AB65" s="464">
        <f>1-Z65/Z57</f>
        <v>0.75477950548049966</v>
      </c>
      <c r="AC65" s="220"/>
      <c r="AD65" s="215">
        <v>325</v>
      </c>
      <c r="AE65" s="220"/>
      <c r="AF65" s="464">
        <f>1-AD65/AD57</f>
        <v>0.87581199847153224</v>
      </c>
      <c r="AG65" s="220"/>
      <c r="AH65" s="1298">
        <v>243</v>
      </c>
      <c r="AI65" s="1417"/>
      <c r="AJ65" s="1582">
        <f>1-AH65/AH57</f>
        <v>0.907744874715262</v>
      </c>
      <c r="AK65" s="1417"/>
      <c r="AL65" s="1298">
        <v>323</v>
      </c>
      <c r="AM65" s="1417"/>
      <c r="AN65" s="1582">
        <f>1-AL65/AL57</f>
        <v>0.8589519650655022</v>
      </c>
      <c r="AO65" s="1417"/>
      <c r="AP65" s="1298">
        <v>444</v>
      </c>
      <c r="AQ65" s="220"/>
      <c r="AR65" s="464">
        <f>1-AP65/AP57</f>
        <v>0.78488372093023262</v>
      </c>
      <c r="AS65" s="223"/>
    </row>
    <row r="66" spans="1:47" ht="18.600000000000001" hidden="1" outlineLevel="1" x14ac:dyDescent="0.3">
      <c r="A66" s="214" t="s">
        <v>1864</v>
      </c>
      <c r="B66" s="215">
        <v>-173</v>
      </c>
      <c r="C66" s="220"/>
      <c r="D66" s="464">
        <f>1-B66/B58</f>
        <v>1.0645281611339052</v>
      </c>
      <c r="E66" s="220"/>
      <c r="F66" s="215">
        <v>379</v>
      </c>
      <c r="G66" s="220"/>
      <c r="H66" s="464">
        <f>1-F66/F58</f>
        <v>0.88546388637050466</v>
      </c>
      <c r="I66" s="220"/>
      <c r="J66" s="215">
        <v>-190</v>
      </c>
      <c r="K66" s="220"/>
      <c r="L66" s="464">
        <f>1-J66/J58</f>
        <v>1.0670667137310272</v>
      </c>
      <c r="M66" s="220"/>
      <c r="N66" s="215">
        <v>-700</v>
      </c>
      <c r="O66" s="220"/>
      <c r="P66" s="464">
        <f>1-N66/N58</f>
        <v>1.3239241092086997</v>
      </c>
      <c r="Q66" s="220"/>
      <c r="R66" s="215">
        <v>-197</v>
      </c>
      <c r="S66" s="220"/>
      <c r="T66" s="464">
        <f>1-R66/R58</f>
        <v>1.0830172777075431</v>
      </c>
      <c r="U66" s="220"/>
      <c r="V66" s="507"/>
      <c r="W66" s="397"/>
      <c r="X66" s="1577"/>
      <c r="Y66" s="220"/>
      <c r="Z66" s="507"/>
      <c r="AA66" s="220"/>
      <c r="AB66" s="507"/>
      <c r="AC66" s="220"/>
      <c r="AD66" s="507"/>
      <c r="AE66" s="220"/>
      <c r="AF66" s="507"/>
      <c r="AG66" s="220"/>
      <c r="AH66" s="1586"/>
      <c r="AI66" s="1417"/>
      <c r="AJ66" s="1586"/>
      <c r="AK66" s="1417"/>
      <c r="AL66" s="1586"/>
      <c r="AM66" s="1417"/>
      <c r="AN66" s="1586"/>
      <c r="AO66" s="1417"/>
      <c r="AP66" s="1586"/>
      <c r="AQ66" s="220"/>
      <c r="AR66" s="507"/>
      <c r="AS66" s="223"/>
    </row>
    <row r="67" spans="1:47" ht="18.600000000000001" collapsed="1" x14ac:dyDescent="0.3">
      <c r="A67" s="214" t="s">
        <v>2990</v>
      </c>
      <c r="B67" s="1282">
        <f>SUM(B62:B66)</f>
        <v>606</v>
      </c>
      <c r="C67" s="220"/>
      <c r="D67" s="228">
        <f>1-B67/B59</f>
        <v>0.94009489916963229</v>
      </c>
      <c r="E67" s="220"/>
      <c r="F67" s="1282">
        <f>SUM(F62:F66)</f>
        <v>1294</v>
      </c>
      <c r="G67" s="220"/>
      <c r="H67" s="228">
        <f>1-F67/F59</f>
        <v>0.85272023674026864</v>
      </c>
      <c r="I67" s="220"/>
      <c r="J67" s="1282">
        <f>SUM(J62:J66)</f>
        <v>304</v>
      </c>
      <c r="K67" s="220"/>
      <c r="L67" s="228">
        <f>1-J67/J59</f>
        <v>0.96856906534325893</v>
      </c>
      <c r="M67" s="220"/>
      <c r="N67" s="1282">
        <f>SUM(N62:N66)</f>
        <v>-714</v>
      </c>
      <c r="O67" s="220"/>
      <c r="P67" s="228">
        <f>1-N67/N59</f>
        <v>1.0780583797966545</v>
      </c>
      <c r="Q67" s="220"/>
      <c r="R67" s="1282">
        <f>SUM(R62:R66)</f>
        <v>176</v>
      </c>
      <c r="S67" s="220"/>
      <c r="T67" s="228">
        <f>1-R67/R59</f>
        <v>0.98060819744380789</v>
      </c>
      <c r="U67" s="220"/>
      <c r="V67" s="2554">
        <v>250</v>
      </c>
      <c r="W67" s="220"/>
      <c r="X67" s="228">
        <f>1-V67/V59</f>
        <v>0.96271995228153895</v>
      </c>
      <c r="Y67" s="220"/>
      <c r="Z67" s="1282">
        <f>SUM(Z62:Z66)</f>
        <v>1324</v>
      </c>
      <c r="AA67" s="220"/>
      <c r="AB67" s="228">
        <f>1-Z67/Z59</f>
        <v>0.73947264856355766</v>
      </c>
      <c r="AC67" s="220"/>
      <c r="AD67" s="505">
        <f>SUM(AD62:AD65)</f>
        <v>1427</v>
      </c>
      <c r="AE67" s="220"/>
      <c r="AF67" s="228">
        <f>1-AD67/AD59</f>
        <v>0.88010418417072755</v>
      </c>
      <c r="AG67" s="220"/>
      <c r="AH67" s="1282">
        <f>SUM(AH62:AH65)</f>
        <v>1658</v>
      </c>
      <c r="AI67" s="1417"/>
      <c r="AJ67" s="1587">
        <f>1-AH67/AH59</f>
        <v>0.66680064308681675</v>
      </c>
      <c r="AK67" s="1417"/>
      <c r="AL67" s="1282">
        <f>SUM(AL62:AL65)</f>
        <v>-1069</v>
      </c>
      <c r="AM67" s="1417"/>
      <c r="AN67" s="1587">
        <f>1-AL67/AL59</f>
        <v>1.2697451425687611</v>
      </c>
      <c r="AO67" s="1417"/>
      <c r="AP67" s="1282">
        <f>SUM(AP62:AP65)</f>
        <v>417</v>
      </c>
      <c r="AQ67" s="220"/>
      <c r="AR67" s="228">
        <f>1-AP67/AP59</f>
        <v>0.8877221324717286</v>
      </c>
      <c r="AS67" s="223"/>
    </row>
    <row r="68" spans="1:47" ht="4.5" customHeight="1" x14ac:dyDescent="0.3">
      <c r="A68" s="214"/>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3"/>
    </row>
    <row r="69" spans="1:47" ht="4.5" customHeight="1" x14ac:dyDescent="0.3">
      <c r="A69" s="1155"/>
      <c r="B69" s="1278"/>
      <c r="C69" s="686"/>
      <c r="D69" s="728"/>
      <c r="E69" s="728"/>
      <c r="F69" s="1278"/>
      <c r="G69" s="686"/>
      <c r="H69" s="728"/>
      <c r="I69" s="728"/>
      <c r="J69" s="1278"/>
      <c r="K69" s="686"/>
      <c r="L69" s="728"/>
      <c r="M69" s="728"/>
      <c r="N69" s="1278"/>
      <c r="O69" s="686"/>
      <c r="P69" s="728"/>
      <c r="Q69" s="728"/>
      <c r="R69" s="1278"/>
      <c r="S69" s="686"/>
      <c r="T69" s="728"/>
      <c r="U69" s="728"/>
      <c r="V69" s="1278"/>
      <c r="W69" s="686"/>
      <c r="X69" s="728"/>
      <c r="Y69" s="728"/>
      <c r="Z69" s="1278"/>
      <c r="AA69" s="686"/>
      <c r="AB69" s="728"/>
      <c r="AC69" s="728"/>
      <c r="AD69" s="1278"/>
      <c r="AE69" s="686"/>
      <c r="AF69" s="728"/>
      <c r="AG69" s="728"/>
      <c r="AH69" s="1278"/>
      <c r="AI69" s="686"/>
      <c r="AJ69" s="728"/>
      <c r="AK69" s="728"/>
      <c r="AL69" s="1278"/>
      <c r="AM69" s="686"/>
      <c r="AN69" s="728"/>
      <c r="AO69" s="728"/>
      <c r="AP69" s="1278"/>
      <c r="AQ69" s="686"/>
      <c r="AR69" s="728"/>
      <c r="AS69" s="1279"/>
    </row>
    <row r="70" spans="1:47" ht="4.5" customHeight="1" x14ac:dyDescent="0.3">
      <c r="A70" s="214"/>
      <c r="B70" s="875"/>
      <c r="C70" s="215"/>
      <c r="D70" s="464"/>
      <c r="E70" s="464"/>
      <c r="F70" s="875"/>
      <c r="G70" s="215"/>
      <c r="H70" s="464"/>
      <c r="I70" s="464"/>
      <c r="J70" s="875"/>
      <c r="K70" s="215"/>
      <c r="L70" s="464"/>
      <c r="M70" s="464"/>
      <c r="N70" s="875"/>
      <c r="O70" s="215"/>
      <c r="P70" s="464"/>
      <c r="Q70" s="464"/>
      <c r="R70" s="875"/>
      <c r="S70" s="215"/>
      <c r="T70" s="464"/>
      <c r="U70" s="464"/>
      <c r="V70" s="875"/>
      <c r="W70" s="215"/>
      <c r="X70" s="464"/>
      <c r="Y70" s="464"/>
      <c r="Z70" s="875"/>
      <c r="AA70" s="215"/>
      <c r="AB70" s="464"/>
      <c r="AC70" s="464"/>
      <c r="AD70" s="875"/>
      <c r="AE70" s="215"/>
      <c r="AF70" s="464"/>
      <c r="AG70" s="464"/>
      <c r="AH70" s="875"/>
      <c r="AI70" s="215"/>
      <c r="AJ70" s="464"/>
      <c r="AK70" s="464"/>
      <c r="AL70" s="875"/>
      <c r="AM70" s="215"/>
      <c r="AN70" s="464"/>
      <c r="AO70" s="464"/>
      <c r="AP70" s="875"/>
      <c r="AQ70" s="215"/>
      <c r="AR70" s="464"/>
      <c r="AS70" s="223"/>
    </row>
    <row r="71" spans="1:47" x14ac:dyDescent="0.3">
      <c r="A71" s="213" t="s">
        <v>1083</v>
      </c>
      <c r="B71" s="887"/>
      <c r="C71" s="886"/>
      <c r="D71" s="887"/>
      <c r="E71" s="887"/>
      <c r="F71" s="887"/>
      <c r="G71" s="886"/>
      <c r="H71" s="887"/>
      <c r="I71" s="887"/>
      <c r="J71" s="887"/>
      <c r="K71" s="886"/>
      <c r="L71" s="887"/>
      <c r="M71" s="887"/>
      <c r="N71" s="887"/>
      <c r="O71" s="886"/>
      <c r="P71" s="887"/>
      <c r="Q71" s="887"/>
      <c r="R71" s="887"/>
      <c r="S71" s="886"/>
      <c r="T71" s="887"/>
      <c r="U71" s="887"/>
      <c r="V71" s="887"/>
      <c r="W71" s="886"/>
      <c r="X71" s="887"/>
      <c r="Y71" s="887"/>
      <c r="Z71" s="887"/>
      <c r="AA71" s="886"/>
      <c r="AB71" s="887"/>
      <c r="AC71" s="887"/>
      <c r="AD71" s="887"/>
      <c r="AE71" s="886"/>
      <c r="AF71" s="887"/>
      <c r="AG71" s="887"/>
      <c r="AH71" s="887"/>
      <c r="AI71" s="886"/>
      <c r="AJ71" s="887"/>
      <c r="AK71" s="887"/>
      <c r="AL71" s="887"/>
      <c r="AM71" s="886"/>
      <c r="AN71" s="887"/>
      <c r="AO71" s="887"/>
      <c r="AP71" s="887"/>
      <c r="AQ71" s="886"/>
      <c r="AR71" s="887"/>
      <c r="AS71" s="223"/>
    </row>
    <row r="72" spans="1:47" ht="18.600000000000001" x14ac:dyDescent="0.3">
      <c r="A72" s="214" t="s">
        <v>1865</v>
      </c>
      <c r="B72" s="1372">
        <f>B78-B59-B31-B10</f>
        <v>4377</v>
      </c>
      <c r="C72" s="215"/>
      <c r="D72" s="868">
        <f>B72/B$72</f>
        <v>1</v>
      </c>
      <c r="E72" s="464"/>
      <c r="F72" s="1372">
        <f>F78-F59-F31-F10</f>
        <v>3342</v>
      </c>
      <c r="G72" s="215"/>
      <c r="H72" s="868">
        <f>F72/F$72</f>
        <v>1</v>
      </c>
      <c r="I72" s="464"/>
      <c r="J72" s="1372">
        <f>J78-J59-J31-J10</f>
        <v>2263</v>
      </c>
      <c r="K72" s="215"/>
      <c r="L72" s="868">
        <f>J72/J$72</f>
        <v>1</v>
      </c>
      <c r="M72" s="464"/>
      <c r="N72" s="1372">
        <f>N78-N59-N31-N10</f>
        <v>1749</v>
      </c>
      <c r="O72" s="215"/>
      <c r="P72" s="868">
        <f>N72/N$72</f>
        <v>1</v>
      </c>
      <c r="Q72" s="464"/>
      <c r="R72" s="1372">
        <f>R78-R59-R31-R10</f>
        <v>1697</v>
      </c>
      <c r="S72" s="215"/>
      <c r="T72" s="868">
        <f>R72/R$72</f>
        <v>1</v>
      </c>
      <c r="U72" s="464"/>
      <c r="V72" s="1372">
        <v>1773</v>
      </c>
      <c r="W72" s="215"/>
      <c r="X72" s="868">
        <f>V72/V$72</f>
        <v>1</v>
      </c>
      <c r="Y72" s="464"/>
      <c r="Z72" s="1372">
        <v>1950</v>
      </c>
      <c r="AA72" s="215"/>
      <c r="AB72" s="868">
        <f>Z72/Z$72</f>
        <v>1</v>
      </c>
      <c r="AC72" s="464"/>
      <c r="AD72" s="1372">
        <v>1999</v>
      </c>
      <c r="AE72" s="215"/>
      <c r="AF72" s="868">
        <f>AD72/AD$72</f>
        <v>1</v>
      </c>
      <c r="AG72" s="464"/>
      <c r="AH72" s="1372">
        <v>1858</v>
      </c>
      <c r="AI72" s="215"/>
      <c r="AJ72" s="868">
        <f>AH72/AH$72</f>
        <v>1</v>
      </c>
      <c r="AK72" s="464"/>
      <c r="AL72" s="1372">
        <v>1498</v>
      </c>
      <c r="AM72" s="215"/>
      <c r="AN72" s="868">
        <f>AL72/AL$72</f>
        <v>1</v>
      </c>
      <c r="AO72" s="464"/>
      <c r="AP72" s="1372">
        <v>1211</v>
      </c>
      <c r="AQ72" s="215"/>
      <c r="AR72" s="868">
        <f>AP72/AP$72</f>
        <v>1</v>
      </c>
      <c r="AS72" s="347"/>
      <c r="AT72" s="227"/>
    </row>
    <row r="73" spans="1:47" hidden="1" outlineLevel="1" x14ac:dyDescent="0.3">
      <c r="A73" s="214" t="s">
        <v>685</v>
      </c>
      <c r="B73" s="215">
        <f>B72-B74</f>
        <v>3751</v>
      </c>
      <c r="C73" s="215"/>
      <c r="D73" s="464">
        <f>B73/B$72</f>
        <v>0.85697966643819967</v>
      </c>
      <c r="E73" s="464"/>
      <c r="F73" s="215">
        <f>F72-F74</f>
        <v>2957</v>
      </c>
      <c r="G73" s="215"/>
      <c r="H73" s="464">
        <f>F73/F$72</f>
        <v>0.88479952124476358</v>
      </c>
      <c r="I73" s="464"/>
      <c r="J73" s="215">
        <f>J72-J74</f>
        <v>1977</v>
      </c>
      <c r="K73" s="215"/>
      <c r="L73" s="464">
        <f>J73/J$72</f>
        <v>0.87361908970393287</v>
      </c>
      <c r="M73" s="464"/>
      <c r="N73" s="215">
        <f>N72-N74</f>
        <v>1507</v>
      </c>
      <c r="O73" s="215"/>
      <c r="P73" s="464">
        <f>N73/N$72</f>
        <v>0.86163522012578619</v>
      </c>
      <c r="Q73" s="464"/>
      <c r="R73" s="215">
        <f>R72-R74</f>
        <v>1429</v>
      </c>
      <c r="S73" s="215"/>
      <c r="T73" s="464">
        <f>R73/R$72</f>
        <v>0.84207424867413083</v>
      </c>
      <c r="U73" s="464"/>
      <c r="V73" s="215">
        <f>V72-V74</f>
        <v>1689</v>
      </c>
      <c r="W73" s="215"/>
      <c r="X73" s="464">
        <f>V73/V$72</f>
        <v>0.95262267343485618</v>
      </c>
      <c r="Y73" s="464"/>
      <c r="Z73" s="215">
        <f>Z72-Z74</f>
        <v>1740</v>
      </c>
      <c r="AA73" s="215"/>
      <c r="AB73" s="464">
        <f>Z73/Z$72</f>
        <v>0.89230769230769236</v>
      </c>
      <c r="AC73" s="464"/>
      <c r="AD73" s="215">
        <f>AD72-AD74</f>
        <v>1720</v>
      </c>
      <c r="AE73" s="215"/>
      <c r="AF73" s="464">
        <f>AD73/AD$72</f>
        <v>0.8604302151075538</v>
      </c>
      <c r="AG73" s="464"/>
      <c r="AH73" s="215">
        <f>AH72-AH74</f>
        <v>1518</v>
      </c>
      <c r="AI73" s="215"/>
      <c r="AJ73" s="464">
        <f>AH73/AH$72</f>
        <v>0.81700753498385359</v>
      </c>
      <c r="AK73" s="464"/>
      <c r="AL73" s="215">
        <f>AL72-AL74</f>
        <v>1263</v>
      </c>
      <c r="AM73" s="215"/>
      <c r="AN73" s="464">
        <f>AL73/AL$72</f>
        <v>0.8431241655540721</v>
      </c>
      <c r="AO73" s="464"/>
      <c r="AP73" s="215">
        <f>AP72-AP74</f>
        <v>1050</v>
      </c>
      <c r="AQ73" s="215"/>
      <c r="AR73" s="464">
        <f>AP73/AP$72</f>
        <v>0.86705202312138729</v>
      </c>
      <c r="AS73" s="347"/>
      <c r="AT73" s="227"/>
    </row>
    <row r="74" spans="1:47" collapsed="1" x14ac:dyDescent="0.3">
      <c r="A74" s="214" t="s">
        <v>1523</v>
      </c>
      <c r="B74" s="1570">
        <v>626</v>
      </c>
      <c r="C74" s="215"/>
      <c r="D74" s="228">
        <f>B74/B72</f>
        <v>0.14302033356180033</v>
      </c>
      <c r="E74" s="464"/>
      <c r="F74" s="1570">
        <v>385</v>
      </c>
      <c r="G74" s="215"/>
      <c r="H74" s="228">
        <f>F74/F72</f>
        <v>0.11520047875523638</v>
      </c>
      <c r="I74" s="464"/>
      <c r="J74" s="1570">
        <v>286</v>
      </c>
      <c r="K74" s="215"/>
      <c r="L74" s="228">
        <f>J74/J72</f>
        <v>0.12638091029606716</v>
      </c>
      <c r="M74" s="464"/>
      <c r="N74" s="1570">
        <v>242</v>
      </c>
      <c r="O74" s="215"/>
      <c r="P74" s="228">
        <f>N74/N72</f>
        <v>0.13836477987421383</v>
      </c>
      <c r="Q74" s="464"/>
      <c r="R74" s="1570">
        <v>268</v>
      </c>
      <c r="S74" s="215"/>
      <c r="T74" s="228">
        <f>R74/R72</f>
        <v>0.15792575132586917</v>
      </c>
      <c r="U74" s="464"/>
      <c r="V74" s="1570">
        <v>84</v>
      </c>
      <c r="W74" s="215"/>
      <c r="X74" s="228">
        <f>V74/V72</f>
        <v>4.7377326565143825E-2</v>
      </c>
      <c r="Y74" s="464"/>
      <c r="Z74" s="1570">
        <v>210</v>
      </c>
      <c r="AA74" s="215"/>
      <c r="AB74" s="228">
        <f>Z74/Z72</f>
        <v>0.1076923076923077</v>
      </c>
      <c r="AC74" s="464"/>
      <c r="AD74" s="1570">
        <v>279</v>
      </c>
      <c r="AE74" s="215"/>
      <c r="AF74" s="228">
        <f>AD74/AD72</f>
        <v>0.13956978489244623</v>
      </c>
      <c r="AG74" s="464"/>
      <c r="AH74" s="1570">
        <v>340</v>
      </c>
      <c r="AI74" s="215"/>
      <c r="AJ74" s="228">
        <f>AH74/AH72</f>
        <v>0.18299246501614638</v>
      </c>
      <c r="AK74" s="464"/>
      <c r="AL74" s="1570">
        <v>235</v>
      </c>
      <c r="AM74" s="215"/>
      <c r="AN74" s="228">
        <f>AL74/AL72</f>
        <v>0.1568758344459279</v>
      </c>
      <c r="AO74" s="464"/>
      <c r="AP74" s="1570">
        <v>161</v>
      </c>
      <c r="AQ74" s="215"/>
      <c r="AR74" s="228">
        <f>AP74/AP72</f>
        <v>0.13294797687861271</v>
      </c>
      <c r="AS74" s="347"/>
      <c r="AT74" s="227"/>
    </row>
    <row r="75" spans="1:47" ht="4.5" customHeight="1" collapsed="1" x14ac:dyDescent="0.3">
      <c r="A75" s="214"/>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3"/>
    </row>
    <row r="76" spans="1:47" ht="4.5" customHeight="1" x14ac:dyDescent="0.3">
      <c r="A76" s="1155"/>
      <c r="B76" s="1278"/>
      <c r="C76" s="686"/>
      <c r="D76" s="728"/>
      <c r="E76" s="728"/>
      <c r="F76" s="1278"/>
      <c r="G76" s="686"/>
      <c r="H76" s="728"/>
      <c r="I76" s="728"/>
      <c r="J76" s="1278"/>
      <c r="K76" s="686"/>
      <c r="L76" s="728"/>
      <c r="M76" s="728"/>
      <c r="N76" s="1278"/>
      <c r="O76" s="686"/>
      <c r="P76" s="728"/>
      <c r="Q76" s="728"/>
      <c r="R76" s="1278"/>
      <c r="S76" s="686"/>
      <c r="T76" s="728"/>
      <c r="U76" s="728"/>
      <c r="V76" s="1278"/>
      <c r="W76" s="686"/>
      <c r="X76" s="728"/>
      <c r="Y76" s="728"/>
      <c r="Z76" s="1278"/>
      <c r="AA76" s="686"/>
      <c r="AB76" s="728"/>
      <c r="AC76" s="728"/>
      <c r="AD76" s="1278"/>
      <c r="AE76" s="686"/>
      <c r="AF76" s="728"/>
      <c r="AG76" s="728"/>
      <c r="AH76" s="1278"/>
      <c r="AI76" s="686"/>
      <c r="AJ76" s="728"/>
      <c r="AK76" s="728"/>
      <c r="AL76" s="1278"/>
      <c r="AM76" s="686"/>
      <c r="AN76" s="728"/>
      <c r="AO76" s="728"/>
      <c r="AP76" s="1278"/>
      <c r="AQ76" s="686"/>
      <c r="AR76" s="728"/>
      <c r="AS76" s="1279"/>
    </row>
    <row r="77" spans="1:47" ht="4.5" customHeight="1" x14ac:dyDescent="0.3">
      <c r="A77" s="214"/>
      <c r="B77" s="875"/>
      <c r="C77" s="215"/>
      <c r="D77" s="464"/>
      <c r="E77" s="464"/>
      <c r="F77" s="875"/>
      <c r="G77" s="215"/>
      <c r="H77" s="464"/>
      <c r="I77" s="464"/>
      <c r="J77" s="875"/>
      <c r="K77" s="215"/>
      <c r="L77" s="464"/>
      <c r="M77" s="464"/>
      <c r="N77" s="875"/>
      <c r="O77" s="215"/>
      <c r="P77" s="464"/>
      <c r="Q77" s="464"/>
      <c r="R77" s="875"/>
      <c r="S77" s="215"/>
      <c r="T77" s="464"/>
      <c r="U77" s="464"/>
      <c r="V77" s="875"/>
      <c r="W77" s="215"/>
      <c r="X77" s="464"/>
      <c r="Y77" s="464"/>
      <c r="Z77" s="875"/>
      <c r="AA77" s="215"/>
      <c r="AB77" s="464"/>
      <c r="AC77" s="464"/>
      <c r="AD77" s="875"/>
      <c r="AE77" s="215"/>
      <c r="AF77" s="464"/>
      <c r="AG77" s="464"/>
      <c r="AH77" s="875"/>
      <c r="AI77" s="215"/>
      <c r="AJ77" s="464"/>
      <c r="AK77" s="464"/>
      <c r="AL77" s="875"/>
      <c r="AM77" s="215"/>
      <c r="AN77" s="464"/>
      <c r="AO77" s="464"/>
      <c r="AP77" s="875"/>
      <c r="AQ77" s="215"/>
      <c r="AR77" s="464"/>
      <c r="AS77" s="223"/>
    </row>
    <row r="78" spans="1:47" s="658" customFormat="1" hidden="1" outlineLevel="1" x14ac:dyDescent="0.3">
      <c r="A78" s="1404" t="s">
        <v>1871</v>
      </c>
      <c r="B78" s="1578">
        <v>41253</v>
      </c>
      <c r="C78" s="1579"/>
      <c r="D78" s="1579"/>
      <c r="E78" s="1579"/>
      <c r="F78" s="1578">
        <v>36684</v>
      </c>
      <c r="G78" s="1579"/>
      <c r="H78" s="1579"/>
      <c r="I78" s="1579"/>
      <c r="J78" s="1578">
        <v>34545</v>
      </c>
      <c r="K78" s="1579"/>
      <c r="L78" s="1579"/>
      <c r="M78" s="1579"/>
      <c r="N78" s="1578">
        <v>32075</v>
      </c>
      <c r="O78" s="1579"/>
      <c r="P78" s="1579"/>
      <c r="Q78" s="1579"/>
      <c r="R78" s="1578">
        <v>30749</v>
      </c>
      <c r="S78" s="1579"/>
      <c r="T78" s="1579"/>
      <c r="U78" s="1579"/>
      <c r="V78" s="1578">
        <v>27884</v>
      </c>
      <c r="W78" s="1579"/>
      <c r="X78" s="1579"/>
      <c r="Y78" s="1579"/>
      <c r="Z78" s="1578">
        <v>25525</v>
      </c>
      <c r="AA78" s="1579"/>
      <c r="AB78" s="1579"/>
      <c r="AC78" s="1579"/>
      <c r="AD78" s="1578">
        <v>31783</v>
      </c>
      <c r="AE78" s="1579"/>
      <c r="AF78" s="1579"/>
      <c r="AG78" s="1579"/>
      <c r="AH78" s="1578">
        <v>23964</v>
      </c>
      <c r="AI78" s="1579"/>
      <c r="AJ78" s="1579"/>
      <c r="AK78" s="1579"/>
      <c r="AL78" s="1578">
        <v>21997</v>
      </c>
      <c r="AM78" s="1579"/>
      <c r="AN78" s="1579"/>
      <c r="AO78" s="1579"/>
      <c r="AP78" s="1580">
        <v>21085</v>
      </c>
      <c r="AQ78" s="1579"/>
      <c r="AR78" s="1579"/>
      <c r="AS78" s="1569"/>
    </row>
    <row r="79" spans="1:47" s="612" customFormat="1" collapsed="1" x14ac:dyDescent="0.3">
      <c r="A79" s="734" t="s">
        <v>1874</v>
      </c>
      <c r="B79" s="1159">
        <f>B72+B59+B31+B10</f>
        <v>41253</v>
      </c>
      <c r="C79" s="397"/>
      <c r="D79" s="397"/>
      <c r="E79" s="397"/>
      <c r="F79" s="1159">
        <f>F72+F59+F31+F10</f>
        <v>36684</v>
      </c>
      <c r="G79" s="397"/>
      <c r="H79" s="397"/>
      <c r="I79" s="397"/>
      <c r="J79" s="1159">
        <f>J72+J59+J31+J10</f>
        <v>34545</v>
      </c>
      <c r="K79" s="397"/>
      <c r="L79" s="397"/>
      <c r="M79" s="397"/>
      <c r="N79" s="1159">
        <f>N72+N59+N31+N10</f>
        <v>32075</v>
      </c>
      <c r="O79" s="397"/>
      <c r="P79" s="397"/>
      <c r="Q79" s="397"/>
      <c r="R79" s="1159">
        <f>R72+R59+R31+R10</f>
        <v>30749</v>
      </c>
      <c r="S79" s="397"/>
      <c r="T79" s="397"/>
      <c r="U79" s="397"/>
      <c r="V79" s="1159">
        <f>V72+V59+V31+V10</f>
        <v>27884</v>
      </c>
      <c r="W79" s="397"/>
      <c r="X79" s="397"/>
      <c r="Y79" s="397"/>
      <c r="Z79" s="1159">
        <f>Z72+Z59+Z31+Z10</f>
        <v>25525</v>
      </c>
      <c r="AA79" s="397"/>
      <c r="AB79" s="397"/>
      <c r="AC79" s="397"/>
      <c r="AD79" s="1159">
        <f>AD72+AD59+AD31+AD10</f>
        <v>31783</v>
      </c>
      <c r="AE79" s="397"/>
      <c r="AF79" s="397"/>
      <c r="AG79" s="397"/>
      <c r="AH79" s="1159">
        <f>AH72+AH59+AH31+AH10</f>
        <v>23964</v>
      </c>
      <c r="AI79" s="397"/>
      <c r="AJ79" s="397"/>
      <c r="AK79" s="397"/>
      <c r="AL79" s="1159">
        <f>AL72+AL59+AL31+AL10</f>
        <v>21997</v>
      </c>
      <c r="AM79" s="397"/>
      <c r="AN79" s="397"/>
      <c r="AO79" s="397"/>
      <c r="AP79" s="1159">
        <f>AP72+AP59+AP31+AP10</f>
        <v>21085</v>
      </c>
      <c r="AQ79" s="397"/>
      <c r="AR79" s="397"/>
      <c r="AS79" s="1281"/>
      <c r="AU79" s="1572">
        <f>AH79/AL79-1</f>
        <v>8.9421284720643701E-2</v>
      </c>
    </row>
    <row r="80" spans="1:47" s="612" customFormat="1" x14ac:dyDescent="0.3">
      <c r="A80" s="214" t="s">
        <v>1875</v>
      </c>
      <c r="B80" s="1581">
        <f>B74+B67+B38+B14</f>
        <v>2668</v>
      </c>
      <c r="C80" s="1344"/>
      <c r="D80" s="1344"/>
      <c r="E80" s="1344"/>
      <c r="F80" s="1581">
        <f>F74+F67+F38+F14</f>
        <v>3089</v>
      </c>
      <c r="G80" s="1344"/>
      <c r="H80" s="1344"/>
      <c r="I80" s="1344"/>
      <c r="J80" s="1581">
        <f>J74+J67+J38+J14</f>
        <v>1625</v>
      </c>
      <c r="K80" s="1344"/>
      <c r="L80" s="1344"/>
      <c r="M80" s="1344"/>
      <c r="N80" s="1581">
        <f>N74+N67+N38+N14</f>
        <v>248</v>
      </c>
      <c r="O80" s="1344"/>
      <c r="P80" s="1344"/>
      <c r="Q80" s="1344"/>
      <c r="R80" s="1581">
        <f>R74+R67+R38+R14</f>
        <v>2013</v>
      </c>
      <c r="S80" s="1344"/>
      <c r="T80" s="1344"/>
      <c r="U80" s="1344"/>
      <c r="V80" s="1581">
        <f>V74+V67+V38+V14</f>
        <v>1460</v>
      </c>
      <c r="W80" s="1344"/>
      <c r="X80" s="1344"/>
      <c r="Y80" s="1344"/>
      <c r="Z80" s="1581">
        <f>Z74+Z67+Z38+Z14</f>
        <v>2792</v>
      </c>
      <c r="AA80" s="1344"/>
      <c r="AB80" s="1344"/>
      <c r="AC80" s="1344"/>
      <c r="AD80" s="1581">
        <f>AD74+AD67+AD38+AD14</f>
        <v>3374</v>
      </c>
      <c r="AE80" s="1344"/>
      <c r="AF80" s="1344"/>
      <c r="AG80" s="1344"/>
      <c r="AH80" s="1581">
        <f>AH74+AH67+AH38+AH14</f>
        <v>3838</v>
      </c>
      <c r="AI80" s="1344"/>
      <c r="AJ80" s="1344"/>
      <c r="AK80" s="1344"/>
      <c r="AL80" s="1581">
        <f>AL74+AL67+AL38+AL14</f>
        <v>53</v>
      </c>
      <c r="AM80" s="1344"/>
      <c r="AN80" s="1344"/>
      <c r="AO80" s="1344"/>
      <c r="AP80" s="1581">
        <f>AP74+AP67+AP38+AP14</f>
        <v>1551</v>
      </c>
      <c r="AQ80" s="397"/>
      <c r="AR80" s="397"/>
      <c r="AS80" s="1281"/>
    </row>
    <row r="81" spans="1:47" s="320" customFormat="1" hidden="1" outlineLevel="1" x14ac:dyDescent="0.3">
      <c r="A81" s="221" t="s">
        <v>1872</v>
      </c>
      <c r="B81" s="943">
        <f>B87/SUM(B72+B31+B59+B10)</f>
        <v>-3.3088502654352411E-2</v>
      </c>
      <c r="C81" s="765"/>
      <c r="D81" s="943"/>
      <c r="E81" s="765"/>
      <c r="F81" s="943">
        <f>F87/SUM(F72+F31+F59+F10)</f>
        <v>-4.7759241086032057E-2</v>
      </c>
      <c r="G81" s="765"/>
      <c r="H81" s="943"/>
      <c r="I81" s="765"/>
      <c r="J81" s="943">
        <f>J87/SUM(J72+J31+J59+J10)</f>
        <v>-6.1542915038355767E-2</v>
      </c>
      <c r="K81" s="765"/>
      <c r="L81" s="943"/>
      <c r="M81" s="765"/>
      <c r="N81" s="943">
        <f>N87/SUM(N72+N31+N59+N10)</f>
        <v>-6.865159781761497E-2</v>
      </c>
      <c r="O81" s="765"/>
      <c r="P81" s="943"/>
      <c r="Q81" s="765"/>
      <c r="R81" s="943">
        <f>R87/SUM(R72+R31+R59+R10)</f>
        <v>-7.3823538976877295E-2</v>
      </c>
      <c r="S81" s="765"/>
      <c r="T81" s="943"/>
      <c r="U81" s="765"/>
      <c r="V81" s="943">
        <f>V87/SUM(V72+V31+V59+V10)</f>
        <v>-3.2455888681681248E-2</v>
      </c>
      <c r="W81" s="765"/>
      <c r="X81" s="943"/>
      <c r="Y81" s="765"/>
      <c r="Z81" s="943">
        <f>Z87/SUM(Z72+Z31+Z59+Z10)</f>
        <v>-4.4662095984329089E-2</v>
      </c>
      <c r="AA81" s="765"/>
      <c r="AB81" s="943"/>
      <c r="AC81" s="765"/>
      <c r="AD81" s="943">
        <f>AD87/SUM(AD72+AD31+AD59+AD10)</f>
        <v>-4.6502847434162914E-2</v>
      </c>
      <c r="AE81" s="765"/>
      <c r="AF81" s="943"/>
      <c r="AG81" s="765"/>
      <c r="AH81" s="943">
        <f>AH87/SUM(AH72+AH31+AH59+AH10)</f>
        <v>-2.5538307461191789E-2</v>
      </c>
      <c r="AI81" s="765"/>
      <c r="AJ81" s="943"/>
      <c r="AK81" s="765"/>
      <c r="AL81" s="943">
        <f>AL87/SUM(AL72+AL31+AL59+AL10)</f>
        <v>-1.6229485838978042E-2</v>
      </c>
      <c r="AM81" s="765"/>
      <c r="AN81" s="943"/>
      <c r="AO81" s="765"/>
      <c r="AP81" s="943">
        <f>AP87/SUM(AP72+AP31+AP59+AP10)</f>
        <v>1.9871946881669433E-2</v>
      </c>
      <c r="AQ81" s="765"/>
      <c r="AR81" s="943"/>
      <c r="AS81" s="222"/>
    </row>
    <row r="82" spans="1:47" s="612" customFormat="1" collapsed="1" x14ac:dyDescent="0.3">
      <c r="A82" s="734" t="s">
        <v>1870</v>
      </c>
      <c r="B82" s="1581">
        <v>80581</v>
      </c>
      <c r="C82" s="1344"/>
      <c r="D82" s="1344"/>
      <c r="E82" s="1344"/>
      <c r="F82" s="1581">
        <v>75183</v>
      </c>
      <c r="G82" s="1344"/>
      <c r="H82" s="1344"/>
      <c r="I82" s="1344"/>
      <c r="J82" s="1581">
        <v>71848</v>
      </c>
      <c r="K82" s="1344"/>
      <c r="L82" s="1344"/>
      <c r="M82" s="1344"/>
      <c r="N82" s="1581">
        <v>68202</v>
      </c>
      <c r="O82" s="1344"/>
      <c r="P82" s="1344"/>
      <c r="Q82" s="1344"/>
      <c r="R82" s="1581">
        <v>63872</v>
      </c>
      <c r="S82" s="1344"/>
      <c r="T82" s="1344"/>
      <c r="U82" s="1344"/>
      <c r="V82" s="1581">
        <v>60200</v>
      </c>
      <c r="W82" s="1344"/>
      <c r="X82" s="1344"/>
      <c r="Y82" s="1344"/>
      <c r="Z82" s="1581">
        <v>58593</v>
      </c>
      <c r="AA82" s="1344"/>
      <c r="AB82" s="1344"/>
      <c r="AC82" s="1344"/>
      <c r="AD82" s="1581">
        <v>54793</v>
      </c>
      <c r="AE82" s="1344"/>
      <c r="AF82" s="1344"/>
      <c r="AG82" s="1344"/>
      <c r="AH82" s="1581">
        <v>50087</v>
      </c>
      <c r="AI82" s="1344"/>
      <c r="AJ82" s="1344"/>
      <c r="AK82" s="1344"/>
      <c r="AL82" s="1581">
        <v>47691</v>
      </c>
      <c r="AM82" s="1344"/>
      <c r="AN82" s="1344"/>
      <c r="AO82" s="1344"/>
      <c r="AP82" s="1581">
        <v>45157</v>
      </c>
      <c r="AQ82" s="397"/>
      <c r="AR82" s="397"/>
      <c r="AS82" s="1281"/>
      <c r="AU82" s="1572">
        <f>AH82/AL82-1</f>
        <v>5.0240087228198282E-2</v>
      </c>
    </row>
    <row r="83" spans="1:47" s="612" customFormat="1" x14ac:dyDescent="0.3">
      <c r="A83" s="734" t="s">
        <v>1684</v>
      </c>
      <c r="B83" s="1759">
        <v>-3.3000000000000002E-2</v>
      </c>
      <c r="C83" s="1760"/>
      <c r="D83" s="1760"/>
      <c r="E83" s="1760"/>
      <c r="F83" s="1759">
        <v>-4.1000000000000002E-2</v>
      </c>
      <c r="G83" s="1760"/>
      <c r="H83" s="1760"/>
      <c r="I83" s="1760"/>
      <c r="J83" s="1759">
        <v>-2.3E-2</v>
      </c>
      <c r="K83" s="1760"/>
      <c r="L83" s="1760"/>
      <c r="M83" s="1760"/>
      <c r="N83" s="1759">
        <v>-4.0000000000000001E-3</v>
      </c>
      <c r="O83" s="1760"/>
      <c r="P83" s="1760"/>
      <c r="Q83" s="1760"/>
      <c r="R83" s="1759">
        <v>-3.2000000000000001E-2</v>
      </c>
      <c r="S83" s="1760"/>
      <c r="T83" s="1760"/>
      <c r="U83" s="1760"/>
      <c r="V83" s="1759">
        <v>-2.5999999999999999E-2</v>
      </c>
      <c r="W83" s="1760"/>
      <c r="X83" s="1760"/>
      <c r="Y83" s="1760"/>
      <c r="Z83" s="1759">
        <v>-4.8000000000000001E-2</v>
      </c>
      <c r="AA83" s="1760"/>
      <c r="AB83" s="1760"/>
      <c r="AC83" s="1760"/>
      <c r="AD83" s="1759">
        <v>-6.2E-2</v>
      </c>
      <c r="AE83" s="1760"/>
      <c r="AF83" s="1760"/>
      <c r="AG83" s="1760"/>
      <c r="AH83" s="1759">
        <v>-7.6999999999999999E-2</v>
      </c>
      <c r="AI83" s="1760"/>
      <c r="AJ83" s="1760"/>
      <c r="AK83" s="1760"/>
      <c r="AL83" s="1759">
        <v>-1E-3</v>
      </c>
      <c r="AM83" s="1760"/>
      <c r="AN83" s="1760"/>
      <c r="AO83" s="1760"/>
      <c r="AP83" s="1759">
        <v>-3.4000000000000002E-2</v>
      </c>
      <c r="AQ83" s="397"/>
      <c r="AR83" s="397"/>
      <c r="AS83" s="1281"/>
    </row>
    <row r="84" spans="1:47" ht="4.5" customHeight="1" collapsed="1" x14ac:dyDescent="0.3">
      <c r="A84" s="214"/>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3"/>
    </row>
    <row r="85" spans="1:47" ht="4.5" customHeight="1" x14ac:dyDescent="0.3">
      <c r="A85" s="1155"/>
      <c r="B85" s="1278"/>
      <c r="C85" s="686"/>
      <c r="D85" s="728"/>
      <c r="E85" s="728"/>
      <c r="F85" s="1278"/>
      <c r="G85" s="686"/>
      <c r="H85" s="728"/>
      <c r="I85" s="728"/>
      <c r="J85" s="1278"/>
      <c r="K85" s="686"/>
      <c r="L85" s="728"/>
      <c r="M85" s="728"/>
      <c r="N85" s="1278"/>
      <c r="O85" s="686"/>
      <c r="P85" s="728"/>
      <c r="Q85" s="728"/>
      <c r="R85" s="1278"/>
      <c r="S85" s="686"/>
      <c r="T85" s="728"/>
      <c r="U85" s="728"/>
      <c r="V85" s="1278"/>
      <c r="W85" s="686"/>
      <c r="X85" s="728"/>
      <c r="Y85" s="728"/>
      <c r="Z85" s="1278"/>
      <c r="AA85" s="686"/>
      <c r="AB85" s="728"/>
      <c r="AC85" s="728"/>
      <c r="AD85" s="1278"/>
      <c r="AE85" s="686"/>
      <c r="AF85" s="728"/>
      <c r="AG85" s="728"/>
      <c r="AH85" s="1278"/>
      <c r="AI85" s="686"/>
      <c r="AJ85" s="728"/>
      <c r="AK85" s="728"/>
      <c r="AL85" s="1278"/>
      <c r="AM85" s="686"/>
      <c r="AN85" s="728"/>
      <c r="AO85" s="728"/>
      <c r="AP85" s="1278"/>
      <c r="AQ85" s="686"/>
      <c r="AR85" s="728"/>
      <c r="AS85" s="1279"/>
    </row>
    <row r="86" spans="1:47" ht="4.5" customHeight="1" x14ac:dyDescent="0.3">
      <c r="A86" s="214"/>
      <c r="B86" s="875"/>
      <c r="C86" s="215"/>
      <c r="D86" s="464"/>
      <c r="E86" s="464"/>
      <c r="F86" s="875"/>
      <c r="G86" s="215"/>
      <c r="H86" s="464"/>
      <c r="I86" s="464"/>
      <c r="J86" s="875"/>
      <c r="K86" s="215"/>
      <c r="L86" s="464"/>
      <c r="M86" s="464"/>
      <c r="N86" s="875"/>
      <c r="O86" s="215"/>
      <c r="P86" s="464"/>
      <c r="Q86" s="464"/>
      <c r="R86" s="875"/>
      <c r="S86" s="215"/>
      <c r="T86" s="464"/>
      <c r="U86" s="464"/>
      <c r="V86" s="875"/>
      <c r="W86" s="215"/>
      <c r="X86" s="464"/>
      <c r="Y86" s="464"/>
      <c r="Z86" s="875"/>
      <c r="AA86" s="215"/>
      <c r="AB86" s="464"/>
      <c r="AC86" s="464"/>
      <c r="AD86" s="875"/>
      <c r="AE86" s="215"/>
      <c r="AF86" s="464"/>
      <c r="AG86" s="464"/>
      <c r="AH86" s="875"/>
      <c r="AI86" s="215"/>
      <c r="AJ86" s="464"/>
      <c r="AK86" s="464"/>
      <c r="AL86" s="875"/>
      <c r="AM86" s="215"/>
      <c r="AN86" s="464"/>
      <c r="AO86" s="464"/>
      <c r="AP86" s="875"/>
      <c r="AQ86" s="215"/>
      <c r="AR86" s="464"/>
      <c r="AS86" s="223"/>
    </row>
    <row r="87" spans="1:47" ht="18.600000000000001" x14ac:dyDescent="0.3">
      <c r="A87" s="214" t="s">
        <v>1675</v>
      </c>
      <c r="B87" s="1297">
        <v>-1365</v>
      </c>
      <c r="C87" s="220"/>
      <c r="D87" s="220"/>
      <c r="E87" s="220"/>
      <c r="F87" s="1297">
        <v>-1752</v>
      </c>
      <c r="G87" s="220"/>
      <c r="H87" s="220"/>
      <c r="I87" s="220"/>
      <c r="J87" s="1297">
        <v>-2126</v>
      </c>
      <c r="K87" s="220"/>
      <c r="L87" s="220"/>
      <c r="M87" s="220"/>
      <c r="N87" s="1297">
        <v>-2202</v>
      </c>
      <c r="O87" s="220"/>
      <c r="P87" s="220"/>
      <c r="Q87" s="220"/>
      <c r="R87" s="1297">
        <v>-2270</v>
      </c>
      <c r="S87" s="220"/>
      <c r="T87" s="220"/>
      <c r="U87" s="220"/>
      <c r="V87" s="1297">
        <v>-905</v>
      </c>
      <c r="W87" s="220"/>
      <c r="X87" s="220"/>
      <c r="Y87" s="220"/>
      <c r="Z87" s="1297">
        <v>-1140</v>
      </c>
      <c r="AA87" s="220"/>
      <c r="AB87" s="220"/>
      <c r="AC87" s="220"/>
      <c r="AD87" s="1297">
        <v>-1478</v>
      </c>
      <c r="AE87" s="220"/>
      <c r="AF87" s="220"/>
      <c r="AG87" s="220"/>
      <c r="AH87" s="1297">
        <f>-612</f>
        <v>-612</v>
      </c>
      <c r="AI87" s="220"/>
      <c r="AJ87" s="220"/>
      <c r="AK87" s="220"/>
      <c r="AL87" s="1297">
        <f>-357</f>
        <v>-357</v>
      </c>
      <c r="AM87" s="220"/>
      <c r="AN87" s="220"/>
      <c r="AO87" s="397"/>
      <c r="AP87" s="1302">
        <v>419</v>
      </c>
      <c r="AQ87" s="220"/>
      <c r="AR87" s="220"/>
      <c r="AS87" s="223"/>
    </row>
    <row r="88" spans="1:47" x14ac:dyDescent="0.3">
      <c r="A88" s="214" t="s">
        <v>1984</v>
      </c>
      <c r="B88" s="1297">
        <f>B87+1493</f>
        <v>128</v>
      </c>
      <c r="C88" s="220"/>
      <c r="D88" s="220"/>
      <c r="E88" s="220"/>
      <c r="F88" s="1297">
        <f>1938+F87</f>
        <v>186</v>
      </c>
      <c r="G88" s="220"/>
      <c r="H88" s="220"/>
      <c r="I88" s="220"/>
      <c r="J88" s="1297">
        <f>2507+J87</f>
        <v>381</v>
      </c>
      <c r="K88" s="220"/>
      <c r="L88" s="220"/>
      <c r="M88" s="220"/>
      <c r="N88" s="1297">
        <f>2544+N87</f>
        <v>342</v>
      </c>
      <c r="O88" s="1297">
        <f t="shared" ref="O88:P88" si="0">2626+O87</f>
        <v>2626</v>
      </c>
      <c r="P88" s="1297">
        <f t="shared" si="0"/>
        <v>2626</v>
      </c>
      <c r="Q88" s="1297"/>
      <c r="R88" s="1297">
        <f>2626+R87</f>
        <v>356</v>
      </c>
      <c r="S88" s="220"/>
      <c r="T88" s="220"/>
      <c r="U88" s="220"/>
      <c r="V88" s="1297">
        <f>1507+V87</f>
        <v>602</v>
      </c>
      <c r="W88" s="220"/>
      <c r="X88" s="220"/>
      <c r="Y88" s="220"/>
      <c r="Z88" s="1302">
        <f>1690+Z87</f>
        <v>550</v>
      </c>
      <c r="AA88" s="397"/>
      <c r="AB88" s="397"/>
      <c r="AC88" s="397"/>
      <c r="AD88" s="1302">
        <f>1793+AD87</f>
        <v>315</v>
      </c>
      <c r="AE88" s="397"/>
      <c r="AF88" s="397"/>
      <c r="AG88" s="397"/>
      <c r="AH88" s="1302">
        <f>1071+AH87</f>
        <v>459</v>
      </c>
      <c r="AI88" s="397"/>
      <c r="AJ88" s="397"/>
      <c r="AK88" s="397"/>
      <c r="AL88" s="1302">
        <f>743+AL87</f>
        <v>386</v>
      </c>
      <c r="AM88" s="397"/>
      <c r="AN88" s="397"/>
      <c r="AO88" s="397"/>
      <c r="AP88" s="1302">
        <f>119+AP87</f>
        <v>538</v>
      </c>
      <c r="AQ88" s="220"/>
      <c r="AR88" s="220"/>
      <c r="AS88" s="223"/>
    </row>
    <row r="89" spans="1:47" ht="4.5" customHeight="1" collapsed="1" x14ac:dyDescent="0.3">
      <c r="A89" s="214"/>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3"/>
    </row>
    <row r="90" spans="1:47" ht="4.5" customHeight="1" x14ac:dyDescent="0.3">
      <c r="A90" s="1155"/>
      <c r="B90" s="1278"/>
      <c r="C90" s="686"/>
      <c r="D90" s="728"/>
      <c r="E90" s="728"/>
      <c r="F90" s="1278"/>
      <c r="G90" s="686"/>
      <c r="H90" s="728"/>
      <c r="I90" s="728"/>
      <c r="J90" s="1278"/>
      <c r="K90" s="686"/>
      <c r="L90" s="728"/>
      <c r="M90" s="728"/>
      <c r="N90" s="1278"/>
      <c r="O90" s="686"/>
      <c r="P90" s="728"/>
      <c r="Q90" s="728"/>
      <c r="R90" s="1278"/>
      <c r="S90" s="686"/>
      <c r="T90" s="728"/>
      <c r="U90" s="728"/>
      <c r="V90" s="1278"/>
      <c r="W90" s="686"/>
      <c r="X90" s="728"/>
      <c r="Y90" s="728"/>
      <c r="Z90" s="1278"/>
      <c r="AA90" s="686"/>
      <c r="AB90" s="728"/>
      <c r="AC90" s="728"/>
      <c r="AD90" s="1278"/>
      <c r="AE90" s="686"/>
      <c r="AF90" s="728"/>
      <c r="AG90" s="728"/>
      <c r="AH90" s="1278"/>
      <c r="AI90" s="686"/>
      <c r="AJ90" s="728"/>
      <c r="AK90" s="728"/>
      <c r="AL90" s="1278"/>
      <c r="AM90" s="686"/>
      <c r="AN90" s="728"/>
      <c r="AO90" s="728"/>
      <c r="AP90" s="1278"/>
      <c r="AQ90" s="686"/>
      <c r="AR90" s="728"/>
      <c r="AS90" s="1279"/>
    </row>
    <row r="91" spans="1:47" ht="4.5" customHeight="1" x14ac:dyDescent="0.3">
      <c r="A91" s="214"/>
      <c r="B91" s="875"/>
      <c r="C91" s="215"/>
      <c r="D91" s="464"/>
      <c r="E91" s="464"/>
      <c r="F91" s="875"/>
      <c r="G91" s="215"/>
      <c r="H91" s="464"/>
      <c r="I91" s="464"/>
      <c r="J91" s="875"/>
      <c r="K91" s="215"/>
      <c r="L91" s="464"/>
      <c r="M91" s="464"/>
      <c r="N91" s="875"/>
      <c r="O91" s="215"/>
      <c r="P91" s="464"/>
      <c r="Q91" s="464"/>
      <c r="R91" s="875"/>
      <c r="S91" s="215"/>
      <c r="T91" s="464"/>
      <c r="U91" s="464"/>
      <c r="V91" s="875"/>
      <c r="W91" s="215"/>
      <c r="X91" s="464"/>
      <c r="Y91" s="464"/>
      <c r="Z91" s="875"/>
      <c r="AA91" s="215"/>
      <c r="AB91" s="464"/>
      <c r="AC91" s="464"/>
      <c r="AD91" s="875"/>
      <c r="AE91" s="215"/>
      <c r="AF91" s="464"/>
      <c r="AG91" s="464"/>
      <c r="AH91" s="875"/>
      <c r="AI91" s="215"/>
      <c r="AJ91" s="464"/>
      <c r="AK91" s="464"/>
      <c r="AL91" s="875"/>
      <c r="AM91" s="215"/>
      <c r="AN91" s="464"/>
      <c r="AO91" s="464"/>
      <c r="AP91" s="875"/>
      <c r="AQ91" s="215"/>
      <c r="AR91" s="464"/>
      <c r="AS91" s="223"/>
    </row>
    <row r="92" spans="1:47" s="1" customFormat="1" ht="13.8" x14ac:dyDescent="0.25">
      <c r="A92" s="2824" t="s">
        <v>3124</v>
      </c>
      <c r="B92" s="2825"/>
      <c r="C92" s="2825"/>
      <c r="D92" s="2825"/>
      <c r="E92" s="2825"/>
      <c r="F92" s="2825"/>
      <c r="G92" s="2825"/>
      <c r="H92" s="2825"/>
      <c r="I92" s="2825"/>
      <c r="J92" s="2825"/>
      <c r="K92" s="2825"/>
      <c r="L92" s="2825"/>
      <c r="M92" s="2825"/>
      <c r="N92" s="2825"/>
      <c r="O92" s="2825"/>
      <c r="P92" s="2825"/>
      <c r="Q92" s="2825"/>
      <c r="R92" s="2825"/>
      <c r="S92" s="2825"/>
      <c r="T92" s="2825"/>
      <c r="U92" s="2825"/>
      <c r="V92" s="2825"/>
      <c r="W92" s="2825"/>
      <c r="X92" s="2825"/>
      <c r="Y92" s="2825"/>
      <c r="Z92" s="2825"/>
      <c r="AA92" s="2825"/>
      <c r="AB92" s="2825"/>
      <c r="AC92" s="2825"/>
      <c r="AD92" s="2825"/>
      <c r="AE92" s="2825"/>
      <c r="AF92" s="2825"/>
      <c r="AG92" s="2825"/>
      <c r="AH92" s="2825"/>
      <c r="AI92" s="2825"/>
      <c r="AJ92" s="2825"/>
      <c r="AK92" s="2825"/>
      <c r="AL92" s="2825"/>
      <c r="AM92" s="2825"/>
      <c r="AN92" s="2825"/>
      <c r="AO92" s="2825"/>
      <c r="AP92" s="2825"/>
      <c r="AQ92" s="2825"/>
      <c r="AR92" s="2825"/>
      <c r="AS92" s="2826"/>
      <c r="AT92" s="199"/>
      <c r="AU92" s="198"/>
    </row>
    <row r="93" spans="1:47" s="1" customFormat="1" ht="7.5" customHeight="1" x14ac:dyDescent="0.25">
      <c r="A93" s="1559"/>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c r="AH93" s="1560"/>
      <c r="AI93" s="1560"/>
      <c r="AJ93" s="1560"/>
      <c r="AK93" s="1560"/>
      <c r="AL93" s="1560"/>
      <c r="AM93" s="1560"/>
      <c r="AN93" s="1560"/>
      <c r="AO93" s="1560"/>
      <c r="AP93" s="1560"/>
      <c r="AQ93" s="1560"/>
      <c r="AR93" s="1560"/>
      <c r="AS93" s="1561"/>
      <c r="AT93" s="199"/>
      <c r="AU93" s="198"/>
    </row>
    <row r="94" spans="1:47" s="1" customFormat="1" ht="13.8" x14ac:dyDescent="0.25">
      <c r="A94" s="1559" t="s">
        <v>1398</v>
      </c>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560"/>
      <c r="AM94" s="1560"/>
      <c r="AN94" s="1560"/>
      <c r="AO94" s="1560"/>
      <c r="AP94" s="1560"/>
      <c r="AQ94" s="1560"/>
      <c r="AR94" s="1560"/>
      <c r="AS94" s="1561"/>
      <c r="AT94" s="199"/>
      <c r="AU94" s="198"/>
    </row>
    <row r="95" spans="1:47" s="36" customFormat="1" ht="13.8" hidden="1" outlineLevel="1" x14ac:dyDescent="0.25">
      <c r="A95" s="2947" t="s">
        <v>1866</v>
      </c>
      <c r="B95" s="2948"/>
      <c r="C95" s="2948"/>
      <c r="D95" s="2948"/>
      <c r="E95" s="2948"/>
      <c r="F95" s="2948"/>
      <c r="G95" s="2948"/>
      <c r="H95" s="2948"/>
      <c r="I95" s="2948"/>
      <c r="J95" s="2948"/>
      <c r="K95" s="2948"/>
      <c r="L95" s="2948"/>
      <c r="M95" s="2948"/>
      <c r="N95" s="2948"/>
      <c r="O95" s="2948"/>
      <c r="P95" s="2948"/>
      <c r="Q95" s="2948"/>
      <c r="R95" s="2948"/>
      <c r="S95" s="2948"/>
      <c r="T95" s="2948"/>
      <c r="U95" s="2948"/>
      <c r="V95" s="2948"/>
      <c r="W95" s="2948"/>
      <c r="X95" s="2948"/>
      <c r="Y95" s="2948"/>
      <c r="Z95" s="2948"/>
      <c r="AA95" s="2948"/>
      <c r="AB95" s="2948"/>
      <c r="AC95" s="2948"/>
      <c r="AD95" s="2948"/>
      <c r="AE95" s="2948"/>
      <c r="AF95" s="2948"/>
      <c r="AG95" s="2948"/>
      <c r="AH95" s="2948"/>
      <c r="AI95" s="2948"/>
      <c r="AJ95" s="2948"/>
      <c r="AK95" s="2948"/>
      <c r="AL95" s="2948"/>
      <c r="AM95" s="2948"/>
      <c r="AN95" s="2948"/>
      <c r="AO95" s="2948"/>
      <c r="AP95" s="2948"/>
      <c r="AQ95" s="2948"/>
      <c r="AR95" s="2948"/>
      <c r="AS95" s="2555"/>
      <c r="AT95" s="2556"/>
    </row>
    <row r="96" spans="1:47" s="1" customFormat="1" ht="28.8" customHeight="1" collapsed="1" x14ac:dyDescent="0.25">
      <c r="A96" s="2824" t="s">
        <v>3284</v>
      </c>
      <c r="B96" s="2825"/>
      <c r="C96" s="2825"/>
      <c r="D96" s="2825"/>
      <c r="E96" s="2825"/>
      <c r="F96" s="2825"/>
      <c r="G96" s="2825"/>
      <c r="H96" s="2825"/>
      <c r="I96" s="2825"/>
      <c r="J96" s="2825"/>
      <c r="K96" s="2825"/>
      <c r="L96" s="2825"/>
      <c r="M96" s="2825"/>
      <c r="N96" s="2825"/>
      <c r="O96" s="2825"/>
      <c r="P96" s="2825"/>
      <c r="Q96" s="2825"/>
      <c r="R96" s="2825"/>
      <c r="S96" s="2825"/>
      <c r="T96" s="2825"/>
      <c r="U96" s="2825"/>
      <c r="V96" s="2825"/>
      <c r="W96" s="2825"/>
      <c r="X96" s="2825"/>
      <c r="Y96" s="2825"/>
      <c r="Z96" s="2825"/>
      <c r="AA96" s="2825"/>
      <c r="AB96" s="2825"/>
      <c r="AC96" s="2825"/>
      <c r="AD96" s="2825"/>
      <c r="AE96" s="2825"/>
      <c r="AF96" s="2825"/>
      <c r="AG96" s="2825"/>
      <c r="AH96" s="2825"/>
      <c r="AI96" s="2825"/>
      <c r="AJ96" s="2825"/>
      <c r="AK96" s="2825"/>
      <c r="AL96" s="2825"/>
      <c r="AM96" s="2825"/>
      <c r="AN96" s="2825"/>
      <c r="AO96" s="2825"/>
      <c r="AP96" s="2825"/>
      <c r="AQ96" s="2504"/>
      <c r="AR96" s="2504"/>
      <c r="AS96" s="2505"/>
      <c r="AT96" s="199"/>
      <c r="AU96" s="198"/>
    </row>
    <row r="97" spans="1:47" s="1" customFormat="1" ht="13.8" x14ac:dyDescent="0.25">
      <c r="A97" s="2824" t="s">
        <v>912</v>
      </c>
      <c r="B97" s="2825"/>
      <c r="C97" s="2825"/>
      <c r="D97" s="2825"/>
      <c r="E97" s="2825"/>
      <c r="F97" s="2825"/>
      <c r="G97" s="2825"/>
      <c r="H97" s="2825"/>
      <c r="I97" s="2825"/>
      <c r="J97" s="2825"/>
      <c r="K97" s="2825"/>
      <c r="L97" s="2825"/>
      <c r="M97" s="2825"/>
      <c r="N97" s="2825"/>
      <c r="O97" s="2825"/>
      <c r="P97" s="2825"/>
      <c r="Q97" s="2825"/>
      <c r="R97" s="2825"/>
      <c r="S97" s="2825"/>
      <c r="T97" s="2825"/>
      <c r="U97" s="2825"/>
      <c r="V97" s="2825"/>
      <c r="W97" s="2825"/>
      <c r="X97" s="2825"/>
      <c r="Y97" s="2825"/>
      <c r="Z97" s="2825"/>
      <c r="AA97" s="2825"/>
      <c r="AB97" s="2825"/>
      <c r="AC97" s="2825"/>
      <c r="AD97" s="2825"/>
      <c r="AE97" s="2825"/>
      <c r="AF97" s="2825"/>
      <c r="AG97" s="2825"/>
      <c r="AH97" s="2825"/>
      <c r="AI97" s="2825"/>
      <c r="AJ97" s="2825"/>
      <c r="AK97" s="2825"/>
      <c r="AL97" s="2825"/>
      <c r="AM97" s="2825"/>
      <c r="AN97" s="2825"/>
      <c r="AO97" s="2825"/>
      <c r="AP97" s="2825"/>
      <c r="AQ97" s="2825"/>
      <c r="AR97" s="2825"/>
      <c r="AS97" s="1561"/>
      <c r="AT97" s="199"/>
      <c r="AU97" s="198"/>
    </row>
    <row r="98" spans="1:47" s="1" customFormat="1" ht="5.25" customHeight="1" thickBot="1" x14ac:dyDescent="0.3">
      <c r="A98" s="1177"/>
      <c r="B98" s="1573"/>
      <c r="C98" s="1573"/>
      <c r="D98" s="1574"/>
      <c r="E98" s="1574"/>
      <c r="F98" s="1573"/>
      <c r="G98" s="1573"/>
      <c r="H98" s="1574"/>
      <c r="I98" s="1574"/>
      <c r="J98" s="1573"/>
      <c r="K98" s="1573"/>
      <c r="L98" s="1574"/>
      <c r="M98" s="1574"/>
      <c r="N98" s="1573"/>
      <c r="O98" s="1573"/>
      <c r="P98" s="1574"/>
      <c r="Q98" s="1574"/>
      <c r="R98" s="1573"/>
      <c r="S98" s="1573"/>
      <c r="T98" s="1574"/>
      <c r="U98" s="1574"/>
      <c r="V98" s="1573"/>
      <c r="W98" s="1573"/>
      <c r="X98" s="1574"/>
      <c r="Y98" s="1574"/>
      <c r="Z98" s="1573"/>
      <c r="AA98" s="1573"/>
      <c r="AB98" s="1574"/>
      <c r="AC98" s="1574"/>
      <c r="AD98" s="1573"/>
      <c r="AE98" s="1573"/>
      <c r="AF98" s="1574"/>
      <c r="AG98" s="1574"/>
      <c r="AH98" s="1573"/>
      <c r="AI98" s="1573"/>
      <c r="AJ98" s="1574"/>
      <c r="AK98" s="1574"/>
      <c r="AL98" s="1573"/>
      <c r="AM98" s="1573"/>
      <c r="AN98" s="1574"/>
      <c r="AO98" s="1574"/>
      <c r="AP98" s="1573"/>
      <c r="AQ98" s="1573"/>
      <c r="AR98" s="1574"/>
      <c r="AS98" s="1575"/>
      <c r="AT98" s="199"/>
      <c r="AU98" s="198"/>
    </row>
    <row r="99" spans="1:47" s="1" customFormat="1" ht="13.8" x14ac:dyDescent="0.25">
      <c r="A99" s="804" t="s">
        <v>2147</v>
      </c>
      <c r="B99" s="1576"/>
      <c r="C99" s="1576"/>
      <c r="D99" s="199"/>
      <c r="E99" s="199"/>
      <c r="F99" s="1576"/>
      <c r="G99" s="1576"/>
      <c r="H99" s="199"/>
      <c r="I99" s="199"/>
      <c r="J99" s="1576"/>
      <c r="K99" s="1576"/>
      <c r="L99" s="199"/>
      <c r="M99" s="199"/>
      <c r="N99" s="1576"/>
      <c r="O99" s="1576"/>
      <c r="P99" s="199"/>
      <c r="Q99" s="199"/>
      <c r="R99" s="1576"/>
      <c r="S99" s="1576"/>
      <c r="T99" s="199"/>
      <c r="U99" s="199"/>
      <c r="V99" s="1576"/>
      <c r="W99" s="1576"/>
      <c r="X99" s="199"/>
      <c r="Y99" s="199"/>
      <c r="Z99" s="1576"/>
      <c r="AA99" s="1576"/>
      <c r="AB99" s="199"/>
      <c r="AC99" s="199"/>
      <c r="AD99" s="1576"/>
      <c r="AE99" s="1576"/>
      <c r="AF99" s="199"/>
      <c r="AG99" s="199"/>
      <c r="AH99" s="1576"/>
      <c r="AI99" s="1576"/>
      <c r="AJ99" s="199"/>
      <c r="AK99" s="199"/>
      <c r="AL99" s="1576"/>
      <c r="AM99" s="1576"/>
      <c r="AN99" s="199"/>
      <c r="AO99" s="199"/>
      <c r="AP99" s="1576"/>
      <c r="AQ99" s="1576"/>
      <c r="AR99" s="199"/>
      <c r="AS99" s="199"/>
      <c r="AT99" s="199"/>
      <c r="AU99" s="198"/>
    </row>
    <row r="100" spans="1:47" s="612" customFormat="1" x14ac:dyDescent="0.3">
      <c r="B100" s="1571"/>
      <c r="C100" s="1571"/>
      <c r="D100" s="646"/>
      <c r="E100" s="646"/>
      <c r="F100" s="1571"/>
      <c r="G100" s="1571"/>
      <c r="H100" s="646"/>
      <c r="I100" s="646"/>
      <c r="J100" s="1571"/>
      <c r="K100" s="1571"/>
      <c r="L100" s="646"/>
      <c r="M100" s="646"/>
      <c r="N100" s="1571"/>
      <c r="O100" s="1571"/>
      <c r="P100" s="646"/>
      <c r="Q100" s="646"/>
      <c r="R100" s="1571"/>
      <c r="S100" s="1571"/>
      <c r="T100" s="646"/>
      <c r="U100" s="646"/>
      <c r="V100" s="1571"/>
      <c r="W100" s="1571"/>
      <c r="X100" s="646"/>
      <c r="Y100" s="646"/>
      <c r="Z100" s="1571"/>
      <c r="AA100" s="1571"/>
      <c r="AB100" s="646"/>
      <c r="AC100" s="646"/>
      <c r="AD100" s="1571"/>
      <c r="AE100" s="1571"/>
      <c r="AF100" s="646"/>
      <c r="AG100" s="646"/>
      <c r="AH100" s="1571"/>
      <c r="AI100" s="1571"/>
      <c r="AJ100" s="646"/>
      <c r="AK100" s="646"/>
      <c r="AL100" s="1571"/>
      <c r="AM100" s="1571"/>
      <c r="AN100" s="646"/>
      <c r="AO100" s="646"/>
      <c r="AP100" s="1571"/>
      <c r="AQ100" s="1571"/>
      <c r="AR100" s="646"/>
      <c r="AS100" s="646"/>
      <c r="AT100" s="646"/>
    </row>
    <row r="101" spans="1:47" s="612" customFormat="1" x14ac:dyDescent="0.3"/>
    <row r="102" spans="1:47" s="612" customFormat="1" x14ac:dyDescent="0.3"/>
    <row r="103" spans="1:47" s="612" customFormat="1" x14ac:dyDescent="0.3"/>
    <row r="104" spans="1:47" s="612" customFormat="1" x14ac:dyDescent="0.3"/>
    <row r="105" spans="1:47" s="612" customFormat="1" x14ac:dyDescent="0.3"/>
    <row r="106" spans="1:47" s="612" customFormat="1" x14ac:dyDescent="0.3"/>
    <row r="107" spans="1:47" s="612" customFormat="1" x14ac:dyDescent="0.3"/>
    <row r="108" spans="1:47" x14ac:dyDescent="0.3">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2"/>
      <c r="AL108" s="612"/>
      <c r="AM108" s="612"/>
      <c r="AN108" s="612"/>
      <c r="AO108" s="612"/>
      <c r="AP108" s="612"/>
      <c r="AS108" s="211"/>
    </row>
    <row r="109" spans="1:47" x14ac:dyDescent="0.3">
      <c r="B109" s="612"/>
      <c r="C109" s="612"/>
      <c r="D109" s="612"/>
      <c r="E109" s="612"/>
      <c r="F109" s="612"/>
      <c r="G109" s="612"/>
      <c r="H109" s="612"/>
      <c r="I109" s="612"/>
      <c r="J109" s="612"/>
      <c r="K109" s="612"/>
      <c r="L109" s="612"/>
      <c r="M109" s="612"/>
      <c r="N109" s="612"/>
      <c r="O109" s="612"/>
      <c r="P109" s="612"/>
      <c r="Q109" s="612"/>
      <c r="R109" s="612"/>
      <c r="S109" s="612"/>
      <c r="T109" s="612"/>
      <c r="U109" s="612"/>
      <c r="V109" s="612"/>
      <c r="W109" s="612"/>
      <c r="X109" s="612"/>
      <c r="Y109" s="612"/>
      <c r="Z109" s="612"/>
      <c r="AA109" s="612"/>
      <c r="AB109" s="612"/>
      <c r="AC109" s="612"/>
      <c r="AD109" s="612"/>
      <c r="AE109" s="612"/>
      <c r="AF109" s="612"/>
      <c r="AG109" s="612"/>
      <c r="AH109" s="612"/>
      <c r="AI109" s="612"/>
      <c r="AJ109" s="612"/>
      <c r="AK109" s="612"/>
      <c r="AL109" s="612"/>
      <c r="AM109" s="612"/>
      <c r="AN109" s="612"/>
      <c r="AO109" s="612"/>
      <c r="AP109" s="612"/>
      <c r="AS109" s="211"/>
    </row>
    <row r="110" spans="1:47" x14ac:dyDescent="0.3">
      <c r="B110" s="612"/>
      <c r="C110" s="612"/>
      <c r="D110" s="612"/>
      <c r="E110" s="612"/>
      <c r="F110" s="612"/>
      <c r="G110" s="612"/>
      <c r="H110" s="612"/>
      <c r="I110" s="612"/>
      <c r="J110" s="612"/>
      <c r="K110" s="612"/>
      <c r="L110" s="612"/>
      <c r="M110" s="612"/>
      <c r="N110" s="612"/>
      <c r="O110" s="612"/>
      <c r="P110" s="612"/>
      <c r="Q110" s="612"/>
      <c r="R110" s="612"/>
      <c r="S110" s="612"/>
      <c r="T110" s="612"/>
      <c r="U110" s="612"/>
      <c r="V110" s="612"/>
      <c r="W110" s="612"/>
      <c r="X110" s="612"/>
      <c r="Y110" s="612"/>
      <c r="Z110" s="612"/>
      <c r="AA110" s="612"/>
      <c r="AB110" s="612"/>
      <c r="AC110" s="612"/>
      <c r="AD110" s="612"/>
      <c r="AE110" s="612"/>
      <c r="AF110" s="612"/>
      <c r="AG110" s="612"/>
      <c r="AH110" s="612"/>
      <c r="AI110" s="612"/>
      <c r="AJ110" s="612"/>
      <c r="AK110" s="612"/>
      <c r="AL110" s="612"/>
      <c r="AM110" s="612"/>
      <c r="AN110" s="612"/>
      <c r="AO110" s="612"/>
      <c r="AP110" s="612"/>
      <c r="AS110" s="211"/>
    </row>
    <row r="111" spans="1:47" x14ac:dyDescent="0.3">
      <c r="B111" s="612"/>
      <c r="C111" s="612"/>
      <c r="D111" s="612"/>
      <c r="E111" s="612"/>
      <c r="F111" s="612"/>
      <c r="G111" s="612"/>
      <c r="H111" s="612"/>
      <c r="I111" s="612"/>
      <c r="J111" s="612"/>
      <c r="K111" s="612"/>
      <c r="L111" s="612"/>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612"/>
      <c r="AL111" s="612"/>
      <c r="AM111" s="612"/>
      <c r="AN111" s="612"/>
      <c r="AO111" s="612"/>
      <c r="AP111" s="612"/>
      <c r="AS111" s="211"/>
    </row>
    <row r="112" spans="1:47" x14ac:dyDescent="0.3">
      <c r="B112" s="612"/>
      <c r="C112" s="612"/>
      <c r="D112" s="612"/>
      <c r="E112" s="612"/>
      <c r="F112" s="612"/>
      <c r="G112" s="612"/>
      <c r="H112" s="612"/>
      <c r="I112" s="612"/>
      <c r="J112" s="612"/>
      <c r="K112" s="612"/>
      <c r="L112" s="612"/>
      <c r="M112" s="612"/>
      <c r="N112" s="612"/>
      <c r="O112" s="612"/>
      <c r="P112" s="612"/>
      <c r="Q112" s="612"/>
      <c r="R112" s="612"/>
      <c r="S112" s="612"/>
      <c r="T112" s="612"/>
      <c r="U112" s="612"/>
      <c r="V112" s="612"/>
      <c r="W112" s="612"/>
      <c r="X112" s="612"/>
      <c r="Y112" s="612"/>
      <c r="Z112" s="612"/>
      <c r="AA112" s="612"/>
      <c r="AB112" s="612"/>
      <c r="AC112" s="612"/>
      <c r="AD112" s="612"/>
      <c r="AE112" s="612"/>
      <c r="AF112" s="612"/>
      <c r="AG112" s="612"/>
      <c r="AH112" s="612"/>
      <c r="AI112" s="612"/>
      <c r="AJ112" s="612"/>
      <c r="AK112" s="612"/>
      <c r="AL112" s="612"/>
      <c r="AM112" s="612"/>
      <c r="AN112" s="612"/>
      <c r="AO112" s="612"/>
      <c r="AP112" s="612"/>
      <c r="AS112" s="211"/>
    </row>
    <row r="113" spans="2:45" x14ac:dyDescent="0.3">
      <c r="B113" s="612"/>
      <c r="C113" s="612"/>
      <c r="D113" s="612"/>
      <c r="E113" s="612"/>
      <c r="F113" s="612"/>
      <c r="G113" s="612"/>
      <c r="H113" s="612"/>
      <c r="I113" s="612"/>
      <c r="J113" s="612"/>
      <c r="K113" s="612"/>
      <c r="L113" s="612"/>
      <c r="M113" s="612"/>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2"/>
      <c r="AP113" s="612"/>
      <c r="AS113" s="211"/>
    </row>
    <row r="114" spans="2:45" x14ac:dyDescent="0.3">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2"/>
      <c r="AL114" s="612"/>
      <c r="AM114" s="612"/>
      <c r="AN114" s="612"/>
      <c r="AO114" s="612"/>
      <c r="AP114" s="612"/>
      <c r="AS114" s="211"/>
    </row>
    <row r="115" spans="2:45" x14ac:dyDescent="0.3">
      <c r="B115" s="612"/>
      <c r="C115" s="612"/>
      <c r="D115" s="612"/>
      <c r="E115" s="612"/>
      <c r="F115" s="612"/>
      <c r="G115" s="612"/>
      <c r="H115" s="612"/>
      <c r="I115" s="612"/>
      <c r="J115" s="612"/>
      <c r="K115" s="612"/>
      <c r="L115" s="612"/>
      <c r="M115" s="612"/>
      <c r="N115" s="612"/>
      <c r="O115" s="612"/>
      <c r="P115" s="612"/>
      <c r="Q115" s="612"/>
      <c r="R115" s="612"/>
      <c r="S115" s="612"/>
      <c r="T115" s="612"/>
      <c r="U115" s="612"/>
      <c r="V115" s="612"/>
      <c r="W115" s="612"/>
      <c r="X115" s="612"/>
      <c r="Y115" s="612"/>
      <c r="Z115" s="612"/>
      <c r="AA115" s="612"/>
      <c r="AB115" s="612"/>
      <c r="AC115" s="612"/>
      <c r="AD115" s="612"/>
      <c r="AE115" s="612"/>
      <c r="AF115" s="612"/>
      <c r="AG115" s="612"/>
      <c r="AH115" s="612"/>
      <c r="AI115" s="612"/>
      <c r="AJ115" s="612"/>
      <c r="AK115" s="612"/>
      <c r="AL115" s="612"/>
      <c r="AM115" s="612"/>
      <c r="AN115" s="612"/>
      <c r="AO115" s="612"/>
      <c r="AP115" s="612"/>
      <c r="AS115" s="211"/>
    </row>
    <row r="116" spans="2:45" x14ac:dyDescent="0.3">
      <c r="B116" s="612"/>
      <c r="C116" s="612"/>
      <c r="D116" s="612"/>
      <c r="E116" s="612"/>
      <c r="F116" s="612"/>
      <c r="G116" s="612"/>
      <c r="H116" s="612"/>
      <c r="I116" s="612"/>
      <c r="J116" s="612"/>
      <c r="K116" s="612"/>
      <c r="L116" s="612"/>
      <c r="M116" s="612"/>
      <c r="N116" s="612"/>
      <c r="O116" s="612"/>
      <c r="P116" s="612"/>
      <c r="Q116" s="612"/>
      <c r="R116" s="612"/>
      <c r="S116" s="612"/>
      <c r="T116" s="612"/>
      <c r="U116" s="612"/>
      <c r="V116" s="612"/>
      <c r="W116" s="612"/>
      <c r="X116" s="612"/>
      <c r="Y116" s="612"/>
      <c r="Z116" s="612"/>
      <c r="AA116" s="612"/>
      <c r="AB116" s="612"/>
      <c r="AC116" s="612"/>
      <c r="AD116" s="612"/>
      <c r="AE116" s="612"/>
      <c r="AF116" s="612"/>
      <c r="AG116" s="612"/>
      <c r="AH116" s="612"/>
      <c r="AI116" s="612"/>
      <c r="AJ116" s="612"/>
      <c r="AK116" s="612"/>
      <c r="AL116" s="612"/>
      <c r="AM116" s="612"/>
      <c r="AN116" s="612"/>
      <c r="AO116" s="612"/>
      <c r="AP116" s="612"/>
      <c r="AS116" s="211"/>
    </row>
    <row r="117" spans="2:45" x14ac:dyDescent="0.3">
      <c r="B117" s="612"/>
      <c r="C117" s="612"/>
      <c r="D117" s="612"/>
      <c r="E117" s="612"/>
      <c r="F117" s="612"/>
      <c r="G117" s="612"/>
      <c r="H117" s="612"/>
      <c r="I117" s="612"/>
      <c r="J117" s="612"/>
      <c r="K117" s="612"/>
      <c r="L117" s="612"/>
      <c r="M117" s="612"/>
      <c r="N117" s="612"/>
      <c r="O117" s="612"/>
      <c r="P117" s="612"/>
      <c r="Q117" s="612"/>
      <c r="R117" s="612"/>
      <c r="S117" s="612"/>
      <c r="T117" s="612"/>
      <c r="U117" s="612"/>
      <c r="V117" s="612"/>
      <c r="W117" s="612"/>
      <c r="X117" s="612"/>
      <c r="Y117" s="612"/>
      <c r="Z117" s="612"/>
      <c r="AA117" s="612"/>
      <c r="AB117" s="612"/>
      <c r="AC117" s="612"/>
      <c r="AD117" s="612"/>
      <c r="AE117" s="612"/>
      <c r="AF117" s="612"/>
      <c r="AG117" s="612"/>
      <c r="AH117" s="612"/>
      <c r="AI117" s="612"/>
      <c r="AJ117" s="612"/>
      <c r="AK117" s="612"/>
      <c r="AL117" s="612"/>
      <c r="AM117" s="612"/>
      <c r="AN117" s="612"/>
      <c r="AO117" s="612"/>
      <c r="AP117" s="612"/>
      <c r="AS117" s="211"/>
    </row>
    <row r="118" spans="2:45" x14ac:dyDescent="0.3">
      <c r="B118" s="612"/>
      <c r="C118" s="612"/>
      <c r="D118" s="612"/>
      <c r="E118" s="612"/>
      <c r="F118" s="612"/>
      <c r="G118" s="612"/>
      <c r="H118" s="612"/>
      <c r="I118" s="612"/>
      <c r="J118" s="612"/>
      <c r="K118" s="612"/>
      <c r="L118" s="612"/>
      <c r="M118" s="612"/>
      <c r="N118" s="612"/>
      <c r="O118" s="612"/>
      <c r="P118" s="612"/>
      <c r="Q118" s="612"/>
      <c r="R118" s="612"/>
      <c r="S118" s="612"/>
      <c r="T118" s="612"/>
      <c r="U118" s="612"/>
      <c r="V118" s="612"/>
      <c r="W118" s="612"/>
      <c r="X118" s="612"/>
      <c r="Y118" s="612"/>
      <c r="Z118" s="612"/>
      <c r="AA118" s="612"/>
      <c r="AB118" s="612"/>
      <c r="AC118" s="612"/>
      <c r="AD118" s="612"/>
      <c r="AE118" s="612"/>
      <c r="AF118" s="612"/>
      <c r="AG118" s="612"/>
      <c r="AH118" s="612"/>
      <c r="AI118" s="612"/>
      <c r="AJ118" s="612"/>
      <c r="AK118" s="612"/>
      <c r="AL118" s="612"/>
      <c r="AM118" s="612"/>
      <c r="AN118" s="612"/>
      <c r="AO118" s="612"/>
      <c r="AP118" s="612"/>
      <c r="AS118" s="211"/>
    </row>
    <row r="119" spans="2:45" x14ac:dyDescent="0.3">
      <c r="B119" s="612"/>
      <c r="C119" s="612"/>
      <c r="D119" s="612"/>
      <c r="E119" s="612"/>
      <c r="F119" s="612"/>
      <c r="G119" s="612"/>
      <c r="H119" s="612"/>
      <c r="I119" s="612"/>
      <c r="J119" s="612"/>
      <c r="K119" s="612"/>
      <c r="L119" s="612"/>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612"/>
      <c r="AK119" s="612"/>
      <c r="AL119" s="612"/>
      <c r="AM119" s="612"/>
      <c r="AN119" s="612"/>
      <c r="AO119" s="612"/>
      <c r="AP119" s="612"/>
      <c r="AS119" s="211"/>
    </row>
    <row r="120" spans="2:45" x14ac:dyDescent="0.3">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2"/>
      <c r="AP120" s="612"/>
      <c r="AS120" s="211"/>
    </row>
    <row r="121" spans="2:45" x14ac:dyDescent="0.3">
      <c r="B121" s="612"/>
      <c r="C121" s="612"/>
      <c r="D121" s="612"/>
      <c r="E121" s="612"/>
      <c r="F121" s="612"/>
      <c r="G121" s="612"/>
      <c r="H121" s="612"/>
      <c r="I121" s="612"/>
      <c r="J121" s="612"/>
      <c r="K121" s="612"/>
      <c r="L121" s="612"/>
      <c r="M121" s="612"/>
      <c r="N121" s="612"/>
      <c r="O121" s="612"/>
      <c r="P121" s="612"/>
      <c r="Q121" s="612"/>
      <c r="R121" s="612"/>
      <c r="S121" s="612"/>
      <c r="T121" s="612"/>
      <c r="U121" s="612"/>
      <c r="V121" s="612"/>
      <c r="W121" s="612"/>
      <c r="X121" s="612"/>
      <c r="Y121" s="612"/>
      <c r="Z121" s="612"/>
      <c r="AA121" s="612"/>
      <c r="AB121" s="612"/>
      <c r="AC121" s="612"/>
      <c r="AD121" s="612"/>
      <c r="AE121" s="612"/>
      <c r="AF121" s="612"/>
      <c r="AG121" s="612"/>
      <c r="AH121" s="612"/>
      <c r="AI121" s="612"/>
      <c r="AJ121" s="612"/>
      <c r="AK121" s="612"/>
      <c r="AL121" s="612"/>
      <c r="AM121" s="612"/>
      <c r="AN121" s="612"/>
      <c r="AO121" s="612"/>
      <c r="AP121" s="612"/>
      <c r="AS121" s="211"/>
    </row>
    <row r="122" spans="2:45" x14ac:dyDescent="0.3">
      <c r="B122" s="612"/>
      <c r="C122" s="612"/>
      <c r="D122" s="612"/>
      <c r="E122" s="612"/>
      <c r="F122" s="612"/>
      <c r="G122" s="612"/>
      <c r="H122" s="612"/>
      <c r="I122" s="612"/>
      <c r="J122" s="612"/>
      <c r="K122" s="612"/>
      <c r="L122" s="612"/>
      <c r="M122" s="612"/>
      <c r="N122" s="612"/>
      <c r="O122" s="612"/>
      <c r="P122" s="612"/>
      <c r="Q122" s="612"/>
      <c r="R122" s="612"/>
      <c r="S122" s="612"/>
      <c r="T122" s="612"/>
      <c r="U122" s="612"/>
      <c r="V122" s="612"/>
      <c r="W122" s="612"/>
      <c r="X122" s="612"/>
      <c r="Y122" s="612"/>
      <c r="Z122" s="612"/>
      <c r="AA122" s="612"/>
      <c r="AB122" s="612"/>
      <c r="AC122" s="612"/>
      <c r="AD122" s="612"/>
      <c r="AE122" s="612"/>
      <c r="AF122" s="612"/>
      <c r="AG122" s="612"/>
      <c r="AH122" s="612"/>
      <c r="AI122" s="612"/>
      <c r="AJ122" s="612"/>
      <c r="AK122" s="612"/>
      <c r="AL122" s="612"/>
      <c r="AM122" s="612"/>
      <c r="AN122" s="612"/>
      <c r="AO122" s="612"/>
      <c r="AP122" s="612"/>
      <c r="AS122" s="211"/>
    </row>
    <row r="123" spans="2:45" x14ac:dyDescent="0.3">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2"/>
      <c r="AL123" s="612"/>
      <c r="AM123" s="612"/>
      <c r="AN123" s="612"/>
      <c r="AO123" s="612"/>
      <c r="AP123" s="612"/>
      <c r="AS123" s="211"/>
    </row>
    <row r="124" spans="2:45" x14ac:dyDescent="0.3">
      <c r="B124" s="612"/>
      <c r="C124" s="612"/>
      <c r="D124" s="612"/>
      <c r="E124" s="612"/>
      <c r="F124" s="612"/>
      <c r="G124" s="612"/>
      <c r="H124" s="612"/>
      <c r="I124" s="612"/>
      <c r="J124" s="612"/>
      <c r="K124" s="612"/>
      <c r="L124" s="612"/>
      <c r="M124" s="612"/>
      <c r="N124" s="612"/>
      <c r="O124" s="612"/>
      <c r="P124" s="612"/>
      <c r="Q124" s="612"/>
      <c r="R124" s="612"/>
      <c r="S124" s="612"/>
      <c r="T124" s="612"/>
      <c r="U124" s="612"/>
      <c r="V124" s="612"/>
      <c r="W124" s="612"/>
      <c r="X124" s="612"/>
      <c r="Y124" s="612"/>
      <c r="Z124" s="612"/>
      <c r="AA124" s="612"/>
      <c r="AB124" s="612"/>
      <c r="AC124" s="612"/>
      <c r="AD124" s="612"/>
      <c r="AE124" s="612"/>
      <c r="AF124" s="612"/>
      <c r="AG124" s="612"/>
      <c r="AH124" s="612"/>
      <c r="AI124" s="612"/>
      <c r="AJ124" s="612"/>
      <c r="AK124" s="612"/>
      <c r="AL124" s="612"/>
      <c r="AM124" s="612"/>
      <c r="AN124" s="612"/>
      <c r="AO124" s="612"/>
      <c r="AP124" s="612"/>
      <c r="AS124" s="211"/>
    </row>
    <row r="125" spans="2:45" x14ac:dyDescent="0.3">
      <c r="B125" s="612"/>
      <c r="C125" s="612"/>
      <c r="D125" s="612"/>
      <c r="E125" s="612"/>
      <c r="F125" s="612"/>
      <c r="G125" s="612"/>
      <c r="H125" s="612"/>
      <c r="I125" s="612"/>
      <c r="J125" s="612"/>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2"/>
      <c r="AK125" s="612"/>
      <c r="AL125" s="612"/>
      <c r="AM125" s="612"/>
      <c r="AN125" s="612"/>
      <c r="AO125" s="612"/>
      <c r="AP125" s="612"/>
      <c r="AS125" s="211"/>
    </row>
    <row r="126" spans="2:45" x14ac:dyDescent="0.3">
      <c r="B126" s="612"/>
      <c r="C126" s="612"/>
      <c r="D126" s="612"/>
      <c r="E126" s="612"/>
      <c r="F126" s="612"/>
      <c r="G126" s="612"/>
      <c r="H126" s="612"/>
      <c r="I126" s="612"/>
      <c r="J126" s="612"/>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2"/>
      <c r="AK126" s="612"/>
      <c r="AL126" s="612"/>
      <c r="AM126" s="612"/>
      <c r="AN126" s="612"/>
      <c r="AO126" s="612"/>
      <c r="AP126" s="612"/>
      <c r="AS126" s="211"/>
    </row>
    <row r="127" spans="2:45" x14ac:dyDescent="0.3">
      <c r="B127" s="612"/>
      <c r="C127" s="612"/>
      <c r="D127" s="612"/>
      <c r="E127" s="612"/>
      <c r="F127" s="612"/>
      <c r="G127" s="612"/>
      <c r="H127" s="612"/>
      <c r="I127" s="612"/>
      <c r="J127" s="612"/>
      <c r="K127" s="612"/>
      <c r="L127" s="612"/>
      <c r="M127" s="612"/>
      <c r="N127" s="612"/>
      <c r="O127" s="612"/>
      <c r="P127" s="612"/>
      <c r="Q127" s="612"/>
      <c r="R127" s="612"/>
      <c r="S127" s="612"/>
      <c r="T127" s="612"/>
      <c r="U127" s="612"/>
      <c r="V127" s="612"/>
      <c r="W127" s="612"/>
      <c r="X127" s="612"/>
      <c r="Y127" s="612"/>
      <c r="Z127" s="612"/>
      <c r="AA127" s="612"/>
      <c r="AB127" s="612"/>
      <c r="AC127" s="612"/>
      <c r="AD127" s="612"/>
      <c r="AE127" s="612"/>
      <c r="AF127" s="612"/>
      <c r="AG127" s="612"/>
      <c r="AH127" s="612"/>
      <c r="AI127" s="612"/>
      <c r="AJ127" s="612"/>
      <c r="AK127" s="612"/>
      <c r="AL127" s="612"/>
      <c r="AM127" s="612"/>
      <c r="AN127" s="612"/>
      <c r="AO127" s="612"/>
      <c r="AP127" s="612"/>
      <c r="AS127" s="211"/>
    </row>
    <row r="128" spans="2:45" x14ac:dyDescent="0.3">
      <c r="B128" s="612"/>
      <c r="C128" s="612"/>
      <c r="D128" s="612"/>
      <c r="E128" s="612"/>
      <c r="F128" s="612"/>
      <c r="G128" s="612"/>
      <c r="H128" s="612"/>
      <c r="I128" s="612"/>
      <c r="J128" s="612"/>
      <c r="K128" s="612"/>
      <c r="L128" s="612"/>
      <c r="M128" s="612"/>
      <c r="N128" s="612"/>
      <c r="O128" s="612"/>
      <c r="P128" s="612"/>
      <c r="Q128" s="612"/>
      <c r="R128" s="612"/>
      <c r="S128" s="612"/>
      <c r="T128" s="612"/>
      <c r="U128" s="612"/>
      <c r="V128" s="612"/>
      <c r="W128" s="612"/>
      <c r="X128" s="612"/>
      <c r="Y128" s="612"/>
      <c r="Z128" s="612"/>
      <c r="AA128" s="612"/>
      <c r="AB128" s="612"/>
      <c r="AC128" s="612"/>
      <c r="AD128" s="612"/>
      <c r="AE128" s="612"/>
      <c r="AF128" s="612"/>
      <c r="AG128" s="612"/>
      <c r="AH128" s="612"/>
      <c r="AI128" s="612"/>
      <c r="AJ128" s="612"/>
      <c r="AK128" s="612"/>
      <c r="AL128" s="612"/>
      <c r="AM128" s="612"/>
      <c r="AN128" s="612"/>
      <c r="AO128" s="612"/>
      <c r="AP128" s="612"/>
      <c r="AS128" s="211"/>
    </row>
    <row r="129" spans="2:45" x14ac:dyDescent="0.3">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2"/>
      <c r="AL129" s="612"/>
      <c r="AM129" s="612"/>
      <c r="AN129" s="612"/>
      <c r="AO129" s="612"/>
      <c r="AP129" s="612"/>
      <c r="AS129" s="211"/>
    </row>
    <row r="130" spans="2:45" x14ac:dyDescent="0.3">
      <c r="B130" s="612"/>
      <c r="C130" s="612"/>
      <c r="D130" s="612"/>
      <c r="E130" s="612"/>
      <c r="F130" s="612"/>
      <c r="G130" s="612"/>
      <c r="H130" s="612"/>
      <c r="I130" s="612"/>
      <c r="J130" s="612"/>
      <c r="K130" s="612"/>
      <c r="L130" s="612"/>
      <c r="M130" s="612"/>
      <c r="N130" s="612"/>
      <c r="O130" s="612"/>
      <c r="P130" s="612"/>
      <c r="Q130" s="612"/>
      <c r="R130" s="612"/>
      <c r="S130" s="612"/>
      <c r="T130" s="612"/>
      <c r="U130" s="612"/>
      <c r="V130" s="612"/>
      <c r="W130" s="612"/>
      <c r="X130" s="612"/>
      <c r="Y130" s="612"/>
      <c r="Z130" s="612"/>
      <c r="AA130" s="612"/>
      <c r="AB130" s="612"/>
      <c r="AC130" s="612"/>
      <c r="AD130" s="612"/>
      <c r="AE130" s="612"/>
      <c r="AF130" s="612"/>
      <c r="AG130" s="612"/>
      <c r="AH130" s="612"/>
      <c r="AI130" s="612"/>
      <c r="AJ130" s="612"/>
      <c r="AK130" s="612"/>
      <c r="AL130" s="612"/>
      <c r="AM130" s="612"/>
      <c r="AN130" s="612"/>
      <c r="AO130" s="612"/>
      <c r="AP130" s="612"/>
      <c r="AS130" s="211"/>
    </row>
    <row r="131" spans="2:45" x14ac:dyDescent="0.3">
      <c r="B131" s="612"/>
      <c r="C131" s="612"/>
      <c r="D131" s="612"/>
      <c r="E131" s="612"/>
      <c r="F131" s="612"/>
      <c r="G131" s="612"/>
      <c r="H131" s="612"/>
      <c r="I131" s="612"/>
      <c r="J131" s="612"/>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2"/>
      <c r="AK131" s="612"/>
      <c r="AL131" s="612"/>
      <c r="AM131" s="612"/>
      <c r="AN131" s="612"/>
      <c r="AO131" s="612"/>
      <c r="AP131" s="612"/>
      <c r="AS131" s="211"/>
    </row>
    <row r="132" spans="2:45" x14ac:dyDescent="0.3">
      <c r="B132" s="612"/>
      <c r="C132" s="612"/>
      <c r="D132" s="612"/>
      <c r="E132" s="612"/>
      <c r="F132" s="612"/>
      <c r="G132" s="612"/>
      <c r="H132" s="612"/>
      <c r="I132" s="612"/>
      <c r="J132" s="612"/>
      <c r="K132" s="612"/>
      <c r="L132" s="612"/>
      <c r="M132" s="612"/>
      <c r="N132" s="612"/>
      <c r="O132" s="612"/>
      <c r="P132" s="612"/>
      <c r="Q132" s="612"/>
      <c r="R132" s="612"/>
      <c r="S132" s="612"/>
      <c r="T132" s="612"/>
      <c r="U132" s="612"/>
      <c r="V132" s="612"/>
      <c r="W132" s="612"/>
      <c r="X132" s="612"/>
      <c r="Y132" s="612"/>
      <c r="Z132" s="612"/>
      <c r="AA132" s="612"/>
      <c r="AB132" s="612"/>
      <c r="AC132" s="612"/>
      <c r="AD132" s="612"/>
      <c r="AE132" s="612"/>
      <c r="AF132" s="612"/>
      <c r="AG132" s="612"/>
      <c r="AH132" s="612"/>
      <c r="AI132" s="612"/>
      <c r="AJ132" s="612"/>
      <c r="AK132" s="612"/>
      <c r="AL132" s="612"/>
      <c r="AM132" s="612"/>
      <c r="AN132" s="612"/>
      <c r="AO132" s="612"/>
      <c r="AP132" s="612"/>
      <c r="AS132" s="211"/>
    </row>
    <row r="133" spans="2:45" x14ac:dyDescent="0.3">
      <c r="B133" s="612"/>
      <c r="C133" s="612"/>
      <c r="D133" s="612"/>
      <c r="E133" s="612"/>
      <c r="F133" s="612"/>
      <c r="G133" s="612"/>
      <c r="H133" s="612"/>
      <c r="I133" s="612"/>
      <c r="J133" s="612"/>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2"/>
      <c r="AK133" s="612"/>
      <c r="AL133" s="612"/>
      <c r="AM133" s="612"/>
      <c r="AN133" s="612"/>
      <c r="AO133" s="612"/>
      <c r="AP133" s="612"/>
      <c r="AS133" s="211"/>
    </row>
    <row r="134" spans="2:45" x14ac:dyDescent="0.3">
      <c r="B134" s="612"/>
      <c r="C134" s="612"/>
      <c r="D134" s="612"/>
      <c r="E134" s="612"/>
      <c r="F134" s="612"/>
      <c r="G134" s="612"/>
      <c r="H134" s="612"/>
      <c r="I134" s="612"/>
      <c r="J134" s="612"/>
      <c r="K134" s="612"/>
      <c r="L134" s="612"/>
      <c r="M134" s="612"/>
      <c r="N134" s="612"/>
      <c r="O134" s="612"/>
      <c r="P134" s="612"/>
      <c r="Q134" s="612"/>
      <c r="R134" s="612"/>
      <c r="S134" s="612"/>
      <c r="T134" s="612"/>
      <c r="U134" s="612"/>
      <c r="V134" s="612"/>
      <c r="W134" s="612"/>
      <c r="X134" s="612"/>
      <c r="Y134" s="612"/>
      <c r="Z134" s="612"/>
      <c r="AA134" s="612"/>
      <c r="AB134" s="612"/>
      <c r="AC134" s="612"/>
      <c r="AD134" s="612"/>
      <c r="AE134" s="612"/>
      <c r="AF134" s="612"/>
      <c r="AG134" s="612"/>
      <c r="AH134" s="612"/>
      <c r="AI134" s="612"/>
      <c r="AJ134" s="612"/>
      <c r="AK134" s="612"/>
      <c r="AL134" s="612"/>
      <c r="AM134" s="612"/>
      <c r="AN134" s="612"/>
      <c r="AO134" s="612"/>
      <c r="AP134" s="612"/>
      <c r="AS134" s="211"/>
    </row>
    <row r="135" spans="2:45" x14ac:dyDescent="0.3">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2"/>
      <c r="AL135" s="612"/>
      <c r="AM135" s="612"/>
      <c r="AN135" s="612"/>
      <c r="AO135" s="612"/>
      <c r="AP135" s="612"/>
      <c r="AS135" s="211"/>
    </row>
    <row r="136" spans="2:45" x14ac:dyDescent="0.3">
      <c r="B136" s="612"/>
      <c r="C136" s="612"/>
      <c r="D136" s="612"/>
      <c r="E136" s="612"/>
      <c r="F136" s="612"/>
      <c r="G136" s="612"/>
      <c r="H136" s="612"/>
      <c r="I136" s="612"/>
      <c r="J136" s="612"/>
      <c r="K136" s="612"/>
      <c r="L136" s="612"/>
      <c r="M136" s="612"/>
      <c r="N136" s="612"/>
      <c r="O136" s="612"/>
      <c r="P136" s="612"/>
      <c r="Q136" s="612"/>
      <c r="R136" s="612"/>
      <c r="S136" s="612"/>
      <c r="T136" s="612"/>
      <c r="U136" s="612"/>
      <c r="V136" s="612"/>
      <c r="W136" s="612"/>
      <c r="X136" s="612"/>
      <c r="Y136" s="612"/>
      <c r="Z136" s="612"/>
      <c r="AA136" s="612"/>
      <c r="AB136" s="612"/>
      <c r="AC136" s="612"/>
      <c r="AD136" s="612"/>
      <c r="AE136" s="612"/>
      <c r="AF136" s="612"/>
      <c r="AG136" s="612"/>
      <c r="AH136" s="612"/>
      <c r="AI136" s="612"/>
      <c r="AJ136" s="612"/>
      <c r="AK136" s="612"/>
      <c r="AL136" s="612"/>
      <c r="AM136" s="612"/>
      <c r="AN136" s="612"/>
      <c r="AO136" s="612"/>
      <c r="AP136" s="612"/>
      <c r="AS136" s="211"/>
    </row>
  </sheetData>
  <mergeCells count="26">
    <mergeCell ref="V7:X7"/>
    <mergeCell ref="B7:D7"/>
    <mergeCell ref="F7:H7"/>
    <mergeCell ref="J7:L7"/>
    <mergeCell ref="N7:P7"/>
    <mergeCell ref="R7:T7"/>
    <mergeCell ref="Z7:AB7"/>
    <mergeCell ref="AD7:AF7"/>
    <mergeCell ref="AH7:AJ7"/>
    <mergeCell ref="AL7:AN7"/>
    <mergeCell ref="AP7:AR7"/>
    <mergeCell ref="A92:AS92"/>
    <mergeCell ref="A95:AR95"/>
    <mergeCell ref="A97:AR97"/>
    <mergeCell ref="V51:X51"/>
    <mergeCell ref="Z51:AB51"/>
    <mergeCell ref="AD51:AF51"/>
    <mergeCell ref="AH51:AJ51"/>
    <mergeCell ref="AL51:AN51"/>
    <mergeCell ref="AP51:AR51"/>
    <mergeCell ref="B51:D51"/>
    <mergeCell ref="F51:H51"/>
    <mergeCell ref="J51:L51"/>
    <mergeCell ref="N51:P51"/>
    <mergeCell ref="R51:T51"/>
    <mergeCell ref="A96:AP96"/>
  </mergeCells>
  <pageMargins left="0.7" right="0.7" top="0.75" bottom="0.75" header="0.3" footer="0.3"/>
  <pageSetup orientation="portrait" r:id="rId1"/>
  <drawing r:id="rId2"/>
  <legacyDrawing r:id="rId3"/>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73513-69CD-41C5-9DA7-CB0D06DD2AA1}">
  <sheetPr>
    <tabColor theme="4"/>
  </sheetPr>
  <dimension ref="A1:CH135"/>
  <sheetViews>
    <sheetView showGridLines="0" zoomScale="70" zoomScaleNormal="70" workbookViewId="0">
      <pane xSplit="1" ySplit="7" topLeftCell="B38" activePane="bottomRight" state="frozen"/>
      <selection pane="topRight" activeCell="B1" sqref="B1"/>
      <selection pane="bottomLeft" activeCell="A7" sqref="A7"/>
      <selection pane="bottomRight" activeCell="H79" sqref="H79"/>
    </sheetView>
  </sheetViews>
  <sheetFormatPr defaultColWidth="8.6640625" defaultRowHeight="15.6" outlineLevelRow="2" outlineLevelCol="1" x14ac:dyDescent="0.3"/>
  <cols>
    <col min="1" max="1" width="55.5546875" style="211" customWidth="1"/>
    <col min="2" max="2" width="10.5546875" style="356" customWidth="1" outlineLevel="1"/>
    <col min="3" max="3" width="1.6640625" style="356" customWidth="1" outlineLevel="1"/>
    <col min="4" max="4" width="8.33203125" style="356" customWidth="1" outlineLevel="1"/>
    <col min="5" max="5" width="1.6640625" style="356" customWidth="1" outlineLevel="1"/>
    <col min="6" max="6" width="10.5546875" style="356" customWidth="1" outlineLevel="1"/>
    <col min="7" max="7" width="1.6640625" style="356" customWidth="1" outlineLevel="1"/>
    <col min="8" max="8" width="8.33203125" style="356" customWidth="1" outlineLevel="1"/>
    <col min="9" max="9" width="1.6640625" style="356" customWidth="1" outlineLevel="1"/>
    <col min="10" max="10" width="10.5546875" style="356" customWidth="1" outlineLevel="1"/>
    <col min="11" max="11" width="1.6640625" style="356" customWidth="1" outlineLevel="1"/>
    <col min="12" max="12" width="8.33203125" style="356" customWidth="1" outlineLevel="1"/>
    <col min="13" max="13" width="1.6640625" style="356" customWidth="1" outlineLevel="1"/>
    <col min="14" max="14" width="10.5546875" style="356" customWidth="1" outlineLevel="1"/>
    <col min="15" max="15" width="1.6640625" style="356" customWidth="1" outlineLevel="1"/>
    <col min="16" max="16" width="8.33203125" style="356" customWidth="1" outlineLevel="1"/>
    <col min="17" max="17" width="1.6640625" style="356" customWidth="1" outlineLevel="1"/>
    <col min="18" max="18" width="10.5546875" style="356" customWidth="1" outlineLevel="1"/>
    <col min="19" max="19" width="1.6640625" style="356" customWidth="1" outlineLevel="1"/>
    <col min="20" max="20" width="8.33203125" style="356" customWidth="1" outlineLevel="1"/>
    <col min="21" max="21" width="1.6640625" style="356" customWidth="1" outlineLevel="1"/>
    <col min="22" max="22" width="10.5546875" style="356" bestFit="1" customWidth="1"/>
    <col min="23" max="23" width="1.6640625" style="356" customWidth="1"/>
    <col min="24" max="24" width="8.33203125" style="356" customWidth="1"/>
    <col min="25" max="25" width="1.6640625" style="356" customWidth="1"/>
    <col min="26" max="26" width="10.5546875" style="356" bestFit="1" customWidth="1"/>
    <col min="27" max="27" width="1.6640625" style="356" customWidth="1"/>
    <col min="28" max="28" width="8.33203125" style="356" customWidth="1"/>
    <col min="29" max="29" width="1.6640625" style="356" customWidth="1"/>
    <col min="30" max="30" width="10.5546875" style="356" bestFit="1" customWidth="1"/>
    <col min="31" max="31" width="1.6640625" style="356" customWidth="1"/>
    <col min="32" max="32" width="8.33203125" style="356" customWidth="1"/>
    <col min="33" max="33" width="1.6640625" style="356" customWidth="1"/>
    <col min="34" max="34" width="10.5546875" style="356" bestFit="1" customWidth="1"/>
    <col min="35" max="35" width="1.6640625" style="356" customWidth="1"/>
    <col min="36" max="36" width="8.33203125" style="356" customWidth="1"/>
    <col min="37" max="37" width="1.6640625" style="356" customWidth="1"/>
    <col min="38" max="38" width="10.5546875" style="356" bestFit="1" customWidth="1"/>
    <col min="39" max="39" width="1.6640625" style="356" customWidth="1"/>
    <col min="40" max="40" width="8.5546875" style="356" bestFit="1" customWidth="1"/>
    <col min="41" max="41" width="1.6640625" style="356" customWidth="1"/>
    <col min="42" max="42" width="10.5546875" style="356" bestFit="1" customWidth="1"/>
    <col min="43" max="43" width="1.6640625" style="356" customWidth="1"/>
    <col min="44" max="44" width="8.33203125" style="356" customWidth="1"/>
    <col min="45" max="45" width="1.6640625" style="356" customWidth="1"/>
    <col min="46" max="46" width="1.6640625" style="211" customWidth="1"/>
    <col min="47" max="51" width="11.109375" style="211" bestFit="1" customWidth="1"/>
    <col min="52" max="16384" width="8.6640625" style="211"/>
  </cols>
  <sheetData>
    <row r="1" spans="1:86" s="152" customFormat="1" hidden="1" outlineLevel="1" x14ac:dyDescent="0.3">
      <c r="A1" s="459" t="s">
        <v>691</v>
      </c>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row>
    <row r="2" spans="1:86" s="1262" customFormat="1" ht="16.2" hidden="1" outlineLevel="1" x14ac:dyDescent="0.35">
      <c r="A2" s="1262" t="s">
        <v>556</v>
      </c>
      <c r="B2" s="1262">
        <v>2014</v>
      </c>
      <c r="F2" s="1262">
        <v>2013</v>
      </c>
      <c r="J2" s="1262">
        <v>2012</v>
      </c>
      <c r="N2" s="1262">
        <v>2011</v>
      </c>
      <c r="R2" s="1262">
        <v>2010</v>
      </c>
      <c r="V2" s="1262">
        <v>2009</v>
      </c>
      <c r="Z2" s="1262">
        <v>2008</v>
      </c>
      <c r="AD2" s="1262">
        <v>2007</v>
      </c>
      <c r="AH2" s="1262">
        <v>2006</v>
      </c>
      <c r="AL2" s="1262">
        <v>2005</v>
      </c>
      <c r="AP2" s="1262">
        <v>2004</v>
      </c>
      <c r="AT2" s="1263"/>
      <c r="AU2" s="1263"/>
      <c r="AV2" s="1263"/>
      <c r="AW2" s="1263"/>
      <c r="AX2" s="1263"/>
      <c r="AY2" s="1263"/>
      <c r="AZ2" s="1263"/>
      <c r="BA2" s="1263"/>
      <c r="BB2" s="1263"/>
      <c r="BC2" s="1263"/>
      <c r="BD2" s="1263"/>
      <c r="BE2" s="1263"/>
      <c r="BF2" s="1263"/>
      <c r="BG2" s="1263"/>
      <c r="BH2" s="1263"/>
      <c r="BI2" s="1263"/>
      <c r="BJ2" s="1263"/>
      <c r="BK2" s="1263"/>
      <c r="BL2" s="1263"/>
      <c r="BM2" s="1263"/>
      <c r="BN2" s="1263"/>
      <c r="BO2" s="1263"/>
      <c r="BP2" s="1263"/>
      <c r="BQ2" s="1263"/>
      <c r="BR2" s="1263"/>
      <c r="BS2" s="1263"/>
      <c r="BT2" s="1263"/>
      <c r="BU2" s="1263"/>
      <c r="BV2" s="1263"/>
      <c r="BW2" s="1263"/>
      <c r="BX2" s="1263"/>
      <c r="BY2" s="1263"/>
      <c r="BZ2" s="1263"/>
      <c r="CA2" s="1263"/>
      <c r="CB2" s="1263"/>
      <c r="CC2" s="1263"/>
      <c r="CD2" s="1263"/>
      <c r="CE2" s="1263"/>
      <c r="CF2" s="1263"/>
      <c r="CG2" s="1263"/>
      <c r="CH2" s="1263"/>
    </row>
    <row r="3" spans="1:86" collapsed="1" x14ac:dyDescent="0.3">
      <c r="A3" s="459" t="s">
        <v>1863</v>
      </c>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row>
    <row r="4" spans="1:86" x14ac:dyDescent="0.3">
      <c r="A4" s="152" t="s">
        <v>827</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row>
    <row r="5" spans="1:86" ht="5.4" customHeight="1" thickBot="1" x14ac:dyDescent="0.35">
      <c r="A5" s="152"/>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row>
    <row r="6" spans="1:86" x14ac:dyDescent="0.3">
      <c r="A6" s="453"/>
      <c r="B6" s="2865">
        <v>2014</v>
      </c>
      <c r="C6" s="2865"/>
      <c r="D6" s="2865"/>
      <c r="E6" s="885"/>
      <c r="F6" s="2865">
        <v>2013</v>
      </c>
      <c r="G6" s="2865"/>
      <c r="H6" s="2865"/>
      <c r="I6" s="885"/>
      <c r="J6" s="2865">
        <v>2012</v>
      </c>
      <c r="K6" s="2865"/>
      <c r="L6" s="2865"/>
      <c r="M6" s="885"/>
      <c r="N6" s="2865">
        <v>2011</v>
      </c>
      <c r="O6" s="2865"/>
      <c r="P6" s="2865"/>
      <c r="Q6" s="885"/>
      <c r="R6" s="2865">
        <v>2010</v>
      </c>
      <c r="S6" s="2865"/>
      <c r="T6" s="2922"/>
      <c r="U6" s="885"/>
      <c r="V6" s="2865">
        <v>2009</v>
      </c>
      <c r="W6" s="2865"/>
      <c r="X6" s="2865"/>
      <c r="Y6" s="885"/>
      <c r="Z6" s="2865">
        <v>2008</v>
      </c>
      <c r="AA6" s="2865"/>
      <c r="AB6" s="2865"/>
      <c r="AC6" s="885"/>
      <c r="AD6" s="2865">
        <v>2007</v>
      </c>
      <c r="AE6" s="2865"/>
      <c r="AF6" s="2865"/>
      <c r="AG6" s="885"/>
      <c r="AH6" s="2865">
        <v>2006</v>
      </c>
      <c r="AI6" s="2865"/>
      <c r="AJ6" s="2865"/>
      <c r="AK6" s="885"/>
      <c r="AL6" s="2865">
        <v>2005</v>
      </c>
      <c r="AM6" s="2865"/>
      <c r="AN6" s="2865"/>
      <c r="AO6" s="885"/>
      <c r="AP6" s="2865">
        <v>2004</v>
      </c>
      <c r="AQ6" s="2865"/>
      <c r="AR6" s="2865"/>
      <c r="AS6" s="1652"/>
      <c r="AT6" s="1265"/>
    </row>
    <row r="7" spans="1:86" x14ac:dyDescent="0.3">
      <c r="A7" s="221" t="s">
        <v>1250</v>
      </c>
      <c r="B7" s="864" t="s">
        <v>688</v>
      </c>
      <c r="C7" s="886"/>
      <c r="D7" s="864" t="s">
        <v>689</v>
      </c>
      <c r="E7" s="887"/>
      <c r="F7" s="864" t="s">
        <v>688</v>
      </c>
      <c r="G7" s="886"/>
      <c r="H7" s="864" t="s">
        <v>689</v>
      </c>
      <c r="I7" s="887"/>
      <c r="J7" s="864" t="s">
        <v>688</v>
      </c>
      <c r="K7" s="886"/>
      <c r="L7" s="864" t="s">
        <v>689</v>
      </c>
      <c r="M7" s="887"/>
      <c r="N7" s="864" t="s">
        <v>688</v>
      </c>
      <c r="O7" s="886"/>
      <c r="P7" s="864" t="s">
        <v>689</v>
      </c>
      <c r="Q7" s="887"/>
      <c r="R7" s="864" t="s">
        <v>688</v>
      </c>
      <c r="S7" s="886"/>
      <c r="T7" s="865" t="s">
        <v>689</v>
      </c>
      <c r="U7" s="887"/>
      <c r="V7" s="864" t="s">
        <v>688</v>
      </c>
      <c r="W7" s="886"/>
      <c r="X7" s="864" t="s">
        <v>689</v>
      </c>
      <c r="Y7" s="887"/>
      <c r="Z7" s="864" t="s">
        <v>688</v>
      </c>
      <c r="AA7" s="886"/>
      <c r="AB7" s="864" t="s">
        <v>689</v>
      </c>
      <c r="AC7" s="887"/>
      <c r="AD7" s="864" t="s">
        <v>688</v>
      </c>
      <c r="AE7" s="886"/>
      <c r="AF7" s="864" t="s">
        <v>689</v>
      </c>
      <c r="AG7" s="887"/>
      <c r="AH7" s="864" t="s">
        <v>688</v>
      </c>
      <c r="AI7" s="886"/>
      <c r="AJ7" s="864" t="s">
        <v>689</v>
      </c>
      <c r="AK7" s="887"/>
      <c r="AL7" s="864" t="s">
        <v>688</v>
      </c>
      <c r="AM7" s="886"/>
      <c r="AN7" s="864" t="s">
        <v>689</v>
      </c>
      <c r="AO7" s="887"/>
      <c r="AP7" s="864" t="s">
        <v>688</v>
      </c>
      <c r="AQ7" s="886"/>
      <c r="AR7" s="864" t="s">
        <v>689</v>
      </c>
      <c r="AS7" s="1267"/>
      <c r="AT7" s="1266"/>
    </row>
    <row r="8" spans="1:86" x14ac:dyDescent="0.3">
      <c r="A8" s="847" t="s">
        <v>497</v>
      </c>
      <c r="B8" s="848"/>
      <c r="C8" s="848"/>
      <c r="D8" s="848"/>
      <c r="E8" s="848"/>
      <c r="F8" s="848"/>
      <c r="G8" s="848"/>
      <c r="H8" s="848"/>
      <c r="I8" s="848"/>
      <c r="J8" s="848"/>
      <c r="K8" s="848"/>
      <c r="L8" s="848"/>
      <c r="M8" s="848"/>
      <c r="N8" s="848"/>
      <c r="O8" s="848"/>
      <c r="P8" s="848"/>
      <c r="Q8" s="848"/>
      <c r="R8" s="848"/>
      <c r="S8" s="848"/>
      <c r="T8" s="849"/>
      <c r="U8" s="848"/>
      <c r="V8" s="848"/>
      <c r="W8" s="848"/>
      <c r="X8" s="848"/>
      <c r="Y8" s="848"/>
      <c r="Z8" s="848"/>
      <c r="AA8" s="848"/>
      <c r="AB8" s="848"/>
      <c r="AC8" s="848"/>
      <c r="AD8" s="848"/>
      <c r="AE8" s="848"/>
      <c r="AF8" s="848"/>
      <c r="AG8" s="848"/>
      <c r="AH8" s="848"/>
      <c r="AI8" s="848"/>
      <c r="AJ8" s="848"/>
      <c r="AK8" s="848"/>
      <c r="AL8" s="848"/>
      <c r="AM8" s="848"/>
      <c r="AN8" s="848"/>
      <c r="AO8" s="848"/>
      <c r="AP8" s="848"/>
      <c r="AQ8" s="848"/>
      <c r="AR8" s="848"/>
      <c r="AS8" s="223"/>
    </row>
    <row r="9" spans="1:86" ht="16.2" thickBot="1" x14ac:dyDescent="0.35">
      <c r="A9" s="214" t="s">
        <v>526</v>
      </c>
      <c r="B9" s="1275">
        <v>20962</v>
      </c>
      <c r="C9" s="392"/>
      <c r="D9" s="392"/>
      <c r="E9" s="392"/>
      <c r="F9" s="1275">
        <v>19083</v>
      </c>
      <c r="G9" s="392"/>
      <c r="H9" s="392"/>
      <c r="I9" s="392"/>
      <c r="J9" s="1275">
        <v>17129</v>
      </c>
      <c r="K9" s="392"/>
      <c r="L9" s="392"/>
      <c r="M9" s="392"/>
      <c r="N9" s="1275">
        <v>15664</v>
      </c>
      <c r="O9" s="392"/>
      <c r="P9" s="392"/>
      <c r="Q9" s="392"/>
      <c r="R9" s="1275">
        <v>14494</v>
      </c>
      <c r="S9" s="392"/>
      <c r="T9" s="253"/>
      <c r="U9" s="392"/>
      <c r="V9" s="1275">
        <v>13758</v>
      </c>
      <c r="W9" s="392"/>
      <c r="X9" s="392"/>
      <c r="Y9" s="392"/>
      <c r="Z9" s="1275">
        <v>12741</v>
      </c>
      <c r="AA9" s="392"/>
      <c r="AB9" s="392"/>
      <c r="AC9" s="392"/>
      <c r="AD9" s="1275">
        <v>11931</v>
      </c>
      <c r="AE9" s="392"/>
      <c r="AF9" s="392"/>
      <c r="AG9" s="392"/>
      <c r="AH9" s="1275">
        <v>11303</v>
      </c>
      <c r="AI9" s="392"/>
      <c r="AJ9" s="392"/>
      <c r="AK9" s="392"/>
      <c r="AL9" s="1275">
        <v>10285</v>
      </c>
      <c r="AM9" s="392"/>
      <c r="AN9" s="392"/>
      <c r="AO9" s="392"/>
      <c r="AP9" s="1275">
        <v>9212</v>
      </c>
      <c r="AQ9" s="392"/>
      <c r="AR9" s="392"/>
      <c r="AS9" s="223"/>
    </row>
    <row r="10" spans="1:86" ht="16.2" thickTop="1" x14ac:dyDescent="0.3">
      <c r="A10" s="214" t="s">
        <v>101</v>
      </c>
      <c r="B10" s="1277">
        <v>20496</v>
      </c>
      <c r="C10" s="215"/>
      <c r="D10" s="868">
        <f>B10/B$10</f>
        <v>1</v>
      </c>
      <c r="E10" s="464"/>
      <c r="F10" s="1277">
        <v>18572</v>
      </c>
      <c r="G10" s="215"/>
      <c r="H10" s="868">
        <f>F10/F$10</f>
        <v>1</v>
      </c>
      <c r="I10" s="464"/>
      <c r="J10" s="1277">
        <v>16740</v>
      </c>
      <c r="K10" s="215"/>
      <c r="L10" s="868">
        <f>J10/J$10</f>
        <v>1</v>
      </c>
      <c r="M10" s="464"/>
      <c r="N10" s="1277">
        <v>15363</v>
      </c>
      <c r="O10" s="215"/>
      <c r="P10" s="868">
        <f>N10/N$10</f>
        <v>1</v>
      </c>
      <c r="Q10" s="464"/>
      <c r="R10" s="1277">
        <v>14283</v>
      </c>
      <c r="S10" s="215"/>
      <c r="T10" s="870">
        <f>R10/R$10</f>
        <v>1</v>
      </c>
      <c r="U10" s="464"/>
      <c r="V10" s="1277">
        <v>13576</v>
      </c>
      <c r="W10" s="215"/>
      <c r="X10" s="868">
        <f>V10/V$10</f>
        <v>1</v>
      </c>
      <c r="Y10" s="464"/>
      <c r="Z10" s="1277">
        <v>12479</v>
      </c>
      <c r="AA10" s="215"/>
      <c r="AB10" s="868">
        <f>Z10/Z$10</f>
        <v>1</v>
      </c>
      <c r="AC10" s="464"/>
      <c r="AD10" s="1277">
        <v>11806</v>
      </c>
      <c r="AE10" s="215"/>
      <c r="AF10" s="868">
        <f>AD10/AD$10</f>
        <v>1</v>
      </c>
      <c r="AG10" s="464"/>
      <c r="AH10" s="1277">
        <v>11055</v>
      </c>
      <c r="AI10" s="215"/>
      <c r="AJ10" s="868">
        <f>AH10/AH$10</f>
        <v>1</v>
      </c>
      <c r="AK10" s="464"/>
      <c r="AL10" s="1277">
        <v>10101</v>
      </c>
      <c r="AM10" s="215"/>
      <c r="AN10" s="868">
        <f>AL10/AL$10</f>
        <v>1</v>
      </c>
      <c r="AO10" s="464"/>
      <c r="AP10" s="1277">
        <v>8915</v>
      </c>
      <c r="AQ10" s="215"/>
      <c r="AR10" s="868">
        <f>AP10/AP$10</f>
        <v>1</v>
      </c>
      <c r="AS10" s="223"/>
    </row>
    <row r="11" spans="1:86" outlineLevel="1" x14ac:dyDescent="0.3">
      <c r="A11" s="214" t="s">
        <v>527</v>
      </c>
      <c r="B11" s="922">
        <v>15924</v>
      </c>
      <c r="C11" s="215"/>
      <c r="D11" s="464">
        <f>B11/B$10</f>
        <v>0.77693208430913352</v>
      </c>
      <c r="E11" s="464"/>
      <c r="F11" s="922">
        <v>14255</v>
      </c>
      <c r="G11" s="215"/>
      <c r="H11" s="464">
        <f>F11/F$10</f>
        <v>0.76755330605212146</v>
      </c>
      <c r="I11" s="464"/>
      <c r="J11" s="922">
        <v>12700</v>
      </c>
      <c r="K11" s="215"/>
      <c r="L11" s="464">
        <f>J11/J$10</f>
        <v>0.75866188769414578</v>
      </c>
      <c r="M11" s="464"/>
      <c r="N11" s="922">
        <v>12013</v>
      </c>
      <c r="O11" s="215"/>
      <c r="P11" s="464">
        <f>N11/N$10</f>
        <v>0.78194363080127582</v>
      </c>
      <c r="Q11" s="464"/>
      <c r="R11" s="922">
        <v>10631</v>
      </c>
      <c r="S11" s="215"/>
      <c r="T11" s="347">
        <f>R11/R$10</f>
        <v>0.74431141916964227</v>
      </c>
      <c r="U11" s="464"/>
      <c r="V11" s="922">
        <v>10457</v>
      </c>
      <c r="W11" s="215"/>
      <c r="X11" s="464">
        <f>V11/V$10</f>
        <v>0.77025633470830879</v>
      </c>
      <c r="Y11" s="464"/>
      <c r="Z11" s="922">
        <v>9332</v>
      </c>
      <c r="AA11" s="215"/>
      <c r="AB11" s="464">
        <f>Z11/Z$10</f>
        <v>0.74781633143681381</v>
      </c>
      <c r="AC11" s="464"/>
      <c r="AD11" s="922">
        <v>8523</v>
      </c>
      <c r="AE11" s="215"/>
      <c r="AF11" s="464">
        <f>AD11/AD$10</f>
        <v>0.7219210570896154</v>
      </c>
      <c r="AG11" s="464"/>
      <c r="AH11" s="922">
        <v>7749</v>
      </c>
      <c r="AI11" s="215"/>
      <c r="AJ11" s="464">
        <f>AH11/AH$10</f>
        <v>0.70094979647218458</v>
      </c>
      <c r="AK11" s="464"/>
      <c r="AL11" s="922">
        <v>7128</v>
      </c>
      <c r="AM11" s="215"/>
      <c r="AN11" s="464">
        <f>AL11/AL$10</f>
        <v>0.70567270567270568</v>
      </c>
      <c r="AO11" s="464"/>
      <c r="AP11" s="922">
        <v>6360</v>
      </c>
      <c r="AQ11" s="215"/>
      <c r="AR11" s="464">
        <f>AP11/AP$10</f>
        <v>0.71340437464946715</v>
      </c>
      <c r="AS11" s="223"/>
    </row>
    <row r="12" spans="1:86" outlineLevel="1" x14ac:dyDescent="0.3">
      <c r="A12" s="214" t="s">
        <v>102</v>
      </c>
      <c r="B12" s="1232">
        <v>3413</v>
      </c>
      <c r="C12" s="215"/>
      <c r="D12" s="868">
        <f>B12/B$10</f>
        <v>0.16652029664324747</v>
      </c>
      <c r="E12" s="464"/>
      <c r="F12" s="1232">
        <v>3190</v>
      </c>
      <c r="G12" s="215"/>
      <c r="H12" s="868">
        <f>F12/F$10</f>
        <v>0.17176394572474693</v>
      </c>
      <c r="I12" s="464"/>
      <c r="J12" s="1232">
        <v>3360</v>
      </c>
      <c r="K12" s="215"/>
      <c r="L12" s="868">
        <f>J12/J$10</f>
        <v>0.20071684587813621</v>
      </c>
      <c r="M12" s="464"/>
      <c r="N12" s="1232">
        <v>2774</v>
      </c>
      <c r="O12" s="215"/>
      <c r="P12" s="868">
        <f>N12/N$10</f>
        <v>0.18056369198724206</v>
      </c>
      <c r="Q12" s="464"/>
      <c r="R12" s="1232">
        <v>2535</v>
      </c>
      <c r="S12" s="215"/>
      <c r="T12" s="870">
        <f>R12/R$10</f>
        <v>0.17748372190716236</v>
      </c>
      <c r="U12" s="464"/>
      <c r="V12" s="1232">
        <v>2470</v>
      </c>
      <c r="W12" s="215"/>
      <c r="X12" s="868">
        <f>V12/V$10</f>
        <v>0.18193871538008249</v>
      </c>
      <c r="Y12" s="464"/>
      <c r="Z12" s="1232">
        <v>2231</v>
      </c>
      <c r="AA12" s="215"/>
      <c r="AB12" s="868">
        <f>Z12/Z$10</f>
        <v>0.17878035098966263</v>
      </c>
      <c r="AC12" s="464"/>
      <c r="AD12" s="1232">
        <v>2170</v>
      </c>
      <c r="AE12" s="215"/>
      <c r="AF12" s="868">
        <f>AD12/AD$10</f>
        <v>0.18380484499407082</v>
      </c>
      <c r="AG12" s="464"/>
      <c r="AH12" s="1232">
        <v>1992</v>
      </c>
      <c r="AI12" s="215"/>
      <c r="AJ12" s="868">
        <f>AH12/AH$10</f>
        <v>0.1801899592944369</v>
      </c>
      <c r="AK12" s="464"/>
      <c r="AL12" s="1232">
        <v>1752</v>
      </c>
      <c r="AM12" s="215"/>
      <c r="AN12" s="868">
        <f>AL12/AL$10</f>
        <v>0.17344817344817345</v>
      </c>
      <c r="AO12" s="464"/>
      <c r="AP12" s="1232">
        <v>1585</v>
      </c>
      <c r="AQ12" s="215"/>
      <c r="AR12" s="868">
        <f>AP12/AP$10</f>
        <v>0.17779024116657319</v>
      </c>
      <c r="AS12" s="223"/>
    </row>
    <row r="13" spans="1:86" outlineLevel="1" x14ac:dyDescent="0.3">
      <c r="A13" s="214" t="s">
        <v>685</v>
      </c>
      <c r="B13" s="922">
        <f>B11+B12</f>
        <v>19337</v>
      </c>
      <c r="C13" s="215"/>
      <c r="D13" s="464">
        <f>B13/B$10</f>
        <v>0.94345238095238093</v>
      </c>
      <c r="E13" s="464"/>
      <c r="F13" s="922">
        <f>F11+F12</f>
        <v>17445</v>
      </c>
      <c r="G13" s="215"/>
      <c r="H13" s="464">
        <f>F13/F$10</f>
        <v>0.93931725177686842</v>
      </c>
      <c r="I13" s="464"/>
      <c r="J13" s="922">
        <f>J11+J12</f>
        <v>16060</v>
      </c>
      <c r="K13" s="215"/>
      <c r="L13" s="464">
        <f>J13/J$10</f>
        <v>0.95937873357228198</v>
      </c>
      <c r="M13" s="464"/>
      <c r="N13" s="922">
        <f>N11+N12</f>
        <v>14787</v>
      </c>
      <c r="O13" s="215"/>
      <c r="P13" s="464">
        <f>N13/N$10</f>
        <v>0.96250732278851792</v>
      </c>
      <c r="Q13" s="464"/>
      <c r="R13" s="922">
        <f>R11+R12</f>
        <v>13166</v>
      </c>
      <c r="S13" s="215"/>
      <c r="T13" s="347">
        <f>R13/R$10</f>
        <v>0.9217951410768046</v>
      </c>
      <c r="U13" s="464"/>
      <c r="V13" s="922">
        <f>V11+V12</f>
        <v>12927</v>
      </c>
      <c r="W13" s="215"/>
      <c r="X13" s="464">
        <f>V13/V$10</f>
        <v>0.95219505008839123</v>
      </c>
      <c r="Y13" s="464"/>
      <c r="Z13" s="922">
        <f>Z11+Z12</f>
        <v>11563</v>
      </c>
      <c r="AA13" s="215"/>
      <c r="AB13" s="464">
        <f>Z13/Z$10</f>
        <v>0.92659668242647653</v>
      </c>
      <c r="AC13" s="464"/>
      <c r="AD13" s="922">
        <f>AD11+AD12</f>
        <v>10693</v>
      </c>
      <c r="AE13" s="215"/>
      <c r="AF13" s="464">
        <f>AD13/AD$10</f>
        <v>0.90572590208368631</v>
      </c>
      <c r="AG13" s="464"/>
      <c r="AH13" s="922">
        <f>AH11+AH12</f>
        <v>9741</v>
      </c>
      <c r="AI13" s="215"/>
      <c r="AJ13" s="464">
        <f>AH13/AH$10</f>
        <v>0.8811397557666214</v>
      </c>
      <c r="AK13" s="464"/>
      <c r="AL13" s="922">
        <f>AL11+AL12</f>
        <v>8880</v>
      </c>
      <c r="AM13" s="215"/>
      <c r="AN13" s="464">
        <f>AL13/AL$10</f>
        <v>0.87912087912087911</v>
      </c>
      <c r="AO13" s="464"/>
      <c r="AP13" s="922">
        <f>AP11+AP12</f>
        <v>7945</v>
      </c>
      <c r="AQ13" s="215"/>
      <c r="AR13" s="464">
        <f>AP13/AP$10</f>
        <v>0.89119461581604043</v>
      </c>
      <c r="AS13" s="223"/>
    </row>
    <row r="14" spans="1:86" x14ac:dyDescent="0.3">
      <c r="A14" s="214" t="s">
        <v>686</v>
      </c>
      <c r="B14" s="1282">
        <f>B10-B13</f>
        <v>1159</v>
      </c>
      <c r="C14" s="215"/>
      <c r="D14" s="464">
        <f>B14/B10</f>
        <v>5.6547619047619048E-2</v>
      </c>
      <c r="E14" s="464"/>
      <c r="F14" s="1282">
        <f>F10-F13</f>
        <v>1127</v>
      </c>
      <c r="G14" s="215"/>
      <c r="H14" s="464">
        <f>F14/F10</f>
        <v>6.0682748223131598E-2</v>
      </c>
      <c r="I14" s="464"/>
      <c r="J14" s="1282">
        <f>J10-J13</f>
        <v>680</v>
      </c>
      <c r="K14" s="215"/>
      <c r="L14" s="464">
        <f>J14/J10</f>
        <v>4.0621266427718038E-2</v>
      </c>
      <c r="M14" s="464"/>
      <c r="N14" s="1282">
        <f>N10-N13</f>
        <v>576</v>
      </c>
      <c r="O14" s="215"/>
      <c r="P14" s="464">
        <f>N14/N10</f>
        <v>3.7492677211482132E-2</v>
      </c>
      <c r="Q14" s="464"/>
      <c r="R14" s="1282">
        <f>R10-R13</f>
        <v>1117</v>
      </c>
      <c r="S14" s="215"/>
      <c r="T14" s="347">
        <f>R14/R10</f>
        <v>7.8204858923195411E-2</v>
      </c>
      <c r="U14" s="464"/>
      <c r="V14" s="1282">
        <f>V10-V13</f>
        <v>649</v>
      </c>
      <c r="W14" s="215"/>
      <c r="X14" s="464">
        <f>V14/V10</f>
        <v>4.7804949911608718E-2</v>
      </c>
      <c r="Y14" s="464"/>
      <c r="Z14" s="1282">
        <f>Z10-Z13</f>
        <v>916</v>
      </c>
      <c r="AA14" s="215"/>
      <c r="AB14" s="464">
        <f>Z14/Z10</f>
        <v>7.3403317573523516E-2</v>
      </c>
      <c r="AC14" s="464"/>
      <c r="AD14" s="1282">
        <f>AD10-AD13</f>
        <v>1113</v>
      </c>
      <c r="AE14" s="215"/>
      <c r="AF14" s="464">
        <f>AD14/AD10</f>
        <v>9.4274097916313734E-2</v>
      </c>
      <c r="AG14" s="464"/>
      <c r="AH14" s="1282">
        <f>AH10-AH13</f>
        <v>1314</v>
      </c>
      <c r="AI14" s="215"/>
      <c r="AJ14" s="464">
        <f>AH14/AH10</f>
        <v>0.11886024423337856</v>
      </c>
      <c r="AK14" s="464"/>
      <c r="AL14" s="1282">
        <f>AL10-AL13</f>
        <v>1221</v>
      </c>
      <c r="AM14" s="215"/>
      <c r="AN14" s="464">
        <f>AL14/AL10</f>
        <v>0.12087912087912088</v>
      </c>
      <c r="AO14" s="464"/>
      <c r="AP14" s="1282">
        <f>AP10-AP13</f>
        <v>970</v>
      </c>
      <c r="AQ14" s="215"/>
      <c r="AR14" s="464">
        <f>AP14/AP10</f>
        <v>0.10880538418395962</v>
      </c>
      <c r="AS14" s="223"/>
    </row>
    <row r="15" spans="1:86" ht="4.5" customHeight="1" x14ac:dyDescent="0.3">
      <c r="A15" s="214"/>
      <c r="B15" s="875"/>
      <c r="C15" s="215"/>
      <c r="D15" s="464"/>
      <c r="E15" s="464"/>
      <c r="F15" s="875"/>
      <c r="G15" s="215"/>
      <c r="H15" s="464"/>
      <c r="I15" s="464"/>
      <c r="J15" s="875"/>
      <c r="K15" s="215"/>
      <c r="L15" s="464"/>
      <c r="M15" s="464"/>
      <c r="N15" s="875"/>
      <c r="O15" s="215"/>
      <c r="P15" s="464"/>
      <c r="Q15" s="464"/>
      <c r="R15" s="875"/>
      <c r="S15" s="215"/>
      <c r="T15" s="347"/>
      <c r="U15" s="464"/>
      <c r="V15" s="875"/>
      <c r="W15" s="215"/>
      <c r="X15" s="464"/>
      <c r="Y15" s="464"/>
      <c r="Z15" s="875"/>
      <c r="AA15" s="215"/>
      <c r="AB15" s="464"/>
      <c r="AC15" s="464"/>
      <c r="AD15" s="875"/>
      <c r="AE15" s="215"/>
      <c r="AF15" s="464"/>
      <c r="AG15" s="464"/>
      <c r="AH15" s="875"/>
      <c r="AI15" s="215"/>
      <c r="AJ15" s="464"/>
      <c r="AK15" s="464"/>
      <c r="AL15" s="875"/>
      <c r="AM15" s="215"/>
      <c r="AN15" s="464"/>
      <c r="AO15" s="464"/>
      <c r="AP15" s="875"/>
      <c r="AQ15" s="215"/>
      <c r="AR15" s="464"/>
      <c r="AS15" s="223"/>
    </row>
    <row r="16" spans="1:86" ht="4.5" customHeight="1" x14ac:dyDescent="0.3">
      <c r="A16" s="1155"/>
      <c r="B16" s="1278"/>
      <c r="C16" s="686"/>
      <c r="D16" s="728"/>
      <c r="E16" s="728"/>
      <c r="F16" s="1278"/>
      <c r="G16" s="686"/>
      <c r="H16" s="728"/>
      <c r="I16" s="728"/>
      <c r="J16" s="1278"/>
      <c r="K16" s="686"/>
      <c r="L16" s="728"/>
      <c r="M16" s="728"/>
      <c r="N16" s="1278"/>
      <c r="O16" s="686"/>
      <c r="P16" s="728"/>
      <c r="Q16" s="728"/>
      <c r="R16" s="1278"/>
      <c r="S16" s="686"/>
      <c r="T16" s="1518"/>
      <c r="U16" s="728"/>
      <c r="V16" s="1278"/>
      <c r="W16" s="686"/>
      <c r="X16" s="728"/>
      <c r="Y16" s="728"/>
      <c r="Z16" s="1278"/>
      <c r="AA16" s="686"/>
      <c r="AB16" s="728"/>
      <c r="AC16" s="728"/>
      <c r="AD16" s="1278"/>
      <c r="AE16" s="686"/>
      <c r="AF16" s="728"/>
      <c r="AG16" s="728"/>
      <c r="AH16" s="1278"/>
      <c r="AI16" s="686"/>
      <c r="AJ16" s="728"/>
      <c r="AK16" s="728"/>
      <c r="AL16" s="1278"/>
      <c r="AM16" s="686"/>
      <c r="AN16" s="728"/>
      <c r="AO16" s="728"/>
      <c r="AP16" s="1278"/>
      <c r="AQ16" s="686"/>
      <c r="AR16" s="728"/>
      <c r="AS16" s="1279"/>
    </row>
    <row r="17" spans="1:86" ht="4.5" customHeight="1" x14ac:dyDescent="0.3">
      <c r="A17" s="214"/>
      <c r="B17" s="875"/>
      <c r="C17" s="215"/>
      <c r="D17" s="464"/>
      <c r="E17" s="464"/>
      <c r="F17" s="875"/>
      <c r="G17" s="215"/>
      <c r="H17" s="464"/>
      <c r="I17" s="464"/>
      <c r="J17" s="875"/>
      <c r="K17" s="215"/>
      <c r="L17" s="464"/>
      <c r="M17" s="464"/>
      <c r="N17" s="875"/>
      <c r="O17" s="215"/>
      <c r="P17" s="464"/>
      <c r="Q17" s="464"/>
      <c r="R17" s="875"/>
      <c r="S17" s="215"/>
      <c r="T17" s="347"/>
      <c r="U17" s="464"/>
      <c r="V17" s="875"/>
      <c r="W17" s="215"/>
      <c r="X17" s="464"/>
      <c r="Y17" s="464"/>
      <c r="Z17" s="875"/>
      <c r="AA17" s="215"/>
      <c r="AB17" s="464"/>
      <c r="AC17" s="464"/>
      <c r="AD17" s="875"/>
      <c r="AE17" s="215"/>
      <c r="AF17" s="464"/>
      <c r="AG17" s="464"/>
      <c r="AH17" s="875"/>
      <c r="AI17" s="215"/>
      <c r="AJ17" s="464"/>
      <c r="AK17" s="464"/>
      <c r="AL17" s="875"/>
      <c r="AM17" s="215"/>
      <c r="AN17" s="464"/>
      <c r="AO17" s="464"/>
      <c r="AP17" s="875"/>
      <c r="AQ17" s="215"/>
      <c r="AR17" s="464"/>
      <c r="AS17" s="223"/>
    </row>
    <row r="18" spans="1:86" s="658" customFormat="1" x14ac:dyDescent="0.3">
      <c r="A18" s="213" t="s">
        <v>901</v>
      </c>
      <c r="B18" s="887"/>
      <c r="C18" s="886"/>
      <c r="D18" s="887"/>
      <c r="E18" s="887"/>
      <c r="F18" s="887"/>
      <c r="G18" s="886"/>
      <c r="H18" s="887"/>
      <c r="I18" s="887"/>
      <c r="J18" s="887"/>
      <c r="K18" s="886"/>
      <c r="L18" s="887"/>
      <c r="M18" s="887"/>
      <c r="N18" s="887"/>
      <c r="O18" s="886"/>
      <c r="P18" s="887"/>
      <c r="Q18" s="887"/>
      <c r="R18" s="887"/>
      <c r="S18" s="886"/>
      <c r="T18" s="1267"/>
      <c r="U18" s="887"/>
      <c r="V18" s="887"/>
      <c r="W18" s="886"/>
      <c r="X18" s="887"/>
      <c r="Y18" s="887"/>
      <c r="Z18" s="887" t="s">
        <v>176</v>
      </c>
      <c r="AA18" s="886"/>
      <c r="AB18" s="887"/>
      <c r="AC18" s="887"/>
      <c r="AD18" s="887"/>
      <c r="AE18" s="886"/>
      <c r="AF18" s="887"/>
      <c r="AG18" s="887"/>
      <c r="AH18" s="887"/>
      <c r="AI18" s="886"/>
      <c r="AJ18" s="887"/>
      <c r="AK18" s="887"/>
      <c r="AL18" s="887"/>
      <c r="AM18" s="886"/>
      <c r="AN18" s="887"/>
      <c r="AO18" s="887"/>
      <c r="AP18" s="887"/>
      <c r="AQ18" s="886"/>
      <c r="AR18" s="887"/>
      <c r="AS18" s="223"/>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row>
    <row r="19" spans="1:86" s="658" customFormat="1" x14ac:dyDescent="0.3">
      <c r="A19" s="214" t="s">
        <v>907</v>
      </c>
      <c r="B19" s="220"/>
      <c r="C19" s="220"/>
      <c r="D19" s="220"/>
      <c r="E19" s="220"/>
      <c r="F19" s="220"/>
      <c r="G19" s="220"/>
      <c r="H19" s="220"/>
      <c r="I19" s="220"/>
      <c r="J19" s="220"/>
      <c r="K19" s="220"/>
      <c r="L19" s="220"/>
      <c r="M19" s="220"/>
      <c r="N19" s="220"/>
      <c r="O19" s="220"/>
      <c r="P19" s="220"/>
      <c r="Q19" s="220"/>
      <c r="R19" s="220"/>
      <c r="S19" s="220"/>
      <c r="T19" s="223"/>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3"/>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row>
    <row r="20" spans="1:86" s="658" customFormat="1" x14ac:dyDescent="0.3">
      <c r="A20" s="214" t="s">
        <v>902</v>
      </c>
      <c r="B20" s="1701"/>
      <c r="C20" s="220"/>
      <c r="D20" s="220"/>
      <c r="E20" s="220"/>
      <c r="F20" s="1701"/>
      <c r="G20" s="220"/>
      <c r="H20" s="220"/>
      <c r="I20" s="220"/>
      <c r="J20" s="1701"/>
      <c r="K20" s="220"/>
      <c r="L20" s="220"/>
      <c r="M20" s="220"/>
      <c r="N20" s="1701"/>
      <c r="O20" s="220"/>
      <c r="P20" s="220"/>
      <c r="Q20" s="220"/>
      <c r="R20" s="1701"/>
      <c r="S20" s="220"/>
      <c r="T20" s="223"/>
      <c r="U20" s="220"/>
      <c r="V20" s="1701"/>
      <c r="W20" s="220"/>
      <c r="X20" s="220"/>
      <c r="Y20" s="220"/>
      <c r="Z20" s="1701"/>
      <c r="AA20" s="220"/>
      <c r="AB20" s="220"/>
      <c r="AC20" s="220"/>
      <c r="AD20" s="1701"/>
      <c r="AE20" s="220"/>
      <c r="AF20" s="220"/>
      <c r="AG20" s="220"/>
      <c r="AH20" s="1297">
        <v>1731</v>
      </c>
      <c r="AI20" s="220"/>
      <c r="AJ20" s="220"/>
      <c r="AK20" s="220"/>
      <c r="AL20" s="1297">
        <v>1988</v>
      </c>
      <c r="AM20" s="220"/>
      <c r="AN20" s="220"/>
      <c r="AO20" s="220"/>
      <c r="AP20" s="1297">
        <v>2747</v>
      </c>
      <c r="AQ20" s="220"/>
      <c r="AR20" s="220"/>
      <c r="AS20" s="223"/>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row>
    <row r="21" spans="1:86" s="658" customFormat="1" x14ac:dyDescent="0.3">
      <c r="A21" s="214" t="s">
        <v>903</v>
      </c>
      <c r="B21" s="686"/>
      <c r="C21" s="220"/>
      <c r="D21" s="220"/>
      <c r="E21" s="220"/>
      <c r="F21" s="686"/>
      <c r="G21" s="220"/>
      <c r="H21" s="220"/>
      <c r="I21" s="220"/>
      <c r="J21" s="686"/>
      <c r="K21" s="220"/>
      <c r="L21" s="220"/>
      <c r="M21" s="220"/>
      <c r="N21" s="686"/>
      <c r="O21" s="220"/>
      <c r="P21" s="220"/>
      <c r="Q21" s="220"/>
      <c r="R21" s="686"/>
      <c r="S21" s="220"/>
      <c r="T21" s="223"/>
      <c r="U21" s="220"/>
      <c r="V21" s="1701"/>
      <c r="W21" s="220"/>
      <c r="X21" s="220"/>
      <c r="Y21" s="220"/>
      <c r="Z21" s="1701"/>
      <c r="AA21" s="220"/>
      <c r="AB21" s="220"/>
      <c r="AC21" s="220"/>
      <c r="AD21" s="1701"/>
      <c r="AE21" s="220"/>
      <c r="AF21" s="220"/>
      <c r="AG21" s="220"/>
      <c r="AH21" s="922">
        <v>1850</v>
      </c>
      <c r="AI21" s="220"/>
      <c r="AJ21" s="220"/>
      <c r="AK21" s="220"/>
      <c r="AL21" s="922">
        <v>1864</v>
      </c>
      <c r="AM21" s="220"/>
      <c r="AN21" s="220"/>
      <c r="AO21" s="220"/>
      <c r="AP21" s="922">
        <v>2091</v>
      </c>
      <c r="AQ21" s="220"/>
      <c r="AR21" s="220"/>
      <c r="AS21" s="223"/>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211"/>
      <c r="CH21" s="211"/>
    </row>
    <row r="22" spans="1:86" s="658" customFormat="1" x14ac:dyDescent="0.3">
      <c r="A22" s="214" t="s">
        <v>1081</v>
      </c>
      <c r="B22" s="922">
        <v>3257</v>
      </c>
      <c r="C22" s="220"/>
      <c r="D22" s="220"/>
      <c r="E22" s="220"/>
      <c r="F22" s="922">
        <v>2972</v>
      </c>
      <c r="G22" s="220"/>
      <c r="H22" s="220"/>
      <c r="I22" s="220"/>
      <c r="J22" s="922">
        <v>2982</v>
      </c>
      <c r="K22" s="220"/>
      <c r="L22" s="220"/>
      <c r="M22" s="220"/>
      <c r="N22" s="922">
        <v>2910</v>
      </c>
      <c r="O22" s="220"/>
      <c r="P22" s="220"/>
      <c r="Q22" s="220"/>
      <c r="R22" s="922">
        <v>2923</v>
      </c>
      <c r="S22" s="220"/>
      <c r="T22" s="223"/>
      <c r="U22" s="220"/>
      <c r="V22" s="922">
        <v>3091</v>
      </c>
      <c r="W22" s="220"/>
      <c r="X22" s="220"/>
      <c r="Y22" s="220"/>
      <c r="Z22" s="922">
        <v>3383</v>
      </c>
      <c r="AA22" s="220"/>
      <c r="AB22" s="220"/>
      <c r="AC22" s="220"/>
      <c r="AD22" s="922">
        <v>3478</v>
      </c>
      <c r="AE22" s="220"/>
      <c r="AF22" s="220"/>
      <c r="AG22" s="220"/>
      <c r="AH22" s="1701"/>
      <c r="AI22" s="220"/>
      <c r="AJ22" s="220"/>
      <c r="AK22" s="220"/>
      <c r="AL22" s="1701"/>
      <c r="AM22" s="220"/>
      <c r="AN22" s="220"/>
      <c r="AO22" s="220"/>
      <c r="AP22" s="1701"/>
      <c r="AQ22" s="220"/>
      <c r="AR22" s="220"/>
      <c r="AS22" s="223"/>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row>
    <row r="23" spans="1:86" s="658" customFormat="1" x14ac:dyDescent="0.3">
      <c r="A23" s="214" t="s">
        <v>904</v>
      </c>
      <c r="B23" s="922">
        <v>3161</v>
      </c>
      <c r="C23" s="220"/>
      <c r="D23" s="220"/>
      <c r="E23" s="220"/>
      <c r="F23" s="922">
        <v>2991</v>
      </c>
      <c r="G23" s="220"/>
      <c r="H23" s="220"/>
      <c r="I23" s="220"/>
      <c r="J23" s="922">
        <v>3002</v>
      </c>
      <c r="K23" s="220"/>
      <c r="L23" s="220"/>
      <c r="M23" s="220"/>
      <c r="N23" s="922">
        <v>2909</v>
      </c>
      <c r="O23" s="220"/>
      <c r="P23" s="220"/>
      <c r="Q23" s="220"/>
      <c r="R23" s="922">
        <v>2709</v>
      </c>
      <c r="S23" s="220"/>
      <c r="T23" s="223"/>
      <c r="U23" s="220"/>
      <c r="V23" s="922">
        <v>2630</v>
      </c>
      <c r="W23" s="220"/>
      <c r="X23" s="220"/>
      <c r="Y23" s="220"/>
      <c r="Z23" s="922">
        <v>2588</v>
      </c>
      <c r="AA23" s="220"/>
      <c r="AB23" s="220"/>
      <c r="AC23" s="220"/>
      <c r="AD23" s="922">
        <v>2479</v>
      </c>
      <c r="AE23" s="220"/>
      <c r="AF23" s="220"/>
      <c r="AG23" s="220"/>
      <c r="AH23" s="922">
        <v>2368</v>
      </c>
      <c r="AI23" s="220"/>
      <c r="AJ23" s="220"/>
      <c r="AK23" s="220"/>
      <c r="AL23" s="922">
        <v>2303</v>
      </c>
      <c r="AM23" s="220"/>
      <c r="AN23" s="220"/>
      <c r="AO23" s="220"/>
      <c r="AP23" s="922">
        <v>2022</v>
      </c>
      <c r="AQ23" s="220"/>
      <c r="AR23" s="220"/>
      <c r="AS23" s="223"/>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row>
    <row r="24" spans="1:86" s="658" customFormat="1" x14ac:dyDescent="0.3">
      <c r="A24" s="214" t="s">
        <v>906</v>
      </c>
      <c r="B24" s="1282">
        <f>SUM(B20:B23)</f>
        <v>6418</v>
      </c>
      <c r="C24" s="220"/>
      <c r="D24" s="220"/>
      <c r="E24" s="220"/>
      <c r="F24" s="1282">
        <f>SUM(F20:F23)</f>
        <v>5963</v>
      </c>
      <c r="G24" s="220"/>
      <c r="H24" s="220"/>
      <c r="I24" s="220"/>
      <c r="J24" s="1282">
        <f>SUM(J20:J23)</f>
        <v>5984</v>
      </c>
      <c r="K24" s="220"/>
      <c r="L24" s="220"/>
      <c r="M24" s="220"/>
      <c r="N24" s="1282">
        <f>SUM(N20:N23)</f>
        <v>5819</v>
      </c>
      <c r="O24" s="220"/>
      <c r="P24" s="220"/>
      <c r="Q24" s="220"/>
      <c r="R24" s="1282">
        <f>SUM(R20:R23)</f>
        <v>5632</v>
      </c>
      <c r="S24" s="220"/>
      <c r="T24" s="223"/>
      <c r="U24" s="220"/>
      <c r="V24" s="1282">
        <f>SUM(V20:V23)</f>
        <v>5721</v>
      </c>
      <c r="W24" s="220"/>
      <c r="X24" s="220"/>
      <c r="Y24" s="220"/>
      <c r="Z24" s="1282">
        <f>SUM(Z20:Z23)</f>
        <v>5971</v>
      </c>
      <c r="AA24" s="220"/>
      <c r="AB24" s="220"/>
      <c r="AC24" s="220"/>
      <c r="AD24" s="1282">
        <f>SUM(AD20:AD23)</f>
        <v>5957</v>
      </c>
      <c r="AE24" s="220"/>
      <c r="AF24" s="220"/>
      <c r="AG24" s="220"/>
      <c r="AH24" s="1282">
        <f>SUM(AH20:AH23)</f>
        <v>5949</v>
      </c>
      <c r="AI24" s="220"/>
      <c r="AJ24" s="220"/>
      <c r="AK24" s="220"/>
      <c r="AL24" s="1282">
        <f>SUM(AL20:AL23)</f>
        <v>6155</v>
      </c>
      <c r="AM24" s="220"/>
      <c r="AN24" s="220"/>
      <c r="AO24" s="220"/>
      <c r="AP24" s="1282">
        <f>SUM(AP20:AP23)</f>
        <v>6860</v>
      </c>
      <c r="AQ24" s="220"/>
      <c r="AR24" s="220"/>
      <c r="AS24" s="223"/>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row>
    <row r="25" spans="1:86" s="658" customFormat="1" ht="9" customHeight="1" x14ac:dyDescent="0.3">
      <c r="A25" s="1272"/>
      <c r="B25" s="220"/>
      <c r="C25" s="220"/>
      <c r="D25" s="220"/>
      <c r="E25" s="220"/>
      <c r="F25" s="220"/>
      <c r="G25" s="220"/>
      <c r="H25" s="220"/>
      <c r="I25" s="220"/>
      <c r="J25" s="220"/>
      <c r="K25" s="220"/>
      <c r="L25" s="220"/>
      <c r="M25" s="220"/>
      <c r="N25" s="220"/>
      <c r="O25" s="220"/>
      <c r="P25" s="220"/>
      <c r="Q25" s="220"/>
      <c r="R25" s="220"/>
      <c r="S25" s="220"/>
      <c r="T25" s="223"/>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3"/>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211"/>
      <c r="CH25" s="211"/>
    </row>
    <row r="26" spans="1:86" s="658" customFormat="1" x14ac:dyDescent="0.3">
      <c r="A26" s="214" t="s">
        <v>452</v>
      </c>
      <c r="B26" s="220"/>
      <c r="C26" s="220"/>
      <c r="D26" s="220"/>
      <c r="E26" s="220"/>
      <c r="F26" s="220"/>
      <c r="G26" s="220"/>
      <c r="H26" s="220"/>
      <c r="I26" s="220"/>
      <c r="J26" s="220"/>
      <c r="K26" s="220"/>
      <c r="L26" s="220"/>
      <c r="M26" s="220"/>
      <c r="N26" s="220"/>
      <c r="O26" s="220"/>
      <c r="P26" s="220"/>
      <c r="Q26" s="220"/>
      <c r="R26" s="220"/>
      <c r="S26" s="220"/>
      <c r="T26" s="223"/>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3"/>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row>
    <row r="27" spans="1:86" s="658" customFormat="1" x14ac:dyDescent="0.3">
      <c r="A27" s="214" t="s">
        <v>902</v>
      </c>
      <c r="B27" s="1701"/>
      <c r="C27" s="220"/>
      <c r="D27" s="220"/>
      <c r="E27" s="220"/>
      <c r="F27" s="1701"/>
      <c r="G27" s="220"/>
      <c r="H27" s="220"/>
      <c r="I27" s="220"/>
      <c r="J27" s="1701"/>
      <c r="K27" s="220"/>
      <c r="L27" s="220"/>
      <c r="M27" s="220"/>
      <c r="N27" s="1701"/>
      <c r="O27" s="220"/>
      <c r="P27" s="220"/>
      <c r="Q27" s="220"/>
      <c r="R27" s="1701"/>
      <c r="S27" s="220"/>
      <c r="T27" s="223"/>
      <c r="U27" s="220"/>
      <c r="V27" s="1701"/>
      <c r="W27" s="220"/>
      <c r="X27" s="220"/>
      <c r="Y27" s="220"/>
      <c r="Z27" s="1701"/>
      <c r="AA27" s="220"/>
      <c r="AB27" s="220"/>
      <c r="AC27" s="220"/>
      <c r="AD27" s="1701"/>
      <c r="AE27" s="220"/>
      <c r="AF27" s="220"/>
      <c r="AG27" s="220"/>
      <c r="AH27" s="1297">
        <v>1799</v>
      </c>
      <c r="AI27" s="220"/>
      <c r="AJ27" s="220"/>
      <c r="AK27" s="220"/>
      <c r="AL27" s="1297">
        <v>2201</v>
      </c>
      <c r="AM27" s="220"/>
      <c r="AN27" s="220"/>
      <c r="AO27" s="220"/>
      <c r="AP27" s="1297">
        <v>3012</v>
      </c>
      <c r="AQ27" s="220"/>
      <c r="AR27" s="220"/>
      <c r="AS27" s="223"/>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row>
    <row r="28" spans="1:86" s="658" customFormat="1" x14ac:dyDescent="0.3">
      <c r="A28" s="214" t="s">
        <v>903</v>
      </c>
      <c r="B28" s="1701"/>
      <c r="C28" s="220"/>
      <c r="D28" s="220"/>
      <c r="E28" s="220"/>
      <c r="F28" s="1701"/>
      <c r="G28" s="220"/>
      <c r="H28" s="220"/>
      <c r="I28" s="220"/>
      <c r="J28" s="1701"/>
      <c r="K28" s="220"/>
      <c r="L28" s="220"/>
      <c r="M28" s="220"/>
      <c r="N28" s="1701"/>
      <c r="O28" s="220"/>
      <c r="P28" s="220"/>
      <c r="Q28" s="220"/>
      <c r="R28" s="1701"/>
      <c r="S28" s="220"/>
      <c r="T28" s="223"/>
      <c r="U28" s="220"/>
      <c r="V28" s="1701"/>
      <c r="W28" s="220"/>
      <c r="X28" s="220"/>
      <c r="Y28" s="220"/>
      <c r="Z28" s="1701"/>
      <c r="AA28" s="220"/>
      <c r="AB28" s="220"/>
      <c r="AC28" s="220"/>
      <c r="AD28" s="1701"/>
      <c r="AE28" s="220"/>
      <c r="AF28" s="220"/>
      <c r="AG28" s="220"/>
      <c r="AH28" s="922">
        <v>1912</v>
      </c>
      <c r="AI28" s="220"/>
      <c r="AJ28" s="220"/>
      <c r="AK28" s="220"/>
      <c r="AL28" s="922">
        <v>1939</v>
      </c>
      <c r="AM28" s="220"/>
      <c r="AN28" s="220"/>
      <c r="AO28" s="220"/>
      <c r="AP28" s="922">
        <v>2218</v>
      </c>
      <c r="AQ28" s="220"/>
      <c r="AR28" s="220"/>
      <c r="AS28" s="223"/>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c r="BW28" s="211"/>
      <c r="BX28" s="211"/>
      <c r="BY28" s="211"/>
      <c r="BZ28" s="211"/>
      <c r="CA28" s="211"/>
      <c r="CB28" s="211"/>
      <c r="CC28" s="211"/>
      <c r="CD28" s="211"/>
      <c r="CE28" s="211"/>
      <c r="CF28" s="211"/>
      <c r="CG28" s="211"/>
      <c r="CH28" s="211"/>
    </row>
    <row r="29" spans="1:86" s="658" customFormat="1" x14ac:dyDescent="0.3">
      <c r="A29" s="214" t="s">
        <v>1081</v>
      </c>
      <c r="B29" s="922">
        <v>3103</v>
      </c>
      <c r="C29" s="220"/>
      <c r="D29" s="220"/>
      <c r="E29" s="220"/>
      <c r="F29" s="922">
        <v>3007</v>
      </c>
      <c r="G29" s="220"/>
      <c r="H29" s="220"/>
      <c r="I29" s="220"/>
      <c r="J29" s="922">
        <v>2904</v>
      </c>
      <c r="K29" s="220"/>
      <c r="L29" s="220"/>
      <c r="M29" s="220"/>
      <c r="N29" s="922">
        <v>2941</v>
      </c>
      <c r="O29" s="220"/>
      <c r="P29" s="220"/>
      <c r="Q29" s="220"/>
      <c r="R29" s="922">
        <v>2979</v>
      </c>
      <c r="S29" s="220"/>
      <c r="T29" s="223"/>
      <c r="U29" s="220"/>
      <c r="V29" s="922">
        <v>3203</v>
      </c>
      <c r="W29" s="220"/>
      <c r="X29" s="220"/>
      <c r="Y29" s="220"/>
      <c r="Z29" s="922">
        <v>3434</v>
      </c>
      <c r="AA29" s="220"/>
      <c r="AB29" s="220"/>
      <c r="AC29" s="220"/>
      <c r="AD29" s="922">
        <v>3614</v>
      </c>
      <c r="AE29" s="220"/>
      <c r="AF29" s="220"/>
      <c r="AG29" s="220"/>
      <c r="AH29" s="1701"/>
      <c r="AI29" s="220"/>
      <c r="AJ29" s="220"/>
      <c r="AK29" s="220"/>
      <c r="AL29" s="1701"/>
      <c r="AM29" s="220"/>
      <c r="AN29" s="220"/>
      <c r="AO29" s="220"/>
      <c r="AP29" s="1701"/>
      <c r="AQ29" s="220"/>
      <c r="AR29" s="220"/>
      <c r="AS29" s="223"/>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c r="BW29" s="211"/>
      <c r="BX29" s="211"/>
      <c r="BY29" s="211"/>
      <c r="BZ29" s="211"/>
      <c r="CA29" s="211"/>
      <c r="CB29" s="211"/>
      <c r="CC29" s="211"/>
      <c r="CD29" s="211"/>
      <c r="CE29" s="211"/>
      <c r="CF29" s="211"/>
      <c r="CG29" s="211"/>
      <c r="CH29" s="211"/>
    </row>
    <row r="30" spans="1:86" s="658" customFormat="1" x14ac:dyDescent="0.3">
      <c r="A30" s="214" t="s">
        <v>904</v>
      </c>
      <c r="B30" s="922">
        <v>3161</v>
      </c>
      <c r="C30" s="220"/>
      <c r="D30" s="220"/>
      <c r="E30" s="220"/>
      <c r="F30" s="922">
        <v>2977</v>
      </c>
      <c r="G30" s="220"/>
      <c r="H30" s="220"/>
      <c r="I30" s="220"/>
      <c r="J30" s="922">
        <v>2966</v>
      </c>
      <c r="K30" s="220"/>
      <c r="L30" s="220"/>
      <c r="M30" s="220"/>
      <c r="N30" s="922">
        <v>2875</v>
      </c>
      <c r="O30" s="220"/>
      <c r="P30" s="220"/>
      <c r="Q30" s="220"/>
      <c r="R30" s="922">
        <v>2714</v>
      </c>
      <c r="S30" s="220"/>
      <c r="T30" s="223"/>
      <c r="U30" s="220"/>
      <c r="V30" s="922">
        <v>2626</v>
      </c>
      <c r="W30" s="220"/>
      <c r="X30" s="220"/>
      <c r="Y30" s="220"/>
      <c r="Z30" s="922">
        <v>2580</v>
      </c>
      <c r="AA30" s="220"/>
      <c r="AB30" s="220"/>
      <c r="AC30" s="220"/>
      <c r="AD30" s="922">
        <v>2462</v>
      </c>
      <c r="AE30" s="220"/>
      <c r="AF30" s="220"/>
      <c r="AG30" s="220"/>
      <c r="AH30" s="922">
        <v>2364</v>
      </c>
      <c r="AI30" s="220"/>
      <c r="AJ30" s="220"/>
      <c r="AK30" s="220"/>
      <c r="AL30" s="922">
        <v>2295</v>
      </c>
      <c r="AM30" s="220"/>
      <c r="AN30" s="220"/>
      <c r="AO30" s="220"/>
      <c r="AP30" s="922">
        <v>2015</v>
      </c>
      <c r="AQ30" s="220"/>
      <c r="AR30" s="220"/>
      <c r="AS30" s="223"/>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c r="BW30" s="211"/>
      <c r="BX30" s="211"/>
      <c r="BY30" s="211"/>
      <c r="BZ30" s="211"/>
      <c r="CA30" s="211"/>
      <c r="CB30" s="211"/>
      <c r="CC30" s="211"/>
      <c r="CD30" s="211"/>
      <c r="CE30" s="211"/>
      <c r="CF30" s="211"/>
      <c r="CG30" s="211"/>
      <c r="CH30" s="211"/>
    </row>
    <row r="31" spans="1:86" s="658" customFormat="1" x14ac:dyDescent="0.3">
      <c r="A31" s="214" t="s">
        <v>905</v>
      </c>
      <c r="B31" s="1282">
        <f>SUM(B27:B30)</f>
        <v>6264</v>
      </c>
      <c r="C31" s="220"/>
      <c r="D31" s="220"/>
      <c r="E31" s="220"/>
      <c r="F31" s="1282">
        <f>SUM(F27:F30)</f>
        <v>5984</v>
      </c>
      <c r="G31" s="220"/>
      <c r="H31" s="220"/>
      <c r="I31" s="220"/>
      <c r="J31" s="1282">
        <f>SUM(J27:J30)</f>
        <v>5870</v>
      </c>
      <c r="K31" s="220"/>
      <c r="L31" s="220"/>
      <c r="M31" s="220"/>
      <c r="N31" s="1282">
        <f>SUM(N27:N30)</f>
        <v>5816</v>
      </c>
      <c r="O31" s="220"/>
      <c r="P31" s="220"/>
      <c r="Q31" s="220"/>
      <c r="R31" s="1282">
        <f>SUM(R27:R30)</f>
        <v>5693</v>
      </c>
      <c r="S31" s="220"/>
      <c r="T31" s="223"/>
      <c r="U31" s="220"/>
      <c r="V31" s="1282">
        <f>SUM(V27:V30)</f>
        <v>5829</v>
      </c>
      <c r="W31" s="220"/>
      <c r="X31" s="220"/>
      <c r="Y31" s="220"/>
      <c r="Z31" s="1282">
        <f>SUM(Z27:Z30)</f>
        <v>6014</v>
      </c>
      <c r="AA31" s="220"/>
      <c r="AB31" s="220"/>
      <c r="AC31" s="220"/>
      <c r="AD31" s="1282">
        <f>SUM(AD27:AD30)</f>
        <v>6076</v>
      </c>
      <c r="AE31" s="220"/>
      <c r="AF31" s="220"/>
      <c r="AG31" s="220"/>
      <c r="AH31" s="1282">
        <f>SUM(AH27:AH30)</f>
        <v>6075</v>
      </c>
      <c r="AI31" s="220"/>
      <c r="AJ31" s="220"/>
      <c r="AK31" s="220"/>
      <c r="AL31" s="1282">
        <f>SUM(AL27:AL30)</f>
        <v>6435</v>
      </c>
      <c r="AM31" s="220"/>
      <c r="AN31" s="220"/>
      <c r="AO31" s="220"/>
      <c r="AP31" s="1282">
        <f>SUM(AP27:AP30)</f>
        <v>7245</v>
      </c>
      <c r="AQ31" s="220"/>
      <c r="AR31" s="220"/>
      <c r="AS31" s="223"/>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1"/>
      <c r="CE31" s="211"/>
      <c r="CF31" s="211"/>
      <c r="CG31" s="211"/>
      <c r="CH31" s="211"/>
    </row>
    <row r="32" spans="1:86" s="658" customFormat="1" ht="9" customHeight="1" x14ac:dyDescent="0.3">
      <c r="A32" s="214"/>
      <c r="B32" s="220"/>
      <c r="C32" s="220"/>
      <c r="D32" s="220"/>
      <c r="E32" s="220"/>
      <c r="F32" s="220"/>
      <c r="G32" s="220"/>
      <c r="H32" s="220"/>
      <c r="I32" s="220"/>
      <c r="J32" s="220"/>
      <c r="K32" s="220"/>
      <c r="L32" s="220"/>
      <c r="M32" s="220"/>
      <c r="N32" s="220"/>
      <c r="O32" s="220"/>
      <c r="P32" s="220"/>
      <c r="Q32" s="220"/>
      <c r="R32" s="220"/>
      <c r="S32" s="220"/>
      <c r="T32" s="223"/>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3"/>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row>
    <row r="33" spans="1:86" s="658" customFormat="1" x14ac:dyDescent="0.3">
      <c r="A33" s="214" t="s">
        <v>1868</v>
      </c>
      <c r="B33" s="220"/>
      <c r="C33" s="220"/>
      <c r="D33" s="220"/>
      <c r="E33" s="220"/>
      <c r="F33" s="220"/>
      <c r="G33" s="220"/>
      <c r="H33" s="220"/>
      <c r="I33" s="220"/>
      <c r="J33" s="220"/>
      <c r="K33" s="220"/>
      <c r="L33" s="220"/>
      <c r="M33" s="220"/>
      <c r="N33" s="220"/>
      <c r="O33" s="220"/>
      <c r="P33" s="220"/>
      <c r="Q33" s="220"/>
      <c r="R33" s="220"/>
      <c r="S33" s="220"/>
      <c r="T33" s="223"/>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3"/>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c r="CA33" s="211"/>
      <c r="CB33" s="211"/>
      <c r="CC33" s="211"/>
      <c r="CD33" s="211"/>
      <c r="CE33" s="211"/>
      <c r="CF33" s="211"/>
      <c r="CG33" s="211"/>
      <c r="CH33" s="211"/>
    </row>
    <row r="34" spans="1:86" s="658" customFormat="1" x14ac:dyDescent="0.3">
      <c r="A34" s="214" t="s">
        <v>902</v>
      </c>
      <c r="B34" s="1701"/>
      <c r="C34" s="1701"/>
      <c r="D34" s="1701"/>
      <c r="E34" s="220"/>
      <c r="F34" s="1701"/>
      <c r="G34" s="1701"/>
      <c r="H34" s="1701"/>
      <c r="I34" s="220"/>
      <c r="J34" s="1701"/>
      <c r="K34" s="1701"/>
      <c r="L34" s="1701"/>
      <c r="M34" s="220"/>
      <c r="N34" s="1701"/>
      <c r="O34" s="1701"/>
      <c r="P34" s="1701"/>
      <c r="Q34" s="220"/>
      <c r="R34" s="1701"/>
      <c r="S34" s="1701"/>
      <c r="T34" s="1702"/>
      <c r="U34" s="220"/>
      <c r="V34" s="1701"/>
      <c r="W34" s="1701"/>
      <c r="X34" s="1701"/>
      <c r="Y34" s="220"/>
      <c r="Z34" s="1701"/>
      <c r="AA34" s="1701"/>
      <c r="AB34" s="1701"/>
      <c r="AC34" s="220"/>
      <c r="AD34" s="1701"/>
      <c r="AE34" s="1701"/>
      <c r="AF34" s="1701"/>
      <c r="AG34" s="220"/>
      <c r="AH34" s="1297">
        <v>127</v>
      </c>
      <c r="AI34" s="220"/>
      <c r="AJ34" s="464">
        <f>(AH27-AH34)/AH27</f>
        <v>0.92940522512506951</v>
      </c>
      <c r="AK34" s="220"/>
      <c r="AL34" s="1297">
        <v>-307</v>
      </c>
      <c r="AM34" s="220"/>
      <c r="AN34" s="464">
        <f>(AL27-AL34)/AL27</f>
        <v>1.1394820536119945</v>
      </c>
      <c r="AO34" s="220"/>
      <c r="AP34" s="1297">
        <v>11</v>
      </c>
      <c r="AQ34" s="220"/>
      <c r="AR34" s="464">
        <f>(AP27-AP34)/AP27</f>
        <v>0.99634794156706508</v>
      </c>
      <c r="AS34" s="223"/>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c r="CA34" s="211"/>
      <c r="CB34" s="211"/>
      <c r="CC34" s="211"/>
      <c r="CD34" s="211"/>
      <c r="CE34" s="211"/>
      <c r="CF34" s="211"/>
      <c r="CG34" s="211"/>
      <c r="CH34" s="211"/>
    </row>
    <row r="35" spans="1:86" s="658" customFormat="1" x14ac:dyDescent="0.3">
      <c r="A35" s="214" t="s">
        <v>903</v>
      </c>
      <c r="B35" s="1701"/>
      <c r="C35" s="1701"/>
      <c r="D35" s="1701"/>
      <c r="E35" s="220"/>
      <c r="F35" s="1701"/>
      <c r="G35" s="1701"/>
      <c r="H35" s="1701"/>
      <c r="I35" s="220"/>
      <c r="J35" s="1701"/>
      <c r="K35" s="1701"/>
      <c r="L35" s="1701"/>
      <c r="M35" s="220"/>
      <c r="N35" s="1701"/>
      <c r="O35" s="1701"/>
      <c r="P35" s="1701"/>
      <c r="Q35" s="220"/>
      <c r="R35" s="1701"/>
      <c r="S35" s="1701"/>
      <c r="T35" s="1702"/>
      <c r="U35" s="220"/>
      <c r="V35" s="1701"/>
      <c r="W35" s="1701"/>
      <c r="X35" s="1701"/>
      <c r="Y35" s="220"/>
      <c r="Z35" s="1701"/>
      <c r="AA35" s="1701"/>
      <c r="AB35" s="1701"/>
      <c r="AC35" s="220"/>
      <c r="AD35" s="1701"/>
      <c r="AE35" s="1701"/>
      <c r="AF35" s="1701"/>
      <c r="AG35" s="220"/>
      <c r="AH35" s="922">
        <v>246</v>
      </c>
      <c r="AI35" s="220"/>
      <c r="AJ35" s="464">
        <f>(AH28-AH35)/AH28</f>
        <v>0.87133891213389125</v>
      </c>
      <c r="AK35" s="220"/>
      <c r="AL35" s="922">
        <v>-138</v>
      </c>
      <c r="AM35" s="220"/>
      <c r="AN35" s="464">
        <f>(AL28-AL35)/AL28</f>
        <v>1.071170706549768</v>
      </c>
      <c r="AO35" s="220"/>
      <c r="AP35" s="922">
        <v>-93</v>
      </c>
      <c r="AQ35" s="220"/>
      <c r="AR35" s="464">
        <f>(AP28-AP35)/AP28</f>
        <v>1.0419296663660955</v>
      </c>
      <c r="AS35" s="223"/>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c r="CA35" s="211"/>
      <c r="CB35" s="211"/>
      <c r="CC35" s="211"/>
      <c r="CD35" s="211"/>
      <c r="CE35" s="211"/>
      <c r="CF35" s="211"/>
      <c r="CG35" s="211"/>
      <c r="CH35" s="211"/>
    </row>
    <row r="36" spans="1:86" s="658" customFormat="1" x14ac:dyDescent="0.3">
      <c r="A36" s="214" t="s">
        <v>1081</v>
      </c>
      <c r="B36" s="215">
        <v>170</v>
      </c>
      <c r="C36" s="220"/>
      <c r="D36" s="464">
        <f>(B29-B36)/B29</f>
        <v>0.94521430873348378</v>
      </c>
      <c r="E36" s="220"/>
      <c r="F36" s="215">
        <v>148</v>
      </c>
      <c r="G36" s="220"/>
      <c r="H36" s="464">
        <f>(F29-F36)/F29</f>
        <v>0.95078150981044229</v>
      </c>
      <c r="I36" s="220"/>
      <c r="J36" s="215">
        <v>399</v>
      </c>
      <c r="K36" s="220"/>
      <c r="L36" s="464">
        <f>(J29-J36)/J29</f>
        <v>0.86260330578512401</v>
      </c>
      <c r="M36" s="220"/>
      <c r="N36" s="215">
        <v>7</v>
      </c>
      <c r="O36" s="220"/>
      <c r="P36" s="464">
        <f>(N29-N36)/N29</f>
        <v>0.99761985719143154</v>
      </c>
      <c r="Q36" s="220"/>
      <c r="R36" s="215">
        <v>289</v>
      </c>
      <c r="S36" s="220"/>
      <c r="T36" s="347">
        <f>(R29-R36)/R29</f>
        <v>0.90298757972473986</v>
      </c>
      <c r="U36" s="220"/>
      <c r="V36" s="215">
        <v>300</v>
      </c>
      <c r="W36" s="220"/>
      <c r="X36" s="464">
        <f>(V29-V36)/V29</f>
        <v>0.90633780830471433</v>
      </c>
      <c r="Y36" s="220"/>
      <c r="Z36" s="215">
        <v>163</v>
      </c>
      <c r="AA36" s="220"/>
      <c r="AB36" s="464">
        <f>(Z29-Z36)/Z29</f>
        <v>0.95253348864298193</v>
      </c>
      <c r="AC36" s="220"/>
      <c r="AD36" s="215">
        <v>475</v>
      </c>
      <c r="AE36" s="220"/>
      <c r="AF36" s="464">
        <f>(AD29-AD36)/AD29</f>
        <v>0.8685666851134477</v>
      </c>
      <c r="AG36" s="220"/>
      <c r="AH36" s="1701"/>
      <c r="AI36" s="220"/>
      <c r="AJ36" s="1701"/>
      <c r="AK36" s="220"/>
      <c r="AL36" s="1701"/>
      <c r="AM36" s="397"/>
      <c r="AN36" s="1701"/>
      <c r="AO36" s="220"/>
      <c r="AP36" s="1701"/>
      <c r="AQ36" s="397"/>
      <c r="AR36" s="1701"/>
      <c r="AS36" s="223"/>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row>
    <row r="37" spans="1:86" s="658" customFormat="1" x14ac:dyDescent="0.3">
      <c r="A37" s="214" t="s">
        <v>904</v>
      </c>
      <c r="B37" s="215">
        <v>107</v>
      </c>
      <c r="C37" s="220"/>
      <c r="D37" s="464">
        <f>(B30-B37)/B30</f>
        <v>0.96614995254666247</v>
      </c>
      <c r="E37" s="220"/>
      <c r="F37" s="215">
        <v>135</v>
      </c>
      <c r="G37" s="220"/>
      <c r="H37" s="464">
        <f>(F30-F37)/F30</f>
        <v>0.95465233456499832</v>
      </c>
      <c r="I37" s="220"/>
      <c r="J37" s="215">
        <v>-44</v>
      </c>
      <c r="K37" s="220"/>
      <c r="L37" s="464">
        <f>(J30-J37)/J30</f>
        <v>1.0148347943358058</v>
      </c>
      <c r="M37" s="220"/>
      <c r="N37" s="215">
        <v>137</v>
      </c>
      <c r="O37" s="220"/>
      <c r="P37" s="464">
        <f>(N30-N37)/N30</f>
        <v>0.95234782608695656</v>
      </c>
      <c r="Q37" s="220"/>
      <c r="R37" s="215">
        <v>163</v>
      </c>
      <c r="S37" s="220"/>
      <c r="T37" s="347">
        <f>(R30-R37)/R30</f>
        <v>0.93994104642593956</v>
      </c>
      <c r="U37" s="220"/>
      <c r="V37" s="215">
        <v>177</v>
      </c>
      <c r="W37" s="220"/>
      <c r="X37" s="464">
        <f>(V30-V37)/V30</f>
        <v>0.93259710586443256</v>
      </c>
      <c r="Y37" s="220"/>
      <c r="Z37" s="215">
        <v>179</v>
      </c>
      <c r="AA37" s="220"/>
      <c r="AB37" s="464">
        <f>(Z30-Z37)/Z30</f>
        <v>0.93062015503875972</v>
      </c>
      <c r="AC37" s="220"/>
      <c r="AD37" s="215">
        <v>80</v>
      </c>
      <c r="AE37" s="220"/>
      <c r="AF37" s="464">
        <f>(AD30-AD37)/AD30</f>
        <v>0.96750609260763609</v>
      </c>
      <c r="AG37" s="220"/>
      <c r="AH37" s="922">
        <v>153</v>
      </c>
      <c r="AI37" s="220"/>
      <c r="AJ37" s="464">
        <f>(AH30-AH37)/AH30</f>
        <v>0.93527918781725883</v>
      </c>
      <c r="AK37" s="220"/>
      <c r="AL37" s="922">
        <v>111</v>
      </c>
      <c r="AM37" s="220"/>
      <c r="AN37" s="464">
        <f>(AL30-AL37)/AL30</f>
        <v>0.95163398692810452</v>
      </c>
      <c r="AO37" s="220"/>
      <c r="AP37" s="922">
        <v>85</v>
      </c>
      <c r="AQ37" s="220"/>
      <c r="AR37" s="464">
        <f>(AP30-AP37)/AP30</f>
        <v>0.95781637717121593</v>
      </c>
      <c r="AS37" s="223"/>
      <c r="AT37" s="211"/>
      <c r="AU37" s="211"/>
      <c r="AV37" s="211"/>
      <c r="AW37" s="211"/>
      <c r="AX37" s="211"/>
      <c r="AY37" s="211"/>
      <c r="AZ37" s="211"/>
      <c r="BA37" s="211"/>
      <c r="BB37" s="211"/>
      <c r="BC37" s="211"/>
      <c r="BD37" s="211"/>
      <c r="BE37" s="211"/>
      <c r="BF37" s="211"/>
      <c r="BG37" s="211"/>
      <c r="BH37" s="211"/>
      <c r="BI37" s="211"/>
      <c r="BJ37" s="211"/>
      <c r="BK37" s="211"/>
      <c r="BL37" s="211"/>
      <c r="BM37" s="211"/>
      <c r="BN37" s="211"/>
      <c r="BO37" s="211"/>
      <c r="BP37" s="211"/>
      <c r="BQ37" s="211"/>
      <c r="BR37" s="211"/>
      <c r="BS37" s="211"/>
      <c r="BT37" s="211"/>
      <c r="BU37" s="211"/>
      <c r="BV37" s="211"/>
      <c r="BW37" s="211"/>
      <c r="BX37" s="211"/>
      <c r="BY37" s="211"/>
      <c r="BZ37" s="211"/>
      <c r="CA37" s="211"/>
      <c r="CB37" s="211"/>
      <c r="CC37" s="211"/>
      <c r="CD37" s="211"/>
      <c r="CE37" s="211"/>
      <c r="CF37" s="211"/>
      <c r="CG37" s="211"/>
      <c r="CH37" s="211"/>
    </row>
    <row r="38" spans="1:86" s="658" customFormat="1" x14ac:dyDescent="0.3">
      <c r="A38" s="214" t="s">
        <v>1678</v>
      </c>
      <c r="B38" s="1282">
        <f>SUM(B34:B37)</f>
        <v>277</v>
      </c>
      <c r="C38" s="220"/>
      <c r="D38" s="228">
        <f>(B31-B38)/B31</f>
        <v>0.955779054916986</v>
      </c>
      <c r="E38" s="220"/>
      <c r="F38" s="1282">
        <f>SUM(F34:F37)</f>
        <v>283</v>
      </c>
      <c r="G38" s="220"/>
      <c r="H38" s="228">
        <f>(F31-F38)/F31</f>
        <v>0.95270721925133695</v>
      </c>
      <c r="I38" s="220"/>
      <c r="J38" s="1282">
        <f>SUM(J34:J37)</f>
        <v>355</v>
      </c>
      <c r="K38" s="220"/>
      <c r="L38" s="228">
        <f>(J31-J38)/J31</f>
        <v>0.9395229982964225</v>
      </c>
      <c r="M38" s="220"/>
      <c r="N38" s="1282">
        <f>SUM(N34:N37)</f>
        <v>144</v>
      </c>
      <c r="O38" s="220"/>
      <c r="P38" s="228">
        <f>(N31-N38)/N31</f>
        <v>0.97524071526822553</v>
      </c>
      <c r="Q38" s="220"/>
      <c r="R38" s="1282">
        <f>SUM(R34:R37)</f>
        <v>452</v>
      </c>
      <c r="S38" s="220"/>
      <c r="T38" s="229">
        <f>(R31-R38)/R31</f>
        <v>0.92060425083435793</v>
      </c>
      <c r="U38" s="220"/>
      <c r="V38" s="1282">
        <f>SUM(V34:V37)</f>
        <v>477</v>
      </c>
      <c r="W38" s="220"/>
      <c r="X38" s="228">
        <f>(V31-V38)/V31</f>
        <v>0.91816778178075142</v>
      </c>
      <c r="Y38" s="220"/>
      <c r="Z38" s="1282">
        <f>SUM(Z34:Z37)</f>
        <v>342</v>
      </c>
      <c r="AA38" s="220"/>
      <c r="AB38" s="228">
        <f>(Z31-Z38)/Z31</f>
        <v>0.94313269038909209</v>
      </c>
      <c r="AC38" s="220"/>
      <c r="AD38" s="1282">
        <f>SUM(AD34:AD37)</f>
        <v>555</v>
      </c>
      <c r="AE38" s="220"/>
      <c r="AF38" s="228">
        <f>(AD31-AD38)/AD31</f>
        <v>0.90865701119157338</v>
      </c>
      <c r="AG38" s="220"/>
      <c r="AH38" s="1282">
        <f>SUM(AH34:AH37)</f>
        <v>526</v>
      </c>
      <c r="AI38" s="220"/>
      <c r="AJ38" s="228">
        <f>(AH31-AH38)/AH31</f>
        <v>0.91341563786008229</v>
      </c>
      <c r="AK38" s="220"/>
      <c r="AL38" s="1282">
        <f>SUM(AL34:AL37)</f>
        <v>-334</v>
      </c>
      <c r="AM38" s="220"/>
      <c r="AN38" s="228">
        <f>(AL31-AL38)/AL31</f>
        <v>1.051903651903652</v>
      </c>
      <c r="AO38" s="220"/>
      <c r="AP38" s="1282">
        <f>SUM(AP34:AP37)</f>
        <v>3</v>
      </c>
      <c r="AQ38" s="220"/>
      <c r="AR38" s="228">
        <f>(AP31-AP38)/AP31</f>
        <v>0.99958592132505175</v>
      </c>
      <c r="AS38" s="223"/>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row>
    <row r="39" spans="1:86" ht="9" hidden="1" customHeight="1" outlineLevel="1" x14ac:dyDescent="0.3">
      <c r="A39" s="214"/>
      <c r="B39" s="220"/>
      <c r="C39" s="220"/>
      <c r="D39" s="220"/>
      <c r="E39" s="220"/>
      <c r="F39" s="220"/>
      <c r="G39" s="220"/>
      <c r="H39" s="220"/>
      <c r="I39" s="220"/>
      <c r="J39" s="220"/>
      <c r="K39" s="220"/>
      <c r="L39" s="220"/>
      <c r="M39" s="220"/>
      <c r="N39" s="220"/>
      <c r="O39" s="220"/>
      <c r="P39" s="220"/>
      <c r="Q39" s="220"/>
      <c r="R39" s="220"/>
      <c r="S39" s="220"/>
      <c r="T39" s="223"/>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879"/>
    </row>
    <row r="40" spans="1:86" hidden="1" outlineLevel="1" x14ac:dyDescent="0.3">
      <c r="A40" s="1268" t="s">
        <v>909</v>
      </c>
      <c r="B40" s="848"/>
      <c r="C40" s="848"/>
      <c r="D40" s="848"/>
      <c r="E40" s="848"/>
      <c r="F40" s="848"/>
      <c r="G40" s="848"/>
      <c r="H40" s="848"/>
      <c r="I40" s="848"/>
      <c r="J40" s="848"/>
      <c r="K40" s="848"/>
      <c r="L40" s="848"/>
      <c r="M40" s="848"/>
      <c r="N40" s="848"/>
      <c r="O40" s="848"/>
      <c r="P40" s="848"/>
      <c r="Q40" s="848"/>
      <c r="R40" s="848"/>
      <c r="S40" s="848"/>
      <c r="T40" s="849"/>
      <c r="U40" s="848"/>
      <c r="V40" s="848"/>
      <c r="W40" s="848"/>
      <c r="X40" s="848"/>
      <c r="Y40" s="848"/>
      <c r="Z40" s="848"/>
      <c r="AA40" s="848"/>
      <c r="AB40" s="848"/>
      <c r="AC40" s="848"/>
      <c r="AD40" s="848"/>
      <c r="AE40" s="848"/>
      <c r="AF40" s="848"/>
      <c r="AG40" s="848"/>
      <c r="AH40" s="848"/>
      <c r="AI40" s="848"/>
      <c r="AJ40" s="848"/>
      <c r="AK40" s="848"/>
      <c r="AL40" s="848"/>
      <c r="AM40" s="848"/>
      <c r="AN40" s="848"/>
      <c r="AO40" s="848"/>
      <c r="AP40" s="848"/>
      <c r="AQ40" s="848"/>
      <c r="AR40" s="848"/>
      <c r="AS40" s="849"/>
    </row>
    <row r="41" spans="1:86" ht="16.2" hidden="1" outlineLevel="1" thickBot="1" x14ac:dyDescent="0.35">
      <c r="A41" s="214" t="s">
        <v>526</v>
      </c>
      <c r="B41" s="1565">
        <f>B24</f>
        <v>6418</v>
      </c>
      <c r="C41" s="392"/>
      <c r="D41" s="392"/>
      <c r="E41" s="392"/>
      <c r="F41" s="1565">
        <f>F24</f>
        <v>5963</v>
      </c>
      <c r="G41" s="392"/>
      <c r="H41" s="392"/>
      <c r="I41" s="392"/>
      <c r="J41" s="1565">
        <f>J24</f>
        <v>5984</v>
      </c>
      <c r="K41" s="392"/>
      <c r="L41" s="392"/>
      <c r="M41" s="392"/>
      <c r="N41" s="1565">
        <f>N24</f>
        <v>5819</v>
      </c>
      <c r="O41" s="392"/>
      <c r="P41" s="392"/>
      <c r="Q41" s="392"/>
      <c r="R41" s="1565">
        <f>R24</f>
        <v>5632</v>
      </c>
      <c r="S41" s="392"/>
      <c r="T41" s="253"/>
      <c r="U41" s="392"/>
      <c r="V41" s="1565">
        <f>V24</f>
        <v>5721</v>
      </c>
      <c r="W41" s="392"/>
      <c r="X41" s="392"/>
      <c r="Y41" s="392"/>
      <c r="Z41" s="1565">
        <f>Z24</f>
        <v>5971</v>
      </c>
      <c r="AA41" s="392"/>
      <c r="AB41" s="392"/>
      <c r="AC41" s="392"/>
      <c r="AD41" s="1565">
        <f>AD24</f>
        <v>5957</v>
      </c>
      <c r="AE41" s="392"/>
      <c r="AF41" s="392"/>
      <c r="AG41" s="392"/>
      <c r="AH41" s="1565">
        <f>AH24</f>
        <v>5949</v>
      </c>
      <c r="AI41" s="392"/>
      <c r="AJ41" s="392"/>
      <c r="AK41" s="392"/>
      <c r="AL41" s="1565">
        <f>AL24</f>
        <v>6155</v>
      </c>
      <c r="AM41" s="392"/>
      <c r="AN41" s="392"/>
      <c r="AO41" s="392"/>
      <c r="AP41" s="1565">
        <f>AP24</f>
        <v>6860</v>
      </c>
      <c r="AQ41" s="392"/>
      <c r="AR41" s="392"/>
      <c r="AS41" s="253"/>
      <c r="AT41" s="252"/>
    </row>
    <row r="42" spans="1:86" ht="16.2" hidden="1" outlineLevel="1" thickTop="1" x14ac:dyDescent="0.3">
      <c r="A42" s="214" t="s">
        <v>101</v>
      </c>
      <c r="B42" s="1566">
        <f>B31</f>
        <v>6264</v>
      </c>
      <c r="C42" s="215"/>
      <c r="D42" s="868">
        <f>B42/B$42</f>
        <v>1</v>
      </c>
      <c r="E42" s="215"/>
      <c r="F42" s="1566">
        <f>F31</f>
        <v>5984</v>
      </c>
      <c r="G42" s="215"/>
      <c r="H42" s="868">
        <f>F42/F$42</f>
        <v>1</v>
      </c>
      <c r="I42" s="215"/>
      <c r="J42" s="1566">
        <f>J31</f>
        <v>5870</v>
      </c>
      <c r="K42" s="215"/>
      <c r="L42" s="868">
        <f>J42/J$42</f>
        <v>1</v>
      </c>
      <c r="M42" s="215"/>
      <c r="N42" s="1566">
        <f>N31</f>
        <v>5816</v>
      </c>
      <c r="O42" s="215"/>
      <c r="P42" s="868">
        <f>N42/N$42</f>
        <v>1</v>
      </c>
      <c r="Q42" s="215"/>
      <c r="R42" s="1566">
        <f>R31</f>
        <v>5693</v>
      </c>
      <c r="S42" s="215"/>
      <c r="T42" s="870">
        <f>R42/R$42</f>
        <v>1</v>
      </c>
      <c r="U42" s="215"/>
      <c r="V42" s="1566">
        <f>V31</f>
        <v>5829</v>
      </c>
      <c r="W42" s="215"/>
      <c r="X42" s="868">
        <f>V42/V$42</f>
        <v>1</v>
      </c>
      <c r="Y42" s="215"/>
      <c r="Z42" s="1566">
        <f>Z31</f>
        <v>6014</v>
      </c>
      <c r="AA42" s="215"/>
      <c r="AB42" s="868">
        <f>Z42/Z$42</f>
        <v>1</v>
      </c>
      <c r="AC42" s="215"/>
      <c r="AD42" s="1566">
        <f>AD31</f>
        <v>6076</v>
      </c>
      <c r="AE42" s="215"/>
      <c r="AF42" s="868">
        <f>AD42/AD$42</f>
        <v>1</v>
      </c>
      <c r="AG42" s="215"/>
      <c r="AH42" s="1566">
        <f>AH31</f>
        <v>6075</v>
      </c>
      <c r="AI42" s="215"/>
      <c r="AJ42" s="868">
        <f>AH42/AH$42</f>
        <v>1</v>
      </c>
      <c r="AK42" s="215"/>
      <c r="AL42" s="1566">
        <f>AL31</f>
        <v>6435</v>
      </c>
      <c r="AM42" s="215"/>
      <c r="AN42" s="868">
        <f>AL42/AL$42</f>
        <v>1</v>
      </c>
      <c r="AO42" s="215"/>
      <c r="AP42" s="1566">
        <f>AP31</f>
        <v>7245</v>
      </c>
      <c r="AQ42" s="215"/>
      <c r="AR42" s="868">
        <f>AP42/AP$42</f>
        <v>1</v>
      </c>
      <c r="AS42" s="260"/>
      <c r="AT42" s="230"/>
    </row>
    <row r="43" spans="1:86" hidden="1" outlineLevel="2" x14ac:dyDescent="0.3">
      <c r="A43" s="214" t="s">
        <v>527</v>
      </c>
      <c r="B43" s="215"/>
      <c r="C43" s="215"/>
      <c r="D43" s="464">
        <f>B43/B$42</f>
        <v>0</v>
      </c>
      <c r="E43" s="215"/>
      <c r="F43" s="215"/>
      <c r="G43" s="215"/>
      <c r="H43" s="464">
        <f>F43/F$42</f>
        <v>0</v>
      </c>
      <c r="I43" s="215"/>
      <c r="J43" s="215"/>
      <c r="K43" s="215"/>
      <c r="L43" s="464">
        <f>J43/J$42</f>
        <v>0</v>
      </c>
      <c r="M43" s="215"/>
      <c r="N43" s="215"/>
      <c r="O43" s="215"/>
      <c r="P43" s="464">
        <f>N43/N$42</f>
        <v>0</v>
      </c>
      <c r="Q43" s="215"/>
      <c r="R43" s="215"/>
      <c r="S43" s="215"/>
      <c r="T43" s="347">
        <f>R43/R$42</f>
        <v>0</v>
      </c>
      <c r="U43" s="215"/>
      <c r="V43" s="215"/>
      <c r="W43" s="215"/>
      <c r="X43" s="464">
        <f>V43/V$42</f>
        <v>0</v>
      </c>
      <c r="Y43" s="215"/>
      <c r="Z43" s="215"/>
      <c r="AA43" s="215"/>
      <c r="AB43" s="464">
        <f>Z43/Z$42</f>
        <v>0</v>
      </c>
      <c r="AC43" s="215"/>
      <c r="AD43" s="215"/>
      <c r="AE43" s="215"/>
      <c r="AF43" s="464">
        <f>AD43/AD$42</f>
        <v>0</v>
      </c>
      <c r="AG43" s="215"/>
      <c r="AH43" s="215"/>
      <c r="AI43" s="215"/>
      <c r="AJ43" s="464">
        <f>AH43/AH$42</f>
        <v>0</v>
      </c>
      <c r="AK43" s="215"/>
      <c r="AL43" s="215"/>
      <c r="AM43" s="215"/>
      <c r="AN43" s="464">
        <f>AL43/AL$42</f>
        <v>0</v>
      </c>
      <c r="AO43" s="215"/>
      <c r="AP43" s="215"/>
      <c r="AQ43" s="215"/>
      <c r="AR43" s="464">
        <f>AP43/AP$42</f>
        <v>0</v>
      </c>
      <c r="AS43" s="260"/>
      <c r="AT43" s="230"/>
    </row>
    <row r="44" spans="1:86" hidden="1" outlineLevel="2" x14ac:dyDescent="0.3">
      <c r="A44" s="214" t="s">
        <v>102</v>
      </c>
      <c r="B44" s="503"/>
      <c r="C44" s="215"/>
      <c r="D44" s="868">
        <f>B44/B$42</f>
        <v>0</v>
      </c>
      <c r="E44" s="215"/>
      <c r="F44" s="503"/>
      <c r="G44" s="215"/>
      <c r="H44" s="868">
        <f>F44/F$42</f>
        <v>0</v>
      </c>
      <c r="I44" s="215"/>
      <c r="J44" s="503"/>
      <c r="K44" s="215"/>
      <c r="L44" s="868">
        <f>J44/J$42</f>
        <v>0</v>
      </c>
      <c r="M44" s="215"/>
      <c r="N44" s="503"/>
      <c r="O44" s="215"/>
      <c r="P44" s="868">
        <f>N44/N$42</f>
        <v>0</v>
      </c>
      <c r="Q44" s="215"/>
      <c r="R44" s="503"/>
      <c r="S44" s="215"/>
      <c r="T44" s="870">
        <f>R44/R$42</f>
        <v>0</v>
      </c>
      <c r="U44" s="215"/>
      <c r="V44" s="503"/>
      <c r="W44" s="215"/>
      <c r="X44" s="868">
        <f>V44/V$42</f>
        <v>0</v>
      </c>
      <c r="Y44" s="215"/>
      <c r="Z44" s="503"/>
      <c r="AA44" s="215"/>
      <c r="AB44" s="868">
        <f>Z44/Z$42</f>
        <v>0</v>
      </c>
      <c r="AC44" s="215"/>
      <c r="AD44" s="503"/>
      <c r="AE44" s="215"/>
      <c r="AF44" s="868">
        <f>AD44/AD$42</f>
        <v>0</v>
      </c>
      <c r="AG44" s="215"/>
      <c r="AH44" s="503"/>
      <c r="AI44" s="215"/>
      <c r="AJ44" s="868">
        <f>AH44/AH$42</f>
        <v>0</v>
      </c>
      <c r="AK44" s="215"/>
      <c r="AL44" s="503"/>
      <c r="AM44" s="215"/>
      <c r="AN44" s="868">
        <f>AL44/AL$42</f>
        <v>0</v>
      </c>
      <c r="AO44" s="215"/>
      <c r="AP44" s="503"/>
      <c r="AQ44" s="215"/>
      <c r="AR44" s="868">
        <f>AP44/AP$42</f>
        <v>0</v>
      </c>
      <c r="AS44" s="260"/>
      <c r="AT44" s="230"/>
    </row>
    <row r="45" spans="1:86" hidden="1" outlineLevel="1" x14ac:dyDescent="0.3">
      <c r="A45" s="214" t="s">
        <v>685</v>
      </c>
      <c r="B45" s="215">
        <f>B42-B46</f>
        <v>5987</v>
      </c>
      <c r="C45" s="215"/>
      <c r="D45" s="464">
        <f>B45/B$42</f>
        <v>0.955779054916986</v>
      </c>
      <c r="E45" s="215"/>
      <c r="F45" s="215">
        <f>F42-F46</f>
        <v>5701</v>
      </c>
      <c r="G45" s="215"/>
      <c r="H45" s="464">
        <f>F45/F$42</f>
        <v>0.95270721925133695</v>
      </c>
      <c r="I45" s="215"/>
      <c r="J45" s="215">
        <f>J42-J46</f>
        <v>5515</v>
      </c>
      <c r="K45" s="215"/>
      <c r="L45" s="464">
        <f>J45/J$42</f>
        <v>0.9395229982964225</v>
      </c>
      <c r="M45" s="215"/>
      <c r="N45" s="215">
        <f>N42-N46</f>
        <v>5672</v>
      </c>
      <c r="O45" s="215"/>
      <c r="P45" s="464">
        <f>N45/N$42</f>
        <v>0.97524071526822553</v>
      </c>
      <c r="Q45" s="215"/>
      <c r="R45" s="215">
        <f>R42-R46</f>
        <v>5241</v>
      </c>
      <c r="S45" s="215"/>
      <c r="T45" s="347">
        <f>R45/R$42</f>
        <v>0.92060425083435793</v>
      </c>
      <c r="U45" s="215"/>
      <c r="V45" s="215">
        <f>V42-V46</f>
        <v>5352</v>
      </c>
      <c r="W45" s="215"/>
      <c r="X45" s="464">
        <f>V45/V$42</f>
        <v>0.91816778178075142</v>
      </c>
      <c r="Y45" s="215"/>
      <c r="Z45" s="215">
        <f>Z42-Z46</f>
        <v>5672</v>
      </c>
      <c r="AA45" s="215"/>
      <c r="AB45" s="464">
        <f>Z45/Z$42</f>
        <v>0.94313269038909209</v>
      </c>
      <c r="AC45" s="215"/>
      <c r="AD45" s="215">
        <f>AD42-AD46</f>
        <v>5521</v>
      </c>
      <c r="AE45" s="215"/>
      <c r="AF45" s="464">
        <f>AD45/AD$42</f>
        <v>0.90865701119157338</v>
      </c>
      <c r="AG45" s="215"/>
      <c r="AH45" s="215">
        <f>AH42-AH46</f>
        <v>5549</v>
      </c>
      <c r="AI45" s="215"/>
      <c r="AJ45" s="464">
        <f>AH45/AH$42</f>
        <v>0.91341563786008229</v>
      </c>
      <c r="AK45" s="215"/>
      <c r="AL45" s="215">
        <f>AL42-AL46</f>
        <v>6769</v>
      </c>
      <c r="AM45" s="215"/>
      <c r="AN45" s="464">
        <f>AL45/AL$42</f>
        <v>1.051903651903652</v>
      </c>
      <c r="AO45" s="215"/>
      <c r="AP45" s="215">
        <f>AP42-AP46</f>
        <v>7242</v>
      </c>
      <c r="AQ45" s="215"/>
      <c r="AR45" s="464">
        <f>AP45/AP$42</f>
        <v>0.99958592132505175</v>
      </c>
      <c r="AS45" s="260"/>
      <c r="AT45" s="230"/>
    </row>
    <row r="46" spans="1:86" ht="16.2" hidden="1" outlineLevel="1" thickBot="1" x14ac:dyDescent="0.35">
      <c r="A46" s="214" t="s">
        <v>686</v>
      </c>
      <c r="B46" s="1567">
        <f>B38</f>
        <v>277</v>
      </c>
      <c r="C46" s="215"/>
      <c r="D46" s="215"/>
      <c r="E46" s="215"/>
      <c r="F46" s="1567">
        <f>F38</f>
        <v>283</v>
      </c>
      <c r="G46" s="215"/>
      <c r="H46" s="215"/>
      <c r="I46" s="215"/>
      <c r="J46" s="1567">
        <f>J38</f>
        <v>355</v>
      </c>
      <c r="K46" s="215"/>
      <c r="L46" s="215"/>
      <c r="M46" s="215"/>
      <c r="N46" s="1567">
        <f>N38</f>
        <v>144</v>
      </c>
      <c r="O46" s="215"/>
      <c r="P46" s="215"/>
      <c r="Q46" s="215"/>
      <c r="R46" s="1567">
        <f>R38</f>
        <v>452</v>
      </c>
      <c r="S46" s="215"/>
      <c r="T46" s="260"/>
      <c r="U46" s="215"/>
      <c r="V46" s="1567">
        <f>V38</f>
        <v>477</v>
      </c>
      <c r="W46" s="215"/>
      <c r="X46" s="215"/>
      <c r="Y46" s="215"/>
      <c r="Z46" s="1567">
        <f>Z38</f>
        <v>342</v>
      </c>
      <c r="AA46" s="215"/>
      <c r="AB46" s="215"/>
      <c r="AC46" s="215"/>
      <c r="AD46" s="1567">
        <f>AD38</f>
        <v>555</v>
      </c>
      <c r="AE46" s="215"/>
      <c r="AF46" s="215"/>
      <c r="AG46" s="215"/>
      <c r="AH46" s="1567">
        <f>AH38</f>
        <v>526</v>
      </c>
      <c r="AI46" s="215"/>
      <c r="AJ46" s="215"/>
      <c r="AK46" s="215"/>
      <c r="AL46" s="1567">
        <f>AL38</f>
        <v>-334</v>
      </c>
      <c r="AM46" s="215"/>
      <c r="AN46" s="215"/>
      <c r="AO46" s="215"/>
      <c r="AP46" s="1567">
        <f>AP38</f>
        <v>3</v>
      </c>
      <c r="AQ46" s="215"/>
      <c r="AR46" s="215"/>
      <c r="AS46" s="260"/>
      <c r="AT46" s="230"/>
    </row>
    <row r="47" spans="1:86" ht="16.2" hidden="1" outlineLevel="1" thickTop="1" x14ac:dyDescent="0.3">
      <c r="A47" s="878"/>
      <c r="B47" s="875"/>
      <c r="C47" s="215"/>
      <c r="D47" s="215"/>
      <c r="E47" s="215"/>
      <c r="F47" s="875"/>
      <c r="G47" s="215"/>
      <c r="H47" s="215"/>
      <c r="I47" s="215"/>
      <c r="J47" s="875"/>
      <c r="K47" s="215"/>
      <c r="L47" s="215"/>
      <c r="M47" s="215"/>
      <c r="N47" s="875"/>
      <c r="O47" s="215"/>
      <c r="P47" s="215"/>
      <c r="Q47" s="215"/>
      <c r="R47" s="875"/>
      <c r="S47" s="215"/>
      <c r="T47" s="260"/>
      <c r="U47" s="215"/>
      <c r="V47" s="875"/>
      <c r="W47" s="215"/>
      <c r="X47" s="215"/>
      <c r="Y47" s="215"/>
      <c r="Z47" s="875"/>
      <c r="AA47" s="215"/>
      <c r="AB47" s="215"/>
      <c r="AC47" s="215"/>
      <c r="AD47" s="875"/>
      <c r="AE47" s="215"/>
      <c r="AF47" s="215"/>
      <c r="AG47" s="215"/>
      <c r="AH47" s="875"/>
      <c r="AI47" s="215"/>
      <c r="AJ47" s="215"/>
      <c r="AK47" s="215"/>
      <c r="AL47" s="875"/>
      <c r="AM47" s="215"/>
      <c r="AN47" s="215"/>
      <c r="AO47" s="215"/>
      <c r="AP47" s="875"/>
      <c r="AQ47" s="215"/>
      <c r="AR47" s="215"/>
      <c r="AS47" s="506"/>
      <c r="AT47" s="230"/>
    </row>
    <row r="48" spans="1:86" ht="4.5" customHeight="1" collapsed="1" x14ac:dyDescent="0.3">
      <c r="A48" s="214"/>
      <c r="B48" s="220"/>
      <c r="C48" s="220"/>
      <c r="D48" s="220"/>
      <c r="E48" s="220"/>
      <c r="F48" s="220"/>
      <c r="G48" s="220"/>
      <c r="H48" s="220"/>
      <c r="I48" s="220"/>
      <c r="J48" s="220"/>
      <c r="K48" s="220"/>
      <c r="L48" s="220"/>
      <c r="M48" s="220"/>
      <c r="N48" s="220"/>
      <c r="O48" s="220"/>
      <c r="P48" s="220"/>
      <c r="Q48" s="220"/>
      <c r="R48" s="220"/>
      <c r="S48" s="220"/>
      <c r="T48" s="223"/>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3"/>
    </row>
    <row r="49" spans="1:49" ht="4.5" customHeight="1" x14ac:dyDescent="0.3">
      <c r="A49" s="1155"/>
      <c r="B49" s="1278"/>
      <c r="C49" s="686"/>
      <c r="D49" s="728"/>
      <c r="E49" s="728"/>
      <c r="F49" s="1278"/>
      <c r="G49" s="686"/>
      <c r="H49" s="728"/>
      <c r="I49" s="728"/>
      <c r="J49" s="1278"/>
      <c r="K49" s="686"/>
      <c r="L49" s="728"/>
      <c r="M49" s="728"/>
      <c r="N49" s="1278"/>
      <c r="O49" s="686"/>
      <c r="P49" s="728"/>
      <c r="Q49" s="728"/>
      <c r="R49" s="1278"/>
      <c r="S49" s="686"/>
      <c r="T49" s="1518"/>
      <c r="U49" s="728"/>
      <c r="V49" s="1278"/>
      <c r="W49" s="686"/>
      <c r="X49" s="728"/>
      <c r="Y49" s="728"/>
      <c r="Z49" s="1278"/>
      <c r="AA49" s="686"/>
      <c r="AB49" s="728"/>
      <c r="AC49" s="728"/>
      <c r="AD49" s="1278"/>
      <c r="AE49" s="686"/>
      <c r="AF49" s="728"/>
      <c r="AG49" s="728"/>
      <c r="AH49" s="1278"/>
      <c r="AI49" s="686"/>
      <c r="AJ49" s="728"/>
      <c r="AK49" s="728"/>
      <c r="AL49" s="1278"/>
      <c r="AM49" s="686"/>
      <c r="AN49" s="728"/>
      <c r="AO49" s="728"/>
      <c r="AP49" s="1278"/>
      <c r="AQ49" s="686"/>
      <c r="AR49" s="728"/>
      <c r="AS49" s="1279"/>
    </row>
    <row r="50" spans="1:49" ht="4.5" customHeight="1" x14ac:dyDescent="0.3">
      <c r="A50" s="214"/>
      <c r="B50" s="875"/>
      <c r="C50" s="215"/>
      <c r="D50" s="464"/>
      <c r="E50" s="464"/>
      <c r="F50" s="875"/>
      <c r="G50" s="215"/>
      <c r="H50" s="464"/>
      <c r="I50" s="464"/>
      <c r="J50" s="875"/>
      <c r="K50" s="215"/>
      <c r="L50" s="464"/>
      <c r="M50" s="464"/>
      <c r="N50" s="875"/>
      <c r="O50" s="215"/>
      <c r="P50" s="464"/>
      <c r="Q50" s="464"/>
      <c r="R50" s="875"/>
      <c r="S50" s="215"/>
      <c r="T50" s="347"/>
      <c r="U50" s="464"/>
      <c r="V50" s="875"/>
      <c r="W50" s="215"/>
      <c r="X50" s="464"/>
      <c r="Y50" s="464"/>
      <c r="Z50" s="875"/>
      <c r="AA50" s="215"/>
      <c r="AB50" s="464"/>
      <c r="AC50" s="464"/>
      <c r="AD50" s="875"/>
      <c r="AE50" s="215"/>
      <c r="AF50" s="464"/>
      <c r="AG50" s="464"/>
      <c r="AH50" s="875"/>
      <c r="AI50" s="215"/>
      <c r="AJ50" s="464"/>
      <c r="AK50" s="464"/>
      <c r="AL50" s="875"/>
      <c r="AM50" s="215"/>
      <c r="AN50" s="464"/>
      <c r="AO50" s="464"/>
      <c r="AP50" s="875"/>
      <c r="AQ50" s="215"/>
      <c r="AR50" s="464"/>
      <c r="AS50" s="223"/>
    </row>
    <row r="51" spans="1:49" x14ac:dyDescent="0.3">
      <c r="A51" s="213" t="s">
        <v>899</v>
      </c>
      <c r="B51" s="2929">
        <f>B6</f>
        <v>2014</v>
      </c>
      <c r="C51" s="2929"/>
      <c r="D51" s="2929"/>
      <c r="E51" s="2508"/>
      <c r="F51" s="2929">
        <f>F6</f>
        <v>2013</v>
      </c>
      <c r="G51" s="2929"/>
      <c r="H51" s="2929"/>
      <c r="I51" s="2508"/>
      <c r="J51" s="2929">
        <f>J6</f>
        <v>2012</v>
      </c>
      <c r="K51" s="2929"/>
      <c r="L51" s="2929"/>
      <c r="M51" s="2508"/>
      <c r="N51" s="2929">
        <f>N6</f>
        <v>2011</v>
      </c>
      <c r="O51" s="2929"/>
      <c r="P51" s="2929"/>
      <c r="Q51" s="2508"/>
      <c r="R51" s="2929">
        <f>R6</f>
        <v>2010</v>
      </c>
      <c r="S51" s="2929"/>
      <c r="T51" s="2949"/>
      <c r="U51" s="1651"/>
      <c r="V51" s="2929">
        <f>V6</f>
        <v>2009</v>
      </c>
      <c r="W51" s="2929"/>
      <c r="X51" s="2929"/>
      <c r="Y51" s="1651"/>
      <c r="Z51" s="2929">
        <f>Z6</f>
        <v>2008</v>
      </c>
      <c r="AA51" s="2929"/>
      <c r="AB51" s="2929"/>
      <c r="AC51" s="1651"/>
      <c r="AD51" s="2929">
        <f>AD6</f>
        <v>2007</v>
      </c>
      <c r="AE51" s="2929"/>
      <c r="AF51" s="2929"/>
      <c r="AG51" s="1651"/>
      <c r="AH51" s="2929">
        <f>AH6</f>
        <v>2006</v>
      </c>
      <c r="AI51" s="2929"/>
      <c r="AJ51" s="2929"/>
      <c r="AK51" s="1651"/>
      <c r="AL51" s="2929">
        <f>AL6</f>
        <v>2005</v>
      </c>
      <c r="AM51" s="2929"/>
      <c r="AN51" s="2929"/>
      <c r="AO51" s="1651"/>
      <c r="AP51" s="2929">
        <v>2004</v>
      </c>
      <c r="AQ51" s="2929"/>
      <c r="AR51" s="2929"/>
      <c r="AS51" s="223"/>
    </row>
    <row r="52" spans="1:49" x14ac:dyDescent="0.3">
      <c r="A52" s="1272"/>
      <c r="B52" s="864" t="s">
        <v>688</v>
      </c>
      <c r="C52" s="886"/>
      <c r="D52" s="864" t="s">
        <v>689</v>
      </c>
      <c r="E52" s="887"/>
      <c r="F52" s="864" t="s">
        <v>688</v>
      </c>
      <c r="G52" s="886"/>
      <c r="H52" s="864" t="s">
        <v>689</v>
      </c>
      <c r="I52" s="887"/>
      <c r="J52" s="864" t="s">
        <v>688</v>
      </c>
      <c r="K52" s="886"/>
      <c r="L52" s="864" t="s">
        <v>689</v>
      </c>
      <c r="M52" s="887"/>
      <c r="N52" s="864" t="s">
        <v>688</v>
      </c>
      <c r="O52" s="886"/>
      <c r="P52" s="864" t="s">
        <v>689</v>
      </c>
      <c r="Q52" s="887"/>
      <c r="R52" s="864" t="s">
        <v>688</v>
      </c>
      <c r="S52" s="886"/>
      <c r="T52" s="865" t="s">
        <v>689</v>
      </c>
      <c r="U52" s="887"/>
      <c r="V52" s="864" t="s">
        <v>688</v>
      </c>
      <c r="W52" s="886"/>
      <c r="X52" s="864" t="s">
        <v>689</v>
      </c>
      <c r="Y52" s="887"/>
      <c r="Z52" s="864" t="s">
        <v>688</v>
      </c>
      <c r="AA52" s="886"/>
      <c r="AB52" s="864" t="s">
        <v>689</v>
      </c>
      <c r="AC52" s="887"/>
      <c r="AD52" s="864" t="s">
        <v>688</v>
      </c>
      <c r="AE52" s="886"/>
      <c r="AF52" s="864" t="s">
        <v>689</v>
      </c>
      <c r="AG52" s="887"/>
      <c r="AH52" s="864" t="s">
        <v>688</v>
      </c>
      <c r="AI52" s="886"/>
      <c r="AJ52" s="864" t="s">
        <v>689</v>
      </c>
      <c r="AK52" s="887"/>
      <c r="AL52" s="864" t="s">
        <v>688</v>
      </c>
      <c r="AM52" s="886"/>
      <c r="AN52" s="864" t="s">
        <v>689</v>
      </c>
      <c r="AO52" s="887"/>
      <c r="AP52" s="864" t="s">
        <v>688</v>
      </c>
      <c r="AQ52" s="886"/>
      <c r="AR52" s="864" t="s">
        <v>689</v>
      </c>
      <c r="AS52" s="223"/>
    </row>
    <row r="53" spans="1:49" outlineLevel="1" x14ac:dyDescent="0.3">
      <c r="A53" s="214" t="s">
        <v>452</v>
      </c>
      <c r="B53" s="220"/>
      <c r="C53" s="220"/>
      <c r="D53" s="220"/>
      <c r="E53" s="220"/>
      <c r="F53" s="220"/>
      <c r="G53" s="220"/>
      <c r="H53" s="220"/>
      <c r="I53" s="220"/>
      <c r="J53" s="220"/>
      <c r="K53" s="220"/>
      <c r="L53" s="220"/>
      <c r="M53" s="220"/>
      <c r="N53" s="220"/>
      <c r="O53" s="220"/>
      <c r="P53" s="220"/>
      <c r="Q53" s="220"/>
      <c r="R53" s="220"/>
      <c r="S53" s="220"/>
      <c r="T53" s="223"/>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3"/>
    </row>
    <row r="54" spans="1:49" outlineLevel="1" x14ac:dyDescent="0.3">
      <c r="A54" s="214" t="s">
        <v>950</v>
      </c>
      <c r="B54" s="1701"/>
      <c r="C54" s="220"/>
      <c r="D54" s="220"/>
      <c r="E54" s="220"/>
      <c r="F54" s="1297">
        <v>801</v>
      </c>
      <c r="G54" s="220"/>
      <c r="H54" s="220"/>
      <c r="I54" s="220"/>
      <c r="J54" s="1297">
        <v>816</v>
      </c>
      <c r="K54" s="220"/>
      <c r="L54" s="220"/>
      <c r="M54" s="220"/>
      <c r="N54" s="1297">
        <v>751</v>
      </c>
      <c r="O54" s="220"/>
      <c r="P54" s="220"/>
      <c r="Q54" s="220"/>
      <c r="R54" s="1297">
        <v>623</v>
      </c>
      <c r="S54" s="220"/>
      <c r="T54" s="223"/>
      <c r="U54" s="220"/>
      <c r="V54" s="1297">
        <v>823</v>
      </c>
      <c r="W54" s="220"/>
      <c r="X54" s="220"/>
      <c r="Y54" s="220"/>
      <c r="Z54" s="1297">
        <v>955</v>
      </c>
      <c r="AA54" s="220"/>
      <c r="AB54" s="220"/>
      <c r="AC54" s="220"/>
      <c r="AD54" s="392">
        <v>1577</v>
      </c>
      <c r="AE54" s="220"/>
      <c r="AF54" s="220"/>
      <c r="AG54" s="220"/>
      <c r="AH54" s="392">
        <v>2196</v>
      </c>
      <c r="AI54" s="220"/>
      <c r="AJ54" s="220"/>
      <c r="AK54" s="220"/>
      <c r="AL54" s="392">
        <v>1663</v>
      </c>
      <c r="AM54" s="220"/>
      <c r="AN54" s="220"/>
      <c r="AO54" s="220"/>
      <c r="AP54" s="392">
        <v>1462</v>
      </c>
      <c r="AQ54" s="220"/>
      <c r="AR54" s="220"/>
      <c r="AS54" s="223"/>
    </row>
    <row r="55" spans="1:49" outlineLevel="1" x14ac:dyDescent="0.3">
      <c r="A55" s="214" t="s">
        <v>1081</v>
      </c>
      <c r="B55" s="1297">
        <v>4064</v>
      </c>
      <c r="C55" s="220"/>
      <c r="D55" s="220"/>
      <c r="E55" s="220"/>
      <c r="F55" s="1701"/>
      <c r="G55" s="220"/>
      <c r="H55" s="220"/>
      <c r="I55" s="220"/>
      <c r="J55" s="1701"/>
      <c r="K55" s="220"/>
      <c r="L55" s="220"/>
      <c r="M55" s="220"/>
      <c r="N55" s="1701"/>
      <c r="O55" s="220"/>
      <c r="P55" s="220"/>
      <c r="Q55" s="220"/>
      <c r="R55" s="1701"/>
      <c r="S55" s="220"/>
      <c r="T55" s="223"/>
      <c r="U55" s="220"/>
      <c r="V55" s="1701"/>
      <c r="W55" s="220"/>
      <c r="X55" s="220"/>
      <c r="Y55" s="220"/>
      <c r="Z55" s="1701"/>
      <c r="AA55" s="220"/>
      <c r="AB55" s="220"/>
      <c r="AC55" s="220"/>
      <c r="AD55" s="1701"/>
      <c r="AE55" s="220"/>
      <c r="AF55" s="220"/>
      <c r="AG55" s="220"/>
      <c r="AH55" s="1701"/>
      <c r="AI55" s="220"/>
      <c r="AJ55" s="220"/>
      <c r="AK55" s="220"/>
      <c r="AL55" s="1701"/>
      <c r="AM55" s="220"/>
      <c r="AN55" s="220"/>
      <c r="AO55" s="220"/>
      <c r="AP55" s="1701"/>
      <c r="AQ55" s="220"/>
      <c r="AR55" s="220"/>
      <c r="AS55" s="223"/>
    </row>
    <row r="56" spans="1:49" outlineLevel="1" x14ac:dyDescent="0.3">
      <c r="A56" s="214" t="s">
        <v>951</v>
      </c>
      <c r="B56" s="215">
        <v>3371</v>
      </c>
      <c r="C56" s="220"/>
      <c r="D56" s="220"/>
      <c r="E56" s="220"/>
      <c r="F56" s="215">
        <v>328</v>
      </c>
      <c r="G56" s="220"/>
      <c r="H56" s="220"/>
      <c r="I56" s="220"/>
      <c r="J56" s="215">
        <v>717</v>
      </c>
      <c r="K56" s="220"/>
      <c r="L56" s="220"/>
      <c r="M56" s="220"/>
      <c r="N56" s="215">
        <v>2011</v>
      </c>
      <c r="O56" s="220"/>
      <c r="P56" s="220"/>
      <c r="Q56" s="220"/>
      <c r="R56" s="215">
        <v>2621</v>
      </c>
      <c r="S56" s="220"/>
      <c r="T56" s="223"/>
      <c r="U56" s="220"/>
      <c r="V56" s="215">
        <v>1989</v>
      </c>
      <c r="W56" s="220"/>
      <c r="X56" s="220"/>
      <c r="Y56" s="220"/>
      <c r="Z56" s="215">
        <v>204</v>
      </c>
      <c r="AA56" s="220"/>
      <c r="AB56" s="220"/>
      <c r="AC56" s="220"/>
      <c r="AD56" s="215">
        <v>7708</v>
      </c>
      <c r="AE56" s="220"/>
      <c r="AF56" s="220"/>
      <c r="AG56" s="220"/>
      <c r="AH56" s="215">
        <v>146</v>
      </c>
      <c r="AI56" s="220"/>
      <c r="AJ56" s="220"/>
      <c r="AK56" s="220"/>
      <c r="AL56" s="215">
        <v>10</v>
      </c>
      <c r="AM56" s="220"/>
      <c r="AN56" s="220"/>
      <c r="AO56" s="220"/>
      <c r="AP56" s="215">
        <v>188</v>
      </c>
      <c r="AQ56" s="220"/>
      <c r="AR56" s="220"/>
      <c r="AS56" s="223"/>
    </row>
    <row r="57" spans="1:49" outlineLevel="1" x14ac:dyDescent="0.3">
      <c r="A57" s="214" t="s">
        <v>1080</v>
      </c>
      <c r="B57" s="1701"/>
      <c r="C57" s="220"/>
      <c r="D57" s="220"/>
      <c r="E57" s="220"/>
      <c r="F57" s="215">
        <v>4348</v>
      </c>
      <c r="G57" s="220"/>
      <c r="H57" s="220"/>
      <c r="I57" s="220"/>
      <c r="J57" s="215">
        <v>5306</v>
      </c>
      <c r="K57" s="220"/>
      <c r="L57" s="220"/>
      <c r="M57" s="220"/>
      <c r="N57" s="215">
        <v>4224</v>
      </c>
      <c r="O57" s="220"/>
      <c r="P57" s="220"/>
      <c r="Q57" s="220"/>
      <c r="R57" s="215">
        <v>3459</v>
      </c>
      <c r="S57" s="220"/>
      <c r="T57" s="223"/>
      <c r="U57" s="220"/>
      <c r="V57" s="215">
        <v>3894</v>
      </c>
      <c r="W57" s="220"/>
      <c r="X57" s="220"/>
      <c r="Y57" s="220"/>
      <c r="Z57" s="215">
        <v>3923</v>
      </c>
      <c r="AA57" s="220"/>
      <c r="AB57" s="220"/>
      <c r="AC57" s="220"/>
      <c r="AD57" s="215">
        <v>2617</v>
      </c>
      <c r="AE57" s="220"/>
      <c r="AF57" s="220"/>
      <c r="AG57" s="220"/>
      <c r="AH57" s="215">
        <v>2634</v>
      </c>
      <c r="AI57" s="220"/>
      <c r="AJ57" s="220"/>
      <c r="AK57" s="220"/>
      <c r="AL57" s="215">
        <v>2290</v>
      </c>
      <c r="AM57" s="220"/>
      <c r="AN57" s="220"/>
      <c r="AO57" s="220"/>
      <c r="AP57" s="215">
        <v>2064</v>
      </c>
      <c r="AQ57" s="220"/>
      <c r="AR57" s="220"/>
      <c r="AS57" s="223"/>
    </row>
    <row r="58" spans="1:49" outlineLevel="1" x14ac:dyDescent="0.3">
      <c r="A58" s="214" t="s">
        <v>1082</v>
      </c>
      <c r="B58" s="215">
        <v>2681</v>
      </c>
      <c r="C58" s="220"/>
      <c r="D58" s="220"/>
      <c r="E58" s="220"/>
      <c r="F58" s="215">
        <v>3309</v>
      </c>
      <c r="G58" s="220"/>
      <c r="H58" s="220"/>
      <c r="I58" s="220"/>
      <c r="J58" s="215">
        <v>2833</v>
      </c>
      <c r="K58" s="220"/>
      <c r="L58" s="220"/>
      <c r="M58" s="220"/>
      <c r="N58" s="215">
        <v>2161</v>
      </c>
      <c r="O58" s="220"/>
      <c r="P58" s="220"/>
      <c r="Q58" s="220"/>
      <c r="R58" s="215">
        <v>2373</v>
      </c>
      <c r="S58" s="220"/>
      <c r="T58" s="223"/>
      <c r="U58" s="220"/>
      <c r="V58" s="686"/>
      <c r="W58" s="511"/>
      <c r="X58" s="220"/>
      <c r="Y58" s="220"/>
      <c r="Z58" s="686"/>
      <c r="AA58" s="220"/>
      <c r="AB58" s="220"/>
      <c r="AC58" s="220"/>
      <c r="AD58" s="686"/>
      <c r="AE58" s="220"/>
      <c r="AF58" s="220"/>
      <c r="AG58" s="220"/>
      <c r="AH58" s="686"/>
      <c r="AI58" s="220"/>
      <c r="AJ58" s="220"/>
      <c r="AK58" s="220"/>
      <c r="AL58" s="686"/>
      <c r="AM58" s="220"/>
      <c r="AN58" s="220"/>
      <c r="AO58" s="220"/>
      <c r="AP58" s="686"/>
      <c r="AQ58" s="220"/>
      <c r="AR58" s="220"/>
      <c r="AS58" s="223"/>
    </row>
    <row r="59" spans="1:49" outlineLevel="1" x14ac:dyDescent="0.3">
      <c r="A59" s="214" t="s">
        <v>953</v>
      </c>
      <c r="B59" s="1282">
        <f>SUM(B54:B58)</f>
        <v>10116</v>
      </c>
      <c r="C59" s="220"/>
      <c r="D59" s="220"/>
      <c r="E59" s="220"/>
      <c r="F59" s="1282">
        <f>SUM(F54:F58)</f>
        <v>8786</v>
      </c>
      <c r="G59" s="220"/>
      <c r="H59" s="220"/>
      <c r="I59" s="220"/>
      <c r="J59" s="1282">
        <f>SUM(J54:J58)</f>
        <v>9672</v>
      </c>
      <c r="K59" s="220"/>
      <c r="L59" s="220"/>
      <c r="M59" s="220"/>
      <c r="N59" s="1282">
        <f>SUM(N54:N58)</f>
        <v>9147</v>
      </c>
      <c r="O59" s="220"/>
      <c r="P59" s="220"/>
      <c r="Q59" s="220"/>
      <c r="R59" s="1282">
        <f>SUM(R54:R58)</f>
        <v>9076</v>
      </c>
      <c r="S59" s="220"/>
      <c r="T59" s="223"/>
      <c r="U59" s="220"/>
      <c r="V59" s="1282">
        <f>SUM(V54:V58)</f>
        <v>6706</v>
      </c>
      <c r="W59" s="220"/>
      <c r="X59" s="220"/>
      <c r="Y59" s="220"/>
      <c r="Z59" s="1282">
        <f>SUM(Z54:Z57)</f>
        <v>5082</v>
      </c>
      <c r="AA59" s="220"/>
      <c r="AB59" s="220"/>
      <c r="AC59" s="220"/>
      <c r="AD59" s="505">
        <f>SUM(AD54:AD57)</f>
        <v>11902</v>
      </c>
      <c r="AE59" s="220"/>
      <c r="AF59" s="220"/>
      <c r="AG59" s="220"/>
      <c r="AH59" s="505">
        <f>SUM(AH54:AH57)</f>
        <v>4976</v>
      </c>
      <c r="AI59" s="220"/>
      <c r="AJ59" s="220"/>
      <c r="AK59" s="220"/>
      <c r="AL59" s="505">
        <f>SUM(AL54:AL57)</f>
        <v>3963</v>
      </c>
      <c r="AM59" s="220"/>
      <c r="AN59" s="220"/>
      <c r="AO59" s="220"/>
      <c r="AP59" s="505">
        <f>SUM(AP54:AP57)</f>
        <v>3714</v>
      </c>
      <c r="AQ59" s="220"/>
      <c r="AR59" s="220"/>
      <c r="AS59" s="223"/>
      <c r="AU59" s="227"/>
    </row>
    <row r="60" spans="1:49" ht="9" customHeight="1" outlineLevel="1" x14ac:dyDescent="0.3">
      <c r="A60" s="214" t="s">
        <v>176</v>
      </c>
      <c r="B60" s="220"/>
      <c r="C60" s="220"/>
      <c r="D60" s="220"/>
      <c r="E60" s="220"/>
      <c r="F60" s="220"/>
      <c r="G60" s="220"/>
      <c r="H60" s="220"/>
      <c r="I60" s="220"/>
      <c r="J60" s="220"/>
      <c r="K60" s="220"/>
      <c r="L60" s="220"/>
      <c r="M60" s="220"/>
      <c r="N60" s="220"/>
      <c r="O60" s="220"/>
      <c r="P60" s="220"/>
      <c r="Q60" s="220"/>
      <c r="R60" s="220"/>
      <c r="S60" s="220"/>
      <c r="T60" s="223"/>
      <c r="U60" s="220"/>
      <c r="V60" s="220" t="s">
        <v>176</v>
      </c>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3"/>
      <c r="AW60" s="211" t="s">
        <v>176</v>
      </c>
    </row>
    <row r="61" spans="1:49" outlineLevel="1" x14ac:dyDescent="0.3">
      <c r="A61" s="214" t="s">
        <v>1868</v>
      </c>
      <c r="B61" s="220"/>
      <c r="C61" s="220"/>
      <c r="D61" s="220"/>
      <c r="E61" s="220"/>
      <c r="F61" s="220"/>
      <c r="G61" s="220"/>
      <c r="H61" s="220"/>
      <c r="I61" s="220"/>
      <c r="J61" s="220"/>
      <c r="K61" s="220"/>
      <c r="L61" s="220"/>
      <c r="M61" s="220"/>
      <c r="N61" s="220"/>
      <c r="O61" s="220"/>
      <c r="P61" s="220"/>
      <c r="Q61" s="220"/>
      <c r="R61" s="220"/>
      <c r="S61" s="220"/>
      <c r="T61" s="223"/>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3"/>
    </row>
    <row r="62" spans="1:49" outlineLevel="1" x14ac:dyDescent="0.3">
      <c r="A62" s="214" t="s">
        <v>950</v>
      </c>
      <c r="B62" s="1701"/>
      <c r="C62" s="220"/>
      <c r="D62" s="728"/>
      <c r="E62" s="220"/>
      <c r="F62" s="1297">
        <v>581</v>
      </c>
      <c r="G62" s="220"/>
      <c r="H62" s="464">
        <f>1-F62/F54</f>
        <v>0.27465667915106118</v>
      </c>
      <c r="I62" s="220"/>
      <c r="J62" s="1297">
        <v>400</v>
      </c>
      <c r="K62" s="220"/>
      <c r="L62" s="464">
        <f>1-J62/J54</f>
        <v>0.50980392156862742</v>
      </c>
      <c r="M62" s="220"/>
      <c r="N62" s="1297">
        <v>-321</v>
      </c>
      <c r="O62" s="220"/>
      <c r="P62" s="464">
        <f>1-N62/N54</f>
        <v>1.4274300932090547</v>
      </c>
      <c r="Q62" s="220"/>
      <c r="R62" s="1297">
        <v>260</v>
      </c>
      <c r="S62" s="220"/>
      <c r="T62" s="347">
        <f>1-R62/R54</f>
        <v>0.5826645264847512</v>
      </c>
      <c r="U62" s="220"/>
      <c r="V62" s="1297">
        <v>782</v>
      </c>
      <c r="W62" s="220"/>
      <c r="X62" s="464">
        <f>1-V62/V54</f>
        <v>4.9817739975698716E-2</v>
      </c>
      <c r="Y62" s="220"/>
      <c r="Z62" s="1297">
        <v>776</v>
      </c>
      <c r="AA62" s="220"/>
      <c r="AB62" s="464">
        <f>1-Z62/Z54</f>
        <v>0.187434554973822</v>
      </c>
      <c r="AC62" s="220"/>
      <c r="AD62" s="392">
        <v>1477</v>
      </c>
      <c r="AE62" s="220"/>
      <c r="AF62" s="464">
        <f>1-AD62/AD54</f>
        <v>6.3411540900443875E-2</v>
      </c>
      <c r="AG62" s="220"/>
      <c r="AH62" s="392">
        <v>1588</v>
      </c>
      <c r="AI62" s="220"/>
      <c r="AJ62" s="464">
        <f>1-AH62/AH54</f>
        <v>0.27686703096539167</v>
      </c>
      <c r="AK62" s="220"/>
      <c r="AL62" s="392">
        <v>-1178</v>
      </c>
      <c r="AM62" s="220"/>
      <c r="AN62" s="464">
        <f>1-AL62/AL54</f>
        <v>1.7083583884546001</v>
      </c>
      <c r="AO62" s="220"/>
      <c r="AP62" s="392">
        <v>385</v>
      </c>
      <c r="AQ62" s="220"/>
      <c r="AR62" s="464">
        <f>1-AP62/AP54</f>
        <v>0.73666210670314636</v>
      </c>
      <c r="AS62" s="223"/>
      <c r="AW62" s="211" t="s">
        <v>176</v>
      </c>
    </row>
    <row r="63" spans="1:49" outlineLevel="1" x14ac:dyDescent="0.3">
      <c r="A63" s="214" t="s">
        <v>1081</v>
      </c>
      <c r="B63" s="1297">
        <v>1684</v>
      </c>
      <c r="C63" s="220"/>
      <c r="D63" s="464">
        <f>1-B63/B55</f>
        <v>0.58562992125984259</v>
      </c>
      <c r="E63" s="220"/>
      <c r="F63" s="1701"/>
      <c r="G63" s="220"/>
      <c r="H63" s="728"/>
      <c r="I63" s="220"/>
      <c r="J63" s="1701"/>
      <c r="K63" s="220"/>
      <c r="L63" s="728"/>
      <c r="M63" s="220"/>
      <c r="N63" s="1701"/>
      <c r="O63" s="220"/>
      <c r="P63" s="728"/>
      <c r="Q63" s="220"/>
      <c r="R63" s="1701"/>
      <c r="S63" s="220"/>
      <c r="T63" s="1518"/>
      <c r="U63" s="220"/>
      <c r="V63" s="1701"/>
      <c r="W63" s="220"/>
      <c r="X63" s="728"/>
      <c r="Y63" s="220"/>
      <c r="Z63" s="1701"/>
      <c r="AA63" s="220"/>
      <c r="AB63" s="728"/>
      <c r="AC63" s="220"/>
      <c r="AD63" s="1701"/>
      <c r="AE63" s="220"/>
      <c r="AF63" s="728"/>
      <c r="AG63" s="220"/>
      <c r="AH63" s="1701"/>
      <c r="AI63" s="220"/>
      <c r="AJ63" s="728"/>
      <c r="AK63" s="220"/>
      <c r="AL63" s="1701"/>
      <c r="AM63" s="220"/>
      <c r="AN63" s="728"/>
      <c r="AO63" s="220"/>
      <c r="AP63" s="1701"/>
      <c r="AQ63" s="220"/>
      <c r="AR63" s="728"/>
      <c r="AS63" s="223"/>
    </row>
    <row r="64" spans="1:49" outlineLevel="1" x14ac:dyDescent="0.3">
      <c r="A64" s="214" t="s">
        <v>951</v>
      </c>
      <c r="B64" s="215">
        <v>-905</v>
      </c>
      <c r="C64" s="220"/>
      <c r="D64" s="464">
        <f>1-B64/B56</f>
        <v>1.2684663304657371</v>
      </c>
      <c r="E64" s="220"/>
      <c r="F64" s="215">
        <v>-321</v>
      </c>
      <c r="G64" s="220"/>
      <c r="H64" s="464">
        <f>1-F64/F56</f>
        <v>1.9786585365853657</v>
      </c>
      <c r="I64" s="220"/>
      <c r="J64" s="215">
        <v>-201</v>
      </c>
      <c r="K64" s="220"/>
      <c r="L64" s="464">
        <f>1-J64/J56</f>
        <v>1.2803347280334729</v>
      </c>
      <c r="M64" s="220"/>
      <c r="N64" s="215">
        <v>645</v>
      </c>
      <c r="O64" s="220"/>
      <c r="P64" s="464">
        <f>1-N64/N56</f>
        <v>0.67926404773744409</v>
      </c>
      <c r="Q64" s="220"/>
      <c r="R64" s="215">
        <v>-90</v>
      </c>
      <c r="S64" s="220"/>
      <c r="T64" s="347">
        <f>1-R64/R56</f>
        <v>1.034338038916444</v>
      </c>
      <c r="U64" s="220"/>
      <c r="V64" s="215">
        <v>-448</v>
      </c>
      <c r="W64" s="220"/>
      <c r="X64" s="464">
        <f>1-V64/V56</f>
        <v>1.2252388134741077</v>
      </c>
      <c r="Y64" s="220"/>
      <c r="Z64" s="215">
        <v>-414</v>
      </c>
      <c r="AA64" s="220"/>
      <c r="AB64" s="464">
        <f>1-Z64/Z56</f>
        <v>3.0294117647058822</v>
      </c>
      <c r="AC64" s="220"/>
      <c r="AD64" s="215">
        <v>-375</v>
      </c>
      <c r="AE64" s="220"/>
      <c r="AF64" s="464">
        <f>1-AD64/AD56</f>
        <v>1.0486507524649715</v>
      </c>
      <c r="AG64" s="220"/>
      <c r="AH64" s="215">
        <v>-173</v>
      </c>
      <c r="AI64" s="220"/>
      <c r="AJ64" s="464">
        <f>1-AH64/AH56</f>
        <v>2.1849315068493151</v>
      </c>
      <c r="AK64" s="220"/>
      <c r="AL64" s="215">
        <v>-214</v>
      </c>
      <c r="AM64" s="220"/>
      <c r="AN64" s="1696" t="s">
        <v>272</v>
      </c>
      <c r="AO64" s="220"/>
      <c r="AP64" s="215">
        <v>-412</v>
      </c>
      <c r="AQ64" s="220"/>
      <c r="AR64" s="464">
        <f>1-AP64/AP56</f>
        <v>3.1914893617021276</v>
      </c>
      <c r="AS64" s="223"/>
    </row>
    <row r="65" spans="1:46" outlineLevel="1" x14ac:dyDescent="0.3">
      <c r="A65" s="214" t="s">
        <v>1080</v>
      </c>
      <c r="B65" s="1701"/>
      <c r="C65" s="220"/>
      <c r="D65" s="728"/>
      <c r="E65" s="220"/>
      <c r="F65" s="215">
        <v>655</v>
      </c>
      <c r="G65" s="220"/>
      <c r="H65" s="464">
        <f>1-F65/F57</f>
        <v>0.84935602575896962</v>
      </c>
      <c r="I65" s="220"/>
      <c r="J65" s="215">
        <v>295</v>
      </c>
      <c r="K65" s="220"/>
      <c r="L65" s="464">
        <f>1-J65/J57</f>
        <v>0.9444025631360724</v>
      </c>
      <c r="M65" s="220"/>
      <c r="N65" s="215">
        <v>-338</v>
      </c>
      <c r="O65" s="220"/>
      <c r="P65" s="464">
        <f>1-N65/N57</f>
        <v>1.0800189393939394</v>
      </c>
      <c r="Q65" s="220"/>
      <c r="R65" s="215">
        <v>203</v>
      </c>
      <c r="S65" s="220"/>
      <c r="T65" s="347">
        <f>1-R65/R57</f>
        <v>0.941312518068806</v>
      </c>
      <c r="U65" s="220"/>
      <c r="V65" s="215">
        <v>15</v>
      </c>
      <c r="W65" s="220"/>
      <c r="X65" s="464">
        <f>1-V65/V57</f>
        <v>0.99614791987673346</v>
      </c>
      <c r="Y65" s="220"/>
      <c r="Z65" s="215">
        <v>962</v>
      </c>
      <c r="AA65" s="220"/>
      <c r="AB65" s="464">
        <f>1-Z65/Z57</f>
        <v>0.75477950548049966</v>
      </c>
      <c r="AC65" s="220"/>
      <c r="AD65" s="215">
        <v>325</v>
      </c>
      <c r="AE65" s="220"/>
      <c r="AF65" s="464">
        <f>1-AD65/AD57</f>
        <v>0.87581199847153224</v>
      </c>
      <c r="AG65" s="220"/>
      <c r="AH65" s="215">
        <v>243</v>
      </c>
      <c r="AI65" s="220"/>
      <c r="AJ65" s="464">
        <f>1-AH65/AH57</f>
        <v>0.907744874715262</v>
      </c>
      <c r="AK65" s="220"/>
      <c r="AL65" s="215">
        <v>323</v>
      </c>
      <c r="AM65" s="220"/>
      <c r="AN65" s="464">
        <f>1-AL65/AL57</f>
        <v>0.8589519650655022</v>
      </c>
      <c r="AO65" s="220"/>
      <c r="AP65" s="215">
        <v>444</v>
      </c>
      <c r="AQ65" s="220"/>
      <c r="AR65" s="464">
        <f>1-AP65/AP57</f>
        <v>0.78488372093023262</v>
      </c>
      <c r="AS65" s="223"/>
    </row>
    <row r="66" spans="1:46" ht="18.600000000000001" outlineLevel="1" x14ac:dyDescent="0.3">
      <c r="A66" s="214" t="s">
        <v>1864</v>
      </c>
      <c r="B66" s="215">
        <v>-173</v>
      </c>
      <c r="C66" s="220"/>
      <c r="D66" s="464">
        <f>1-B66/B58</f>
        <v>1.0645281611339052</v>
      </c>
      <c r="E66" s="220"/>
      <c r="F66" s="215">
        <v>379</v>
      </c>
      <c r="G66" s="220"/>
      <c r="H66" s="464">
        <f>1-F66/F58</f>
        <v>0.88546388637050466</v>
      </c>
      <c r="I66" s="220"/>
      <c r="J66" s="215">
        <v>-190</v>
      </c>
      <c r="K66" s="220"/>
      <c r="L66" s="464">
        <f>1-J66/J58</f>
        <v>1.0670667137310272</v>
      </c>
      <c r="M66" s="220"/>
      <c r="N66" s="215">
        <v>-700</v>
      </c>
      <c r="O66" s="220"/>
      <c r="P66" s="464">
        <f>1-N66/N58</f>
        <v>1.3239241092086997</v>
      </c>
      <c r="Q66" s="220"/>
      <c r="R66" s="215">
        <v>-197</v>
      </c>
      <c r="S66" s="220"/>
      <c r="T66" s="347">
        <f>1-R66/R58</f>
        <v>1.0830172777075431</v>
      </c>
      <c r="U66" s="220"/>
      <c r="V66" s="215">
        <v>-99</v>
      </c>
      <c r="W66" s="397"/>
      <c r="X66" s="2557" t="s">
        <v>826</v>
      </c>
      <c r="Y66" s="220"/>
      <c r="Z66" s="686"/>
      <c r="AA66" s="220"/>
      <c r="AB66" s="686"/>
      <c r="AC66" s="220"/>
      <c r="AD66" s="686"/>
      <c r="AE66" s="220"/>
      <c r="AF66" s="686"/>
      <c r="AG66" s="220"/>
      <c r="AH66" s="686"/>
      <c r="AI66" s="220"/>
      <c r="AJ66" s="686"/>
      <c r="AK66" s="220"/>
      <c r="AL66" s="686"/>
      <c r="AM66" s="220"/>
      <c r="AN66" s="686"/>
      <c r="AO66" s="220"/>
      <c r="AP66" s="686"/>
      <c r="AQ66" s="220"/>
      <c r="AR66" s="686"/>
      <c r="AS66" s="223"/>
    </row>
    <row r="67" spans="1:46" outlineLevel="1" x14ac:dyDescent="0.3">
      <c r="A67" s="214" t="s">
        <v>1679</v>
      </c>
      <c r="B67" s="1282">
        <f>SUM(B62:B66)</f>
        <v>606</v>
      </c>
      <c r="C67" s="220"/>
      <c r="D67" s="228">
        <f>1-B67/B59</f>
        <v>0.94009489916963229</v>
      </c>
      <c r="E67" s="220"/>
      <c r="F67" s="1282">
        <f>SUM(F62:F66)</f>
        <v>1294</v>
      </c>
      <c r="G67" s="220"/>
      <c r="H67" s="228">
        <f>1-F67/F59</f>
        <v>0.85272023674026864</v>
      </c>
      <c r="I67" s="220"/>
      <c r="J67" s="1282">
        <f>SUM(J62:J66)</f>
        <v>304</v>
      </c>
      <c r="K67" s="220"/>
      <c r="L67" s="228">
        <f>1-J67/J59</f>
        <v>0.96856906534325893</v>
      </c>
      <c r="M67" s="220"/>
      <c r="N67" s="1282">
        <f>SUM(N62:N66)</f>
        <v>-714</v>
      </c>
      <c r="O67" s="220"/>
      <c r="P67" s="228">
        <f>1-N67/N59</f>
        <v>1.0780583797966545</v>
      </c>
      <c r="Q67" s="220"/>
      <c r="R67" s="1282">
        <f>SUM(R62:R66)</f>
        <v>176</v>
      </c>
      <c r="S67" s="220"/>
      <c r="T67" s="229">
        <f>1-R67/R59</f>
        <v>0.98060819744380789</v>
      </c>
      <c r="U67" s="220"/>
      <c r="V67" s="1282">
        <f>SUM(V62:V66)</f>
        <v>250</v>
      </c>
      <c r="W67" s="220"/>
      <c r="X67" s="228">
        <f>1-V67/V59</f>
        <v>0.96271995228153895</v>
      </c>
      <c r="Y67" s="220"/>
      <c r="Z67" s="1282">
        <f>SUM(Z62:Z66)</f>
        <v>1324</v>
      </c>
      <c r="AA67" s="220"/>
      <c r="AB67" s="228">
        <f>1-Z67/Z59</f>
        <v>0.73947264856355766</v>
      </c>
      <c r="AC67" s="220"/>
      <c r="AD67" s="505">
        <f>SUM(AD62:AD65)</f>
        <v>1427</v>
      </c>
      <c r="AE67" s="220"/>
      <c r="AF67" s="228">
        <f>1-AD67/AD59</f>
        <v>0.88010418417072755</v>
      </c>
      <c r="AG67" s="220"/>
      <c r="AH67" s="505">
        <f>SUM(AH62:AH65)</f>
        <v>1658</v>
      </c>
      <c r="AI67" s="220"/>
      <c r="AJ67" s="228">
        <f>1-AH67/AH59</f>
        <v>0.66680064308681675</v>
      </c>
      <c r="AK67" s="220"/>
      <c r="AL67" s="505">
        <f>SUM(AL62:AL65)</f>
        <v>-1069</v>
      </c>
      <c r="AM67" s="220"/>
      <c r="AN67" s="228">
        <f>1-AL67/AL59</f>
        <v>1.2697451425687611</v>
      </c>
      <c r="AO67" s="220"/>
      <c r="AP67" s="505">
        <f>SUM(AP62:AP65)</f>
        <v>417</v>
      </c>
      <c r="AQ67" s="220"/>
      <c r="AR67" s="228">
        <f>1-AP67/AP59</f>
        <v>0.8877221324717286</v>
      </c>
      <c r="AS67" s="223"/>
    </row>
    <row r="68" spans="1:46" ht="4.5" customHeight="1" x14ac:dyDescent="0.3">
      <c r="A68" s="214"/>
      <c r="B68" s="220"/>
      <c r="C68" s="220"/>
      <c r="D68" s="220"/>
      <c r="E68" s="220"/>
      <c r="F68" s="220"/>
      <c r="G68" s="220"/>
      <c r="H68" s="220"/>
      <c r="I68" s="220"/>
      <c r="J68" s="220"/>
      <c r="K68" s="220"/>
      <c r="L68" s="220"/>
      <c r="M68" s="220"/>
      <c r="N68" s="220"/>
      <c r="O68" s="220"/>
      <c r="P68" s="220"/>
      <c r="Q68" s="220"/>
      <c r="R68" s="220"/>
      <c r="S68" s="220"/>
      <c r="T68" s="223"/>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3"/>
    </row>
    <row r="69" spans="1:46" ht="4.5" customHeight="1" x14ac:dyDescent="0.3">
      <c r="A69" s="1155"/>
      <c r="B69" s="1278"/>
      <c r="C69" s="686"/>
      <c r="D69" s="728"/>
      <c r="E69" s="728"/>
      <c r="F69" s="1278"/>
      <c r="G69" s="686"/>
      <c r="H69" s="728"/>
      <c r="I69" s="728"/>
      <c r="J69" s="1278"/>
      <c r="K69" s="686"/>
      <c r="L69" s="728"/>
      <c r="M69" s="728"/>
      <c r="N69" s="1278"/>
      <c r="O69" s="686"/>
      <c r="P69" s="728"/>
      <c r="Q69" s="728"/>
      <c r="R69" s="1278"/>
      <c r="S69" s="686"/>
      <c r="T69" s="1518"/>
      <c r="U69" s="728"/>
      <c r="V69" s="1278"/>
      <c r="W69" s="686"/>
      <c r="X69" s="728"/>
      <c r="Y69" s="728"/>
      <c r="Z69" s="1278"/>
      <c r="AA69" s="686"/>
      <c r="AB69" s="728"/>
      <c r="AC69" s="728"/>
      <c r="AD69" s="1278"/>
      <c r="AE69" s="686"/>
      <c r="AF69" s="728"/>
      <c r="AG69" s="728"/>
      <c r="AH69" s="1278"/>
      <c r="AI69" s="686"/>
      <c r="AJ69" s="728"/>
      <c r="AK69" s="728"/>
      <c r="AL69" s="1278"/>
      <c r="AM69" s="686"/>
      <c r="AN69" s="728"/>
      <c r="AO69" s="728"/>
      <c r="AP69" s="1278"/>
      <c r="AQ69" s="686"/>
      <c r="AR69" s="728"/>
      <c r="AS69" s="1279"/>
    </row>
    <row r="70" spans="1:46" ht="4.5" customHeight="1" x14ac:dyDescent="0.3">
      <c r="A70" s="214"/>
      <c r="B70" s="875"/>
      <c r="C70" s="215"/>
      <c r="D70" s="464"/>
      <c r="E70" s="464"/>
      <c r="F70" s="875"/>
      <c r="G70" s="215"/>
      <c r="H70" s="464"/>
      <c r="I70" s="464"/>
      <c r="J70" s="875"/>
      <c r="K70" s="215"/>
      <c r="L70" s="464"/>
      <c r="M70" s="464"/>
      <c r="N70" s="875"/>
      <c r="O70" s="215"/>
      <c r="P70" s="464"/>
      <c r="Q70" s="464"/>
      <c r="R70" s="875"/>
      <c r="S70" s="215"/>
      <c r="T70" s="347"/>
      <c r="U70" s="464"/>
      <c r="V70" s="875"/>
      <c r="W70" s="215"/>
      <c r="X70" s="464"/>
      <c r="Y70" s="464"/>
      <c r="Z70" s="875"/>
      <c r="AA70" s="215"/>
      <c r="AB70" s="464"/>
      <c r="AC70" s="464"/>
      <c r="AD70" s="875"/>
      <c r="AE70" s="215"/>
      <c r="AF70" s="464"/>
      <c r="AG70" s="464"/>
      <c r="AH70" s="875"/>
      <c r="AI70" s="215"/>
      <c r="AJ70" s="464"/>
      <c r="AK70" s="464"/>
      <c r="AL70" s="875"/>
      <c r="AM70" s="215"/>
      <c r="AN70" s="464"/>
      <c r="AO70" s="464"/>
      <c r="AP70" s="875"/>
      <c r="AQ70" s="215"/>
      <c r="AR70" s="464"/>
      <c r="AS70" s="223"/>
    </row>
    <row r="71" spans="1:46" x14ac:dyDescent="0.3">
      <c r="A71" s="213" t="s">
        <v>1083</v>
      </c>
      <c r="B71" s="887"/>
      <c r="C71" s="886"/>
      <c r="D71" s="887"/>
      <c r="E71" s="887"/>
      <c r="F71" s="887"/>
      <c r="G71" s="886"/>
      <c r="H71" s="887"/>
      <c r="I71" s="887"/>
      <c r="J71" s="887"/>
      <c r="K71" s="886"/>
      <c r="L71" s="887"/>
      <c r="M71" s="887"/>
      <c r="N71" s="887"/>
      <c r="O71" s="886"/>
      <c r="P71" s="887"/>
      <c r="Q71" s="887"/>
      <c r="R71" s="887"/>
      <c r="S71" s="886"/>
      <c r="T71" s="1267"/>
      <c r="U71" s="887"/>
      <c r="V71" s="887"/>
      <c r="W71" s="886"/>
      <c r="X71" s="887"/>
      <c r="Y71" s="887"/>
      <c r="Z71" s="887"/>
      <c r="AA71" s="886"/>
      <c r="AB71" s="887"/>
      <c r="AC71" s="887"/>
      <c r="AD71" s="887"/>
      <c r="AE71" s="886"/>
      <c r="AF71" s="887"/>
      <c r="AG71" s="887"/>
      <c r="AH71" s="887"/>
      <c r="AI71" s="886"/>
      <c r="AJ71" s="887"/>
      <c r="AK71" s="887"/>
      <c r="AL71" s="887"/>
      <c r="AM71" s="886"/>
      <c r="AN71" s="887"/>
      <c r="AO71" s="887"/>
      <c r="AP71" s="887"/>
      <c r="AQ71" s="886"/>
      <c r="AR71" s="887"/>
      <c r="AS71" s="223"/>
    </row>
    <row r="72" spans="1:46" ht="18.600000000000001" x14ac:dyDescent="0.3">
      <c r="A72" s="214" t="s">
        <v>1865</v>
      </c>
      <c r="B72" s="1372">
        <f>B78-B59-B31-B10</f>
        <v>4377</v>
      </c>
      <c r="C72" s="215"/>
      <c r="D72" s="868">
        <f>B72/B$72</f>
        <v>1</v>
      </c>
      <c r="E72" s="464"/>
      <c r="F72" s="1372">
        <f>F78-F59-F31-F10</f>
        <v>3342</v>
      </c>
      <c r="G72" s="215"/>
      <c r="H72" s="868">
        <f>F72/F$72</f>
        <v>1</v>
      </c>
      <c r="I72" s="464"/>
      <c r="J72" s="1372">
        <f>J78-J59-J31-J10</f>
        <v>2263</v>
      </c>
      <c r="K72" s="215"/>
      <c r="L72" s="868">
        <f>J72/J$72</f>
        <v>1</v>
      </c>
      <c r="M72" s="464"/>
      <c r="N72" s="1372">
        <f>N78-N59-N31-N10</f>
        <v>1749</v>
      </c>
      <c r="O72" s="215"/>
      <c r="P72" s="868">
        <f>N72/N$72</f>
        <v>1</v>
      </c>
      <c r="Q72" s="464"/>
      <c r="R72" s="1372">
        <f>R78-R59-R31-R10</f>
        <v>1697</v>
      </c>
      <c r="S72" s="215"/>
      <c r="T72" s="870">
        <f>R72/R$72</f>
        <v>1</v>
      </c>
      <c r="U72" s="464"/>
      <c r="V72" s="1372">
        <v>1773</v>
      </c>
      <c r="W72" s="215"/>
      <c r="X72" s="868">
        <f>V72/V$72</f>
        <v>1</v>
      </c>
      <c r="Y72" s="464"/>
      <c r="Z72" s="1372">
        <v>1950</v>
      </c>
      <c r="AA72" s="215"/>
      <c r="AB72" s="868">
        <f>Z72/Z$72</f>
        <v>1</v>
      </c>
      <c r="AC72" s="464"/>
      <c r="AD72" s="1372">
        <v>1999</v>
      </c>
      <c r="AE72" s="215"/>
      <c r="AF72" s="868">
        <f>AD72/AD$72</f>
        <v>1</v>
      </c>
      <c r="AG72" s="464"/>
      <c r="AH72" s="1372">
        <v>1858</v>
      </c>
      <c r="AI72" s="215"/>
      <c r="AJ72" s="868">
        <f>AH72/AH$72</f>
        <v>1</v>
      </c>
      <c r="AK72" s="464"/>
      <c r="AL72" s="1372">
        <v>1498</v>
      </c>
      <c r="AM72" s="215"/>
      <c r="AN72" s="868">
        <f>AL72/AL$72</f>
        <v>1</v>
      </c>
      <c r="AO72" s="464"/>
      <c r="AP72" s="1372">
        <v>1211</v>
      </c>
      <c r="AQ72" s="215"/>
      <c r="AR72" s="868">
        <f>AP72/AP$72</f>
        <v>1</v>
      </c>
      <c r="AS72" s="347"/>
      <c r="AT72" s="227"/>
    </row>
    <row r="73" spans="1:46" x14ac:dyDescent="0.3">
      <c r="A73" s="214" t="s">
        <v>685</v>
      </c>
      <c r="B73" s="215">
        <f>B72-B74</f>
        <v>3751</v>
      </c>
      <c r="C73" s="215"/>
      <c r="D73" s="464">
        <f>B73/B$72</f>
        <v>0.85697966643819967</v>
      </c>
      <c r="E73" s="464"/>
      <c r="F73" s="215">
        <f>F72-F74</f>
        <v>2957</v>
      </c>
      <c r="G73" s="215"/>
      <c r="H73" s="464">
        <f>F73/F$72</f>
        <v>0.88479952124476358</v>
      </c>
      <c r="I73" s="464"/>
      <c r="J73" s="215">
        <f>J72-J74</f>
        <v>1977</v>
      </c>
      <c r="K73" s="215"/>
      <c r="L73" s="464">
        <f>J73/J$72</f>
        <v>0.87361908970393287</v>
      </c>
      <c r="M73" s="464"/>
      <c r="N73" s="215">
        <f>N72-N74</f>
        <v>1507</v>
      </c>
      <c r="O73" s="215"/>
      <c r="P73" s="464">
        <f>N73/N$72</f>
        <v>0.86163522012578619</v>
      </c>
      <c r="Q73" s="464"/>
      <c r="R73" s="215">
        <f>R72-R74</f>
        <v>1429</v>
      </c>
      <c r="S73" s="215"/>
      <c r="T73" s="347">
        <f>R73/R$72</f>
        <v>0.84207424867413083</v>
      </c>
      <c r="U73" s="464"/>
      <c r="V73" s="215">
        <f>V72-V74</f>
        <v>1689</v>
      </c>
      <c r="W73" s="215"/>
      <c r="X73" s="464">
        <f>V73/V$72</f>
        <v>0.95262267343485618</v>
      </c>
      <c r="Y73" s="464"/>
      <c r="Z73" s="215">
        <f>Z72-Z74</f>
        <v>1740</v>
      </c>
      <c r="AA73" s="215"/>
      <c r="AB73" s="464">
        <f>Z73/Z$72</f>
        <v>0.89230769230769236</v>
      </c>
      <c r="AC73" s="464"/>
      <c r="AD73" s="215">
        <f>AD72-AD74</f>
        <v>1720</v>
      </c>
      <c r="AE73" s="215"/>
      <c r="AF73" s="464">
        <f>AD73/AD$72</f>
        <v>0.8604302151075538</v>
      </c>
      <c r="AG73" s="464"/>
      <c r="AH73" s="215">
        <f>AH72-AH74</f>
        <v>1518</v>
      </c>
      <c r="AI73" s="215"/>
      <c r="AJ73" s="464">
        <f>AH73/AH$72</f>
        <v>0.81700753498385359</v>
      </c>
      <c r="AK73" s="464"/>
      <c r="AL73" s="215">
        <f>AL72-AL74</f>
        <v>1263</v>
      </c>
      <c r="AM73" s="215"/>
      <c r="AN73" s="464">
        <f>AL73/AL$72</f>
        <v>0.8431241655540721</v>
      </c>
      <c r="AO73" s="464"/>
      <c r="AP73" s="215">
        <f>AP72-AP74</f>
        <v>1050</v>
      </c>
      <c r="AQ73" s="215"/>
      <c r="AR73" s="464">
        <f>AP73/AP$72</f>
        <v>0.86705202312138729</v>
      </c>
      <c r="AS73" s="347"/>
      <c r="AT73" s="227"/>
    </row>
    <row r="74" spans="1:46" x14ac:dyDescent="0.3">
      <c r="A74" s="214" t="s">
        <v>686</v>
      </c>
      <c r="B74" s="1570">
        <v>626</v>
      </c>
      <c r="C74" s="215"/>
      <c r="D74" s="228">
        <f>B74/B72</f>
        <v>0.14302033356180033</v>
      </c>
      <c r="E74" s="464"/>
      <c r="F74" s="1570">
        <v>385</v>
      </c>
      <c r="G74" s="215"/>
      <c r="H74" s="228">
        <f>F74/F72</f>
        <v>0.11520047875523638</v>
      </c>
      <c r="I74" s="464"/>
      <c r="J74" s="1570">
        <v>286</v>
      </c>
      <c r="K74" s="215"/>
      <c r="L74" s="228">
        <f>J74/J72</f>
        <v>0.12638091029606716</v>
      </c>
      <c r="M74" s="464"/>
      <c r="N74" s="1570">
        <v>242</v>
      </c>
      <c r="O74" s="215"/>
      <c r="P74" s="228">
        <f>N74/N72</f>
        <v>0.13836477987421383</v>
      </c>
      <c r="Q74" s="464"/>
      <c r="R74" s="1570">
        <v>268</v>
      </c>
      <c r="S74" s="215"/>
      <c r="T74" s="229">
        <f>R74/R72</f>
        <v>0.15792575132586917</v>
      </c>
      <c r="U74" s="464"/>
      <c r="V74" s="1570">
        <v>84</v>
      </c>
      <c r="W74" s="215"/>
      <c r="X74" s="228">
        <f>V74/V72</f>
        <v>4.7377326565143825E-2</v>
      </c>
      <c r="Y74" s="464"/>
      <c r="Z74" s="1570">
        <v>210</v>
      </c>
      <c r="AA74" s="215"/>
      <c r="AB74" s="228">
        <f>Z74/Z72</f>
        <v>0.1076923076923077</v>
      </c>
      <c r="AC74" s="464"/>
      <c r="AD74" s="1570">
        <v>279</v>
      </c>
      <c r="AE74" s="215"/>
      <c r="AF74" s="228">
        <f>AD74/AD72</f>
        <v>0.13956978489244623</v>
      </c>
      <c r="AG74" s="464"/>
      <c r="AH74" s="1570">
        <v>340</v>
      </c>
      <c r="AI74" s="215"/>
      <c r="AJ74" s="228">
        <f>AH74/AH72</f>
        <v>0.18299246501614638</v>
      </c>
      <c r="AK74" s="464"/>
      <c r="AL74" s="1570">
        <v>235</v>
      </c>
      <c r="AM74" s="215"/>
      <c r="AN74" s="228">
        <f>AL74/AL72</f>
        <v>0.1568758344459279</v>
      </c>
      <c r="AO74" s="464"/>
      <c r="AP74" s="1570">
        <v>161</v>
      </c>
      <c r="AQ74" s="215"/>
      <c r="AR74" s="228">
        <f>AP74/AP72</f>
        <v>0.13294797687861271</v>
      </c>
      <c r="AS74" s="347"/>
      <c r="AT74" s="227"/>
    </row>
    <row r="75" spans="1:46" ht="4.5" customHeight="1" collapsed="1" x14ac:dyDescent="0.3">
      <c r="A75" s="214"/>
      <c r="B75" s="220"/>
      <c r="C75" s="220"/>
      <c r="D75" s="220"/>
      <c r="E75" s="220"/>
      <c r="F75" s="220"/>
      <c r="G75" s="220"/>
      <c r="H75" s="220"/>
      <c r="I75" s="220"/>
      <c r="J75" s="220"/>
      <c r="K75" s="220"/>
      <c r="L75" s="220"/>
      <c r="M75" s="220"/>
      <c r="N75" s="220"/>
      <c r="O75" s="220"/>
      <c r="P75" s="220"/>
      <c r="Q75" s="220"/>
      <c r="R75" s="220"/>
      <c r="S75" s="220"/>
      <c r="T75" s="223"/>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3"/>
    </row>
    <row r="76" spans="1:46" ht="4.5" customHeight="1" x14ac:dyDescent="0.3">
      <c r="A76" s="1155"/>
      <c r="B76" s="1278"/>
      <c r="C76" s="686"/>
      <c r="D76" s="728"/>
      <c r="E76" s="728"/>
      <c r="F76" s="1278"/>
      <c r="G76" s="686"/>
      <c r="H76" s="728"/>
      <c r="I76" s="728"/>
      <c r="J76" s="1278"/>
      <c r="K76" s="686"/>
      <c r="L76" s="728"/>
      <c r="M76" s="728"/>
      <c r="N76" s="1278"/>
      <c r="O76" s="686"/>
      <c r="P76" s="728"/>
      <c r="Q76" s="728"/>
      <c r="R76" s="1278"/>
      <c r="S76" s="686"/>
      <c r="T76" s="1518"/>
      <c r="U76" s="728"/>
      <c r="V76" s="1278"/>
      <c r="W76" s="686"/>
      <c r="X76" s="728"/>
      <c r="Y76" s="728"/>
      <c r="Z76" s="1278"/>
      <c r="AA76" s="686"/>
      <c r="AB76" s="728"/>
      <c r="AC76" s="728"/>
      <c r="AD76" s="1278"/>
      <c r="AE76" s="686"/>
      <c r="AF76" s="728"/>
      <c r="AG76" s="728"/>
      <c r="AH76" s="1278"/>
      <c r="AI76" s="686"/>
      <c r="AJ76" s="728"/>
      <c r="AK76" s="728"/>
      <c r="AL76" s="1278"/>
      <c r="AM76" s="686"/>
      <c r="AN76" s="728"/>
      <c r="AO76" s="728"/>
      <c r="AP76" s="1278"/>
      <c r="AQ76" s="686"/>
      <c r="AR76" s="728"/>
      <c r="AS76" s="1279"/>
    </row>
    <row r="77" spans="1:46" ht="4.5" customHeight="1" x14ac:dyDescent="0.3">
      <c r="A77" s="214"/>
      <c r="B77" s="875"/>
      <c r="C77" s="215"/>
      <c r="D77" s="464"/>
      <c r="E77" s="464"/>
      <c r="F77" s="875"/>
      <c r="G77" s="215"/>
      <c r="H77" s="464"/>
      <c r="I77" s="464"/>
      <c r="J77" s="875"/>
      <c r="K77" s="215"/>
      <c r="L77" s="464"/>
      <c r="M77" s="464"/>
      <c r="N77" s="875"/>
      <c r="O77" s="215"/>
      <c r="P77" s="464"/>
      <c r="Q77" s="464"/>
      <c r="R77" s="875"/>
      <c r="S77" s="215"/>
      <c r="T77" s="347"/>
      <c r="U77" s="464"/>
      <c r="V77" s="875"/>
      <c r="W77" s="215"/>
      <c r="X77" s="464"/>
      <c r="Y77" s="464"/>
      <c r="Z77" s="875"/>
      <c r="AA77" s="215"/>
      <c r="AB77" s="464"/>
      <c r="AC77" s="464"/>
      <c r="AD77" s="875"/>
      <c r="AE77" s="215"/>
      <c r="AF77" s="464"/>
      <c r="AG77" s="464"/>
      <c r="AH77" s="875"/>
      <c r="AI77" s="215"/>
      <c r="AJ77" s="464"/>
      <c r="AK77" s="464"/>
      <c r="AL77" s="875"/>
      <c r="AM77" s="215"/>
      <c r="AN77" s="464"/>
      <c r="AO77" s="464"/>
      <c r="AP77" s="875"/>
      <c r="AQ77" s="215"/>
      <c r="AR77" s="464"/>
      <c r="AS77" s="223"/>
    </row>
    <row r="78" spans="1:46" s="658" customFormat="1" hidden="1" outlineLevel="1" x14ac:dyDescent="0.3">
      <c r="A78" s="1404" t="s">
        <v>1871</v>
      </c>
      <c r="B78" s="1578">
        <v>41253</v>
      </c>
      <c r="C78" s="1579"/>
      <c r="D78" s="1579"/>
      <c r="E78" s="1579"/>
      <c r="F78" s="1578">
        <v>36684</v>
      </c>
      <c r="G78" s="1579"/>
      <c r="H78" s="1579"/>
      <c r="I78" s="1579"/>
      <c r="J78" s="1578">
        <v>34545</v>
      </c>
      <c r="K78" s="1579"/>
      <c r="L78" s="1579"/>
      <c r="M78" s="1579"/>
      <c r="N78" s="1578">
        <v>32075</v>
      </c>
      <c r="O78" s="1579"/>
      <c r="P78" s="1579"/>
      <c r="Q78" s="1579"/>
      <c r="R78" s="1578">
        <v>30749</v>
      </c>
      <c r="S78" s="1579"/>
      <c r="T78" s="1569"/>
      <c r="U78" s="1579"/>
      <c r="V78" s="1578">
        <v>27884</v>
      </c>
      <c r="W78" s="1579"/>
      <c r="X78" s="1579"/>
      <c r="Y78" s="1579"/>
      <c r="Z78" s="1578">
        <v>25525</v>
      </c>
      <c r="AA78" s="1579"/>
      <c r="AB78" s="1579"/>
      <c r="AC78" s="1579"/>
      <c r="AD78" s="1578">
        <v>31783</v>
      </c>
      <c r="AE78" s="1579"/>
      <c r="AF78" s="1579"/>
      <c r="AG78" s="1579"/>
      <c r="AH78" s="1578">
        <v>23964</v>
      </c>
      <c r="AI78" s="1579"/>
      <c r="AJ78" s="1579"/>
      <c r="AK78" s="1579"/>
      <c r="AL78" s="1578">
        <v>21997</v>
      </c>
      <c r="AM78" s="1579"/>
      <c r="AN78" s="1579"/>
      <c r="AO78" s="1579"/>
      <c r="AP78" s="1580">
        <v>21085</v>
      </c>
      <c r="AQ78" s="1579"/>
      <c r="AR78" s="1579"/>
      <c r="AS78" s="1569"/>
    </row>
    <row r="79" spans="1:46" s="612" customFormat="1" collapsed="1" x14ac:dyDescent="0.3">
      <c r="A79" s="734" t="s">
        <v>101</v>
      </c>
      <c r="B79" s="1159">
        <f>B72+B59+B31+B10</f>
        <v>41253</v>
      </c>
      <c r="C79" s="397"/>
      <c r="D79" s="397"/>
      <c r="E79" s="397"/>
      <c r="F79" s="1159">
        <f>F72+F59+F31+F10</f>
        <v>36684</v>
      </c>
      <c r="G79" s="397"/>
      <c r="H79" s="397"/>
      <c r="I79" s="397"/>
      <c r="J79" s="1159">
        <f>J72+J59+J31+J10</f>
        <v>34545</v>
      </c>
      <c r="K79" s="397"/>
      <c r="L79" s="397"/>
      <c r="M79" s="397"/>
      <c r="N79" s="1159">
        <f>N72+N59+N31+N10</f>
        <v>32075</v>
      </c>
      <c r="O79" s="397"/>
      <c r="P79" s="397"/>
      <c r="Q79" s="397"/>
      <c r="R79" s="1159">
        <f>R72+R59+R31+R10</f>
        <v>30749</v>
      </c>
      <c r="S79" s="397"/>
      <c r="T79" s="1281"/>
      <c r="U79" s="397"/>
      <c r="V79" s="1159">
        <f>V72+V59+V31+V10</f>
        <v>27884</v>
      </c>
      <c r="W79" s="397"/>
      <c r="X79" s="397"/>
      <c r="Y79" s="397"/>
      <c r="Z79" s="1159">
        <f>Z72+Z59+Z31+Z10</f>
        <v>25525</v>
      </c>
      <c r="AA79" s="397"/>
      <c r="AB79" s="397"/>
      <c r="AC79" s="397"/>
      <c r="AD79" s="1159">
        <f>AD72+AD59+AD31+AD10</f>
        <v>31783</v>
      </c>
      <c r="AE79" s="397"/>
      <c r="AF79" s="397"/>
      <c r="AG79" s="397"/>
      <c r="AH79" s="1159">
        <f>AH72+AH59+AH31+AH10</f>
        <v>23964</v>
      </c>
      <c r="AI79" s="397"/>
      <c r="AJ79" s="397"/>
      <c r="AK79" s="397"/>
      <c r="AL79" s="1159">
        <f>AL72+AL59+AL31+AL10</f>
        <v>21997</v>
      </c>
      <c r="AM79" s="397"/>
      <c r="AN79" s="397"/>
      <c r="AO79" s="397"/>
      <c r="AP79" s="1159">
        <f>AP72+AP59+AP31+AP10</f>
        <v>21085</v>
      </c>
      <c r="AQ79" s="397"/>
      <c r="AR79" s="397"/>
      <c r="AS79" s="1281"/>
    </row>
    <row r="80" spans="1:46" s="612" customFormat="1" x14ac:dyDescent="0.3">
      <c r="A80" s="734" t="s">
        <v>1869</v>
      </c>
      <c r="B80" s="1581">
        <f>B74+B67+B38+B14</f>
        <v>2668</v>
      </c>
      <c r="C80" s="1344"/>
      <c r="D80" s="1344"/>
      <c r="E80" s="1344"/>
      <c r="F80" s="1581">
        <f>F74+F67+F38+F14</f>
        <v>3089</v>
      </c>
      <c r="G80" s="1344"/>
      <c r="H80" s="1344"/>
      <c r="I80" s="1344"/>
      <c r="J80" s="1581">
        <f>J74+J67+J38+J14</f>
        <v>1625</v>
      </c>
      <c r="K80" s="1344"/>
      <c r="L80" s="1344"/>
      <c r="M80" s="1344"/>
      <c r="N80" s="1581">
        <f>N74+N67+N38+N14</f>
        <v>248</v>
      </c>
      <c r="O80" s="1344"/>
      <c r="P80" s="1344"/>
      <c r="Q80" s="1344"/>
      <c r="R80" s="1581">
        <f>R74+R67+R38+R14</f>
        <v>2013</v>
      </c>
      <c r="S80" s="1344"/>
      <c r="T80" s="1695"/>
      <c r="U80" s="1344"/>
      <c r="V80" s="1581">
        <f>V74+V67+V38+V14</f>
        <v>1460</v>
      </c>
      <c r="W80" s="1344"/>
      <c r="X80" s="1344"/>
      <c r="Y80" s="1344"/>
      <c r="Z80" s="1581">
        <f>Z74+Z67+Z38+Z14</f>
        <v>2792</v>
      </c>
      <c r="AA80" s="1344"/>
      <c r="AB80" s="1344"/>
      <c r="AC80" s="1344"/>
      <c r="AD80" s="1581">
        <f>AD74+AD67+AD38+AD14</f>
        <v>3374</v>
      </c>
      <c r="AE80" s="1344"/>
      <c r="AF80" s="1344"/>
      <c r="AG80" s="1344"/>
      <c r="AH80" s="1581">
        <f>AH74+AH67+AH38+AH14</f>
        <v>3838</v>
      </c>
      <c r="AI80" s="1344"/>
      <c r="AJ80" s="1344"/>
      <c r="AK80" s="1344"/>
      <c r="AL80" s="1581">
        <f>AL74+AL67+AL38+AL14</f>
        <v>53</v>
      </c>
      <c r="AM80" s="1344"/>
      <c r="AN80" s="1344"/>
      <c r="AO80" s="1344"/>
      <c r="AP80" s="1581">
        <f>AP74+AP67+AP38+AP14</f>
        <v>1551</v>
      </c>
      <c r="AQ80" s="397"/>
      <c r="AR80" s="397"/>
      <c r="AS80" s="1281"/>
    </row>
    <row r="81" spans="1:47" s="320" customFormat="1" hidden="1" outlineLevel="1" x14ac:dyDescent="0.3">
      <c r="A81" s="221" t="s">
        <v>1872</v>
      </c>
      <c r="B81" s="943">
        <f>B87/SUM(B72+B31+B59+B10)</f>
        <v>-3.3088502654352411E-2</v>
      </c>
      <c r="C81" s="765"/>
      <c r="D81" s="943"/>
      <c r="E81" s="765"/>
      <c r="F81" s="943">
        <f>F87/SUM(F72+F31+F59+F10)</f>
        <v>-4.7759241086032057E-2</v>
      </c>
      <c r="G81" s="765"/>
      <c r="H81" s="943"/>
      <c r="I81" s="765"/>
      <c r="J81" s="943">
        <f>J87/SUM(J72+J31+J59+J10)</f>
        <v>-6.1542915038355767E-2</v>
      </c>
      <c r="K81" s="765"/>
      <c r="L81" s="943"/>
      <c r="M81" s="765"/>
      <c r="N81" s="943">
        <f>N87/SUM(N72+N31+N59+N10)</f>
        <v>-6.865159781761497E-2</v>
      </c>
      <c r="O81" s="765"/>
      <c r="P81" s="943"/>
      <c r="Q81" s="765"/>
      <c r="R81" s="943">
        <f>R87/SUM(R72+R31+R59+R10)</f>
        <v>-7.3823538976877295E-2</v>
      </c>
      <c r="S81" s="765"/>
      <c r="T81" s="1697"/>
      <c r="U81" s="765"/>
      <c r="V81" s="943">
        <f>V87/SUM(V72+V31+V59+V10)</f>
        <v>-3.2455888681681248E-2</v>
      </c>
      <c r="W81" s="765"/>
      <c r="X81" s="943"/>
      <c r="Y81" s="765"/>
      <c r="Z81" s="943">
        <f>Z87/SUM(Z72+Z31+Z59+Z10)</f>
        <v>-4.4662095984329089E-2</v>
      </c>
      <c r="AA81" s="765"/>
      <c r="AB81" s="943"/>
      <c r="AC81" s="765"/>
      <c r="AD81" s="943">
        <f>AD87/SUM(AD72+AD31+AD59+AD10)</f>
        <v>-4.6502847434162914E-2</v>
      </c>
      <c r="AE81" s="765"/>
      <c r="AF81" s="943"/>
      <c r="AG81" s="765"/>
      <c r="AH81" s="943">
        <f>AH87/SUM(AH72+AH31+AH59+AH10)</f>
        <v>-2.5538307461191789E-2</v>
      </c>
      <c r="AI81" s="765"/>
      <c r="AJ81" s="943"/>
      <c r="AK81" s="765"/>
      <c r="AL81" s="943">
        <f>AL87/SUM(AL72+AL31+AL59+AL10)</f>
        <v>-1.6229485838978042E-2</v>
      </c>
      <c r="AM81" s="765"/>
      <c r="AN81" s="943"/>
      <c r="AO81" s="765"/>
      <c r="AP81" s="943">
        <f>AP87/SUM(AP72+AP31+AP59+AP10)</f>
        <v>1.9871946881669433E-2</v>
      </c>
      <c r="AQ81" s="765"/>
      <c r="AR81" s="943"/>
      <c r="AS81" s="222"/>
    </row>
    <row r="82" spans="1:47" s="612" customFormat="1" collapsed="1" x14ac:dyDescent="0.3">
      <c r="A82" s="734" t="s">
        <v>1870</v>
      </c>
      <c r="B82" s="1581">
        <v>80581</v>
      </c>
      <c r="C82" s="1344"/>
      <c r="D82" s="1344"/>
      <c r="E82" s="1344"/>
      <c r="F82" s="1581">
        <v>75183</v>
      </c>
      <c r="G82" s="1344"/>
      <c r="H82" s="1344"/>
      <c r="I82" s="1344"/>
      <c r="J82" s="1581">
        <v>71848</v>
      </c>
      <c r="K82" s="1344"/>
      <c r="L82" s="1344"/>
      <c r="M82" s="1344"/>
      <c r="N82" s="1581">
        <v>68202</v>
      </c>
      <c r="O82" s="1344"/>
      <c r="P82" s="1344"/>
      <c r="Q82" s="1344"/>
      <c r="R82" s="1581">
        <v>63872</v>
      </c>
      <c r="S82" s="1344"/>
      <c r="T82" s="1695"/>
      <c r="U82" s="1344"/>
      <c r="V82" s="1581">
        <v>60200</v>
      </c>
      <c r="W82" s="1344"/>
      <c r="X82" s="1344"/>
      <c r="Y82" s="1344"/>
      <c r="Z82" s="1581">
        <v>58593</v>
      </c>
      <c r="AA82" s="1344"/>
      <c r="AB82" s="1344"/>
      <c r="AC82" s="1344"/>
      <c r="AD82" s="1581">
        <v>54793</v>
      </c>
      <c r="AE82" s="1344"/>
      <c r="AF82" s="1344"/>
      <c r="AG82" s="1344"/>
      <c r="AH82" s="1581">
        <v>50087</v>
      </c>
      <c r="AI82" s="1344"/>
      <c r="AJ82" s="1344"/>
      <c r="AK82" s="1344"/>
      <c r="AL82" s="1581">
        <v>47691</v>
      </c>
      <c r="AM82" s="1344"/>
      <c r="AN82" s="1344"/>
      <c r="AO82" s="1344"/>
      <c r="AP82" s="1581">
        <v>45157</v>
      </c>
      <c r="AQ82" s="397"/>
      <c r="AR82" s="397"/>
      <c r="AS82" s="1281"/>
    </row>
    <row r="83" spans="1:47" s="612" customFormat="1" x14ac:dyDescent="0.3">
      <c r="A83" s="734" t="s">
        <v>1684</v>
      </c>
      <c r="B83" s="1759">
        <v>-3.3000000000000002E-2</v>
      </c>
      <c r="C83" s="1760"/>
      <c r="D83" s="1760"/>
      <c r="E83" s="1760"/>
      <c r="F83" s="1759">
        <v>-4.1000000000000002E-2</v>
      </c>
      <c r="G83" s="1760"/>
      <c r="H83" s="1760"/>
      <c r="I83" s="1760"/>
      <c r="J83" s="1759">
        <v>-2.3E-2</v>
      </c>
      <c r="K83" s="1760"/>
      <c r="L83" s="1760"/>
      <c r="M83" s="1760"/>
      <c r="N83" s="1759">
        <v>-4.0000000000000001E-3</v>
      </c>
      <c r="O83" s="1760"/>
      <c r="P83" s="1760"/>
      <c r="Q83" s="1760"/>
      <c r="R83" s="1759">
        <v>-3.2000000000000001E-2</v>
      </c>
      <c r="S83" s="1760"/>
      <c r="T83" s="1761"/>
      <c r="U83" s="1760"/>
      <c r="V83" s="1759">
        <v>-2.5999999999999999E-2</v>
      </c>
      <c r="W83" s="1760"/>
      <c r="X83" s="1760"/>
      <c r="Y83" s="1760"/>
      <c r="Z83" s="1759">
        <v>-4.8000000000000001E-2</v>
      </c>
      <c r="AA83" s="1760"/>
      <c r="AB83" s="1760"/>
      <c r="AC83" s="1760"/>
      <c r="AD83" s="1759">
        <v>-6.2E-2</v>
      </c>
      <c r="AE83" s="1760"/>
      <c r="AF83" s="1760"/>
      <c r="AG83" s="1760"/>
      <c r="AH83" s="1759">
        <v>-7.6999999999999999E-2</v>
      </c>
      <c r="AI83" s="1760"/>
      <c r="AJ83" s="1760"/>
      <c r="AK83" s="1760"/>
      <c r="AL83" s="1759">
        <v>-1E-3</v>
      </c>
      <c r="AM83" s="1760"/>
      <c r="AN83" s="1760"/>
      <c r="AO83" s="1760"/>
      <c r="AP83" s="1759">
        <v>-3.4000000000000002E-2</v>
      </c>
      <c r="AQ83" s="397"/>
      <c r="AR83" s="397"/>
      <c r="AS83" s="1281"/>
    </row>
    <row r="84" spans="1:47" ht="4.5" customHeight="1" collapsed="1" x14ac:dyDescent="0.3">
      <c r="A84" s="214"/>
      <c r="B84" s="220"/>
      <c r="C84" s="220"/>
      <c r="D84" s="220"/>
      <c r="E84" s="220"/>
      <c r="F84" s="220"/>
      <c r="G84" s="220"/>
      <c r="H84" s="220"/>
      <c r="I84" s="220"/>
      <c r="J84" s="220"/>
      <c r="K84" s="220"/>
      <c r="L84" s="220"/>
      <c r="M84" s="220"/>
      <c r="N84" s="220"/>
      <c r="O84" s="220"/>
      <c r="P84" s="220"/>
      <c r="Q84" s="220"/>
      <c r="R84" s="220"/>
      <c r="S84" s="220"/>
      <c r="T84" s="223"/>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3"/>
    </row>
    <row r="85" spans="1:47" ht="4.5" customHeight="1" x14ac:dyDescent="0.3">
      <c r="A85" s="1155"/>
      <c r="B85" s="1278"/>
      <c r="C85" s="686"/>
      <c r="D85" s="728"/>
      <c r="E85" s="728"/>
      <c r="F85" s="1278"/>
      <c r="G85" s="686"/>
      <c r="H85" s="728"/>
      <c r="I85" s="728"/>
      <c r="J85" s="1278"/>
      <c r="K85" s="686"/>
      <c r="L85" s="728"/>
      <c r="M85" s="728"/>
      <c r="N85" s="1278"/>
      <c r="O85" s="686"/>
      <c r="P85" s="728"/>
      <c r="Q85" s="728"/>
      <c r="R85" s="1278"/>
      <c r="S85" s="686"/>
      <c r="T85" s="1518"/>
      <c r="U85" s="728"/>
      <c r="V85" s="1278"/>
      <c r="W85" s="686"/>
      <c r="X85" s="728"/>
      <c r="Y85" s="728"/>
      <c r="Z85" s="1278"/>
      <c r="AA85" s="686"/>
      <c r="AB85" s="728"/>
      <c r="AC85" s="728"/>
      <c r="AD85" s="1278"/>
      <c r="AE85" s="686"/>
      <c r="AF85" s="728"/>
      <c r="AG85" s="728"/>
      <c r="AH85" s="1278"/>
      <c r="AI85" s="686"/>
      <c r="AJ85" s="728"/>
      <c r="AK85" s="728"/>
      <c r="AL85" s="1278"/>
      <c r="AM85" s="686"/>
      <c r="AN85" s="728"/>
      <c r="AO85" s="728"/>
      <c r="AP85" s="1278"/>
      <c r="AQ85" s="686"/>
      <c r="AR85" s="728"/>
      <c r="AS85" s="1279"/>
    </row>
    <row r="86" spans="1:47" ht="4.5" customHeight="1" x14ac:dyDescent="0.3">
      <c r="A86" s="214"/>
      <c r="B86" s="875"/>
      <c r="C86" s="215"/>
      <c r="D86" s="464"/>
      <c r="E86" s="464"/>
      <c r="F86" s="875"/>
      <c r="G86" s="215"/>
      <c r="H86" s="464"/>
      <c r="I86" s="464"/>
      <c r="J86" s="875"/>
      <c r="K86" s="215"/>
      <c r="L86" s="464"/>
      <c r="M86" s="464"/>
      <c r="N86" s="875"/>
      <c r="O86" s="215"/>
      <c r="P86" s="464"/>
      <c r="Q86" s="464"/>
      <c r="R86" s="875"/>
      <c r="S86" s="215"/>
      <c r="T86" s="347"/>
      <c r="U86" s="464"/>
      <c r="V86" s="875"/>
      <c r="W86" s="215"/>
      <c r="X86" s="464"/>
      <c r="Y86" s="464"/>
      <c r="Z86" s="875"/>
      <c r="AA86" s="215"/>
      <c r="AB86" s="464"/>
      <c r="AC86" s="464"/>
      <c r="AD86" s="875"/>
      <c r="AE86" s="215"/>
      <c r="AF86" s="464"/>
      <c r="AG86" s="464"/>
      <c r="AH86" s="875"/>
      <c r="AI86" s="215"/>
      <c r="AJ86" s="464"/>
      <c r="AK86" s="464"/>
      <c r="AL86" s="875"/>
      <c r="AM86" s="215"/>
      <c r="AN86" s="464"/>
      <c r="AO86" s="464"/>
      <c r="AP86" s="875"/>
      <c r="AQ86" s="215"/>
      <c r="AR86" s="464"/>
      <c r="AS86" s="223"/>
    </row>
    <row r="87" spans="1:47" ht="18.600000000000001" x14ac:dyDescent="0.3">
      <c r="A87" s="214" t="s">
        <v>1686</v>
      </c>
      <c r="B87" s="1297">
        <v>-1365</v>
      </c>
      <c r="C87" s="220"/>
      <c r="D87" s="220"/>
      <c r="E87" s="220"/>
      <c r="F87" s="1297">
        <v>-1752</v>
      </c>
      <c r="G87" s="220"/>
      <c r="H87" s="220"/>
      <c r="I87" s="220"/>
      <c r="J87" s="1297">
        <v>-2126</v>
      </c>
      <c r="K87" s="220"/>
      <c r="L87" s="220"/>
      <c r="M87" s="220"/>
      <c r="N87" s="1297">
        <v>-2202</v>
      </c>
      <c r="O87" s="220"/>
      <c r="P87" s="220"/>
      <c r="Q87" s="220"/>
      <c r="R87" s="1297">
        <v>-2270</v>
      </c>
      <c r="S87" s="220"/>
      <c r="T87" s="223"/>
      <c r="U87" s="220"/>
      <c r="V87" s="1297">
        <v>-905</v>
      </c>
      <c r="W87" s="220"/>
      <c r="X87" s="220"/>
      <c r="Y87" s="220"/>
      <c r="Z87" s="1297">
        <v>-1140</v>
      </c>
      <c r="AA87" s="220"/>
      <c r="AB87" s="220"/>
      <c r="AC87" s="220"/>
      <c r="AD87" s="1297">
        <v>-1478</v>
      </c>
      <c r="AE87" s="220"/>
      <c r="AF87" s="220"/>
      <c r="AG87" s="220"/>
      <c r="AH87" s="1297">
        <f>-612</f>
        <v>-612</v>
      </c>
      <c r="AI87" s="220"/>
      <c r="AJ87" s="220"/>
      <c r="AK87" s="220"/>
      <c r="AL87" s="1297">
        <f>-357</f>
        <v>-357</v>
      </c>
      <c r="AM87" s="220"/>
      <c r="AN87" s="220"/>
      <c r="AO87" s="397"/>
      <c r="AP87" s="1302">
        <v>419</v>
      </c>
      <c r="AQ87" s="220"/>
      <c r="AR87" s="220"/>
      <c r="AS87" s="223"/>
    </row>
    <row r="88" spans="1:47" ht="4.5" customHeight="1" collapsed="1" x14ac:dyDescent="0.3">
      <c r="A88" s="214"/>
      <c r="B88" s="220"/>
      <c r="C88" s="220"/>
      <c r="D88" s="220"/>
      <c r="E88" s="220"/>
      <c r="F88" s="220"/>
      <c r="G88" s="220"/>
      <c r="H88" s="220"/>
      <c r="I88" s="220"/>
      <c r="J88" s="220"/>
      <c r="K88" s="220"/>
      <c r="L88" s="220"/>
      <c r="M88" s="220"/>
      <c r="N88" s="220"/>
      <c r="O88" s="220"/>
      <c r="P88" s="220"/>
      <c r="Q88" s="220"/>
      <c r="R88" s="220"/>
      <c r="S88" s="220"/>
      <c r="T88" s="223"/>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3"/>
    </row>
    <row r="89" spans="1:47" ht="4.5" customHeight="1" x14ac:dyDescent="0.3">
      <c r="A89" s="1155"/>
      <c r="B89" s="1278"/>
      <c r="C89" s="686"/>
      <c r="D89" s="728"/>
      <c r="E89" s="728"/>
      <c r="F89" s="1278"/>
      <c r="G89" s="686"/>
      <c r="H89" s="728"/>
      <c r="I89" s="728"/>
      <c r="J89" s="1278"/>
      <c r="K89" s="686"/>
      <c r="L89" s="728"/>
      <c r="M89" s="728"/>
      <c r="N89" s="1278"/>
      <c r="O89" s="686"/>
      <c r="P89" s="728"/>
      <c r="Q89" s="728"/>
      <c r="R89" s="1278"/>
      <c r="S89" s="686"/>
      <c r="T89" s="1518"/>
      <c r="U89" s="728"/>
      <c r="V89" s="1278"/>
      <c r="W89" s="686"/>
      <c r="X89" s="728"/>
      <c r="Y89" s="728"/>
      <c r="Z89" s="1278"/>
      <c r="AA89" s="686"/>
      <c r="AB89" s="728"/>
      <c r="AC89" s="728"/>
      <c r="AD89" s="1278"/>
      <c r="AE89" s="686"/>
      <c r="AF89" s="728"/>
      <c r="AG89" s="728"/>
      <c r="AH89" s="1278"/>
      <c r="AI89" s="686"/>
      <c r="AJ89" s="728"/>
      <c r="AK89" s="728"/>
      <c r="AL89" s="1278"/>
      <c r="AM89" s="686"/>
      <c r="AN89" s="728"/>
      <c r="AO89" s="728"/>
      <c r="AP89" s="1278"/>
      <c r="AQ89" s="686"/>
      <c r="AR89" s="728"/>
      <c r="AS89" s="1279"/>
    </row>
    <row r="90" spans="1:47" ht="4.5" customHeight="1" x14ac:dyDescent="0.3">
      <c r="A90" s="214"/>
      <c r="B90" s="875"/>
      <c r="C90" s="215"/>
      <c r="D90" s="464"/>
      <c r="E90" s="464"/>
      <c r="F90" s="875"/>
      <c r="G90" s="215"/>
      <c r="H90" s="464"/>
      <c r="I90" s="464"/>
      <c r="J90" s="875"/>
      <c r="K90" s="215"/>
      <c r="L90" s="464"/>
      <c r="M90" s="464"/>
      <c r="N90" s="875"/>
      <c r="O90" s="215"/>
      <c r="P90" s="464"/>
      <c r="Q90" s="464"/>
      <c r="R90" s="875"/>
      <c r="S90" s="215"/>
      <c r="T90" s="347"/>
      <c r="U90" s="464"/>
      <c r="V90" s="875"/>
      <c r="W90" s="215"/>
      <c r="X90" s="464"/>
      <c r="Y90" s="464"/>
      <c r="Z90" s="875"/>
      <c r="AA90" s="215"/>
      <c r="AB90" s="464"/>
      <c r="AC90" s="464"/>
      <c r="AD90" s="875"/>
      <c r="AE90" s="215"/>
      <c r="AF90" s="464"/>
      <c r="AG90" s="464"/>
      <c r="AH90" s="875"/>
      <c r="AI90" s="215"/>
      <c r="AJ90" s="464"/>
      <c r="AK90" s="464"/>
      <c r="AL90" s="875"/>
      <c r="AM90" s="215"/>
      <c r="AN90" s="464"/>
      <c r="AO90" s="464"/>
      <c r="AP90" s="875"/>
      <c r="AQ90" s="215"/>
      <c r="AR90" s="464"/>
      <c r="AS90" s="223"/>
    </row>
    <row r="91" spans="1:47" s="1" customFormat="1" ht="15" customHeight="1" x14ac:dyDescent="0.25">
      <c r="A91" s="2824" t="s">
        <v>1867</v>
      </c>
      <c r="B91" s="2825"/>
      <c r="C91" s="2825"/>
      <c r="D91" s="2825"/>
      <c r="E91" s="2825"/>
      <c r="F91" s="2825"/>
      <c r="G91" s="2825"/>
      <c r="H91" s="2825"/>
      <c r="I91" s="2825"/>
      <c r="J91" s="2825"/>
      <c r="K91" s="2825"/>
      <c r="L91" s="2825"/>
      <c r="M91" s="2825"/>
      <c r="N91" s="2825"/>
      <c r="O91" s="2825"/>
      <c r="P91" s="2825"/>
      <c r="Q91" s="2825"/>
      <c r="R91" s="2825"/>
      <c r="S91" s="2825"/>
      <c r="T91" s="2826"/>
      <c r="U91" s="2504"/>
      <c r="V91" s="2504"/>
      <c r="W91" s="2504"/>
      <c r="X91" s="2504"/>
      <c r="Y91" s="2504"/>
      <c r="Z91" s="2504"/>
      <c r="AA91" s="2504"/>
      <c r="AB91" s="2504"/>
      <c r="AC91" s="2504"/>
      <c r="AD91" s="2504"/>
      <c r="AE91" s="2504"/>
      <c r="AF91" s="2504"/>
      <c r="AG91" s="2504"/>
      <c r="AH91" s="2504"/>
      <c r="AI91" s="2504"/>
      <c r="AJ91" s="2504"/>
      <c r="AK91" s="2504"/>
      <c r="AL91" s="2504"/>
      <c r="AM91" s="2504"/>
      <c r="AN91" s="2504"/>
      <c r="AO91" s="2504"/>
      <c r="AP91" s="2504"/>
      <c r="AQ91" s="2504"/>
      <c r="AR91" s="2504"/>
      <c r="AS91" s="1694"/>
      <c r="AT91" s="199"/>
      <c r="AU91" s="198"/>
    </row>
    <row r="92" spans="1:47" s="1" customFormat="1" ht="7.5" customHeight="1" x14ac:dyDescent="0.25">
      <c r="A92" s="2503"/>
      <c r="B92" s="2504"/>
      <c r="C92" s="2504"/>
      <c r="D92" s="2504"/>
      <c r="E92" s="2504"/>
      <c r="F92" s="2504"/>
      <c r="G92" s="2504"/>
      <c r="H92" s="2504"/>
      <c r="I92" s="2504"/>
      <c r="J92" s="2504"/>
      <c r="K92" s="2504"/>
      <c r="L92" s="2504"/>
      <c r="M92" s="2504"/>
      <c r="N92" s="2504"/>
      <c r="O92" s="2504"/>
      <c r="P92" s="2504"/>
      <c r="Q92" s="2504"/>
      <c r="R92" s="2504"/>
      <c r="S92" s="2504"/>
      <c r="T92" s="250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6"/>
      <c r="AT92" s="199"/>
      <c r="AU92" s="198"/>
    </row>
    <row r="93" spans="1:47" s="1" customFormat="1" ht="13.8" x14ac:dyDescent="0.25">
      <c r="A93" s="2503" t="s">
        <v>1398</v>
      </c>
      <c r="B93" s="2504"/>
      <c r="C93" s="2504"/>
      <c r="D93" s="2504"/>
      <c r="E93" s="2504"/>
      <c r="F93" s="2504"/>
      <c r="G93" s="2504"/>
      <c r="H93" s="2504"/>
      <c r="I93" s="2504"/>
      <c r="J93" s="2504"/>
      <c r="K93" s="2504"/>
      <c r="L93" s="2504"/>
      <c r="M93" s="2504"/>
      <c r="N93" s="2504"/>
      <c r="O93" s="2504"/>
      <c r="P93" s="2504"/>
      <c r="Q93" s="2504"/>
      <c r="R93" s="2504"/>
      <c r="S93" s="2504"/>
      <c r="T93" s="250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6"/>
      <c r="AT93" s="199"/>
      <c r="AU93" s="198"/>
    </row>
    <row r="94" spans="1:47" s="1" customFormat="1" ht="28.8" customHeight="1" x14ac:dyDescent="0.25">
      <c r="A94" s="2824" t="s">
        <v>3284</v>
      </c>
      <c r="B94" s="2825"/>
      <c r="C94" s="2825"/>
      <c r="D94" s="2825"/>
      <c r="E94" s="2825"/>
      <c r="F94" s="2825"/>
      <c r="G94" s="2825"/>
      <c r="H94" s="2825"/>
      <c r="I94" s="2825"/>
      <c r="J94" s="2825"/>
      <c r="K94" s="2825"/>
      <c r="L94" s="2825"/>
      <c r="M94" s="2825"/>
      <c r="N94" s="2825"/>
      <c r="O94" s="2825"/>
      <c r="P94" s="2825"/>
      <c r="Q94" s="2825"/>
      <c r="R94" s="2825"/>
      <c r="S94" s="2825"/>
      <c r="T94" s="2826"/>
      <c r="U94" s="1855"/>
      <c r="V94" s="1855"/>
      <c r="W94" s="1855"/>
      <c r="X94" s="1855"/>
      <c r="Y94" s="1855"/>
      <c r="Z94" s="1855"/>
      <c r="AA94" s="1855"/>
      <c r="AB94" s="1855"/>
      <c r="AC94" s="1855"/>
      <c r="AD94" s="1855"/>
      <c r="AE94" s="1855"/>
      <c r="AF94" s="1855"/>
      <c r="AG94" s="1855"/>
      <c r="AH94" s="1855"/>
      <c r="AI94" s="1855"/>
      <c r="AJ94" s="1855"/>
      <c r="AK94" s="1855"/>
      <c r="AL94" s="1855"/>
      <c r="AM94" s="1855"/>
      <c r="AN94" s="1855"/>
      <c r="AO94" s="1855"/>
      <c r="AP94" s="1855"/>
      <c r="AQ94" s="1855"/>
      <c r="AR94" s="1855"/>
      <c r="AS94" s="1646"/>
      <c r="AT94" s="199"/>
      <c r="AU94" s="198"/>
    </row>
    <row r="95" spans="1:47" s="1" customFormat="1" ht="29.4" customHeight="1" x14ac:dyDescent="0.25">
      <c r="A95" s="2824" t="s">
        <v>3285</v>
      </c>
      <c r="B95" s="2825"/>
      <c r="C95" s="2825"/>
      <c r="D95" s="2825"/>
      <c r="E95" s="2825"/>
      <c r="F95" s="2825"/>
      <c r="G95" s="2825"/>
      <c r="H95" s="2825"/>
      <c r="I95" s="2825"/>
      <c r="J95" s="2825"/>
      <c r="K95" s="2825"/>
      <c r="L95" s="2825"/>
      <c r="M95" s="2825"/>
      <c r="N95" s="2825"/>
      <c r="O95" s="2825"/>
      <c r="P95" s="2825"/>
      <c r="Q95" s="2825"/>
      <c r="R95" s="2825"/>
      <c r="S95" s="2825"/>
      <c r="T95" s="2826"/>
      <c r="U95" s="2504"/>
      <c r="V95" s="2504"/>
      <c r="W95" s="2504"/>
      <c r="X95" s="2504"/>
      <c r="Y95" s="2504"/>
      <c r="Z95" s="2504"/>
      <c r="AA95" s="2504"/>
      <c r="AB95" s="2504"/>
      <c r="AC95" s="2504"/>
      <c r="AD95" s="2504"/>
      <c r="AE95" s="2504"/>
      <c r="AF95" s="2504"/>
      <c r="AG95" s="2504"/>
      <c r="AH95" s="2504"/>
      <c r="AI95" s="2504"/>
      <c r="AJ95" s="2504"/>
      <c r="AK95" s="2504"/>
      <c r="AL95" s="2504"/>
      <c r="AM95" s="2504"/>
      <c r="AN95" s="2504"/>
      <c r="AO95" s="2504"/>
      <c r="AP95" s="2504"/>
      <c r="AQ95" s="2504"/>
      <c r="AR95" s="2504"/>
      <c r="AS95" s="1646"/>
      <c r="AT95" s="199"/>
      <c r="AU95" s="198"/>
    </row>
    <row r="96" spans="1:47" s="1" customFormat="1" ht="15" customHeight="1" x14ac:dyDescent="0.25">
      <c r="A96" s="2824" t="s">
        <v>1688</v>
      </c>
      <c r="B96" s="2825"/>
      <c r="C96" s="2825"/>
      <c r="D96" s="2825"/>
      <c r="E96" s="2825"/>
      <c r="F96" s="2825"/>
      <c r="G96" s="2825"/>
      <c r="H96" s="2825"/>
      <c r="I96" s="2825"/>
      <c r="J96" s="2825"/>
      <c r="K96" s="2825"/>
      <c r="L96" s="2825"/>
      <c r="M96" s="2825"/>
      <c r="N96" s="2825"/>
      <c r="O96" s="2825"/>
      <c r="P96" s="2825"/>
      <c r="Q96" s="2825"/>
      <c r="R96" s="2825"/>
      <c r="S96" s="2825"/>
      <c r="T96" s="2826"/>
      <c r="U96" s="1855"/>
      <c r="V96" s="1855"/>
      <c r="W96" s="1855"/>
      <c r="X96" s="1855"/>
      <c r="Y96" s="1855"/>
      <c r="Z96" s="1855"/>
      <c r="AA96" s="1855"/>
      <c r="AB96" s="1855"/>
      <c r="AC96" s="1855"/>
      <c r="AD96" s="1855"/>
      <c r="AE96" s="1855"/>
      <c r="AF96" s="1855"/>
      <c r="AG96" s="1855"/>
      <c r="AH96" s="1855"/>
      <c r="AI96" s="1855"/>
      <c r="AJ96" s="1855"/>
      <c r="AK96" s="1855"/>
      <c r="AL96" s="1855"/>
      <c r="AM96" s="1855"/>
      <c r="AN96" s="1855"/>
      <c r="AO96" s="1855"/>
      <c r="AP96" s="1855"/>
      <c r="AQ96" s="1855"/>
      <c r="AR96" s="1855"/>
      <c r="AS96" s="1646"/>
      <c r="AT96" s="199"/>
      <c r="AU96" s="198"/>
    </row>
    <row r="97" spans="1:47" s="1" customFormat="1" ht="5.25" customHeight="1" thickBot="1" x14ac:dyDescent="0.3">
      <c r="A97" s="1177"/>
      <c r="B97" s="1573"/>
      <c r="C97" s="1573"/>
      <c r="D97" s="1574"/>
      <c r="E97" s="1574"/>
      <c r="F97" s="1573"/>
      <c r="G97" s="1573"/>
      <c r="H97" s="1574"/>
      <c r="I97" s="1574"/>
      <c r="J97" s="1573"/>
      <c r="K97" s="1573"/>
      <c r="L97" s="1574"/>
      <c r="M97" s="1574"/>
      <c r="N97" s="1573"/>
      <c r="O97" s="1573"/>
      <c r="P97" s="1574"/>
      <c r="Q97" s="1574"/>
      <c r="R97" s="1573"/>
      <c r="S97" s="1573"/>
      <c r="T97" s="1575"/>
      <c r="U97" s="1574"/>
      <c r="V97" s="1573"/>
      <c r="W97" s="1573"/>
      <c r="X97" s="1574"/>
      <c r="Y97" s="1574"/>
      <c r="Z97" s="1573"/>
      <c r="AA97" s="1573"/>
      <c r="AB97" s="1574"/>
      <c r="AC97" s="1574"/>
      <c r="AD97" s="1573"/>
      <c r="AE97" s="1573"/>
      <c r="AF97" s="1574"/>
      <c r="AG97" s="1574"/>
      <c r="AH97" s="1573"/>
      <c r="AI97" s="1573"/>
      <c r="AJ97" s="1574"/>
      <c r="AK97" s="1574"/>
      <c r="AL97" s="1573"/>
      <c r="AM97" s="1573"/>
      <c r="AN97" s="1574"/>
      <c r="AO97" s="1574"/>
      <c r="AP97" s="1573"/>
      <c r="AQ97" s="1573"/>
      <c r="AR97" s="1574"/>
      <c r="AS97" s="1575"/>
      <c r="AT97" s="199"/>
      <c r="AU97" s="198"/>
    </row>
    <row r="98" spans="1:47" s="1" customFormat="1" ht="13.8" x14ac:dyDescent="0.25">
      <c r="A98" s="804" t="s">
        <v>1873</v>
      </c>
      <c r="B98" s="1576"/>
      <c r="C98" s="1576"/>
      <c r="D98" s="199"/>
      <c r="E98" s="199"/>
      <c r="F98" s="1576"/>
      <c r="G98" s="1576"/>
      <c r="H98" s="199"/>
      <c r="I98" s="199"/>
      <c r="J98" s="1576"/>
      <c r="K98" s="1576"/>
      <c r="L98" s="199"/>
      <c r="M98" s="199"/>
      <c r="N98" s="1576"/>
      <c r="O98" s="1576"/>
      <c r="P98" s="199"/>
      <c r="Q98" s="199"/>
      <c r="R98" s="1576"/>
      <c r="S98" s="1576"/>
      <c r="T98" s="199"/>
      <c r="U98" s="199"/>
      <c r="V98" s="1576"/>
      <c r="W98" s="1576"/>
      <c r="X98" s="199"/>
      <c r="Y98" s="199"/>
      <c r="Z98" s="1576"/>
      <c r="AA98" s="1576"/>
      <c r="AB98" s="199"/>
      <c r="AC98" s="199"/>
      <c r="AD98" s="1576"/>
      <c r="AE98" s="1576"/>
      <c r="AF98" s="199"/>
      <c r="AG98" s="199"/>
      <c r="AH98" s="1576"/>
      <c r="AI98" s="1576"/>
      <c r="AJ98" s="199"/>
      <c r="AK98" s="199"/>
      <c r="AL98" s="1576"/>
      <c r="AM98" s="1576"/>
      <c r="AN98" s="199"/>
      <c r="AO98" s="199"/>
      <c r="AP98" s="1576"/>
      <c r="AQ98" s="1576"/>
      <c r="AR98" s="199"/>
      <c r="AS98" s="199"/>
      <c r="AT98" s="199"/>
      <c r="AU98" s="198"/>
    </row>
    <row r="99" spans="1:47" s="612" customFormat="1" x14ac:dyDescent="0.3">
      <c r="B99" s="1571"/>
      <c r="C99" s="1571"/>
      <c r="D99" s="646"/>
      <c r="E99" s="646"/>
      <c r="F99" s="1571"/>
      <c r="G99" s="1571"/>
      <c r="H99" s="646"/>
      <c r="I99" s="646"/>
      <c r="J99" s="1571"/>
      <c r="K99" s="1571"/>
      <c r="L99" s="646"/>
      <c r="M99" s="646"/>
      <c r="N99" s="1571"/>
      <c r="O99" s="1571"/>
      <c r="P99" s="646"/>
      <c r="Q99" s="646"/>
      <c r="R99" s="1571"/>
      <c r="S99" s="1571"/>
      <c r="T99" s="646"/>
      <c r="U99" s="646"/>
      <c r="V99" s="1571"/>
      <c r="W99" s="1571"/>
      <c r="X99" s="646"/>
      <c r="Y99" s="646"/>
      <c r="Z99" s="1571"/>
      <c r="AA99" s="1571"/>
      <c r="AB99" s="646"/>
      <c r="AC99" s="646"/>
      <c r="AD99" s="1571"/>
      <c r="AE99" s="1571"/>
      <c r="AF99" s="646"/>
      <c r="AG99" s="646"/>
      <c r="AH99" s="1571"/>
      <c r="AI99" s="1571"/>
      <c r="AJ99" s="646"/>
      <c r="AK99" s="646"/>
      <c r="AL99" s="1571"/>
      <c r="AM99" s="1571"/>
      <c r="AN99" s="646"/>
      <c r="AO99" s="646"/>
      <c r="AP99" s="1571"/>
      <c r="AQ99" s="1571"/>
      <c r="AR99" s="646"/>
      <c r="AS99" s="646"/>
      <c r="AT99" s="646"/>
    </row>
    <row r="100" spans="1:47" s="612" customFormat="1" x14ac:dyDescent="0.3"/>
    <row r="101" spans="1:47" s="612" customFormat="1" x14ac:dyDescent="0.3">
      <c r="AL101" s="612" t="s">
        <v>176</v>
      </c>
    </row>
    <row r="102" spans="1:47" s="612" customFormat="1" x14ac:dyDescent="0.3"/>
    <row r="103" spans="1:47" s="612" customFormat="1" x14ac:dyDescent="0.3"/>
    <row r="104" spans="1:47" s="612" customFormat="1" x14ac:dyDescent="0.3"/>
    <row r="105" spans="1:47" s="612" customFormat="1" x14ac:dyDescent="0.3"/>
    <row r="106" spans="1:47" s="612" customFormat="1" x14ac:dyDescent="0.3"/>
    <row r="107" spans="1:47" x14ac:dyDescent="0.3">
      <c r="AS107" s="211"/>
    </row>
    <row r="108" spans="1:47" x14ac:dyDescent="0.3">
      <c r="AS108" s="211"/>
    </row>
    <row r="109" spans="1:47" x14ac:dyDescent="0.3">
      <c r="AS109" s="211"/>
    </row>
    <row r="110" spans="1:47" x14ac:dyDescent="0.3">
      <c r="AS110" s="211"/>
    </row>
    <row r="111" spans="1:47" x14ac:dyDescent="0.3">
      <c r="AS111" s="211"/>
    </row>
    <row r="112" spans="1:47" x14ac:dyDescent="0.3">
      <c r="AS112" s="211"/>
    </row>
    <row r="113" spans="45:45" x14ac:dyDescent="0.3">
      <c r="AS113" s="211"/>
    </row>
    <row r="114" spans="45:45" x14ac:dyDescent="0.3">
      <c r="AS114" s="211"/>
    </row>
    <row r="115" spans="45:45" x14ac:dyDescent="0.3">
      <c r="AS115" s="211"/>
    </row>
    <row r="116" spans="45:45" x14ac:dyDescent="0.3">
      <c r="AS116" s="211"/>
    </row>
    <row r="117" spans="45:45" x14ac:dyDescent="0.3">
      <c r="AS117" s="211"/>
    </row>
    <row r="118" spans="45:45" x14ac:dyDescent="0.3">
      <c r="AS118" s="211"/>
    </row>
    <row r="119" spans="45:45" x14ac:dyDescent="0.3">
      <c r="AS119" s="211"/>
    </row>
    <row r="120" spans="45:45" x14ac:dyDescent="0.3">
      <c r="AS120" s="211"/>
    </row>
    <row r="121" spans="45:45" x14ac:dyDescent="0.3">
      <c r="AS121" s="211"/>
    </row>
    <row r="122" spans="45:45" x14ac:dyDescent="0.3">
      <c r="AS122" s="211"/>
    </row>
    <row r="123" spans="45:45" x14ac:dyDescent="0.3">
      <c r="AS123" s="211"/>
    </row>
    <row r="124" spans="45:45" x14ac:dyDescent="0.3">
      <c r="AS124" s="211"/>
    </row>
    <row r="125" spans="45:45" x14ac:dyDescent="0.3">
      <c r="AS125" s="211"/>
    </row>
    <row r="126" spans="45:45" x14ac:dyDescent="0.3">
      <c r="AS126" s="211"/>
    </row>
    <row r="127" spans="45:45" x14ac:dyDescent="0.3">
      <c r="AS127" s="211"/>
    </row>
    <row r="128" spans="45:45" x14ac:dyDescent="0.3">
      <c r="AS128" s="211"/>
    </row>
    <row r="129" spans="45:45" x14ac:dyDescent="0.3">
      <c r="AS129" s="211"/>
    </row>
    <row r="130" spans="45:45" x14ac:dyDescent="0.3">
      <c r="AS130" s="211"/>
    </row>
    <row r="131" spans="45:45" x14ac:dyDescent="0.3">
      <c r="AS131" s="211"/>
    </row>
    <row r="132" spans="45:45" x14ac:dyDescent="0.3">
      <c r="AS132" s="211"/>
    </row>
    <row r="133" spans="45:45" x14ac:dyDescent="0.3">
      <c r="AS133" s="211"/>
    </row>
    <row r="134" spans="45:45" x14ac:dyDescent="0.3">
      <c r="AS134" s="211"/>
    </row>
    <row r="135" spans="45:45" x14ac:dyDescent="0.3">
      <c r="AS135" s="211"/>
    </row>
  </sheetData>
  <mergeCells count="26">
    <mergeCell ref="V6:X6"/>
    <mergeCell ref="B6:D6"/>
    <mergeCell ref="F6:H6"/>
    <mergeCell ref="J6:L6"/>
    <mergeCell ref="N6:P6"/>
    <mergeCell ref="R6:T6"/>
    <mergeCell ref="Z6:AB6"/>
    <mergeCell ref="AD6:AF6"/>
    <mergeCell ref="AH6:AJ6"/>
    <mergeCell ref="AL6:AN6"/>
    <mergeCell ref="AP6:AR6"/>
    <mergeCell ref="AH51:AJ51"/>
    <mergeCell ref="AL51:AN51"/>
    <mergeCell ref="AP51:AR51"/>
    <mergeCell ref="B51:D51"/>
    <mergeCell ref="F51:H51"/>
    <mergeCell ref="J51:L51"/>
    <mergeCell ref="N51:P51"/>
    <mergeCell ref="R51:T51"/>
    <mergeCell ref="V51:X51"/>
    <mergeCell ref="A96:T96"/>
    <mergeCell ref="A95:T95"/>
    <mergeCell ref="A91:T91"/>
    <mergeCell ref="Z51:AB51"/>
    <mergeCell ref="AD51:AF51"/>
    <mergeCell ref="A94:T94"/>
  </mergeCells>
  <pageMargins left="0.7" right="0.7" top="0.75" bottom="0.75" header="0.3" footer="0.3"/>
  <pageSetup orientation="portrait" r:id="rId1"/>
  <drawing r:id="rId2"/>
  <legacy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6774A-EDD4-4CCA-A0C5-25F18955073C}">
  <sheetPr codeName="Sheet74">
    <tabColor theme="4"/>
  </sheetPr>
  <dimension ref="A1:Y56"/>
  <sheetViews>
    <sheetView showGridLines="0" zoomScale="85" zoomScaleNormal="85" workbookViewId="0">
      <selection activeCell="X43" sqref="X43"/>
    </sheetView>
  </sheetViews>
  <sheetFormatPr defaultColWidth="8.6640625" defaultRowHeight="15.6" outlineLevelRow="1" x14ac:dyDescent="0.3"/>
  <cols>
    <col min="1" max="1" width="6" style="211" customWidth="1"/>
    <col min="2" max="4" width="9.109375" style="211" bestFit="1" customWidth="1"/>
    <col min="5" max="5" width="10.33203125" style="211" customWidth="1"/>
    <col min="6" max="6" width="9.109375" style="211" bestFit="1" customWidth="1"/>
    <col min="7" max="7" width="1" style="211" customWidth="1"/>
    <col min="8" max="8" width="9.109375" style="211" bestFit="1" customWidth="1"/>
    <col min="9" max="9" width="7.44140625" style="211" bestFit="1" customWidth="1"/>
    <col min="10" max="10" width="1.44140625" style="211" customWidth="1"/>
    <col min="11" max="11" width="5.88671875" style="211" bestFit="1" customWidth="1"/>
    <col min="12" max="12" width="7.88671875" style="211" customWidth="1"/>
    <col min="13" max="13" width="8.5546875" style="211" customWidth="1"/>
    <col min="14" max="14" width="7.5546875" style="211" bestFit="1" customWidth="1"/>
    <col min="15" max="15" width="8.44140625" style="211" customWidth="1"/>
    <col min="16" max="16" width="8.6640625" style="211" bestFit="1" customWidth="1"/>
    <col min="17" max="17" width="1.33203125" style="211" customWidth="1"/>
    <col min="18" max="18" width="7" style="211" customWidth="1"/>
    <col min="19" max="19" width="1.5546875" style="211" customWidth="1"/>
    <col min="20" max="20" width="5.88671875" style="211" bestFit="1" customWidth="1"/>
    <col min="21" max="21" width="8.5546875" style="211" customWidth="1"/>
    <col min="22" max="22" width="8.109375" style="211" customWidth="1"/>
    <col min="23" max="23" width="7.109375" style="211" bestFit="1" customWidth="1"/>
    <col min="24" max="24" width="8.109375" style="211" customWidth="1"/>
    <col min="25" max="25" width="8.44140625" style="211" bestFit="1" customWidth="1"/>
    <col min="26" max="26" width="4" style="211" customWidth="1"/>
    <col min="27" max="16384" width="8.6640625" style="211"/>
  </cols>
  <sheetData>
    <row r="1" spans="1:19" x14ac:dyDescent="0.3">
      <c r="A1" s="459" t="s">
        <v>2109</v>
      </c>
      <c r="B1" s="356"/>
    </row>
    <row r="2" spans="1:19" x14ac:dyDescent="0.3">
      <c r="A2" s="152" t="s">
        <v>1810</v>
      </c>
    </row>
    <row r="3" spans="1:19" ht="8.25" customHeight="1" thickBot="1" x14ac:dyDescent="0.35"/>
    <row r="4" spans="1:19" x14ac:dyDescent="0.3">
      <c r="A4" s="453"/>
      <c r="B4" s="2931" t="s">
        <v>3767</v>
      </c>
      <c r="C4" s="2931"/>
      <c r="D4" s="2931"/>
      <c r="E4" s="2931"/>
      <c r="F4" s="2931"/>
      <c r="G4" s="522"/>
      <c r="H4" s="522"/>
      <c r="I4" s="389"/>
      <c r="K4" s="453"/>
      <c r="L4" s="2931" t="s">
        <v>3768</v>
      </c>
      <c r="M4" s="2931"/>
      <c r="N4" s="2931"/>
      <c r="O4" s="2931"/>
      <c r="P4" s="2931"/>
      <c r="Q4" s="522"/>
      <c r="R4" s="389"/>
    </row>
    <row r="5" spans="1:19" s="1497" customFormat="1" ht="35.4" customHeight="1" x14ac:dyDescent="0.3">
      <c r="A5" s="1493" t="s">
        <v>156</v>
      </c>
      <c r="B5" s="1494" t="s">
        <v>497</v>
      </c>
      <c r="C5" s="1494" t="s">
        <v>1046</v>
      </c>
      <c r="D5" s="1494" t="s">
        <v>1084</v>
      </c>
      <c r="E5" s="1494" t="s">
        <v>943</v>
      </c>
      <c r="F5" s="1494" t="s">
        <v>3</v>
      </c>
      <c r="G5" s="1495"/>
      <c r="H5" s="1495" t="s">
        <v>1042</v>
      </c>
      <c r="I5" s="1496" t="s">
        <v>917</v>
      </c>
      <c r="K5" s="1699" t="s">
        <v>156</v>
      </c>
      <c r="L5" s="1494" t="s">
        <v>497</v>
      </c>
      <c r="M5" s="1494" t="s">
        <v>1046</v>
      </c>
      <c r="N5" s="1494" t="str">
        <f>D5</f>
        <v>BH Reins.</v>
      </c>
      <c r="O5" s="1494" t="s">
        <v>943</v>
      </c>
      <c r="P5" s="1494" t="s">
        <v>3</v>
      </c>
      <c r="Q5" s="1495"/>
      <c r="R5" s="1496" t="s">
        <v>1042</v>
      </c>
    </row>
    <row r="6" spans="1:19" hidden="1" outlineLevel="1" x14ac:dyDescent="0.3">
      <c r="A6" s="214">
        <v>1994</v>
      </c>
      <c r="B6" s="231"/>
      <c r="C6" s="231"/>
      <c r="D6" s="231"/>
      <c r="E6" s="231"/>
      <c r="F6" s="231"/>
      <c r="H6" s="230">
        <v>3056.6</v>
      </c>
      <c r="I6" s="1762">
        <f>-'6. "Summary Table"'!L18/'7. Float Breakdown'!H6</f>
        <v>-4.2498200615062494E-2</v>
      </c>
      <c r="K6" s="214">
        <v>1994</v>
      </c>
      <c r="L6" s="1763"/>
      <c r="M6" s="1763"/>
      <c r="N6" s="1763"/>
      <c r="O6" s="1763"/>
      <c r="P6" s="1763"/>
      <c r="Q6" s="1764"/>
      <c r="R6" s="1762">
        <f>H6/2624.7-1</f>
        <v>0.16455213929210966</v>
      </c>
    </row>
    <row r="7" spans="1:19" hidden="1" outlineLevel="1" x14ac:dyDescent="0.3">
      <c r="A7" s="214">
        <v>1995</v>
      </c>
      <c r="B7" s="231"/>
      <c r="C7" s="231"/>
      <c r="D7" s="231"/>
      <c r="E7" s="231"/>
      <c r="F7" s="231"/>
      <c r="H7" s="230">
        <v>3607.2</v>
      </c>
      <c r="I7" s="1762">
        <f>-'6. "Summary Table"'!K18/'7. Float Breakdown'!H7</f>
        <v>-5.6830782878687074E-3</v>
      </c>
      <c r="K7" s="214">
        <v>1995</v>
      </c>
      <c r="L7" s="1763"/>
      <c r="M7" s="1763"/>
      <c r="N7" s="1763"/>
      <c r="O7" s="1763"/>
      <c r="P7" s="1763"/>
      <c r="Q7" s="1764"/>
      <c r="R7" s="1762">
        <f t="shared" ref="R7:R10" si="0">H7/H6-1</f>
        <v>0.18013479028986445</v>
      </c>
    </row>
    <row r="8" spans="1:19" hidden="1" outlineLevel="1" x14ac:dyDescent="0.3">
      <c r="A8" s="214">
        <v>1996</v>
      </c>
      <c r="B8" s="231"/>
      <c r="C8" s="231"/>
      <c r="D8" s="231"/>
      <c r="E8" s="231"/>
      <c r="F8" s="231"/>
      <c r="H8" s="230">
        <v>6702</v>
      </c>
      <c r="I8" s="1762">
        <f>-'6. "Summary Table"'!J18/'7. Float Breakdown'!H8</f>
        <v>-3.3139361384661295E-2</v>
      </c>
      <c r="K8" s="214">
        <v>1996</v>
      </c>
      <c r="L8" s="1763"/>
      <c r="M8" s="1763"/>
      <c r="N8" s="1763"/>
      <c r="O8" s="1763"/>
      <c r="P8" s="1763"/>
      <c r="Q8" s="1764"/>
      <c r="R8" s="1762">
        <f t="shared" si="0"/>
        <v>0.85795076513639401</v>
      </c>
    </row>
    <row r="9" spans="1:19" hidden="1" outlineLevel="1" x14ac:dyDescent="0.3">
      <c r="A9" s="214">
        <v>1997</v>
      </c>
      <c r="B9" s="230">
        <v>2917</v>
      </c>
      <c r="C9" s="230"/>
      <c r="D9" s="230">
        <v>4014</v>
      </c>
      <c r="E9" s="230">
        <v>455</v>
      </c>
      <c r="F9" s="230">
        <f>SUM(B9:E9)</f>
        <v>7386</v>
      </c>
      <c r="H9" s="230">
        <v>7093.1</v>
      </c>
      <c r="I9" s="1762">
        <f>-'6. "Summary Table"'!I18/'7. Float Breakdown'!H9</f>
        <v>-6.5133721503996836E-2</v>
      </c>
      <c r="K9" s="214">
        <v>1997</v>
      </c>
      <c r="L9" s="1763"/>
      <c r="M9" s="1763"/>
      <c r="N9" s="1763"/>
      <c r="O9" s="1763"/>
      <c r="P9" s="1763"/>
      <c r="Q9" s="1764"/>
      <c r="R9" s="1762">
        <f t="shared" si="0"/>
        <v>5.8355714712026385E-2</v>
      </c>
    </row>
    <row r="10" spans="1:19" hidden="1" outlineLevel="1" x14ac:dyDescent="0.3">
      <c r="A10" s="214">
        <v>1998</v>
      </c>
      <c r="B10" s="230">
        <v>3125</v>
      </c>
      <c r="C10" s="230">
        <v>14909</v>
      </c>
      <c r="D10" s="230">
        <v>4305</v>
      </c>
      <c r="E10" s="230">
        <v>415</v>
      </c>
      <c r="F10" s="230">
        <f t="shared" ref="F10:F13" si="1">SUM(B10:E10)</f>
        <v>22754</v>
      </c>
      <c r="H10" s="230">
        <f>(F10+F9)/2</f>
        <v>15070</v>
      </c>
      <c r="I10" s="1762">
        <f>-'6. "Summary Table"'!H18/'7. Float Breakdown'!H10</f>
        <v>-1.7584605175846053E-2</v>
      </c>
      <c r="K10" s="214">
        <v>1998</v>
      </c>
      <c r="L10" s="1765">
        <f>B10/B9-1</f>
        <v>7.1306136441549484E-2</v>
      </c>
      <c r="M10" s="1766" t="s">
        <v>826</v>
      </c>
      <c r="N10" s="1765">
        <f t="shared" ref="N10:R16" si="2">D10/D9-1</f>
        <v>7.2496263079222745E-2</v>
      </c>
      <c r="O10" s="1765">
        <f t="shared" si="2"/>
        <v>-8.7912087912087933E-2</v>
      </c>
      <c r="P10" s="1765">
        <f t="shared" si="2"/>
        <v>2.0806932033577037</v>
      </c>
      <c r="Q10" s="1764"/>
      <c r="R10" s="1762">
        <f t="shared" si="0"/>
        <v>1.1245999633446586</v>
      </c>
      <c r="S10" s="227"/>
    </row>
    <row r="11" spans="1:19" hidden="1" outlineLevel="1" x14ac:dyDescent="0.3">
      <c r="A11" s="214">
        <v>1999</v>
      </c>
      <c r="B11" s="230">
        <v>3444</v>
      </c>
      <c r="C11" s="230">
        <v>15166</v>
      </c>
      <c r="D11" s="230">
        <v>6285</v>
      </c>
      <c r="E11" s="230">
        <v>403</v>
      </c>
      <c r="F11" s="230">
        <f t="shared" si="1"/>
        <v>25298</v>
      </c>
      <c r="H11" s="230">
        <f t="shared" ref="H11:H13" si="3">(F11+F10)/2</f>
        <v>24026</v>
      </c>
      <c r="I11" s="1762">
        <f>-'6. "Summary Table"'!G18/'7. Float Breakdown'!H11</f>
        <v>5.8020477815699661E-2</v>
      </c>
      <c r="K11" s="214">
        <v>1999</v>
      </c>
      <c r="L11" s="1765">
        <f t="shared" ref="L11:M16" si="4">B11/B10-1</f>
        <v>0.10207999999999995</v>
      </c>
      <c r="M11" s="1765">
        <f t="shared" si="4"/>
        <v>1.7237909987255939E-2</v>
      </c>
      <c r="N11" s="1765">
        <f t="shared" si="2"/>
        <v>0.45993031358885017</v>
      </c>
      <c r="O11" s="1765">
        <f t="shared" si="2"/>
        <v>-2.8915662650602414E-2</v>
      </c>
      <c r="P11" s="1765">
        <f t="shared" si="2"/>
        <v>0.11180451788696488</v>
      </c>
      <c r="Q11" s="1764"/>
      <c r="R11" s="1762">
        <f>H11/H10-1</f>
        <v>0.59429329794293295</v>
      </c>
      <c r="S11" s="227"/>
    </row>
    <row r="12" spans="1:19" hidden="1" outlineLevel="1" x14ac:dyDescent="0.3">
      <c r="A12" s="214">
        <v>2000</v>
      </c>
      <c r="B12" s="230">
        <v>3943</v>
      </c>
      <c r="C12" s="230">
        <v>15525</v>
      </c>
      <c r="D12" s="230">
        <v>7805</v>
      </c>
      <c r="E12" s="230">
        <v>598</v>
      </c>
      <c r="F12" s="230">
        <f t="shared" si="1"/>
        <v>27871</v>
      </c>
      <c r="H12" s="230">
        <f t="shared" si="3"/>
        <v>26584.5</v>
      </c>
      <c r="I12" s="1762">
        <f>-'6. "Summary Table"'!F18/'7. Float Breakdown'!H12</f>
        <v>6.0749684966803962E-2</v>
      </c>
      <c r="K12" s="214">
        <v>2000</v>
      </c>
      <c r="L12" s="1765">
        <f t="shared" si="4"/>
        <v>0.1448896631823462</v>
      </c>
      <c r="M12" s="1765">
        <f t="shared" si="4"/>
        <v>2.3671370170117445E-2</v>
      </c>
      <c r="N12" s="1765">
        <f t="shared" si="2"/>
        <v>0.24184566428003174</v>
      </c>
      <c r="O12" s="1765">
        <f t="shared" si="2"/>
        <v>0.4838709677419355</v>
      </c>
      <c r="P12" s="1765">
        <f t="shared" si="2"/>
        <v>0.10170764487311246</v>
      </c>
      <c r="Q12" s="1764"/>
      <c r="R12" s="1762">
        <f t="shared" si="2"/>
        <v>0.10648880379588777</v>
      </c>
      <c r="S12" s="227"/>
    </row>
    <row r="13" spans="1:19" hidden="1" outlineLevel="1" x14ac:dyDescent="0.3">
      <c r="A13" s="214">
        <v>2001</v>
      </c>
      <c r="B13" s="230">
        <v>4251</v>
      </c>
      <c r="C13" s="230">
        <v>19310</v>
      </c>
      <c r="D13" s="230">
        <v>11262</v>
      </c>
      <c r="E13" s="230">
        <v>685</v>
      </c>
      <c r="F13" s="230">
        <f t="shared" si="1"/>
        <v>35508</v>
      </c>
      <c r="H13" s="230">
        <f t="shared" si="3"/>
        <v>31689.5</v>
      </c>
      <c r="I13" s="1762">
        <f>-'6. "Summary Table"'!E18/'7. Float Breakdown'!H13</f>
        <v>0.12833903974502595</v>
      </c>
      <c r="K13" s="214">
        <v>2001</v>
      </c>
      <c r="L13" s="1765">
        <f t="shared" si="4"/>
        <v>7.8113111843773675E-2</v>
      </c>
      <c r="M13" s="1765">
        <f t="shared" si="4"/>
        <v>0.24380032206119173</v>
      </c>
      <c r="N13" s="1765">
        <f t="shared" si="2"/>
        <v>0.44292120435618187</v>
      </c>
      <c r="O13" s="1765">
        <f t="shared" si="2"/>
        <v>0.14548494983277593</v>
      </c>
      <c r="P13" s="1765">
        <f t="shared" si="2"/>
        <v>0.27401241433748336</v>
      </c>
      <c r="Q13" s="1764"/>
      <c r="R13" s="1762">
        <f t="shared" si="2"/>
        <v>0.19202918994150719</v>
      </c>
      <c r="S13" s="227"/>
    </row>
    <row r="14" spans="1:19" hidden="1" outlineLevel="1" x14ac:dyDescent="0.3">
      <c r="A14" s="214">
        <v>2002</v>
      </c>
      <c r="B14" s="230">
        <v>4678</v>
      </c>
      <c r="C14" s="230">
        <v>22207</v>
      </c>
      <c r="D14" s="230">
        <v>13396</v>
      </c>
      <c r="E14" s="230">
        <v>943</v>
      </c>
      <c r="F14" s="230">
        <f t="shared" ref="F14:F26" si="5">SUM(B14:E14)</f>
        <v>41224</v>
      </c>
      <c r="H14" s="230">
        <f t="shared" ref="H14:H26" si="6">(F14+F13)/2</f>
        <v>38366</v>
      </c>
      <c r="I14" s="1762">
        <f>-'6. "Summary Table"'!D18/'7. Float Breakdown'!H14</f>
        <v>1.0712610123546891E-2</v>
      </c>
      <c r="K14" s="214">
        <v>2002</v>
      </c>
      <c r="L14" s="1765">
        <f t="shared" si="4"/>
        <v>0.10044695365796286</v>
      </c>
      <c r="M14" s="1765">
        <f t="shared" si="4"/>
        <v>0.15002589331952354</v>
      </c>
      <c r="N14" s="1765">
        <f t="shared" si="2"/>
        <v>0.18948676966790989</v>
      </c>
      <c r="O14" s="1765">
        <f t="shared" si="2"/>
        <v>0.37664233576642325</v>
      </c>
      <c r="P14" s="1765">
        <f t="shared" si="2"/>
        <v>0.16097780781795645</v>
      </c>
      <c r="Q14" s="1764"/>
      <c r="R14" s="1762">
        <f t="shared" si="2"/>
        <v>0.21068492718408316</v>
      </c>
      <c r="S14" s="227"/>
    </row>
    <row r="15" spans="1:19" hidden="1" outlineLevel="1" x14ac:dyDescent="0.3">
      <c r="A15" s="214">
        <v>2003</v>
      </c>
      <c r="B15" s="230">
        <v>5287</v>
      </c>
      <c r="C15" s="230">
        <v>23654</v>
      </c>
      <c r="D15" s="230">
        <v>13948</v>
      </c>
      <c r="E15" s="230">
        <v>1331</v>
      </c>
      <c r="F15" s="230">
        <f t="shared" si="5"/>
        <v>44220</v>
      </c>
      <c r="H15" s="230">
        <f t="shared" si="6"/>
        <v>42722</v>
      </c>
      <c r="I15" s="1762">
        <f>-'6. "Summary Table"'!C18/'7. Float Breakdown'!H15</f>
        <v>-4.0213473152005991E-2</v>
      </c>
      <c r="K15" s="214">
        <v>2003</v>
      </c>
      <c r="L15" s="1765">
        <f t="shared" si="4"/>
        <v>0.13018383924754162</v>
      </c>
      <c r="M15" s="1765">
        <f t="shared" si="4"/>
        <v>6.5159634349529538E-2</v>
      </c>
      <c r="N15" s="1765">
        <f t="shared" si="2"/>
        <v>4.1206330247835155E-2</v>
      </c>
      <c r="O15" s="1765">
        <f t="shared" si="2"/>
        <v>0.41145281018027569</v>
      </c>
      <c r="P15" s="1765">
        <f t="shared" si="2"/>
        <v>7.267611100329896E-2</v>
      </c>
      <c r="Q15" s="1764"/>
      <c r="R15" s="1762">
        <f t="shared" si="2"/>
        <v>0.11353802846270145</v>
      </c>
    </row>
    <row r="16" spans="1:19" collapsed="1" x14ac:dyDescent="0.3">
      <c r="A16" s="214">
        <v>2004</v>
      </c>
      <c r="B16" s="230">
        <v>5960</v>
      </c>
      <c r="C16" s="230">
        <v>23120</v>
      </c>
      <c r="D16" s="230">
        <v>15278</v>
      </c>
      <c r="E16" s="230">
        <v>1736</v>
      </c>
      <c r="F16" s="230">
        <f t="shared" si="5"/>
        <v>46094</v>
      </c>
      <c r="H16" s="230">
        <f t="shared" si="6"/>
        <v>45157</v>
      </c>
      <c r="I16" s="1762">
        <f>-'6. "Summary Table"'!B18/'7. Float Breakdown'!H16</f>
        <v>-3.4346834377837324E-2</v>
      </c>
      <c r="K16" s="214">
        <v>2004</v>
      </c>
      <c r="L16" s="1765">
        <f t="shared" si="4"/>
        <v>0.1272933610743332</v>
      </c>
      <c r="M16" s="1765">
        <f t="shared" si="4"/>
        <v>-2.2575462923818401E-2</v>
      </c>
      <c r="N16" s="1765">
        <f t="shared" si="2"/>
        <v>9.5354172641238799E-2</v>
      </c>
      <c r="O16" s="1765">
        <f t="shared" si="2"/>
        <v>0.30428249436513899</v>
      </c>
      <c r="P16" s="1765">
        <f t="shared" si="2"/>
        <v>4.2379014020805128E-2</v>
      </c>
      <c r="Q16" s="1764"/>
      <c r="R16" s="1762">
        <f t="shared" si="2"/>
        <v>5.699639529984557E-2</v>
      </c>
    </row>
    <row r="17" spans="1:18" x14ac:dyDescent="0.3">
      <c r="A17" s="214">
        <v>2005</v>
      </c>
      <c r="B17" s="230">
        <v>6692</v>
      </c>
      <c r="C17" s="230">
        <v>22920</v>
      </c>
      <c r="D17" s="230">
        <v>16233</v>
      </c>
      <c r="E17" s="230">
        <v>3442</v>
      </c>
      <c r="F17" s="230">
        <f t="shared" si="5"/>
        <v>49287</v>
      </c>
      <c r="H17" s="230">
        <f t="shared" si="6"/>
        <v>47690.5</v>
      </c>
      <c r="I17" s="1762">
        <f>-53/H17</f>
        <v>-1.1113324456652792E-3</v>
      </c>
      <c r="K17" s="214">
        <v>2005</v>
      </c>
      <c r="L17" s="1765">
        <f t="shared" ref="L17" si="7">B17/B16-1</f>
        <v>0.12281879194630863</v>
      </c>
      <c r="M17" s="1765">
        <f t="shared" ref="M17" si="8">C17/C16-1</f>
        <v>-8.65051903114189E-3</v>
      </c>
      <c r="N17" s="1765">
        <f t="shared" ref="N17" si="9">D17/D16-1</f>
        <v>6.2508181699175269E-2</v>
      </c>
      <c r="O17" s="1765">
        <f t="shared" ref="O17" si="10">E17/E16-1</f>
        <v>0.98271889400921664</v>
      </c>
      <c r="P17" s="1765">
        <f t="shared" ref="P17" si="11">F17/F16-1</f>
        <v>6.9271488697010497E-2</v>
      </c>
      <c r="Q17" s="1764"/>
      <c r="R17" s="1762">
        <f t="shared" ref="R17" si="12">H17/H16-1</f>
        <v>5.6104258475983881E-2</v>
      </c>
    </row>
    <row r="18" spans="1:18" x14ac:dyDescent="0.3">
      <c r="A18" s="214">
        <v>2006</v>
      </c>
      <c r="B18" s="230">
        <v>7171</v>
      </c>
      <c r="C18" s="230">
        <v>22827</v>
      </c>
      <c r="D18" s="230">
        <v>16860</v>
      </c>
      <c r="E18" s="230">
        <v>4029</v>
      </c>
      <c r="F18" s="230">
        <f t="shared" si="5"/>
        <v>50887</v>
      </c>
      <c r="H18" s="230">
        <f t="shared" si="6"/>
        <v>50087</v>
      </c>
      <c r="I18" s="1762">
        <f>-3838/H18</f>
        <v>-7.662666959490487E-2</v>
      </c>
      <c r="K18" s="214">
        <v>2006</v>
      </c>
      <c r="L18" s="1765">
        <f t="shared" ref="L18" si="13">B18/B17-1</f>
        <v>7.1578003586371786E-2</v>
      </c>
      <c r="M18" s="1765">
        <f t="shared" ref="M18" si="14">C18/C17-1</f>
        <v>-4.0575916230366493E-3</v>
      </c>
      <c r="N18" s="1765">
        <f t="shared" ref="N18" si="15">D18/D17-1</f>
        <v>3.8625023101090283E-2</v>
      </c>
      <c r="O18" s="1765">
        <f t="shared" ref="O18" si="16">E18/E17-1</f>
        <v>0.17054038349796641</v>
      </c>
      <c r="P18" s="1765">
        <f t="shared" ref="P18" si="17">F18/F17-1</f>
        <v>3.2462921257126576E-2</v>
      </c>
      <c r="Q18" s="1764"/>
      <c r="R18" s="1762">
        <f t="shared" ref="R18" si="18">H18/H17-1</f>
        <v>5.0251098227110269E-2</v>
      </c>
    </row>
    <row r="19" spans="1:18" x14ac:dyDescent="0.3">
      <c r="A19" s="214">
        <v>2007</v>
      </c>
      <c r="B19" s="230">
        <v>7768</v>
      </c>
      <c r="C19" s="230">
        <v>23009</v>
      </c>
      <c r="D19" s="230">
        <v>23692</v>
      </c>
      <c r="E19" s="230">
        <v>4229</v>
      </c>
      <c r="F19" s="230">
        <f t="shared" si="5"/>
        <v>58698</v>
      </c>
      <c r="H19" s="230">
        <f t="shared" si="6"/>
        <v>54792.5</v>
      </c>
      <c r="I19" s="1762">
        <f>-3374/H19</f>
        <v>-6.1577770680293839E-2</v>
      </c>
      <c r="K19" s="214">
        <v>2007</v>
      </c>
      <c r="L19" s="1765">
        <f t="shared" ref="L19:L26" si="19">B19/B18-1</f>
        <v>8.3251987170547936E-2</v>
      </c>
      <c r="M19" s="1765">
        <f t="shared" ref="M19:M26" si="20">C19/C18-1</f>
        <v>7.9730144127567737E-3</v>
      </c>
      <c r="N19" s="1765">
        <f t="shared" ref="N19:N26" si="21">D19/D18-1</f>
        <v>0.40521945432977469</v>
      </c>
      <c r="O19" s="1765">
        <f t="shared" ref="O19:O26" si="22">E19/E18-1</f>
        <v>4.9640109208240357E-2</v>
      </c>
      <c r="P19" s="1765">
        <f t="shared" ref="P19:P26" si="23">F19/F18-1</f>
        <v>0.15349696386110412</v>
      </c>
      <c r="Q19" s="1764"/>
      <c r="R19" s="1762">
        <f t="shared" ref="R19:R26" si="24">H19/H18-1</f>
        <v>9.3946533032523316E-2</v>
      </c>
    </row>
    <row r="20" spans="1:18" x14ac:dyDescent="0.3">
      <c r="A20" s="214">
        <v>2008</v>
      </c>
      <c r="B20" s="230">
        <v>8454</v>
      </c>
      <c r="C20" s="230">
        <v>21074</v>
      </c>
      <c r="D20" s="230">
        <v>24221</v>
      </c>
      <c r="E20" s="230">
        <v>4739</v>
      </c>
      <c r="F20" s="230">
        <f t="shared" si="5"/>
        <v>58488</v>
      </c>
      <c r="H20" s="230">
        <f>(F20+F19)/2</f>
        <v>58593</v>
      </c>
      <c r="I20" s="1762">
        <f>-2792/H20</f>
        <v>-4.7650743262847101E-2</v>
      </c>
      <c r="K20" s="214">
        <v>2008</v>
      </c>
      <c r="L20" s="1765">
        <f t="shared" si="19"/>
        <v>8.8311019567456128E-2</v>
      </c>
      <c r="M20" s="1765">
        <f t="shared" si="20"/>
        <v>-8.4097527054630805E-2</v>
      </c>
      <c r="N20" s="1765">
        <f t="shared" si="21"/>
        <v>2.2328212054701924E-2</v>
      </c>
      <c r="O20" s="1765">
        <f t="shared" si="22"/>
        <v>0.12059588555214007</v>
      </c>
      <c r="P20" s="1765">
        <f t="shared" si="23"/>
        <v>-3.5776346723909169E-3</v>
      </c>
      <c r="Q20" s="1764"/>
      <c r="R20" s="1762">
        <f t="shared" si="24"/>
        <v>6.936168271205001E-2</v>
      </c>
    </row>
    <row r="21" spans="1:18" x14ac:dyDescent="0.3">
      <c r="A21" s="214">
        <v>2009</v>
      </c>
      <c r="B21" s="230">
        <v>9613</v>
      </c>
      <c r="C21" s="230">
        <v>21014</v>
      </c>
      <c r="D21" s="230">
        <v>26223</v>
      </c>
      <c r="E21" s="230">
        <v>5061</v>
      </c>
      <c r="F21" s="230">
        <f t="shared" si="5"/>
        <v>61911</v>
      </c>
      <c r="H21" s="230">
        <f t="shared" si="6"/>
        <v>60199.5</v>
      </c>
      <c r="I21" s="1762">
        <f>-1559/H21</f>
        <v>-2.5897225060008803E-2</v>
      </c>
      <c r="K21" s="214">
        <v>2009</v>
      </c>
      <c r="L21" s="1765">
        <f t="shared" si="19"/>
        <v>0.13709486633546253</v>
      </c>
      <c r="M21" s="1765">
        <f t="shared" si="20"/>
        <v>-2.847110183164081E-3</v>
      </c>
      <c r="N21" s="1765">
        <f t="shared" si="21"/>
        <v>8.2655546839519367E-2</v>
      </c>
      <c r="O21" s="1765">
        <f t="shared" si="22"/>
        <v>6.794682422452003E-2</v>
      </c>
      <c r="P21" s="1765">
        <f t="shared" si="23"/>
        <v>5.8524825605252406E-2</v>
      </c>
      <c r="Q21" s="1764"/>
      <c r="R21" s="1762">
        <f t="shared" si="24"/>
        <v>2.7417950949772063E-2</v>
      </c>
    </row>
    <row r="22" spans="1:18" x14ac:dyDescent="0.3">
      <c r="A22" s="214">
        <v>2010</v>
      </c>
      <c r="B22" s="230">
        <v>10272</v>
      </c>
      <c r="C22" s="230">
        <v>20049</v>
      </c>
      <c r="D22" s="230">
        <v>30370</v>
      </c>
      <c r="E22" s="230">
        <v>5141</v>
      </c>
      <c r="F22" s="230">
        <f t="shared" si="5"/>
        <v>65832</v>
      </c>
      <c r="H22" s="230">
        <f t="shared" si="6"/>
        <v>63871.5</v>
      </c>
      <c r="I22" s="1762">
        <f>-2013/H22</f>
        <v>-3.1516404029966416E-2</v>
      </c>
      <c r="K22" s="214">
        <v>2010</v>
      </c>
      <c r="L22" s="1765">
        <f t="shared" si="19"/>
        <v>6.8553001144283865E-2</v>
      </c>
      <c r="M22" s="1765">
        <f t="shared" si="20"/>
        <v>-4.5921766441419987E-2</v>
      </c>
      <c r="N22" s="1765">
        <f t="shared" si="21"/>
        <v>0.15814361438431912</v>
      </c>
      <c r="O22" s="1765">
        <f t="shared" si="22"/>
        <v>1.5807152736613261E-2</v>
      </c>
      <c r="P22" s="1765">
        <f t="shared" si="23"/>
        <v>6.3332848766778138E-2</v>
      </c>
      <c r="Q22" s="1764"/>
      <c r="R22" s="1762">
        <f t="shared" si="24"/>
        <v>6.0997184361996304E-2</v>
      </c>
    </row>
    <row r="23" spans="1:18" x14ac:dyDescent="0.3">
      <c r="A23" s="214">
        <v>2011</v>
      </c>
      <c r="B23" s="230">
        <v>11169</v>
      </c>
      <c r="C23" s="230">
        <v>19714</v>
      </c>
      <c r="D23" s="230">
        <v>33728</v>
      </c>
      <c r="E23" s="230">
        <v>5960</v>
      </c>
      <c r="F23" s="230">
        <f t="shared" si="5"/>
        <v>70571</v>
      </c>
      <c r="H23" s="230">
        <f t="shared" si="6"/>
        <v>68201.5</v>
      </c>
      <c r="I23" s="1762">
        <f>-248/H23</f>
        <v>-3.6362836594503053E-3</v>
      </c>
      <c r="K23" s="214">
        <v>2011</v>
      </c>
      <c r="L23" s="1765">
        <f t="shared" si="19"/>
        <v>8.7324766355140193E-2</v>
      </c>
      <c r="M23" s="1765">
        <f t="shared" si="20"/>
        <v>-1.6709062796149476E-2</v>
      </c>
      <c r="N23" s="1765">
        <f t="shared" si="21"/>
        <v>0.11056964109318401</v>
      </c>
      <c r="O23" s="1765">
        <f t="shared" si="22"/>
        <v>0.15930752771834267</v>
      </c>
      <c r="P23" s="1765">
        <f t="shared" si="23"/>
        <v>7.1986268076315474E-2</v>
      </c>
      <c r="Q23" s="1764"/>
      <c r="R23" s="1762">
        <f t="shared" si="24"/>
        <v>6.7792364356559665E-2</v>
      </c>
    </row>
    <row r="24" spans="1:18" x14ac:dyDescent="0.3">
      <c r="A24" s="214">
        <v>2012</v>
      </c>
      <c r="B24" s="230">
        <v>11578</v>
      </c>
      <c r="C24" s="230">
        <v>20128</v>
      </c>
      <c r="D24" s="230">
        <v>34821</v>
      </c>
      <c r="E24" s="230">
        <v>6598</v>
      </c>
      <c r="F24" s="230">
        <f t="shared" si="5"/>
        <v>73125</v>
      </c>
      <c r="H24" s="230">
        <f t="shared" si="6"/>
        <v>71848</v>
      </c>
      <c r="I24" s="1762">
        <f>-1625/H24</f>
        <v>-2.2617191849459969E-2</v>
      </c>
      <c r="K24" s="214">
        <v>2012</v>
      </c>
      <c r="L24" s="1765">
        <f t="shared" si="19"/>
        <v>3.6619213895603853E-2</v>
      </c>
      <c r="M24" s="1765">
        <f t="shared" si="20"/>
        <v>2.1000304352237098E-2</v>
      </c>
      <c r="N24" s="1765">
        <f t="shared" si="21"/>
        <v>3.2406309297912772E-2</v>
      </c>
      <c r="O24" s="1765">
        <f t="shared" si="22"/>
        <v>0.10704697986577183</v>
      </c>
      <c r="P24" s="1765">
        <f t="shared" si="23"/>
        <v>3.6190503181193323E-2</v>
      </c>
      <c r="Q24" s="1764"/>
      <c r="R24" s="1762">
        <f t="shared" si="24"/>
        <v>5.3466565984619185E-2</v>
      </c>
    </row>
    <row r="25" spans="1:18" x14ac:dyDescent="0.3">
      <c r="A25" s="214">
        <v>2013</v>
      </c>
      <c r="B25" s="230">
        <v>12566</v>
      </c>
      <c r="C25" s="230">
        <v>20013</v>
      </c>
      <c r="D25" s="230">
        <v>37231</v>
      </c>
      <c r="E25" s="230">
        <v>7430</v>
      </c>
      <c r="F25" s="230">
        <f t="shared" si="5"/>
        <v>77240</v>
      </c>
      <c r="H25" s="230">
        <f t="shared" si="6"/>
        <v>75182.5</v>
      </c>
      <c r="I25" s="1762">
        <f>-3089/H25</f>
        <v>-4.1086689056628871E-2</v>
      </c>
      <c r="K25" s="214">
        <v>2013</v>
      </c>
      <c r="L25" s="1765">
        <f t="shared" si="19"/>
        <v>8.5334254620832661E-2</v>
      </c>
      <c r="M25" s="1765">
        <f t="shared" si="20"/>
        <v>-5.7134340222575464E-3</v>
      </c>
      <c r="N25" s="1765">
        <f t="shared" si="21"/>
        <v>6.9211108239280783E-2</v>
      </c>
      <c r="O25" s="1765">
        <f t="shared" si="22"/>
        <v>0.1260988178235829</v>
      </c>
      <c r="P25" s="1765">
        <f t="shared" si="23"/>
        <v>5.6273504273504305E-2</v>
      </c>
      <c r="Q25" s="1764"/>
      <c r="R25" s="1762">
        <f t="shared" si="24"/>
        <v>4.6410477675091766E-2</v>
      </c>
    </row>
    <row r="26" spans="1:18" x14ac:dyDescent="0.3">
      <c r="A26" s="214">
        <v>2014</v>
      </c>
      <c r="B26" s="230">
        <v>13569</v>
      </c>
      <c r="C26" s="230">
        <v>19280</v>
      </c>
      <c r="D26" s="230">
        <v>42454</v>
      </c>
      <c r="E26" s="230">
        <v>8618</v>
      </c>
      <c r="F26" s="230">
        <f t="shared" si="5"/>
        <v>83921</v>
      </c>
      <c r="H26" s="230">
        <f t="shared" si="6"/>
        <v>80580.5</v>
      </c>
      <c r="I26" s="1762">
        <f>-2668/H26</f>
        <v>-3.3109747395461679E-2</v>
      </c>
      <c r="K26" s="214">
        <v>2014</v>
      </c>
      <c r="L26" s="1765">
        <f t="shared" si="19"/>
        <v>7.9818558013687646E-2</v>
      </c>
      <c r="M26" s="1765">
        <f t="shared" si="20"/>
        <v>-3.6626192974566485E-2</v>
      </c>
      <c r="N26" s="1765">
        <f t="shared" si="21"/>
        <v>0.14028632053933543</v>
      </c>
      <c r="O26" s="1765">
        <f t="shared" si="22"/>
        <v>0.15989232839838485</v>
      </c>
      <c r="P26" s="1765">
        <f t="shared" si="23"/>
        <v>8.6496633868461847E-2</v>
      </c>
      <c r="Q26" s="1764"/>
      <c r="R26" s="1762">
        <f t="shared" si="24"/>
        <v>7.1798623349848656E-2</v>
      </c>
    </row>
    <row r="27" spans="1:18" ht="3.75" customHeight="1" thickBot="1" x14ac:dyDescent="0.35">
      <c r="A27" s="224"/>
      <c r="B27" s="218"/>
      <c r="C27" s="218"/>
      <c r="D27" s="218"/>
      <c r="E27" s="218"/>
      <c r="F27" s="218"/>
      <c r="G27" s="218"/>
      <c r="H27" s="218"/>
      <c r="I27" s="219"/>
      <c r="K27" s="224"/>
      <c r="L27" s="218"/>
      <c r="M27" s="218"/>
      <c r="N27" s="218"/>
      <c r="O27" s="218"/>
      <c r="P27" s="218"/>
      <c r="Q27" s="218"/>
      <c r="R27" s="219"/>
    </row>
    <row r="28" spans="1:18" ht="16.2" thickBot="1" x14ac:dyDescent="0.35"/>
    <row r="29" spans="1:18" x14ac:dyDescent="0.3">
      <c r="A29" s="453"/>
      <c r="B29" s="2931" t="s">
        <v>3769</v>
      </c>
      <c r="C29" s="2931"/>
      <c r="D29" s="2931"/>
      <c r="E29" s="2931"/>
      <c r="F29" s="2932"/>
    </row>
    <row r="30" spans="1:18" ht="31.2" x14ac:dyDescent="0.3">
      <c r="A30" s="1493" t="s">
        <v>156</v>
      </c>
      <c r="B30" s="1494" t="s">
        <v>497</v>
      </c>
      <c r="C30" s="1494" t="s">
        <v>1046</v>
      </c>
      <c r="D30" s="1494" t="str">
        <f>D5</f>
        <v>BH Reins.</v>
      </c>
      <c r="E30" s="1494" t="s">
        <v>943</v>
      </c>
      <c r="F30" s="1698" t="s">
        <v>3</v>
      </c>
    </row>
    <row r="31" spans="1:18" hidden="1" outlineLevel="1" x14ac:dyDescent="0.3">
      <c r="A31" s="214">
        <v>1994</v>
      </c>
      <c r="B31" s="368"/>
      <c r="C31" s="368"/>
      <c r="D31" s="368"/>
      <c r="E31" s="368"/>
      <c r="F31" s="1501"/>
    </row>
    <row r="32" spans="1:18" hidden="1" outlineLevel="1" x14ac:dyDescent="0.3">
      <c r="A32" s="214">
        <v>1995</v>
      </c>
      <c r="B32" s="368"/>
      <c r="C32" s="368"/>
      <c r="D32" s="368"/>
      <c r="E32" s="368"/>
      <c r="F32" s="1501"/>
    </row>
    <row r="33" spans="1:20" hidden="1" outlineLevel="1" x14ac:dyDescent="0.3">
      <c r="A33" s="214">
        <v>1996</v>
      </c>
      <c r="B33" s="368"/>
      <c r="C33" s="368"/>
      <c r="D33" s="368"/>
      <c r="E33" s="368"/>
      <c r="F33" s="1501"/>
    </row>
    <row r="34" spans="1:20" hidden="1" outlineLevel="1" x14ac:dyDescent="0.3">
      <c r="A34" s="214">
        <v>1997</v>
      </c>
      <c r="B34" s="227">
        <f t="shared" ref="B34:F43" si="25">B9/$F9</f>
        <v>0.39493636609802329</v>
      </c>
      <c r="C34" s="227">
        <f t="shared" si="25"/>
        <v>0</v>
      </c>
      <c r="D34" s="227">
        <f t="shared" si="25"/>
        <v>0.54346060113728678</v>
      </c>
      <c r="E34" s="227">
        <f t="shared" si="25"/>
        <v>6.1603032764689952E-2</v>
      </c>
      <c r="F34" s="347">
        <f t="shared" si="25"/>
        <v>1</v>
      </c>
    </row>
    <row r="35" spans="1:20" hidden="1" outlineLevel="1" x14ac:dyDescent="0.3">
      <c r="A35" s="214">
        <v>1998</v>
      </c>
      <c r="B35" s="227">
        <f t="shared" si="25"/>
        <v>0.13733848993583544</v>
      </c>
      <c r="C35" s="227">
        <f t="shared" si="25"/>
        <v>0.65522545486507866</v>
      </c>
      <c r="D35" s="227">
        <f t="shared" si="25"/>
        <v>0.18919750373560693</v>
      </c>
      <c r="E35" s="227">
        <f t="shared" si="25"/>
        <v>1.8238551463478948E-2</v>
      </c>
      <c r="F35" s="347">
        <f t="shared" si="25"/>
        <v>1</v>
      </c>
    </row>
    <row r="36" spans="1:20" hidden="1" outlineLevel="1" x14ac:dyDescent="0.3">
      <c r="A36" s="214">
        <v>1999</v>
      </c>
      <c r="B36" s="227">
        <f t="shared" si="25"/>
        <v>0.13613724405091313</v>
      </c>
      <c r="C36" s="227">
        <f t="shared" si="25"/>
        <v>0.59949403114870736</v>
      </c>
      <c r="D36" s="227">
        <f t="shared" si="25"/>
        <v>0.24843861174796428</v>
      </c>
      <c r="E36" s="227">
        <f t="shared" si="25"/>
        <v>1.593011305241521E-2</v>
      </c>
      <c r="F36" s="347">
        <f t="shared" si="25"/>
        <v>1</v>
      </c>
    </row>
    <row r="37" spans="1:20" hidden="1" outlineLevel="1" x14ac:dyDescent="0.3">
      <c r="A37" s="214">
        <v>2000</v>
      </c>
      <c r="B37" s="227">
        <f t="shared" si="25"/>
        <v>0.1414732158874816</v>
      </c>
      <c r="C37" s="227">
        <f t="shared" si="25"/>
        <v>0.55703060528865134</v>
      </c>
      <c r="D37" s="227">
        <f t="shared" si="25"/>
        <v>0.28004018513867462</v>
      </c>
      <c r="E37" s="227">
        <f t="shared" si="25"/>
        <v>2.1455993685192493E-2</v>
      </c>
      <c r="F37" s="347">
        <f t="shared" si="25"/>
        <v>1</v>
      </c>
    </row>
    <row r="38" spans="1:20" hidden="1" outlineLevel="1" x14ac:dyDescent="0.3">
      <c r="A38" s="214">
        <v>2001</v>
      </c>
      <c r="B38" s="227">
        <f t="shared" si="25"/>
        <v>0.11971949983102399</v>
      </c>
      <c r="C38" s="227">
        <f t="shared" si="25"/>
        <v>0.5438211107356089</v>
      </c>
      <c r="D38" s="227">
        <f t="shared" si="25"/>
        <v>0.31716796214937482</v>
      </c>
      <c r="E38" s="227">
        <f t="shared" si="25"/>
        <v>1.929142728399234E-2</v>
      </c>
      <c r="F38" s="347">
        <f t="shared" si="25"/>
        <v>1</v>
      </c>
    </row>
    <row r="39" spans="1:20" hidden="1" outlineLevel="1" x14ac:dyDescent="0.3">
      <c r="A39" s="214">
        <v>2002</v>
      </c>
      <c r="B39" s="227">
        <f t="shared" si="25"/>
        <v>0.1134775858723074</v>
      </c>
      <c r="C39" s="227">
        <f t="shared" si="25"/>
        <v>0.53869105375509407</v>
      </c>
      <c r="D39" s="227">
        <f t="shared" si="25"/>
        <v>0.32495633611488456</v>
      </c>
      <c r="E39" s="227">
        <f t="shared" si="25"/>
        <v>2.2875024257713952E-2</v>
      </c>
      <c r="F39" s="347">
        <f t="shared" si="25"/>
        <v>1</v>
      </c>
    </row>
    <row r="40" spans="1:20" hidden="1" outlineLevel="1" x14ac:dyDescent="0.3">
      <c r="A40" s="214">
        <v>2003</v>
      </c>
      <c r="B40" s="227">
        <f t="shared" si="25"/>
        <v>0.11956128448665762</v>
      </c>
      <c r="C40" s="227">
        <f t="shared" si="25"/>
        <v>0.53491632745364093</v>
      </c>
      <c r="D40" s="227">
        <f t="shared" si="25"/>
        <v>0.31542288557213932</v>
      </c>
      <c r="E40" s="227">
        <f t="shared" si="25"/>
        <v>3.0099502487562189E-2</v>
      </c>
      <c r="F40" s="347">
        <f t="shared" si="25"/>
        <v>1</v>
      </c>
    </row>
    <row r="41" spans="1:20" collapsed="1" x14ac:dyDescent="0.3">
      <c r="A41" s="214">
        <v>2004</v>
      </c>
      <c r="B41" s="227">
        <f t="shared" si="25"/>
        <v>0.1293009936217295</v>
      </c>
      <c r="C41" s="227">
        <f t="shared" si="25"/>
        <v>0.50158372022389031</v>
      </c>
      <c r="D41" s="227">
        <f t="shared" si="25"/>
        <v>0.33145311754241336</v>
      </c>
      <c r="E41" s="227">
        <f t="shared" si="25"/>
        <v>3.7662168611966848E-2</v>
      </c>
      <c r="F41" s="347">
        <f t="shared" si="25"/>
        <v>1</v>
      </c>
      <c r="T41" s="211" t="s">
        <v>176</v>
      </c>
    </row>
    <row r="42" spans="1:20" x14ac:dyDescent="0.3">
      <c r="A42" s="214">
        <v>2005</v>
      </c>
      <c r="B42" s="227">
        <f t="shared" si="25"/>
        <v>0.13577616815793211</v>
      </c>
      <c r="C42" s="227">
        <f t="shared" si="25"/>
        <v>0.46503134700833892</v>
      </c>
      <c r="D42" s="227">
        <f t="shared" si="25"/>
        <v>0.32935662547933531</v>
      </c>
      <c r="E42" s="227">
        <f t="shared" si="25"/>
        <v>6.9835859354393653E-2</v>
      </c>
      <c r="F42" s="347">
        <f t="shared" si="25"/>
        <v>1</v>
      </c>
    </row>
    <row r="43" spans="1:20" x14ac:dyDescent="0.3">
      <c r="A43" s="214">
        <v>2006</v>
      </c>
      <c r="B43" s="227">
        <f t="shared" si="25"/>
        <v>0.14092007781948238</v>
      </c>
      <c r="C43" s="227">
        <f t="shared" si="25"/>
        <v>0.44858215261265155</v>
      </c>
      <c r="D43" s="227">
        <f t="shared" si="25"/>
        <v>0.3313223416589699</v>
      </c>
      <c r="E43" s="227">
        <f t="shared" si="25"/>
        <v>7.9175427908896187E-2</v>
      </c>
      <c r="F43" s="347">
        <f t="shared" si="25"/>
        <v>1</v>
      </c>
    </row>
    <row r="44" spans="1:20" x14ac:dyDescent="0.3">
      <c r="A44" s="214">
        <v>2007</v>
      </c>
      <c r="B44" s="227">
        <f t="shared" ref="B44:F51" si="26">B19/$F19</f>
        <v>0.132338410167297</v>
      </c>
      <c r="C44" s="227">
        <f t="shared" si="26"/>
        <v>0.39198950560496099</v>
      </c>
      <c r="D44" s="227">
        <f t="shared" si="26"/>
        <v>0.40362533646802273</v>
      </c>
      <c r="E44" s="227">
        <f t="shared" si="26"/>
        <v>7.204674775971924E-2</v>
      </c>
      <c r="F44" s="347">
        <f t="shared" si="26"/>
        <v>1</v>
      </c>
    </row>
    <row r="45" spans="1:20" x14ac:dyDescent="0.3">
      <c r="A45" s="214">
        <v>2008</v>
      </c>
      <c r="B45" s="227">
        <f t="shared" si="26"/>
        <v>0.14454247025030775</v>
      </c>
      <c r="C45" s="227">
        <f t="shared" si="26"/>
        <v>0.36031322664478183</v>
      </c>
      <c r="D45" s="227">
        <f t="shared" si="26"/>
        <v>0.41411913554917246</v>
      </c>
      <c r="E45" s="227">
        <f t="shared" si="26"/>
        <v>8.1025167555737923E-2</v>
      </c>
      <c r="F45" s="347">
        <f t="shared" si="26"/>
        <v>1</v>
      </c>
    </row>
    <row r="46" spans="1:20" x14ac:dyDescent="0.3">
      <c r="A46" s="214">
        <v>2009</v>
      </c>
      <c r="B46" s="227">
        <f t="shared" si="26"/>
        <v>0.15527127650982864</v>
      </c>
      <c r="C46" s="227">
        <f t="shared" si="26"/>
        <v>0.33942271971055227</v>
      </c>
      <c r="D46" s="227">
        <f t="shared" si="26"/>
        <v>0.42355962591461938</v>
      </c>
      <c r="E46" s="227">
        <f t="shared" si="26"/>
        <v>8.1746377864999761E-2</v>
      </c>
      <c r="F46" s="347">
        <f t="shared" si="26"/>
        <v>1</v>
      </c>
    </row>
    <row r="47" spans="1:20" x14ac:dyDescent="0.3">
      <c r="A47" s="214">
        <v>2010</v>
      </c>
      <c r="B47" s="227">
        <f t="shared" si="26"/>
        <v>0.15603353991979585</v>
      </c>
      <c r="C47" s="227">
        <f t="shared" si="26"/>
        <v>0.30454794021144732</v>
      </c>
      <c r="D47" s="227">
        <f t="shared" si="26"/>
        <v>0.46132579900352411</v>
      </c>
      <c r="E47" s="227">
        <f t="shared" si="26"/>
        <v>7.8092720865232709E-2</v>
      </c>
      <c r="F47" s="347">
        <f t="shared" si="26"/>
        <v>1</v>
      </c>
    </row>
    <row r="48" spans="1:20" x14ac:dyDescent="0.3">
      <c r="A48" s="214">
        <v>2011</v>
      </c>
      <c r="B48" s="227">
        <f t="shared" si="26"/>
        <v>0.15826614331665981</v>
      </c>
      <c r="C48" s="227">
        <f t="shared" si="26"/>
        <v>0.27934987459438015</v>
      </c>
      <c r="D48" s="227">
        <f t="shared" si="26"/>
        <v>0.47793002791514927</v>
      </c>
      <c r="E48" s="227">
        <f t="shared" si="26"/>
        <v>8.4453954173810769E-2</v>
      </c>
      <c r="F48" s="347">
        <f t="shared" si="26"/>
        <v>1</v>
      </c>
    </row>
    <row r="49" spans="1:25" x14ac:dyDescent="0.3">
      <c r="A49" s="214">
        <v>2012</v>
      </c>
      <c r="B49" s="227">
        <f t="shared" si="26"/>
        <v>0.15833162393162392</v>
      </c>
      <c r="C49" s="227">
        <f t="shared" si="26"/>
        <v>0.27525470085470083</v>
      </c>
      <c r="D49" s="227">
        <f t="shared" si="26"/>
        <v>0.47618461538461537</v>
      </c>
      <c r="E49" s="227">
        <f t="shared" si="26"/>
        <v>9.0229059829059835E-2</v>
      </c>
      <c r="F49" s="347">
        <f t="shared" si="26"/>
        <v>1</v>
      </c>
    </row>
    <row r="50" spans="1:25" x14ac:dyDescent="0.3">
      <c r="A50" s="214">
        <v>2013</v>
      </c>
      <c r="B50" s="227">
        <f t="shared" si="26"/>
        <v>0.16268772656654584</v>
      </c>
      <c r="C50" s="227">
        <f t="shared" si="26"/>
        <v>0.25910150181253239</v>
      </c>
      <c r="D50" s="227">
        <f t="shared" si="26"/>
        <v>0.48201708959088557</v>
      </c>
      <c r="E50" s="227">
        <f t="shared" si="26"/>
        <v>9.6193682030036254E-2</v>
      </c>
      <c r="F50" s="347">
        <f t="shared" si="26"/>
        <v>1</v>
      </c>
      <c r="Y50" s="211" t="s">
        <v>176</v>
      </c>
    </row>
    <row r="51" spans="1:25" x14ac:dyDescent="0.3">
      <c r="A51" s="214">
        <v>2014</v>
      </c>
      <c r="B51" s="227">
        <f t="shared" si="26"/>
        <v>0.16168777779101776</v>
      </c>
      <c r="C51" s="227">
        <f t="shared" si="26"/>
        <v>0.22973987440569107</v>
      </c>
      <c r="D51" s="227">
        <f t="shared" si="26"/>
        <v>0.50588053049892157</v>
      </c>
      <c r="E51" s="227">
        <f t="shared" si="26"/>
        <v>0.10269181730436959</v>
      </c>
      <c r="F51" s="347">
        <f t="shared" si="26"/>
        <v>1</v>
      </c>
    </row>
    <row r="52" spans="1:25" ht="4.5" customHeight="1" thickBot="1" x14ac:dyDescent="0.35">
      <c r="A52" s="224"/>
      <c r="B52" s="218"/>
      <c r="C52" s="218"/>
      <c r="D52" s="218"/>
      <c r="E52" s="218"/>
      <c r="F52" s="219"/>
    </row>
    <row r="53" spans="1:25" x14ac:dyDescent="0.3">
      <c r="A53" s="12" t="s">
        <v>1893</v>
      </c>
    </row>
    <row r="56" spans="1:25" x14ac:dyDescent="0.3">
      <c r="D56" s="211" t="s">
        <v>176</v>
      </c>
    </row>
  </sheetData>
  <mergeCells count="3">
    <mergeCell ref="B4:F4"/>
    <mergeCell ref="L4:P4"/>
    <mergeCell ref="B29:F29"/>
  </mergeCells>
  <pageMargins left="0.7" right="0.7" top="0.75" bottom="0.75" header="0.3" footer="0.3"/>
  <ignoredErrors>
    <ignoredError sqref="F9:F18 F19:F26" formulaRange="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C6408-B7DF-4EEB-8346-12F5E401F3E0}">
  <sheetPr>
    <tabColor theme="4"/>
  </sheetPr>
  <dimension ref="A1:U49"/>
  <sheetViews>
    <sheetView showGridLines="0" zoomScale="70" zoomScaleNormal="70" workbookViewId="0">
      <selection activeCell="T28" sqref="T28"/>
    </sheetView>
  </sheetViews>
  <sheetFormatPr defaultColWidth="9.109375" defaultRowHeight="15.6" x14ac:dyDescent="0.3"/>
  <cols>
    <col min="1" max="1" width="41.109375" style="211" customWidth="1"/>
    <col min="2" max="9" width="9.44140625" style="211" customWidth="1"/>
    <col min="10" max="16384" width="9.109375" style="211"/>
  </cols>
  <sheetData>
    <row r="1" spans="1:18" x14ac:dyDescent="0.3">
      <c r="A1" s="459" t="s">
        <v>1863</v>
      </c>
      <c r="B1" s="459"/>
      <c r="C1" s="459"/>
      <c r="D1" s="459"/>
    </row>
    <row r="2" spans="1:18" x14ac:dyDescent="0.3">
      <c r="A2" s="152" t="s">
        <v>1750</v>
      </c>
      <c r="B2" s="152"/>
      <c r="C2" s="152"/>
      <c r="D2" s="152"/>
    </row>
    <row r="3" spans="1:18" ht="8.25" customHeight="1" thickBot="1" x14ac:dyDescent="0.35"/>
    <row r="4" spans="1:18" x14ac:dyDescent="0.3">
      <c r="A4" s="212" t="s">
        <v>1250</v>
      </c>
      <c r="B4" s="712">
        <v>2014</v>
      </c>
      <c r="C4" s="712">
        <v>2013</v>
      </c>
      <c r="D4" s="712">
        <v>2012</v>
      </c>
      <c r="E4" s="712">
        <v>2011</v>
      </c>
      <c r="F4" s="712">
        <v>2010</v>
      </c>
      <c r="G4" s="712">
        <v>2009</v>
      </c>
      <c r="H4" s="712">
        <v>2008</v>
      </c>
      <c r="I4" s="712">
        <v>2007</v>
      </c>
      <c r="J4" s="712">
        <v>2006</v>
      </c>
      <c r="K4" s="712">
        <v>2005</v>
      </c>
      <c r="L4" s="713">
        <v>2004</v>
      </c>
    </row>
    <row r="5" spans="1:18" ht="34.200000000000003" x14ac:dyDescent="0.3">
      <c r="A5" s="282" t="s">
        <v>1777</v>
      </c>
      <c r="B5" s="1369">
        <v>60589</v>
      </c>
      <c r="C5" s="1369">
        <v>57452</v>
      </c>
      <c r="D5" s="1369">
        <v>57216</v>
      </c>
      <c r="E5" s="1369">
        <v>56727</v>
      </c>
      <c r="F5" s="1369">
        <v>53530</v>
      </c>
      <c r="G5" s="1369">
        <v>52537</v>
      </c>
      <c r="H5" s="1369">
        <v>49487</v>
      </c>
      <c r="I5" s="1369">
        <v>48876</v>
      </c>
      <c r="J5" s="1369">
        <v>42779</v>
      </c>
      <c r="K5" s="1369">
        <v>42834</v>
      </c>
      <c r="L5" s="1370">
        <v>40087</v>
      </c>
    </row>
    <row r="6" spans="1:18" ht="8.25" customHeight="1" x14ac:dyDescent="0.3">
      <c r="A6" s="214"/>
      <c r="B6" s="220"/>
      <c r="C6" s="220"/>
      <c r="D6" s="220"/>
      <c r="E6" s="926"/>
      <c r="F6" s="926"/>
      <c r="G6" s="926"/>
      <c r="H6" s="926"/>
      <c r="I6" s="926"/>
      <c r="J6" s="220"/>
      <c r="K6" s="220"/>
      <c r="L6" s="223"/>
    </row>
    <row r="7" spans="1:18" x14ac:dyDescent="0.3">
      <c r="A7" s="214" t="s">
        <v>1751</v>
      </c>
      <c r="B7" s="220"/>
      <c r="C7" s="220"/>
      <c r="D7" s="220"/>
      <c r="E7" s="926"/>
      <c r="F7" s="926"/>
      <c r="G7" s="926"/>
      <c r="H7" s="926"/>
      <c r="I7" s="926"/>
      <c r="J7" s="220"/>
      <c r="K7" s="220"/>
      <c r="L7" s="223"/>
    </row>
    <row r="8" spans="1:18" x14ac:dyDescent="0.3">
      <c r="A8" s="1371" t="s">
        <v>1752</v>
      </c>
      <c r="B8" s="509"/>
      <c r="C8" s="1389">
        <v>55421</v>
      </c>
      <c r="D8" s="1389">
        <v>55557</v>
      </c>
      <c r="E8" s="1387">
        <v>54787</v>
      </c>
      <c r="F8" s="1387">
        <v>51228</v>
      </c>
      <c r="G8" s="1387">
        <v>49955</v>
      </c>
      <c r="H8" s="1387">
        <v>48836</v>
      </c>
      <c r="I8" s="1387">
        <v>47288</v>
      </c>
      <c r="J8" s="926">
        <v>41811</v>
      </c>
      <c r="K8" s="926">
        <v>42723</v>
      </c>
      <c r="L8" s="927">
        <v>39002</v>
      </c>
    </row>
    <row r="9" spans="1:18" x14ac:dyDescent="0.3">
      <c r="A9" s="1371" t="s">
        <v>1753</v>
      </c>
      <c r="B9" s="509"/>
      <c r="C9" s="1389"/>
      <c r="D9" s="1389">
        <v>53961</v>
      </c>
      <c r="E9" s="1387">
        <v>53600</v>
      </c>
      <c r="F9" s="1387">
        <v>49960</v>
      </c>
      <c r="G9" s="1387">
        <v>47636</v>
      </c>
      <c r="H9" s="1387">
        <v>47293</v>
      </c>
      <c r="I9" s="1387">
        <v>46916</v>
      </c>
      <c r="J9" s="926">
        <v>40456</v>
      </c>
      <c r="K9" s="926">
        <v>42468</v>
      </c>
      <c r="L9" s="927">
        <v>39456</v>
      </c>
    </row>
    <row r="10" spans="1:18" x14ac:dyDescent="0.3">
      <c r="A10" s="1371" t="s">
        <v>1754</v>
      </c>
      <c r="B10" s="509"/>
      <c r="C10" s="1389"/>
      <c r="D10" s="1389"/>
      <c r="E10" s="1387">
        <v>52526</v>
      </c>
      <c r="F10" s="1387">
        <v>49143</v>
      </c>
      <c r="G10" s="1387">
        <v>46793</v>
      </c>
      <c r="H10" s="1387">
        <v>45675</v>
      </c>
      <c r="I10" s="1387">
        <v>45902</v>
      </c>
      <c r="J10" s="926">
        <v>40350</v>
      </c>
      <c r="K10" s="926">
        <v>41645</v>
      </c>
      <c r="L10" s="927">
        <v>39608</v>
      </c>
    </row>
    <row r="11" spans="1:18" x14ac:dyDescent="0.3">
      <c r="A11" s="1371" t="s">
        <v>1755</v>
      </c>
      <c r="B11" s="509"/>
      <c r="C11" s="1389"/>
      <c r="D11" s="1389"/>
      <c r="E11" s="1387"/>
      <c r="F11" s="1387">
        <v>48262</v>
      </c>
      <c r="G11" s="1387">
        <v>46099</v>
      </c>
      <c r="H11" s="1387">
        <v>45337</v>
      </c>
      <c r="I11" s="1387">
        <v>44665</v>
      </c>
      <c r="J11" s="926">
        <v>39198</v>
      </c>
      <c r="K11" s="926">
        <v>41676</v>
      </c>
      <c r="L11" s="927">
        <v>38971</v>
      </c>
    </row>
    <row r="12" spans="1:18" x14ac:dyDescent="0.3">
      <c r="A12" s="1371" t="s">
        <v>1756</v>
      </c>
      <c r="B12" s="509"/>
      <c r="C12" s="1389"/>
      <c r="D12" s="1389"/>
      <c r="E12" s="1387"/>
      <c r="F12" s="1387"/>
      <c r="G12" s="1387">
        <v>45630</v>
      </c>
      <c r="H12" s="1387">
        <v>44914</v>
      </c>
      <c r="I12" s="1387">
        <v>44618</v>
      </c>
      <c r="J12" s="926">
        <v>38003</v>
      </c>
      <c r="K12" s="926">
        <v>40884</v>
      </c>
      <c r="L12" s="927">
        <v>39317</v>
      </c>
      <c r="R12" s="211" t="s">
        <v>176</v>
      </c>
    </row>
    <row r="13" spans="1:18" x14ac:dyDescent="0.3">
      <c r="A13" s="1371" t="s">
        <v>1771</v>
      </c>
      <c r="B13" s="220"/>
      <c r="C13" s="926"/>
      <c r="D13" s="926"/>
      <c r="E13" s="1387"/>
      <c r="F13" s="1387"/>
      <c r="G13" s="1387"/>
      <c r="H13" s="1387">
        <v>44659</v>
      </c>
      <c r="I13" s="1387">
        <v>44406</v>
      </c>
      <c r="J13" s="926">
        <v>37946</v>
      </c>
      <c r="K13" s="926">
        <v>39888</v>
      </c>
      <c r="L13" s="927">
        <v>38804</v>
      </c>
    </row>
    <row r="14" spans="1:18" x14ac:dyDescent="0.3">
      <c r="A14" s="1371" t="s">
        <v>1772</v>
      </c>
      <c r="B14" s="220"/>
      <c r="C14" s="926"/>
      <c r="D14" s="926"/>
      <c r="E14" s="1387"/>
      <c r="F14" s="1387"/>
      <c r="G14" s="1387"/>
      <c r="H14" s="1387"/>
      <c r="I14" s="1387">
        <v>44355</v>
      </c>
      <c r="J14" s="926">
        <v>37631</v>
      </c>
      <c r="K14" s="926">
        <v>40088</v>
      </c>
      <c r="L14" s="927">
        <v>38060</v>
      </c>
    </row>
    <row r="15" spans="1:18" x14ac:dyDescent="0.3">
      <c r="A15" s="1371" t="s">
        <v>1773</v>
      </c>
      <c r="B15" s="220"/>
      <c r="C15" s="926"/>
      <c r="D15" s="926"/>
      <c r="E15" s="1387"/>
      <c r="F15" s="1387"/>
      <c r="G15" s="1387"/>
      <c r="H15" s="1387"/>
      <c r="I15" s="1387"/>
      <c r="J15" s="926">
        <v>37192</v>
      </c>
      <c r="K15" s="926">
        <v>39796</v>
      </c>
      <c r="L15" s="927">
        <v>38280</v>
      </c>
    </row>
    <row r="16" spans="1:18" x14ac:dyDescent="0.3">
      <c r="A16" s="1371" t="s">
        <v>1774</v>
      </c>
      <c r="B16" s="220"/>
      <c r="C16" s="926"/>
      <c r="D16" s="926"/>
      <c r="E16" s="1387"/>
      <c r="F16" s="1387"/>
      <c r="G16" s="1387"/>
      <c r="H16" s="1387"/>
      <c r="I16" s="1387"/>
      <c r="J16" s="926"/>
      <c r="K16" s="926">
        <v>39472</v>
      </c>
      <c r="L16" s="927">
        <v>38189</v>
      </c>
    </row>
    <row r="17" spans="1:21" x14ac:dyDescent="0.3">
      <c r="A17" s="1371" t="s">
        <v>1775</v>
      </c>
      <c r="B17" s="220"/>
      <c r="C17" s="926"/>
      <c r="D17" s="926"/>
      <c r="E17" s="1387"/>
      <c r="F17" s="1387"/>
      <c r="G17" s="1387"/>
      <c r="H17" s="1387"/>
      <c r="I17" s="1387"/>
      <c r="J17" s="926"/>
      <c r="K17" s="926"/>
      <c r="L17" s="927">
        <v>37943</v>
      </c>
    </row>
    <row r="18" spans="1:21" x14ac:dyDescent="0.3">
      <c r="A18" s="214"/>
      <c r="B18" s="220"/>
      <c r="C18" s="926"/>
      <c r="D18" s="926"/>
      <c r="E18" s="1387"/>
      <c r="F18" s="1387"/>
      <c r="G18" s="1387"/>
      <c r="H18" s="1387"/>
      <c r="I18" s="1387"/>
      <c r="J18" s="926"/>
      <c r="K18" s="926"/>
      <c r="L18" s="927"/>
    </row>
    <row r="19" spans="1:21" x14ac:dyDescent="0.3">
      <c r="A19" s="214" t="s">
        <v>1757</v>
      </c>
      <c r="B19" s="220"/>
      <c r="C19" s="926">
        <f>C8-C5</f>
        <v>-2031</v>
      </c>
      <c r="D19" s="926">
        <f>D9-D5</f>
        <v>-3255</v>
      </c>
      <c r="E19" s="926">
        <f>E10-E5</f>
        <v>-4201</v>
      </c>
      <c r="F19" s="926">
        <f>F11-F5</f>
        <v>-5268</v>
      </c>
      <c r="G19" s="926">
        <f>G12-G5</f>
        <v>-6907</v>
      </c>
      <c r="H19" s="926">
        <f>H13-H5</f>
        <v>-4828</v>
      </c>
      <c r="I19" s="926">
        <f>I14-I5</f>
        <v>-4521</v>
      </c>
      <c r="J19" s="926">
        <f>J15-J5</f>
        <v>-5587</v>
      </c>
      <c r="K19" s="926">
        <f>K16-K5</f>
        <v>-3362</v>
      </c>
      <c r="L19" s="927">
        <f>L17-L5</f>
        <v>-2144</v>
      </c>
    </row>
    <row r="20" spans="1:21" x14ac:dyDescent="0.3">
      <c r="A20" s="214" t="s">
        <v>1758</v>
      </c>
      <c r="B20" s="220"/>
      <c r="C20" s="926">
        <v>666</v>
      </c>
      <c r="D20" s="926">
        <v>461</v>
      </c>
      <c r="E20" s="1387">
        <v>280</v>
      </c>
      <c r="F20" s="1387">
        <v>361</v>
      </c>
      <c r="G20" s="1387">
        <v>590</v>
      </c>
      <c r="H20" s="1387">
        <v>381</v>
      </c>
      <c r="I20" s="1387">
        <v>961</v>
      </c>
      <c r="J20" s="926">
        <v>540</v>
      </c>
      <c r="K20" s="926">
        <v>85</v>
      </c>
      <c r="L20" s="927">
        <v>618</v>
      </c>
    </row>
    <row r="21" spans="1:21" x14ac:dyDescent="0.3">
      <c r="A21" s="214" t="s">
        <v>1759</v>
      </c>
      <c r="B21" s="220"/>
      <c r="C21" s="1388">
        <f t="shared" ref="C21:E21" si="0">C20+C19</f>
        <v>-1365</v>
      </c>
      <c r="D21" s="1388">
        <f t="shared" si="0"/>
        <v>-2794</v>
      </c>
      <c r="E21" s="1388">
        <f t="shared" si="0"/>
        <v>-3921</v>
      </c>
      <c r="F21" s="1388">
        <f>F20+F19</f>
        <v>-4907</v>
      </c>
      <c r="G21" s="1388">
        <f t="shared" ref="G21:L21" si="1">G20+G19</f>
        <v>-6317</v>
      </c>
      <c r="H21" s="1388">
        <f t="shared" si="1"/>
        <v>-4447</v>
      </c>
      <c r="I21" s="1388">
        <f t="shared" si="1"/>
        <v>-3560</v>
      </c>
      <c r="J21" s="1388">
        <f t="shared" si="1"/>
        <v>-5047</v>
      </c>
      <c r="K21" s="1388">
        <f t="shared" si="1"/>
        <v>-3277</v>
      </c>
      <c r="L21" s="1392">
        <f t="shared" si="1"/>
        <v>-1526</v>
      </c>
    </row>
    <row r="22" spans="1:21" x14ac:dyDescent="0.3">
      <c r="A22" s="214"/>
      <c r="B22" s="220"/>
      <c r="C22" s="926"/>
      <c r="D22" s="926"/>
      <c r="E22" s="1387"/>
      <c r="F22" s="1387"/>
      <c r="G22" s="1387"/>
      <c r="H22" s="1387"/>
      <c r="I22" s="1387"/>
      <c r="J22" s="926"/>
      <c r="K22" s="926"/>
      <c r="L22" s="927"/>
    </row>
    <row r="23" spans="1:21" x14ac:dyDescent="0.3">
      <c r="A23" s="214" t="s">
        <v>1760</v>
      </c>
      <c r="B23" s="220"/>
      <c r="C23" s="926"/>
      <c r="D23" s="926"/>
      <c r="E23" s="1387"/>
      <c r="F23" s="1387"/>
      <c r="G23" s="1387"/>
      <c r="H23" s="1387"/>
      <c r="I23" s="1387"/>
      <c r="J23" s="926"/>
      <c r="K23" s="926"/>
      <c r="L23" s="927"/>
      <c r="U23" s="211" t="s">
        <v>176</v>
      </c>
    </row>
    <row r="24" spans="1:21" x14ac:dyDescent="0.3">
      <c r="A24" s="1371" t="s">
        <v>1752</v>
      </c>
      <c r="B24" s="509"/>
      <c r="C24" s="1389">
        <v>11381</v>
      </c>
      <c r="D24" s="1389">
        <v>10978</v>
      </c>
      <c r="E24" s="1387">
        <v>10628</v>
      </c>
      <c r="F24" s="1387">
        <v>8854</v>
      </c>
      <c r="G24" s="1387">
        <v>9191</v>
      </c>
      <c r="H24" s="1387">
        <v>8315</v>
      </c>
      <c r="I24" s="1387">
        <v>8486</v>
      </c>
      <c r="J24" s="926">
        <v>8865</v>
      </c>
      <c r="K24" s="926">
        <v>9345</v>
      </c>
      <c r="L24" s="927">
        <v>7793</v>
      </c>
    </row>
    <row r="25" spans="1:21" x14ac:dyDescent="0.3">
      <c r="A25" s="1371" t="s">
        <v>1753</v>
      </c>
      <c r="B25" s="509"/>
      <c r="C25" s="220"/>
      <c r="D25" s="1389">
        <v>17827</v>
      </c>
      <c r="E25" s="1389">
        <v>17260</v>
      </c>
      <c r="F25" s="1387">
        <v>14593</v>
      </c>
      <c r="G25" s="1387">
        <v>14265</v>
      </c>
      <c r="H25" s="1387">
        <v>13999</v>
      </c>
      <c r="I25" s="1387">
        <v>13394</v>
      </c>
      <c r="J25" s="1387">
        <v>13581</v>
      </c>
      <c r="K25" s="926">
        <v>15228</v>
      </c>
      <c r="L25" s="927">
        <v>12666</v>
      </c>
    </row>
    <row r="26" spans="1:21" x14ac:dyDescent="0.3">
      <c r="A26" s="1371" t="s">
        <v>1754</v>
      </c>
      <c r="B26" s="509"/>
      <c r="C26" s="220"/>
      <c r="D26" s="220"/>
      <c r="E26" s="1389">
        <v>21747</v>
      </c>
      <c r="F26" s="1389">
        <v>18300</v>
      </c>
      <c r="G26" s="1387">
        <v>17952</v>
      </c>
      <c r="H26" s="1387">
        <v>16900</v>
      </c>
      <c r="I26" s="1387">
        <v>17557</v>
      </c>
      <c r="J26" s="1387">
        <v>16634</v>
      </c>
      <c r="K26" s="1387">
        <v>18689</v>
      </c>
      <c r="L26" s="927">
        <v>16463</v>
      </c>
    </row>
    <row r="27" spans="1:21" x14ac:dyDescent="0.3">
      <c r="A27" s="1371" t="s">
        <v>1755</v>
      </c>
      <c r="B27" s="509"/>
      <c r="C27" s="220"/>
      <c r="D27" s="220"/>
      <c r="E27" s="220"/>
      <c r="F27" s="1389">
        <v>22008</v>
      </c>
      <c r="G27" s="1389">
        <v>20907</v>
      </c>
      <c r="H27" s="1387">
        <v>19478</v>
      </c>
      <c r="I27" s="1387">
        <v>19608</v>
      </c>
      <c r="J27" s="1387">
        <v>19724</v>
      </c>
      <c r="K27" s="1387">
        <v>20890</v>
      </c>
      <c r="L27" s="1393">
        <v>18921</v>
      </c>
    </row>
    <row r="28" spans="1:21" x14ac:dyDescent="0.3">
      <c r="A28" s="1371" t="s">
        <v>1756</v>
      </c>
      <c r="B28" s="509"/>
      <c r="C28" s="220"/>
      <c r="D28" s="220"/>
      <c r="E28" s="220"/>
      <c r="F28" s="220"/>
      <c r="G28" s="1389">
        <v>22896</v>
      </c>
      <c r="H28" s="1389">
        <v>21786</v>
      </c>
      <c r="I28" s="1387">
        <v>21660</v>
      </c>
      <c r="J28" s="1387">
        <v>21143</v>
      </c>
      <c r="K28" s="1387">
        <v>23507</v>
      </c>
      <c r="L28" s="1393">
        <v>20650</v>
      </c>
    </row>
    <row r="29" spans="1:21" x14ac:dyDescent="0.3">
      <c r="A29" s="1371" t="s">
        <v>1771</v>
      </c>
      <c r="B29" s="410"/>
      <c r="C29" s="1390"/>
      <c r="D29" s="1390"/>
      <c r="E29" s="926"/>
      <c r="F29" s="926"/>
      <c r="G29" s="926"/>
      <c r="H29" s="926">
        <v>23339</v>
      </c>
      <c r="I29" s="926">
        <v>23595</v>
      </c>
      <c r="J29" s="926">
        <v>22678</v>
      </c>
      <c r="K29" s="926">
        <v>24935</v>
      </c>
      <c r="L29" s="927">
        <v>22865</v>
      </c>
      <c r="N29" s="211" t="s">
        <v>176</v>
      </c>
    </row>
    <row r="30" spans="1:21" x14ac:dyDescent="0.3">
      <c r="A30" s="1371" t="s">
        <v>1772</v>
      </c>
      <c r="B30" s="220"/>
      <c r="C30" s="926"/>
      <c r="D30" s="926"/>
      <c r="E30" s="926"/>
      <c r="F30" s="926"/>
      <c r="G30" s="926"/>
      <c r="H30" s="926"/>
      <c r="I30" s="926">
        <v>24807</v>
      </c>
      <c r="J30" s="926">
        <v>23892</v>
      </c>
      <c r="K30" s="926">
        <v>26266</v>
      </c>
      <c r="L30" s="927">
        <v>24232</v>
      </c>
    </row>
    <row r="31" spans="1:21" x14ac:dyDescent="0.3">
      <c r="A31" s="1371" t="s">
        <v>1773</v>
      </c>
      <c r="B31" s="220"/>
      <c r="C31" s="926"/>
      <c r="D31" s="926"/>
      <c r="E31" s="926"/>
      <c r="F31" s="926"/>
      <c r="G31" s="926"/>
      <c r="H31" s="926"/>
      <c r="I31" s="926"/>
      <c r="J31" s="926">
        <v>24831</v>
      </c>
      <c r="K31" s="926">
        <v>26928</v>
      </c>
      <c r="L31" s="927">
        <v>25430</v>
      </c>
    </row>
    <row r="32" spans="1:21" x14ac:dyDescent="0.3">
      <c r="A32" s="1371" t="s">
        <v>1774</v>
      </c>
      <c r="B32" s="220"/>
      <c r="C32" s="926"/>
      <c r="D32" s="926"/>
      <c r="E32" s="926"/>
      <c r="F32" s="926"/>
      <c r="G32" s="926"/>
      <c r="H32" s="926"/>
      <c r="I32" s="926"/>
      <c r="J32" s="926"/>
      <c r="K32" s="926">
        <v>28031</v>
      </c>
      <c r="L32" s="927">
        <v>26624</v>
      </c>
    </row>
    <row r="33" spans="1:12" x14ac:dyDescent="0.3">
      <c r="A33" s="1371" t="s">
        <v>1775</v>
      </c>
      <c r="B33" s="220"/>
      <c r="C33" s="926"/>
      <c r="D33" s="926"/>
      <c r="E33" s="926"/>
      <c r="F33" s="926"/>
      <c r="G33" s="926"/>
      <c r="H33" s="926"/>
      <c r="I33" s="926"/>
      <c r="J33" s="926"/>
      <c r="K33" s="926"/>
      <c r="L33" s="927">
        <v>26917</v>
      </c>
    </row>
    <row r="34" spans="1:12" x14ac:dyDescent="0.3">
      <c r="A34" s="1371"/>
      <c r="B34" s="220"/>
      <c r="C34" s="926"/>
      <c r="D34" s="926"/>
      <c r="E34" s="926"/>
      <c r="F34" s="926"/>
      <c r="G34" s="926"/>
      <c r="H34" s="926"/>
      <c r="I34" s="926"/>
      <c r="J34" s="926"/>
      <c r="K34" s="926"/>
      <c r="L34" s="927"/>
    </row>
    <row r="35" spans="1:12" x14ac:dyDescent="0.3">
      <c r="A35" s="1391" t="s">
        <v>1779</v>
      </c>
      <c r="B35" s="220"/>
      <c r="C35" s="1389">
        <f>C21</f>
        <v>-1365</v>
      </c>
      <c r="D35" s="1389">
        <f t="shared" ref="D35:K35" si="2">D21</f>
        <v>-2794</v>
      </c>
      <c r="E35" s="1389">
        <f t="shared" si="2"/>
        <v>-3921</v>
      </c>
      <c r="F35" s="1389">
        <f t="shared" si="2"/>
        <v>-4907</v>
      </c>
      <c r="G35" s="1389">
        <f t="shared" si="2"/>
        <v>-6317</v>
      </c>
      <c r="H35" s="1389">
        <f t="shared" si="2"/>
        <v>-4447</v>
      </c>
      <c r="I35" s="1389">
        <f t="shared" si="2"/>
        <v>-3560</v>
      </c>
      <c r="J35" s="1389">
        <f t="shared" si="2"/>
        <v>-5047</v>
      </c>
      <c r="K35" s="1389">
        <f t="shared" si="2"/>
        <v>-3277</v>
      </c>
      <c r="L35" s="1532">
        <f>L21</f>
        <v>-1526</v>
      </c>
    </row>
    <row r="36" spans="1:12" ht="31.2" x14ac:dyDescent="0.3">
      <c r="A36" s="282" t="s">
        <v>1761</v>
      </c>
      <c r="B36" s="1386"/>
      <c r="C36" s="1533">
        <v>128</v>
      </c>
      <c r="D36" s="1533">
        <v>306</v>
      </c>
      <c r="E36" s="1533">
        <v>645</v>
      </c>
      <c r="F36" s="1533">
        <v>989</v>
      </c>
      <c r="G36" s="1533">
        <v>1698</v>
      </c>
      <c r="H36" s="1533">
        <v>1806</v>
      </c>
      <c r="I36" s="1533">
        <v>1970</v>
      </c>
      <c r="J36" s="1533">
        <v>2157</v>
      </c>
      <c r="K36" s="1533">
        <v>2591</v>
      </c>
      <c r="L36" s="1534">
        <v>2726</v>
      </c>
    </row>
    <row r="37" spans="1:12" ht="31.2" x14ac:dyDescent="0.3">
      <c r="A37" s="282" t="s">
        <v>1780</v>
      </c>
      <c r="B37" s="1386"/>
      <c r="C37" s="1535">
        <f>C35-C36</f>
        <v>-1493</v>
      </c>
      <c r="D37" s="1535">
        <f t="shared" ref="D37:L37" si="3">D35-D36</f>
        <v>-3100</v>
      </c>
      <c r="E37" s="1535">
        <f t="shared" si="3"/>
        <v>-4566</v>
      </c>
      <c r="F37" s="1535">
        <f t="shared" si="3"/>
        <v>-5896</v>
      </c>
      <c r="G37" s="1535">
        <f t="shared" si="3"/>
        <v>-8015</v>
      </c>
      <c r="H37" s="1535">
        <f t="shared" si="3"/>
        <v>-6253</v>
      </c>
      <c r="I37" s="1535">
        <f t="shared" si="3"/>
        <v>-5530</v>
      </c>
      <c r="J37" s="1535">
        <f t="shared" si="3"/>
        <v>-7204</v>
      </c>
      <c r="K37" s="1535">
        <f t="shared" si="3"/>
        <v>-5868</v>
      </c>
      <c r="L37" s="1536">
        <f t="shared" si="3"/>
        <v>-4252</v>
      </c>
    </row>
    <row r="38" spans="1:12" ht="7.8" customHeight="1" x14ac:dyDescent="0.3">
      <c r="A38" s="1371"/>
      <c r="B38" s="220"/>
      <c r="C38" s="220"/>
      <c r="D38" s="220"/>
      <c r="E38" s="220"/>
      <c r="F38" s="220"/>
      <c r="G38" s="220"/>
      <c r="H38" s="220"/>
      <c r="I38" s="220"/>
      <c r="J38" s="220"/>
      <c r="K38" s="220"/>
      <c r="L38" s="223"/>
    </row>
    <row r="39" spans="1:12" s="612" customFormat="1" x14ac:dyDescent="0.3">
      <c r="A39" s="1175" t="s">
        <v>1405</v>
      </c>
      <c r="B39" s="1627"/>
      <c r="C39" s="1627"/>
      <c r="D39" s="1627"/>
      <c r="E39" s="1627"/>
      <c r="F39" s="1627"/>
      <c r="G39" s="1627"/>
      <c r="H39" s="1627"/>
      <c r="I39" s="1627"/>
      <c r="J39" s="1627"/>
      <c r="K39" s="1627"/>
      <c r="L39" s="1628"/>
    </row>
    <row r="40" spans="1:12" s="612" customFormat="1" ht="31.5" customHeight="1" thickBot="1" x14ac:dyDescent="0.35">
      <c r="A40" s="2918" t="s">
        <v>1778</v>
      </c>
      <c r="B40" s="2919"/>
      <c r="C40" s="2919"/>
      <c r="D40" s="2919"/>
      <c r="E40" s="2919"/>
      <c r="F40" s="2919"/>
      <c r="G40" s="2919"/>
      <c r="H40" s="2919"/>
      <c r="I40" s="2919"/>
      <c r="J40" s="2919"/>
      <c r="K40" s="2919"/>
      <c r="L40" s="2920"/>
    </row>
    <row r="41" spans="1:12" s="612" customFormat="1" x14ac:dyDescent="0.3">
      <c r="A41" s="804" t="s">
        <v>2110</v>
      </c>
      <c r="B41" s="198"/>
      <c r="C41" s="198"/>
      <c r="D41" s="198"/>
      <c r="E41" s="198"/>
      <c r="F41" s="198"/>
      <c r="G41" s="198"/>
      <c r="H41" s="198"/>
      <c r="I41" s="198"/>
      <c r="J41" s="198"/>
      <c r="K41" s="198"/>
      <c r="L41" s="198"/>
    </row>
    <row r="42" spans="1:12" s="612" customFormat="1" x14ac:dyDescent="0.3"/>
    <row r="49" spans="4:4" x14ac:dyDescent="0.3">
      <c r="D49" s="211" t="s">
        <v>176</v>
      </c>
    </row>
  </sheetData>
  <mergeCells count="1">
    <mergeCell ref="A40:L40"/>
  </mergeCell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EC90-3CC1-4B25-8D2E-B92D1FB2A5AD}">
  <sheetPr codeName="Sheet75">
    <tabColor theme="4"/>
  </sheetPr>
  <dimension ref="A1:S41"/>
  <sheetViews>
    <sheetView showGridLines="0" zoomScale="70" zoomScaleNormal="70" workbookViewId="0">
      <pane xSplit="1" ySplit="6" topLeftCell="B7" activePane="bottomRight" state="frozen"/>
      <selection pane="topRight" activeCell="B1" sqref="B1"/>
      <selection pane="bottomLeft" activeCell="A7" sqref="A7"/>
      <selection pane="bottomRight" activeCell="V34" sqref="V34"/>
    </sheetView>
  </sheetViews>
  <sheetFormatPr defaultColWidth="9.109375" defaultRowHeight="15.6" outlineLevelRow="1" x14ac:dyDescent="0.3"/>
  <cols>
    <col min="1" max="1" width="45.21875" style="211" customWidth="1"/>
    <col min="2" max="16384" width="9.109375" style="211"/>
  </cols>
  <sheetData>
    <row r="1" spans="1:17" s="1632" customFormat="1" hidden="1" outlineLevel="1" x14ac:dyDescent="0.3">
      <c r="B1" s="1632">
        <v>2014</v>
      </c>
      <c r="C1" s="1632">
        <v>2014</v>
      </c>
      <c r="D1" s="1632">
        <v>2014</v>
      </c>
      <c r="E1" s="1632">
        <v>2012</v>
      </c>
      <c r="F1" s="1632">
        <v>2010</v>
      </c>
      <c r="G1" s="1632">
        <v>2010</v>
      </c>
      <c r="H1" s="1632">
        <v>2008</v>
      </c>
      <c r="I1" s="1632">
        <v>2008</v>
      </c>
      <c r="J1" s="1632">
        <v>2006</v>
      </c>
      <c r="K1" s="1632">
        <v>2006</v>
      </c>
    </row>
    <row r="2" spans="1:17" hidden="1" outlineLevel="1" x14ac:dyDescent="0.3">
      <c r="A2" s="459" t="s">
        <v>1863</v>
      </c>
    </row>
    <row r="3" spans="1:17" collapsed="1" x14ac:dyDescent="0.3">
      <c r="A3" s="152" t="s">
        <v>949</v>
      </c>
    </row>
    <row r="4" spans="1:17" ht="8.25" customHeight="1" thickBot="1" x14ac:dyDescent="0.35"/>
    <row r="5" spans="1:17" x14ac:dyDescent="0.3">
      <c r="A5" s="212" t="s">
        <v>1250</v>
      </c>
      <c r="B5" s="712">
        <v>2014</v>
      </c>
      <c r="C5" s="712">
        <v>2013</v>
      </c>
      <c r="D5" s="712">
        <v>2012</v>
      </c>
      <c r="E5" s="712">
        <v>2011</v>
      </c>
      <c r="F5" s="712">
        <v>2010</v>
      </c>
      <c r="G5" s="712">
        <v>2009</v>
      </c>
      <c r="H5" s="712">
        <v>2008</v>
      </c>
      <c r="I5" s="712">
        <v>2007</v>
      </c>
      <c r="J5" s="712">
        <v>2006</v>
      </c>
      <c r="K5" s="713">
        <v>2005</v>
      </c>
    </row>
    <row r="6" spans="1:17" ht="31.2" x14ac:dyDescent="0.3">
      <c r="A6" s="940" t="s">
        <v>2168</v>
      </c>
      <c r="B6" s="220"/>
      <c r="C6" s="220"/>
      <c r="D6" s="220"/>
      <c r="E6" s="220"/>
      <c r="F6" s="220"/>
      <c r="G6" s="220"/>
      <c r="H6" s="220"/>
      <c r="I6" s="220"/>
      <c r="J6" s="220"/>
      <c r="K6" s="223"/>
    </row>
    <row r="7" spans="1:17" x14ac:dyDescent="0.3">
      <c r="A7" s="214" t="s">
        <v>2151</v>
      </c>
      <c r="B7" s="1417">
        <v>527</v>
      </c>
      <c r="C7" s="1417">
        <v>362</v>
      </c>
      <c r="D7" s="1417">
        <v>429</v>
      </c>
      <c r="E7" s="1417">
        <v>469</v>
      </c>
      <c r="F7" s="1417">
        <v>333</v>
      </c>
      <c r="G7" s="1417">
        <v>248</v>
      </c>
      <c r="H7" s="1417">
        <v>339</v>
      </c>
      <c r="I7" s="1417">
        <v>337</v>
      </c>
      <c r="J7" s="1417">
        <v>338</v>
      </c>
      <c r="K7" s="1422">
        <v>308</v>
      </c>
    </row>
    <row r="8" spans="1:17" x14ac:dyDescent="0.3">
      <c r="A8" s="214" t="s">
        <v>2152</v>
      </c>
      <c r="B8" s="926">
        <v>298</v>
      </c>
      <c r="C8" s="926">
        <v>230</v>
      </c>
      <c r="D8" s="926">
        <v>236</v>
      </c>
      <c r="E8" s="926">
        <v>279</v>
      </c>
      <c r="F8" s="926">
        <v>279</v>
      </c>
      <c r="G8" s="926">
        <v>285</v>
      </c>
      <c r="H8" s="926">
        <v>425</v>
      </c>
      <c r="I8" s="926">
        <v>412</v>
      </c>
      <c r="J8" s="926">
        <v>348</v>
      </c>
      <c r="K8" s="927">
        <v>288</v>
      </c>
    </row>
    <row r="9" spans="1:17" x14ac:dyDescent="0.3">
      <c r="A9" s="214" t="s">
        <v>2158</v>
      </c>
      <c r="B9" s="926">
        <v>549</v>
      </c>
      <c r="C9" s="2477"/>
      <c r="D9" s="2477"/>
      <c r="E9" s="2477"/>
      <c r="F9" s="2477"/>
      <c r="G9" s="2477"/>
      <c r="H9" s="2477"/>
      <c r="I9" s="2477"/>
      <c r="J9" s="2477"/>
      <c r="K9" s="2478"/>
    </row>
    <row r="10" spans="1:17" x14ac:dyDescent="0.3">
      <c r="A10" s="214" t="s">
        <v>2171</v>
      </c>
      <c r="B10" s="926">
        <v>1010</v>
      </c>
      <c r="C10" s="926">
        <v>982</v>
      </c>
      <c r="D10" s="926">
        <v>737</v>
      </c>
      <c r="E10" s="926">
        <v>771</v>
      </c>
      <c r="F10" s="926">
        <v>783</v>
      </c>
      <c r="G10" s="926">
        <v>788</v>
      </c>
      <c r="H10" s="926">
        <v>703</v>
      </c>
      <c r="I10" s="926">
        <v>692</v>
      </c>
      <c r="J10" s="926">
        <v>356</v>
      </c>
      <c r="K10" s="2478"/>
    </row>
    <row r="11" spans="1:17" x14ac:dyDescent="0.3">
      <c r="A11" s="214" t="s">
        <v>2153</v>
      </c>
      <c r="B11" s="926">
        <v>379</v>
      </c>
      <c r="C11" s="926">
        <v>385</v>
      </c>
      <c r="D11" s="926">
        <v>383</v>
      </c>
      <c r="E11" s="926">
        <v>388</v>
      </c>
      <c r="F11" s="926">
        <v>378</v>
      </c>
      <c r="G11" s="926">
        <v>457</v>
      </c>
      <c r="H11" s="926">
        <v>595</v>
      </c>
      <c r="I11" s="926">
        <v>473</v>
      </c>
      <c r="J11" s="926">
        <v>376</v>
      </c>
      <c r="K11" s="927">
        <v>309</v>
      </c>
    </row>
    <row r="12" spans="1:17" x14ac:dyDescent="0.3">
      <c r="A12" s="214" t="s">
        <v>2154</v>
      </c>
      <c r="B12" s="926">
        <v>139</v>
      </c>
      <c r="C12" s="926">
        <v>139</v>
      </c>
      <c r="D12" s="926">
        <v>82</v>
      </c>
      <c r="E12" s="926">
        <v>39</v>
      </c>
      <c r="F12" s="926">
        <v>42</v>
      </c>
      <c r="G12" s="926">
        <v>43</v>
      </c>
      <c r="H12" s="926">
        <v>-45</v>
      </c>
      <c r="I12" s="926">
        <v>42</v>
      </c>
      <c r="J12" s="926">
        <v>74</v>
      </c>
      <c r="K12" s="927">
        <v>148</v>
      </c>
    </row>
    <row r="13" spans="1:17" x14ac:dyDescent="0.3">
      <c r="A13" s="214" t="s">
        <v>2155</v>
      </c>
      <c r="B13" s="926">
        <v>236</v>
      </c>
      <c r="C13" s="926">
        <v>4</v>
      </c>
      <c r="D13" s="926">
        <v>91</v>
      </c>
      <c r="E13" s="926">
        <v>36</v>
      </c>
      <c r="F13" s="926">
        <v>47</v>
      </c>
      <c r="G13" s="926">
        <v>25</v>
      </c>
      <c r="H13" s="926">
        <v>186</v>
      </c>
      <c r="I13" s="926">
        <v>130</v>
      </c>
      <c r="J13" s="926">
        <v>226</v>
      </c>
      <c r="K13" s="927">
        <v>115</v>
      </c>
    </row>
    <row r="14" spans="1:17" ht="31.2" x14ac:dyDescent="0.3">
      <c r="A14" s="282" t="s">
        <v>2156</v>
      </c>
      <c r="B14" s="1630">
        <f>SUM(B7:B13)</f>
        <v>3138</v>
      </c>
      <c r="C14" s="1630">
        <f t="shared" ref="C14:K14" si="0">SUM(C7:C13)</f>
        <v>2102</v>
      </c>
      <c r="D14" s="1630">
        <f t="shared" si="0"/>
        <v>1958</v>
      </c>
      <c r="E14" s="1630">
        <f t="shared" si="0"/>
        <v>1982</v>
      </c>
      <c r="F14" s="1630">
        <f t="shared" si="0"/>
        <v>1862</v>
      </c>
      <c r="G14" s="1630">
        <f t="shared" si="0"/>
        <v>1846</v>
      </c>
      <c r="H14" s="1630">
        <f t="shared" si="0"/>
        <v>2203</v>
      </c>
      <c r="I14" s="1630">
        <f t="shared" si="0"/>
        <v>2086</v>
      </c>
      <c r="J14" s="1630">
        <f t="shared" si="0"/>
        <v>1718</v>
      </c>
      <c r="K14" s="1635">
        <f t="shared" si="0"/>
        <v>1168</v>
      </c>
    </row>
    <row r="15" spans="1:17" ht="18.600000000000001" x14ac:dyDescent="0.3">
      <c r="A15" s="214" t="s">
        <v>2163</v>
      </c>
      <c r="B15" s="2477"/>
      <c r="C15" s="2477"/>
      <c r="D15" s="2477"/>
      <c r="E15" s="2477"/>
      <c r="F15" s="2477"/>
      <c r="G15" s="2477"/>
      <c r="H15" s="926">
        <v>1092</v>
      </c>
      <c r="I15" s="2477"/>
      <c r="J15" s="2477"/>
      <c r="K15" s="2478"/>
      <c r="N15" s="211" t="s">
        <v>176</v>
      </c>
    </row>
    <row r="16" spans="1:17" x14ac:dyDescent="0.3">
      <c r="A16" s="214" t="s">
        <v>2157</v>
      </c>
      <c r="B16" s="926">
        <v>427</v>
      </c>
      <c r="C16" s="926">
        <v>296</v>
      </c>
      <c r="D16" s="926">
        <v>314</v>
      </c>
      <c r="E16" s="926">
        <v>336</v>
      </c>
      <c r="F16" s="926">
        <f>323+30</f>
        <v>353</v>
      </c>
      <c r="G16" s="926">
        <f>318+58</f>
        <v>376</v>
      </c>
      <c r="H16" s="926">
        <f>332+111</f>
        <v>443</v>
      </c>
      <c r="I16" s="926">
        <f>312+108</f>
        <v>420</v>
      </c>
      <c r="J16" s="926">
        <f>261+134</f>
        <v>395</v>
      </c>
      <c r="K16" s="927">
        <f>200+157</f>
        <v>357</v>
      </c>
      <c r="Q16" s="211" t="s">
        <v>176</v>
      </c>
    </row>
    <row r="17" spans="1:19" x14ac:dyDescent="0.3">
      <c r="A17" s="214" t="s">
        <v>391</v>
      </c>
      <c r="B17" s="926">
        <v>616</v>
      </c>
      <c r="C17" s="926">
        <v>170</v>
      </c>
      <c r="D17" s="926">
        <v>172</v>
      </c>
      <c r="E17" s="926">
        <v>315</v>
      </c>
      <c r="F17" s="926">
        <v>271</v>
      </c>
      <c r="G17" s="926">
        <v>313</v>
      </c>
      <c r="H17" s="926">
        <v>1002</v>
      </c>
      <c r="I17" s="926">
        <v>477</v>
      </c>
      <c r="J17" s="926">
        <v>407</v>
      </c>
      <c r="K17" s="927">
        <v>248</v>
      </c>
    </row>
    <row r="18" spans="1:19" ht="16.2" thickBot="1" x14ac:dyDescent="0.35">
      <c r="A18" s="214" t="s">
        <v>301</v>
      </c>
      <c r="B18" s="1419">
        <f>B14-B16-B17</f>
        <v>2095</v>
      </c>
      <c r="C18" s="1419">
        <f t="shared" ref="C18:K18" si="1">C14-C16-C17</f>
        <v>1636</v>
      </c>
      <c r="D18" s="1419">
        <f t="shared" si="1"/>
        <v>1472</v>
      </c>
      <c r="E18" s="1419">
        <f t="shared" si="1"/>
        <v>1331</v>
      </c>
      <c r="F18" s="1419">
        <f t="shared" si="1"/>
        <v>1238</v>
      </c>
      <c r="G18" s="1419">
        <f t="shared" si="1"/>
        <v>1157</v>
      </c>
      <c r="H18" s="1419">
        <f>H14-H16-H17+H15</f>
        <v>1850</v>
      </c>
      <c r="I18" s="1419">
        <f t="shared" si="1"/>
        <v>1189</v>
      </c>
      <c r="J18" s="1419">
        <f t="shared" si="1"/>
        <v>916</v>
      </c>
      <c r="K18" s="1732">
        <f t="shared" si="1"/>
        <v>563</v>
      </c>
    </row>
    <row r="19" spans="1:19" ht="16.2" thickTop="1" x14ac:dyDescent="0.3">
      <c r="A19" s="214"/>
      <c r="B19" s="1421"/>
      <c r="C19" s="1421"/>
      <c r="D19" s="1421"/>
      <c r="E19" s="1421"/>
      <c r="F19" s="1421"/>
      <c r="G19" s="1421"/>
      <c r="H19" s="1421"/>
      <c r="I19" s="1421"/>
      <c r="J19" s="1421"/>
      <c r="K19" s="1733"/>
    </row>
    <row r="20" spans="1:19" ht="19.2" thickBot="1" x14ac:dyDescent="0.35">
      <c r="A20" s="214" t="s">
        <v>2165</v>
      </c>
      <c r="B20" s="1731">
        <v>1882</v>
      </c>
      <c r="C20" s="1731">
        <v>1470</v>
      </c>
      <c r="D20" s="1731">
        <v>1323</v>
      </c>
      <c r="E20" s="1731">
        <v>1204</v>
      </c>
      <c r="F20" s="1731">
        <v>1131</v>
      </c>
      <c r="G20" s="1731">
        <v>1071</v>
      </c>
      <c r="H20" s="1731">
        <v>1704</v>
      </c>
      <c r="I20" s="1731">
        <v>1114</v>
      </c>
      <c r="J20" s="1731">
        <v>885</v>
      </c>
      <c r="K20" s="1734">
        <v>523</v>
      </c>
    </row>
    <row r="21" spans="1:19" ht="4.5" customHeight="1" thickTop="1" x14ac:dyDescent="0.3">
      <c r="A21" s="214"/>
      <c r="B21" s="220"/>
      <c r="C21" s="220"/>
      <c r="D21" s="220"/>
      <c r="E21" s="220"/>
      <c r="F21" s="220"/>
      <c r="G21" s="220"/>
      <c r="H21" s="220"/>
      <c r="I21" s="220"/>
      <c r="J21" s="220"/>
      <c r="K21" s="223"/>
    </row>
    <row r="22" spans="1:19" ht="4.5" customHeight="1" x14ac:dyDescent="0.3">
      <c r="A22" s="1155"/>
      <c r="B22" s="684"/>
      <c r="C22" s="684"/>
      <c r="D22" s="684"/>
      <c r="E22" s="684"/>
      <c r="F22" s="684"/>
      <c r="G22" s="684"/>
      <c r="H22" s="684"/>
      <c r="I22" s="684"/>
      <c r="J22" s="684"/>
      <c r="K22" s="1279"/>
    </row>
    <row r="23" spans="1:19" ht="4.5" customHeight="1" x14ac:dyDescent="0.3">
      <c r="A23" s="214"/>
      <c r="B23" s="220"/>
      <c r="C23" s="220"/>
      <c r="D23" s="220"/>
      <c r="E23" s="220"/>
      <c r="F23" s="220"/>
      <c r="G23" s="220"/>
      <c r="H23" s="220"/>
      <c r="I23" s="220"/>
      <c r="J23" s="220"/>
      <c r="K23" s="223"/>
    </row>
    <row r="24" spans="1:19" x14ac:dyDescent="0.3">
      <c r="A24" s="1723" t="s">
        <v>2169</v>
      </c>
      <c r="B24" s="1067">
        <v>2014</v>
      </c>
      <c r="C24" s="1067">
        <v>2013</v>
      </c>
      <c r="D24" s="1067">
        <v>2012</v>
      </c>
      <c r="E24" s="1067">
        <v>2011</v>
      </c>
      <c r="F24" s="1067">
        <v>2010</v>
      </c>
      <c r="G24" s="1067">
        <v>2009</v>
      </c>
      <c r="H24" s="1067">
        <v>2008</v>
      </c>
      <c r="I24" s="1067">
        <v>2007</v>
      </c>
      <c r="J24" s="1067">
        <v>2006</v>
      </c>
      <c r="K24" s="1470">
        <v>2005</v>
      </c>
    </row>
    <row r="25" spans="1:19" x14ac:dyDescent="0.3">
      <c r="A25" s="214" t="s">
        <v>975</v>
      </c>
      <c r="B25" s="1417">
        <v>23239</v>
      </c>
      <c r="C25" s="1417">
        <v>22014</v>
      </c>
      <c r="D25" s="1417">
        <v>20835</v>
      </c>
      <c r="E25" s="1417">
        <v>19548</v>
      </c>
      <c r="F25" s="1417">
        <v>16850</v>
      </c>
      <c r="G25" s="1417">
        <v>14016</v>
      </c>
      <c r="H25" s="1417">
        <v>18018</v>
      </c>
      <c r="I25" s="1417">
        <v>15802</v>
      </c>
      <c r="J25" s="1417">
        <v>14985</v>
      </c>
      <c r="K25" s="1422">
        <v>12987</v>
      </c>
      <c r="S25" s="211" t="s">
        <v>176</v>
      </c>
    </row>
    <row r="26" spans="1:19" x14ac:dyDescent="0.3">
      <c r="A26" s="214" t="s">
        <v>2159</v>
      </c>
      <c r="B26" s="926">
        <v>16237</v>
      </c>
      <c r="C26" s="926">
        <v>15357</v>
      </c>
      <c r="D26" s="926">
        <v>14835</v>
      </c>
      <c r="E26" s="926">
        <v>14247</v>
      </c>
      <c r="F26" s="926">
        <f>F25-4495</f>
        <v>12355</v>
      </c>
      <c r="G26" s="926">
        <f>G25-3254</f>
        <v>10762</v>
      </c>
      <c r="H26" s="926">
        <f>H25-3912</f>
        <v>14106</v>
      </c>
      <c r="I26" s="926">
        <f>I25-3486</f>
        <v>12316</v>
      </c>
      <c r="J26" s="926">
        <f>11468+40</f>
        <v>11508</v>
      </c>
      <c r="K26" s="927">
        <f>10065+37</f>
        <v>10102</v>
      </c>
    </row>
    <row r="27" spans="1:19" x14ac:dyDescent="0.3">
      <c r="A27" s="214" t="s">
        <v>2160</v>
      </c>
      <c r="B27" s="1630">
        <f>B25-B26</f>
        <v>7002</v>
      </c>
      <c r="C27" s="1630">
        <f t="shared" ref="C27:D27" si="2">C25-C26</f>
        <v>6657</v>
      </c>
      <c r="D27" s="1630">
        <f t="shared" si="2"/>
        <v>6000</v>
      </c>
      <c r="E27" s="1630">
        <f t="shared" ref="E27" si="3">E25-E26</f>
        <v>5301</v>
      </c>
      <c r="F27" s="1630">
        <f t="shared" ref="F27" si="4">F25-F26</f>
        <v>4495</v>
      </c>
      <c r="G27" s="1630">
        <f t="shared" ref="G27" si="5">G25-G26</f>
        <v>3254</v>
      </c>
      <c r="H27" s="1630">
        <f t="shared" ref="H27" si="6">H25-H26</f>
        <v>3912</v>
      </c>
      <c r="I27" s="1630">
        <f t="shared" ref="I27" si="7">I25-I26</f>
        <v>3486</v>
      </c>
      <c r="J27" s="1630">
        <f t="shared" ref="J27" si="8">J25-J26</f>
        <v>3477</v>
      </c>
      <c r="K27" s="1635">
        <f t="shared" ref="K27" si="9">K25-K26</f>
        <v>2885</v>
      </c>
    </row>
    <row r="28" spans="1:19" x14ac:dyDescent="0.3">
      <c r="A28" s="214" t="s">
        <v>2161</v>
      </c>
      <c r="B28" s="926">
        <v>833</v>
      </c>
      <c r="C28" s="926">
        <v>729</v>
      </c>
      <c r="D28" s="926">
        <v>623</v>
      </c>
      <c r="E28" s="926">
        <v>560</v>
      </c>
      <c r="F28" s="926">
        <v>507</v>
      </c>
      <c r="G28" s="926">
        <f>613</f>
        <v>613</v>
      </c>
      <c r="H28" s="926">
        <v>533</v>
      </c>
      <c r="I28" s="926">
        <v>511</v>
      </c>
      <c r="J28" s="926">
        <v>485</v>
      </c>
      <c r="K28" s="927">
        <v>437</v>
      </c>
    </row>
    <row r="29" spans="1:19" x14ac:dyDescent="0.3">
      <c r="A29" s="214" t="s">
        <v>391</v>
      </c>
      <c r="B29" s="926">
        <v>2300</v>
      </c>
      <c r="C29" s="926">
        <v>2135</v>
      </c>
      <c r="D29" s="926">
        <v>2005</v>
      </c>
      <c r="E29" s="926">
        <v>1769</v>
      </c>
      <c r="F29" s="926">
        <f>3988-2459</f>
        <v>1529</v>
      </c>
      <c r="G29" s="926">
        <f>2641-1721</f>
        <v>920</v>
      </c>
      <c r="H29" s="926">
        <v>1253</v>
      </c>
      <c r="I29" s="926">
        <v>1128</v>
      </c>
      <c r="J29" s="926">
        <v>1105</v>
      </c>
      <c r="K29" s="927">
        <v>917</v>
      </c>
    </row>
    <row r="30" spans="1:19" ht="16.2" thickBot="1" x14ac:dyDescent="0.35">
      <c r="A30" s="214" t="s">
        <v>301</v>
      </c>
      <c r="B30" s="1419">
        <f>B27-B28-B29</f>
        <v>3869</v>
      </c>
      <c r="C30" s="1419">
        <f t="shared" ref="C30:D30" si="10">C27-C28-C29</f>
        <v>3793</v>
      </c>
      <c r="D30" s="1419">
        <f t="shared" si="10"/>
        <v>3372</v>
      </c>
      <c r="E30" s="1419">
        <f t="shared" ref="E30" si="11">E27-E28-E29</f>
        <v>2972</v>
      </c>
      <c r="F30" s="1419">
        <f t="shared" ref="F30" si="12">F27-F28-F29</f>
        <v>2459</v>
      </c>
      <c r="G30" s="1419">
        <f t="shared" ref="G30" si="13">G27-G28-G29</f>
        <v>1721</v>
      </c>
      <c r="H30" s="1419">
        <f t="shared" ref="H30" si="14">H27-H28-H29</f>
        <v>2126</v>
      </c>
      <c r="I30" s="1419">
        <f t="shared" ref="I30" si="15">I27-I28-I29</f>
        <v>1847</v>
      </c>
      <c r="J30" s="1419">
        <f t="shared" ref="J30" si="16">J27-J28-J29</f>
        <v>1887</v>
      </c>
      <c r="K30" s="1732">
        <f t="shared" ref="K30" si="17">K27-K28-K29</f>
        <v>1531</v>
      </c>
    </row>
    <row r="31" spans="1:19" ht="4.5" customHeight="1" thickTop="1" x14ac:dyDescent="0.3">
      <c r="A31" s="214"/>
      <c r="B31" s="220"/>
      <c r="C31" s="220"/>
      <c r="D31" s="220"/>
      <c r="E31" s="220"/>
      <c r="F31" s="220"/>
      <c r="G31" s="220"/>
      <c r="H31" s="220"/>
      <c r="I31" s="220"/>
      <c r="J31" s="220"/>
      <c r="K31" s="223"/>
    </row>
    <row r="32" spans="1:19" ht="4.5" customHeight="1" x14ac:dyDescent="0.3">
      <c r="A32" s="1155"/>
      <c r="B32" s="684"/>
      <c r="C32" s="684"/>
      <c r="D32" s="684"/>
      <c r="E32" s="684"/>
      <c r="F32" s="684"/>
      <c r="G32" s="684"/>
      <c r="H32" s="684"/>
      <c r="I32" s="684"/>
      <c r="J32" s="684"/>
      <c r="K32" s="1279"/>
    </row>
    <row r="33" spans="1:11" ht="4.5" customHeight="1" x14ac:dyDescent="0.3">
      <c r="A33" s="214"/>
      <c r="B33" s="220"/>
      <c r="C33" s="220"/>
      <c r="D33" s="220"/>
      <c r="E33" s="220"/>
      <c r="F33" s="220"/>
      <c r="G33" s="220"/>
      <c r="H33" s="220"/>
      <c r="I33" s="220"/>
      <c r="J33" s="220"/>
      <c r="K33" s="223"/>
    </row>
    <row r="34" spans="1:11" x14ac:dyDescent="0.3">
      <c r="A34" s="214" t="s">
        <v>998</v>
      </c>
      <c r="B34" s="220"/>
      <c r="C34" s="220"/>
      <c r="D34" s="220"/>
      <c r="E34" s="220"/>
      <c r="F34" s="220"/>
      <c r="G34" s="220"/>
      <c r="H34" s="220"/>
      <c r="I34" s="220"/>
      <c r="J34" s="220"/>
      <c r="K34" s="223"/>
    </row>
    <row r="35" spans="1:11" x14ac:dyDescent="0.3">
      <c r="A35" s="214" t="s">
        <v>2162</v>
      </c>
      <c r="B35" s="1417"/>
      <c r="C35" s="220"/>
      <c r="D35" s="220"/>
      <c r="E35" s="220"/>
      <c r="F35" s="220"/>
      <c r="G35" s="220"/>
      <c r="H35" s="220"/>
      <c r="I35" s="220"/>
      <c r="J35" s="220"/>
      <c r="K35" s="223"/>
    </row>
    <row r="36" spans="1:11" x14ac:dyDescent="0.3">
      <c r="A36" s="214" t="s">
        <v>2167</v>
      </c>
      <c r="B36" s="1417"/>
      <c r="C36" s="220"/>
      <c r="D36" s="220"/>
      <c r="E36" s="220"/>
      <c r="F36" s="220"/>
      <c r="G36" s="220"/>
      <c r="H36" s="220"/>
      <c r="I36" s="220"/>
      <c r="J36" s="220"/>
      <c r="K36" s="223"/>
    </row>
    <row r="37" spans="1:11" ht="8.25" customHeight="1" x14ac:dyDescent="0.3">
      <c r="A37" s="214"/>
      <c r="B37" s="220"/>
      <c r="C37" s="220"/>
      <c r="D37" s="220"/>
      <c r="E37" s="220"/>
      <c r="F37" s="220"/>
      <c r="G37" s="220"/>
      <c r="H37" s="220"/>
      <c r="I37" s="220"/>
      <c r="J37" s="220"/>
      <c r="K37" s="223"/>
    </row>
    <row r="38" spans="1:11" x14ac:dyDescent="0.3">
      <c r="A38" s="214" t="s">
        <v>1398</v>
      </c>
      <c r="B38" s="220"/>
      <c r="C38" s="220"/>
      <c r="D38" s="220"/>
      <c r="E38" s="220"/>
      <c r="F38" s="220"/>
      <c r="G38" s="220"/>
      <c r="H38" s="220"/>
      <c r="I38" s="220"/>
      <c r="J38" s="220"/>
      <c r="K38" s="223"/>
    </row>
    <row r="39" spans="1:11" x14ac:dyDescent="0.3">
      <c r="A39" s="214" t="s">
        <v>2164</v>
      </c>
      <c r="B39" s="220"/>
      <c r="C39" s="220"/>
      <c r="D39" s="220"/>
      <c r="E39" s="220"/>
      <c r="F39" s="220"/>
      <c r="G39" s="220"/>
      <c r="H39" s="220"/>
      <c r="I39" s="220"/>
      <c r="J39" s="220"/>
      <c r="K39" s="223"/>
    </row>
    <row r="40" spans="1:11" ht="16.2" thickBot="1" x14ac:dyDescent="0.35">
      <c r="A40" s="224" t="s">
        <v>2166</v>
      </c>
      <c r="B40" s="218"/>
      <c r="C40" s="218"/>
      <c r="D40" s="218"/>
      <c r="E40" s="218"/>
      <c r="F40" s="218"/>
      <c r="G40" s="218"/>
      <c r="H40" s="218"/>
      <c r="I40" s="218"/>
      <c r="J40" s="218"/>
      <c r="K40" s="219"/>
    </row>
    <row r="41" spans="1:11" x14ac:dyDescent="0.3">
      <c r="A41" s="12" t="s">
        <v>2170</v>
      </c>
    </row>
  </sheetData>
  <pageMargins left="0.7" right="0.7" top="0.75" bottom="0.75" header="0.3" footer="0.3"/>
  <ignoredErrors>
    <ignoredError sqref="H18" formula="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16F83-6333-4E4C-8F87-00F238B57636}">
  <sheetPr codeName="Sheet71">
    <tabColor theme="4"/>
  </sheetPr>
  <dimension ref="A1:Q106"/>
  <sheetViews>
    <sheetView showGridLines="0" topLeftCell="A2" zoomScale="85" zoomScaleNormal="85" workbookViewId="0">
      <selection activeCell="R25" sqref="R25"/>
    </sheetView>
  </sheetViews>
  <sheetFormatPr defaultColWidth="8.6640625" defaultRowHeight="15.6" outlineLevelRow="3" outlineLevelCol="1" x14ac:dyDescent="0.3"/>
  <cols>
    <col min="1" max="1" width="40" style="211" customWidth="1"/>
    <col min="2" max="2" width="11.109375" style="211" bestFit="1" customWidth="1"/>
    <col min="3" max="3" width="9.88671875" style="211" bestFit="1" customWidth="1"/>
    <col min="4" max="4" width="9.5546875" style="211" bestFit="1" customWidth="1"/>
    <col min="5" max="12" width="9.88671875" style="211" bestFit="1" customWidth="1"/>
    <col min="13" max="13" width="8.5546875" style="211" hidden="1" customWidth="1" outlineLevel="1"/>
    <col min="14" max="14" width="0" style="211" hidden="1" customWidth="1" outlineLevel="1"/>
    <col min="15" max="15" width="8.6640625" style="211" collapsed="1"/>
    <col min="16" max="16384" width="8.6640625" style="211"/>
  </cols>
  <sheetData>
    <row r="1" spans="1:15" s="1262" customFormat="1" ht="16.2" hidden="1" outlineLevel="3" x14ac:dyDescent="0.35">
      <c r="A1" s="1262" t="s">
        <v>556</v>
      </c>
      <c r="B1" s="1262">
        <v>2014</v>
      </c>
      <c r="C1" s="1262">
        <v>2013</v>
      </c>
      <c r="D1" s="1262">
        <v>2012</v>
      </c>
      <c r="E1" s="1262">
        <v>2011</v>
      </c>
      <c r="F1" s="1262">
        <v>2010</v>
      </c>
      <c r="G1" s="1262">
        <v>2009</v>
      </c>
      <c r="H1" s="1262">
        <v>2008</v>
      </c>
      <c r="I1" s="1262">
        <v>2007</v>
      </c>
      <c r="J1" s="1262">
        <v>2006</v>
      </c>
      <c r="K1" s="1262">
        <v>2005</v>
      </c>
      <c r="L1" s="1262">
        <v>2004</v>
      </c>
      <c r="M1" s="1262">
        <v>2003</v>
      </c>
    </row>
    <row r="2" spans="1:15" s="1519" customFormat="1" ht="16.2" outlineLevel="2" collapsed="1" x14ac:dyDescent="0.35">
      <c r="A2" s="459" t="s">
        <v>1863</v>
      </c>
    </row>
    <row r="3" spans="1:15" s="1519" customFormat="1" ht="16.2" outlineLevel="1" x14ac:dyDescent="0.35">
      <c r="A3" s="499" t="s">
        <v>2111</v>
      </c>
    </row>
    <row r="4" spans="1:15" s="1519" customFormat="1" ht="8.25" customHeight="1" thickBot="1" x14ac:dyDescent="0.4"/>
    <row r="5" spans="1:15" ht="2.25" customHeight="1" x14ac:dyDescent="0.3">
      <c r="A5" s="279"/>
      <c r="B5" s="522"/>
      <c r="C5" s="522"/>
      <c r="D5" s="522"/>
      <c r="E5" s="522"/>
      <c r="F5" s="522"/>
      <c r="G5" s="522"/>
      <c r="H5" s="522"/>
      <c r="I5" s="522"/>
      <c r="J5" s="522"/>
      <c r="K5" s="522"/>
      <c r="L5" s="389"/>
      <c r="M5" s="389"/>
    </row>
    <row r="6" spans="1:15" x14ac:dyDescent="0.3">
      <c r="A6" s="221" t="s">
        <v>1250</v>
      </c>
      <c r="B6" s="1067">
        <v>2014</v>
      </c>
      <c r="C6" s="1067">
        <v>2013</v>
      </c>
      <c r="D6" s="1067">
        <v>2012</v>
      </c>
      <c r="E6" s="1067">
        <v>2011</v>
      </c>
      <c r="F6" s="1067">
        <v>2010</v>
      </c>
      <c r="G6" s="1067">
        <v>2009</v>
      </c>
      <c r="H6" s="1067">
        <v>2008</v>
      </c>
      <c r="I6" s="1067">
        <v>2007</v>
      </c>
      <c r="J6" s="1067">
        <v>2006</v>
      </c>
      <c r="K6" s="1067">
        <v>2005</v>
      </c>
      <c r="L6" s="1470">
        <v>2004</v>
      </c>
      <c r="M6" s="1470">
        <v>2003</v>
      </c>
    </row>
    <row r="7" spans="1:15" x14ac:dyDescent="0.3">
      <c r="A7" s="221" t="s">
        <v>515</v>
      </c>
      <c r="B7" s="1067"/>
      <c r="C7" s="1067"/>
      <c r="D7" s="1067"/>
      <c r="E7" s="1067"/>
      <c r="F7" s="1067"/>
      <c r="G7" s="1067"/>
      <c r="H7" s="1067"/>
      <c r="I7" s="1067"/>
      <c r="J7" s="1067"/>
      <c r="K7" s="1067"/>
      <c r="L7" s="1470"/>
      <c r="M7" s="1470"/>
    </row>
    <row r="8" spans="1:15" x14ac:dyDescent="0.3">
      <c r="A8" s="214" t="s">
        <v>963</v>
      </c>
      <c r="B8" s="1297">
        <v>5765</v>
      </c>
      <c r="C8" s="1297">
        <v>6625</v>
      </c>
      <c r="D8" s="1297">
        <v>5338</v>
      </c>
      <c r="E8" s="1297">
        <v>4241</v>
      </c>
      <c r="F8" s="1297">
        <v>2673</v>
      </c>
      <c r="G8" s="1297">
        <v>3018</v>
      </c>
      <c r="H8" s="1297">
        <v>2497</v>
      </c>
      <c r="I8" s="1297">
        <v>2080</v>
      </c>
      <c r="J8" s="1297">
        <v>1543</v>
      </c>
      <c r="K8" s="1297">
        <v>1004</v>
      </c>
      <c r="L8" s="1473">
        <v>899</v>
      </c>
      <c r="M8" s="1473">
        <v>1250</v>
      </c>
    </row>
    <row r="9" spans="1:15" x14ac:dyDescent="0.3">
      <c r="A9" s="214" t="s">
        <v>964</v>
      </c>
      <c r="B9" s="215">
        <v>8264</v>
      </c>
      <c r="C9" s="215">
        <v>7749</v>
      </c>
      <c r="D9" s="215">
        <v>7382</v>
      </c>
      <c r="E9" s="215">
        <v>6584</v>
      </c>
      <c r="F9" s="215">
        <v>5396</v>
      </c>
      <c r="G9" s="215">
        <v>5066</v>
      </c>
      <c r="H9" s="215">
        <v>5047</v>
      </c>
      <c r="I9" s="215">
        <v>4488</v>
      </c>
      <c r="J9" s="215">
        <v>3793</v>
      </c>
      <c r="K9" s="215">
        <v>3287</v>
      </c>
      <c r="L9" s="260">
        <v>3074</v>
      </c>
      <c r="M9" s="260">
        <v>2796</v>
      </c>
    </row>
    <row r="10" spans="1:15" x14ac:dyDescent="0.3">
      <c r="A10" s="214" t="s">
        <v>965</v>
      </c>
      <c r="B10" s="215">
        <v>10236</v>
      </c>
      <c r="C10" s="215">
        <v>9945</v>
      </c>
      <c r="D10" s="215">
        <v>9675</v>
      </c>
      <c r="E10" s="215">
        <v>8975</v>
      </c>
      <c r="F10" s="215">
        <v>7101</v>
      </c>
      <c r="G10" s="215">
        <v>6147</v>
      </c>
      <c r="H10" s="215">
        <v>7500</v>
      </c>
      <c r="I10" s="215">
        <v>5793</v>
      </c>
      <c r="J10" s="215">
        <v>5257</v>
      </c>
      <c r="K10" s="215">
        <v>4143</v>
      </c>
      <c r="L10" s="260">
        <v>3842</v>
      </c>
      <c r="M10" s="260">
        <v>3656</v>
      </c>
    </row>
    <row r="11" spans="1:15" x14ac:dyDescent="0.3">
      <c r="A11" s="214" t="s">
        <v>966</v>
      </c>
      <c r="B11" s="215">
        <v>1117</v>
      </c>
      <c r="C11" s="215">
        <v>716</v>
      </c>
      <c r="D11" s="215">
        <v>734</v>
      </c>
      <c r="E11" s="215">
        <v>631</v>
      </c>
      <c r="F11" s="215">
        <v>550</v>
      </c>
      <c r="G11" s="215">
        <v>625</v>
      </c>
      <c r="H11" s="215">
        <v>752</v>
      </c>
      <c r="I11" s="215">
        <v>470</v>
      </c>
      <c r="J11" s="215">
        <v>363</v>
      </c>
      <c r="K11" s="215">
        <v>342</v>
      </c>
      <c r="L11" s="260">
        <v>254</v>
      </c>
      <c r="M11" s="260">
        <v>262</v>
      </c>
    </row>
    <row r="12" spans="1:15" x14ac:dyDescent="0.3">
      <c r="A12" s="214" t="s">
        <v>967</v>
      </c>
      <c r="B12" s="1282">
        <f t="shared" ref="B12:M12" si="0">SUM(B8:B11)</f>
        <v>25382</v>
      </c>
      <c r="C12" s="1282">
        <f t="shared" si="0"/>
        <v>25035</v>
      </c>
      <c r="D12" s="1282">
        <f t="shared" si="0"/>
        <v>23129</v>
      </c>
      <c r="E12" s="1282">
        <f t="shared" si="0"/>
        <v>20431</v>
      </c>
      <c r="F12" s="1282">
        <f t="shared" si="0"/>
        <v>15720</v>
      </c>
      <c r="G12" s="1282">
        <f t="shared" si="0"/>
        <v>14856</v>
      </c>
      <c r="H12" s="1282">
        <f t="shared" si="0"/>
        <v>15796</v>
      </c>
      <c r="I12" s="1282">
        <f t="shared" si="0"/>
        <v>12831</v>
      </c>
      <c r="J12" s="1282">
        <f t="shared" si="0"/>
        <v>10956</v>
      </c>
      <c r="K12" s="1282">
        <f t="shared" si="0"/>
        <v>8776</v>
      </c>
      <c r="L12" s="1700">
        <f t="shared" si="0"/>
        <v>8069</v>
      </c>
      <c r="M12" s="1700">
        <f t="shared" si="0"/>
        <v>7964</v>
      </c>
    </row>
    <row r="13" spans="1:15" x14ac:dyDescent="0.3">
      <c r="A13" s="214"/>
      <c r="B13" s="215"/>
      <c r="C13" s="215"/>
      <c r="D13" s="215"/>
      <c r="E13" s="215"/>
      <c r="F13" s="215"/>
      <c r="G13" s="215"/>
      <c r="H13" s="215"/>
      <c r="I13" s="215"/>
      <c r="J13" s="215"/>
      <c r="K13" s="215"/>
      <c r="L13" s="260"/>
      <c r="M13" s="260"/>
    </row>
    <row r="14" spans="1:15" x14ac:dyDescent="0.3">
      <c r="A14" s="214" t="s">
        <v>968</v>
      </c>
      <c r="B14" s="215">
        <v>28107</v>
      </c>
      <c r="C14" s="215">
        <v>25617</v>
      </c>
      <c r="D14" s="215">
        <v>26017</v>
      </c>
      <c r="E14" s="215">
        <v>24755</v>
      </c>
      <c r="F14" s="215">
        <v>16976</v>
      </c>
      <c r="G14" s="215">
        <v>16499</v>
      </c>
      <c r="H14" s="215">
        <v>16515</v>
      </c>
      <c r="I14" s="215">
        <v>14201</v>
      </c>
      <c r="J14" s="215">
        <v>13314</v>
      </c>
      <c r="K14" s="215">
        <v>9260</v>
      </c>
      <c r="L14" s="260">
        <v>8362</v>
      </c>
      <c r="M14" s="260">
        <v>8351</v>
      </c>
    </row>
    <row r="15" spans="1:15" x14ac:dyDescent="0.3">
      <c r="A15" s="214" t="s">
        <v>969</v>
      </c>
      <c r="B15" s="215">
        <v>13806</v>
      </c>
      <c r="C15" s="215">
        <v>19389</v>
      </c>
      <c r="D15" s="215">
        <v>18871</v>
      </c>
      <c r="E15" s="215">
        <v>17866</v>
      </c>
      <c r="F15" s="215">
        <v>15421</v>
      </c>
      <c r="G15" s="215">
        <v>15374</v>
      </c>
      <c r="H15" s="215">
        <v>16338</v>
      </c>
      <c r="I15" s="215">
        <v>9605</v>
      </c>
      <c r="J15" s="215">
        <v>8934</v>
      </c>
      <c r="K15" s="215">
        <v>7148</v>
      </c>
      <c r="L15" s="260">
        <v>6161</v>
      </c>
      <c r="M15" s="260">
        <v>5898</v>
      </c>
      <c r="O15" s="211" t="s">
        <v>176</v>
      </c>
    </row>
    <row r="16" spans="1:15" x14ac:dyDescent="0.3">
      <c r="A16" s="214" t="s">
        <v>348</v>
      </c>
      <c r="B16" s="215">
        <v>3793</v>
      </c>
      <c r="C16" s="215">
        <v>4274</v>
      </c>
      <c r="D16" s="215">
        <v>3416</v>
      </c>
      <c r="E16" s="215">
        <v>3661</v>
      </c>
      <c r="F16" s="215">
        <v>3029</v>
      </c>
      <c r="G16" s="215">
        <v>2070</v>
      </c>
      <c r="H16" s="215">
        <v>1248</v>
      </c>
      <c r="I16" s="215">
        <v>1685</v>
      </c>
      <c r="J16" s="215">
        <v>1168</v>
      </c>
      <c r="K16" s="215">
        <v>1021</v>
      </c>
      <c r="L16" s="260">
        <v>1044</v>
      </c>
      <c r="M16" s="260">
        <v>1054</v>
      </c>
    </row>
    <row r="17" spans="1:17" ht="16.2" thickBot="1" x14ac:dyDescent="0.35">
      <c r="A17" s="214"/>
      <c r="B17" s="1276">
        <f t="shared" ref="B17:M17" si="1">SUM(B12:B16)</f>
        <v>71088</v>
      </c>
      <c r="C17" s="1276">
        <f t="shared" si="1"/>
        <v>74315</v>
      </c>
      <c r="D17" s="1276">
        <f t="shared" si="1"/>
        <v>71433</v>
      </c>
      <c r="E17" s="1276">
        <f t="shared" si="1"/>
        <v>66713</v>
      </c>
      <c r="F17" s="1276">
        <f t="shared" si="1"/>
        <v>51146</v>
      </c>
      <c r="G17" s="1276">
        <f t="shared" si="1"/>
        <v>48799</v>
      </c>
      <c r="H17" s="1276">
        <f t="shared" si="1"/>
        <v>49897</v>
      </c>
      <c r="I17" s="1276">
        <f t="shared" si="1"/>
        <v>38322</v>
      </c>
      <c r="J17" s="1276">
        <f t="shared" si="1"/>
        <v>34372</v>
      </c>
      <c r="K17" s="1276">
        <f t="shared" si="1"/>
        <v>26205</v>
      </c>
      <c r="L17" s="1475">
        <f t="shared" si="1"/>
        <v>23636</v>
      </c>
      <c r="M17" s="1475">
        <f t="shared" si="1"/>
        <v>23267</v>
      </c>
    </row>
    <row r="18" spans="1:17" ht="16.2" thickTop="1" x14ac:dyDescent="0.3">
      <c r="A18" s="214"/>
      <c r="B18" s="215"/>
      <c r="C18" s="215"/>
      <c r="D18" s="215"/>
      <c r="E18" s="215"/>
      <c r="F18" s="215"/>
      <c r="G18" s="215"/>
      <c r="H18" s="215"/>
      <c r="I18" s="215"/>
      <c r="J18" s="215"/>
      <c r="K18" s="215"/>
      <c r="L18" s="260"/>
      <c r="M18" s="260"/>
    </row>
    <row r="19" spans="1:17" x14ac:dyDescent="0.3">
      <c r="A19" s="221" t="s">
        <v>970</v>
      </c>
      <c r="B19" s="215"/>
      <c r="C19" s="215"/>
      <c r="D19" s="215"/>
      <c r="E19" s="215"/>
      <c r="F19" s="215"/>
      <c r="G19" s="215"/>
      <c r="H19" s="215"/>
      <c r="I19" s="215"/>
      <c r="J19" s="215"/>
      <c r="K19" s="215"/>
      <c r="L19" s="260"/>
      <c r="M19" s="260"/>
      <c r="Q19" s="211" t="s">
        <v>176</v>
      </c>
    </row>
    <row r="20" spans="1:17" x14ac:dyDescent="0.3">
      <c r="A20" s="214" t="s">
        <v>971</v>
      </c>
      <c r="B20" s="1297">
        <v>965</v>
      </c>
      <c r="C20" s="1297">
        <v>1615</v>
      </c>
      <c r="D20" s="1297">
        <v>1454</v>
      </c>
      <c r="E20" s="1297">
        <v>1611</v>
      </c>
      <c r="F20" s="1297">
        <v>1805</v>
      </c>
      <c r="G20" s="1297">
        <v>1842</v>
      </c>
      <c r="H20" s="1297">
        <v>2212</v>
      </c>
      <c r="I20" s="1297">
        <v>1278</v>
      </c>
      <c r="J20" s="1297">
        <v>1468</v>
      </c>
      <c r="K20" s="1297">
        <v>1469</v>
      </c>
      <c r="L20" s="1473">
        <v>1143</v>
      </c>
      <c r="M20" s="1473">
        <v>1593</v>
      </c>
    </row>
    <row r="21" spans="1:17" x14ac:dyDescent="0.3">
      <c r="A21" s="214" t="s">
        <v>972</v>
      </c>
      <c r="B21" s="215">
        <v>9734</v>
      </c>
      <c r="C21" s="215">
        <v>8965</v>
      </c>
      <c r="D21" s="215">
        <v>8527</v>
      </c>
      <c r="E21" s="215">
        <v>15124</v>
      </c>
      <c r="F21" s="215">
        <v>8169</v>
      </c>
      <c r="G21" s="215">
        <v>7414</v>
      </c>
      <c r="H21" s="215">
        <v>8087</v>
      </c>
      <c r="I21" s="215">
        <v>7652</v>
      </c>
      <c r="J21" s="215">
        <v>6635</v>
      </c>
      <c r="K21" s="215">
        <v>5371</v>
      </c>
      <c r="L21" s="260">
        <v>4685</v>
      </c>
      <c r="M21" s="260">
        <v>4300</v>
      </c>
    </row>
    <row r="22" spans="1:17" x14ac:dyDescent="0.3">
      <c r="A22" s="214" t="s">
        <v>973</v>
      </c>
      <c r="B22" s="472">
        <f t="shared" ref="B22:M22" si="2">SUM(B20:B21)</f>
        <v>10699</v>
      </c>
      <c r="C22" s="472">
        <f t="shared" si="2"/>
        <v>10580</v>
      </c>
      <c r="D22" s="472">
        <f t="shared" si="2"/>
        <v>9981</v>
      </c>
      <c r="E22" s="472">
        <f t="shared" si="2"/>
        <v>16735</v>
      </c>
      <c r="F22" s="472">
        <f t="shared" si="2"/>
        <v>9974</v>
      </c>
      <c r="G22" s="472">
        <f t="shared" si="2"/>
        <v>9256</v>
      </c>
      <c r="H22" s="472">
        <f t="shared" si="2"/>
        <v>10299</v>
      </c>
      <c r="I22" s="472">
        <f t="shared" si="2"/>
        <v>8930</v>
      </c>
      <c r="J22" s="472">
        <f t="shared" si="2"/>
        <v>8103</v>
      </c>
      <c r="K22" s="472">
        <f t="shared" si="2"/>
        <v>6840</v>
      </c>
      <c r="L22" s="404">
        <f t="shared" si="2"/>
        <v>5828</v>
      </c>
      <c r="M22" s="404">
        <f t="shared" si="2"/>
        <v>5893</v>
      </c>
    </row>
    <row r="23" spans="1:17" x14ac:dyDescent="0.3">
      <c r="A23" s="214"/>
      <c r="B23" s="215"/>
      <c r="C23" s="215"/>
      <c r="D23" s="215"/>
      <c r="E23" s="215"/>
      <c r="F23" s="215"/>
      <c r="G23" s="215"/>
      <c r="H23" s="215"/>
      <c r="I23" s="215"/>
      <c r="J23" s="215"/>
      <c r="K23" s="215"/>
      <c r="L23" s="260"/>
      <c r="M23" s="260"/>
    </row>
    <row r="24" spans="1:17" x14ac:dyDescent="0.3">
      <c r="A24" s="214" t="s">
        <v>974</v>
      </c>
      <c r="B24" s="215">
        <v>3801</v>
      </c>
      <c r="C24" s="215">
        <v>5184</v>
      </c>
      <c r="D24" s="215">
        <v>4907</v>
      </c>
      <c r="E24" s="215">
        <v>4661</v>
      </c>
      <c r="F24" s="215">
        <v>3001</v>
      </c>
      <c r="G24" s="215">
        <v>2834</v>
      </c>
      <c r="H24" s="215">
        <v>2786</v>
      </c>
      <c r="I24" s="215">
        <v>828</v>
      </c>
      <c r="J24" s="215">
        <v>540</v>
      </c>
      <c r="K24" s="215">
        <v>338</v>
      </c>
      <c r="L24" s="260">
        <v>248</v>
      </c>
      <c r="M24" s="260">
        <v>105</v>
      </c>
    </row>
    <row r="25" spans="1:17" x14ac:dyDescent="0.3">
      <c r="A25" s="214" t="s">
        <v>980</v>
      </c>
      <c r="B25" s="215">
        <v>4269</v>
      </c>
      <c r="C25" s="215">
        <v>4405</v>
      </c>
      <c r="D25" s="215">
        <v>5826</v>
      </c>
      <c r="E25" s="215">
        <v>6214</v>
      </c>
      <c r="F25" s="215">
        <v>6621</v>
      </c>
      <c r="G25" s="215">
        <v>6240</v>
      </c>
      <c r="H25" s="215">
        <v>6033</v>
      </c>
      <c r="I25" s="215">
        <v>3079</v>
      </c>
      <c r="J25" s="215">
        <v>3014</v>
      </c>
      <c r="K25" s="215">
        <v>2188</v>
      </c>
      <c r="L25" s="260">
        <v>1965</v>
      </c>
      <c r="M25" s="260">
        <v>1890</v>
      </c>
    </row>
    <row r="26" spans="1:17" x14ac:dyDescent="0.3">
      <c r="A26" s="214" t="s">
        <v>1078</v>
      </c>
      <c r="B26" s="215">
        <v>492</v>
      </c>
      <c r="C26" s="215">
        <v>456</v>
      </c>
      <c r="D26" s="215">
        <v>2062</v>
      </c>
      <c r="E26" s="215">
        <v>2410</v>
      </c>
      <c r="F26" s="686"/>
      <c r="G26" s="686"/>
      <c r="H26" s="686"/>
      <c r="I26" s="686"/>
      <c r="J26" s="686"/>
      <c r="K26" s="686"/>
      <c r="L26" s="1156"/>
      <c r="M26" s="254"/>
    </row>
    <row r="27" spans="1:17" x14ac:dyDescent="0.3">
      <c r="A27" s="214" t="s">
        <v>95</v>
      </c>
      <c r="B27" s="215">
        <v>51827</v>
      </c>
      <c r="C27" s="215">
        <v>53690</v>
      </c>
      <c r="D27" s="215">
        <v>48657</v>
      </c>
      <c r="E27" s="215">
        <v>36693</v>
      </c>
      <c r="F27" s="215">
        <v>31550</v>
      </c>
      <c r="G27" s="215">
        <v>30469</v>
      </c>
      <c r="H27" s="215">
        <v>30779</v>
      </c>
      <c r="I27" s="215">
        <v>25485</v>
      </c>
      <c r="J27" s="215">
        <v>22715</v>
      </c>
      <c r="K27" s="215">
        <v>16839</v>
      </c>
      <c r="L27" s="260">
        <v>15595</v>
      </c>
      <c r="M27" s="260">
        <v>15379</v>
      </c>
    </row>
    <row r="28" spans="1:17" ht="16.2" thickBot="1" x14ac:dyDescent="0.35">
      <c r="A28" s="214"/>
      <c r="B28" s="1282">
        <f t="shared" ref="B28:M28" si="3">SUM(B22:B27)</f>
        <v>71088</v>
      </c>
      <c r="C28" s="1282">
        <f t="shared" si="3"/>
        <v>74315</v>
      </c>
      <c r="D28" s="1282">
        <f t="shared" si="3"/>
        <v>71433</v>
      </c>
      <c r="E28" s="1282">
        <f t="shared" si="3"/>
        <v>66713</v>
      </c>
      <c r="F28" s="1282">
        <f t="shared" si="3"/>
        <v>51146</v>
      </c>
      <c r="G28" s="1282">
        <f t="shared" si="3"/>
        <v>48799</v>
      </c>
      <c r="H28" s="1282">
        <f t="shared" si="3"/>
        <v>49897</v>
      </c>
      <c r="I28" s="1282">
        <f t="shared" si="3"/>
        <v>38322</v>
      </c>
      <c r="J28" s="1282">
        <f t="shared" si="3"/>
        <v>34372</v>
      </c>
      <c r="K28" s="1282">
        <f t="shared" si="3"/>
        <v>26205</v>
      </c>
      <c r="L28" s="1700">
        <f t="shared" si="3"/>
        <v>23636</v>
      </c>
      <c r="M28" s="1475">
        <f t="shared" si="3"/>
        <v>23267</v>
      </c>
    </row>
    <row r="29" spans="1:17" ht="4.5" customHeight="1" thickTop="1" thickBot="1" x14ac:dyDescent="0.35">
      <c r="A29" s="214"/>
      <c r="B29" s="392"/>
      <c r="C29" s="392"/>
      <c r="D29" s="392"/>
      <c r="E29" s="392"/>
      <c r="F29" s="392"/>
      <c r="G29" s="392"/>
      <c r="H29" s="392"/>
      <c r="I29" s="392"/>
      <c r="J29" s="392"/>
      <c r="K29" s="392"/>
      <c r="L29" s="253"/>
      <c r="M29" s="1428"/>
    </row>
    <row r="30" spans="1:17" ht="4.5" customHeight="1" x14ac:dyDescent="0.3">
      <c r="A30" s="1155"/>
      <c r="B30" s="1701"/>
      <c r="C30" s="1701"/>
      <c r="D30" s="1701"/>
      <c r="E30" s="1701"/>
      <c r="F30" s="1701"/>
      <c r="G30" s="1701"/>
      <c r="H30" s="1701"/>
      <c r="I30" s="1701"/>
      <c r="J30" s="1701"/>
      <c r="K30" s="1701"/>
      <c r="L30" s="1702"/>
      <c r="M30" s="392"/>
    </row>
    <row r="31" spans="1:17" ht="4.5" customHeight="1" x14ac:dyDescent="0.3">
      <c r="A31" s="214"/>
      <c r="B31" s="392"/>
      <c r="C31" s="392"/>
      <c r="D31" s="392"/>
      <c r="E31" s="392"/>
      <c r="F31" s="392"/>
      <c r="G31" s="392"/>
      <c r="H31" s="392"/>
      <c r="I31" s="392"/>
      <c r="J31" s="392"/>
      <c r="K31" s="392"/>
      <c r="L31" s="253"/>
      <c r="M31" s="392"/>
    </row>
    <row r="32" spans="1:17" ht="31.5" customHeight="1" thickBot="1" x14ac:dyDescent="0.35">
      <c r="A32" s="2925" t="s">
        <v>2112</v>
      </c>
      <c r="B32" s="2926"/>
      <c r="C32" s="2926"/>
      <c r="D32" s="2926"/>
      <c r="E32" s="2926"/>
      <c r="F32" s="2926"/>
      <c r="G32" s="2926"/>
      <c r="H32" s="2926"/>
      <c r="I32" s="2926"/>
      <c r="J32" s="2926"/>
      <c r="K32" s="2926"/>
      <c r="L32" s="2927"/>
      <c r="M32" s="392"/>
    </row>
    <row r="33" spans="1:17" x14ac:dyDescent="0.3">
      <c r="A33" s="2952" t="s">
        <v>2114</v>
      </c>
      <c r="B33" s="2952"/>
      <c r="C33" s="2952"/>
      <c r="D33" s="2952"/>
      <c r="E33" s="2952"/>
      <c r="F33" s="2952"/>
      <c r="G33" s="2952"/>
      <c r="H33" s="2952"/>
      <c r="I33" s="2952"/>
      <c r="J33" s="2952"/>
      <c r="K33" s="2952"/>
      <c r="L33" s="1642"/>
      <c r="M33" s="392"/>
    </row>
    <row r="34" spans="1:17" s="309" customFormat="1" hidden="1" outlineLevel="1" x14ac:dyDescent="0.3">
      <c r="A34" s="309" t="s">
        <v>20</v>
      </c>
      <c r="B34" s="1409">
        <f t="shared" ref="B34:M34" si="4">B28-B17</f>
        <v>0</v>
      </c>
      <c r="C34" s="1409">
        <f t="shared" si="4"/>
        <v>0</v>
      </c>
      <c r="D34" s="1409">
        <f t="shared" si="4"/>
        <v>0</v>
      </c>
      <c r="E34" s="1409">
        <f t="shared" si="4"/>
        <v>0</v>
      </c>
      <c r="F34" s="1409">
        <f t="shared" si="4"/>
        <v>0</v>
      </c>
      <c r="G34" s="1409">
        <f t="shared" si="4"/>
        <v>0</v>
      </c>
      <c r="H34" s="1409">
        <f t="shared" si="4"/>
        <v>0</v>
      </c>
      <c r="I34" s="1409">
        <f t="shared" si="4"/>
        <v>0</v>
      </c>
      <c r="J34" s="1409">
        <f t="shared" si="4"/>
        <v>0</v>
      </c>
      <c r="K34" s="1409">
        <f t="shared" si="4"/>
        <v>0</v>
      </c>
      <c r="L34" s="1409">
        <f t="shared" si="4"/>
        <v>0</v>
      </c>
      <c r="M34" s="1409">
        <f t="shared" si="4"/>
        <v>0</v>
      </c>
    </row>
    <row r="35" spans="1:17" collapsed="1" x14ac:dyDescent="0.3"/>
    <row r="36" spans="1:17" x14ac:dyDescent="0.3">
      <c r="K36" s="211" t="s">
        <v>176</v>
      </c>
    </row>
    <row r="37" spans="1:17" x14ac:dyDescent="0.3">
      <c r="B37" s="1303"/>
      <c r="C37" s="1303"/>
    </row>
    <row r="38" spans="1:17" s="1519" customFormat="1" ht="16.2" hidden="1" outlineLevel="1" x14ac:dyDescent="0.35">
      <c r="A38" s="459" t="s">
        <v>1863</v>
      </c>
    </row>
    <row r="39" spans="1:17" s="1519" customFormat="1" ht="16.2" collapsed="1" x14ac:dyDescent="0.35">
      <c r="A39" s="499" t="s">
        <v>2115</v>
      </c>
    </row>
    <row r="40" spans="1:17" s="1519" customFormat="1" ht="8.25" customHeight="1" thickBot="1" x14ac:dyDescent="0.4"/>
    <row r="41" spans="1:17" s="152" customFormat="1" x14ac:dyDescent="0.3">
      <c r="A41" s="212" t="s">
        <v>1250</v>
      </c>
      <c r="B41" s="712">
        <v>2014</v>
      </c>
      <c r="C41" s="712">
        <v>2013</v>
      </c>
      <c r="D41" s="712">
        <v>2012</v>
      </c>
      <c r="E41" s="712">
        <v>2011</v>
      </c>
      <c r="F41" s="712">
        <v>2010</v>
      </c>
      <c r="G41" s="712">
        <v>2009</v>
      </c>
      <c r="H41" s="712">
        <v>2008</v>
      </c>
      <c r="I41" s="712">
        <v>2007</v>
      </c>
      <c r="J41" s="712">
        <v>2006</v>
      </c>
      <c r="K41" s="712">
        <v>2005</v>
      </c>
      <c r="L41" s="713">
        <v>2004</v>
      </c>
      <c r="M41" s="286">
        <f>M6</f>
        <v>2003</v>
      </c>
      <c r="N41" s="1107">
        <v>2002</v>
      </c>
    </row>
    <row r="42" spans="1:17" x14ac:dyDescent="0.3">
      <c r="A42" s="214" t="s">
        <v>975</v>
      </c>
      <c r="B42" s="1160">
        <v>97689</v>
      </c>
      <c r="C42" s="1160">
        <v>95291</v>
      </c>
      <c r="D42" s="1160">
        <v>83255</v>
      </c>
      <c r="E42" s="1160">
        <v>72406</v>
      </c>
      <c r="F42" s="1160">
        <v>66610</v>
      </c>
      <c r="G42" s="1160">
        <v>61665</v>
      </c>
      <c r="H42" s="1160">
        <v>66099</v>
      </c>
      <c r="I42" s="1160">
        <v>59100</v>
      </c>
      <c r="J42" s="1160">
        <v>52660</v>
      </c>
      <c r="K42" s="1160">
        <v>46896</v>
      </c>
      <c r="L42" s="1161">
        <v>44142</v>
      </c>
      <c r="M42" s="252">
        <v>32106</v>
      </c>
      <c r="N42" s="253">
        <v>16970</v>
      </c>
    </row>
    <row r="43" spans="1:17" x14ac:dyDescent="0.3">
      <c r="A43" s="214" t="s">
        <v>976</v>
      </c>
      <c r="B43" s="215">
        <v>90788</v>
      </c>
      <c r="C43" s="215">
        <v>88414</v>
      </c>
      <c r="D43" s="215">
        <v>76978</v>
      </c>
      <c r="E43" s="215">
        <v>67239</v>
      </c>
      <c r="F43" s="215">
        <v>62225</v>
      </c>
      <c r="G43" s="215">
        <v>59509</v>
      </c>
      <c r="H43" s="215">
        <v>61937</v>
      </c>
      <c r="I43" s="215">
        <v>55026</v>
      </c>
      <c r="J43" s="215">
        <v>49002</v>
      </c>
      <c r="K43" s="215">
        <v>44190</v>
      </c>
      <c r="L43" s="260">
        <v>41604</v>
      </c>
      <c r="M43" s="230">
        <v>29885</v>
      </c>
      <c r="N43" s="260">
        <v>14921</v>
      </c>
    </row>
    <row r="44" spans="1:17" s="320" customFormat="1" x14ac:dyDescent="0.3">
      <c r="A44" s="221" t="s">
        <v>977</v>
      </c>
      <c r="B44" s="2482"/>
      <c r="C44" s="2482"/>
      <c r="D44" s="2482"/>
      <c r="E44" s="428">
        <v>1431</v>
      </c>
      <c r="F44" s="428">
        <v>1362</v>
      </c>
      <c r="G44" s="428">
        <v>1422</v>
      </c>
      <c r="H44" s="428">
        <v>1280</v>
      </c>
      <c r="I44" s="428">
        <v>955</v>
      </c>
      <c r="J44" s="428">
        <v>823</v>
      </c>
      <c r="K44" s="428">
        <v>699</v>
      </c>
      <c r="L44" s="429">
        <v>676</v>
      </c>
      <c r="M44" s="1356">
        <v>605</v>
      </c>
      <c r="N44" s="429">
        <v>477</v>
      </c>
    </row>
    <row r="45" spans="1:17" x14ac:dyDescent="0.3">
      <c r="A45" s="214" t="s">
        <v>978</v>
      </c>
      <c r="B45" s="215">
        <v>109</v>
      </c>
      <c r="C45" s="215">
        <v>135</v>
      </c>
      <c r="D45" s="215">
        <v>146</v>
      </c>
      <c r="E45" s="215">
        <v>130</v>
      </c>
      <c r="F45" s="215">
        <v>111</v>
      </c>
      <c r="G45" s="215">
        <v>98</v>
      </c>
      <c r="H45" s="215">
        <v>139</v>
      </c>
      <c r="I45" s="215">
        <v>127</v>
      </c>
      <c r="J45" s="215">
        <v>132</v>
      </c>
      <c r="K45" s="215">
        <v>83</v>
      </c>
      <c r="L45" s="260">
        <v>57</v>
      </c>
      <c r="M45" s="230">
        <v>64</v>
      </c>
      <c r="N45" s="260">
        <v>108</v>
      </c>
    </row>
    <row r="46" spans="1:17" ht="18.600000000000001" x14ac:dyDescent="0.3">
      <c r="A46" s="214" t="s">
        <v>2113</v>
      </c>
      <c r="B46" s="472">
        <f t="shared" ref="B46:N46" si="5">B42-B43-B45</f>
        <v>6792</v>
      </c>
      <c r="C46" s="472">
        <f t="shared" si="5"/>
        <v>6742</v>
      </c>
      <c r="D46" s="472">
        <f t="shared" si="5"/>
        <v>6131</v>
      </c>
      <c r="E46" s="472">
        <f t="shared" si="5"/>
        <v>5037</v>
      </c>
      <c r="F46" s="472">
        <f t="shared" si="5"/>
        <v>4274</v>
      </c>
      <c r="G46" s="472">
        <f t="shared" si="5"/>
        <v>2058</v>
      </c>
      <c r="H46" s="472">
        <f t="shared" si="5"/>
        <v>4023</v>
      </c>
      <c r="I46" s="472">
        <f t="shared" si="5"/>
        <v>3947</v>
      </c>
      <c r="J46" s="472">
        <f t="shared" si="5"/>
        <v>3526</v>
      </c>
      <c r="K46" s="472">
        <f t="shared" si="5"/>
        <v>2623</v>
      </c>
      <c r="L46" s="404">
        <f t="shared" si="5"/>
        <v>2481</v>
      </c>
      <c r="M46" s="472">
        <f t="shared" si="5"/>
        <v>2157</v>
      </c>
      <c r="N46" s="404">
        <f t="shared" si="5"/>
        <v>1941</v>
      </c>
    </row>
    <row r="47" spans="1:17" x14ac:dyDescent="0.3">
      <c r="A47" s="214" t="s">
        <v>1079</v>
      </c>
      <c r="B47" s="215">
        <v>2324</v>
      </c>
      <c r="C47" s="215">
        <v>2512</v>
      </c>
      <c r="D47" s="215">
        <v>2432</v>
      </c>
      <c r="E47" s="215">
        <v>1998</v>
      </c>
      <c r="F47" s="215">
        <v>1812</v>
      </c>
      <c r="G47" s="215">
        <v>945</v>
      </c>
      <c r="H47" s="215">
        <v>1740</v>
      </c>
      <c r="I47" s="215">
        <v>1594</v>
      </c>
      <c r="J47" s="215">
        <v>1395</v>
      </c>
      <c r="K47" s="215">
        <v>977</v>
      </c>
      <c r="L47" s="260">
        <v>941</v>
      </c>
      <c r="M47" s="230">
        <v>813</v>
      </c>
      <c r="N47" s="260">
        <v>743</v>
      </c>
    </row>
    <row r="48" spans="1:17" ht="16.2" thickBot="1" x14ac:dyDescent="0.35">
      <c r="A48" s="214" t="s">
        <v>99</v>
      </c>
      <c r="B48" s="747">
        <f t="shared" ref="B48:N48" si="6">B46-B47</f>
        <v>4468</v>
      </c>
      <c r="C48" s="747">
        <f t="shared" si="6"/>
        <v>4230</v>
      </c>
      <c r="D48" s="747">
        <f t="shared" si="6"/>
        <v>3699</v>
      </c>
      <c r="E48" s="747">
        <f t="shared" si="6"/>
        <v>3039</v>
      </c>
      <c r="F48" s="747">
        <f t="shared" si="6"/>
        <v>2462</v>
      </c>
      <c r="G48" s="747">
        <f t="shared" si="6"/>
        <v>1113</v>
      </c>
      <c r="H48" s="747">
        <f t="shared" si="6"/>
        <v>2283</v>
      </c>
      <c r="I48" s="747">
        <f t="shared" si="6"/>
        <v>2353</v>
      </c>
      <c r="J48" s="747">
        <f t="shared" si="6"/>
        <v>2131</v>
      </c>
      <c r="K48" s="747">
        <f t="shared" si="6"/>
        <v>1646</v>
      </c>
      <c r="L48" s="748">
        <f t="shared" si="6"/>
        <v>1540</v>
      </c>
      <c r="M48" s="1567">
        <f t="shared" si="6"/>
        <v>1344</v>
      </c>
      <c r="N48" s="1703">
        <f t="shared" si="6"/>
        <v>1198</v>
      </c>
      <c r="Q48" s="211" t="s">
        <v>176</v>
      </c>
    </row>
    <row r="49" spans="1:14" ht="4.5" customHeight="1" thickTop="1" x14ac:dyDescent="0.3">
      <c r="A49" s="214"/>
      <c r="B49" s="220"/>
      <c r="C49" s="220"/>
      <c r="D49" s="220"/>
      <c r="E49" s="220"/>
      <c r="F49" s="220"/>
      <c r="G49" s="220"/>
      <c r="H49" s="220"/>
      <c r="I49" s="220"/>
      <c r="J49" s="220"/>
      <c r="K49" s="220"/>
      <c r="L49" s="223"/>
      <c r="N49" s="223"/>
    </row>
    <row r="50" spans="1:14" hidden="1" outlineLevel="1" x14ac:dyDescent="0.3">
      <c r="A50" s="221" t="s">
        <v>986</v>
      </c>
      <c r="B50" s="220"/>
      <c r="C50" s="220"/>
      <c r="D50" s="220"/>
      <c r="E50" s="220"/>
      <c r="F50" s="220"/>
      <c r="G50" s="220"/>
      <c r="H50" s="220"/>
      <c r="I50" s="220"/>
      <c r="J50" s="220"/>
      <c r="K50" s="220"/>
      <c r="L50" s="223"/>
      <c r="N50" s="223"/>
    </row>
    <row r="51" spans="1:14" ht="4.5" hidden="1" customHeight="1" outlineLevel="1" x14ac:dyDescent="0.3">
      <c r="A51" s="214" t="s">
        <v>981</v>
      </c>
      <c r="B51" s="392"/>
      <c r="C51" s="392"/>
      <c r="D51" s="392"/>
      <c r="E51" s="392"/>
      <c r="F51" s="392"/>
      <c r="G51" s="392"/>
      <c r="H51" s="392"/>
      <c r="I51" s="392"/>
      <c r="J51" s="2950" t="s">
        <v>1076</v>
      </c>
      <c r="K51" s="392">
        <v>751</v>
      </c>
      <c r="L51" s="253">
        <v>643</v>
      </c>
      <c r="M51" s="252">
        <v>559</v>
      </c>
      <c r="N51" s="253">
        <v>516</v>
      </c>
    </row>
    <row r="52" spans="1:14" hidden="1" outlineLevel="1" x14ac:dyDescent="0.3">
      <c r="A52" s="214" t="s">
        <v>982</v>
      </c>
      <c r="B52" s="215"/>
      <c r="C52" s="215"/>
      <c r="D52" s="215"/>
      <c r="E52" s="215"/>
      <c r="F52" s="215"/>
      <c r="G52" s="215"/>
      <c r="H52" s="215"/>
      <c r="I52" s="215"/>
      <c r="J52" s="2950"/>
      <c r="K52" s="215">
        <v>485</v>
      </c>
      <c r="L52" s="260">
        <v>466</v>
      </c>
      <c r="M52" s="230">
        <v>436</v>
      </c>
      <c r="N52" s="260">
        <v>424</v>
      </c>
    </row>
    <row r="53" spans="1:14" hidden="1" outlineLevel="1" x14ac:dyDescent="0.3">
      <c r="A53" s="214" t="s">
        <v>987</v>
      </c>
      <c r="B53" s="215"/>
      <c r="C53" s="215"/>
      <c r="D53" s="215"/>
      <c r="E53" s="215"/>
      <c r="F53" s="215"/>
      <c r="G53" s="215"/>
      <c r="H53" s="215"/>
      <c r="I53" s="215"/>
      <c r="J53" s="2950"/>
      <c r="K53" s="215">
        <v>348</v>
      </c>
      <c r="L53" s="260">
        <v>325</v>
      </c>
      <c r="M53" s="230">
        <v>289</v>
      </c>
      <c r="N53" s="260">
        <v>229</v>
      </c>
    </row>
    <row r="54" spans="1:14" hidden="1" outlineLevel="1" x14ac:dyDescent="0.3">
      <c r="A54" s="214" t="s">
        <v>983</v>
      </c>
      <c r="B54" s="215"/>
      <c r="C54" s="215"/>
      <c r="D54" s="215"/>
      <c r="E54" s="215"/>
      <c r="F54" s="215"/>
      <c r="G54" s="215"/>
      <c r="H54" s="215"/>
      <c r="I54" s="215"/>
      <c r="J54" s="2950"/>
      <c r="K54" s="215">
        <v>257</v>
      </c>
      <c r="L54" s="260">
        <v>215</v>
      </c>
      <c r="M54" s="230">
        <v>224</v>
      </c>
      <c r="N54" s="260">
        <v>219</v>
      </c>
    </row>
    <row r="55" spans="1:14" hidden="1" outlineLevel="1" x14ac:dyDescent="0.3">
      <c r="A55" s="214" t="s">
        <v>984</v>
      </c>
      <c r="B55" s="215"/>
      <c r="C55" s="215"/>
      <c r="D55" s="215"/>
      <c r="E55" s="215"/>
      <c r="F55" s="215"/>
      <c r="G55" s="215"/>
      <c r="H55" s="215"/>
      <c r="I55" s="215"/>
      <c r="J55" s="2950"/>
      <c r="K55" s="215">
        <v>120</v>
      </c>
      <c r="L55" s="260">
        <v>191</v>
      </c>
      <c r="M55" s="230">
        <v>72</v>
      </c>
      <c r="N55" s="260">
        <v>225</v>
      </c>
    </row>
    <row r="56" spans="1:14" ht="4.5" hidden="1" customHeight="1" outlineLevel="1" x14ac:dyDescent="0.3">
      <c r="A56" s="214" t="s">
        <v>1075</v>
      </c>
      <c r="B56" s="215"/>
      <c r="C56" s="215"/>
      <c r="D56" s="215"/>
      <c r="E56" s="215"/>
      <c r="F56" s="215"/>
      <c r="G56" s="215"/>
      <c r="H56" s="215"/>
      <c r="I56" s="215"/>
      <c r="J56" s="2950"/>
      <c r="K56" s="215">
        <v>217</v>
      </c>
      <c r="L56" s="260">
        <v>228</v>
      </c>
      <c r="M56" s="230">
        <v>150</v>
      </c>
      <c r="N56" s="260">
        <v>0</v>
      </c>
    </row>
    <row r="57" spans="1:14" hidden="1" outlineLevel="1" x14ac:dyDescent="0.3">
      <c r="A57" s="214" t="s">
        <v>985</v>
      </c>
      <c r="B57" s="215"/>
      <c r="C57" s="215"/>
      <c r="D57" s="215"/>
      <c r="E57" s="215"/>
      <c r="F57" s="215"/>
      <c r="G57" s="215"/>
      <c r="H57" s="215"/>
      <c r="I57" s="215"/>
      <c r="J57" s="2951"/>
      <c r="K57" s="215">
        <v>445</v>
      </c>
      <c r="L57" s="260">
        <v>413</v>
      </c>
      <c r="M57" s="230">
        <v>427</v>
      </c>
      <c r="N57" s="260">
        <v>328</v>
      </c>
    </row>
    <row r="58" spans="1:14" ht="16.2" hidden="1" outlineLevel="1" thickBot="1" x14ac:dyDescent="0.35">
      <c r="A58" s="214"/>
      <c r="B58" s="1567"/>
      <c r="C58" s="1567"/>
      <c r="D58" s="1567"/>
      <c r="E58" s="1567"/>
      <c r="F58" s="1567"/>
      <c r="G58" s="1567"/>
      <c r="H58" s="1567"/>
      <c r="I58" s="1567"/>
      <c r="J58" s="1567"/>
      <c r="K58" s="1567">
        <f>SUM(K51:K57)</f>
        <v>2623</v>
      </c>
      <c r="L58" s="1703">
        <f>SUM(L51:L57)</f>
        <v>2481</v>
      </c>
      <c r="M58" s="1567">
        <f>SUM(M51:M57)</f>
        <v>2157</v>
      </c>
      <c r="N58" s="1703">
        <f>SUM(N51:N57)</f>
        <v>1941</v>
      </c>
    </row>
    <row r="59" spans="1:14" hidden="1" outlineLevel="1" x14ac:dyDescent="0.3">
      <c r="A59" s="214"/>
      <c r="B59" s="220"/>
      <c r="C59" s="220"/>
      <c r="D59" s="220"/>
      <c r="E59" s="220"/>
      <c r="F59" s="220"/>
      <c r="G59" s="220"/>
      <c r="H59" s="220"/>
      <c r="I59" s="220"/>
      <c r="J59" s="220"/>
      <c r="K59" s="220"/>
      <c r="L59" s="223"/>
      <c r="N59" s="223"/>
    </row>
    <row r="60" spans="1:14" hidden="1" outlineLevel="1" x14ac:dyDescent="0.3">
      <c r="A60" s="214" t="s">
        <v>1077</v>
      </c>
      <c r="B60" s="220"/>
      <c r="C60" s="220"/>
      <c r="D60" s="220"/>
      <c r="E60" s="220"/>
      <c r="F60" s="220"/>
      <c r="G60" s="220"/>
      <c r="H60" s="220"/>
      <c r="I60" s="220"/>
      <c r="J60" s="220"/>
      <c r="K60" s="220"/>
      <c r="L60" s="223"/>
      <c r="N60" s="223"/>
    </row>
    <row r="61" spans="1:14" ht="4.5" hidden="1" customHeight="1" outlineLevel="1" x14ac:dyDescent="0.3">
      <c r="A61" s="1155"/>
      <c r="B61" s="684"/>
      <c r="C61" s="684"/>
      <c r="D61" s="684"/>
      <c r="E61" s="684"/>
      <c r="F61" s="684"/>
      <c r="G61" s="684"/>
      <c r="H61" s="684"/>
      <c r="I61" s="684"/>
      <c r="J61" s="684"/>
      <c r="K61" s="684"/>
      <c r="L61" s="1279"/>
      <c r="N61" s="223"/>
    </row>
    <row r="62" spans="1:14" ht="4.5" hidden="1" customHeight="1" outlineLevel="1" x14ac:dyDescent="0.3">
      <c r="A62" s="214"/>
      <c r="B62" s="220"/>
      <c r="C62" s="220"/>
      <c r="D62" s="220"/>
      <c r="E62" s="220"/>
      <c r="F62" s="220"/>
      <c r="G62" s="220"/>
      <c r="H62" s="220"/>
      <c r="I62" s="220"/>
      <c r="J62" s="220"/>
      <c r="K62" s="220"/>
      <c r="L62" s="223"/>
      <c r="N62" s="223"/>
    </row>
    <row r="63" spans="1:14" ht="16.2" collapsed="1" thickBot="1" x14ac:dyDescent="0.35">
      <c r="A63" s="224" t="s">
        <v>2116</v>
      </c>
      <c r="B63" s="218"/>
      <c r="C63" s="218"/>
      <c r="D63" s="218"/>
      <c r="E63" s="218"/>
      <c r="F63" s="218"/>
      <c r="G63" s="218"/>
      <c r="H63" s="218"/>
      <c r="I63" s="218"/>
      <c r="J63" s="218"/>
      <c r="K63" s="218"/>
      <c r="L63" s="219"/>
      <c r="N63" s="223"/>
    </row>
    <row r="64" spans="1:14" x14ac:dyDescent="0.3">
      <c r="A64" s="2952" t="s">
        <v>2114</v>
      </c>
      <c r="B64" s="2952"/>
      <c r="C64" s="2952"/>
      <c r="D64" s="2952"/>
      <c r="E64" s="2952"/>
      <c r="F64" s="2952"/>
      <c r="G64" s="2952"/>
      <c r="H64" s="2952"/>
      <c r="I64" s="2952"/>
      <c r="J64" s="2952"/>
      <c r="K64" s="2952"/>
    </row>
    <row r="65" spans="1:14" x14ac:dyDescent="0.3">
      <c r="G65" s="211" t="s">
        <v>176</v>
      </c>
    </row>
    <row r="66" spans="1:14" s="1519" customFormat="1" ht="16.2" hidden="1" outlineLevel="1" x14ac:dyDescent="0.35">
      <c r="A66" s="459" t="s">
        <v>1863</v>
      </c>
    </row>
    <row r="67" spans="1:14" s="1519" customFormat="1" ht="16.2" collapsed="1" x14ac:dyDescent="0.35">
      <c r="A67" s="499" t="s">
        <v>2117</v>
      </c>
    </row>
    <row r="68" spans="1:14" s="1519" customFormat="1" ht="8.25" customHeight="1" thickBot="1" x14ac:dyDescent="0.4"/>
    <row r="69" spans="1:14" s="152" customFormat="1" x14ac:dyDescent="0.3">
      <c r="A69" s="212" t="s">
        <v>554</v>
      </c>
      <c r="B69" s="712">
        <v>2014</v>
      </c>
      <c r="C69" s="712">
        <v>2013</v>
      </c>
      <c r="D69" s="712">
        <v>2012</v>
      </c>
      <c r="E69" s="712">
        <v>2011</v>
      </c>
      <c r="F69" s="712">
        <v>2010</v>
      </c>
      <c r="G69" s="712">
        <v>2009</v>
      </c>
      <c r="H69" s="712">
        <v>2008</v>
      </c>
      <c r="I69" s="712">
        <v>2007</v>
      </c>
      <c r="J69" s="712">
        <v>2006</v>
      </c>
      <c r="K69" s="712">
        <v>2005</v>
      </c>
      <c r="L69" s="713">
        <v>2004</v>
      </c>
      <c r="M69" s="286">
        <f>M41</f>
        <v>2003</v>
      </c>
      <c r="N69" s="1107">
        <f>N41</f>
        <v>2002</v>
      </c>
    </row>
    <row r="70" spans="1:14" s="152" customFormat="1" outlineLevel="1" x14ac:dyDescent="0.3">
      <c r="A70" s="214" t="s">
        <v>2120</v>
      </c>
      <c r="B70" s="1160">
        <f>B27+B25+B20-B14</f>
        <v>28954</v>
      </c>
      <c r="C70" s="1160">
        <f t="shared" ref="C70:L70" si="7">C27+C25+C20-C14</f>
        <v>34093</v>
      </c>
      <c r="D70" s="1160">
        <f t="shared" si="7"/>
        <v>29920</v>
      </c>
      <c r="E70" s="1160">
        <f t="shared" si="7"/>
        <v>19763</v>
      </c>
      <c r="F70" s="1160">
        <f t="shared" si="7"/>
        <v>23000</v>
      </c>
      <c r="G70" s="1160">
        <f t="shared" si="7"/>
        <v>22052</v>
      </c>
      <c r="H70" s="1160">
        <f t="shared" si="7"/>
        <v>22509</v>
      </c>
      <c r="I70" s="1160">
        <f t="shared" si="7"/>
        <v>15641</v>
      </c>
      <c r="J70" s="1160">
        <f>J27+J25+J20-J14</f>
        <v>13883</v>
      </c>
      <c r="K70" s="1160">
        <f>K27+K25+K20-K14</f>
        <v>11236</v>
      </c>
      <c r="L70" s="1161">
        <f t="shared" si="7"/>
        <v>10341</v>
      </c>
      <c r="M70" s="286"/>
      <c r="N70" s="1107"/>
    </row>
    <row r="71" spans="1:14" s="612" customFormat="1" x14ac:dyDescent="0.3">
      <c r="A71" s="734" t="s">
        <v>2121</v>
      </c>
      <c r="B71" s="1709">
        <f t="shared" ref="B71:L71" si="8">B42/AVERAGE(B70:C70)</f>
        <v>3.0989261979158407</v>
      </c>
      <c r="C71" s="1709">
        <f t="shared" si="8"/>
        <v>2.9772389983284646</v>
      </c>
      <c r="D71" s="1709">
        <f t="shared" si="8"/>
        <v>3.351448181470523</v>
      </c>
      <c r="E71" s="1709">
        <f t="shared" si="8"/>
        <v>3.3863854266538831</v>
      </c>
      <c r="F71" s="1709">
        <f t="shared" si="8"/>
        <v>2.9570274349640417</v>
      </c>
      <c r="G71" s="1709">
        <f t="shared" si="8"/>
        <v>2.7676667938331727</v>
      </c>
      <c r="H71" s="1709">
        <f t="shared" si="8"/>
        <v>3.4652162516382701</v>
      </c>
      <c r="I71" s="1709">
        <f t="shared" si="8"/>
        <v>4.0035225579189815</v>
      </c>
      <c r="J71" s="1709">
        <f t="shared" si="8"/>
        <v>4.1928420717385242</v>
      </c>
      <c r="K71" s="1709">
        <f>K42/AVERAGE(K70:L70)</f>
        <v>4.3468508133660846</v>
      </c>
      <c r="L71" s="1710">
        <f t="shared" si="8"/>
        <v>4.2686393965767335</v>
      </c>
      <c r="N71" s="1281"/>
    </row>
    <row r="72" spans="1:14" s="612" customFormat="1" x14ac:dyDescent="0.3">
      <c r="A72" s="734" t="s">
        <v>1993</v>
      </c>
      <c r="B72" s="827">
        <f>(B46+B45)/B42</f>
        <v>7.0642549314661837E-2</v>
      </c>
      <c r="C72" s="827">
        <f t="shared" ref="C72:L72" si="9">(C46+C45)/C42</f>
        <v>7.2168410447996142E-2</v>
      </c>
      <c r="D72" s="827">
        <f t="shared" si="9"/>
        <v>7.5394871178908168E-2</v>
      </c>
      <c r="E72" s="827">
        <f t="shared" si="9"/>
        <v>7.1361489379333204E-2</v>
      </c>
      <c r="F72" s="827">
        <f t="shared" si="9"/>
        <v>6.5830956312865938E-2</v>
      </c>
      <c r="G72" s="827">
        <f t="shared" si="9"/>
        <v>3.4963107111002999E-2</v>
      </c>
      <c r="H72" s="827">
        <f t="shared" si="9"/>
        <v>6.2966156825368005E-2</v>
      </c>
      <c r="I72" s="827">
        <f t="shared" si="9"/>
        <v>6.8934010152284259E-2</v>
      </c>
      <c r="J72" s="827">
        <f>(J46+J45)/J42</f>
        <v>6.9464489175845037E-2</v>
      </c>
      <c r="K72" s="827">
        <f>(K46+K45)/K42</f>
        <v>5.7702149437052201E-2</v>
      </c>
      <c r="L72" s="890">
        <f t="shared" si="9"/>
        <v>5.7496262063341033E-2</v>
      </c>
      <c r="M72" s="397">
        <f t="shared" ref="M72:N72" si="10">M46/M42</f>
        <v>6.7183703980564377E-2</v>
      </c>
      <c r="N72" s="397">
        <f t="shared" si="10"/>
        <v>0.11437831467295227</v>
      </c>
    </row>
    <row r="73" spans="1:14" s="612" customFormat="1" x14ac:dyDescent="0.3">
      <c r="A73" s="734" t="s">
        <v>2122</v>
      </c>
      <c r="B73" s="827">
        <f>B71*B72</f>
        <v>0.21891604675876727</v>
      </c>
      <c r="C73" s="827">
        <f t="shared" ref="C73:L73" si="11">C71*C72</f>
        <v>0.21486260603314952</v>
      </c>
      <c r="D73" s="827">
        <f t="shared" si="11"/>
        <v>0.25268200390475615</v>
      </c>
      <c r="E73" s="827">
        <f t="shared" si="11"/>
        <v>0.24165750765848981</v>
      </c>
      <c r="F73" s="827">
        <f t="shared" si="11"/>
        <v>0.19466394388706384</v>
      </c>
      <c r="G73" s="827">
        <f t="shared" si="11"/>
        <v>9.6766230560355465E-2</v>
      </c>
      <c r="H73" s="827">
        <f t="shared" si="11"/>
        <v>0.2181913499344692</v>
      </c>
      <c r="I73" s="827">
        <f t="shared" si="11"/>
        <v>0.27597886465248611</v>
      </c>
      <c r="J73" s="827">
        <f>J71*J72</f>
        <v>0.2912536327083084</v>
      </c>
      <c r="K73" s="827">
        <f>K71*K72</f>
        <v>0.25082263521342174</v>
      </c>
      <c r="L73" s="890">
        <f t="shared" si="11"/>
        <v>0.24543080939947781</v>
      </c>
      <c r="M73" s="827">
        <f t="shared" ref="M73" si="12">M71*M72</f>
        <v>0</v>
      </c>
      <c r="N73" s="827">
        <f t="shared" ref="N73" si="13">N71*N72</f>
        <v>0</v>
      </c>
    </row>
    <row r="74" spans="1:14" s="612" customFormat="1" ht="4.5" customHeight="1" x14ac:dyDescent="0.3">
      <c r="A74" s="734"/>
      <c r="B74" s="827"/>
      <c r="C74" s="827"/>
      <c r="D74" s="827"/>
      <c r="E74" s="827"/>
      <c r="F74" s="827"/>
      <c r="G74" s="827"/>
      <c r="H74" s="827"/>
      <c r="I74" s="827"/>
      <c r="J74" s="827"/>
      <c r="K74" s="827"/>
      <c r="L74" s="890"/>
      <c r="M74" s="827"/>
      <c r="N74" s="827"/>
    </row>
    <row r="75" spans="1:14" ht="4.5" customHeight="1" x14ac:dyDescent="0.3">
      <c r="A75" s="1155"/>
      <c r="B75" s="728"/>
      <c r="C75" s="728"/>
      <c r="D75" s="728"/>
      <c r="E75" s="728"/>
      <c r="F75" s="728"/>
      <c r="G75" s="728"/>
      <c r="H75" s="728"/>
      <c r="I75" s="728"/>
      <c r="J75" s="728"/>
      <c r="K75" s="728"/>
      <c r="L75" s="1518"/>
      <c r="M75" s="464"/>
      <c r="N75" s="464"/>
    </row>
    <row r="76" spans="1:14" s="612" customFormat="1" ht="4.5" customHeight="1" x14ac:dyDescent="0.3">
      <c r="A76" s="734"/>
      <c r="B76" s="827"/>
      <c r="C76" s="827"/>
      <c r="D76" s="827"/>
      <c r="E76" s="827"/>
      <c r="F76" s="827"/>
      <c r="G76" s="827"/>
      <c r="H76" s="827"/>
      <c r="I76" s="827"/>
      <c r="J76" s="827"/>
      <c r="K76" s="827"/>
      <c r="L76" s="890"/>
      <c r="M76" s="827"/>
      <c r="N76" s="827"/>
    </row>
    <row r="77" spans="1:14" x14ac:dyDescent="0.3">
      <c r="A77" s="214" t="s">
        <v>2118</v>
      </c>
      <c r="B77" s="464">
        <f>B48/AVERAGE(B27:C27)</f>
        <v>8.4687775429551637E-2</v>
      </c>
      <c r="C77" s="464">
        <f>C48/AVERAGE(C27:D27)</f>
        <v>8.2659970492540077E-2</v>
      </c>
      <c r="D77" s="464">
        <f t="shared" ref="D77:L77" si="14">D48/AVERAGE(D27:E27)</f>
        <v>8.6678383128295261E-2</v>
      </c>
      <c r="E77" s="464">
        <f t="shared" si="14"/>
        <v>8.9064079832363766E-2</v>
      </c>
      <c r="F77" s="464">
        <f t="shared" si="14"/>
        <v>7.9395024105516049E-2</v>
      </c>
      <c r="G77" s="464">
        <f t="shared" si="14"/>
        <v>3.6344043887147334E-2</v>
      </c>
      <c r="H77" s="464">
        <f t="shared" si="14"/>
        <v>8.1153135219678652E-2</v>
      </c>
      <c r="I77" s="464">
        <f t="shared" si="14"/>
        <v>9.7634854771784227E-2</v>
      </c>
      <c r="J77" s="464">
        <f t="shared" si="14"/>
        <v>0.10775142842696062</v>
      </c>
      <c r="K77" s="464">
        <f t="shared" si="14"/>
        <v>0.1014984275760005</v>
      </c>
      <c r="L77" s="347">
        <f t="shared" si="14"/>
        <v>9.943823852263188E-2</v>
      </c>
      <c r="N77" s="223"/>
    </row>
    <row r="78" spans="1:14" x14ac:dyDescent="0.3">
      <c r="A78" s="214" t="s">
        <v>2119</v>
      </c>
      <c r="B78" s="464">
        <f>B48/((AVERAGE((B27-B14),(C27-C14))))</f>
        <v>0.17253296777556812</v>
      </c>
      <c r="C78" s="464">
        <f t="shared" ref="C78:L78" si="15">C48/((AVERAGE((C27-C14),(D27-D14))))</f>
        <v>0.16682113067655235</v>
      </c>
      <c r="D78" s="464">
        <f t="shared" si="15"/>
        <v>0.21395106715252474</v>
      </c>
      <c r="E78" s="464">
        <f t="shared" si="15"/>
        <v>0.22925467712733857</v>
      </c>
      <c r="F78" s="464">
        <f t="shared" si="15"/>
        <v>0.17250560538116591</v>
      </c>
      <c r="G78" s="464">
        <f t="shared" si="15"/>
        <v>7.8841113551037761E-2</v>
      </c>
      <c r="H78" s="464">
        <f t="shared" si="15"/>
        <v>0.1787224048849225</v>
      </c>
      <c r="I78" s="464">
        <f t="shared" si="15"/>
        <v>0.22750785593425188</v>
      </c>
      <c r="J78" s="464">
        <f t="shared" si="15"/>
        <v>0.25100117785630155</v>
      </c>
      <c r="K78" s="464">
        <f t="shared" si="15"/>
        <v>0.22225222792330543</v>
      </c>
      <c r="L78" s="347">
        <f t="shared" si="15"/>
        <v>0.21597363438749037</v>
      </c>
      <c r="N78" s="223"/>
    </row>
    <row r="79" spans="1:14" s="612" customFormat="1" ht="4.5" customHeight="1" x14ac:dyDescent="0.3">
      <c r="A79" s="734"/>
      <c r="B79" s="827"/>
      <c r="C79" s="827"/>
      <c r="D79" s="827"/>
      <c r="E79" s="827"/>
      <c r="F79" s="827"/>
      <c r="G79" s="827"/>
      <c r="H79" s="827"/>
      <c r="I79" s="827"/>
      <c r="J79" s="827"/>
      <c r="K79" s="827"/>
      <c r="L79" s="890"/>
      <c r="M79" s="827"/>
      <c r="N79" s="827"/>
    </row>
    <row r="80" spans="1:14" ht="4.5" customHeight="1" x14ac:dyDescent="0.3">
      <c r="A80" s="1155"/>
      <c r="B80" s="728"/>
      <c r="C80" s="728"/>
      <c r="D80" s="728"/>
      <c r="E80" s="728"/>
      <c r="F80" s="728"/>
      <c r="G80" s="728"/>
      <c r="H80" s="728"/>
      <c r="I80" s="728"/>
      <c r="J80" s="728"/>
      <c r="K80" s="728"/>
      <c r="L80" s="1518"/>
      <c r="M80" s="464"/>
      <c r="N80" s="464"/>
    </row>
    <row r="81" spans="1:14" s="612" customFormat="1" ht="4.5" customHeight="1" x14ac:dyDescent="0.3">
      <c r="A81" s="734"/>
      <c r="B81" s="827"/>
      <c r="C81" s="827"/>
      <c r="D81" s="827"/>
      <c r="E81" s="827"/>
      <c r="F81" s="827"/>
      <c r="G81" s="827"/>
      <c r="H81" s="827"/>
      <c r="I81" s="827"/>
      <c r="J81" s="827"/>
      <c r="K81" s="827"/>
      <c r="L81" s="890"/>
      <c r="M81" s="827"/>
      <c r="N81" s="827"/>
    </row>
    <row r="82" spans="1:14" s="612" customFormat="1" x14ac:dyDescent="0.3">
      <c r="A82" s="734" t="s">
        <v>2009</v>
      </c>
      <c r="B82" s="1302">
        <f t="shared" ref="B82:L82" si="16">B25+B20-B8</f>
        <v>-531</v>
      </c>
      <c r="C82" s="1302">
        <f t="shared" si="16"/>
        <v>-605</v>
      </c>
      <c r="D82" s="1302">
        <f t="shared" si="16"/>
        <v>1942</v>
      </c>
      <c r="E82" s="1302">
        <f t="shared" si="16"/>
        <v>3584</v>
      </c>
      <c r="F82" s="1302">
        <f t="shared" si="16"/>
        <v>5753</v>
      </c>
      <c r="G82" s="1302">
        <f t="shared" si="16"/>
        <v>5064</v>
      </c>
      <c r="H82" s="1302">
        <f t="shared" si="16"/>
        <v>5748</v>
      </c>
      <c r="I82" s="1302">
        <f t="shared" si="16"/>
        <v>2277</v>
      </c>
      <c r="J82" s="1302">
        <f t="shared" si="16"/>
        <v>2939</v>
      </c>
      <c r="K82" s="1302">
        <f t="shared" si="16"/>
        <v>2653</v>
      </c>
      <c r="L82" s="1711">
        <f t="shared" si="16"/>
        <v>2209</v>
      </c>
      <c r="M82" s="827"/>
      <c r="N82" s="827"/>
    </row>
    <row r="83" spans="1:14" x14ac:dyDescent="0.3">
      <c r="A83" s="214" t="s">
        <v>1829</v>
      </c>
      <c r="B83" s="464">
        <f t="shared" ref="B83:M83" si="17">(B20+B25)/B27</f>
        <v>0.10098983155498099</v>
      </c>
      <c r="C83" s="464">
        <f t="shared" si="17"/>
        <v>0.1121251629726206</v>
      </c>
      <c r="D83" s="464">
        <f>(D20+D25)/D27</f>
        <v>0.14961875989066323</v>
      </c>
      <c r="E83" s="464">
        <f t="shared" si="17"/>
        <v>0.21325593437440385</v>
      </c>
      <c r="F83" s="464">
        <f t="shared" si="17"/>
        <v>0.26706814580031696</v>
      </c>
      <c r="G83" s="464">
        <f t="shared" si="17"/>
        <v>0.26525320817880471</v>
      </c>
      <c r="H83" s="464">
        <f t="shared" si="17"/>
        <v>0.26787744890997106</v>
      </c>
      <c r="I83" s="464">
        <f t="shared" si="17"/>
        <v>0.17096331175201099</v>
      </c>
      <c r="J83" s="464">
        <f t="shared" si="17"/>
        <v>0.19731454985692273</v>
      </c>
      <c r="K83" s="464">
        <f>(K20+K25)/K27</f>
        <v>0.21717441653304828</v>
      </c>
      <c r="L83" s="347">
        <f t="shared" si="17"/>
        <v>0.19929464571978198</v>
      </c>
      <c r="M83" s="227">
        <f t="shared" si="17"/>
        <v>0.22647766434748684</v>
      </c>
      <c r="N83" s="223"/>
    </row>
    <row r="84" spans="1:14" ht="16.2" thickBot="1" x14ac:dyDescent="0.35">
      <c r="A84" s="224" t="s">
        <v>1830</v>
      </c>
      <c r="B84" s="1108">
        <f t="shared" ref="B84:M84" si="18">B17/B27</f>
        <v>1.3716402647268797</v>
      </c>
      <c r="C84" s="1108">
        <f t="shared" si="18"/>
        <v>1.3841497485565282</v>
      </c>
      <c r="D84" s="1108">
        <f t="shared" si="18"/>
        <v>1.4680929773722178</v>
      </c>
      <c r="E84" s="1108">
        <f t="shared" si="18"/>
        <v>1.8181396996702368</v>
      </c>
      <c r="F84" s="1108">
        <f t="shared" si="18"/>
        <v>1.6211093502377178</v>
      </c>
      <c r="G84" s="1108">
        <f t="shared" si="18"/>
        <v>1.6015950638353738</v>
      </c>
      <c r="H84" s="1108">
        <f t="shared" si="18"/>
        <v>1.6211377887520713</v>
      </c>
      <c r="I84" s="1108">
        <f t="shared" si="18"/>
        <v>1.5037080635668041</v>
      </c>
      <c r="J84" s="1108">
        <f t="shared" si="18"/>
        <v>1.513185119964781</v>
      </c>
      <c r="K84" s="1108">
        <f t="shared" si="18"/>
        <v>1.556208800997684</v>
      </c>
      <c r="L84" s="1505">
        <f t="shared" si="18"/>
        <v>1.5156139788393717</v>
      </c>
      <c r="M84" s="1108">
        <f t="shared" si="18"/>
        <v>1.5129072111320632</v>
      </c>
      <c r="N84" s="219"/>
    </row>
    <row r="85" spans="1:14" x14ac:dyDescent="0.3">
      <c r="A85" s="2953" t="s">
        <v>2147</v>
      </c>
      <c r="B85" s="2953"/>
      <c r="C85" s="2953"/>
      <c r="D85" s="2953"/>
      <c r="E85" s="2953"/>
      <c r="F85" s="2953"/>
      <c r="G85" s="2953"/>
      <c r="H85" s="2953"/>
      <c r="I85" s="2953"/>
      <c r="J85" s="2953"/>
      <c r="K85" s="2953"/>
    </row>
    <row r="86" spans="1:14" x14ac:dyDescent="0.3">
      <c r="J86" s="226"/>
      <c r="K86" s="227"/>
    </row>
    <row r="87" spans="1:14" s="658" customFormat="1" hidden="1" outlineLevel="1" x14ac:dyDescent="0.3">
      <c r="A87" s="658" t="s">
        <v>2006</v>
      </c>
      <c r="B87" s="1704">
        <f t="shared" ref="B87:M87" si="19">B27-C27</f>
        <v>-1863</v>
      </c>
      <c r="C87" s="1704">
        <f t="shared" si="19"/>
        <v>5033</v>
      </c>
      <c r="D87" s="1704">
        <f t="shared" si="19"/>
        <v>11964</v>
      </c>
      <c r="E87" s="1704">
        <f t="shared" si="19"/>
        <v>5143</v>
      </c>
      <c r="F87" s="1704">
        <f t="shared" si="19"/>
        <v>1081</v>
      </c>
      <c r="G87" s="1704">
        <f t="shared" si="19"/>
        <v>-310</v>
      </c>
      <c r="H87" s="1704">
        <f t="shared" si="19"/>
        <v>5294</v>
      </c>
      <c r="I87" s="1704">
        <f t="shared" si="19"/>
        <v>2770</v>
      </c>
      <c r="J87" s="1704">
        <f t="shared" si="19"/>
        <v>5876</v>
      </c>
      <c r="K87" s="1704">
        <f t="shared" si="19"/>
        <v>1244</v>
      </c>
      <c r="L87" s="1704">
        <f t="shared" si="19"/>
        <v>216</v>
      </c>
      <c r="M87" s="1704">
        <f t="shared" si="19"/>
        <v>15379</v>
      </c>
    </row>
    <row r="88" spans="1:14" s="658" customFormat="1" hidden="1" outlineLevel="1" x14ac:dyDescent="0.3">
      <c r="A88" s="658" t="s">
        <v>2007</v>
      </c>
      <c r="B88" s="1704">
        <f t="shared" ref="B88:M88" si="20">B87-B48</f>
        <v>-6331</v>
      </c>
      <c r="C88" s="1704">
        <f t="shared" si="20"/>
        <v>803</v>
      </c>
      <c r="D88" s="1704">
        <f t="shared" si="20"/>
        <v>8265</v>
      </c>
      <c r="E88" s="1704">
        <f t="shared" si="20"/>
        <v>2104</v>
      </c>
      <c r="F88" s="1704">
        <f t="shared" si="20"/>
        <v>-1381</v>
      </c>
      <c r="G88" s="1704">
        <f t="shared" si="20"/>
        <v>-1423</v>
      </c>
      <c r="H88" s="1704">
        <f t="shared" si="20"/>
        <v>3011</v>
      </c>
      <c r="I88" s="1704">
        <f t="shared" si="20"/>
        <v>417</v>
      </c>
      <c r="J88" s="1704">
        <f t="shared" si="20"/>
        <v>3745</v>
      </c>
      <c r="K88" s="1704">
        <f t="shared" si="20"/>
        <v>-402</v>
      </c>
      <c r="L88" s="1704">
        <f t="shared" si="20"/>
        <v>-1324</v>
      </c>
      <c r="M88" s="1704">
        <f t="shared" si="20"/>
        <v>14035</v>
      </c>
    </row>
    <row r="89" spans="1:14" s="658" customFormat="1" hidden="1" outlineLevel="1" x14ac:dyDescent="0.3"/>
    <row r="90" spans="1:14" s="658" customFormat="1" hidden="1" outlineLevel="1" x14ac:dyDescent="0.3">
      <c r="A90" s="658" t="s">
        <v>2008</v>
      </c>
      <c r="B90" s="1705">
        <f t="shared" ref="B90:M90" si="21">B8/B42</f>
        <v>5.9013809128970508E-2</v>
      </c>
      <c r="C90" s="1705">
        <f t="shared" si="21"/>
        <v>6.9523879484946108E-2</v>
      </c>
      <c r="D90" s="1705">
        <f t="shared" si="21"/>
        <v>6.4116269293135547E-2</v>
      </c>
      <c r="E90" s="1705">
        <f t="shared" si="21"/>
        <v>5.8572493992210588E-2</v>
      </c>
      <c r="F90" s="1705">
        <f t="shared" si="21"/>
        <v>4.0129109743281786E-2</v>
      </c>
      <c r="G90" s="1705">
        <f t="shared" si="21"/>
        <v>4.8941863293602526E-2</v>
      </c>
      <c r="H90" s="1705">
        <f t="shared" si="21"/>
        <v>3.7776668330837079E-2</v>
      </c>
      <c r="I90" s="1705">
        <f t="shared" si="21"/>
        <v>3.5194585448392553E-2</v>
      </c>
      <c r="J90" s="1705">
        <f t="shared" si="21"/>
        <v>2.9301177364223319E-2</v>
      </c>
      <c r="K90" s="1705">
        <f t="shared" si="21"/>
        <v>2.140907540088707E-2</v>
      </c>
      <c r="L90" s="1705">
        <f t="shared" si="21"/>
        <v>2.0366091250962802E-2</v>
      </c>
      <c r="M90" s="1705">
        <f t="shared" si="21"/>
        <v>3.8933532673020618E-2</v>
      </c>
    </row>
    <row r="91" spans="1:14" s="658" customFormat="1" hidden="1" outlineLevel="1" x14ac:dyDescent="0.3">
      <c r="A91" s="658" t="s">
        <v>2015</v>
      </c>
      <c r="B91" s="1706">
        <f t="shared" ref="B91:M91" si="22">B25+B20</f>
        <v>5234</v>
      </c>
      <c r="C91" s="1706">
        <f t="shared" si="22"/>
        <v>6020</v>
      </c>
      <c r="D91" s="1706">
        <f t="shared" si="22"/>
        <v>7280</v>
      </c>
      <c r="E91" s="1706">
        <f t="shared" si="22"/>
        <v>7825</v>
      </c>
      <c r="F91" s="1706">
        <f t="shared" si="22"/>
        <v>8426</v>
      </c>
      <c r="G91" s="1706">
        <f t="shared" si="22"/>
        <v>8082</v>
      </c>
      <c r="H91" s="1706">
        <f t="shared" si="22"/>
        <v>8245</v>
      </c>
      <c r="I91" s="1706">
        <f t="shared" si="22"/>
        <v>4357</v>
      </c>
      <c r="J91" s="1706">
        <f t="shared" si="22"/>
        <v>4482</v>
      </c>
      <c r="K91" s="1706">
        <f t="shared" si="22"/>
        <v>3657</v>
      </c>
      <c r="L91" s="1706">
        <f t="shared" si="22"/>
        <v>3108</v>
      </c>
      <c r="M91" s="1706">
        <f t="shared" si="22"/>
        <v>3483</v>
      </c>
    </row>
    <row r="92" spans="1:14" s="658" customFormat="1" hidden="1" outlineLevel="1" x14ac:dyDescent="0.3">
      <c r="A92" s="658" t="s">
        <v>5</v>
      </c>
      <c r="B92" s="1707">
        <f t="shared" ref="B92:M92" si="23">B8</f>
        <v>5765</v>
      </c>
      <c r="C92" s="1707">
        <f t="shared" si="23"/>
        <v>6625</v>
      </c>
      <c r="D92" s="1707">
        <f t="shared" si="23"/>
        <v>5338</v>
      </c>
      <c r="E92" s="1707">
        <f t="shared" si="23"/>
        <v>4241</v>
      </c>
      <c r="F92" s="1707">
        <f t="shared" si="23"/>
        <v>2673</v>
      </c>
      <c r="G92" s="1707">
        <f t="shared" si="23"/>
        <v>3018</v>
      </c>
      <c r="H92" s="1707">
        <f t="shared" si="23"/>
        <v>2497</v>
      </c>
      <c r="I92" s="1707">
        <f t="shared" si="23"/>
        <v>2080</v>
      </c>
      <c r="J92" s="1707">
        <f t="shared" si="23"/>
        <v>1543</v>
      </c>
      <c r="K92" s="1707">
        <f t="shared" si="23"/>
        <v>1004</v>
      </c>
      <c r="L92" s="1707">
        <f t="shared" si="23"/>
        <v>899</v>
      </c>
      <c r="M92" s="1707">
        <f t="shared" si="23"/>
        <v>1250</v>
      </c>
    </row>
    <row r="93" spans="1:14" s="658" customFormat="1" hidden="1" outlineLevel="1" x14ac:dyDescent="0.3">
      <c r="A93" s="658" t="s">
        <v>2009</v>
      </c>
      <c r="B93" s="357">
        <f>B91-B92</f>
        <v>-531</v>
      </c>
      <c r="C93" s="357">
        <f t="shared" ref="C93:M93" si="24">C25+C20-C8</f>
        <v>-605</v>
      </c>
      <c r="D93" s="357">
        <f t="shared" si="24"/>
        <v>1942</v>
      </c>
      <c r="E93" s="357">
        <f t="shared" si="24"/>
        <v>3584</v>
      </c>
      <c r="F93" s="357">
        <f t="shared" si="24"/>
        <v>5753</v>
      </c>
      <c r="G93" s="357">
        <f t="shared" si="24"/>
        <v>5064</v>
      </c>
      <c r="H93" s="1704">
        <f t="shared" si="24"/>
        <v>5748</v>
      </c>
      <c r="I93" s="1704">
        <f t="shared" si="24"/>
        <v>2277</v>
      </c>
      <c r="J93" s="1704">
        <f t="shared" si="24"/>
        <v>2939</v>
      </c>
      <c r="K93" s="1704">
        <f t="shared" si="24"/>
        <v>2653</v>
      </c>
      <c r="L93" s="1704">
        <f t="shared" si="24"/>
        <v>2209</v>
      </c>
      <c r="M93" s="1704">
        <f t="shared" si="24"/>
        <v>2233</v>
      </c>
    </row>
    <row r="94" spans="1:14" s="658" customFormat="1" hidden="1" outlineLevel="1" x14ac:dyDescent="0.3"/>
    <row r="95" spans="1:14" s="658" customFormat="1" hidden="1" outlineLevel="1" x14ac:dyDescent="0.3">
      <c r="A95" s="658" t="s">
        <v>2010</v>
      </c>
      <c r="B95" s="1708">
        <f t="shared" ref="B95:M95" si="25">B46/C46-1</f>
        <v>7.4161969741917133E-3</v>
      </c>
      <c r="C95" s="1708">
        <f t="shared" si="25"/>
        <v>9.9657478388517351E-2</v>
      </c>
      <c r="D95" s="1708">
        <f t="shared" si="25"/>
        <v>0.21719277347627552</v>
      </c>
      <c r="E95" s="1708">
        <f t="shared" si="25"/>
        <v>0.17852129153018259</v>
      </c>
      <c r="F95" s="1708">
        <f t="shared" si="25"/>
        <v>1.0767735665694849</v>
      </c>
      <c r="G95" s="1708">
        <f t="shared" si="25"/>
        <v>-0.48844146159582402</v>
      </c>
      <c r="H95" s="1708">
        <f t="shared" si="25"/>
        <v>1.925513047884464E-2</v>
      </c>
      <c r="I95" s="1708">
        <f t="shared" si="25"/>
        <v>0.11939875212705608</v>
      </c>
      <c r="J95" s="1708">
        <f t="shared" si="25"/>
        <v>0.34426229508196715</v>
      </c>
      <c r="K95" s="1708">
        <f t="shared" si="25"/>
        <v>5.7234985892785195E-2</v>
      </c>
      <c r="L95" s="1708">
        <f t="shared" si="25"/>
        <v>0.15020862308762162</v>
      </c>
      <c r="M95" s="1708">
        <f t="shared" si="25"/>
        <v>0.11128284389489962</v>
      </c>
    </row>
    <row r="96" spans="1:14" s="658" customFormat="1" hidden="1" outlineLevel="1" x14ac:dyDescent="0.3">
      <c r="A96" s="658" t="s">
        <v>2011</v>
      </c>
      <c r="B96" s="1708">
        <f t="shared" ref="B96:M96" si="26">B48/C48-1</f>
        <v>5.6264775413711554E-2</v>
      </c>
      <c r="C96" s="1708">
        <f t="shared" si="26"/>
        <v>0.14355231143552305</v>
      </c>
      <c r="D96" s="1708">
        <f t="shared" si="26"/>
        <v>0.21717670286278379</v>
      </c>
      <c r="E96" s="1708">
        <f t="shared" si="26"/>
        <v>0.23436230706742478</v>
      </c>
      <c r="F96" s="1708">
        <f t="shared" si="26"/>
        <v>1.2120395327942499</v>
      </c>
      <c r="G96" s="1708">
        <f t="shared" si="26"/>
        <v>-0.51248357424441526</v>
      </c>
      <c r="H96" s="1708">
        <f t="shared" si="26"/>
        <v>-2.974925626859326E-2</v>
      </c>
      <c r="I96" s="1708">
        <f t="shared" si="26"/>
        <v>0.10417644298451423</v>
      </c>
      <c r="J96" s="1708">
        <f t="shared" si="26"/>
        <v>0.29465370595382745</v>
      </c>
      <c r="K96" s="1708">
        <f t="shared" si="26"/>
        <v>6.883116883116891E-2</v>
      </c>
      <c r="L96" s="1708">
        <f t="shared" si="26"/>
        <v>0.14583333333333326</v>
      </c>
      <c r="M96" s="1708">
        <f t="shared" si="26"/>
        <v>0.12186978297161932</v>
      </c>
    </row>
    <row r="97" spans="1:13" s="658" customFormat="1" hidden="1" outlineLevel="1" x14ac:dyDescent="0.3"/>
    <row r="98" spans="1:13" s="658" customFormat="1" hidden="1" outlineLevel="1" x14ac:dyDescent="0.3">
      <c r="A98" s="658" t="s">
        <v>2014</v>
      </c>
      <c r="B98" s="1704">
        <f t="shared" ref="B98:L98" si="27">B27-B14</f>
        <v>23720</v>
      </c>
      <c r="C98" s="1704">
        <f t="shared" si="27"/>
        <v>28073</v>
      </c>
      <c r="D98" s="1704">
        <f t="shared" si="27"/>
        <v>22640</v>
      </c>
      <c r="E98" s="1704">
        <f t="shared" si="27"/>
        <v>11938</v>
      </c>
      <c r="F98" s="1704">
        <f t="shared" si="27"/>
        <v>14574</v>
      </c>
      <c r="G98" s="1704">
        <f t="shared" si="27"/>
        <v>13970</v>
      </c>
      <c r="H98" s="1704">
        <f t="shared" si="27"/>
        <v>14264</v>
      </c>
      <c r="I98" s="1704">
        <f t="shared" si="27"/>
        <v>11284</v>
      </c>
      <c r="J98" s="1704">
        <f t="shared" si="27"/>
        <v>9401</v>
      </c>
      <c r="K98" s="1704">
        <f t="shared" si="27"/>
        <v>7579</v>
      </c>
      <c r="L98" s="1704">
        <f t="shared" si="27"/>
        <v>7233</v>
      </c>
    </row>
    <row r="99" spans="1:13" s="658" customFormat="1" hidden="1" outlineLevel="1" x14ac:dyDescent="0.3">
      <c r="A99" s="658" t="s">
        <v>2012</v>
      </c>
      <c r="B99" s="1704">
        <f>AVERAGE(B98:C98)</f>
        <v>25896.5</v>
      </c>
      <c r="C99" s="1704">
        <f t="shared" ref="C99:L99" si="28">AVERAGE(C98:D98)</f>
        <v>25356.5</v>
      </c>
      <c r="D99" s="1704">
        <f t="shared" si="28"/>
        <v>17289</v>
      </c>
      <c r="E99" s="1704">
        <f t="shared" si="28"/>
        <v>13256</v>
      </c>
      <c r="F99" s="1704">
        <f t="shared" si="28"/>
        <v>14272</v>
      </c>
      <c r="G99" s="1704">
        <f t="shared" si="28"/>
        <v>14117</v>
      </c>
      <c r="H99" s="1704">
        <f t="shared" si="28"/>
        <v>12774</v>
      </c>
      <c r="I99" s="1704">
        <f t="shared" si="28"/>
        <v>10342.5</v>
      </c>
      <c r="J99" s="1704">
        <f t="shared" si="28"/>
        <v>8490</v>
      </c>
      <c r="K99" s="1704">
        <f t="shared" si="28"/>
        <v>7406</v>
      </c>
      <c r="L99" s="1704">
        <f t="shared" si="28"/>
        <v>7233</v>
      </c>
      <c r="M99" s="1704"/>
    </row>
    <row r="100" spans="1:13" s="658" customFormat="1" hidden="1" outlineLevel="1" x14ac:dyDescent="0.3">
      <c r="A100" s="658" t="s">
        <v>2013</v>
      </c>
      <c r="B100" s="1708">
        <f>B99/C99-1</f>
        <v>2.1296314554453577E-2</v>
      </c>
      <c r="C100" s="1708">
        <f t="shared" ref="C100:K100" si="29">C99/D99-1</f>
        <v>0.46662617849499677</v>
      </c>
      <c r="D100" s="1708">
        <f t="shared" si="29"/>
        <v>0.30423958961979491</v>
      </c>
      <c r="E100" s="1708">
        <f t="shared" si="29"/>
        <v>-7.1188340807174844E-2</v>
      </c>
      <c r="F100" s="1708">
        <f t="shared" si="29"/>
        <v>1.0979669901537203E-2</v>
      </c>
      <c r="G100" s="1708">
        <f t="shared" si="29"/>
        <v>0.10513543134491932</v>
      </c>
      <c r="H100" s="1708">
        <f t="shared" si="29"/>
        <v>0.23509789702683093</v>
      </c>
      <c r="I100" s="1708">
        <f t="shared" si="29"/>
        <v>0.21819787985865724</v>
      </c>
      <c r="J100" s="1708">
        <f t="shared" si="29"/>
        <v>0.14636780988387788</v>
      </c>
      <c r="K100" s="1708">
        <f t="shared" si="29"/>
        <v>2.3918152910272328E-2</v>
      </c>
      <c r="L100" s="1708"/>
      <c r="M100" s="1708"/>
    </row>
    <row r="101" spans="1:13" hidden="1" outlineLevel="1" x14ac:dyDescent="0.3"/>
    <row r="102" spans="1:13" hidden="1" outlineLevel="1" x14ac:dyDescent="0.3">
      <c r="A102" s="211" t="s">
        <v>176</v>
      </c>
      <c r="B102" s="348">
        <f t="shared" ref="B102:K102" si="30">(B27+B25+B20-B14)/B98</f>
        <v>1.2206576728499157</v>
      </c>
      <c r="C102" s="348">
        <f t="shared" si="30"/>
        <v>1.2144409218822356</v>
      </c>
      <c r="D102" s="348">
        <f t="shared" si="30"/>
        <v>1.3215547703180213</v>
      </c>
      <c r="E102" s="348">
        <f t="shared" si="30"/>
        <v>1.6554699279611325</v>
      </c>
      <c r="F102" s="348">
        <f t="shared" si="30"/>
        <v>1.5781528749828462</v>
      </c>
      <c r="G102" s="348">
        <f t="shared" si="30"/>
        <v>1.5785254115962777</v>
      </c>
      <c r="H102" s="348">
        <f t="shared" si="30"/>
        <v>1.5780286034772855</v>
      </c>
      <c r="I102" s="348">
        <f t="shared" si="30"/>
        <v>1.3861219425735556</v>
      </c>
      <c r="J102" s="348">
        <f t="shared" si="30"/>
        <v>1.4767577917242847</v>
      </c>
      <c r="K102" s="348">
        <f t="shared" si="30"/>
        <v>1.4825174825174825</v>
      </c>
    </row>
    <row r="103" spans="1:13" collapsed="1" x14ac:dyDescent="0.3"/>
    <row r="105" spans="1:13" x14ac:dyDescent="0.3">
      <c r="B105" s="278"/>
      <c r="C105" s="278"/>
      <c r="D105" s="1043"/>
    </row>
    <row r="106" spans="1:13" x14ac:dyDescent="0.3">
      <c r="B106" s="278"/>
    </row>
  </sheetData>
  <mergeCells count="5">
    <mergeCell ref="J51:J57"/>
    <mergeCell ref="A32:L32"/>
    <mergeCell ref="A33:K33"/>
    <mergeCell ref="A64:K64"/>
    <mergeCell ref="A85:K85"/>
  </mergeCells>
  <pageMargins left="0.7" right="0.7" top="0.75" bottom="0.75" header="0.3" footer="0.3"/>
  <pageSetup orientation="portrait" r:id="rId1"/>
  <ignoredErrors>
    <ignoredError sqref="B12:M12 B77:C77 D77:L77" formulaRange="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7E5C4-49E7-4636-B87F-7CFFD0FA25B4}">
  <sheetPr codeName="Sheet76">
    <tabColor theme="4"/>
  </sheetPr>
  <dimension ref="A1:O82"/>
  <sheetViews>
    <sheetView showGridLines="0" zoomScale="85" zoomScaleNormal="85" workbookViewId="0">
      <pane xSplit="1" ySplit="5" topLeftCell="B6" activePane="bottomRight" state="frozen"/>
      <selection pane="topRight" activeCell="B1" sqref="B1"/>
      <selection pane="bottomLeft" activeCell="A4" sqref="A4"/>
      <selection pane="bottomRight" activeCell="R26" sqref="R26"/>
    </sheetView>
  </sheetViews>
  <sheetFormatPr defaultColWidth="8.6640625" defaultRowHeight="15.6" outlineLevelRow="1" x14ac:dyDescent="0.3"/>
  <cols>
    <col min="1" max="1" width="38" style="211" customWidth="1"/>
    <col min="2" max="8" width="8.109375" style="356" customWidth="1"/>
    <col min="9" max="9" width="8.6640625" style="356" bestFit="1" customWidth="1"/>
    <col min="10" max="12" width="8.6640625" style="211" bestFit="1" customWidth="1"/>
    <col min="13" max="16384" width="8.6640625" style="211"/>
  </cols>
  <sheetData>
    <row r="1" spans="1:15" s="976" customFormat="1" hidden="1" outlineLevel="1" x14ac:dyDescent="0.3">
      <c r="A1" s="976" t="s">
        <v>708</v>
      </c>
      <c r="B1" s="976">
        <v>2014</v>
      </c>
      <c r="C1" s="976">
        <v>2013</v>
      </c>
      <c r="D1" s="976">
        <v>2012</v>
      </c>
      <c r="E1" s="976">
        <v>2012</v>
      </c>
      <c r="F1" s="976">
        <v>2010</v>
      </c>
      <c r="G1" s="976">
        <v>2009</v>
      </c>
      <c r="H1" s="976">
        <v>2008</v>
      </c>
      <c r="I1" s="976">
        <v>2007</v>
      </c>
      <c r="J1" s="976">
        <v>2006</v>
      </c>
      <c r="K1" s="976">
        <v>2006</v>
      </c>
      <c r="L1" s="976">
        <v>2004</v>
      </c>
    </row>
    <row r="2" spans="1:15" collapsed="1" x14ac:dyDescent="0.3">
      <c r="A2" s="459" t="s">
        <v>1994</v>
      </c>
      <c r="B2" s="211"/>
      <c r="C2" s="211"/>
      <c r="D2" s="211"/>
      <c r="E2" s="211"/>
      <c r="F2" s="211"/>
      <c r="G2" s="211"/>
      <c r="H2" s="211"/>
      <c r="I2" s="211"/>
    </row>
    <row r="3" spans="1:15" x14ac:dyDescent="0.3">
      <c r="A3" s="152" t="s">
        <v>2137</v>
      </c>
      <c r="B3" s="211"/>
      <c r="C3" s="211"/>
      <c r="D3" s="211"/>
      <c r="E3" s="211"/>
      <c r="F3" s="211"/>
      <c r="G3" s="211"/>
      <c r="H3" s="211"/>
      <c r="I3" s="211"/>
    </row>
    <row r="4" spans="1:15" ht="6" customHeight="1" thickBot="1" x14ac:dyDescent="0.35">
      <c r="B4" s="211"/>
      <c r="C4" s="211"/>
      <c r="D4" s="211"/>
      <c r="E4" s="211"/>
      <c r="F4" s="211"/>
      <c r="G4" s="211"/>
      <c r="H4" s="211"/>
      <c r="I4" s="211"/>
    </row>
    <row r="5" spans="1:15" x14ac:dyDescent="0.3">
      <c r="A5" s="212" t="s">
        <v>1250</v>
      </c>
      <c r="B5" s="712">
        <v>2014</v>
      </c>
      <c r="C5" s="712">
        <v>2013</v>
      </c>
      <c r="D5" s="712">
        <v>2012</v>
      </c>
      <c r="E5" s="712">
        <v>2011</v>
      </c>
      <c r="F5" s="1337">
        <v>2010</v>
      </c>
      <c r="G5" s="712">
        <v>2009</v>
      </c>
      <c r="H5" s="712">
        <v>2008</v>
      </c>
      <c r="I5" s="712">
        <v>2007</v>
      </c>
      <c r="J5" s="712">
        <v>2006</v>
      </c>
      <c r="K5" s="712">
        <v>2005</v>
      </c>
      <c r="L5" s="713">
        <v>2004</v>
      </c>
    </row>
    <row r="6" spans="1:15" x14ac:dyDescent="0.3">
      <c r="A6" s="214" t="s">
        <v>456</v>
      </c>
      <c r="B6" s="1720">
        <v>296</v>
      </c>
      <c r="C6" s="1720">
        <v>324</v>
      </c>
      <c r="D6" s="1720">
        <v>410</v>
      </c>
      <c r="E6" s="1720">
        <v>440</v>
      </c>
      <c r="F6" s="2483"/>
      <c r="G6" s="1297">
        <v>278</v>
      </c>
      <c r="H6" s="1297">
        <v>330</v>
      </c>
      <c r="I6" s="1297">
        <v>272</v>
      </c>
      <c r="J6" s="1297">
        <v>274</v>
      </c>
      <c r="K6" s="1297">
        <v>200</v>
      </c>
      <c r="L6" s="1473">
        <v>264</v>
      </c>
    </row>
    <row r="7" spans="1:15" ht="18.600000000000001" x14ac:dyDescent="0.3">
      <c r="A7" s="734" t="s">
        <v>2145</v>
      </c>
      <c r="B7" s="2464"/>
      <c r="C7" s="2464"/>
      <c r="D7" s="2464"/>
      <c r="E7" s="2464"/>
      <c r="F7" s="2464"/>
      <c r="G7" s="2464"/>
      <c r="H7" s="2464"/>
      <c r="I7" s="2464"/>
      <c r="J7" s="922">
        <v>-5</v>
      </c>
      <c r="K7" s="922">
        <v>-104</v>
      </c>
      <c r="L7" s="923">
        <v>-44</v>
      </c>
    </row>
    <row r="8" spans="1:15" ht="18.600000000000001" x14ac:dyDescent="0.3">
      <c r="A8" s="734" t="s">
        <v>2148</v>
      </c>
      <c r="B8" s="2464"/>
      <c r="C8" s="2464"/>
      <c r="D8" s="2464"/>
      <c r="E8" s="2464"/>
      <c r="F8" s="2464"/>
      <c r="G8" s="922">
        <v>116</v>
      </c>
      <c r="H8" s="922">
        <v>23</v>
      </c>
      <c r="I8" s="922">
        <v>-60</v>
      </c>
      <c r="J8" s="922">
        <v>29</v>
      </c>
      <c r="K8" s="922">
        <v>11</v>
      </c>
      <c r="L8" s="923">
        <v>-57</v>
      </c>
    </row>
    <row r="9" spans="1:15" ht="18.600000000000001" x14ac:dyDescent="0.3">
      <c r="A9" s="734" t="s">
        <v>2123</v>
      </c>
      <c r="B9" s="2464"/>
      <c r="C9" s="2464"/>
      <c r="D9" s="2464"/>
      <c r="E9" s="2464"/>
      <c r="F9" s="2464"/>
      <c r="G9" s="2464"/>
      <c r="H9" s="2464"/>
      <c r="I9" s="2464"/>
      <c r="J9" s="922">
        <v>6</v>
      </c>
      <c r="K9" s="922">
        <v>-33</v>
      </c>
      <c r="L9" s="923">
        <v>30</v>
      </c>
      <c r="O9" s="211" t="s">
        <v>176</v>
      </c>
    </row>
    <row r="10" spans="1:15" x14ac:dyDescent="0.3">
      <c r="A10" s="734" t="s">
        <v>1031</v>
      </c>
      <c r="B10" s="1157">
        <v>122</v>
      </c>
      <c r="C10" s="1157">
        <v>80</v>
      </c>
      <c r="D10" s="1157">
        <v>35</v>
      </c>
      <c r="E10" s="1157">
        <v>25</v>
      </c>
      <c r="F10" s="2464"/>
      <c r="G10" s="2464"/>
      <c r="H10" s="2464"/>
      <c r="I10" s="2464"/>
      <c r="J10" s="2464"/>
      <c r="K10" s="2464"/>
      <c r="L10" s="923">
        <v>1</v>
      </c>
      <c r="N10" s="211" t="s">
        <v>176</v>
      </c>
    </row>
    <row r="11" spans="1:15" ht="11.25" customHeight="1" x14ac:dyDescent="0.3">
      <c r="A11" s="734"/>
      <c r="B11" s="1157"/>
      <c r="C11" s="1157"/>
      <c r="D11" s="1157"/>
      <c r="E11" s="1157"/>
      <c r="F11" s="1157"/>
      <c r="G11" s="1157"/>
      <c r="H11" s="1157"/>
      <c r="I11" s="1157"/>
      <c r="J11" s="1157"/>
      <c r="K11" s="1157"/>
      <c r="L11" s="923"/>
    </row>
    <row r="12" spans="1:15" x14ac:dyDescent="0.3">
      <c r="A12" s="1723" t="s">
        <v>1032</v>
      </c>
      <c r="B12" s="1157"/>
      <c r="C12" s="1157"/>
      <c r="D12" s="1157"/>
      <c r="E12" s="1157"/>
      <c r="F12" s="1157"/>
      <c r="G12" s="1157"/>
      <c r="H12" s="1157"/>
      <c r="I12" s="1157"/>
      <c r="J12" s="1157"/>
      <c r="K12" s="1157"/>
      <c r="L12" s="923"/>
    </row>
    <row r="13" spans="1:15" s="320" customFormat="1" ht="18.600000000000001" x14ac:dyDescent="0.3">
      <c r="A13" s="1723" t="s">
        <v>2139</v>
      </c>
      <c r="B13" s="1721">
        <v>36</v>
      </c>
      <c r="C13" s="1721">
        <v>40</v>
      </c>
      <c r="D13" s="1721">
        <v>42</v>
      </c>
      <c r="E13" s="1721">
        <v>29</v>
      </c>
      <c r="F13" s="2484"/>
      <c r="G13" s="2484"/>
      <c r="H13" s="2484"/>
      <c r="I13" s="2484"/>
      <c r="J13" s="2484"/>
      <c r="K13" s="2484"/>
      <c r="L13" s="2485"/>
    </row>
    <row r="14" spans="1:15" s="320" customFormat="1" ht="18.600000000000001" x14ac:dyDescent="0.3">
      <c r="A14" s="1723" t="s">
        <v>2140</v>
      </c>
      <c r="B14" s="1721">
        <v>147</v>
      </c>
      <c r="C14" s="1721">
        <v>125</v>
      </c>
      <c r="D14" s="1721">
        <v>106</v>
      </c>
      <c r="E14" s="1721">
        <v>126</v>
      </c>
      <c r="F14" s="2484"/>
      <c r="G14" s="2484"/>
      <c r="H14" s="2484"/>
      <c r="I14" s="2484"/>
      <c r="J14" s="2484"/>
      <c r="K14" s="2484"/>
      <c r="L14" s="2485"/>
    </row>
    <row r="15" spans="1:15" s="320" customFormat="1" ht="18.600000000000001" x14ac:dyDescent="0.3">
      <c r="A15" s="734" t="s">
        <v>2141</v>
      </c>
      <c r="B15" s="1721">
        <v>238</v>
      </c>
      <c r="C15" s="2484"/>
      <c r="D15" s="2484"/>
      <c r="E15" s="2484"/>
      <c r="F15" s="2484"/>
      <c r="G15" s="2484"/>
      <c r="H15" s="2484"/>
      <c r="I15" s="2484"/>
      <c r="J15" s="2484"/>
      <c r="K15" s="2484"/>
      <c r="L15" s="2485"/>
    </row>
    <row r="16" spans="1:15" s="320" customFormat="1" ht="18.600000000000001" x14ac:dyDescent="0.3">
      <c r="A16" s="734" t="s">
        <v>2142</v>
      </c>
      <c r="B16" s="1721">
        <v>442</v>
      </c>
      <c r="C16" s="2484"/>
      <c r="D16" s="2484"/>
      <c r="E16" s="2484"/>
      <c r="F16" s="2484"/>
      <c r="G16" s="2484"/>
      <c r="H16" s="2484"/>
      <c r="I16" s="2484"/>
      <c r="J16" s="2484"/>
      <c r="K16" s="2484"/>
      <c r="L16" s="2485"/>
    </row>
    <row r="17" spans="1:13" ht="18.600000000000001" x14ac:dyDescent="0.3">
      <c r="A17" s="734" t="s">
        <v>2150</v>
      </c>
      <c r="B17" s="1490">
        <f>SUM(B13:B16)</f>
        <v>863</v>
      </c>
      <c r="C17" s="1490">
        <f>SUM(C13:C16)</f>
        <v>165</v>
      </c>
      <c r="D17" s="1490">
        <f t="shared" ref="D17" si="0">SUM(D13:D16)</f>
        <v>148</v>
      </c>
      <c r="E17" s="1490">
        <f>SUM(E13:E16)</f>
        <v>155</v>
      </c>
      <c r="F17" s="1722">
        <v>53</v>
      </c>
      <c r="G17" s="1490">
        <v>14</v>
      </c>
      <c r="H17" s="1490">
        <v>87</v>
      </c>
      <c r="I17" s="1490">
        <v>111</v>
      </c>
      <c r="J17" s="1490">
        <v>182</v>
      </c>
      <c r="K17" s="1490">
        <v>173</v>
      </c>
      <c r="L17" s="1491">
        <v>92</v>
      </c>
    </row>
    <row r="18" spans="1:13" ht="11.25" customHeight="1" x14ac:dyDescent="0.3">
      <c r="A18" s="734"/>
      <c r="B18" s="922"/>
      <c r="C18" s="922"/>
      <c r="D18" s="922"/>
      <c r="E18" s="922"/>
      <c r="F18" s="1157"/>
      <c r="G18" s="922"/>
      <c r="H18" s="922"/>
      <c r="I18" s="922"/>
      <c r="J18" s="922"/>
      <c r="K18" s="922"/>
      <c r="L18" s="923"/>
    </row>
    <row r="19" spans="1:13" x14ac:dyDescent="0.3">
      <c r="A19" s="734" t="s">
        <v>1088</v>
      </c>
      <c r="B19" s="922">
        <v>558</v>
      </c>
      <c r="C19" s="922">
        <v>416</v>
      </c>
      <c r="D19" s="922">
        <v>255</v>
      </c>
      <c r="E19" s="922">
        <v>154</v>
      </c>
      <c r="F19" s="1157">
        <v>176</v>
      </c>
      <c r="G19" s="922">
        <v>187</v>
      </c>
      <c r="H19" s="922">
        <v>206</v>
      </c>
      <c r="I19" s="922">
        <v>526</v>
      </c>
      <c r="J19" s="922">
        <v>513</v>
      </c>
      <c r="K19" s="922">
        <v>416</v>
      </c>
      <c r="L19" s="923">
        <v>220</v>
      </c>
    </row>
    <row r="20" spans="1:13" ht="18.600000000000001" x14ac:dyDescent="0.3">
      <c r="A20" s="734" t="s">
        <v>2124</v>
      </c>
      <c r="B20" s="1157"/>
      <c r="C20" s="1157"/>
      <c r="D20" s="1157"/>
      <c r="E20" s="1157"/>
      <c r="F20" s="1157">
        <v>460</v>
      </c>
      <c r="G20" s="922">
        <v>186</v>
      </c>
      <c r="H20" s="922">
        <v>141</v>
      </c>
      <c r="I20" s="922">
        <v>157</v>
      </c>
      <c r="J20" s="922">
        <v>158</v>
      </c>
      <c r="K20" s="922">
        <v>159</v>
      </c>
      <c r="L20" s="923">
        <v>78</v>
      </c>
    </row>
    <row r="21" spans="1:13" ht="16.2" thickBot="1" x14ac:dyDescent="0.35">
      <c r="A21" s="214" t="s">
        <v>2127</v>
      </c>
      <c r="B21" s="1276">
        <f>SUM(B6:B10,B17:B20)</f>
        <v>1839</v>
      </c>
      <c r="C21" s="1276">
        <f>SUM(C6:C10,C17:C20)</f>
        <v>985</v>
      </c>
      <c r="D21" s="1276">
        <f>SUM(D6:D10,D17:D20)</f>
        <v>848</v>
      </c>
      <c r="E21" s="1276">
        <f>SUM(E6:E10,E17:E20)</f>
        <v>774</v>
      </c>
      <c r="F21" s="1276">
        <f t="shared" ref="F21:L21" si="1">SUM(F6:F20)</f>
        <v>689</v>
      </c>
      <c r="G21" s="1276">
        <f t="shared" si="1"/>
        <v>781</v>
      </c>
      <c r="H21" s="1276">
        <f t="shared" si="1"/>
        <v>787</v>
      </c>
      <c r="I21" s="1276">
        <f t="shared" si="1"/>
        <v>1006</v>
      </c>
      <c r="J21" s="1276">
        <f t="shared" si="1"/>
        <v>1157</v>
      </c>
      <c r="K21" s="1276">
        <f t="shared" si="1"/>
        <v>822</v>
      </c>
      <c r="L21" s="1475">
        <f t="shared" si="1"/>
        <v>584</v>
      </c>
    </row>
    <row r="22" spans="1:13" ht="4.5" customHeight="1" thickTop="1" x14ac:dyDescent="0.3">
      <c r="A22" s="214"/>
      <c r="B22" s="397"/>
      <c r="C22" s="397"/>
      <c r="D22" s="397"/>
      <c r="E22" s="397"/>
      <c r="F22" s="397"/>
      <c r="G22" s="397"/>
      <c r="H22" s="397"/>
      <c r="I22" s="220"/>
      <c r="J22" s="220"/>
      <c r="K22" s="220"/>
      <c r="L22" s="223"/>
    </row>
    <row r="23" spans="1:13" ht="4.5" customHeight="1" x14ac:dyDescent="0.3">
      <c r="A23" s="1155"/>
      <c r="B23" s="684"/>
      <c r="C23" s="684"/>
      <c r="D23" s="684"/>
      <c r="E23" s="684"/>
      <c r="F23" s="684"/>
      <c r="G23" s="684"/>
      <c r="H23" s="684"/>
      <c r="I23" s="684"/>
      <c r="J23" s="684"/>
      <c r="K23" s="684"/>
      <c r="L23" s="1279"/>
    </row>
    <row r="24" spans="1:13" s="1" customFormat="1" ht="34.5" customHeight="1" x14ac:dyDescent="0.25">
      <c r="A24" s="2799" t="s">
        <v>2027</v>
      </c>
      <c r="B24" s="2800"/>
      <c r="C24" s="2800"/>
      <c r="D24" s="2800"/>
      <c r="E24" s="2800"/>
      <c r="F24" s="2800"/>
      <c r="G24" s="2800"/>
      <c r="H24" s="2800"/>
      <c r="I24" s="2800"/>
      <c r="J24" s="2800"/>
      <c r="K24" s="2800"/>
      <c r="L24" s="2801"/>
    </row>
    <row r="25" spans="1:13" s="1" customFormat="1" ht="6" customHeight="1" x14ac:dyDescent="0.25">
      <c r="A25" s="1639"/>
      <c r="B25" s="1640"/>
      <c r="C25" s="1640"/>
      <c r="D25" s="1640"/>
      <c r="E25" s="1640"/>
      <c r="F25" s="1640"/>
      <c r="G25" s="1640"/>
      <c r="H25" s="1640"/>
      <c r="I25" s="1640"/>
      <c r="J25" s="1640"/>
      <c r="K25" s="1640"/>
      <c r="L25" s="1641"/>
    </row>
    <row r="26" spans="1:13" s="1" customFormat="1" ht="13.8" x14ac:dyDescent="0.25">
      <c r="A26" s="1644" t="s">
        <v>1398</v>
      </c>
      <c r="B26" s="1645"/>
      <c r="C26" s="1645"/>
      <c r="D26" s="1645"/>
      <c r="E26" s="1645"/>
      <c r="F26" s="1645"/>
      <c r="G26" s="1645"/>
      <c r="H26" s="1645"/>
      <c r="I26" s="1645"/>
      <c r="J26" s="1645"/>
      <c r="K26" s="1645"/>
      <c r="L26" s="1646"/>
    </row>
    <row r="27" spans="1:13" s="1" customFormat="1" ht="13.8" x14ac:dyDescent="0.25">
      <c r="A27" s="1726" t="s">
        <v>2146</v>
      </c>
      <c r="B27" s="1724"/>
      <c r="C27" s="1724"/>
      <c r="D27" s="1724"/>
      <c r="E27" s="1724"/>
      <c r="F27" s="1724"/>
      <c r="G27" s="1724"/>
      <c r="H27" s="1724"/>
      <c r="I27" s="1724"/>
      <c r="J27" s="1724"/>
      <c r="K27" s="1724"/>
      <c r="L27" s="1725"/>
    </row>
    <row r="28" spans="1:13" s="1" customFormat="1" ht="13.8" x14ac:dyDescent="0.25">
      <c r="A28" s="1726" t="s">
        <v>2149</v>
      </c>
      <c r="B28" s="1724"/>
      <c r="C28" s="1724"/>
      <c r="D28" s="1724"/>
      <c r="E28" s="1724"/>
      <c r="F28" s="1724"/>
      <c r="G28" s="1724"/>
      <c r="H28" s="1724"/>
      <c r="I28" s="1724"/>
      <c r="J28" s="1724"/>
      <c r="K28" s="1724"/>
      <c r="L28" s="1725"/>
    </row>
    <row r="29" spans="1:13" s="1" customFormat="1" ht="13.8" x14ac:dyDescent="0.25">
      <c r="A29" s="1727" t="s">
        <v>2138</v>
      </c>
      <c r="B29" s="1724"/>
      <c r="C29" s="1724"/>
      <c r="D29" s="1724"/>
      <c r="E29" s="1724"/>
      <c r="F29" s="1724"/>
      <c r="G29" s="1724"/>
      <c r="H29" s="1724"/>
      <c r="I29" s="1724"/>
      <c r="J29" s="1724"/>
      <c r="K29" s="1724"/>
      <c r="L29" s="1725"/>
    </row>
    <row r="30" spans="1:13" s="1" customFormat="1" ht="30" customHeight="1" x14ac:dyDescent="0.25">
      <c r="A30" s="2943" t="s">
        <v>2144</v>
      </c>
      <c r="B30" s="2954"/>
      <c r="C30" s="2954"/>
      <c r="D30" s="2954"/>
      <c r="E30" s="2954"/>
      <c r="F30" s="2954"/>
      <c r="G30" s="2954"/>
      <c r="H30" s="2954"/>
      <c r="I30" s="2954"/>
      <c r="J30" s="2954"/>
      <c r="K30" s="2954"/>
      <c r="L30" s="2945"/>
      <c r="M30" s="1712"/>
    </row>
    <row r="31" spans="1:13" s="1" customFormat="1" ht="14.4" thickBot="1" x14ac:dyDescent="0.3">
      <c r="A31" s="1728" t="s">
        <v>2143</v>
      </c>
      <c r="B31" s="1729"/>
      <c r="C31" s="1729"/>
      <c r="D31" s="1729"/>
      <c r="E31" s="1729"/>
      <c r="F31" s="1729"/>
      <c r="G31" s="1729"/>
      <c r="H31" s="1729"/>
      <c r="I31" s="1729"/>
      <c r="J31" s="1729"/>
      <c r="K31" s="1729"/>
      <c r="L31" s="1730"/>
    </row>
    <row r="32" spans="1:13" s="1" customFormat="1" ht="13.8" x14ac:dyDescent="0.25">
      <c r="A32" s="12" t="s">
        <v>2147</v>
      </c>
      <c r="B32" s="1649"/>
      <c r="C32" s="1649"/>
      <c r="D32" s="1649"/>
      <c r="E32" s="1649"/>
      <c r="F32" s="1649"/>
      <c r="G32" s="1649"/>
      <c r="H32" s="1649"/>
      <c r="I32" s="1649"/>
      <c r="J32" s="1649"/>
      <c r="K32" s="1649"/>
      <c r="L32" s="1649"/>
      <c r="M32" s="1649"/>
    </row>
    <row r="33" spans="1:13" ht="34.5" customHeight="1" x14ac:dyDescent="0.3">
      <c r="B33" s="1647"/>
      <c r="C33" s="1647"/>
      <c r="D33" s="1647"/>
      <c r="E33" s="1647"/>
      <c r="F33" s="1647"/>
      <c r="G33" s="1647"/>
      <c r="H33" s="1647"/>
      <c r="I33" s="1647"/>
      <c r="J33" s="1647"/>
      <c r="K33" s="1647"/>
      <c r="L33" s="1647"/>
      <c r="M33" s="1647"/>
    </row>
    <row r="34" spans="1:13" ht="34.5" customHeight="1" x14ac:dyDescent="0.3">
      <c r="B34" s="1647"/>
      <c r="C34" s="1647"/>
      <c r="D34" s="1647"/>
      <c r="E34" s="1647"/>
      <c r="F34" s="1647"/>
      <c r="G34" s="1647"/>
      <c r="H34" s="1647"/>
      <c r="I34" s="1647"/>
      <c r="J34" s="1647"/>
      <c r="K34" s="1647"/>
      <c r="L34" s="1647"/>
      <c r="M34" s="1647"/>
    </row>
    <row r="35" spans="1:13" ht="34.5" customHeight="1" x14ac:dyDescent="0.3">
      <c r="B35" s="1647"/>
      <c r="C35" s="1647"/>
      <c r="D35" s="1647"/>
      <c r="E35" s="1647"/>
      <c r="F35" s="1647"/>
      <c r="G35" s="1647"/>
      <c r="H35" s="1647"/>
      <c r="I35" s="1647"/>
      <c r="J35" s="1647"/>
      <c r="K35" s="1647"/>
      <c r="L35" s="1647"/>
      <c r="M35" s="1647"/>
    </row>
    <row r="36" spans="1:13" ht="31.2" outlineLevel="1" x14ac:dyDescent="0.3">
      <c r="A36" s="1497" t="s">
        <v>1085</v>
      </c>
      <c r="B36" s="1713"/>
      <c r="C36" s="1713"/>
      <c r="D36" s="1713"/>
      <c r="E36" s="1713"/>
      <c r="F36" s="1713"/>
      <c r="G36" s="1713">
        <v>116</v>
      </c>
      <c r="H36" s="1713">
        <v>92</v>
      </c>
      <c r="I36" s="1714">
        <v>85</v>
      </c>
      <c r="J36" s="1715"/>
      <c r="K36" s="1715"/>
      <c r="L36" s="1715"/>
    </row>
    <row r="37" spans="1:13" x14ac:dyDescent="0.3">
      <c r="B37" s="612"/>
      <c r="C37" s="612"/>
      <c r="D37" s="612"/>
      <c r="E37" s="612"/>
      <c r="F37" s="612"/>
      <c r="G37" s="612"/>
      <c r="H37" s="612"/>
      <c r="I37" s="211"/>
    </row>
    <row r="38" spans="1:13" x14ac:dyDescent="0.3">
      <c r="A38" s="320" t="s">
        <v>1037</v>
      </c>
      <c r="B38" s="1716">
        <f t="shared" ref="B38:J38" si="2">B5</f>
        <v>2014</v>
      </c>
      <c r="C38" s="1716">
        <f t="shared" si="2"/>
        <v>2013</v>
      </c>
      <c r="D38" s="1716">
        <f t="shared" si="2"/>
        <v>2012</v>
      </c>
      <c r="E38" s="1716">
        <f t="shared" si="2"/>
        <v>2011</v>
      </c>
      <c r="F38" s="1716">
        <f t="shared" si="2"/>
        <v>2010</v>
      </c>
      <c r="G38" s="1716">
        <f t="shared" si="2"/>
        <v>2009</v>
      </c>
      <c r="H38" s="1716">
        <f t="shared" si="2"/>
        <v>2008</v>
      </c>
      <c r="I38" s="1716">
        <f t="shared" si="2"/>
        <v>2007</v>
      </c>
      <c r="J38" s="286">
        <f t="shared" si="2"/>
        <v>2006</v>
      </c>
      <c r="K38" s="286">
        <f t="shared" ref="K38" si="3">K5</f>
        <v>2005</v>
      </c>
      <c r="L38" s="286">
        <f>L5</f>
        <v>2004</v>
      </c>
    </row>
    <row r="39" spans="1:13" x14ac:dyDescent="0.3">
      <c r="A39" s="211" t="s">
        <v>1027</v>
      </c>
      <c r="B39" s="1717"/>
      <c r="C39" s="1717"/>
      <c r="D39" s="1717"/>
      <c r="E39" s="1717"/>
      <c r="F39" s="1717"/>
      <c r="G39" s="1717"/>
      <c r="H39" s="1717"/>
      <c r="I39" s="1717"/>
      <c r="J39" s="252">
        <v>600</v>
      </c>
      <c r="K39" s="252">
        <v>1061</v>
      </c>
      <c r="L39" s="252">
        <v>5751</v>
      </c>
    </row>
    <row r="40" spans="1:13" ht="18.600000000000001" x14ac:dyDescent="0.3">
      <c r="A40" s="211" t="s">
        <v>2125</v>
      </c>
      <c r="B40" s="646"/>
      <c r="C40" s="646"/>
      <c r="D40" s="646"/>
      <c r="E40" s="646"/>
      <c r="F40" s="646"/>
      <c r="G40" s="646"/>
      <c r="H40" s="646"/>
      <c r="I40" s="646"/>
      <c r="J40" s="230">
        <v>1204</v>
      </c>
      <c r="K40" s="230">
        <v>2617</v>
      </c>
      <c r="L40" s="230">
        <v>5437</v>
      </c>
    </row>
    <row r="41" spans="1:13" x14ac:dyDescent="0.3">
      <c r="A41" s="211" t="s">
        <v>1029</v>
      </c>
      <c r="B41" s="646"/>
      <c r="C41" s="646"/>
      <c r="D41" s="646"/>
      <c r="E41" s="646"/>
      <c r="F41" s="646"/>
      <c r="G41" s="646"/>
      <c r="H41" s="646"/>
      <c r="I41" s="646"/>
      <c r="J41" s="230">
        <v>2459</v>
      </c>
      <c r="K41" s="230">
        <v>2461</v>
      </c>
      <c r="L41" s="230">
        <v>2467</v>
      </c>
    </row>
    <row r="42" spans="1:13" x14ac:dyDescent="0.3">
      <c r="A42" s="211" t="s">
        <v>1030</v>
      </c>
      <c r="B42" s="1718"/>
      <c r="C42" s="1718"/>
      <c r="D42" s="1718"/>
      <c r="E42" s="1718"/>
      <c r="F42" s="1718"/>
      <c r="G42" s="1718"/>
      <c r="H42" s="1718"/>
      <c r="I42" s="1718"/>
      <c r="J42" s="1568" t="s">
        <v>1039</v>
      </c>
      <c r="K42" s="1568" t="s">
        <v>1039</v>
      </c>
      <c r="L42" s="1568" t="s">
        <v>1039</v>
      </c>
    </row>
    <row r="43" spans="1:13" x14ac:dyDescent="0.3">
      <c r="A43" s="211" t="s">
        <v>1031</v>
      </c>
      <c r="B43" s="646"/>
      <c r="C43" s="646"/>
      <c r="D43" s="646"/>
      <c r="E43" s="646"/>
      <c r="F43" s="646"/>
      <c r="G43" s="646"/>
      <c r="H43" s="646"/>
      <c r="I43" s="646"/>
      <c r="J43" s="231"/>
      <c r="K43" s="231"/>
      <c r="L43" s="230">
        <v>0</v>
      </c>
    </row>
    <row r="44" spans="1:13" x14ac:dyDescent="0.3">
      <c r="A44" s="211" t="s">
        <v>1032</v>
      </c>
      <c r="B44" s="646"/>
      <c r="C44" s="646"/>
      <c r="D44" s="646"/>
      <c r="E44" s="646"/>
      <c r="F44" s="646"/>
      <c r="G44" s="646"/>
      <c r="H44" s="646"/>
      <c r="I44" s="646"/>
      <c r="J44" s="230">
        <v>261</v>
      </c>
      <c r="K44" s="230">
        <v>370</v>
      </c>
      <c r="L44" s="230">
        <v>391</v>
      </c>
    </row>
    <row r="45" spans="1:13" x14ac:dyDescent="0.3">
      <c r="A45" s="211" t="s">
        <v>1088</v>
      </c>
      <c r="B45" s="646"/>
      <c r="C45" s="646"/>
      <c r="D45" s="646"/>
      <c r="E45" s="646"/>
      <c r="F45" s="646"/>
      <c r="G45" s="646"/>
      <c r="H45" s="646"/>
      <c r="I45" s="646"/>
      <c r="J45" s="230">
        <v>10498</v>
      </c>
      <c r="K45" s="230">
        <v>9299</v>
      </c>
      <c r="L45" s="230">
        <v>3636</v>
      </c>
    </row>
    <row r="46" spans="1:13" x14ac:dyDescent="0.3">
      <c r="A46" s="211" t="s">
        <v>15</v>
      </c>
      <c r="B46" s="1718"/>
      <c r="C46" s="1718"/>
      <c r="D46" s="1718"/>
      <c r="E46" s="1718"/>
      <c r="F46" s="1718"/>
      <c r="G46" s="1718"/>
      <c r="H46" s="1718"/>
      <c r="I46" s="1718"/>
      <c r="J46" s="1568" t="s">
        <v>1039</v>
      </c>
      <c r="K46" s="1568" t="s">
        <v>1039</v>
      </c>
      <c r="L46" s="1568" t="s">
        <v>1039</v>
      </c>
    </row>
    <row r="47" spans="1:13" x14ac:dyDescent="0.3">
      <c r="B47" s="612"/>
      <c r="C47" s="612"/>
      <c r="D47" s="612"/>
      <c r="E47" s="612"/>
      <c r="F47" s="612"/>
      <c r="G47" s="612"/>
      <c r="H47" s="612"/>
      <c r="I47" s="612"/>
    </row>
    <row r="48" spans="1:13" x14ac:dyDescent="0.3">
      <c r="B48" s="612"/>
      <c r="C48" s="612"/>
      <c r="D48" s="612"/>
      <c r="E48" s="612"/>
      <c r="F48" s="612"/>
      <c r="G48" s="612"/>
      <c r="H48" s="612"/>
      <c r="I48" s="612"/>
    </row>
    <row r="49" spans="1:9" x14ac:dyDescent="0.3">
      <c r="A49" s="211" t="s">
        <v>1086</v>
      </c>
      <c r="B49" s="612"/>
      <c r="C49" s="612"/>
      <c r="D49" s="612"/>
      <c r="E49" s="612"/>
      <c r="F49" s="612"/>
      <c r="G49" s="612"/>
      <c r="H49" s="612"/>
      <c r="I49" s="612"/>
    </row>
    <row r="50" spans="1:9" x14ac:dyDescent="0.3">
      <c r="B50" s="612"/>
      <c r="C50" s="612"/>
      <c r="D50" s="612"/>
      <c r="E50" s="612"/>
      <c r="F50" s="612"/>
      <c r="G50" s="612"/>
      <c r="H50" s="612"/>
      <c r="I50" s="612"/>
    </row>
    <row r="51" spans="1:9" x14ac:dyDescent="0.3">
      <c r="B51" s="612"/>
      <c r="C51" s="612"/>
      <c r="D51" s="612"/>
      <c r="E51" s="612"/>
      <c r="F51" s="612"/>
      <c r="G51" s="612"/>
      <c r="H51" s="612"/>
      <c r="I51" s="612"/>
    </row>
    <row r="52" spans="1:9" x14ac:dyDescent="0.3">
      <c r="B52" s="612"/>
      <c r="C52" s="612"/>
      <c r="D52" s="612"/>
      <c r="E52" s="612"/>
      <c r="F52" s="612"/>
      <c r="G52" s="612"/>
      <c r="H52" s="612"/>
      <c r="I52" s="612"/>
    </row>
    <row r="53" spans="1:9" x14ac:dyDescent="0.3">
      <c r="B53" s="612"/>
      <c r="C53" s="612"/>
      <c r="D53" s="612"/>
      <c r="E53" s="612"/>
      <c r="F53" s="612"/>
      <c r="G53" s="612"/>
      <c r="H53" s="612"/>
      <c r="I53" s="612"/>
    </row>
    <row r="54" spans="1:9" x14ac:dyDescent="0.3">
      <c r="A54" s="211" t="s">
        <v>1087</v>
      </c>
      <c r="B54" s="612"/>
      <c r="C54" s="612"/>
      <c r="D54" s="612"/>
      <c r="E54" s="612"/>
      <c r="F54" s="612"/>
      <c r="G54" s="612"/>
      <c r="H54" s="612"/>
      <c r="I54" s="612"/>
    </row>
    <row r="55" spans="1:9" x14ac:dyDescent="0.3">
      <c r="B55" s="612"/>
      <c r="C55" s="612"/>
      <c r="D55" s="612"/>
      <c r="E55" s="612"/>
      <c r="F55" s="612"/>
      <c r="G55" s="612"/>
      <c r="H55" s="612"/>
      <c r="I55" s="612"/>
    </row>
    <row r="56" spans="1:9" x14ac:dyDescent="0.3">
      <c r="B56" s="612"/>
      <c r="C56" s="612"/>
      <c r="D56" s="612"/>
      <c r="E56" s="612"/>
      <c r="F56" s="612"/>
      <c r="G56" s="612"/>
      <c r="H56" s="612"/>
      <c r="I56" s="612"/>
    </row>
    <row r="57" spans="1:9" x14ac:dyDescent="0.3">
      <c r="B57" s="612"/>
      <c r="C57" s="612"/>
      <c r="D57" s="612"/>
      <c r="E57" s="612"/>
      <c r="F57" s="612"/>
      <c r="G57" s="612"/>
      <c r="H57" s="612"/>
      <c r="I57" s="612"/>
    </row>
    <row r="58" spans="1:9" x14ac:dyDescent="0.3">
      <c r="B58" s="612"/>
      <c r="C58" s="612"/>
      <c r="D58" s="612"/>
      <c r="E58" s="612"/>
      <c r="F58" s="612"/>
      <c r="G58" s="612"/>
      <c r="H58" s="612"/>
      <c r="I58" s="612"/>
    </row>
    <row r="59" spans="1:9" x14ac:dyDescent="0.3">
      <c r="B59" s="612"/>
      <c r="C59" s="612"/>
      <c r="D59" s="612"/>
      <c r="E59" s="612"/>
      <c r="F59" s="612"/>
      <c r="G59" s="612"/>
      <c r="H59" s="612"/>
      <c r="I59" s="612"/>
    </row>
    <row r="60" spans="1:9" x14ac:dyDescent="0.3">
      <c r="B60" s="612"/>
      <c r="C60" s="612"/>
      <c r="D60" s="612"/>
      <c r="E60" s="612"/>
      <c r="F60" s="612"/>
      <c r="G60" s="612"/>
      <c r="H60" s="612"/>
      <c r="I60" s="612"/>
    </row>
    <row r="61" spans="1:9" x14ac:dyDescent="0.3">
      <c r="B61" s="612"/>
      <c r="C61" s="612"/>
      <c r="D61" s="612"/>
      <c r="E61" s="612"/>
      <c r="F61" s="612"/>
      <c r="G61" s="612"/>
      <c r="H61" s="612"/>
      <c r="I61" s="612"/>
    </row>
    <row r="62" spans="1:9" x14ac:dyDescent="0.3">
      <c r="B62" s="612"/>
      <c r="C62" s="612"/>
      <c r="D62" s="612"/>
      <c r="E62" s="612"/>
      <c r="F62" s="612"/>
      <c r="G62" s="612"/>
      <c r="H62" s="612"/>
      <c r="I62" s="612"/>
    </row>
    <row r="63" spans="1:9" x14ac:dyDescent="0.3">
      <c r="B63" s="612"/>
      <c r="C63" s="612"/>
      <c r="D63" s="612"/>
      <c r="E63" s="612"/>
      <c r="F63" s="612"/>
      <c r="G63" s="612"/>
      <c r="H63" s="612"/>
      <c r="I63" s="612"/>
    </row>
    <row r="64" spans="1:9" x14ac:dyDescent="0.3">
      <c r="B64" s="612"/>
      <c r="C64" s="612"/>
      <c r="D64" s="612"/>
      <c r="E64" s="612"/>
      <c r="F64" s="612"/>
      <c r="G64" s="612"/>
      <c r="H64" s="612"/>
      <c r="I64" s="612"/>
    </row>
    <row r="65" spans="2:9" x14ac:dyDescent="0.3">
      <c r="B65" s="612"/>
      <c r="C65" s="612"/>
      <c r="D65" s="612"/>
      <c r="E65" s="612"/>
      <c r="F65" s="612"/>
      <c r="G65" s="612"/>
      <c r="H65" s="612"/>
      <c r="I65" s="612"/>
    </row>
    <row r="66" spans="2:9" x14ac:dyDescent="0.3">
      <c r="B66" s="612"/>
      <c r="C66" s="612"/>
      <c r="D66" s="612"/>
      <c r="E66" s="612"/>
      <c r="F66" s="612"/>
      <c r="G66" s="612"/>
      <c r="H66" s="612"/>
      <c r="I66" s="612"/>
    </row>
    <row r="67" spans="2:9" x14ac:dyDescent="0.3">
      <c r="B67" s="612"/>
      <c r="C67" s="612"/>
      <c r="D67" s="612"/>
      <c r="E67" s="612"/>
      <c r="F67" s="612"/>
      <c r="G67" s="612"/>
      <c r="H67" s="612"/>
      <c r="I67" s="612"/>
    </row>
    <row r="68" spans="2:9" x14ac:dyDescent="0.3">
      <c r="B68" s="612"/>
      <c r="C68" s="612"/>
      <c r="D68" s="612"/>
      <c r="E68" s="612"/>
      <c r="F68" s="612"/>
      <c r="G68" s="612"/>
      <c r="H68" s="612"/>
      <c r="I68" s="612"/>
    </row>
    <row r="69" spans="2:9" x14ac:dyDescent="0.3">
      <c r="B69" s="612"/>
      <c r="C69" s="612"/>
      <c r="D69" s="612"/>
      <c r="E69" s="612"/>
      <c r="F69" s="612"/>
      <c r="G69" s="612"/>
      <c r="H69" s="612"/>
      <c r="I69" s="612"/>
    </row>
    <row r="70" spans="2:9" x14ac:dyDescent="0.3">
      <c r="B70" s="612"/>
      <c r="C70" s="612"/>
      <c r="D70" s="612"/>
      <c r="E70" s="612"/>
      <c r="F70" s="612"/>
      <c r="G70" s="612"/>
      <c r="H70" s="612"/>
      <c r="I70" s="612"/>
    </row>
    <row r="71" spans="2:9" x14ac:dyDescent="0.3">
      <c r="B71" s="612"/>
      <c r="C71" s="612"/>
      <c r="D71" s="612"/>
      <c r="E71" s="612"/>
      <c r="F71" s="612"/>
      <c r="G71" s="612"/>
      <c r="H71" s="612"/>
      <c r="I71" s="612"/>
    </row>
    <row r="72" spans="2:9" x14ac:dyDescent="0.3">
      <c r="B72" s="612"/>
      <c r="C72" s="612"/>
      <c r="D72" s="612"/>
      <c r="E72" s="612"/>
      <c r="F72" s="612"/>
      <c r="G72" s="612"/>
      <c r="H72" s="612"/>
      <c r="I72" s="612"/>
    </row>
    <row r="73" spans="2:9" x14ac:dyDescent="0.3">
      <c r="B73" s="612"/>
      <c r="C73" s="612"/>
      <c r="D73" s="612"/>
      <c r="E73" s="612"/>
      <c r="F73" s="612"/>
      <c r="G73" s="612"/>
      <c r="H73" s="612"/>
      <c r="I73" s="612"/>
    </row>
    <row r="74" spans="2:9" x14ac:dyDescent="0.3">
      <c r="B74" s="612"/>
      <c r="C74" s="612"/>
      <c r="D74" s="612"/>
      <c r="E74" s="612"/>
      <c r="F74" s="612"/>
      <c r="G74" s="612"/>
      <c r="H74" s="612"/>
      <c r="I74" s="612"/>
    </row>
    <row r="75" spans="2:9" x14ac:dyDescent="0.3">
      <c r="B75" s="612"/>
      <c r="C75" s="612"/>
      <c r="D75" s="612"/>
      <c r="E75" s="612"/>
      <c r="F75" s="612"/>
      <c r="G75" s="612"/>
      <c r="H75" s="612"/>
      <c r="I75" s="612"/>
    </row>
    <row r="76" spans="2:9" x14ac:dyDescent="0.3">
      <c r="B76" s="612"/>
      <c r="C76" s="612"/>
      <c r="D76" s="612"/>
      <c r="E76" s="612"/>
      <c r="F76" s="612"/>
      <c r="G76" s="612"/>
      <c r="H76" s="612"/>
      <c r="I76" s="612"/>
    </row>
    <row r="77" spans="2:9" x14ac:dyDescent="0.3">
      <c r="B77" s="612"/>
      <c r="C77" s="612"/>
      <c r="D77" s="612"/>
      <c r="E77" s="612"/>
      <c r="F77" s="612"/>
      <c r="G77" s="612"/>
      <c r="H77" s="612"/>
      <c r="I77" s="612"/>
    </row>
    <row r="78" spans="2:9" x14ac:dyDescent="0.3">
      <c r="B78" s="612"/>
      <c r="C78" s="612"/>
      <c r="D78" s="612"/>
      <c r="E78" s="612"/>
      <c r="F78" s="612"/>
      <c r="G78" s="612"/>
      <c r="H78" s="612"/>
      <c r="I78" s="612"/>
    </row>
    <row r="79" spans="2:9" x14ac:dyDescent="0.3">
      <c r="B79" s="612"/>
      <c r="C79" s="612"/>
      <c r="D79" s="612"/>
      <c r="E79" s="612"/>
      <c r="F79" s="612"/>
      <c r="G79" s="612"/>
      <c r="H79" s="612"/>
      <c r="I79" s="612"/>
    </row>
    <row r="80" spans="2:9" x14ac:dyDescent="0.3">
      <c r="B80" s="612"/>
      <c r="C80" s="612"/>
      <c r="D80" s="612"/>
      <c r="E80" s="612"/>
      <c r="F80" s="612"/>
      <c r="G80" s="612"/>
      <c r="H80" s="612"/>
      <c r="I80" s="612"/>
    </row>
    <row r="81" spans="2:9" x14ac:dyDescent="0.3">
      <c r="B81" s="612"/>
      <c r="C81" s="612"/>
      <c r="D81" s="612"/>
      <c r="E81" s="612"/>
      <c r="F81" s="612"/>
      <c r="G81" s="612"/>
      <c r="H81" s="612"/>
      <c r="I81" s="612"/>
    </row>
    <row r="82" spans="2:9" x14ac:dyDescent="0.3">
      <c r="B82" s="612"/>
      <c r="C82" s="612"/>
      <c r="D82" s="612"/>
      <c r="E82" s="612"/>
      <c r="F82" s="612"/>
      <c r="G82" s="612"/>
      <c r="H82" s="612"/>
      <c r="I82" s="612"/>
    </row>
  </sheetData>
  <mergeCells count="2">
    <mergeCell ref="A24:L24"/>
    <mergeCell ref="A30:L30"/>
  </mergeCells>
  <pageMargins left="0.7" right="0.7" top="0.75" bottom="0.75" header="0.3" footer="0.3"/>
  <pageSetup orientation="portrait" r:id="rId1"/>
  <ignoredErrors>
    <ignoredError sqref="B19:E21 B17:D17 F21:L2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18F5-DAAB-4B96-82BA-BF9C63D90187}">
  <sheetPr>
    <tabColor theme="4"/>
  </sheetPr>
  <dimension ref="A1:F20"/>
  <sheetViews>
    <sheetView showGridLines="0" zoomScale="115" zoomScaleNormal="115" workbookViewId="0">
      <selection activeCell="L24" sqref="L24"/>
    </sheetView>
  </sheetViews>
  <sheetFormatPr defaultColWidth="9.109375" defaultRowHeight="15.6" x14ac:dyDescent="0.3"/>
  <cols>
    <col min="1" max="1" width="34.44140625" style="211" customWidth="1"/>
    <col min="2" max="2" width="9" style="211" customWidth="1"/>
    <col min="3" max="3" width="1.6640625" style="211" customWidth="1"/>
    <col min="4" max="4" width="9" style="211" customWidth="1"/>
    <col min="5" max="5" width="2.109375" style="211" customWidth="1"/>
    <col min="6" max="6" width="9" style="211" customWidth="1"/>
    <col min="7" max="16384" width="9.109375" style="211"/>
  </cols>
  <sheetData>
    <row r="1" spans="1:6" x14ac:dyDescent="0.3">
      <c r="A1" s="152" t="s">
        <v>2648</v>
      </c>
    </row>
    <row r="2" spans="1:6" x14ac:dyDescent="0.3">
      <c r="A2" s="152" t="s">
        <v>2647</v>
      </c>
    </row>
    <row r="3" spans="1:6" ht="6.6" customHeight="1" thickBot="1" x14ac:dyDescent="0.35"/>
    <row r="4" spans="1:6" x14ac:dyDescent="0.3">
      <c r="A4" s="212" t="s">
        <v>1250</v>
      </c>
      <c r="B4" s="1989">
        <v>1969</v>
      </c>
      <c r="C4" s="1989"/>
      <c r="D4" s="1989">
        <v>1968</v>
      </c>
      <c r="E4" s="1919"/>
      <c r="F4" s="1954" t="s">
        <v>32</v>
      </c>
    </row>
    <row r="5" spans="1:6" x14ac:dyDescent="0.3">
      <c r="A5" s="214" t="s">
        <v>526</v>
      </c>
      <c r="B5" s="1988">
        <v>28.8</v>
      </c>
      <c r="C5" s="1988"/>
      <c r="D5" s="1988">
        <v>22.7</v>
      </c>
      <c r="E5" s="1984"/>
      <c r="F5" s="1983">
        <f>B5/D5-1</f>
        <v>0.26872246696035251</v>
      </c>
    </row>
    <row r="6" spans="1:6" x14ac:dyDescent="0.3">
      <c r="A6" s="214" t="s">
        <v>101</v>
      </c>
      <c r="B6" s="1985">
        <v>25.3</v>
      </c>
      <c r="C6" s="1985"/>
      <c r="D6" s="1985">
        <v>22.6</v>
      </c>
      <c r="E6" s="1984"/>
      <c r="F6" s="1983">
        <f>B6/D6-1</f>
        <v>0.11946902654867242</v>
      </c>
    </row>
    <row r="7" spans="1:6" ht="4.5" customHeight="1" x14ac:dyDescent="0.3">
      <c r="A7" s="214"/>
      <c r="B7" s="1985"/>
      <c r="C7" s="1985"/>
      <c r="D7" s="1985"/>
      <c r="E7" s="1984"/>
      <c r="F7" s="1983"/>
    </row>
    <row r="8" spans="1:6" ht="4.5" customHeight="1" x14ac:dyDescent="0.3">
      <c r="A8" s="1155"/>
      <c r="B8" s="1987"/>
      <c r="C8" s="1987"/>
      <c r="D8" s="1987"/>
      <c r="E8" s="1987"/>
      <c r="F8" s="1986"/>
    </row>
    <row r="9" spans="1:6" ht="4.5" customHeight="1" x14ac:dyDescent="0.3">
      <c r="A9" s="214"/>
      <c r="B9" s="1985"/>
      <c r="C9" s="1985"/>
      <c r="D9" s="1985"/>
      <c r="E9" s="1984"/>
      <c r="F9" s="1983"/>
    </row>
    <row r="10" spans="1:6" x14ac:dyDescent="0.3">
      <c r="A10" s="214" t="s">
        <v>2646</v>
      </c>
      <c r="B10" s="1620">
        <v>2.15</v>
      </c>
      <c r="C10" s="1620"/>
      <c r="D10" s="1620">
        <v>1.97</v>
      </c>
      <c r="E10" s="1620"/>
      <c r="F10" s="1982" t="str">
        <f>TEXT((B10-D10)*100,"0")&amp;"pts"</f>
        <v>18pts</v>
      </c>
    </row>
    <row r="11" spans="1:6" ht="4.5" customHeight="1" x14ac:dyDescent="0.3">
      <c r="A11" s="214"/>
      <c r="B11" s="1985"/>
      <c r="C11" s="1985"/>
      <c r="D11" s="1985"/>
      <c r="E11" s="1984"/>
      <c r="F11" s="1983"/>
    </row>
    <row r="12" spans="1:6" ht="4.5" customHeight="1" x14ac:dyDescent="0.3">
      <c r="A12" s="1155"/>
      <c r="B12" s="1987"/>
      <c r="C12" s="1987"/>
      <c r="D12" s="1987"/>
      <c r="E12" s="1987"/>
      <c r="F12" s="1986"/>
    </row>
    <row r="13" spans="1:6" ht="4.5" customHeight="1" x14ac:dyDescent="0.3">
      <c r="A13" s="214"/>
      <c r="B13" s="1985"/>
      <c r="C13" s="1985"/>
      <c r="D13" s="1985"/>
      <c r="E13" s="1984"/>
      <c r="F13" s="1983"/>
    </row>
    <row r="14" spans="1:6" x14ac:dyDescent="0.3">
      <c r="A14" s="214" t="s">
        <v>551</v>
      </c>
      <c r="B14" s="464">
        <v>0.64775376132300633</v>
      </c>
      <c r="C14" s="464"/>
      <c r="D14" s="464">
        <v>0.65430826794533903</v>
      </c>
      <c r="E14" s="464"/>
      <c r="F14" s="1982" t="str">
        <f>TEXT((B14-D14)*100,"0.0")&amp;"pts"</f>
        <v>-0.7pts</v>
      </c>
    </row>
    <row r="15" spans="1:6" x14ac:dyDescent="0.3">
      <c r="A15" s="214" t="s">
        <v>1385</v>
      </c>
      <c r="B15" s="464">
        <v>0.31448762563230775</v>
      </c>
      <c r="C15" s="464"/>
      <c r="D15" s="464">
        <v>0.3205437448471416</v>
      </c>
      <c r="E15" s="464"/>
      <c r="F15" s="1981" t="str">
        <f>TEXT((B15-D15)*100,"0.0")&amp;"pts"</f>
        <v>-0.6pts</v>
      </c>
    </row>
    <row r="16" spans="1:6" ht="16.2" thickBot="1" x14ac:dyDescent="0.35">
      <c r="A16" s="224" t="s">
        <v>552</v>
      </c>
      <c r="B16" s="500">
        <v>0.96224138695531414</v>
      </c>
      <c r="C16" s="232"/>
      <c r="D16" s="500">
        <v>0.97485201279248068</v>
      </c>
      <c r="E16" s="232"/>
      <c r="F16" s="1980" t="str">
        <f>TEXT((B16-D16)*100,"0.0")&amp;"pts"</f>
        <v>-1.3pts</v>
      </c>
    </row>
    <row r="17" spans="1:6" x14ac:dyDescent="0.3">
      <c r="A17" s="2809" t="s">
        <v>3699</v>
      </c>
      <c r="B17" s="2809"/>
      <c r="C17" s="2809"/>
      <c r="D17" s="2809"/>
      <c r="E17" s="2809"/>
      <c r="F17" s="2809"/>
    </row>
    <row r="18" spans="1:6" x14ac:dyDescent="0.3">
      <c r="A18" s="2810"/>
      <c r="B18" s="2810"/>
      <c r="C18" s="2810"/>
      <c r="D18" s="2810"/>
      <c r="E18" s="2810"/>
      <c r="F18" s="2810"/>
    </row>
    <row r="20" spans="1:6" x14ac:dyDescent="0.3">
      <c r="A20" s="211" t="s">
        <v>176</v>
      </c>
    </row>
  </sheetData>
  <mergeCells count="1">
    <mergeCell ref="A17:F18"/>
  </mergeCell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1828-9D09-4578-969A-2E94FFF87DAB}">
  <sheetPr>
    <tabColor theme="4"/>
  </sheetPr>
  <dimension ref="A2:M26"/>
  <sheetViews>
    <sheetView showGridLines="0" zoomScaleNormal="100" workbookViewId="0">
      <pane xSplit="1" ySplit="6" topLeftCell="B7" activePane="bottomRight" state="frozen"/>
      <selection pane="topRight" activeCell="B1" sqref="B1"/>
      <selection pane="bottomLeft" activeCell="A8" sqref="A8"/>
      <selection pane="bottomRight" activeCell="O23" sqref="O23"/>
    </sheetView>
  </sheetViews>
  <sheetFormatPr defaultColWidth="9.109375" defaultRowHeight="15.6" x14ac:dyDescent="0.3"/>
  <cols>
    <col min="1" max="1" width="29.5546875" style="211" customWidth="1"/>
    <col min="2" max="11" width="9.109375" style="211"/>
    <col min="12" max="12" width="2" style="211" customWidth="1"/>
    <col min="13" max="13" width="10.109375" style="211" customWidth="1"/>
    <col min="14" max="16384" width="9.109375" style="211"/>
  </cols>
  <sheetData>
    <row r="2" spans="1:13" s="1632" customFormat="1" x14ac:dyDescent="0.3">
      <c r="B2" s="1632">
        <v>2014</v>
      </c>
      <c r="C2" s="1632">
        <v>2014</v>
      </c>
      <c r="D2" s="1632">
        <v>2014</v>
      </c>
      <c r="E2" s="1632">
        <v>2011</v>
      </c>
      <c r="F2" s="1632">
        <v>2011</v>
      </c>
      <c r="G2" s="1632">
        <v>2011</v>
      </c>
      <c r="H2" s="1632">
        <v>2008</v>
      </c>
      <c r="I2" s="1632">
        <v>2008</v>
      </c>
      <c r="J2" s="1632">
        <v>2008</v>
      </c>
      <c r="K2" s="1632">
        <v>2005</v>
      </c>
    </row>
    <row r="3" spans="1:13" x14ac:dyDescent="0.3">
      <c r="A3" s="459" t="s">
        <v>1863</v>
      </c>
    </row>
    <row r="4" spans="1:13" x14ac:dyDescent="0.3">
      <c r="A4" s="152" t="s">
        <v>2126</v>
      </c>
    </row>
    <row r="5" spans="1:13" ht="8.25" customHeight="1" thickBot="1" x14ac:dyDescent="0.35"/>
    <row r="6" spans="1:13" x14ac:dyDescent="0.3">
      <c r="A6" s="212" t="s">
        <v>1250</v>
      </c>
      <c r="B6" s="712">
        <v>2014</v>
      </c>
      <c r="C6" s="712">
        <v>2013</v>
      </c>
      <c r="D6" s="712">
        <v>2012</v>
      </c>
      <c r="E6" s="712">
        <v>2011</v>
      </c>
      <c r="F6" s="712">
        <v>2010</v>
      </c>
      <c r="G6" s="712">
        <v>2009</v>
      </c>
      <c r="H6" s="712">
        <v>2008</v>
      </c>
      <c r="I6" s="712">
        <v>2007</v>
      </c>
      <c r="J6" s="712">
        <v>2006</v>
      </c>
      <c r="K6" s="712">
        <v>2005</v>
      </c>
      <c r="L6" s="522"/>
      <c r="M6" s="1719" t="s">
        <v>2136</v>
      </c>
    </row>
    <row r="7" spans="1:13" x14ac:dyDescent="0.3">
      <c r="A7" s="214" t="s">
        <v>532</v>
      </c>
      <c r="B7" s="1417">
        <v>28105</v>
      </c>
      <c r="C7" s="1417">
        <v>28796</v>
      </c>
      <c r="D7" s="1417">
        <v>22236</v>
      </c>
      <c r="E7" s="1417">
        <v>15314</v>
      </c>
      <c r="F7" s="1417">
        <v>19051</v>
      </c>
      <c r="G7" s="1417">
        <v>11552</v>
      </c>
      <c r="H7" s="1417">
        <v>7574</v>
      </c>
      <c r="I7" s="1417">
        <v>20161</v>
      </c>
      <c r="J7" s="1417">
        <v>16778</v>
      </c>
      <c r="K7" s="1417">
        <v>12791</v>
      </c>
      <c r="L7" s="220"/>
      <c r="M7" s="1422">
        <f>SUM(B7:K7)</f>
        <v>182358</v>
      </c>
    </row>
    <row r="8" spans="1:13" x14ac:dyDescent="0.3">
      <c r="A8" s="214"/>
      <c r="B8" s="926"/>
      <c r="C8" s="926"/>
      <c r="D8" s="926"/>
      <c r="E8" s="926"/>
      <c r="F8" s="926"/>
      <c r="G8" s="926"/>
      <c r="H8" s="926"/>
      <c r="I8" s="926"/>
      <c r="J8" s="926"/>
      <c r="K8" s="926"/>
      <c r="L8" s="220"/>
      <c r="M8" s="927"/>
    </row>
    <row r="9" spans="1:13" x14ac:dyDescent="0.3">
      <c r="A9" s="214" t="s">
        <v>1130</v>
      </c>
      <c r="B9" s="926">
        <v>3302</v>
      </c>
      <c r="C9" s="926">
        <v>5168</v>
      </c>
      <c r="D9" s="926">
        <v>4711</v>
      </c>
      <c r="E9" s="926">
        <v>2897</v>
      </c>
      <c r="F9" s="926">
        <v>3668</v>
      </c>
      <c r="G9" s="926">
        <v>1619</v>
      </c>
      <c r="H9" s="926">
        <v>3811</v>
      </c>
      <c r="I9" s="926">
        <v>5708</v>
      </c>
      <c r="J9" s="926">
        <v>5030</v>
      </c>
      <c r="K9" s="926">
        <v>2057</v>
      </c>
      <c r="L9" s="220"/>
      <c r="M9" s="927">
        <f>SUM(B9:K9)</f>
        <v>37971</v>
      </c>
    </row>
    <row r="10" spans="1:13" x14ac:dyDescent="0.3">
      <c r="A10" s="214" t="s">
        <v>974</v>
      </c>
      <c r="B10" s="926">
        <v>4633</v>
      </c>
      <c r="C10" s="926">
        <v>3783</v>
      </c>
      <c r="D10" s="926">
        <v>2213</v>
      </c>
      <c r="E10" s="926">
        <v>1671</v>
      </c>
      <c r="F10" s="926">
        <v>1939</v>
      </c>
      <c r="G10" s="926">
        <v>1919</v>
      </c>
      <c r="H10" s="926">
        <v>-1833</v>
      </c>
      <c r="I10" s="926">
        <v>886</v>
      </c>
      <c r="J10" s="926">
        <v>475</v>
      </c>
      <c r="K10" s="926">
        <v>2102</v>
      </c>
      <c r="L10" s="220"/>
      <c r="M10" s="927">
        <f t="shared" ref="M10:M13" si="0">SUM(B10:K10)</f>
        <v>17788</v>
      </c>
    </row>
    <row r="11" spans="1:13" x14ac:dyDescent="0.3">
      <c r="A11" s="214" t="s">
        <v>2128</v>
      </c>
      <c r="B11" s="1630">
        <f>B9+B10</f>
        <v>7935</v>
      </c>
      <c r="C11" s="1630">
        <f t="shared" ref="C11:K11" si="1">C9+C10</f>
        <v>8951</v>
      </c>
      <c r="D11" s="1630">
        <f t="shared" si="1"/>
        <v>6924</v>
      </c>
      <c r="E11" s="1630">
        <f t="shared" si="1"/>
        <v>4568</v>
      </c>
      <c r="F11" s="1630">
        <f t="shared" si="1"/>
        <v>5607</v>
      </c>
      <c r="G11" s="1630">
        <f t="shared" si="1"/>
        <v>3538</v>
      </c>
      <c r="H11" s="1630">
        <f t="shared" si="1"/>
        <v>1978</v>
      </c>
      <c r="I11" s="1630">
        <f t="shared" si="1"/>
        <v>6594</v>
      </c>
      <c r="J11" s="1630">
        <f t="shared" si="1"/>
        <v>5505</v>
      </c>
      <c r="K11" s="1630">
        <f t="shared" si="1"/>
        <v>4159</v>
      </c>
      <c r="L11" s="220"/>
      <c r="M11" s="1635">
        <f t="shared" si="0"/>
        <v>55759</v>
      </c>
    </row>
    <row r="12" spans="1:13" x14ac:dyDescent="0.3">
      <c r="A12" s="214"/>
      <c r="B12" s="220"/>
      <c r="C12" s="220"/>
      <c r="D12" s="220"/>
      <c r="E12" s="220"/>
      <c r="F12" s="220"/>
      <c r="G12" s="220"/>
      <c r="H12" s="220"/>
      <c r="I12" s="220"/>
      <c r="J12" s="220"/>
      <c r="K12" s="220"/>
      <c r="L12" s="220"/>
      <c r="M12" s="223"/>
    </row>
    <row r="13" spans="1:13" x14ac:dyDescent="0.3">
      <c r="A13" s="214" t="s">
        <v>2133</v>
      </c>
      <c r="B13" s="926">
        <v>4014</v>
      </c>
      <c r="C13" s="926">
        <v>5401</v>
      </c>
      <c r="D13" s="926">
        <v>4695</v>
      </c>
      <c r="E13" s="926">
        <v>2885</v>
      </c>
      <c r="F13" s="926">
        <v>3547</v>
      </c>
      <c r="G13" s="926">
        <v>2032</v>
      </c>
      <c r="H13" s="926">
        <v>3530</v>
      </c>
      <c r="I13" s="926">
        <v>5895</v>
      </c>
      <c r="J13" s="926">
        <v>4959</v>
      </c>
      <c r="K13" s="926">
        <v>2695</v>
      </c>
      <c r="L13" s="220"/>
      <c r="M13" s="927">
        <f t="shared" si="0"/>
        <v>39653</v>
      </c>
    </row>
    <row r="14" spans="1:13" ht="4.5" customHeight="1" x14ac:dyDescent="0.3">
      <c r="A14" s="214"/>
      <c r="B14" s="220"/>
      <c r="C14" s="220"/>
      <c r="D14" s="220"/>
      <c r="E14" s="220"/>
      <c r="F14" s="220"/>
      <c r="G14" s="220"/>
      <c r="H14" s="220"/>
      <c r="I14" s="220"/>
      <c r="J14" s="220"/>
      <c r="K14" s="220"/>
      <c r="L14" s="220"/>
      <c r="M14" s="223"/>
    </row>
    <row r="15" spans="1:13" ht="4.5" customHeight="1" x14ac:dyDescent="0.3">
      <c r="A15" s="1155"/>
      <c r="B15" s="684"/>
      <c r="C15" s="684"/>
      <c r="D15" s="684"/>
      <c r="E15" s="684"/>
      <c r="F15" s="684"/>
      <c r="G15" s="684"/>
      <c r="H15" s="684"/>
      <c r="I15" s="684"/>
      <c r="J15" s="684"/>
      <c r="K15" s="684"/>
      <c r="L15" s="684"/>
      <c r="M15" s="1279"/>
    </row>
    <row r="16" spans="1:13" ht="4.5" customHeight="1" x14ac:dyDescent="0.3">
      <c r="A16" s="214"/>
      <c r="B16" s="220"/>
      <c r="C16" s="220"/>
      <c r="D16" s="220"/>
      <c r="E16" s="220"/>
      <c r="F16" s="220"/>
      <c r="G16" s="220"/>
      <c r="H16" s="220"/>
      <c r="I16" s="220"/>
      <c r="J16" s="220"/>
      <c r="K16" s="220"/>
      <c r="L16" s="220"/>
      <c r="M16" s="223"/>
    </row>
    <row r="17" spans="1:13" x14ac:dyDescent="0.3">
      <c r="A17" s="214" t="s">
        <v>1963</v>
      </c>
      <c r="B17" s="1793">
        <f t="shared" ref="B17:K17" si="2">B9/B7</f>
        <v>0.1174879914605942</v>
      </c>
      <c r="C17" s="1793">
        <f t="shared" si="2"/>
        <v>0.17946937074593694</v>
      </c>
      <c r="D17" s="1793">
        <f t="shared" si="2"/>
        <v>0.21186364454038495</v>
      </c>
      <c r="E17" s="1793">
        <f t="shared" si="2"/>
        <v>0.18917330547211703</v>
      </c>
      <c r="F17" s="1793">
        <f t="shared" si="2"/>
        <v>0.19253582489108184</v>
      </c>
      <c r="G17" s="1793">
        <f t="shared" si="2"/>
        <v>0.140148891966759</v>
      </c>
      <c r="H17" s="1793">
        <f t="shared" si="2"/>
        <v>0.50316873514655402</v>
      </c>
      <c r="I17" s="1793">
        <f t="shared" si="2"/>
        <v>0.28312087694062793</v>
      </c>
      <c r="J17" s="1793">
        <f t="shared" si="2"/>
        <v>0.29979735367743476</v>
      </c>
      <c r="K17" s="1793">
        <f t="shared" si="2"/>
        <v>0.16081619888984441</v>
      </c>
      <c r="L17" s="1792"/>
      <c r="M17" s="1762">
        <f>M9/M7</f>
        <v>0.20822228802684828</v>
      </c>
    </row>
    <row r="18" spans="1:13" x14ac:dyDescent="0.3">
      <c r="A18" s="214" t="s">
        <v>2130</v>
      </c>
      <c r="B18" s="1793">
        <f t="shared" ref="B18:K18" si="3">B10/B7</f>
        <v>0.16484611279131828</v>
      </c>
      <c r="C18" s="1793">
        <f t="shared" si="3"/>
        <v>0.131372412835116</v>
      </c>
      <c r="D18" s="1793">
        <f t="shared" si="3"/>
        <v>9.9523295556754807E-2</v>
      </c>
      <c r="E18" s="1793">
        <f t="shared" si="3"/>
        <v>0.10911584171346481</v>
      </c>
      <c r="F18" s="1793">
        <f t="shared" si="3"/>
        <v>0.1017794341504383</v>
      </c>
      <c r="G18" s="1793">
        <f t="shared" si="3"/>
        <v>0.16611842105263158</v>
      </c>
      <c r="H18" s="1793">
        <f t="shared" si="3"/>
        <v>-0.2420121468180618</v>
      </c>
      <c r="I18" s="1793">
        <f t="shared" si="3"/>
        <v>4.394623282575269E-2</v>
      </c>
      <c r="J18" s="1793">
        <f t="shared" si="3"/>
        <v>2.8310883299558946E-2</v>
      </c>
      <c r="K18" s="1793">
        <f t="shared" si="3"/>
        <v>0.16433429755296694</v>
      </c>
      <c r="L18" s="1792"/>
      <c r="M18" s="1762">
        <f>M10/M7</f>
        <v>9.7544390703999825E-2</v>
      </c>
    </row>
    <row r="19" spans="1:13" x14ac:dyDescent="0.3">
      <c r="A19" s="214" t="s">
        <v>2129</v>
      </c>
      <c r="B19" s="1892">
        <f>B17+B18</f>
        <v>0.28233410425191247</v>
      </c>
      <c r="C19" s="1892">
        <f t="shared" ref="C19:M19" si="4">C17+C18</f>
        <v>0.31084178358105297</v>
      </c>
      <c r="D19" s="1892">
        <f t="shared" si="4"/>
        <v>0.31138694009713974</v>
      </c>
      <c r="E19" s="1892">
        <f t="shared" si="4"/>
        <v>0.29828914718558186</v>
      </c>
      <c r="F19" s="1892">
        <f t="shared" si="4"/>
        <v>0.29431525904152012</v>
      </c>
      <c r="G19" s="1892">
        <f t="shared" si="4"/>
        <v>0.30626731301939059</v>
      </c>
      <c r="H19" s="1892">
        <f t="shared" si="4"/>
        <v>0.2611565883284922</v>
      </c>
      <c r="I19" s="1892">
        <f t="shared" si="4"/>
        <v>0.32706710976638065</v>
      </c>
      <c r="J19" s="1892">
        <f t="shared" si="4"/>
        <v>0.32810823697699371</v>
      </c>
      <c r="K19" s="1892">
        <f t="shared" si="4"/>
        <v>0.32515049644281135</v>
      </c>
      <c r="L19" s="1792"/>
      <c r="M19" s="2034">
        <f t="shared" si="4"/>
        <v>0.30576667873084812</v>
      </c>
    </row>
    <row r="20" spans="1:13" x14ac:dyDescent="0.3">
      <c r="A20" s="214"/>
      <c r="B20" s="1793"/>
      <c r="C20" s="1793"/>
      <c r="D20" s="1793"/>
      <c r="E20" s="1793"/>
      <c r="F20" s="1793"/>
      <c r="G20" s="1793"/>
      <c r="H20" s="1793"/>
      <c r="I20" s="1793"/>
      <c r="J20" s="1793"/>
      <c r="K20" s="1793"/>
      <c r="L20" s="1792"/>
      <c r="M20" s="1762"/>
    </row>
    <row r="21" spans="1:13" x14ac:dyDescent="0.3">
      <c r="A21" s="214" t="s">
        <v>2131</v>
      </c>
      <c r="B21" s="1793">
        <f>B17/B19</f>
        <v>0.41613106490233148</v>
      </c>
      <c r="C21" s="1793">
        <f t="shared" ref="C21:K21" si="5">C17/C19</f>
        <v>0.57736565746843926</v>
      </c>
      <c r="D21" s="1793">
        <f t="shared" si="5"/>
        <v>0.68038705950317735</v>
      </c>
      <c r="E21" s="1793">
        <f t="shared" si="5"/>
        <v>0.63419439579684755</v>
      </c>
      <c r="F21" s="1793">
        <f t="shared" si="5"/>
        <v>0.65418227215980029</v>
      </c>
      <c r="G21" s="1793">
        <f t="shared" si="5"/>
        <v>0.45760316563029962</v>
      </c>
      <c r="H21" s="1793">
        <f t="shared" si="5"/>
        <v>1.9266936299292217</v>
      </c>
      <c r="I21" s="1793">
        <f t="shared" si="5"/>
        <v>0.86563542614498024</v>
      </c>
      <c r="J21" s="1793">
        <f t="shared" si="5"/>
        <v>0.91371480472297917</v>
      </c>
      <c r="K21" s="1793">
        <f t="shared" si="5"/>
        <v>0.49459004568405862</v>
      </c>
      <c r="L21" s="1792"/>
      <c r="M21" s="1762">
        <f t="shared" ref="M21" si="6">M17/M19</f>
        <v>0.68098423572876121</v>
      </c>
    </row>
    <row r="22" spans="1:13" x14ac:dyDescent="0.3">
      <c r="A22" s="214" t="s">
        <v>2132</v>
      </c>
      <c r="B22" s="1793">
        <f>B18/B19</f>
        <v>0.58386893509766857</v>
      </c>
      <c r="C22" s="1793">
        <f t="shared" ref="C22:K22" si="7">C18/C19</f>
        <v>0.42263434253156068</v>
      </c>
      <c r="D22" s="1793">
        <f t="shared" si="7"/>
        <v>0.31961294049682265</v>
      </c>
      <c r="E22" s="1793">
        <f t="shared" si="7"/>
        <v>0.36580560420315233</v>
      </c>
      <c r="F22" s="1793">
        <f t="shared" si="7"/>
        <v>0.34581772784019976</v>
      </c>
      <c r="G22" s="1793">
        <f t="shared" si="7"/>
        <v>0.54239683436970043</v>
      </c>
      <c r="H22" s="1793">
        <f t="shared" si="7"/>
        <v>-0.92669362992922144</v>
      </c>
      <c r="I22" s="1793">
        <f t="shared" si="7"/>
        <v>0.13436457385501971</v>
      </c>
      <c r="J22" s="1793">
        <f t="shared" si="7"/>
        <v>8.6285195277020887E-2</v>
      </c>
      <c r="K22" s="1793">
        <f t="shared" si="7"/>
        <v>0.50540995431594138</v>
      </c>
      <c r="L22" s="1792"/>
      <c r="M22" s="1762">
        <f t="shared" ref="M22" si="8">M18/M19</f>
        <v>0.31901576427123873</v>
      </c>
    </row>
    <row r="23" spans="1:13" x14ac:dyDescent="0.3">
      <c r="A23" s="214" t="s">
        <v>1148</v>
      </c>
      <c r="B23" s="1893">
        <f>B21+B22</f>
        <v>1</v>
      </c>
      <c r="C23" s="1893">
        <f t="shared" ref="C23:M23" si="9">C21+C22</f>
        <v>1</v>
      </c>
      <c r="D23" s="1893">
        <f t="shared" si="9"/>
        <v>1</v>
      </c>
      <c r="E23" s="1893">
        <f t="shared" si="9"/>
        <v>0.99999999999999989</v>
      </c>
      <c r="F23" s="1893">
        <f t="shared" si="9"/>
        <v>1</v>
      </c>
      <c r="G23" s="1893">
        <f t="shared" si="9"/>
        <v>1</v>
      </c>
      <c r="H23" s="1893">
        <f t="shared" si="9"/>
        <v>1.0000000000000002</v>
      </c>
      <c r="I23" s="1893">
        <f t="shared" si="9"/>
        <v>1</v>
      </c>
      <c r="J23" s="1893">
        <f t="shared" si="9"/>
        <v>1</v>
      </c>
      <c r="K23" s="1893">
        <f t="shared" si="9"/>
        <v>1</v>
      </c>
      <c r="L23" s="1792"/>
      <c r="M23" s="2127">
        <f t="shared" si="9"/>
        <v>1</v>
      </c>
    </row>
    <row r="24" spans="1:13" x14ac:dyDescent="0.3">
      <c r="A24" s="214"/>
      <c r="B24" s="1792"/>
      <c r="C24" s="1792"/>
      <c r="D24" s="1792"/>
      <c r="E24" s="1792"/>
      <c r="F24" s="1792"/>
      <c r="G24" s="1792"/>
      <c r="H24" s="1792"/>
      <c r="I24" s="1792"/>
      <c r="J24" s="1792"/>
      <c r="K24" s="1792"/>
      <c r="L24" s="1792"/>
      <c r="M24" s="2126"/>
    </row>
    <row r="25" spans="1:13" ht="16.2" thickBot="1" x14ac:dyDescent="0.35">
      <c r="A25" s="224" t="s">
        <v>2134</v>
      </c>
      <c r="B25" s="1795">
        <f t="shared" ref="B25:K25" si="10">B13/B7</f>
        <v>0.14282156199964419</v>
      </c>
      <c r="C25" s="1795">
        <f t="shared" si="10"/>
        <v>0.1875607723294902</v>
      </c>
      <c r="D25" s="1795">
        <f t="shared" si="10"/>
        <v>0.21114409066378845</v>
      </c>
      <c r="E25" s="1795">
        <f t="shared" si="10"/>
        <v>0.1883897087632232</v>
      </c>
      <c r="F25" s="1795">
        <f t="shared" si="10"/>
        <v>0.18618445225972391</v>
      </c>
      <c r="G25" s="1795">
        <f t="shared" si="10"/>
        <v>0.17590027700831026</v>
      </c>
      <c r="H25" s="1795">
        <f t="shared" si="10"/>
        <v>0.46606812780565093</v>
      </c>
      <c r="I25" s="1795">
        <f t="shared" si="10"/>
        <v>0.2923962105054313</v>
      </c>
      <c r="J25" s="1795">
        <f t="shared" si="10"/>
        <v>0.29556562164739542</v>
      </c>
      <c r="K25" s="1795">
        <f t="shared" si="10"/>
        <v>0.21069501993589243</v>
      </c>
      <c r="L25" s="2561"/>
      <c r="M25" s="1947">
        <f t="shared" ref="M25" si="11">M13/M7</f>
        <v>0.21744590311365555</v>
      </c>
    </row>
    <row r="26" spans="1:13" x14ac:dyDescent="0.3">
      <c r="A26" s="12" t="s">
        <v>2135</v>
      </c>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6F360-D391-46BF-BC17-DB616F409ABB}">
  <sheetPr codeName="Sheet80">
    <tabColor theme="4"/>
  </sheetPr>
  <dimension ref="A1:X28"/>
  <sheetViews>
    <sheetView showGridLines="0" zoomScale="85" zoomScaleNormal="85" workbookViewId="0">
      <selection activeCell="I33" sqref="I33"/>
    </sheetView>
  </sheetViews>
  <sheetFormatPr defaultColWidth="8.6640625" defaultRowHeight="14.4" x14ac:dyDescent="0.3"/>
  <cols>
    <col min="1" max="1" width="24.109375" style="1" customWidth="1"/>
    <col min="2" max="2" width="29.6640625" style="1" bestFit="1" customWidth="1"/>
    <col min="3" max="3" width="7.109375" style="1" bestFit="1" customWidth="1"/>
    <col min="4" max="5" width="9.88671875" style="1" bestFit="1" customWidth="1"/>
    <col min="6" max="6" width="7.5546875" style="1" bestFit="1" customWidth="1"/>
    <col min="7" max="7" width="4.5546875" style="1" customWidth="1"/>
    <col min="8" max="8" width="29.6640625" style="1" bestFit="1" customWidth="1"/>
    <col min="9" max="9" width="7.109375" style="1" bestFit="1" customWidth="1"/>
    <col min="10" max="11" width="9.88671875" style="1" bestFit="1" customWidth="1"/>
    <col min="12" max="12" width="7.5546875" style="1" bestFit="1" customWidth="1"/>
    <col min="13" max="13" width="4.5546875" style="1" customWidth="1"/>
    <col min="14" max="14" width="34.109375" style="1" bestFit="1" customWidth="1"/>
    <col min="15" max="15" width="7.109375" style="1" bestFit="1" customWidth="1"/>
    <col min="16" max="17" width="9.88671875" style="1" bestFit="1" customWidth="1"/>
    <col min="18" max="18" width="7.88671875" style="1" bestFit="1" customWidth="1"/>
    <col min="19" max="19" width="4.5546875" style="1" customWidth="1"/>
    <col min="24" max="24" width="4.44140625" style="1" customWidth="1"/>
    <col min="25" max="16384" width="8.6640625" style="1"/>
  </cols>
  <sheetData>
    <row r="1" spans="1:24" x14ac:dyDescent="0.3">
      <c r="A1" s="190" t="s">
        <v>1020</v>
      </c>
      <c r="G1" s="206"/>
      <c r="M1" s="206"/>
    </row>
    <row r="2" spans="1:24" x14ac:dyDescent="0.3">
      <c r="A2" s="144" t="s">
        <v>1021</v>
      </c>
      <c r="G2" s="206"/>
      <c r="M2" s="206"/>
      <c r="S2" s="205"/>
      <c r="X2" s="205"/>
    </row>
    <row r="3" spans="1:24" x14ac:dyDescent="0.3">
      <c r="B3" s="2955">
        <v>2009</v>
      </c>
      <c r="C3" s="2955"/>
      <c r="D3" s="2955">
        <v>2008</v>
      </c>
      <c r="E3" s="2955"/>
      <c r="F3" s="2955"/>
      <c r="H3" s="2955">
        <v>2008</v>
      </c>
      <c r="I3" s="2955"/>
      <c r="J3" s="2955">
        <v>2008</v>
      </c>
      <c r="K3" s="2955"/>
      <c r="L3" s="2955"/>
      <c r="N3" s="2955">
        <v>2007</v>
      </c>
      <c r="O3" s="2955"/>
      <c r="P3" s="2955"/>
      <c r="Q3" s="2955"/>
      <c r="R3" s="2955"/>
      <c r="S3" s="204"/>
      <c r="X3" s="204"/>
    </row>
    <row r="4" spans="1:24" x14ac:dyDescent="0.3">
      <c r="B4" s="189" t="s">
        <v>1161</v>
      </c>
      <c r="C4" s="189" t="s">
        <v>1190</v>
      </c>
      <c r="D4" s="189" t="s">
        <v>1017</v>
      </c>
      <c r="E4" s="189" t="s">
        <v>1018</v>
      </c>
      <c r="F4" s="207" t="s">
        <v>1189</v>
      </c>
      <c r="H4" s="189" t="s">
        <v>1161</v>
      </c>
      <c r="I4" s="189" t="s">
        <v>1190</v>
      </c>
      <c r="J4" s="189" t="s">
        <v>1017</v>
      </c>
      <c r="K4" s="189" t="s">
        <v>1018</v>
      </c>
      <c r="L4" s="207" t="s">
        <v>1189</v>
      </c>
      <c r="N4" s="189" t="s">
        <v>1161</v>
      </c>
      <c r="O4" s="189" t="s">
        <v>1190</v>
      </c>
      <c r="P4" s="189" t="s">
        <v>1017</v>
      </c>
      <c r="Q4" s="189" t="s">
        <v>1018</v>
      </c>
      <c r="R4" s="207" t="s">
        <v>1189</v>
      </c>
      <c r="S4" s="189"/>
      <c r="X4" s="189"/>
    </row>
    <row r="5" spans="1:24" x14ac:dyDescent="0.3">
      <c r="B5" s="198" t="s">
        <v>1164</v>
      </c>
      <c r="C5" s="209">
        <v>0.127</v>
      </c>
      <c r="D5" s="200">
        <v>1287</v>
      </c>
      <c r="E5" s="200">
        <v>6143</v>
      </c>
      <c r="F5" s="209">
        <f t="shared" ref="F5:F25" si="0">IF(E5/E$26=0," ",E5/E$26)</f>
        <v>0.10405867804993732</v>
      </c>
      <c r="H5" s="1" t="s">
        <v>1164</v>
      </c>
      <c r="I5" s="29">
        <v>0.13100000000000001</v>
      </c>
      <c r="J5" s="13">
        <v>1287</v>
      </c>
      <c r="K5" s="13">
        <v>2812</v>
      </c>
      <c r="L5" s="29">
        <f>IF(K5/K$26=0," ",K5/K$26)</f>
        <v>5.7302386240906403E-2</v>
      </c>
      <c r="N5" s="1" t="s">
        <v>1164</v>
      </c>
      <c r="O5" s="29">
        <v>0.13100000000000001</v>
      </c>
      <c r="P5" s="13">
        <v>1287</v>
      </c>
      <c r="Q5" s="13">
        <v>7887</v>
      </c>
      <c r="R5" s="29">
        <f>Q5/Q$26</f>
        <v>0.1051614021520287</v>
      </c>
    </row>
    <row r="6" spans="1:24" x14ac:dyDescent="0.3">
      <c r="B6" s="198" t="s">
        <v>1191</v>
      </c>
      <c r="C6" s="209">
        <v>9.9000000000000005E-2</v>
      </c>
      <c r="D6" s="199">
        <v>232</v>
      </c>
      <c r="E6" s="199">
        <v>1986</v>
      </c>
      <c r="F6" s="209">
        <f t="shared" si="0"/>
        <v>3.364163024697632E-2</v>
      </c>
      <c r="I6" s="29"/>
      <c r="J6" s="2"/>
      <c r="K6" s="2"/>
      <c r="L6" s="29" t="str">
        <f>IF(K6/K$26=0," ",K6/K$26)</f>
        <v xml:space="preserve"> </v>
      </c>
      <c r="O6" s="29"/>
      <c r="P6" s="13"/>
      <c r="Q6" s="13"/>
      <c r="R6" s="29"/>
    </row>
    <row r="7" spans="1:24" x14ac:dyDescent="0.3">
      <c r="B7" s="198"/>
      <c r="C7" s="209"/>
      <c r="D7" s="199"/>
      <c r="E7" s="199"/>
      <c r="F7" s="209" t="str">
        <f t="shared" si="0"/>
        <v xml:space="preserve"> </v>
      </c>
      <c r="I7" s="29"/>
      <c r="J7" s="2"/>
      <c r="K7" s="2"/>
      <c r="L7" s="29" t="str">
        <f t="shared" ref="L7:L25" si="1">IF(K7/K$26=0," ",K7/K$26)</f>
        <v xml:space="preserve"> </v>
      </c>
      <c r="N7" s="1" t="s">
        <v>1163</v>
      </c>
      <c r="O7" s="29">
        <v>4.8000000000000001E-2</v>
      </c>
      <c r="P7" s="2">
        <v>1718</v>
      </c>
      <c r="Q7" s="2">
        <v>1861</v>
      </c>
      <c r="R7" s="29">
        <f t="shared" ref="R7:R26" si="2">Q7/Q$26</f>
        <v>2.4813664182189096E-2</v>
      </c>
    </row>
    <row r="8" spans="1:24" x14ac:dyDescent="0.3">
      <c r="B8" s="198"/>
      <c r="C8" s="209"/>
      <c r="D8" s="199"/>
      <c r="E8" s="199"/>
      <c r="F8" s="209" t="str">
        <f t="shared" si="0"/>
        <v xml:space="preserve"> </v>
      </c>
      <c r="I8" s="29"/>
      <c r="J8" s="2"/>
      <c r="K8" s="2"/>
      <c r="L8" s="29" t="str">
        <f t="shared" si="1"/>
        <v xml:space="preserve"> </v>
      </c>
      <c r="N8" s="1" t="s">
        <v>1165</v>
      </c>
      <c r="O8" s="29">
        <v>0.17499999999999999</v>
      </c>
      <c r="P8" s="2">
        <v>4731</v>
      </c>
      <c r="Q8" s="2">
        <v>5063</v>
      </c>
      <c r="R8" s="29">
        <f t="shared" si="2"/>
        <v>6.7507566767556898E-2</v>
      </c>
    </row>
    <row r="9" spans="1:24" x14ac:dyDescent="0.3">
      <c r="B9" s="198" t="s">
        <v>1012</v>
      </c>
      <c r="C9" s="209">
        <v>8.5999999999999993E-2</v>
      </c>
      <c r="D9" s="199">
        <v>1299</v>
      </c>
      <c r="E9" s="199">
        <v>11400</v>
      </c>
      <c r="F9" s="209">
        <f t="shared" si="0"/>
        <v>0.1931090557983535</v>
      </c>
      <c r="H9" s="1" t="s">
        <v>1012</v>
      </c>
      <c r="I9" s="29">
        <v>8.5999999999999993E-2</v>
      </c>
      <c r="J9" s="2">
        <v>1299</v>
      </c>
      <c r="K9" s="2">
        <v>9054</v>
      </c>
      <c r="L9" s="29">
        <f t="shared" si="1"/>
        <v>0.18450064190084162</v>
      </c>
      <c r="N9" s="1" t="s">
        <v>1012</v>
      </c>
      <c r="O9" s="29">
        <v>8.5999999999999993E-2</v>
      </c>
      <c r="P9" s="2">
        <v>1299</v>
      </c>
      <c r="Q9" s="2">
        <v>12274</v>
      </c>
      <c r="R9" s="29">
        <f t="shared" si="2"/>
        <v>0.16365551540687209</v>
      </c>
    </row>
    <row r="10" spans="1:24" x14ac:dyDescent="0.3">
      <c r="B10" s="198" t="s">
        <v>1166</v>
      </c>
      <c r="C10" s="209">
        <v>2.5000000000000001E-2</v>
      </c>
      <c r="D10" s="199">
        <v>2741</v>
      </c>
      <c r="E10" s="199">
        <v>1926</v>
      </c>
      <c r="F10" s="209">
        <f t="shared" si="0"/>
        <v>3.262526679540604E-2</v>
      </c>
      <c r="H10" s="1" t="s">
        <v>1166</v>
      </c>
      <c r="I10" s="29">
        <v>5.7000000000000002E-2</v>
      </c>
      <c r="J10" s="2">
        <v>7008</v>
      </c>
      <c r="K10" s="2">
        <v>4398</v>
      </c>
      <c r="L10" s="29">
        <f t="shared" si="1"/>
        <v>8.9621584170521462E-2</v>
      </c>
      <c r="N10" s="1" t="s">
        <v>1166</v>
      </c>
      <c r="O10" s="29">
        <v>1.0999999999999999E-2</v>
      </c>
      <c r="P10" s="2">
        <v>1039</v>
      </c>
      <c r="Q10" s="2">
        <v>1546</v>
      </c>
      <c r="R10" s="29">
        <f t="shared" si="2"/>
        <v>2.0613608181442419E-2</v>
      </c>
    </row>
    <row r="11" spans="1:24" x14ac:dyDescent="0.3">
      <c r="B11" s="198" t="s">
        <v>1167</v>
      </c>
      <c r="C11" s="209">
        <v>0.01</v>
      </c>
      <c r="D11" s="199">
        <v>1724</v>
      </c>
      <c r="E11" s="199">
        <v>1838</v>
      </c>
      <c r="F11" s="209">
        <f t="shared" si="0"/>
        <v>3.1134600399769626E-2</v>
      </c>
      <c r="H11" s="1" t="s">
        <v>1167</v>
      </c>
      <c r="I11" s="29">
        <v>1.0999999999999999E-2</v>
      </c>
      <c r="J11" s="2">
        <v>1847</v>
      </c>
      <c r="K11" s="2">
        <v>1795</v>
      </c>
      <c r="L11" s="29">
        <f t="shared" si="1"/>
        <v>3.6578159069141893E-2</v>
      </c>
      <c r="N11" s="1" t="s">
        <v>1167</v>
      </c>
      <c r="O11" s="29">
        <v>2.1999999999999999E-2</v>
      </c>
      <c r="P11" s="2">
        <v>3943</v>
      </c>
      <c r="Q11" s="2">
        <v>4287</v>
      </c>
      <c r="R11" s="29">
        <f t="shared" si="2"/>
        <v>5.7160762143495247E-2</v>
      </c>
    </row>
    <row r="12" spans="1:24" x14ac:dyDescent="0.3">
      <c r="B12" s="198" t="s">
        <v>1168</v>
      </c>
      <c r="C12" s="209">
        <v>8.7999999999999995E-2</v>
      </c>
      <c r="D12" s="199">
        <v>4330</v>
      </c>
      <c r="E12" s="199">
        <v>3541</v>
      </c>
      <c r="F12" s="209">
        <f t="shared" si="0"/>
        <v>5.9982383033506115E-2</v>
      </c>
      <c r="H12" s="1" t="s">
        <v>1168</v>
      </c>
      <c r="I12" s="29">
        <v>8.8999999999999996E-2</v>
      </c>
      <c r="J12" s="2">
        <v>4330</v>
      </c>
      <c r="K12" s="2">
        <v>3498</v>
      </c>
      <c r="L12" s="29">
        <f t="shared" si="1"/>
        <v>7.1281560124712165E-2</v>
      </c>
      <c r="N12" s="1" t="s">
        <v>1168</v>
      </c>
      <c r="O12" s="29">
        <v>8.1000000000000003E-2</v>
      </c>
      <c r="P12" s="2">
        <v>4152</v>
      </c>
      <c r="Q12" s="2">
        <v>4059</v>
      </c>
      <c r="R12" s="29">
        <f t="shared" si="2"/>
        <v>5.4120721609621461E-2</v>
      </c>
    </row>
    <row r="13" spans="1:24" x14ac:dyDescent="0.3">
      <c r="B13" s="198"/>
      <c r="C13" s="209"/>
      <c r="D13" s="199"/>
      <c r="E13" s="199"/>
      <c r="F13" s="209" t="str">
        <f t="shared" si="0"/>
        <v xml:space="preserve"> </v>
      </c>
      <c r="I13" s="29"/>
      <c r="J13" s="2"/>
      <c r="K13" s="2"/>
      <c r="L13" s="29" t="str">
        <f t="shared" si="1"/>
        <v xml:space="preserve"> </v>
      </c>
      <c r="N13" s="1" t="s">
        <v>1169</v>
      </c>
      <c r="O13" s="29">
        <v>0.191</v>
      </c>
      <c r="P13" s="2">
        <v>499</v>
      </c>
      <c r="Q13" s="2">
        <v>1714</v>
      </c>
      <c r="R13" s="29">
        <f t="shared" si="2"/>
        <v>2.2853638048507312E-2</v>
      </c>
    </row>
    <row r="14" spans="1:24" x14ac:dyDescent="0.3">
      <c r="B14" s="198" t="s">
        <v>1170</v>
      </c>
      <c r="C14" s="209">
        <v>5.1999999999999998E-2</v>
      </c>
      <c r="D14" s="199">
        <v>768</v>
      </c>
      <c r="E14" s="199">
        <v>2092</v>
      </c>
      <c r="F14" s="209">
        <f t="shared" si="0"/>
        <v>3.5437205678083818E-2</v>
      </c>
      <c r="H14" s="1" t="s">
        <v>1170</v>
      </c>
      <c r="I14" s="29">
        <v>5.1999999999999998E-2</v>
      </c>
      <c r="J14" s="2">
        <v>768</v>
      </c>
      <c r="K14" s="2">
        <v>1191</v>
      </c>
      <c r="L14" s="29">
        <f t="shared" si="1"/>
        <v>2.4269965153954312E-2</v>
      </c>
      <c r="N14" s="1" t="s">
        <v>1170</v>
      </c>
      <c r="O14" s="29">
        <v>4.4999999999999998E-2</v>
      </c>
      <c r="P14" s="2">
        <v>572</v>
      </c>
      <c r="Q14" s="2">
        <v>2136</v>
      </c>
      <c r="R14" s="29">
        <f t="shared" si="2"/>
        <v>2.8480379738396511E-2</v>
      </c>
    </row>
    <row r="15" spans="1:24" x14ac:dyDescent="0.3">
      <c r="B15" s="198" t="s">
        <v>1171</v>
      </c>
      <c r="C15" s="209">
        <v>2.9000000000000001E-2</v>
      </c>
      <c r="D15" s="199">
        <v>533</v>
      </c>
      <c r="E15" s="199">
        <v>5040</v>
      </c>
      <c r="F15" s="209">
        <f t="shared" si="0"/>
        <v>8.5374529931903642E-2</v>
      </c>
      <c r="H15" s="1" t="s">
        <v>1171</v>
      </c>
      <c r="I15" s="29">
        <v>3.1E-2</v>
      </c>
      <c r="J15" s="2">
        <v>643</v>
      </c>
      <c r="K15" s="2">
        <v>5684</v>
      </c>
      <c r="L15" s="29">
        <f t="shared" si="1"/>
        <v>0.11582744075153344</v>
      </c>
      <c r="N15" s="1" t="s">
        <v>1171</v>
      </c>
      <c r="O15" s="29">
        <v>3.3000000000000002E-2</v>
      </c>
      <c r="P15" s="2">
        <v>1030</v>
      </c>
      <c r="Q15" s="2">
        <v>7450</v>
      </c>
      <c r="R15" s="29">
        <f t="shared" si="2"/>
        <v>9.9334657795437278E-2</v>
      </c>
    </row>
    <row r="16" spans="1:24" x14ac:dyDescent="0.3">
      <c r="B16" s="198" t="s">
        <v>1172</v>
      </c>
      <c r="C16" s="209">
        <v>1.9E-2</v>
      </c>
      <c r="D16" s="199">
        <v>2027</v>
      </c>
      <c r="E16" s="199">
        <v>1979</v>
      </c>
      <c r="F16" s="209">
        <f t="shared" si="0"/>
        <v>3.3523054510959785E-2</v>
      </c>
      <c r="H16" s="1" t="s">
        <v>1172</v>
      </c>
      <c r="I16" s="29">
        <v>1.7000000000000001E-2</v>
      </c>
      <c r="J16" s="2">
        <v>1827</v>
      </c>
      <c r="K16" s="2">
        <v>1404</v>
      </c>
      <c r="L16" s="29">
        <f t="shared" si="1"/>
        <v>2.8610437511462514E-2</v>
      </c>
      <c r="N16" s="1" t="s">
        <v>1172</v>
      </c>
      <c r="O16" s="29">
        <v>1.2999999999999999E-2</v>
      </c>
      <c r="P16" s="2">
        <v>1466</v>
      </c>
      <c r="Q16" s="2">
        <v>1575</v>
      </c>
      <c r="R16" s="29">
        <f t="shared" si="2"/>
        <v>2.1000280003733385E-2</v>
      </c>
    </row>
    <row r="17" spans="2:23" x14ac:dyDescent="0.3">
      <c r="B17" s="198"/>
      <c r="C17" s="209"/>
      <c r="D17" s="199"/>
      <c r="E17" s="199"/>
      <c r="F17" s="209" t="str">
        <f t="shared" si="0"/>
        <v xml:space="preserve"> </v>
      </c>
      <c r="H17" s="1" t="s">
        <v>1181</v>
      </c>
      <c r="I17" s="29">
        <v>3.2000000000000001E-2</v>
      </c>
      <c r="J17" s="2">
        <v>773</v>
      </c>
      <c r="K17" s="2">
        <v>530</v>
      </c>
      <c r="L17" s="29">
        <f t="shared" si="1"/>
        <v>1.0800236382532146E-2</v>
      </c>
      <c r="O17" s="29"/>
      <c r="P17" s="2"/>
      <c r="Q17" s="2"/>
      <c r="R17" s="29"/>
    </row>
    <row r="18" spans="2:23" x14ac:dyDescent="0.3">
      <c r="B18" s="198" t="s">
        <v>1173</v>
      </c>
      <c r="C18" s="209">
        <v>0.03</v>
      </c>
      <c r="D18" s="199">
        <v>1367</v>
      </c>
      <c r="E18" s="199">
        <v>1620</v>
      </c>
      <c r="F18" s="209">
        <f t="shared" si="0"/>
        <v>2.74418131923976E-2</v>
      </c>
      <c r="H18" s="1" t="s">
        <v>1173</v>
      </c>
      <c r="I18" s="29">
        <v>2.9000000000000001E-2</v>
      </c>
      <c r="J18" s="2">
        <v>1326</v>
      </c>
      <c r="K18" s="2">
        <v>1193</v>
      </c>
      <c r="L18" s="29">
        <f t="shared" si="1"/>
        <v>2.4310720762945E-2</v>
      </c>
      <c r="N18" s="1" t="s">
        <v>1173</v>
      </c>
      <c r="O18" s="29">
        <v>2.9000000000000001E-2</v>
      </c>
      <c r="P18" s="2">
        <v>1326</v>
      </c>
      <c r="Q18" s="2">
        <v>2156</v>
      </c>
      <c r="R18" s="29">
        <f t="shared" si="2"/>
        <v>2.8747049960666141E-2</v>
      </c>
    </row>
    <row r="19" spans="2:23" x14ac:dyDescent="0.3">
      <c r="B19" s="198" t="s">
        <v>1174</v>
      </c>
      <c r="C19" s="209">
        <v>0.04</v>
      </c>
      <c r="D19" s="199">
        <v>2371</v>
      </c>
      <c r="E19" s="199">
        <v>1725</v>
      </c>
      <c r="F19" s="209">
        <f t="shared" si="0"/>
        <v>2.9220449232645593E-2</v>
      </c>
      <c r="H19" s="1" t="s">
        <v>1174</v>
      </c>
      <c r="I19" s="29">
        <v>4.2999999999999997E-2</v>
      </c>
      <c r="J19" s="2">
        <v>2337</v>
      </c>
      <c r="K19" s="2">
        <v>1879</v>
      </c>
      <c r="L19" s="29">
        <f t="shared" si="1"/>
        <v>3.8289894646750762E-2</v>
      </c>
      <c r="N19" s="1" t="s">
        <v>1174</v>
      </c>
      <c r="O19" s="29">
        <v>4.3999999999999997E-2</v>
      </c>
      <c r="P19" s="2">
        <v>2417</v>
      </c>
      <c r="Q19" s="2">
        <v>2386</v>
      </c>
      <c r="R19" s="29">
        <f t="shared" si="2"/>
        <v>3.1813757516766891E-2</v>
      </c>
    </row>
    <row r="20" spans="2:23" x14ac:dyDescent="0.3">
      <c r="B20" s="198"/>
      <c r="C20" s="209"/>
      <c r="D20" s="199"/>
      <c r="E20" s="199"/>
      <c r="F20" s="209" t="str">
        <f t="shared" si="0"/>
        <v xml:space="preserve"> </v>
      </c>
      <c r="I20" s="29"/>
      <c r="J20" s="2"/>
      <c r="K20" s="2"/>
      <c r="L20" s="29" t="str">
        <f t="shared" si="1"/>
        <v xml:space="preserve"> </v>
      </c>
      <c r="N20" s="1" t="s">
        <v>1175</v>
      </c>
      <c r="O20" s="29">
        <v>0.17199999999999999</v>
      </c>
      <c r="P20" s="2">
        <v>536</v>
      </c>
      <c r="Q20" s="2">
        <v>611</v>
      </c>
      <c r="R20" s="29">
        <f t="shared" si="2"/>
        <v>8.1467752903372041E-3</v>
      </c>
    </row>
    <row r="21" spans="2:23" x14ac:dyDescent="0.3">
      <c r="B21" s="198" t="s">
        <v>1176</v>
      </c>
      <c r="C21" s="209">
        <v>0.01</v>
      </c>
      <c r="D21" s="199">
        <v>1893</v>
      </c>
      <c r="E21" s="199">
        <v>2087</v>
      </c>
      <c r="F21" s="209">
        <f t="shared" si="0"/>
        <v>3.5352508723786293E-2</v>
      </c>
      <c r="H21" s="1" t="s">
        <v>1176</v>
      </c>
      <c r="I21" s="29">
        <v>5.0000000000000001E-3</v>
      </c>
      <c r="J21" s="2">
        <v>942</v>
      </c>
      <c r="K21" s="2">
        <v>1118</v>
      </c>
      <c r="L21" s="29">
        <f t="shared" si="1"/>
        <v>2.2782385425794225E-2</v>
      </c>
      <c r="N21" s="1" t="s">
        <v>1176</v>
      </c>
      <c r="O21" s="29">
        <v>5.0000000000000001E-3</v>
      </c>
      <c r="P21" s="2">
        <v>942</v>
      </c>
      <c r="Q21" s="2">
        <v>948</v>
      </c>
      <c r="R21" s="29">
        <f t="shared" si="2"/>
        <v>1.2640168535580474E-2</v>
      </c>
    </row>
    <row r="22" spans="2:23" x14ac:dyDescent="0.3">
      <c r="B22" s="198"/>
      <c r="C22" s="209"/>
      <c r="D22" s="199"/>
      <c r="E22" s="199"/>
      <c r="F22" s="209" t="str">
        <f t="shared" si="0"/>
        <v xml:space="preserve"> </v>
      </c>
      <c r="H22" s="1" t="s">
        <v>1177</v>
      </c>
      <c r="I22" s="29">
        <v>0.184</v>
      </c>
      <c r="J22" s="2">
        <v>11</v>
      </c>
      <c r="K22" s="2">
        <v>674</v>
      </c>
      <c r="L22" s="29">
        <f t="shared" si="1"/>
        <v>1.3734640229861634E-2</v>
      </c>
      <c r="N22" s="1" t="s">
        <v>1177</v>
      </c>
      <c r="O22" s="29">
        <v>0.182</v>
      </c>
      <c r="P22" s="2">
        <v>11</v>
      </c>
      <c r="Q22" s="2">
        <v>1367</v>
      </c>
      <c r="R22" s="29">
        <f t="shared" si="2"/>
        <v>1.8226909692129228E-2</v>
      </c>
    </row>
    <row r="23" spans="2:23" x14ac:dyDescent="0.3">
      <c r="B23" s="198" t="s">
        <v>1014</v>
      </c>
      <c r="C23" s="209">
        <v>6.5000000000000002E-2</v>
      </c>
      <c r="D23" s="199">
        <v>7394</v>
      </c>
      <c r="E23" s="199">
        <v>9021</v>
      </c>
      <c r="F23" s="209">
        <f t="shared" si="0"/>
        <v>0.15281024494359183</v>
      </c>
      <c r="H23" s="1" t="s">
        <v>1014</v>
      </c>
      <c r="I23" s="29">
        <v>7.1999999999999995E-2</v>
      </c>
      <c r="J23" s="2">
        <v>6702</v>
      </c>
      <c r="K23" s="2">
        <v>8973</v>
      </c>
      <c r="L23" s="29">
        <f t="shared" si="1"/>
        <v>0.18285003973671876</v>
      </c>
      <c r="N23" s="1" t="s">
        <v>1014</v>
      </c>
      <c r="O23" s="29">
        <v>9.1999999999999998E-2</v>
      </c>
      <c r="P23" s="2">
        <v>6677</v>
      </c>
      <c r="Q23" s="2">
        <v>9160</v>
      </c>
      <c r="R23" s="29">
        <f t="shared" si="2"/>
        <v>0.12213496179949065</v>
      </c>
    </row>
    <row r="24" spans="2:23" x14ac:dyDescent="0.3">
      <c r="B24" s="198"/>
      <c r="C24" s="198"/>
      <c r="D24" s="199"/>
      <c r="E24" s="199"/>
      <c r="F24" s="209" t="str">
        <f t="shared" si="0"/>
        <v xml:space="preserve"> </v>
      </c>
      <c r="J24" s="2"/>
      <c r="K24" s="2"/>
      <c r="L24" s="29" t="str">
        <f t="shared" si="1"/>
        <v xml:space="preserve"> </v>
      </c>
      <c r="N24" s="1" t="s">
        <v>1178</v>
      </c>
      <c r="O24" s="29">
        <v>0.16300000000000001</v>
      </c>
      <c r="P24" s="2">
        <v>369</v>
      </c>
      <c r="Q24" s="2">
        <v>886</v>
      </c>
      <c r="R24" s="29">
        <f t="shared" si="2"/>
        <v>1.181349084654462E-2</v>
      </c>
    </row>
    <row r="25" spans="2:23" x14ac:dyDescent="0.3">
      <c r="B25" s="198" t="s">
        <v>1162</v>
      </c>
      <c r="C25" s="198"/>
      <c r="D25" s="199">
        <v>6680</v>
      </c>
      <c r="E25" s="199">
        <v>8636</v>
      </c>
      <c r="F25" s="209">
        <f t="shared" si="0"/>
        <v>0.14628857946268253</v>
      </c>
      <c r="H25" s="1" t="s">
        <v>1162</v>
      </c>
      <c r="J25" s="2">
        <v>6035</v>
      </c>
      <c r="K25" s="2">
        <v>4870</v>
      </c>
      <c r="L25" s="29">
        <f t="shared" si="1"/>
        <v>9.9239907892323675E-2</v>
      </c>
      <c r="N25" s="1" t="s">
        <v>1162</v>
      </c>
      <c r="P25" s="2">
        <v>5238</v>
      </c>
      <c r="Q25" s="2">
        <v>7633</v>
      </c>
      <c r="R25" s="124">
        <f t="shared" si="2"/>
        <v>0.10177469032920439</v>
      </c>
    </row>
    <row r="26" spans="2:23" x14ac:dyDescent="0.3">
      <c r="B26" s="1" t="s">
        <v>1179</v>
      </c>
      <c r="D26" s="102">
        <f>SUM(D5:D25)</f>
        <v>34646</v>
      </c>
      <c r="E26" s="102">
        <f>SUM(E5:E25)</f>
        <v>59034</v>
      </c>
      <c r="F26" s="29">
        <f t="shared" ref="F26" si="3">E26/E$26</f>
        <v>1</v>
      </c>
      <c r="H26" s="1" t="s">
        <v>1179</v>
      </c>
      <c r="J26" s="102">
        <f>SUM(J5:J25)</f>
        <v>37135</v>
      </c>
      <c r="K26" s="102">
        <f>SUM(K5:K25)</f>
        <v>49073</v>
      </c>
      <c r="L26" s="29">
        <f t="shared" ref="L26" si="4">K26/K$26</f>
        <v>1</v>
      </c>
      <c r="N26" s="1" t="s">
        <v>1179</v>
      </c>
      <c r="P26" s="102">
        <f>SUM(P5:P25)</f>
        <v>39252</v>
      </c>
      <c r="Q26" s="102">
        <f>SUM(Q5:Q25)</f>
        <v>74999</v>
      </c>
      <c r="R26" s="29">
        <f t="shared" si="2"/>
        <v>1</v>
      </c>
    </row>
    <row r="27" spans="2:23" x14ac:dyDescent="0.3">
      <c r="R27" s="29"/>
    </row>
    <row r="28" spans="2:23" s="12" customFormat="1" x14ac:dyDescent="0.3">
      <c r="B28" s="12" t="s">
        <v>1192</v>
      </c>
      <c r="E28" s="208"/>
      <c r="H28" s="12" t="s">
        <v>1188</v>
      </c>
      <c r="K28" s="208"/>
      <c r="N28" s="12" t="s">
        <v>1187</v>
      </c>
      <c r="T28" s="45"/>
      <c r="U28" s="45"/>
      <c r="V28" s="45"/>
      <c r="W28" s="45"/>
    </row>
  </sheetData>
  <mergeCells count="3">
    <mergeCell ref="N3:R3"/>
    <mergeCell ref="H3:L3"/>
    <mergeCell ref="B3:F3"/>
  </mergeCells>
  <pageMargins left="0.7" right="0.7" top="0.75" bottom="0.75" header="0.3" footer="0.3"/>
  <pageSetup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EB25-A5A3-4F6D-BA2F-89FED13417A8}">
  <sheetPr codeName="Sheet81">
    <tabColor theme="4"/>
  </sheetPr>
  <dimension ref="A1:M43"/>
  <sheetViews>
    <sheetView showGridLines="0" workbookViewId="0">
      <selection activeCell="I33" sqref="I33"/>
    </sheetView>
  </sheetViews>
  <sheetFormatPr defaultColWidth="8.6640625" defaultRowHeight="13.8" x14ac:dyDescent="0.25"/>
  <cols>
    <col min="1" max="1" width="32.5546875" style="1" customWidth="1"/>
    <col min="2" max="3" width="8.88671875" style="1" bestFit="1" customWidth="1"/>
    <col min="4" max="4" width="12.44140625" style="1" customWidth="1"/>
    <col min="5" max="5" width="4.5546875" style="1" customWidth="1"/>
    <col min="6" max="6" width="34.109375" style="1" bestFit="1" customWidth="1"/>
    <col min="7" max="8" width="8.88671875" style="1" bestFit="1" customWidth="1"/>
    <col min="9" max="9" width="12.44140625" style="1" customWidth="1"/>
    <col min="10" max="10" width="4.44140625" style="1" customWidth="1"/>
    <col min="11" max="11" width="8.5546875" style="1" bestFit="1" customWidth="1"/>
    <col min="12" max="12" width="10.109375" style="1" bestFit="1" customWidth="1"/>
    <col min="13" max="13" width="12.44140625" style="1" customWidth="1"/>
    <col min="14" max="16384" width="8.6640625" style="1"/>
  </cols>
  <sheetData>
    <row r="1" spans="1:13" ht="14.4" x14ac:dyDescent="0.3">
      <c r="A1" s="190" t="s">
        <v>1020</v>
      </c>
    </row>
    <row r="2" spans="1:13" ht="14.4" x14ac:dyDescent="0.3">
      <c r="A2" s="144" t="s">
        <v>1021</v>
      </c>
      <c r="E2" s="205"/>
      <c r="J2" s="205"/>
    </row>
    <row r="3" spans="1:13" x14ac:dyDescent="0.25">
      <c r="A3" s="2955">
        <v>2007</v>
      </c>
      <c r="B3" s="2955"/>
      <c r="C3" s="2955"/>
      <c r="D3" s="2955"/>
      <c r="E3" s="204"/>
      <c r="F3" s="2955">
        <v>2008</v>
      </c>
      <c r="G3" s="2955">
        <v>2008</v>
      </c>
      <c r="H3" s="2955"/>
      <c r="I3" s="2955"/>
      <c r="J3" s="204"/>
      <c r="K3" s="2955" t="s">
        <v>1183</v>
      </c>
      <c r="L3" s="2955"/>
      <c r="M3" s="2955"/>
    </row>
    <row r="4" spans="1:13" x14ac:dyDescent="0.25">
      <c r="A4" s="189" t="s">
        <v>1161</v>
      </c>
      <c r="B4" s="189" t="s">
        <v>1017</v>
      </c>
      <c r="C4" s="189" t="s">
        <v>1018</v>
      </c>
      <c r="D4" s="189" t="s">
        <v>1180</v>
      </c>
      <c r="E4" s="189"/>
      <c r="F4" s="189" t="s">
        <v>1161</v>
      </c>
      <c r="G4" s="189" t="s">
        <v>1017</v>
      </c>
      <c r="H4" s="189" t="s">
        <v>1018</v>
      </c>
      <c r="I4" s="189" t="s">
        <v>1180</v>
      </c>
      <c r="J4" s="189"/>
      <c r="K4" s="189" t="s">
        <v>1017</v>
      </c>
      <c r="L4" s="189" t="s">
        <v>1018</v>
      </c>
      <c r="M4" s="189" t="s">
        <v>1180</v>
      </c>
    </row>
    <row r="5" spans="1:13" x14ac:dyDescent="0.25">
      <c r="A5" s="1" t="s">
        <v>1164</v>
      </c>
      <c r="B5" s="13">
        <v>1287</v>
      </c>
      <c r="C5" s="13">
        <v>7887</v>
      </c>
      <c r="D5" s="29">
        <v>0.13100000000000001</v>
      </c>
      <c r="F5" s="1" t="s">
        <v>1164</v>
      </c>
      <c r="G5" s="13">
        <v>1287</v>
      </c>
      <c r="H5" s="13">
        <v>2812</v>
      </c>
      <c r="I5" s="29">
        <v>0.13100000000000001</v>
      </c>
      <c r="K5" s="13">
        <f>G5-B5</f>
        <v>0</v>
      </c>
      <c r="L5" s="13">
        <f t="shared" ref="L5" si="0">H5-C5</f>
        <v>-5075</v>
      </c>
      <c r="M5" s="29">
        <f t="shared" ref="M5:M24" si="1">I5-D5</f>
        <v>0</v>
      </c>
    </row>
    <row r="6" spans="1:13" x14ac:dyDescent="0.25">
      <c r="A6" s="1" t="s">
        <v>1163</v>
      </c>
      <c r="B6" s="13">
        <v>1718</v>
      </c>
      <c r="C6" s="13">
        <v>1861</v>
      </c>
      <c r="D6" s="29">
        <v>4.8000000000000001E-2</v>
      </c>
      <c r="G6" s="13"/>
      <c r="H6" s="13"/>
      <c r="I6" s="29"/>
      <c r="K6" s="13">
        <f t="shared" ref="K6:K25" si="2">G6-B6</f>
        <v>-1718</v>
      </c>
      <c r="L6" s="13">
        <f t="shared" ref="L6:L25" si="3">H6-C6</f>
        <v>-1861</v>
      </c>
      <c r="M6" s="29">
        <f t="shared" si="1"/>
        <v>-4.8000000000000001E-2</v>
      </c>
    </row>
    <row r="7" spans="1:13" x14ac:dyDescent="0.25">
      <c r="A7" s="1" t="s">
        <v>1165</v>
      </c>
      <c r="B7" s="13">
        <v>4731</v>
      </c>
      <c r="C7" s="13">
        <v>5063</v>
      </c>
      <c r="D7" s="29">
        <v>0.17499999999999999</v>
      </c>
      <c r="G7" s="13"/>
      <c r="H7" s="13"/>
      <c r="I7" s="29"/>
      <c r="K7" s="13">
        <f t="shared" si="2"/>
        <v>-4731</v>
      </c>
      <c r="L7" s="13">
        <f t="shared" si="3"/>
        <v>-5063</v>
      </c>
      <c r="M7" s="29">
        <f t="shared" si="1"/>
        <v>-0.17499999999999999</v>
      </c>
    </row>
    <row r="8" spans="1:13" x14ac:dyDescent="0.25">
      <c r="A8" s="1" t="s">
        <v>1012</v>
      </c>
      <c r="B8" s="13">
        <v>1299</v>
      </c>
      <c r="C8" s="13">
        <v>12274</v>
      </c>
      <c r="D8" s="29">
        <v>8.5999999999999993E-2</v>
      </c>
      <c r="F8" s="1" t="s">
        <v>1012</v>
      </c>
      <c r="G8" s="13">
        <v>1299</v>
      </c>
      <c r="H8" s="13">
        <v>9054</v>
      </c>
      <c r="I8" s="29">
        <v>8.5999999999999993E-2</v>
      </c>
      <c r="K8" s="13">
        <f t="shared" si="2"/>
        <v>0</v>
      </c>
      <c r="L8" s="13">
        <f t="shared" si="3"/>
        <v>-3220</v>
      </c>
      <c r="M8" s="29">
        <f t="shared" si="1"/>
        <v>0</v>
      </c>
    </row>
    <row r="9" spans="1:13" x14ac:dyDescent="0.25">
      <c r="A9" s="1" t="s">
        <v>1166</v>
      </c>
      <c r="B9" s="13">
        <v>1039</v>
      </c>
      <c r="C9" s="13">
        <v>1546</v>
      </c>
      <c r="D9" s="29">
        <v>1.0999999999999999E-2</v>
      </c>
      <c r="F9" s="1" t="s">
        <v>1166</v>
      </c>
      <c r="G9" s="13">
        <v>7008</v>
      </c>
      <c r="H9" s="13">
        <v>4398</v>
      </c>
      <c r="I9" s="29">
        <v>5.7000000000000002E-2</v>
      </c>
      <c r="K9" s="13">
        <f t="shared" si="2"/>
        <v>5969</v>
      </c>
      <c r="L9" s="13">
        <f t="shared" si="3"/>
        <v>2852</v>
      </c>
      <c r="M9" s="29">
        <f t="shared" si="1"/>
        <v>4.5999999999999999E-2</v>
      </c>
    </row>
    <row r="10" spans="1:13" x14ac:dyDescent="0.25">
      <c r="A10" s="1" t="s">
        <v>1167</v>
      </c>
      <c r="B10" s="13">
        <v>3943</v>
      </c>
      <c r="C10" s="13">
        <v>4287</v>
      </c>
      <c r="D10" s="29">
        <v>2.1999999999999999E-2</v>
      </c>
      <c r="F10" s="1" t="s">
        <v>1167</v>
      </c>
      <c r="G10" s="13">
        <v>1847</v>
      </c>
      <c r="H10" s="13">
        <v>1795</v>
      </c>
      <c r="I10" s="29">
        <v>1.0999999999999999E-2</v>
      </c>
      <c r="K10" s="13">
        <f t="shared" si="2"/>
        <v>-2096</v>
      </c>
      <c r="L10" s="13">
        <f t="shared" si="3"/>
        <v>-2492</v>
      </c>
      <c r="M10" s="29">
        <f t="shared" si="1"/>
        <v>-1.0999999999999999E-2</v>
      </c>
    </row>
    <row r="11" spans="1:13" x14ac:dyDescent="0.25">
      <c r="A11" s="1" t="s">
        <v>1168</v>
      </c>
      <c r="B11" s="13">
        <v>4152</v>
      </c>
      <c r="C11" s="13">
        <v>4059</v>
      </c>
      <c r="D11" s="29">
        <v>8.1000000000000003E-2</v>
      </c>
      <c r="F11" s="1" t="s">
        <v>1168</v>
      </c>
      <c r="G11" s="13">
        <v>4330</v>
      </c>
      <c r="H11" s="13">
        <v>3498</v>
      </c>
      <c r="I11" s="29">
        <v>8.8999999999999996E-2</v>
      </c>
      <c r="K11" s="13">
        <f t="shared" si="2"/>
        <v>178</v>
      </c>
      <c r="L11" s="13">
        <f t="shared" si="3"/>
        <v>-561</v>
      </c>
      <c r="M11" s="29">
        <f t="shared" si="1"/>
        <v>7.9999999999999932E-3</v>
      </c>
    </row>
    <row r="12" spans="1:13" x14ac:dyDescent="0.25">
      <c r="A12" s="1" t="s">
        <v>1169</v>
      </c>
      <c r="B12" s="13">
        <v>499</v>
      </c>
      <c r="C12" s="13">
        <v>1714</v>
      </c>
      <c r="D12" s="29">
        <v>0.191</v>
      </c>
      <c r="G12" s="13"/>
      <c r="H12" s="13"/>
      <c r="I12" s="29"/>
      <c r="K12" s="13">
        <f t="shared" si="2"/>
        <v>-499</v>
      </c>
      <c r="L12" s="13">
        <f t="shared" si="3"/>
        <v>-1714</v>
      </c>
      <c r="M12" s="29">
        <f t="shared" si="1"/>
        <v>-0.191</v>
      </c>
    </row>
    <row r="13" spans="1:13" x14ac:dyDescent="0.25">
      <c r="A13" s="1" t="s">
        <v>1170</v>
      </c>
      <c r="B13" s="13">
        <v>572</v>
      </c>
      <c r="C13" s="13">
        <v>2136</v>
      </c>
      <c r="D13" s="29">
        <v>4.4999999999999998E-2</v>
      </c>
      <c r="F13" s="1" t="s">
        <v>1170</v>
      </c>
      <c r="G13" s="13">
        <v>768</v>
      </c>
      <c r="H13" s="13">
        <v>1191</v>
      </c>
      <c r="I13" s="29">
        <v>5.1999999999999998E-2</v>
      </c>
      <c r="K13" s="13">
        <f t="shared" si="2"/>
        <v>196</v>
      </c>
      <c r="L13" s="13">
        <f t="shared" si="3"/>
        <v>-945</v>
      </c>
      <c r="M13" s="29">
        <f t="shared" si="1"/>
        <v>6.9999999999999993E-3</v>
      </c>
    </row>
    <row r="14" spans="1:13" x14ac:dyDescent="0.25">
      <c r="A14" s="1" t="s">
        <v>1171</v>
      </c>
      <c r="B14" s="13">
        <v>1030</v>
      </c>
      <c r="C14" s="13">
        <v>7450</v>
      </c>
      <c r="D14" s="29">
        <v>3.3000000000000002E-2</v>
      </c>
      <c r="F14" s="1" t="s">
        <v>1171</v>
      </c>
      <c r="G14" s="13">
        <v>643</v>
      </c>
      <c r="H14" s="13">
        <v>5684</v>
      </c>
      <c r="I14" s="29">
        <v>3.1E-2</v>
      </c>
      <c r="K14" s="13">
        <f t="shared" si="2"/>
        <v>-387</v>
      </c>
      <c r="L14" s="13">
        <f t="shared" si="3"/>
        <v>-1766</v>
      </c>
      <c r="M14" s="29">
        <f t="shared" si="1"/>
        <v>-2.0000000000000018E-3</v>
      </c>
    </row>
    <row r="15" spans="1:13" x14ac:dyDescent="0.25">
      <c r="A15" s="1" t="s">
        <v>1172</v>
      </c>
      <c r="B15" s="13">
        <v>1466</v>
      </c>
      <c r="C15" s="13">
        <v>1575</v>
      </c>
      <c r="D15" s="29">
        <v>1.2999999999999999E-2</v>
      </c>
      <c r="F15" s="1" t="s">
        <v>1172</v>
      </c>
      <c r="G15" s="13">
        <v>1827</v>
      </c>
      <c r="H15" s="13">
        <v>1404</v>
      </c>
      <c r="I15" s="29">
        <v>1.7000000000000001E-2</v>
      </c>
      <c r="K15" s="13">
        <f t="shared" si="2"/>
        <v>361</v>
      </c>
      <c r="L15" s="13">
        <f t="shared" si="3"/>
        <v>-171</v>
      </c>
      <c r="M15" s="29">
        <f t="shared" si="1"/>
        <v>4.0000000000000018E-3</v>
      </c>
    </row>
    <row r="16" spans="1:13" x14ac:dyDescent="0.25">
      <c r="B16" s="13"/>
      <c r="C16" s="13"/>
      <c r="D16" s="29"/>
      <c r="F16" s="1" t="s">
        <v>1181</v>
      </c>
      <c r="G16" s="13">
        <v>773</v>
      </c>
      <c r="H16" s="13">
        <v>530</v>
      </c>
      <c r="I16" s="29">
        <v>3.2000000000000001E-2</v>
      </c>
      <c r="K16" s="13">
        <f t="shared" si="2"/>
        <v>773</v>
      </c>
      <c r="L16" s="13">
        <f t="shared" si="3"/>
        <v>530</v>
      </c>
      <c r="M16" s="29">
        <f t="shared" si="1"/>
        <v>3.2000000000000001E-2</v>
      </c>
    </row>
    <row r="17" spans="1:13" x14ac:dyDescent="0.25">
      <c r="A17" s="1" t="s">
        <v>1173</v>
      </c>
      <c r="B17" s="13">
        <v>1326</v>
      </c>
      <c r="C17" s="13">
        <v>2156</v>
      </c>
      <c r="D17" s="29">
        <v>2.9000000000000001E-2</v>
      </c>
      <c r="F17" s="1" t="s">
        <v>1173</v>
      </c>
      <c r="G17" s="13">
        <v>1326</v>
      </c>
      <c r="H17" s="13">
        <v>1193</v>
      </c>
      <c r="I17" s="29">
        <v>2.9000000000000001E-2</v>
      </c>
      <c r="K17" s="13">
        <f t="shared" si="2"/>
        <v>0</v>
      </c>
      <c r="L17" s="13">
        <f t="shared" si="3"/>
        <v>-963</v>
      </c>
      <c r="M17" s="29">
        <f t="shared" si="1"/>
        <v>0</v>
      </c>
    </row>
    <row r="18" spans="1:13" x14ac:dyDescent="0.25">
      <c r="A18" s="1" t="s">
        <v>1174</v>
      </c>
      <c r="B18" s="13">
        <v>2417</v>
      </c>
      <c r="C18" s="13">
        <v>2386</v>
      </c>
      <c r="D18" s="29">
        <v>4.3999999999999997E-2</v>
      </c>
      <c r="F18" s="1" t="s">
        <v>1174</v>
      </c>
      <c r="G18" s="13">
        <v>2337</v>
      </c>
      <c r="H18" s="13">
        <v>1879</v>
      </c>
      <c r="I18" s="29">
        <v>4.2999999999999997E-2</v>
      </c>
      <c r="K18" s="13">
        <f t="shared" si="2"/>
        <v>-80</v>
      </c>
      <c r="L18" s="13">
        <f t="shared" si="3"/>
        <v>-507</v>
      </c>
      <c r="M18" s="29">
        <f t="shared" si="1"/>
        <v>-1.0000000000000009E-3</v>
      </c>
    </row>
    <row r="19" spans="1:13" x14ac:dyDescent="0.25">
      <c r="A19" s="1" t="s">
        <v>1175</v>
      </c>
      <c r="B19" s="13">
        <v>536</v>
      </c>
      <c r="C19" s="13">
        <v>611</v>
      </c>
      <c r="D19" s="29">
        <v>0.17199999999999999</v>
      </c>
      <c r="G19" s="13"/>
      <c r="H19" s="13"/>
      <c r="I19" s="29"/>
      <c r="K19" s="13">
        <f t="shared" si="2"/>
        <v>-536</v>
      </c>
      <c r="L19" s="13">
        <f t="shared" si="3"/>
        <v>-611</v>
      </c>
      <c r="M19" s="29">
        <f t="shared" si="1"/>
        <v>-0.17199999999999999</v>
      </c>
    </row>
    <row r="20" spans="1:13" x14ac:dyDescent="0.25">
      <c r="A20" s="1" t="s">
        <v>1176</v>
      </c>
      <c r="B20" s="13">
        <v>942</v>
      </c>
      <c r="C20" s="13">
        <v>948</v>
      </c>
      <c r="D20" s="29">
        <v>5.0000000000000001E-3</v>
      </c>
      <c r="F20" s="1" t="s">
        <v>1176</v>
      </c>
      <c r="G20" s="13">
        <v>942</v>
      </c>
      <c r="H20" s="13">
        <v>1118</v>
      </c>
      <c r="I20" s="29">
        <v>5.0000000000000001E-3</v>
      </c>
      <c r="K20" s="13">
        <f t="shared" si="2"/>
        <v>0</v>
      </c>
      <c r="L20" s="13">
        <f t="shared" si="3"/>
        <v>170</v>
      </c>
      <c r="M20" s="29">
        <f t="shared" si="1"/>
        <v>0</v>
      </c>
    </row>
    <row r="21" spans="1:13" x14ac:dyDescent="0.25">
      <c r="A21" s="1" t="s">
        <v>1177</v>
      </c>
      <c r="B21" s="13">
        <v>11</v>
      </c>
      <c r="C21" s="13">
        <v>1367</v>
      </c>
      <c r="D21" s="29">
        <v>0.182</v>
      </c>
      <c r="F21" s="1" t="s">
        <v>1177</v>
      </c>
      <c r="G21" s="13">
        <v>11</v>
      </c>
      <c r="H21" s="13">
        <v>674</v>
      </c>
      <c r="I21" s="29">
        <v>0.184</v>
      </c>
      <c r="K21" s="13">
        <f t="shared" si="2"/>
        <v>0</v>
      </c>
      <c r="L21" s="13">
        <f t="shared" si="3"/>
        <v>-693</v>
      </c>
      <c r="M21" s="29">
        <f t="shared" si="1"/>
        <v>2.0000000000000018E-3</v>
      </c>
    </row>
    <row r="22" spans="1:13" x14ac:dyDescent="0.25">
      <c r="A22" s="1" t="s">
        <v>1014</v>
      </c>
      <c r="B22" s="13">
        <v>6677</v>
      </c>
      <c r="C22" s="13">
        <v>9160</v>
      </c>
      <c r="D22" s="29">
        <v>9.1999999999999998E-2</v>
      </c>
      <c r="F22" s="1" t="s">
        <v>1014</v>
      </c>
      <c r="G22" s="13">
        <v>6702</v>
      </c>
      <c r="H22" s="13">
        <v>8973</v>
      </c>
      <c r="I22" s="29">
        <v>7.1999999999999995E-2</v>
      </c>
      <c r="K22" s="13">
        <f t="shared" si="2"/>
        <v>25</v>
      </c>
      <c r="L22" s="13">
        <f t="shared" si="3"/>
        <v>-187</v>
      </c>
      <c r="M22" s="29">
        <f t="shared" si="1"/>
        <v>-2.0000000000000004E-2</v>
      </c>
    </row>
    <row r="23" spans="1:13" x14ac:dyDescent="0.25">
      <c r="A23" s="1" t="s">
        <v>1178</v>
      </c>
      <c r="B23" s="13">
        <v>369</v>
      </c>
      <c r="C23" s="13">
        <v>886</v>
      </c>
      <c r="D23" s="29">
        <v>0.16300000000000001</v>
      </c>
      <c r="G23" s="13"/>
      <c r="H23" s="13"/>
      <c r="I23" s="29"/>
      <c r="K23" s="13">
        <f t="shared" si="2"/>
        <v>-369</v>
      </c>
      <c r="L23" s="13">
        <f t="shared" si="3"/>
        <v>-886</v>
      </c>
      <c r="M23" s="29">
        <f t="shared" si="1"/>
        <v>-0.16300000000000001</v>
      </c>
    </row>
    <row r="24" spans="1:13" x14ac:dyDescent="0.25">
      <c r="A24" s="1" t="s">
        <v>1162</v>
      </c>
      <c r="B24" s="13">
        <v>5238</v>
      </c>
      <c r="C24" s="13">
        <v>7633</v>
      </c>
      <c r="D24" s="29"/>
      <c r="F24" s="1" t="s">
        <v>1162</v>
      </c>
      <c r="G24" s="13">
        <v>6035</v>
      </c>
      <c r="H24" s="13">
        <v>4870</v>
      </c>
      <c r="I24" s="29"/>
      <c r="K24" s="13">
        <f t="shared" si="2"/>
        <v>797</v>
      </c>
      <c r="L24" s="13">
        <f t="shared" si="3"/>
        <v>-2763</v>
      </c>
      <c r="M24" s="29">
        <f t="shared" si="1"/>
        <v>0</v>
      </c>
    </row>
    <row r="25" spans="1:13" x14ac:dyDescent="0.25">
      <c r="A25" s="1" t="s">
        <v>1179</v>
      </c>
      <c r="B25" s="102">
        <f>SUM(B5:B24)</f>
        <v>39252</v>
      </c>
      <c r="C25" s="102">
        <f>SUM(C5:C24)</f>
        <v>74999</v>
      </c>
      <c r="D25" s="29"/>
      <c r="F25" s="1" t="s">
        <v>1179</v>
      </c>
      <c r="G25" s="102">
        <f>SUM(G5:G24)</f>
        <v>37135</v>
      </c>
      <c r="H25" s="102">
        <f>SUM(H5:H24)</f>
        <v>49073</v>
      </c>
      <c r="I25" s="29"/>
      <c r="K25" s="102">
        <f t="shared" si="2"/>
        <v>-2117</v>
      </c>
      <c r="L25" s="102">
        <f t="shared" si="3"/>
        <v>-25926</v>
      </c>
      <c r="M25" s="29"/>
    </row>
    <row r="26" spans="1:13" x14ac:dyDescent="0.25">
      <c r="D26" s="29"/>
    </row>
    <row r="27" spans="1:13" x14ac:dyDescent="0.25">
      <c r="H27" s="14"/>
    </row>
    <row r="28" spans="1:13" x14ac:dyDescent="0.25">
      <c r="A28" s="1" t="s">
        <v>1182</v>
      </c>
    </row>
    <row r="30" spans="1:13" x14ac:dyDescent="0.25">
      <c r="A30" s="1" t="s">
        <v>1187</v>
      </c>
      <c r="F30" s="1" t="s">
        <v>1188</v>
      </c>
    </row>
    <row r="31" spans="1:13" ht="14.4" thickBot="1" x14ac:dyDescent="0.3"/>
    <row r="32" spans="1:13" ht="14.4" x14ac:dyDescent="0.3">
      <c r="A32" s="190" t="s">
        <v>1020</v>
      </c>
      <c r="B32" s="2956">
        <v>1994</v>
      </c>
      <c r="C32" s="2956"/>
      <c r="D32" s="202"/>
      <c r="E32" s="202"/>
      <c r="F32" s="202"/>
      <c r="G32" s="2956">
        <v>2004</v>
      </c>
      <c r="H32" s="2956"/>
      <c r="I32" s="202"/>
      <c r="J32" s="202"/>
      <c r="K32" s="2956">
        <v>2004</v>
      </c>
      <c r="L32" s="2956"/>
      <c r="M32" s="202"/>
    </row>
    <row r="33" spans="1:13" ht="14.4" x14ac:dyDescent="0.3">
      <c r="A33" s="144" t="s">
        <v>1021</v>
      </c>
      <c r="B33" s="189" t="s">
        <v>1017</v>
      </c>
      <c r="C33" s="189" t="s">
        <v>1018</v>
      </c>
      <c r="D33" s="189"/>
      <c r="E33" s="189"/>
      <c r="F33" s="189"/>
      <c r="G33" s="189" t="s">
        <v>1017</v>
      </c>
      <c r="H33" s="189" t="s">
        <v>1018</v>
      </c>
      <c r="I33" s="189"/>
      <c r="J33" s="189"/>
      <c r="K33" s="189" t="s">
        <v>1017</v>
      </c>
      <c r="L33" s="189" t="s">
        <v>1018</v>
      </c>
      <c r="M33" s="189"/>
    </row>
    <row r="34" spans="1:13" x14ac:dyDescent="0.25">
      <c r="A34" s="6" t="s">
        <v>1019</v>
      </c>
      <c r="B34" s="13">
        <v>724</v>
      </c>
      <c r="C34" s="13">
        <v>819</v>
      </c>
      <c r="D34" s="13"/>
      <c r="E34" s="13"/>
      <c r="F34" s="13"/>
      <c r="G34" s="13">
        <v>1470</v>
      </c>
      <c r="H34" s="13">
        <v>8546</v>
      </c>
      <c r="I34" s="13"/>
      <c r="J34" s="13"/>
      <c r="K34" s="13">
        <v>1470</v>
      </c>
      <c r="L34" s="13">
        <v>8546</v>
      </c>
      <c r="M34" s="13"/>
    </row>
    <row r="35" spans="1:13" x14ac:dyDescent="0.25">
      <c r="A35" s="6" t="s">
        <v>1012</v>
      </c>
      <c r="B35" s="2">
        <v>1299</v>
      </c>
      <c r="C35" s="2">
        <v>5150</v>
      </c>
      <c r="D35" s="2"/>
      <c r="E35" s="2"/>
      <c r="F35" s="2"/>
      <c r="G35" s="2">
        <v>1299</v>
      </c>
      <c r="H35" s="2">
        <v>8328</v>
      </c>
      <c r="I35" s="2"/>
      <c r="J35" s="2"/>
      <c r="K35" s="2">
        <v>1299</v>
      </c>
      <c r="L35" s="2">
        <v>8328</v>
      </c>
      <c r="M35" s="2"/>
    </row>
    <row r="36" spans="1:13" x14ac:dyDescent="0.25">
      <c r="A36" s="6" t="s">
        <v>1013</v>
      </c>
      <c r="B36" s="2">
        <v>600</v>
      </c>
      <c r="C36" s="2">
        <v>1797</v>
      </c>
      <c r="D36" s="2"/>
      <c r="E36" s="2"/>
      <c r="F36" s="2"/>
      <c r="G36" s="2">
        <v>600</v>
      </c>
      <c r="H36" s="2">
        <v>4299</v>
      </c>
      <c r="I36" s="2"/>
      <c r="J36" s="2"/>
      <c r="K36" s="2">
        <v>600</v>
      </c>
      <c r="L36" s="2">
        <v>4299</v>
      </c>
      <c r="M36" s="2"/>
    </row>
    <row r="37" spans="1:13" x14ac:dyDescent="0.25">
      <c r="A37" s="6" t="s">
        <v>1014</v>
      </c>
      <c r="B37" s="2">
        <v>424</v>
      </c>
      <c r="C37" s="2">
        <v>985</v>
      </c>
      <c r="D37" s="2"/>
      <c r="E37" s="2"/>
      <c r="F37" s="2"/>
      <c r="G37" s="2">
        <v>463</v>
      </c>
      <c r="H37" s="2">
        <v>3508</v>
      </c>
      <c r="I37" s="2"/>
      <c r="J37" s="2"/>
      <c r="K37" s="2">
        <v>463</v>
      </c>
      <c r="L37" s="2">
        <v>3508</v>
      </c>
      <c r="M37" s="2"/>
    </row>
    <row r="38" spans="1:13" x14ac:dyDescent="0.25">
      <c r="A38" s="6" t="s">
        <v>498</v>
      </c>
      <c r="B38" s="2">
        <v>10</v>
      </c>
      <c r="C38" s="2">
        <v>419</v>
      </c>
      <c r="D38" s="2"/>
      <c r="E38" s="2"/>
      <c r="F38" s="2"/>
      <c r="G38" s="2">
        <v>11</v>
      </c>
      <c r="H38" s="2">
        <v>1698</v>
      </c>
      <c r="I38" s="2"/>
      <c r="J38" s="2"/>
      <c r="K38" s="2">
        <v>11</v>
      </c>
      <c r="L38" s="2">
        <v>1698</v>
      </c>
      <c r="M38" s="2"/>
    </row>
    <row r="39" spans="1:13" x14ac:dyDescent="0.25">
      <c r="A39" s="6" t="s">
        <v>1015</v>
      </c>
      <c r="B39" s="76">
        <f>B40-SUM(B34:B38)</f>
        <v>2526</v>
      </c>
      <c r="C39" s="76">
        <f>C40-SUM(C34:C38)</f>
        <v>6066</v>
      </c>
      <c r="D39" s="203"/>
      <c r="G39" s="76">
        <f>G40-SUM(G34:G38)</f>
        <v>5213</v>
      </c>
      <c r="H39" s="76">
        <f>H40-SUM(H34:H38)</f>
        <v>11338</v>
      </c>
      <c r="I39" s="203"/>
      <c r="K39" s="76">
        <f>K40-SUM(K34:K38)</f>
        <v>5213</v>
      </c>
      <c r="L39" s="76">
        <f>L40-SUM(L34:L38)</f>
        <v>11338</v>
      </c>
      <c r="M39" s="203"/>
    </row>
    <row r="40" spans="1:13" ht="14.4" thickBot="1" x14ac:dyDescent="0.3">
      <c r="A40" s="9" t="s">
        <v>1016</v>
      </c>
      <c r="B40" s="103">
        <v>5583</v>
      </c>
      <c r="C40" s="103">
        <v>15236</v>
      </c>
      <c r="D40" s="103"/>
      <c r="E40" s="25"/>
      <c r="F40" s="25"/>
      <c r="G40" s="103">
        <v>9056</v>
      </c>
      <c r="H40" s="103">
        <v>37717</v>
      </c>
      <c r="I40" s="103"/>
      <c r="J40" s="25"/>
      <c r="K40" s="103">
        <v>9056</v>
      </c>
      <c r="L40" s="103">
        <v>37717</v>
      </c>
      <c r="M40" s="103"/>
    </row>
    <row r="43" spans="1:13" x14ac:dyDescent="0.25">
      <c r="A43" s="1" t="s">
        <v>1022</v>
      </c>
      <c r="C43" s="69">
        <f>SUM(C34:C37)/C40</f>
        <v>0.57436334996061955</v>
      </c>
      <c r="D43" s="69"/>
      <c r="H43" s="69">
        <f>SUM(H34:H37)/H40</f>
        <v>0.65437335949306674</v>
      </c>
      <c r="I43" s="69"/>
      <c r="L43" s="69">
        <f>SUM(L34:L37)/L40</f>
        <v>0.65437335949306674</v>
      </c>
      <c r="M43" s="69"/>
    </row>
  </sheetData>
  <mergeCells count="6">
    <mergeCell ref="K32:L32"/>
    <mergeCell ref="K3:M3"/>
    <mergeCell ref="B32:C32"/>
    <mergeCell ref="G32:H32"/>
    <mergeCell ref="A3:D3"/>
    <mergeCell ref="F3:I3"/>
  </mergeCells>
  <conditionalFormatting sqref="A5:M5">
    <cfRule type="expression" dxfId="3" priority="3">
      <formula>$M5&lt;0</formula>
    </cfRule>
    <cfRule type="expression" dxfId="2" priority="10">
      <formula>$M5&gt;0</formula>
    </cfRule>
  </conditionalFormatting>
  <conditionalFormatting sqref="A6:M24">
    <cfRule type="expression" dxfId="1" priority="1">
      <formula>$M6&lt;0</formula>
    </cfRule>
    <cfRule type="expression" dxfId="0" priority="2">
      <formula>$M6&gt;0</formula>
    </cfRule>
  </conditionalFormatting>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9259-906C-4C6F-9F52-92F3A038A6E9}">
  <sheetPr>
    <tabColor theme="4"/>
  </sheetPr>
  <dimension ref="A1:AD68"/>
  <sheetViews>
    <sheetView showGridLines="0" zoomScale="85" zoomScaleNormal="85" workbookViewId="0">
      <pane xSplit="1" ySplit="5" topLeftCell="B6" activePane="bottomRight" state="frozen"/>
      <selection activeCell="I33" sqref="I33"/>
      <selection pane="topRight" activeCell="I33" sqref="I33"/>
      <selection pane="bottomLeft" activeCell="I33" sqref="I33"/>
      <selection pane="bottomRight" activeCell="N43" sqref="N43"/>
    </sheetView>
  </sheetViews>
  <sheetFormatPr defaultColWidth="8.6640625" defaultRowHeight="15.6" outlineLevelRow="1" x14ac:dyDescent="0.3"/>
  <cols>
    <col min="1" max="1" width="6" style="211" customWidth="1"/>
    <col min="2" max="4" width="9.109375" style="211" bestFit="1" customWidth="1"/>
    <col min="5" max="5" width="8.44140625" style="211" customWidth="1"/>
    <col min="6" max="6" width="9.109375" style="211" bestFit="1" customWidth="1"/>
    <col min="7" max="7" width="1" style="211" customWidth="1"/>
    <col min="8" max="8" width="9.109375" style="211" bestFit="1" customWidth="1"/>
    <col min="9" max="9" width="7.44140625" style="211" bestFit="1" customWidth="1"/>
    <col min="10" max="10" width="1.44140625" style="211" customWidth="1"/>
    <col min="11" max="11" width="5.88671875" style="211" bestFit="1" customWidth="1"/>
    <col min="12" max="12" width="7.88671875" style="211" customWidth="1"/>
    <col min="13" max="13" width="8.5546875" style="211" customWidth="1"/>
    <col min="14" max="14" width="7.109375" style="211" bestFit="1" customWidth="1"/>
    <col min="15" max="15" width="8.44140625" style="211" customWidth="1"/>
    <col min="16" max="16" width="8.44140625" style="211" bestFit="1" customWidth="1"/>
    <col min="17" max="17" width="1.33203125" style="211" customWidth="1"/>
    <col min="18" max="18" width="7" style="211" customWidth="1"/>
    <col min="19" max="19" width="1.5546875" style="211" customWidth="1"/>
    <col min="20" max="20" width="5.88671875" style="211" bestFit="1" customWidth="1"/>
    <col min="21" max="21" width="8.5546875" style="211" customWidth="1"/>
    <col min="22" max="22" width="8.109375" style="211" customWidth="1"/>
    <col min="23" max="23" width="7.109375" style="211" bestFit="1" customWidth="1"/>
    <col min="24" max="24" width="8.109375" style="211" customWidth="1"/>
    <col min="25" max="25" width="14.44140625" style="211" customWidth="1"/>
    <col min="26" max="29" width="11" style="211" customWidth="1"/>
    <col min="30" max="16384" width="8.6640625" style="211"/>
  </cols>
  <sheetData>
    <row r="1" spans="1:19" x14ac:dyDescent="0.3">
      <c r="A1" s="459" t="s">
        <v>2109</v>
      </c>
      <c r="B1" s="356"/>
    </row>
    <row r="2" spans="1:19" x14ac:dyDescent="0.3">
      <c r="A2" s="152" t="s">
        <v>1810</v>
      </c>
    </row>
    <row r="3" spans="1:19" ht="8.25" customHeight="1" thickBot="1" x14ac:dyDescent="0.35"/>
    <row r="4" spans="1:19" x14ac:dyDescent="0.3">
      <c r="A4" s="453"/>
      <c r="B4" s="2931" t="s">
        <v>1043</v>
      </c>
      <c r="C4" s="2931"/>
      <c r="D4" s="2931"/>
      <c r="E4" s="2931"/>
      <c r="F4" s="2931"/>
      <c r="G4" s="522"/>
      <c r="H4" s="522"/>
      <c r="I4" s="389"/>
      <c r="K4" s="453"/>
      <c r="L4" s="2931" t="s">
        <v>1044</v>
      </c>
      <c r="M4" s="2931"/>
      <c r="N4" s="2931"/>
      <c r="O4" s="2931"/>
      <c r="P4" s="2931"/>
      <c r="Q4" s="522"/>
      <c r="R4" s="389"/>
    </row>
    <row r="5" spans="1:19" s="1497" customFormat="1" ht="35.4" customHeight="1" x14ac:dyDescent="0.3">
      <c r="A5" s="1493" t="s">
        <v>156</v>
      </c>
      <c r="B5" s="1494" t="s">
        <v>497</v>
      </c>
      <c r="C5" s="1494" t="s">
        <v>1046</v>
      </c>
      <c r="D5" s="1494" t="s">
        <v>1084</v>
      </c>
      <c r="E5" s="1494" t="s">
        <v>943</v>
      </c>
      <c r="F5" s="1494" t="s">
        <v>3</v>
      </c>
      <c r="G5" s="1495"/>
      <c r="H5" s="1495" t="s">
        <v>1042</v>
      </c>
      <c r="I5" s="1496" t="s">
        <v>917</v>
      </c>
      <c r="K5" s="1699" t="s">
        <v>156</v>
      </c>
      <c r="L5" s="1494" t="s">
        <v>497</v>
      </c>
      <c r="M5" s="1494" t="s">
        <v>1046</v>
      </c>
      <c r="N5" s="1494" t="str">
        <f>D5</f>
        <v>BH Reins.</v>
      </c>
      <c r="O5" s="1494" t="s">
        <v>943</v>
      </c>
      <c r="P5" s="1494" t="s">
        <v>3</v>
      </c>
      <c r="Q5" s="1495"/>
      <c r="R5" s="1496" t="s">
        <v>1042</v>
      </c>
    </row>
    <row r="6" spans="1:19" hidden="1" outlineLevel="1" x14ac:dyDescent="0.3">
      <c r="A6" s="214">
        <v>1994</v>
      </c>
      <c r="B6" s="231"/>
      <c r="C6" s="231"/>
      <c r="D6" s="231"/>
      <c r="E6" s="231"/>
      <c r="F6" s="231"/>
      <c r="H6" s="230">
        <v>3056.6</v>
      </c>
      <c r="I6" s="347">
        <f>-'[1]P6. "Summary Table"'!L18/'7. Conclusion - Float'!H6</f>
        <v>-4.2498200615062494E-2</v>
      </c>
      <c r="K6" s="214">
        <v>1994</v>
      </c>
      <c r="L6" s="231"/>
      <c r="M6" s="231"/>
      <c r="N6" s="231"/>
      <c r="O6" s="231"/>
      <c r="P6" s="231"/>
      <c r="R6" s="347">
        <f>H6/2624.7-1</f>
        <v>0.16455213929210966</v>
      </c>
    </row>
    <row r="7" spans="1:19" hidden="1" outlineLevel="1" x14ac:dyDescent="0.3">
      <c r="A7" s="214">
        <v>1995</v>
      </c>
      <c r="B7" s="231"/>
      <c r="C7" s="231"/>
      <c r="D7" s="231"/>
      <c r="E7" s="231"/>
      <c r="F7" s="231"/>
      <c r="H7" s="230">
        <v>3607.2</v>
      </c>
      <c r="I7" s="347">
        <f>-'[1]P6. "Summary Table"'!K18/'7. Conclusion - Float'!H7</f>
        <v>-5.6830782878687074E-3</v>
      </c>
      <c r="K7" s="214">
        <v>1995</v>
      </c>
      <c r="L7" s="231"/>
      <c r="M7" s="231"/>
      <c r="N7" s="231"/>
      <c r="O7" s="231"/>
      <c r="P7" s="231"/>
      <c r="R7" s="347">
        <f t="shared" ref="R7:R26" si="0">H7/H6-1</f>
        <v>0.18013479028986445</v>
      </c>
    </row>
    <row r="8" spans="1:19" hidden="1" outlineLevel="1" x14ac:dyDescent="0.3">
      <c r="A8" s="214">
        <v>1996</v>
      </c>
      <c r="B8" s="231"/>
      <c r="C8" s="231"/>
      <c r="D8" s="231"/>
      <c r="E8" s="231"/>
      <c r="F8" s="231"/>
      <c r="H8" s="230">
        <v>6702</v>
      </c>
      <c r="I8" s="347">
        <f>-'[1]P6. "Summary Table"'!J18/'7. Conclusion - Float'!H8</f>
        <v>-3.3139361384661295E-2</v>
      </c>
      <c r="K8" s="214">
        <v>1996</v>
      </c>
      <c r="L8" s="231"/>
      <c r="M8" s="231"/>
      <c r="N8" s="231"/>
      <c r="O8" s="231"/>
      <c r="P8" s="231"/>
      <c r="R8" s="347">
        <f t="shared" si="0"/>
        <v>0.85795076513639401</v>
      </c>
    </row>
    <row r="9" spans="1:19" hidden="1" outlineLevel="1" x14ac:dyDescent="0.3">
      <c r="A9" s="214">
        <v>1997</v>
      </c>
      <c r="B9" s="230">
        <v>2917</v>
      </c>
      <c r="C9" s="230"/>
      <c r="D9" s="230">
        <v>4014</v>
      </c>
      <c r="E9" s="230">
        <v>455</v>
      </c>
      <c r="F9" s="230">
        <f t="shared" ref="F9:F26" si="1">SUM(B9:E9)</f>
        <v>7386</v>
      </c>
      <c r="H9" s="230">
        <v>7093.1</v>
      </c>
      <c r="I9" s="347">
        <f>-'[1]P6. "Summary Table"'!I18/'7. Conclusion - Float'!H9</f>
        <v>-6.5133721503996836E-2</v>
      </c>
      <c r="K9" s="214">
        <v>1997</v>
      </c>
      <c r="L9" s="231"/>
      <c r="M9" s="231"/>
      <c r="N9" s="231"/>
      <c r="O9" s="231"/>
      <c r="P9" s="231"/>
      <c r="R9" s="347">
        <f t="shared" si="0"/>
        <v>5.8355714712026385E-2</v>
      </c>
    </row>
    <row r="10" spans="1:19" hidden="1" outlineLevel="1" x14ac:dyDescent="0.3">
      <c r="A10" s="214">
        <v>1998</v>
      </c>
      <c r="B10" s="230">
        <v>3125</v>
      </c>
      <c r="C10" s="230">
        <v>14909</v>
      </c>
      <c r="D10" s="230">
        <v>4305</v>
      </c>
      <c r="E10" s="230">
        <v>415</v>
      </c>
      <c r="F10" s="230">
        <f t="shared" si="1"/>
        <v>22754</v>
      </c>
      <c r="H10" s="230">
        <f t="shared" ref="H10:H26" si="2">(F10+F9)/2</f>
        <v>15070</v>
      </c>
      <c r="I10" s="347">
        <f>-'[1]P6. "Summary Table"'!H18/'7. Conclusion - Float'!H10</f>
        <v>-1.7584605175846053E-2</v>
      </c>
      <c r="K10" s="214">
        <v>1998</v>
      </c>
      <c r="L10" s="227">
        <f t="shared" ref="L10:L26" si="3">B10/B9-1</f>
        <v>7.1306136441549484E-2</v>
      </c>
      <c r="M10" s="2565" t="s">
        <v>826</v>
      </c>
      <c r="N10" s="227">
        <f t="shared" ref="N10:N26" si="4">D10/D9-1</f>
        <v>7.2496263079222745E-2</v>
      </c>
      <c r="O10" s="227">
        <f t="shared" ref="O10:O26" si="5">E10/E9-1</f>
        <v>-8.7912087912087933E-2</v>
      </c>
      <c r="P10" s="227">
        <f t="shared" ref="P10:P26" si="6">F10/F9-1</f>
        <v>2.0806932033577037</v>
      </c>
      <c r="R10" s="347">
        <f t="shared" si="0"/>
        <v>1.1245999633446586</v>
      </c>
      <c r="S10" s="227"/>
    </row>
    <row r="11" spans="1:19" hidden="1" outlineLevel="1" x14ac:dyDescent="0.3">
      <c r="A11" s="214">
        <v>1999</v>
      </c>
      <c r="B11" s="230">
        <v>3444</v>
      </c>
      <c r="C11" s="230">
        <v>15166</v>
      </c>
      <c r="D11" s="230">
        <v>6285</v>
      </c>
      <c r="E11" s="230">
        <v>403</v>
      </c>
      <c r="F11" s="230">
        <f t="shared" si="1"/>
        <v>25298</v>
      </c>
      <c r="H11" s="230">
        <f t="shared" si="2"/>
        <v>24026</v>
      </c>
      <c r="I11" s="347">
        <f>-'[1]P6. "Summary Table"'!G18/'7. Conclusion - Float'!H11</f>
        <v>5.8020477815699661E-2</v>
      </c>
      <c r="K11" s="214">
        <v>1999</v>
      </c>
      <c r="L11" s="227">
        <f t="shared" si="3"/>
        <v>0.10207999999999995</v>
      </c>
      <c r="M11" s="227">
        <f t="shared" ref="M11:M26" si="7">C11/C10-1</f>
        <v>1.7237909987255939E-2</v>
      </c>
      <c r="N11" s="227">
        <f t="shared" si="4"/>
        <v>0.45993031358885017</v>
      </c>
      <c r="O11" s="227">
        <f t="shared" si="5"/>
        <v>-2.8915662650602414E-2</v>
      </c>
      <c r="P11" s="227">
        <f t="shared" si="6"/>
        <v>0.11180451788696488</v>
      </c>
      <c r="R11" s="347">
        <f t="shared" si="0"/>
        <v>0.59429329794293295</v>
      </c>
      <c r="S11" s="227"/>
    </row>
    <row r="12" spans="1:19" hidden="1" outlineLevel="1" x14ac:dyDescent="0.3">
      <c r="A12" s="214">
        <v>2000</v>
      </c>
      <c r="B12" s="230">
        <v>3943</v>
      </c>
      <c r="C12" s="230">
        <v>15525</v>
      </c>
      <c r="D12" s="230">
        <v>7805</v>
      </c>
      <c r="E12" s="230">
        <v>598</v>
      </c>
      <c r="F12" s="230">
        <f t="shared" si="1"/>
        <v>27871</v>
      </c>
      <c r="H12" s="230">
        <f t="shared" si="2"/>
        <v>26584.5</v>
      </c>
      <c r="I12" s="347">
        <f>-'[1]P6. "Summary Table"'!F18/'7. Conclusion - Float'!H12</f>
        <v>6.0749684966803962E-2</v>
      </c>
      <c r="K12" s="214">
        <v>2000</v>
      </c>
      <c r="L12" s="227">
        <f t="shared" si="3"/>
        <v>0.1448896631823462</v>
      </c>
      <c r="M12" s="227">
        <f t="shared" si="7"/>
        <v>2.3671370170117445E-2</v>
      </c>
      <c r="N12" s="227">
        <f t="shared" si="4"/>
        <v>0.24184566428003174</v>
      </c>
      <c r="O12" s="227">
        <f t="shared" si="5"/>
        <v>0.4838709677419355</v>
      </c>
      <c r="P12" s="227">
        <f t="shared" si="6"/>
        <v>0.10170764487311246</v>
      </c>
      <c r="R12" s="347">
        <f t="shared" si="0"/>
        <v>0.10648880379588777</v>
      </c>
      <c r="S12" s="227"/>
    </row>
    <row r="13" spans="1:19" hidden="1" outlineLevel="1" x14ac:dyDescent="0.3">
      <c r="A13" s="214">
        <v>2001</v>
      </c>
      <c r="B13" s="230">
        <v>4251</v>
      </c>
      <c r="C13" s="230">
        <v>19310</v>
      </c>
      <c r="D13" s="230">
        <v>11262</v>
      </c>
      <c r="E13" s="230">
        <v>685</v>
      </c>
      <c r="F13" s="230">
        <f t="shared" si="1"/>
        <v>35508</v>
      </c>
      <c r="H13" s="230">
        <f t="shared" si="2"/>
        <v>31689.5</v>
      </c>
      <c r="I13" s="347">
        <f>-'[1]P6. "Summary Table"'!E18/'7. Conclusion - Float'!H13</f>
        <v>0.12833903974502595</v>
      </c>
      <c r="K13" s="214">
        <v>2001</v>
      </c>
      <c r="L13" s="227">
        <f t="shared" si="3"/>
        <v>7.8113111843773675E-2</v>
      </c>
      <c r="M13" s="227">
        <f t="shared" si="7"/>
        <v>0.24380032206119173</v>
      </c>
      <c r="N13" s="227">
        <f t="shared" si="4"/>
        <v>0.44292120435618187</v>
      </c>
      <c r="O13" s="227">
        <f t="shared" si="5"/>
        <v>0.14548494983277593</v>
      </c>
      <c r="P13" s="227">
        <f t="shared" si="6"/>
        <v>0.27401241433748336</v>
      </c>
      <c r="R13" s="347">
        <f t="shared" si="0"/>
        <v>0.19202918994150719</v>
      </c>
      <c r="S13" s="227"/>
    </row>
    <row r="14" spans="1:19" hidden="1" outlineLevel="1" x14ac:dyDescent="0.3">
      <c r="A14" s="214">
        <v>2002</v>
      </c>
      <c r="B14" s="230">
        <v>4678</v>
      </c>
      <c r="C14" s="230">
        <v>22207</v>
      </c>
      <c r="D14" s="230">
        <v>13396</v>
      </c>
      <c r="E14" s="230">
        <v>943</v>
      </c>
      <c r="F14" s="230">
        <f t="shared" si="1"/>
        <v>41224</v>
      </c>
      <c r="H14" s="230">
        <f t="shared" si="2"/>
        <v>38366</v>
      </c>
      <c r="I14" s="347">
        <f>-'[1]P6. "Summary Table"'!D18/'7. Conclusion - Float'!H14</f>
        <v>1.0712610123546891E-2</v>
      </c>
      <c r="K14" s="214">
        <v>2002</v>
      </c>
      <c r="L14" s="227">
        <f t="shared" si="3"/>
        <v>0.10044695365796286</v>
      </c>
      <c r="M14" s="227">
        <f t="shared" si="7"/>
        <v>0.15002589331952354</v>
      </c>
      <c r="N14" s="227">
        <f t="shared" si="4"/>
        <v>0.18948676966790989</v>
      </c>
      <c r="O14" s="227">
        <f t="shared" si="5"/>
        <v>0.37664233576642325</v>
      </c>
      <c r="P14" s="227">
        <f t="shared" si="6"/>
        <v>0.16097780781795645</v>
      </c>
      <c r="R14" s="347">
        <f t="shared" si="0"/>
        <v>0.21068492718408316</v>
      </c>
      <c r="S14" s="227"/>
    </row>
    <row r="15" spans="1:19" hidden="1" outlineLevel="1" x14ac:dyDescent="0.3">
      <c r="A15" s="214">
        <v>2003</v>
      </c>
      <c r="B15" s="230">
        <v>5287</v>
      </c>
      <c r="C15" s="230">
        <v>23654</v>
      </c>
      <c r="D15" s="230">
        <v>13948</v>
      </c>
      <c r="E15" s="230">
        <v>1331</v>
      </c>
      <c r="F15" s="230">
        <f t="shared" si="1"/>
        <v>44220</v>
      </c>
      <c r="H15" s="230">
        <f t="shared" si="2"/>
        <v>42722</v>
      </c>
      <c r="I15" s="347">
        <f>-'[1]P6. "Summary Table"'!C18/'7. Conclusion - Float'!H15</f>
        <v>-4.0213473152005991E-2</v>
      </c>
      <c r="K15" s="214">
        <v>2003</v>
      </c>
      <c r="L15" s="227">
        <f t="shared" si="3"/>
        <v>0.13018383924754162</v>
      </c>
      <c r="M15" s="227">
        <f t="shared" si="7"/>
        <v>6.5159634349529538E-2</v>
      </c>
      <c r="N15" s="227">
        <f t="shared" si="4"/>
        <v>4.1206330247835155E-2</v>
      </c>
      <c r="O15" s="227">
        <f t="shared" si="5"/>
        <v>0.41145281018027569</v>
      </c>
      <c r="P15" s="227">
        <f t="shared" si="6"/>
        <v>7.267611100329896E-2</v>
      </c>
      <c r="R15" s="347">
        <f t="shared" si="0"/>
        <v>0.11353802846270145</v>
      </c>
    </row>
    <row r="16" spans="1:19" collapsed="1" x14ac:dyDescent="0.3">
      <c r="A16" s="214">
        <v>2004</v>
      </c>
      <c r="B16" s="230">
        <v>5960</v>
      </c>
      <c r="C16" s="230">
        <v>23120</v>
      </c>
      <c r="D16" s="230">
        <v>15278</v>
      </c>
      <c r="E16" s="230">
        <v>1736</v>
      </c>
      <c r="F16" s="230">
        <f t="shared" si="1"/>
        <v>46094</v>
      </c>
      <c r="H16" s="230">
        <f t="shared" si="2"/>
        <v>45157</v>
      </c>
      <c r="I16" s="347">
        <f>-'[1]P6. "Summary Table"'!B18/'7. Conclusion - Float'!H16</f>
        <v>-3.4346834377837324E-2</v>
      </c>
      <c r="K16" s="214">
        <v>2004</v>
      </c>
      <c r="L16" s="227">
        <f t="shared" si="3"/>
        <v>0.1272933610743332</v>
      </c>
      <c r="M16" s="227">
        <f t="shared" si="7"/>
        <v>-2.2575462923818401E-2</v>
      </c>
      <c r="N16" s="227">
        <f t="shared" si="4"/>
        <v>9.5354172641238799E-2</v>
      </c>
      <c r="O16" s="227">
        <f t="shared" si="5"/>
        <v>0.30428249436513899</v>
      </c>
      <c r="P16" s="227">
        <f t="shared" si="6"/>
        <v>4.2379014020805128E-2</v>
      </c>
      <c r="R16" s="347">
        <f t="shared" si="0"/>
        <v>5.699639529984557E-2</v>
      </c>
    </row>
    <row r="17" spans="1:18" x14ac:dyDescent="0.3">
      <c r="A17" s="214">
        <v>2005</v>
      </c>
      <c r="B17" s="230">
        <v>6692</v>
      </c>
      <c r="C17" s="230">
        <v>22920</v>
      </c>
      <c r="D17" s="230">
        <v>16233</v>
      </c>
      <c r="E17" s="230">
        <v>3442</v>
      </c>
      <c r="F17" s="230">
        <f t="shared" si="1"/>
        <v>49287</v>
      </c>
      <c r="H17" s="230">
        <f t="shared" si="2"/>
        <v>47690.5</v>
      </c>
      <c r="I17" s="347">
        <f>-53/H17</f>
        <v>-1.1113324456652792E-3</v>
      </c>
      <c r="K17" s="214">
        <v>2005</v>
      </c>
      <c r="L17" s="227">
        <f t="shared" si="3"/>
        <v>0.12281879194630863</v>
      </c>
      <c r="M17" s="227">
        <f t="shared" si="7"/>
        <v>-8.65051903114189E-3</v>
      </c>
      <c r="N17" s="227">
        <f t="shared" si="4"/>
        <v>6.2508181699175269E-2</v>
      </c>
      <c r="O17" s="227">
        <f t="shared" si="5"/>
        <v>0.98271889400921664</v>
      </c>
      <c r="P17" s="227">
        <f t="shared" si="6"/>
        <v>6.9271488697010497E-2</v>
      </c>
      <c r="R17" s="347">
        <f t="shared" si="0"/>
        <v>5.6104258475983881E-2</v>
      </c>
    </row>
    <row r="18" spans="1:18" x14ac:dyDescent="0.3">
      <c r="A18" s="214">
        <v>2006</v>
      </c>
      <c r="B18" s="230">
        <v>7171</v>
      </c>
      <c r="C18" s="230">
        <v>22827</v>
      </c>
      <c r="D18" s="230">
        <v>16860</v>
      </c>
      <c r="E18" s="230">
        <v>4029</v>
      </c>
      <c r="F18" s="230">
        <f t="shared" si="1"/>
        <v>50887</v>
      </c>
      <c r="H18" s="230">
        <f t="shared" si="2"/>
        <v>50087</v>
      </c>
      <c r="I18" s="347">
        <f>-3838/H18</f>
        <v>-7.662666959490487E-2</v>
      </c>
      <c r="K18" s="214">
        <v>2006</v>
      </c>
      <c r="L18" s="227">
        <f t="shared" si="3"/>
        <v>7.1578003586371786E-2</v>
      </c>
      <c r="M18" s="227">
        <f t="shared" si="7"/>
        <v>-4.0575916230366493E-3</v>
      </c>
      <c r="N18" s="227">
        <f t="shared" si="4"/>
        <v>3.8625023101090283E-2</v>
      </c>
      <c r="O18" s="227">
        <f t="shared" si="5"/>
        <v>0.17054038349796641</v>
      </c>
      <c r="P18" s="227">
        <f t="shared" si="6"/>
        <v>3.2462921257126576E-2</v>
      </c>
      <c r="R18" s="347">
        <f t="shared" si="0"/>
        <v>5.0251098227110269E-2</v>
      </c>
    </row>
    <row r="19" spans="1:18" x14ac:dyDescent="0.3">
      <c r="A19" s="214">
        <v>2007</v>
      </c>
      <c r="B19" s="230">
        <v>7768</v>
      </c>
      <c r="C19" s="230">
        <v>23009</v>
      </c>
      <c r="D19" s="230">
        <v>23692</v>
      </c>
      <c r="E19" s="230">
        <v>4229</v>
      </c>
      <c r="F19" s="230">
        <f t="shared" si="1"/>
        <v>58698</v>
      </c>
      <c r="H19" s="230">
        <f t="shared" si="2"/>
        <v>54792.5</v>
      </c>
      <c r="I19" s="347">
        <f>-3374/H19</f>
        <v>-6.1577770680293839E-2</v>
      </c>
      <c r="K19" s="214">
        <v>2007</v>
      </c>
      <c r="L19" s="227">
        <f t="shared" si="3"/>
        <v>8.3251987170547936E-2</v>
      </c>
      <c r="M19" s="227">
        <f t="shared" si="7"/>
        <v>7.9730144127567737E-3</v>
      </c>
      <c r="N19" s="227">
        <f t="shared" si="4"/>
        <v>0.40521945432977469</v>
      </c>
      <c r="O19" s="227">
        <f t="shared" si="5"/>
        <v>4.9640109208240357E-2</v>
      </c>
      <c r="P19" s="227">
        <f t="shared" si="6"/>
        <v>0.15349696386110412</v>
      </c>
      <c r="R19" s="347">
        <f t="shared" si="0"/>
        <v>9.3946533032523316E-2</v>
      </c>
    </row>
    <row r="20" spans="1:18" x14ac:dyDescent="0.3">
      <c r="A20" s="214">
        <v>2008</v>
      </c>
      <c r="B20" s="230">
        <v>8454</v>
      </c>
      <c r="C20" s="230">
        <v>21074</v>
      </c>
      <c r="D20" s="230">
        <v>24221</v>
      </c>
      <c r="E20" s="230">
        <v>4739</v>
      </c>
      <c r="F20" s="230">
        <f t="shared" si="1"/>
        <v>58488</v>
      </c>
      <c r="H20" s="230">
        <f t="shared" si="2"/>
        <v>58593</v>
      </c>
      <c r="I20" s="347">
        <f>-2792/H20</f>
        <v>-4.7650743262847101E-2</v>
      </c>
      <c r="K20" s="214">
        <v>2008</v>
      </c>
      <c r="L20" s="227">
        <f t="shared" si="3"/>
        <v>8.8311019567456128E-2</v>
      </c>
      <c r="M20" s="227">
        <f t="shared" si="7"/>
        <v>-8.4097527054630805E-2</v>
      </c>
      <c r="N20" s="227">
        <f t="shared" si="4"/>
        <v>2.2328212054701924E-2</v>
      </c>
      <c r="O20" s="227">
        <f t="shared" si="5"/>
        <v>0.12059588555214007</v>
      </c>
      <c r="P20" s="227">
        <f t="shared" si="6"/>
        <v>-3.5776346723909169E-3</v>
      </c>
      <c r="R20" s="347">
        <f t="shared" si="0"/>
        <v>6.936168271205001E-2</v>
      </c>
    </row>
    <row r="21" spans="1:18" x14ac:dyDescent="0.3">
      <c r="A21" s="214">
        <v>2009</v>
      </c>
      <c r="B21" s="230">
        <v>9613</v>
      </c>
      <c r="C21" s="230">
        <v>21014</v>
      </c>
      <c r="D21" s="230">
        <v>26223</v>
      </c>
      <c r="E21" s="230">
        <v>5061</v>
      </c>
      <c r="F21" s="230">
        <f t="shared" si="1"/>
        <v>61911</v>
      </c>
      <c r="H21" s="230">
        <f t="shared" si="2"/>
        <v>60199.5</v>
      </c>
      <c r="I21" s="347">
        <f>-1559/H21</f>
        <v>-2.5897225060008803E-2</v>
      </c>
      <c r="K21" s="214">
        <v>2009</v>
      </c>
      <c r="L21" s="227">
        <f t="shared" si="3"/>
        <v>0.13709486633546253</v>
      </c>
      <c r="M21" s="227">
        <f t="shared" si="7"/>
        <v>-2.847110183164081E-3</v>
      </c>
      <c r="N21" s="227">
        <f t="shared" si="4"/>
        <v>8.2655546839519367E-2</v>
      </c>
      <c r="O21" s="227">
        <f t="shared" si="5"/>
        <v>6.794682422452003E-2</v>
      </c>
      <c r="P21" s="227">
        <f t="shared" si="6"/>
        <v>5.8524825605252406E-2</v>
      </c>
      <c r="R21" s="347">
        <f t="shared" si="0"/>
        <v>2.7417950949772063E-2</v>
      </c>
    </row>
    <row r="22" spans="1:18" x14ac:dyDescent="0.3">
      <c r="A22" s="214">
        <v>2010</v>
      </c>
      <c r="B22" s="230">
        <v>10272</v>
      </c>
      <c r="C22" s="230">
        <v>20049</v>
      </c>
      <c r="D22" s="230">
        <v>30370</v>
      </c>
      <c r="E22" s="230">
        <v>5141</v>
      </c>
      <c r="F22" s="230">
        <f t="shared" si="1"/>
        <v>65832</v>
      </c>
      <c r="H22" s="230">
        <f t="shared" si="2"/>
        <v>63871.5</v>
      </c>
      <c r="I22" s="347">
        <f>-2013/H22</f>
        <v>-3.1516404029966416E-2</v>
      </c>
      <c r="K22" s="214">
        <v>2010</v>
      </c>
      <c r="L22" s="227">
        <f t="shared" si="3"/>
        <v>6.8553001144283865E-2</v>
      </c>
      <c r="M22" s="227">
        <f t="shared" si="7"/>
        <v>-4.5921766441419987E-2</v>
      </c>
      <c r="N22" s="227">
        <f t="shared" si="4"/>
        <v>0.15814361438431912</v>
      </c>
      <c r="O22" s="227">
        <f t="shared" si="5"/>
        <v>1.5807152736613261E-2</v>
      </c>
      <c r="P22" s="227">
        <f t="shared" si="6"/>
        <v>6.3332848766778138E-2</v>
      </c>
      <c r="R22" s="347">
        <f t="shared" si="0"/>
        <v>6.0997184361996304E-2</v>
      </c>
    </row>
    <row r="23" spans="1:18" x14ac:dyDescent="0.3">
      <c r="A23" s="214">
        <v>2011</v>
      </c>
      <c r="B23" s="230">
        <v>11169</v>
      </c>
      <c r="C23" s="230">
        <v>19714</v>
      </c>
      <c r="D23" s="230">
        <v>33728</v>
      </c>
      <c r="E23" s="230">
        <v>5960</v>
      </c>
      <c r="F23" s="230">
        <f t="shared" si="1"/>
        <v>70571</v>
      </c>
      <c r="H23" s="230">
        <f t="shared" si="2"/>
        <v>68201.5</v>
      </c>
      <c r="I23" s="347">
        <f>-248/H23</f>
        <v>-3.6362836594503053E-3</v>
      </c>
      <c r="K23" s="214">
        <v>2011</v>
      </c>
      <c r="L23" s="227">
        <f t="shared" si="3"/>
        <v>8.7324766355140193E-2</v>
      </c>
      <c r="M23" s="227">
        <f t="shared" si="7"/>
        <v>-1.6709062796149476E-2</v>
      </c>
      <c r="N23" s="227">
        <f t="shared" si="4"/>
        <v>0.11056964109318401</v>
      </c>
      <c r="O23" s="227">
        <f t="shared" si="5"/>
        <v>0.15930752771834267</v>
      </c>
      <c r="P23" s="227">
        <f t="shared" si="6"/>
        <v>7.1986268076315474E-2</v>
      </c>
      <c r="R23" s="347">
        <f t="shared" si="0"/>
        <v>6.7792364356559665E-2</v>
      </c>
    </row>
    <row r="24" spans="1:18" x14ac:dyDescent="0.3">
      <c r="A24" s="214">
        <v>2012</v>
      </c>
      <c r="B24" s="230">
        <v>11578</v>
      </c>
      <c r="C24" s="230">
        <v>20128</v>
      </c>
      <c r="D24" s="230">
        <v>34821</v>
      </c>
      <c r="E24" s="230">
        <v>6598</v>
      </c>
      <c r="F24" s="230">
        <f t="shared" si="1"/>
        <v>73125</v>
      </c>
      <c r="H24" s="230">
        <f t="shared" si="2"/>
        <v>71848</v>
      </c>
      <c r="I24" s="347">
        <f>-1625/H24</f>
        <v>-2.2617191849459969E-2</v>
      </c>
      <c r="K24" s="214">
        <v>2012</v>
      </c>
      <c r="L24" s="227">
        <f t="shared" si="3"/>
        <v>3.6619213895603853E-2</v>
      </c>
      <c r="M24" s="227">
        <f t="shared" si="7"/>
        <v>2.1000304352237098E-2</v>
      </c>
      <c r="N24" s="227">
        <f t="shared" si="4"/>
        <v>3.2406309297912772E-2</v>
      </c>
      <c r="O24" s="227">
        <f t="shared" si="5"/>
        <v>0.10704697986577183</v>
      </c>
      <c r="P24" s="227">
        <f t="shared" si="6"/>
        <v>3.6190503181193323E-2</v>
      </c>
      <c r="R24" s="347">
        <f t="shared" si="0"/>
        <v>5.3466565984619185E-2</v>
      </c>
    </row>
    <row r="25" spans="1:18" x14ac:dyDescent="0.3">
      <c r="A25" s="214">
        <v>2013</v>
      </c>
      <c r="B25" s="230">
        <v>12566</v>
      </c>
      <c r="C25" s="230">
        <v>20013</v>
      </c>
      <c r="D25" s="230">
        <v>37231</v>
      </c>
      <c r="E25" s="230">
        <v>7430</v>
      </c>
      <c r="F25" s="230">
        <f t="shared" si="1"/>
        <v>77240</v>
      </c>
      <c r="H25" s="230">
        <f t="shared" si="2"/>
        <v>75182.5</v>
      </c>
      <c r="I25" s="347">
        <f>-3089/H25</f>
        <v>-4.1086689056628871E-2</v>
      </c>
      <c r="K25" s="214">
        <v>2013</v>
      </c>
      <c r="L25" s="227">
        <f t="shared" si="3"/>
        <v>8.5334254620832661E-2</v>
      </c>
      <c r="M25" s="227">
        <f t="shared" si="7"/>
        <v>-5.7134340222575464E-3</v>
      </c>
      <c r="N25" s="227">
        <f t="shared" si="4"/>
        <v>6.9211108239280783E-2</v>
      </c>
      <c r="O25" s="227">
        <f t="shared" si="5"/>
        <v>0.1260988178235829</v>
      </c>
      <c r="P25" s="227">
        <f t="shared" si="6"/>
        <v>5.6273504273504305E-2</v>
      </c>
      <c r="R25" s="347">
        <f t="shared" si="0"/>
        <v>4.6410477675091766E-2</v>
      </c>
    </row>
    <row r="26" spans="1:18" x14ac:dyDescent="0.3">
      <c r="A26" s="214">
        <v>2014</v>
      </c>
      <c r="B26" s="230">
        <v>13569</v>
      </c>
      <c r="C26" s="230">
        <v>19280</v>
      </c>
      <c r="D26" s="230">
        <v>42454</v>
      </c>
      <c r="E26" s="230">
        <v>8618</v>
      </c>
      <c r="F26" s="230">
        <f t="shared" si="1"/>
        <v>83921</v>
      </c>
      <c r="H26" s="230">
        <f t="shared" si="2"/>
        <v>80580.5</v>
      </c>
      <c r="I26" s="347">
        <f>-2668/H26</f>
        <v>-3.3109747395461679E-2</v>
      </c>
      <c r="K26" s="214">
        <v>2014</v>
      </c>
      <c r="L26" s="227">
        <f t="shared" si="3"/>
        <v>7.9818558013687646E-2</v>
      </c>
      <c r="M26" s="227">
        <f t="shared" si="7"/>
        <v>-3.6626192974566485E-2</v>
      </c>
      <c r="N26" s="227">
        <f t="shared" si="4"/>
        <v>0.14028632053933543</v>
      </c>
      <c r="O26" s="227">
        <f t="shared" si="5"/>
        <v>0.15989232839838485</v>
      </c>
      <c r="P26" s="227">
        <f t="shared" si="6"/>
        <v>8.6496633868461847E-2</v>
      </c>
      <c r="R26" s="347">
        <f t="shared" si="0"/>
        <v>7.1798623349848656E-2</v>
      </c>
    </row>
    <row r="27" spans="1:18" ht="3.75" customHeight="1" thickBot="1" x14ac:dyDescent="0.35">
      <c r="A27" s="224"/>
      <c r="B27" s="218"/>
      <c r="C27" s="218"/>
      <c r="D27" s="218"/>
      <c r="E27" s="218"/>
      <c r="F27" s="218"/>
      <c r="G27" s="218"/>
      <c r="H27" s="218"/>
      <c r="I27" s="219"/>
      <c r="K27" s="224"/>
      <c r="L27" s="218"/>
      <c r="M27" s="218"/>
      <c r="N27" s="218"/>
      <c r="O27" s="218"/>
      <c r="P27" s="218"/>
      <c r="Q27" s="218"/>
      <c r="R27" s="219"/>
    </row>
    <row r="28" spans="1:18" ht="16.2" thickBot="1" x14ac:dyDescent="0.35"/>
    <row r="29" spans="1:18" x14ac:dyDescent="0.3">
      <c r="A29" s="453"/>
      <c r="B29" s="2931" t="s">
        <v>1045</v>
      </c>
      <c r="C29" s="2931"/>
      <c r="D29" s="2931"/>
      <c r="E29" s="2931"/>
      <c r="F29" s="2932"/>
    </row>
    <row r="30" spans="1:18" ht="31.2" x14ac:dyDescent="0.3">
      <c r="A30" s="1493" t="s">
        <v>156</v>
      </c>
      <c r="B30" s="1494" t="s">
        <v>497</v>
      </c>
      <c r="C30" s="1494" t="s">
        <v>1046</v>
      </c>
      <c r="D30" s="1494" t="str">
        <f>D5</f>
        <v>BH Reins.</v>
      </c>
      <c r="E30" s="1494" t="s">
        <v>943</v>
      </c>
      <c r="F30" s="1698" t="s">
        <v>3</v>
      </c>
    </row>
    <row r="31" spans="1:18" hidden="1" outlineLevel="1" x14ac:dyDescent="0.3">
      <c r="A31" s="214">
        <v>1994</v>
      </c>
      <c r="B31" s="368"/>
      <c r="C31" s="368"/>
      <c r="D31" s="368"/>
      <c r="E31" s="368"/>
      <c r="F31" s="1501"/>
    </row>
    <row r="32" spans="1:18" hidden="1" outlineLevel="1" x14ac:dyDescent="0.3">
      <c r="A32" s="214">
        <v>1995</v>
      </c>
      <c r="B32" s="368"/>
      <c r="C32" s="368"/>
      <c r="D32" s="368"/>
      <c r="E32" s="368"/>
      <c r="F32" s="1501"/>
    </row>
    <row r="33" spans="1:6" hidden="1" outlineLevel="1" x14ac:dyDescent="0.3">
      <c r="A33" s="214">
        <v>1996</v>
      </c>
      <c r="B33" s="368"/>
      <c r="C33" s="368"/>
      <c r="D33" s="368"/>
      <c r="E33" s="368"/>
      <c r="F33" s="1501"/>
    </row>
    <row r="34" spans="1:6" hidden="1" outlineLevel="1" x14ac:dyDescent="0.3">
      <c r="A34" s="214">
        <v>1997</v>
      </c>
      <c r="B34" s="227">
        <f t="shared" ref="B34:F43" si="8">B9/$F9</f>
        <v>0.39493636609802329</v>
      </c>
      <c r="C34" s="227">
        <f t="shared" si="8"/>
        <v>0</v>
      </c>
      <c r="D34" s="227">
        <f t="shared" si="8"/>
        <v>0.54346060113728678</v>
      </c>
      <c r="E34" s="227">
        <f t="shared" si="8"/>
        <v>6.1603032764689952E-2</v>
      </c>
      <c r="F34" s="347">
        <f t="shared" si="8"/>
        <v>1</v>
      </c>
    </row>
    <row r="35" spans="1:6" hidden="1" outlineLevel="1" x14ac:dyDescent="0.3">
      <c r="A35" s="214">
        <v>1998</v>
      </c>
      <c r="B35" s="227">
        <f t="shared" si="8"/>
        <v>0.13733848993583544</v>
      </c>
      <c r="C35" s="227">
        <f t="shared" si="8"/>
        <v>0.65522545486507866</v>
      </c>
      <c r="D35" s="227">
        <f t="shared" si="8"/>
        <v>0.18919750373560693</v>
      </c>
      <c r="E35" s="227">
        <f t="shared" si="8"/>
        <v>1.8238551463478948E-2</v>
      </c>
      <c r="F35" s="347">
        <f t="shared" si="8"/>
        <v>1</v>
      </c>
    </row>
    <row r="36" spans="1:6" hidden="1" outlineLevel="1" x14ac:dyDescent="0.3">
      <c r="A36" s="214">
        <v>1999</v>
      </c>
      <c r="B36" s="227">
        <f t="shared" si="8"/>
        <v>0.13613724405091313</v>
      </c>
      <c r="C36" s="227">
        <f t="shared" si="8"/>
        <v>0.59949403114870736</v>
      </c>
      <c r="D36" s="227">
        <f t="shared" si="8"/>
        <v>0.24843861174796428</v>
      </c>
      <c r="E36" s="227">
        <f t="shared" si="8"/>
        <v>1.593011305241521E-2</v>
      </c>
      <c r="F36" s="347">
        <f t="shared" si="8"/>
        <v>1</v>
      </c>
    </row>
    <row r="37" spans="1:6" hidden="1" outlineLevel="1" x14ac:dyDescent="0.3">
      <c r="A37" s="214">
        <v>2000</v>
      </c>
      <c r="B37" s="227">
        <f t="shared" si="8"/>
        <v>0.1414732158874816</v>
      </c>
      <c r="C37" s="227">
        <f t="shared" si="8"/>
        <v>0.55703060528865134</v>
      </c>
      <c r="D37" s="227">
        <f t="shared" si="8"/>
        <v>0.28004018513867462</v>
      </c>
      <c r="E37" s="227">
        <f t="shared" si="8"/>
        <v>2.1455993685192493E-2</v>
      </c>
      <c r="F37" s="347">
        <f t="shared" si="8"/>
        <v>1</v>
      </c>
    </row>
    <row r="38" spans="1:6" hidden="1" outlineLevel="1" x14ac:dyDescent="0.3">
      <c r="A38" s="214">
        <v>2001</v>
      </c>
      <c r="B38" s="227">
        <f t="shared" si="8"/>
        <v>0.11971949983102399</v>
      </c>
      <c r="C38" s="227">
        <f t="shared" si="8"/>
        <v>0.5438211107356089</v>
      </c>
      <c r="D38" s="227">
        <f t="shared" si="8"/>
        <v>0.31716796214937482</v>
      </c>
      <c r="E38" s="227">
        <f t="shared" si="8"/>
        <v>1.929142728399234E-2</v>
      </c>
      <c r="F38" s="347">
        <f t="shared" si="8"/>
        <v>1</v>
      </c>
    </row>
    <row r="39" spans="1:6" hidden="1" outlineLevel="1" x14ac:dyDescent="0.3">
      <c r="A39" s="214">
        <v>2002</v>
      </c>
      <c r="B39" s="227">
        <f t="shared" si="8"/>
        <v>0.1134775858723074</v>
      </c>
      <c r="C39" s="227">
        <f t="shared" si="8"/>
        <v>0.53869105375509407</v>
      </c>
      <c r="D39" s="227">
        <f t="shared" si="8"/>
        <v>0.32495633611488456</v>
      </c>
      <c r="E39" s="227">
        <f t="shared" si="8"/>
        <v>2.2875024257713952E-2</v>
      </c>
      <c r="F39" s="347">
        <f t="shared" si="8"/>
        <v>1</v>
      </c>
    </row>
    <row r="40" spans="1:6" hidden="1" outlineLevel="1" x14ac:dyDescent="0.3">
      <c r="A40" s="214">
        <v>2003</v>
      </c>
      <c r="B40" s="227">
        <f t="shared" si="8"/>
        <v>0.11956128448665762</v>
      </c>
      <c r="C40" s="227">
        <f t="shared" si="8"/>
        <v>0.53491632745364093</v>
      </c>
      <c r="D40" s="227">
        <f t="shared" si="8"/>
        <v>0.31542288557213932</v>
      </c>
      <c r="E40" s="227">
        <f t="shared" si="8"/>
        <v>3.0099502487562189E-2</v>
      </c>
      <c r="F40" s="347">
        <f t="shared" si="8"/>
        <v>1</v>
      </c>
    </row>
    <row r="41" spans="1:6" collapsed="1" x14ac:dyDescent="0.3">
      <c r="A41" s="214">
        <v>2004</v>
      </c>
      <c r="B41" s="227">
        <f t="shared" si="8"/>
        <v>0.1293009936217295</v>
      </c>
      <c r="C41" s="227">
        <f t="shared" si="8"/>
        <v>0.50158372022389031</v>
      </c>
      <c r="D41" s="227">
        <f t="shared" si="8"/>
        <v>0.33145311754241336</v>
      </c>
      <c r="E41" s="227">
        <f t="shared" si="8"/>
        <v>3.7662168611966848E-2</v>
      </c>
      <c r="F41" s="347">
        <f t="shared" si="8"/>
        <v>1</v>
      </c>
    </row>
    <row r="42" spans="1:6" x14ac:dyDescent="0.3">
      <c r="A42" s="214">
        <v>2005</v>
      </c>
      <c r="B42" s="227">
        <f t="shared" si="8"/>
        <v>0.13577616815793211</v>
      </c>
      <c r="C42" s="227">
        <f t="shared" si="8"/>
        <v>0.46503134700833892</v>
      </c>
      <c r="D42" s="227">
        <f t="shared" si="8"/>
        <v>0.32935662547933531</v>
      </c>
      <c r="E42" s="227">
        <f t="shared" si="8"/>
        <v>6.9835859354393653E-2</v>
      </c>
      <c r="F42" s="347">
        <f t="shared" si="8"/>
        <v>1</v>
      </c>
    </row>
    <row r="43" spans="1:6" x14ac:dyDescent="0.3">
      <c r="A43" s="214">
        <v>2006</v>
      </c>
      <c r="B43" s="227">
        <f t="shared" si="8"/>
        <v>0.14092007781948238</v>
      </c>
      <c r="C43" s="227">
        <f t="shared" si="8"/>
        <v>0.44858215261265155</v>
      </c>
      <c r="D43" s="227">
        <f t="shared" si="8"/>
        <v>0.3313223416589699</v>
      </c>
      <c r="E43" s="227">
        <f t="shared" si="8"/>
        <v>7.9175427908896187E-2</v>
      </c>
      <c r="F43" s="347">
        <f t="shared" si="8"/>
        <v>1</v>
      </c>
    </row>
    <row r="44" spans="1:6" x14ac:dyDescent="0.3">
      <c r="A44" s="214">
        <v>2007</v>
      </c>
      <c r="B44" s="227">
        <f t="shared" ref="B44:F51" si="9">B19/$F19</f>
        <v>0.132338410167297</v>
      </c>
      <c r="C44" s="227">
        <f t="shared" si="9"/>
        <v>0.39198950560496099</v>
      </c>
      <c r="D44" s="227">
        <f t="shared" si="9"/>
        <v>0.40362533646802273</v>
      </c>
      <c r="E44" s="227">
        <f t="shared" si="9"/>
        <v>7.204674775971924E-2</v>
      </c>
      <c r="F44" s="347">
        <f t="shared" si="9"/>
        <v>1</v>
      </c>
    </row>
    <row r="45" spans="1:6" x14ac:dyDescent="0.3">
      <c r="A45" s="214">
        <v>2008</v>
      </c>
      <c r="B45" s="227">
        <f t="shared" si="9"/>
        <v>0.14454247025030775</v>
      </c>
      <c r="C45" s="227">
        <f t="shared" si="9"/>
        <v>0.36031322664478183</v>
      </c>
      <c r="D45" s="227">
        <f t="shared" si="9"/>
        <v>0.41411913554917246</v>
      </c>
      <c r="E45" s="227">
        <f t="shared" si="9"/>
        <v>8.1025167555737923E-2</v>
      </c>
      <c r="F45" s="347">
        <f t="shared" si="9"/>
        <v>1</v>
      </c>
    </row>
    <row r="46" spans="1:6" x14ac:dyDescent="0.3">
      <c r="A46" s="214">
        <v>2009</v>
      </c>
      <c r="B46" s="227">
        <f t="shared" si="9"/>
        <v>0.15527127650982864</v>
      </c>
      <c r="C46" s="227">
        <f t="shared" si="9"/>
        <v>0.33942271971055227</v>
      </c>
      <c r="D46" s="227">
        <f t="shared" si="9"/>
        <v>0.42355962591461938</v>
      </c>
      <c r="E46" s="227">
        <f t="shared" si="9"/>
        <v>8.1746377864999761E-2</v>
      </c>
      <c r="F46" s="347">
        <f t="shared" si="9"/>
        <v>1</v>
      </c>
    </row>
    <row r="47" spans="1:6" x14ac:dyDescent="0.3">
      <c r="A47" s="214">
        <v>2010</v>
      </c>
      <c r="B47" s="227">
        <f t="shared" si="9"/>
        <v>0.15603353991979585</v>
      </c>
      <c r="C47" s="227">
        <f t="shared" si="9"/>
        <v>0.30454794021144732</v>
      </c>
      <c r="D47" s="227">
        <f t="shared" si="9"/>
        <v>0.46132579900352411</v>
      </c>
      <c r="E47" s="227">
        <f t="shared" si="9"/>
        <v>7.8092720865232709E-2</v>
      </c>
      <c r="F47" s="347">
        <f t="shared" si="9"/>
        <v>1</v>
      </c>
    </row>
    <row r="48" spans="1:6" x14ac:dyDescent="0.3">
      <c r="A48" s="214">
        <v>2011</v>
      </c>
      <c r="B48" s="227">
        <f t="shared" si="9"/>
        <v>0.15826614331665981</v>
      </c>
      <c r="C48" s="227">
        <f t="shared" si="9"/>
        <v>0.27934987459438015</v>
      </c>
      <c r="D48" s="227">
        <f t="shared" si="9"/>
        <v>0.47793002791514927</v>
      </c>
      <c r="E48" s="227">
        <f t="shared" si="9"/>
        <v>8.4453954173810769E-2</v>
      </c>
      <c r="F48" s="347">
        <f t="shared" si="9"/>
        <v>1</v>
      </c>
    </row>
    <row r="49" spans="1:30" x14ac:dyDescent="0.3">
      <c r="A49" s="214">
        <v>2012</v>
      </c>
      <c r="B49" s="227">
        <f t="shared" si="9"/>
        <v>0.15833162393162392</v>
      </c>
      <c r="C49" s="227">
        <f t="shared" si="9"/>
        <v>0.27525470085470083</v>
      </c>
      <c r="D49" s="227">
        <f t="shared" si="9"/>
        <v>0.47618461538461537</v>
      </c>
      <c r="E49" s="227">
        <f t="shared" si="9"/>
        <v>9.0229059829059835E-2</v>
      </c>
      <c r="F49" s="347">
        <f t="shared" si="9"/>
        <v>1</v>
      </c>
    </row>
    <row r="50" spans="1:30" x14ac:dyDescent="0.3">
      <c r="A50" s="214">
        <v>2013</v>
      </c>
      <c r="B50" s="227">
        <f t="shared" si="9"/>
        <v>0.16268772656654584</v>
      </c>
      <c r="C50" s="227">
        <f t="shared" si="9"/>
        <v>0.25910150181253239</v>
      </c>
      <c r="D50" s="227">
        <f t="shared" si="9"/>
        <v>0.48201708959088557</v>
      </c>
      <c r="E50" s="227">
        <f t="shared" si="9"/>
        <v>9.6193682030036254E-2</v>
      </c>
      <c r="F50" s="347">
        <f t="shared" si="9"/>
        <v>1</v>
      </c>
    </row>
    <row r="51" spans="1:30" x14ac:dyDescent="0.3">
      <c r="A51" s="214">
        <v>2014</v>
      </c>
      <c r="B51" s="227">
        <f t="shared" si="9"/>
        <v>0.16168777779101776</v>
      </c>
      <c r="C51" s="227">
        <f t="shared" si="9"/>
        <v>0.22973987440569107</v>
      </c>
      <c r="D51" s="227">
        <f t="shared" si="9"/>
        <v>0.50588053049892157</v>
      </c>
      <c r="E51" s="227">
        <f t="shared" si="9"/>
        <v>0.10269181730436959</v>
      </c>
      <c r="F51" s="347">
        <f t="shared" si="9"/>
        <v>1</v>
      </c>
    </row>
    <row r="52" spans="1:30" ht="4.5" customHeight="1" thickBot="1" x14ac:dyDescent="0.35">
      <c r="A52" s="224"/>
      <c r="B52" s="218"/>
      <c r="C52" s="218"/>
      <c r="D52" s="218"/>
      <c r="E52" s="218"/>
      <c r="F52" s="219"/>
    </row>
    <row r="53" spans="1:30" x14ac:dyDescent="0.3">
      <c r="A53" s="12" t="s">
        <v>1893</v>
      </c>
    </row>
    <row r="54" spans="1:30" x14ac:dyDescent="0.3">
      <c r="Y54" s="211" t="s">
        <v>176</v>
      </c>
    </row>
    <row r="56" spans="1:30" x14ac:dyDescent="0.3">
      <c r="D56" s="211" t="s">
        <v>176</v>
      </c>
    </row>
    <row r="58" spans="1:30" x14ac:dyDescent="0.3">
      <c r="Y58" s="459" t="s">
        <v>1863</v>
      </c>
    </row>
    <row r="59" spans="1:30" x14ac:dyDescent="0.3">
      <c r="Y59" s="152" t="s">
        <v>3290</v>
      </c>
    </row>
    <row r="60" spans="1:30" ht="8.25" customHeight="1" thickBot="1" x14ac:dyDescent="0.35">
      <c r="AD60" s="211" t="s">
        <v>176</v>
      </c>
    </row>
    <row r="61" spans="1:30" x14ac:dyDescent="0.3">
      <c r="Y61" s="212" t="s">
        <v>1250</v>
      </c>
      <c r="Z61" s="2337">
        <v>2014</v>
      </c>
      <c r="AA61" s="2337">
        <v>2004</v>
      </c>
      <c r="AB61" s="2511" t="s">
        <v>2643</v>
      </c>
      <c r="AC61" s="471" t="s">
        <v>1290</v>
      </c>
    </row>
    <row r="62" spans="1:30" x14ac:dyDescent="0.3">
      <c r="Y62" s="214" t="s">
        <v>497</v>
      </c>
      <c r="Z62" s="2168">
        <f>B26</f>
        <v>13569</v>
      </c>
      <c r="AA62" s="2168">
        <f>B16</f>
        <v>5960</v>
      </c>
      <c r="AB62" s="2168">
        <f>Z62-AA62</f>
        <v>7609</v>
      </c>
      <c r="AC62" s="2564">
        <f>Z62/AA62-1</f>
        <v>1.2766778523489934</v>
      </c>
    </row>
    <row r="63" spans="1:30" x14ac:dyDescent="0.3">
      <c r="Y63" s="214" t="s">
        <v>3289</v>
      </c>
      <c r="Z63" s="1224">
        <f>C26</f>
        <v>19280</v>
      </c>
      <c r="AA63" s="1224">
        <f>C16</f>
        <v>23120</v>
      </c>
      <c r="AB63" s="1224">
        <f>Z63-AA63</f>
        <v>-3840</v>
      </c>
      <c r="AC63" s="2564">
        <f>Z63/AA63-1</f>
        <v>-0.16608996539792387</v>
      </c>
    </row>
    <row r="64" spans="1:30" x14ac:dyDescent="0.3">
      <c r="Y64" s="214" t="s">
        <v>3288</v>
      </c>
      <c r="Z64" s="1224">
        <f>D26</f>
        <v>42454</v>
      </c>
      <c r="AA64" s="1224">
        <f>D16</f>
        <v>15278</v>
      </c>
      <c r="AB64" s="1224">
        <f>Z64-AA64</f>
        <v>27176</v>
      </c>
      <c r="AC64" s="2564">
        <f>Z64/AA64-1</f>
        <v>1.7787668543003012</v>
      </c>
    </row>
    <row r="65" spans="25:29" x14ac:dyDescent="0.3">
      <c r="Y65" s="214" t="s">
        <v>3287</v>
      </c>
      <c r="Z65" s="1224">
        <f>E26</f>
        <v>8618</v>
      </c>
      <c r="AA65" s="1224">
        <f>E16</f>
        <v>1736</v>
      </c>
      <c r="AB65" s="1224">
        <f>Z65-AA65</f>
        <v>6882</v>
      </c>
      <c r="AC65" s="2564">
        <f>Z65/AA65-1</f>
        <v>3.9642857142857144</v>
      </c>
    </row>
    <row r="66" spans="25:29" ht="16.2" thickBot="1" x14ac:dyDescent="0.35">
      <c r="Y66" s="224"/>
      <c r="Z66" s="2563">
        <f>SUM(Z62:Z65)</f>
        <v>83921</v>
      </c>
      <c r="AA66" s="2563">
        <f>SUM(AA62:AA65)</f>
        <v>46094</v>
      </c>
      <c r="AB66" s="2563">
        <f>SUM(AB62:AB65)</f>
        <v>37827</v>
      </c>
      <c r="AC66" s="2562">
        <f>Z66/AA66-1</f>
        <v>0.82064910834381921</v>
      </c>
    </row>
    <row r="67" spans="25:29" x14ac:dyDescent="0.3">
      <c r="Y67" s="2810" t="s">
        <v>3286</v>
      </c>
      <c r="Z67" s="2810"/>
      <c r="AA67" s="2810"/>
      <c r="AB67" s="2810"/>
      <c r="AC67" s="2810"/>
    </row>
    <row r="68" spans="25:29" x14ac:dyDescent="0.3">
      <c r="Y68" s="2810"/>
      <c r="Z68" s="2810"/>
      <c r="AA68" s="2810"/>
      <c r="AB68" s="2810"/>
      <c r="AC68" s="2810"/>
    </row>
  </sheetData>
  <mergeCells count="4">
    <mergeCell ref="B4:F4"/>
    <mergeCell ref="L4:P4"/>
    <mergeCell ref="B29:F29"/>
    <mergeCell ref="Y67:AC68"/>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C7A96-33E0-4EC8-8C85-A9FC5E7A9950}">
  <sheetPr>
    <tabColor theme="9" tint="0.39997558519241921"/>
  </sheetPr>
  <dimension ref="A1:S54"/>
  <sheetViews>
    <sheetView zoomScale="55" zoomScaleNormal="55" workbookViewId="0">
      <pane xSplit="1" ySplit="1" topLeftCell="B14" activePane="bottomRight" state="frozen"/>
      <selection pane="topRight" activeCell="B1" sqref="B1"/>
      <selection pane="bottomLeft" activeCell="A2" sqref="A2"/>
      <selection pane="bottomRight" activeCell="X56" sqref="X56"/>
    </sheetView>
  </sheetViews>
  <sheetFormatPr defaultColWidth="9.109375" defaultRowHeight="15.6" x14ac:dyDescent="0.3"/>
  <cols>
    <col min="1" max="1" width="27.88671875" style="211" customWidth="1"/>
    <col min="2" max="2" width="9.6640625" style="211" bestFit="1" customWidth="1"/>
    <col min="3" max="3" width="10.88671875" style="211" bestFit="1" customWidth="1"/>
    <col min="4" max="5" width="9.109375" style="211"/>
    <col min="6" max="6" width="35.44140625" style="211" customWidth="1"/>
    <col min="7" max="11" width="9.109375" style="211"/>
    <col min="12" max="13" width="17.88671875" style="211" customWidth="1"/>
    <col min="14" max="16384" width="9.109375" style="211"/>
  </cols>
  <sheetData>
    <row r="1" spans="1:19" x14ac:dyDescent="0.3">
      <c r="B1" s="211" t="s">
        <v>2079</v>
      </c>
      <c r="C1" s="211" t="s">
        <v>2080</v>
      </c>
      <c r="D1" s="211" t="s">
        <v>2081</v>
      </c>
      <c r="G1" s="211" t="s">
        <v>2079</v>
      </c>
      <c r="H1" s="211" t="s">
        <v>2080</v>
      </c>
      <c r="I1" s="211" t="s">
        <v>2081</v>
      </c>
      <c r="L1" s="211" t="s">
        <v>2089</v>
      </c>
      <c r="M1" s="211" t="s">
        <v>2090</v>
      </c>
      <c r="O1" s="211" t="s">
        <v>2173</v>
      </c>
      <c r="R1" s="211" t="s">
        <v>2172</v>
      </c>
      <c r="S1" s="211" t="s">
        <v>2174</v>
      </c>
    </row>
    <row r="2" spans="1:19" x14ac:dyDescent="0.3">
      <c r="A2" s="211">
        <v>1965</v>
      </c>
      <c r="B2" s="227">
        <v>0.23799999999999999</v>
      </c>
      <c r="C2" s="227">
        <v>0.495</v>
      </c>
      <c r="D2" s="227">
        <v>0.1</v>
      </c>
    </row>
    <row r="3" spans="1:19" x14ac:dyDescent="0.3">
      <c r="A3" s="211">
        <v>1966</v>
      </c>
      <c r="B3" s="227">
        <v>0.20300000000000001</v>
      </c>
      <c r="C3" s="227">
        <v>-3.4000000000000002E-2</v>
      </c>
      <c r="D3" s="227">
        <v>-0.11700000000000001</v>
      </c>
    </row>
    <row r="4" spans="1:19" x14ac:dyDescent="0.3">
      <c r="A4" s="211">
        <v>1967</v>
      </c>
      <c r="B4" s="227">
        <v>0.11</v>
      </c>
      <c r="C4" s="227">
        <v>0.13300000000000001</v>
      </c>
      <c r="D4" s="227">
        <v>0.309</v>
      </c>
    </row>
    <row r="5" spans="1:19" x14ac:dyDescent="0.3">
      <c r="A5" s="211">
        <v>1968</v>
      </c>
      <c r="B5" s="227">
        <v>0.19</v>
      </c>
      <c r="C5" s="227">
        <v>0.77800000000000002</v>
      </c>
      <c r="D5" s="227">
        <v>0.11</v>
      </c>
    </row>
    <row r="6" spans="1:19" x14ac:dyDescent="0.3">
      <c r="A6" s="211">
        <v>1969</v>
      </c>
      <c r="B6" s="227">
        <v>0.16200000000000001</v>
      </c>
      <c r="C6" s="227">
        <v>0.19400000000000001</v>
      </c>
      <c r="D6" s="227">
        <v>-8.4000000000000005E-2</v>
      </c>
    </row>
    <row r="7" spans="1:19" x14ac:dyDescent="0.3">
      <c r="A7" s="211">
        <v>1970</v>
      </c>
      <c r="B7" s="227">
        <v>0.12</v>
      </c>
      <c r="C7" s="227">
        <v>-4.5999999999999999E-2</v>
      </c>
      <c r="D7" s="227">
        <v>3.9E-2</v>
      </c>
    </row>
    <row r="8" spans="1:19" x14ac:dyDescent="0.3">
      <c r="A8" s="211">
        <v>1971</v>
      </c>
      <c r="B8" s="227">
        <v>0.16400000000000001</v>
      </c>
      <c r="C8" s="227">
        <v>0.80500000000000005</v>
      </c>
      <c r="D8" s="227">
        <v>0.14599999999999999</v>
      </c>
    </row>
    <row r="9" spans="1:19" x14ac:dyDescent="0.3">
      <c r="A9" s="211">
        <v>1972</v>
      </c>
      <c r="B9" s="227">
        <v>0.217</v>
      </c>
      <c r="C9" s="227">
        <v>8.1000000000000003E-2</v>
      </c>
      <c r="D9" s="227">
        <v>0.189</v>
      </c>
    </row>
    <row r="10" spans="1:19" x14ac:dyDescent="0.3">
      <c r="A10" s="211">
        <v>1973</v>
      </c>
      <c r="B10" s="227">
        <v>4.7E-2</v>
      </c>
      <c r="C10" s="227">
        <v>-2.5000000000000001E-2</v>
      </c>
      <c r="D10" s="227">
        <v>-0.14799999999999999</v>
      </c>
      <c r="F10" s="211" t="s">
        <v>2088</v>
      </c>
      <c r="G10" s="226">
        <f>FVSCHEDULE(1,B2:B11)</f>
        <v>4.0061117782805464</v>
      </c>
      <c r="H10" s="226">
        <f>FVSCHEDULE(1,C2:C11)</f>
        <v>3.2341307084333066</v>
      </c>
      <c r="I10" s="226">
        <f>FVSCHEDULE(1,D2:D11)</f>
        <v>1.147653846606199</v>
      </c>
      <c r="L10" s="1620">
        <f>G10-I10</f>
        <v>2.8584579316743475</v>
      </c>
      <c r="M10" s="1620">
        <f>H10-I10</f>
        <v>2.0864768618271077</v>
      </c>
    </row>
    <row r="11" spans="1:19" x14ac:dyDescent="0.3">
      <c r="A11" s="211">
        <v>1974</v>
      </c>
      <c r="B11" s="227">
        <v>5.5E-2</v>
      </c>
      <c r="C11" s="227">
        <v>-0.48699999999999999</v>
      </c>
      <c r="D11" s="227">
        <v>-0.26400000000000001</v>
      </c>
      <c r="F11" s="211" t="s">
        <v>2082</v>
      </c>
      <c r="G11" s="227">
        <f>G10^(1/10)-1</f>
        <v>0.14887374917555318</v>
      </c>
      <c r="H11" s="227">
        <f t="shared" ref="H11" si="0">H10^(1/10)-1</f>
        <v>0.12454219800520905</v>
      </c>
      <c r="I11" s="227">
        <f t="shared" ref="I11" si="1">I10^(1/10)-1</f>
        <v>1.3867242973297778E-2</v>
      </c>
      <c r="L11" s="1620">
        <f>G11-I11</f>
        <v>0.13500650620225541</v>
      </c>
      <c r="M11" s="1620">
        <f>H11-I11</f>
        <v>0.11067495503191127</v>
      </c>
      <c r="O11" s="365">
        <f>(FVSCHEDULE(1,B2:B11)^(1/10)-1)</f>
        <v>0.14887374917555318</v>
      </c>
      <c r="P11" s="365">
        <f>(FVSCHEDULE(1,C2:C11)^(1/10)-1)</f>
        <v>0.12454219800520905</v>
      </c>
      <c r="R11" s="365">
        <f>(FVSCHEDULE(1,B2:B11)^(1/10)-1)-(FVSCHEDULE(1,D2:D11)^(1/10)-1)</f>
        <v>0.13500650620225541</v>
      </c>
      <c r="S11" s="365">
        <f>(FVSCHEDULE(1,C2:C11)^(1/10)-1)-(FVSCHEDULE(1,D2:D11)^(1/10)-1)</f>
        <v>0.11067495503191127</v>
      </c>
    </row>
    <row r="12" spans="1:19" x14ac:dyDescent="0.3">
      <c r="A12" s="211">
        <v>1975</v>
      </c>
      <c r="B12" s="227">
        <v>0.219</v>
      </c>
      <c r="C12" s="227">
        <v>2.5000000000000001E-2</v>
      </c>
      <c r="D12" s="227">
        <v>0.372</v>
      </c>
      <c r="O12" s="365">
        <f t="shared" ref="O12:O51" si="2">(FVSCHEDULE(1,B3:B12)^(1/10)-1)</f>
        <v>0.14709823722482929</v>
      </c>
      <c r="P12" s="365">
        <f t="shared" ref="P12:P51" si="3">(FVSCHEDULE(1,C3:C12)^(1/10)-1)</f>
        <v>8.2889204246775927E-2</v>
      </c>
      <c r="R12" s="365">
        <f t="shared" ref="R12:R49" si="4">(FVSCHEDULE(1,B3:B12)^(1/10)-1)-(FVSCHEDULE(1,D3:D12)^(1/10)-1)</f>
        <v>0.11057931619605466</v>
      </c>
      <c r="S12" s="365">
        <f t="shared" ref="S12:S51" si="5">(FVSCHEDULE(1,C3:C12)^(1/10)-1)-(FVSCHEDULE(1,D3:D12)^(1/10)-1)</f>
        <v>4.6370283218001296E-2</v>
      </c>
    </row>
    <row r="13" spans="1:19" x14ac:dyDescent="0.3">
      <c r="A13" s="211">
        <v>1976</v>
      </c>
      <c r="B13" s="227">
        <v>0.59299999999999997</v>
      </c>
      <c r="C13" s="227">
        <v>1.2929999999999999</v>
      </c>
      <c r="D13" s="227">
        <v>0.23599999999999999</v>
      </c>
      <c r="O13" s="365">
        <f t="shared" si="2"/>
        <v>0.17976532428506076</v>
      </c>
      <c r="P13" s="365">
        <f t="shared" si="3"/>
        <v>0.18066507569121315</v>
      </c>
      <c r="R13" s="365">
        <f t="shared" si="4"/>
        <v>0.10779438736449198</v>
      </c>
      <c r="S13" s="365">
        <f t="shared" si="5"/>
        <v>0.10869413877064438</v>
      </c>
    </row>
    <row r="14" spans="1:19" x14ac:dyDescent="0.3">
      <c r="A14" s="211">
        <v>1977</v>
      </c>
      <c r="B14" s="227">
        <v>0.31900000000000001</v>
      </c>
      <c r="C14" s="227">
        <v>0.46800000000000003</v>
      </c>
      <c r="D14" s="227">
        <v>-7.3999999999999996E-2</v>
      </c>
      <c r="M14" s="211" t="s">
        <v>176</v>
      </c>
      <c r="O14" s="365">
        <f t="shared" si="2"/>
        <v>0.20029448015249174</v>
      </c>
      <c r="P14" s="365">
        <f t="shared" si="3"/>
        <v>0.21164761416500855</v>
      </c>
      <c r="R14" s="365">
        <f t="shared" si="4"/>
        <v>0.16479438051702355</v>
      </c>
      <c r="S14" s="365">
        <f t="shared" si="5"/>
        <v>0.17614751452954036</v>
      </c>
    </row>
    <row r="15" spans="1:19" x14ac:dyDescent="0.3">
      <c r="A15" s="211">
        <v>1978</v>
      </c>
      <c r="B15" s="227">
        <v>0.24</v>
      </c>
      <c r="C15" s="227">
        <v>0.14499999999999999</v>
      </c>
      <c r="D15" s="227">
        <v>6.4000000000000001E-2</v>
      </c>
      <c r="O15" s="365">
        <f t="shared" si="2"/>
        <v>0.2052448412531076</v>
      </c>
      <c r="P15" s="365">
        <f t="shared" si="3"/>
        <v>0.15948118177068427</v>
      </c>
      <c r="R15" s="365">
        <f t="shared" si="4"/>
        <v>0.17411819512885818</v>
      </c>
      <c r="S15" s="365">
        <f t="shared" si="5"/>
        <v>0.12835453564643484</v>
      </c>
    </row>
    <row r="16" spans="1:19" x14ac:dyDescent="0.3">
      <c r="A16" s="211">
        <v>1979</v>
      </c>
      <c r="B16" s="227">
        <v>0.35699999999999998</v>
      </c>
      <c r="C16" s="227">
        <v>1.0249999999999999</v>
      </c>
      <c r="D16" s="227">
        <v>0.182</v>
      </c>
      <c r="O16" s="365">
        <f t="shared" si="2"/>
        <v>0.22408803595927251</v>
      </c>
      <c r="P16" s="365">
        <f t="shared" si="3"/>
        <v>0.22237870243677649</v>
      </c>
      <c r="R16" s="365">
        <f t="shared" si="4"/>
        <v>0.16633517120469676</v>
      </c>
      <c r="S16" s="365">
        <f t="shared" si="5"/>
        <v>0.16462583768220074</v>
      </c>
    </row>
    <row r="17" spans="1:19" x14ac:dyDescent="0.3">
      <c r="A17" s="211">
        <v>1980</v>
      </c>
      <c r="B17" s="227">
        <v>0.193</v>
      </c>
      <c r="C17" s="227">
        <v>0.32800000000000001</v>
      </c>
      <c r="D17" s="227">
        <v>0.32300000000000001</v>
      </c>
      <c r="O17" s="365">
        <f t="shared" si="2"/>
        <v>0.23184168212827738</v>
      </c>
      <c r="P17" s="365">
        <f t="shared" si="3"/>
        <v>0.26348690331706992</v>
      </c>
      <c r="R17" s="365">
        <f t="shared" si="4"/>
        <v>0.14821762048558762</v>
      </c>
      <c r="S17" s="365">
        <f t="shared" si="5"/>
        <v>0.17986284167438016</v>
      </c>
    </row>
    <row r="18" spans="1:19" x14ac:dyDescent="0.3">
      <c r="A18" s="211">
        <v>1981</v>
      </c>
      <c r="B18" s="227">
        <v>0.314</v>
      </c>
      <c r="C18" s="227">
        <v>0.318</v>
      </c>
      <c r="D18" s="227">
        <v>-0.05</v>
      </c>
      <c r="O18" s="365">
        <f t="shared" si="2"/>
        <v>0.24686413735598345</v>
      </c>
      <c r="P18" s="365">
        <f t="shared" si="3"/>
        <v>0.22437531479327588</v>
      </c>
      <c r="R18" s="365">
        <f t="shared" si="4"/>
        <v>0.18337627252654265</v>
      </c>
      <c r="S18" s="365">
        <f t="shared" si="5"/>
        <v>0.16088744996383508</v>
      </c>
    </row>
    <row r="19" spans="1:19" x14ac:dyDescent="0.3">
      <c r="A19" s="211">
        <v>1982</v>
      </c>
      <c r="B19" s="227">
        <v>0.4</v>
      </c>
      <c r="C19" s="227">
        <v>0.38400000000000001</v>
      </c>
      <c r="D19" s="227">
        <v>0.214</v>
      </c>
      <c r="O19" s="365">
        <f t="shared" si="2"/>
        <v>0.2644535485566375</v>
      </c>
      <c r="P19" s="365">
        <f t="shared" si="3"/>
        <v>0.25500542925721303</v>
      </c>
      <c r="R19" s="365">
        <f t="shared" si="4"/>
        <v>0.19875046628824466</v>
      </c>
      <c r="S19" s="365">
        <f t="shared" si="5"/>
        <v>0.1893023469888202</v>
      </c>
    </row>
    <row r="20" spans="1:19" x14ac:dyDescent="0.3">
      <c r="A20" s="211">
        <v>1983</v>
      </c>
      <c r="B20" s="227">
        <v>0.32300000000000001</v>
      </c>
      <c r="C20" s="227">
        <v>0.69</v>
      </c>
      <c r="D20" s="227">
        <v>0.224</v>
      </c>
      <c r="F20" s="211" t="s">
        <v>2087</v>
      </c>
      <c r="G20" s="226">
        <f>FVSCHEDULE(1,B12:B21)</f>
        <v>14.215686256494852</v>
      </c>
      <c r="H20" s="226">
        <f>FVSCHEDULE(1,C12:C21)</f>
        <v>31.866444534557015</v>
      </c>
      <c r="I20" s="226">
        <f>FVSCHEDULE(1,D12:D21)</f>
        <v>3.9132861986102214</v>
      </c>
      <c r="L20" s="1620">
        <f>G20-I20</f>
        <v>10.302400057884631</v>
      </c>
      <c r="M20" s="1620">
        <f>H20-I20</f>
        <v>27.953158335946792</v>
      </c>
      <c r="O20" s="365">
        <f t="shared" si="2"/>
        <v>0.29438715887416755</v>
      </c>
      <c r="P20" s="365">
        <f t="shared" si="3"/>
        <v>0.32597035177237821</v>
      </c>
      <c r="R20" s="365">
        <f t="shared" si="4"/>
        <v>0.18936648286784097</v>
      </c>
      <c r="S20" s="365">
        <f t="shared" si="5"/>
        <v>0.22094967576605162</v>
      </c>
    </row>
    <row r="21" spans="1:19" x14ac:dyDescent="0.3">
      <c r="A21" s="211">
        <v>1984</v>
      </c>
      <c r="B21" s="227">
        <v>0.13600000000000001</v>
      </c>
      <c r="C21" s="227">
        <v>-2.7E-2</v>
      </c>
      <c r="D21" s="227">
        <v>6.0999999999999999E-2</v>
      </c>
      <c r="F21" s="211" t="s">
        <v>2082</v>
      </c>
      <c r="G21" s="227">
        <f>G20^(1/10)-1</f>
        <v>0.30399757271298866</v>
      </c>
      <c r="H21" s="227">
        <f t="shared" ref="H21" si="6">H20^(1/10)-1</f>
        <v>0.41362221354975359</v>
      </c>
      <c r="I21" s="227">
        <f t="shared" ref="I21" si="7">I20^(1/10)-1</f>
        <v>0.14618352345401342</v>
      </c>
      <c r="L21" s="1620">
        <f>G21-I21</f>
        <v>0.15781404925897524</v>
      </c>
      <c r="M21" s="1620">
        <f>H21-I21</f>
        <v>0.26743869009574017</v>
      </c>
      <c r="O21" s="365">
        <f t="shared" si="2"/>
        <v>0.30399757271298866</v>
      </c>
      <c r="P21" s="365">
        <f t="shared" si="3"/>
        <v>0.41362221354975359</v>
      </c>
      <c r="R21" s="365">
        <f t="shared" si="4"/>
        <v>0.15781404925897524</v>
      </c>
      <c r="S21" s="365">
        <f t="shared" si="5"/>
        <v>0.26743869009574017</v>
      </c>
    </row>
    <row r="22" spans="1:19" x14ac:dyDescent="0.3">
      <c r="A22" s="211">
        <v>1985</v>
      </c>
      <c r="B22" s="227">
        <v>0.48199999999999998</v>
      </c>
      <c r="C22" s="227">
        <v>0.93700000000000006</v>
      </c>
      <c r="D22" s="227">
        <v>0.316</v>
      </c>
      <c r="O22" s="365">
        <f t="shared" si="2"/>
        <v>0.32972315937816643</v>
      </c>
      <c r="P22" s="365">
        <f t="shared" si="3"/>
        <v>0.50651665243750688</v>
      </c>
      <c r="R22" s="365">
        <f t="shared" si="4"/>
        <v>0.18830615314412946</v>
      </c>
      <c r="S22" s="365">
        <f t="shared" si="5"/>
        <v>0.36509964620346991</v>
      </c>
    </row>
    <row r="23" spans="1:19" x14ac:dyDescent="0.3">
      <c r="A23" s="211">
        <v>1986</v>
      </c>
      <c r="B23" s="227">
        <v>0.26100000000000001</v>
      </c>
      <c r="C23" s="227">
        <v>0.14199999999999999</v>
      </c>
      <c r="D23" s="227">
        <v>0.186</v>
      </c>
      <c r="O23" s="365">
        <f t="shared" si="2"/>
        <v>0.29900602041236302</v>
      </c>
      <c r="P23" s="365">
        <f t="shared" si="3"/>
        <v>0.40507705400271177</v>
      </c>
      <c r="R23" s="365">
        <f t="shared" si="4"/>
        <v>0.16229266990097924</v>
      </c>
      <c r="S23" s="365">
        <f t="shared" si="5"/>
        <v>0.26836370349132799</v>
      </c>
    </row>
    <row r="24" spans="1:19" x14ac:dyDescent="0.3">
      <c r="A24" s="211">
        <v>1987</v>
      </c>
      <c r="B24" s="227">
        <v>0.19500000000000001</v>
      </c>
      <c r="C24" s="227">
        <v>4.5999999999999999E-2</v>
      </c>
      <c r="D24" s="227">
        <v>5.0999999999999997E-2</v>
      </c>
      <c r="O24" s="365">
        <f t="shared" si="2"/>
        <v>0.28624433450309095</v>
      </c>
      <c r="P24" s="365">
        <f t="shared" si="3"/>
        <v>0.35825309828588292</v>
      </c>
      <c r="R24" s="365">
        <f t="shared" si="4"/>
        <v>0.13504605019605043</v>
      </c>
      <c r="S24" s="365">
        <f t="shared" si="5"/>
        <v>0.2070548139788424</v>
      </c>
    </row>
    <row r="25" spans="1:19" x14ac:dyDescent="0.3">
      <c r="A25" s="211">
        <v>1988</v>
      </c>
      <c r="B25" s="227">
        <v>0.20100000000000001</v>
      </c>
      <c r="C25" s="227">
        <v>0.59299999999999997</v>
      </c>
      <c r="D25" s="227">
        <v>0.16600000000000001</v>
      </c>
      <c r="O25" s="365">
        <f t="shared" si="2"/>
        <v>0.28214046533728587</v>
      </c>
      <c r="P25" s="365">
        <f t="shared" si="3"/>
        <v>0.40385331959878079</v>
      </c>
      <c r="R25" s="365">
        <f t="shared" si="4"/>
        <v>0.12035530216892987</v>
      </c>
      <c r="S25" s="365">
        <f t="shared" si="5"/>
        <v>0.24206815643042479</v>
      </c>
    </row>
    <row r="26" spans="1:19" x14ac:dyDescent="0.3">
      <c r="A26" s="211">
        <v>1989</v>
      </c>
      <c r="B26" s="227">
        <v>0.44400000000000001</v>
      </c>
      <c r="C26" s="227">
        <v>0.84599999999999997</v>
      </c>
      <c r="D26" s="227">
        <v>0.317</v>
      </c>
      <c r="O26" s="365">
        <f t="shared" si="2"/>
        <v>0.29013257679738969</v>
      </c>
      <c r="P26" s="365">
        <f t="shared" si="3"/>
        <v>0.3909207952884608</v>
      </c>
      <c r="R26" s="365">
        <f t="shared" si="4"/>
        <v>0.11571469355730124</v>
      </c>
      <c r="S26" s="365">
        <f t="shared" si="5"/>
        <v>0.21650291204837235</v>
      </c>
    </row>
    <row r="27" spans="1:19" x14ac:dyDescent="0.3">
      <c r="A27" s="211">
        <v>1990</v>
      </c>
      <c r="B27" s="227">
        <v>7.3999999999999996E-2</v>
      </c>
      <c r="C27" s="227">
        <v>-0.23100000000000001</v>
      </c>
      <c r="D27" s="227">
        <v>-3.1E-2</v>
      </c>
      <c r="O27" s="365">
        <f t="shared" si="2"/>
        <v>0.27664669538570341</v>
      </c>
      <c r="P27" s="365">
        <f t="shared" si="3"/>
        <v>0.31696801264951358</v>
      </c>
      <c r="R27" s="365">
        <f t="shared" si="4"/>
        <v>0.13823578570377149</v>
      </c>
      <c r="S27" s="365">
        <f t="shared" si="5"/>
        <v>0.17855710296758165</v>
      </c>
    </row>
    <row r="28" spans="1:19" x14ac:dyDescent="0.3">
      <c r="A28" s="211">
        <v>1991</v>
      </c>
      <c r="B28" s="227">
        <v>0.39600000000000002</v>
      </c>
      <c r="C28" s="227">
        <v>0.35599999999999998</v>
      </c>
      <c r="D28" s="227">
        <v>0.30499999999999999</v>
      </c>
      <c r="O28" s="365">
        <f t="shared" si="2"/>
        <v>0.28439832552319344</v>
      </c>
      <c r="P28" s="365">
        <f t="shared" si="3"/>
        <v>0.32071665505780045</v>
      </c>
      <c r="R28" s="365">
        <f t="shared" si="4"/>
        <v>0.10926338428326576</v>
      </c>
      <c r="S28" s="365">
        <f t="shared" si="5"/>
        <v>0.14558171381787277</v>
      </c>
    </row>
    <row r="29" spans="1:19" x14ac:dyDescent="0.3">
      <c r="A29" s="211">
        <v>1992</v>
      </c>
      <c r="B29" s="227">
        <v>0.20300000000000001</v>
      </c>
      <c r="C29" s="227">
        <v>0.29799999999999999</v>
      </c>
      <c r="D29" s="227">
        <v>7.5999999999999998E-2</v>
      </c>
      <c r="O29" s="365">
        <f t="shared" si="2"/>
        <v>0.26506689166243147</v>
      </c>
      <c r="P29" s="365">
        <f t="shared" si="3"/>
        <v>0.31227094988019788</v>
      </c>
      <c r="R29" s="365">
        <f t="shared" si="4"/>
        <v>0.10402711650847873</v>
      </c>
      <c r="S29" s="365">
        <f t="shared" si="5"/>
        <v>0.15123117472624514</v>
      </c>
    </row>
    <row r="30" spans="1:19" x14ac:dyDescent="0.3">
      <c r="A30" s="211">
        <v>1993</v>
      </c>
      <c r="B30" s="227">
        <v>0.14299999999999999</v>
      </c>
      <c r="C30" s="227">
        <v>0.38900000000000001</v>
      </c>
      <c r="D30" s="227">
        <v>0.10100000000000001</v>
      </c>
      <c r="F30" s="211" t="s">
        <v>2086</v>
      </c>
      <c r="G30" s="226">
        <f>FVSCHEDULE(1,B22:B31)</f>
        <v>9.0942455786278291</v>
      </c>
      <c r="H30" s="226">
        <f>FVSCHEDULE(1,C22:C31)</f>
        <v>15.989977851852883</v>
      </c>
      <c r="I30" s="226">
        <f>FVSCHEDULE(1,D22:D31)</f>
        <v>3.8227064040278864</v>
      </c>
      <c r="L30" s="1620">
        <f>G30-I30</f>
        <v>5.2715391745999423</v>
      </c>
      <c r="M30" s="1620">
        <f>H30-I30</f>
        <v>12.167271447824996</v>
      </c>
      <c r="O30" s="365">
        <f t="shared" si="2"/>
        <v>0.24670048517231669</v>
      </c>
      <c r="P30" s="365">
        <f t="shared" si="3"/>
        <v>0.28678227185050997</v>
      </c>
      <c r="R30" s="365">
        <f t="shared" si="4"/>
        <v>9.7891858141317734E-2</v>
      </c>
      <c r="S30" s="365">
        <f t="shared" si="5"/>
        <v>0.13797364481951102</v>
      </c>
    </row>
    <row r="31" spans="1:19" x14ac:dyDescent="0.3">
      <c r="A31" s="211">
        <v>1994</v>
      </c>
      <c r="B31" s="227">
        <v>0.13900000000000001</v>
      </c>
      <c r="C31" s="227">
        <v>0.25</v>
      </c>
      <c r="D31" s="227">
        <v>1.2999999999999999E-2</v>
      </c>
      <c r="F31" s="211" t="s">
        <v>2082</v>
      </c>
      <c r="G31" s="227">
        <f>G30^(1/10)-1</f>
        <v>0.24702932885298123</v>
      </c>
      <c r="H31" s="227">
        <f t="shared" ref="H31" si="8">H30^(1/10)-1</f>
        <v>0.31942523556779689</v>
      </c>
      <c r="I31" s="227">
        <f t="shared" ref="I31" si="9">I30^(1/10)-1</f>
        <v>0.14350243676517871</v>
      </c>
      <c r="L31" s="1620">
        <f>G31-I31</f>
        <v>0.10352689208780252</v>
      </c>
      <c r="M31" s="1620">
        <f>H31-I31</f>
        <v>0.17592279880261819</v>
      </c>
      <c r="O31" s="365">
        <f t="shared" si="2"/>
        <v>0.24702932885298123</v>
      </c>
      <c r="P31" s="365">
        <f t="shared" si="3"/>
        <v>0.31942523556779689</v>
      </c>
      <c r="R31" s="365">
        <f t="shared" si="4"/>
        <v>0.10352689208780252</v>
      </c>
      <c r="S31" s="365">
        <f t="shared" si="5"/>
        <v>0.17592279880261819</v>
      </c>
    </row>
    <row r="32" spans="1:19" x14ac:dyDescent="0.3">
      <c r="A32" s="211">
        <v>1995</v>
      </c>
      <c r="B32" s="227">
        <v>0.43099999999999999</v>
      </c>
      <c r="C32" s="227">
        <v>0.57399999999999995</v>
      </c>
      <c r="D32" s="227">
        <v>0.376</v>
      </c>
      <c r="O32" s="365">
        <f t="shared" si="2"/>
        <v>0.24266999100996078</v>
      </c>
      <c r="P32" s="365">
        <f t="shared" si="3"/>
        <v>0.29232663997942887</v>
      </c>
      <c r="R32" s="365">
        <f t="shared" si="4"/>
        <v>9.4057991911275618E-2</v>
      </c>
      <c r="S32" s="365">
        <f t="shared" si="5"/>
        <v>0.1437146408807437</v>
      </c>
    </row>
    <row r="33" spans="1:19" x14ac:dyDescent="0.3">
      <c r="A33" s="211">
        <v>1996</v>
      </c>
      <c r="B33" s="227">
        <v>0.318</v>
      </c>
      <c r="C33" s="227">
        <v>6.2E-2</v>
      </c>
      <c r="D33" s="227">
        <v>0.23</v>
      </c>
      <c r="O33" s="365">
        <f t="shared" si="2"/>
        <v>0.24817604441670471</v>
      </c>
      <c r="P33" s="365">
        <f t="shared" si="3"/>
        <v>0.28297483581083083</v>
      </c>
      <c r="R33" s="365">
        <f t="shared" si="4"/>
        <v>9.5372266353143553E-2</v>
      </c>
      <c r="S33" s="365">
        <f t="shared" si="5"/>
        <v>0.13017105774726967</v>
      </c>
    </row>
    <row r="34" spans="1:19" x14ac:dyDescent="0.3">
      <c r="A34" s="211">
        <v>1997</v>
      </c>
      <c r="B34" s="227">
        <v>0.34100000000000003</v>
      </c>
      <c r="C34" s="227">
        <v>0.34899999999999998</v>
      </c>
      <c r="D34" s="227">
        <v>0.33400000000000002</v>
      </c>
      <c r="O34" s="365">
        <f t="shared" si="2"/>
        <v>0.26264693950549511</v>
      </c>
      <c r="P34" s="365">
        <f t="shared" si="3"/>
        <v>0.31603113711626718</v>
      </c>
      <c r="R34" s="365">
        <f t="shared" si="4"/>
        <v>8.2025399585036185E-2</v>
      </c>
      <c r="S34" s="365">
        <f t="shared" si="5"/>
        <v>0.13540959719580825</v>
      </c>
    </row>
    <row r="35" spans="1:19" x14ac:dyDescent="0.3">
      <c r="A35" s="211">
        <v>1998</v>
      </c>
      <c r="B35" s="227">
        <v>0.48299999999999998</v>
      </c>
      <c r="C35" s="227">
        <v>0.52200000000000002</v>
      </c>
      <c r="D35" s="227">
        <v>0.28599999999999998</v>
      </c>
      <c r="O35" s="365">
        <f t="shared" si="2"/>
        <v>0.28956056767516647</v>
      </c>
      <c r="P35" s="365">
        <f t="shared" si="3"/>
        <v>0.31004451283229995</v>
      </c>
      <c r="R35" s="365">
        <f t="shared" si="4"/>
        <v>9.7317120092254017E-2</v>
      </c>
      <c r="S35" s="365">
        <f t="shared" si="5"/>
        <v>0.11780106524938749</v>
      </c>
    </row>
    <row r="36" spans="1:19" x14ac:dyDescent="0.3">
      <c r="A36" s="211">
        <v>1999</v>
      </c>
      <c r="B36" s="227">
        <v>5.0000000000000001E-3</v>
      </c>
      <c r="C36" s="227">
        <v>-0.19900000000000001</v>
      </c>
      <c r="D36" s="227">
        <v>0.21</v>
      </c>
      <c r="O36" s="365">
        <f t="shared" si="2"/>
        <v>0.2436599007166782</v>
      </c>
      <c r="P36" s="365">
        <f t="shared" si="3"/>
        <v>0.20510845747742157</v>
      </c>
      <c r="R36" s="365">
        <f t="shared" si="4"/>
        <v>6.1476372648294531E-2</v>
      </c>
      <c r="S36" s="365">
        <f t="shared" si="5"/>
        <v>2.2924929409037897E-2</v>
      </c>
    </row>
    <row r="37" spans="1:19" x14ac:dyDescent="0.3">
      <c r="A37" s="211">
        <v>2000</v>
      </c>
      <c r="B37" s="227">
        <v>6.5000000000000002E-2</v>
      </c>
      <c r="C37" s="227">
        <v>0.26600000000000001</v>
      </c>
      <c r="D37" s="227">
        <v>-9.0999999999999998E-2</v>
      </c>
      <c r="O37" s="365">
        <f t="shared" si="2"/>
        <v>0.2426137766481542</v>
      </c>
      <c r="P37" s="365">
        <f t="shared" si="3"/>
        <v>0.26670904288961306</v>
      </c>
      <c r="R37" s="365">
        <f t="shared" si="4"/>
        <v>6.7962609785448436E-2</v>
      </c>
      <c r="S37" s="365">
        <f t="shared" si="5"/>
        <v>9.2057876026907293E-2</v>
      </c>
    </row>
    <row r="38" spans="1:19" x14ac:dyDescent="0.3">
      <c r="A38" s="211">
        <v>2001</v>
      </c>
      <c r="B38" s="227">
        <v>-6.2E-2</v>
      </c>
      <c r="C38" s="227">
        <v>6.5000000000000002E-2</v>
      </c>
      <c r="D38" s="227">
        <v>-0.11899999999999999</v>
      </c>
      <c r="O38" s="365">
        <f t="shared" si="2"/>
        <v>0.19417481097749412</v>
      </c>
      <c r="P38" s="365">
        <f t="shared" si="3"/>
        <v>0.23647648867367699</v>
      </c>
      <c r="R38" s="365">
        <f t="shared" si="4"/>
        <v>6.4780868369052724E-2</v>
      </c>
      <c r="S38" s="365">
        <f t="shared" si="5"/>
        <v>0.1070825460652356</v>
      </c>
    </row>
    <row r="39" spans="1:19" x14ac:dyDescent="0.3">
      <c r="A39" s="211">
        <v>2002</v>
      </c>
      <c r="B39" s="227">
        <v>0.1</v>
      </c>
      <c r="C39" s="227">
        <v>-3.7999999999999999E-2</v>
      </c>
      <c r="D39" s="227">
        <v>-0.221</v>
      </c>
      <c r="O39" s="365">
        <f t="shared" si="2"/>
        <v>0.18353365497797269</v>
      </c>
      <c r="P39" s="365">
        <f t="shared" si="3"/>
        <v>0.19998523040450555</v>
      </c>
      <c r="R39" s="365">
        <f t="shared" si="4"/>
        <v>9.0035706107447488E-2</v>
      </c>
      <c r="S39" s="365">
        <f t="shared" si="5"/>
        <v>0.10648728153398035</v>
      </c>
    </row>
    <row r="40" spans="1:19" x14ac:dyDescent="0.3">
      <c r="A40" s="211">
        <v>2003</v>
      </c>
      <c r="B40" s="227">
        <v>0.21</v>
      </c>
      <c r="C40" s="227">
        <v>0.158</v>
      </c>
      <c r="D40" s="227">
        <v>0.28699999999999998</v>
      </c>
      <c r="F40" s="211" t="s">
        <v>2085</v>
      </c>
      <c r="G40" s="226">
        <f>FVSCHEDULE(1,B32:B41)</f>
        <v>5.5383935688551542</v>
      </c>
      <c r="H40" s="226">
        <f>FVSCHEDULE(1,C32:C41)</f>
        <v>4.3066503772317946</v>
      </c>
      <c r="I40" s="226">
        <f>FVSCHEDULE(1,D32:D41)</f>
        <v>3.1281895160905036</v>
      </c>
      <c r="L40" s="1620">
        <f>G40-I40</f>
        <v>2.4102040527646507</v>
      </c>
      <c r="M40" s="1620">
        <f>H40-I40</f>
        <v>1.178460861141291</v>
      </c>
      <c r="O40" s="365">
        <f t="shared" si="2"/>
        <v>0.19029477182912102</v>
      </c>
      <c r="P40" s="365">
        <f t="shared" si="3"/>
        <v>0.17835603953982671</v>
      </c>
      <c r="R40" s="365">
        <f t="shared" si="4"/>
        <v>7.9593944043856668E-2</v>
      </c>
      <c r="S40" s="365">
        <f t="shared" si="5"/>
        <v>6.765521175456235E-2</v>
      </c>
    </row>
    <row r="41" spans="1:19" x14ac:dyDescent="0.3">
      <c r="A41" s="211">
        <v>2004</v>
      </c>
      <c r="B41" s="227">
        <v>0.105</v>
      </c>
      <c r="C41" s="227">
        <v>4.2999999999999997E-2</v>
      </c>
      <c r="D41" s="227">
        <v>0.109</v>
      </c>
      <c r="F41" s="211" t="s">
        <v>2082</v>
      </c>
      <c r="G41" s="227">
        <f>G40^(1/10)-1</f>
        <v>0.1866930023236264</v>
      </c>
      <c r="H41" s="227">
        <f t="shared" ref="H41" si="10">H40^(1/10)-1</f>
        <v>0.15721475278602171</v>
      </c>
      <c r="I41" s="227">
        <f t="shared" ref="I41" si="11">I40^(1/10)-1</f>
        <v>0.12080305389573387</v>
      </c>
      <c r="L41" s="1620">
        <f>G41-I41</f>
        <v>6.5889948427892531E-2</v>
      </c>
      <c r="M41" s="1620">
        <f>H41-I41</f>
        <v>3.6411698890287836E-2</v>
      </c>
      <c r="O41" s="365">
        <f t="shared" si="2"/>
        <v>0.1866930023236264</v>
      </c>
      <c r="P41" s="365">
        <f t="shared" si="3"/>
        <v>0.15721475278602171</v>
      </c>
      <c r="R41" s="365">
        <f t="shared" si="4"/>
        <v>6.5889948427892531E-2</v>
      </c>
      <c r="S41" s="365">
        <f t="shared" si="5"/>
        <v>3.6411698890287836E-2</v>
      </c>
    </row>
    <row r="42" spans="1:19" x14ac:dyDescent="0.3">
      <c r="A42" s="211">
        <v>2005</v>
      </c>
      <c r="B42" s="227">
        <v>6.4000000000000001E-2</v>
      </c>
      <c r="C42" s="227">
        <v>8.0000000000000002E-3</v>
      </c>
      <c r="D42" s="227">
        <v>4.9000000000000002E-2</v>
      </c>
      <c r="O42" s="365">
        <f t="shared" si="2"/>
        <v>0.15204271197483354</v>
      </c>
      <c r="P42" s="365">
        <f t="shared" si="3"/>
        <v>0.10677551316761269</v>
      </c>
      <c r="R42" s="365">
        <f t="shared" si="4"/>
        <v>6.1243008907651886E-2</v>
      </c>
      <c r="S42" s="365">
        <f t="shared" si="5"/>
        <v>1.5975810100431032E-2</v>
      </c>
    </row>
    <row r="43" spans="1:19" x14ac:dyDescent="0.3">
      <c r="A43" s="211">
        <v>2006</v>
      </c>
      <c r="B43" s="227">
        <v>0.184</v>
      </c>
      <c r="C43" s="227">
        <v>0.24099999999999999</v>
      </c>
      <c r="D43" s="227">
        <v>0.158</v>
      </c>
      <c r="O43" s="365">
        <f t="shared" si="2"/>
        <v>0.13975684750198991</v>
      </c>
      <c r="P43" s="365">
        <f t="shared" si="3"/>
        <v>0.12415000956771038</v>
      </c>
      <c r="R43" s="365">
        <f t="shared" si="4"/>
        <v>5.5517020953654628E-2</v>
      </c>
      <c r="S43" s="365">
        <f t="shared" si="5"/>
        <v>3.9910183019375101E-2</v>
      </c>
    </row>
    <row r="44" spans="1:19" x14ac:dyDescent="0.3">
      <c r="A44" s="211">
        <v>2007</v>
      </c>
      <c r="B44" s="227">
        <v>0.11</v>
      </c>
      <c r="C44" s="227">
        <v>0.28699999999999998</v>
      </c>
      <c r="D44" s="227">
        <v>5.5E-2</v>
      </c>
      <c r="O44" s="365">
        <f t="shared" si="2"/>
        <v>0.11841151577297127</v>
      </c>
      <c r="P44" s="365">
        <f t="shared" si="3"/>
        <v>0.118873346265715</v>
      </c>
      <c r="R44" s="365">
        <f t="shared" si="4"/>
        <v>5.9316269187131176E-2</v>
      </c>
      <c r="S44" s="365">
        <f t="shared" si="5"/>
        <v>5.9778099679874908E-2</v>
      </c>
    </row>
    <row r="45" spans="1:19" x14ac:dyDescent="0.3">
      <c r="A45" s="211">
        <v>2008</v>
      </c>
      <c r="B45" s="227">
        <v>-9.6000000000000002E-2</v>
      </c>
      <c r="C45" s="227">
        <v>-0.318</v>
      </c>
      <c r="D45" s="227">
        <v>-0.37</v>
      </c>
      <c r="O45" s="365">
        <f t="shared" si="2"/>
        <v>6.4398755502202087E-2</v>
      </c>
      <c r="P45" s="365">
        <f t="shared" si="3"/>
        <v>3.256618977398329E-2</v>
      </c>
      <c r="R45" s="365">
        <f t="shared" si="4"/>
        <v>7.8244218920562103E-2</v>
      </c>
      <c r="S45" s="365">
        <f t="shared" si="5"/>
        <v>4.6411653192343305E-2</v>
      </c>
    </row>
    <row r="46" spans="1:19" x14ac:dyDescent="0.3">
      <c r="A46" s="211">
        <v>2009</v>
      </c>
      <c r="B46" s="227">
        <v>0.19800000000000001</v>
      </c>
      <c r="C46" s="227">
        <v>2.7E-2</v>
      </c>
      <c r="D46" s="227">
        <v>0.26500000000000001</v>
      </c>
      <c r="O46" s="365">
        <f t="shared" si="2"/>
        <v>8.3261813013786101E-2</v>
      </c>
      <c r="P46" s="365">
        <f t="shared" si="3"/>
        <v>5.855077196921421E-2</v>
      </c>
      <c r="R46" s="365">
        <f t="shared" si="4"/>
        <v>9.2713888242177411E-2</v>
      </c>
      <c r="S46" s="365">
        <f t="shared" si="5"/>
        <v>6.800284719760552E-2</v>
      </c>
    </row>
    <row r="47" spans="1:19" x14ac:dyDescent="0.3">
      <c r="A47" s="211">
        <v>2010</v>
      </c>
      <c r="B47" s="227">
        <v>0.13</v>
      </c>
      <c r="C47" s="227">
        <v>0.214</v>
      </c>
      <c r="D47" s="227">
        <v>0.151</v>
      </c>
      <c r="O47" s="365">
        <f t="shared" si="2"/>
        <v>8.9698410230506953E-2</v>
      </c>
      <c r="P47" s="365">
        <f t="shared" si="3"/>
        <v>5.4120334855580099E-2</v>
      </c>
      <c r="R47" s="365">
        <f t="shared" si="4"/>
        <v>7.549133364025562E-2</v>
      </c>
      <c r="S47" s="365">
        <f t="shared" si="5"/>
        <v>3.9913258265328766E-2</v>
      </c>
    </row>
    <row r="48" spans="1:19" x14ac:dyDescent="0.3">
      <c r="A48" s="211">
        <v>2011</v>
      </c>
      <c r="B48" s="227">
        <v>4.5999999999999999E-2</v>
      </c>
      <c r="C48" s="227">
        <v>-4.7E-2</v>
      </c>
      <c r="D48" s="227">
        <v>2.1000000000000001E-2</v>
      </c>
      <c r="O48" s="365">
        <f t="shared" si="2"/>
        <v>0.10163874530120731</v>
      </c>
      <c r="P48" s="365">
        <f t="shared" si="3"/>
        <v>4.2472291922059924E-2</v>
      </c>
      <c r="R48" s="365">
        <f t="shared" si="4"/>
        <v>7.2363281939202384E-2</v>
      </c>
      <c r="S48" s="365">
        <f t="shared" si="5"/>
        <v>1.3196828560054996E-2</v>
      </c>
    </row>
    <row r="49" spans="1:19" x14ac:dyDescent="0.3">
      <c r="A49" s="211">
        <v>2012</v>
      </c>
      <c r="B49" s="227">
        <v>0.14399999999999999</v>
      </c>
      <c r="C49" s="227">
        <v>0.16800000000000001</v>
      </c>
      <c r="D49" s="227">
        <v>0.16</v>
      </c>
      <c r="O49" s="365">
        <f t="shared" si="2"/>
        <v>0.10596793517017833</v>
      </c>
      <c r="P49" s="365">
        <f t="shared" si="3"/>
        <v>6.2897284889642302E-2</v>
      </c>
      <c r="R49" s="365">
        <f t="shared" si="4"/>
        <v>3.488358691006499E-2</v>
      </c>
      <c r="S49" s="365">
        <f t="shared" si="5"/>
        <v>-8.1870633704710372E-3</v>
      </c>
    </row>
    <row r="50" spans="1:19" x14ac:dyDescent="0.3">
      <c r="A50" s="211">
        <v>2013</v>
      </c>
      <c r="B50" s="227">
        <v>0.182</v>
      </c>
      <c r="C50" s="227">
        <v>0.32700000000000001</v>
      </c>
      <c r="D50" s="227">
        <v>0.32400000000000001</v>
      </c>
      <c r="F50" s="211" t="s">
        <v>2175</v>
      </c>
      <c r="G50" s="226">
        <f>FVSCHEDULE(1,B42:B51)</f>
        <v>2.6213417424777212</v>
      </c>
      <c r="H50" s="226">
        <f>FVSCHEDULE(1,C42:C51)</f>
        <v>2.5679984232527082</v>
      </c>
      <c r="I50" s="226">
        <f>FVSCHEDULE(1,D42:D51)</f>
        <v>2.0959218582607471</v>
      </c>
      <c r="L50" s="1620">
        <f>G50-I50</f>
        <v>0.52541988421697416</v>
      </c>
      <c r="M50" s="1620">
        <f>H50-I50</f>
        <v>0.47207656499196116</v>
      </c>
      <c r="O50" s="365">
        <f t="shared" si="2"/>
        <v>0.10338162308397125</v>
      </c>
      <c r="P50" s="365">
        <f t="shared" si="3"/>
        <v>7.7475823048232861E-2</v>
      </c>
      <c r="R50" s="365">
        <f>(FVSCHEDULE(1,B41:B50)^(1/10)-1)-(FVSCHEDULE(1,D41:D50)^(1/10)-1)</f>
        <v>2.9257137429999469E-2</v>
      </c>
      <c r="S50" s="365">
        <f t="shared" si="5"/>
        <v>3.351337394261078E-3</v>
      </c>
    </row>
    <row r="51" spans="1:19" x14ac:dyDescent="0.3">
      <c r="A51" s="211">
        <v>2014</v>
      </c>
      <c r="B51" s="227">
        <v>8.3000000000000004E-2</v>
      </c>
      <c r="C51" s="227">
        <v>0.27</v>
      </c>
      <c r="D51" s="227">
        <v>0.13700000000000001</v>
      </c>
      <c r="F51" s="211" t="s">
        <v>2082</v>
      </c>
      <c r="G51" s="227">
        <f>G50^(1/10)-1</f>
        <v>0.10116491184217158</v>
      </c>
      <c r="H51" s="227">
        <f t="shared" ref="H51:I51" si="12">H50^(1/10)-1</f>
        <v>9.8903294190868296E-2</v>
      </c>
      <c r="I51" s="227">
        <f t="shared" si="12"/>
        <v>7.6806103892171906E-2</v>
      </c>
      <c r="L51" s="365">
        <f>G51-I51</f>
        <v>2.4358807949999672E-2</v>
      </c>
      <c r="M51" s="365">
        <f>H51-I51</f>
        <v>2.209719029869639E-2</v>
      </c>
      <c r="O51" s="365">
        <f t="shared" si="2"/>
        <v>0.10116491184217158</v>
      </c>
      <c r="P51" s="365">
        <f t="shared" si="3"/>
        <v>9.8903294190868296E-2</v>
      </c>
      <c r="R51" s="365">
        <f>(FVSCHEDULE(1,B42:B51)^(1/10)-1)-(FVSCHEDULE(1,D42:D51)^(1/10)-1)</f>
        <v>2.4358807949999672E-2</v>
      </c>
      <c r="S51" s="365">
        <f t="shared" si="5"/>
        <v>2.209719029869639E-2</v>
      </c>
    </row>
    <row r="53" spans="1:19" x14ac:dyDescent="0.3">
      <c r="A53" s="211" t="s">
        <v>2083</v>
      </c>
      <c r="B53" s="226">
        <f>FVSCHEDULE(1,B2:B51)</f>
        <v>7519.085580892006</v>
      </c>
      <c r="C53" s="226">
        <f>FVSCHEDULE(1,C2:C51)</f>
        <v>18225.2464393993</v>
      </c>
      <c r="D53" s="226">
        <f>FVSCHEDULE(1,D2:D51)</f>
        <v>112.5619518088002</v>
      </c>
    </row>
    <row r="54" spans="1:19" x14ac:dyDescent="0.3">
      <c r="A54" s="211" t="s">
        <v>2084</v>
      </c>
      <c r="B54" s="227">
        <f>B53^(1/50.25)-1</f>
        <v>0.19436649683234353</v>
      </c>
      <c r="C54" s="227">
        <f t="shared" ref="C54" si="13">C53^(1/50.25)-1</f>
        <v>0.21559672285077491</v>
      </c>
      <c r="D54" s="227">
        <f>D53^(1/50)-1</f>
        <v>9.9076272845379343E-2</v>
      </c>
    </row>
  </sheetData>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3A31-3E6F-48B6-9AC7-1352B040D5DC}">
  <sheetPr>
    <tabColor theme="9" tint="0.39997558519241921"/>
  </sheetPr>
  <dimension ref="A1:H26"/>
  <sheetViews>
    <sheetView workbookViewId="0">
      <selection activeCell="P24" sqref="P24"/>
    </sheetView>
  </sheetViews>
  <sheetFormatPr defaultColWidth="9.109375" defaultRowHeight="15.6" x14ac:dyDescent="0.3"/>
  <cols>
    <col min="1" max="1" width="9.109375" style="211"/>
    <col min="2" max="2" width="14.6640625" style="211" customWidth="1"/>
    <col min="3" max="4" width="15.33203125" style="211" customWidth="1"/>
    <col min="5" max="5" width="10.44140625" style="211" customWidth="1"/>
    <col min="6" max="16384" width="9.109375" style="211"/>
  </cols>
  <sheetData>
    <row r="1" spans="1:8" x14ac:dyDescent="0.3">
      <c r="B1" s="211" t="s">
        <v>262</v>
      </c>
      <c r="C1" s="211" t="s">
        <v>2178</v>
      </c>
      <c r="D1" s="211" t="s">
        <v>2180</v>
      </c>
      <c r="E1" s="211" t="s">
        <v>2179</v>
      </c>
      <c r="F1" s="211" t="s">
        <v>3</v>
      </c>
      <c r="H1" s="211" t="s">
        <v>2181</v>
      </c>
    </row>
    <row r="2" spans="1:8" x14ac:dyDescent="0.3">
      <c r="A2" s="211">
        <v>2014</v>
      </c>
      <c r="B2" s="211">
        <v>40061</v>
      </c>
      <c r="C2" s="211">
        <v>300413</v>
      </c>
      <c r="E2" s="211">
        <v>25</v>
      </c>
      <c r="F2" s="211">
        <f>SUM(B2:E2)</f>
        <v>340499</v>
      </c>
      <c r="H2" s="211">
        <f>E2/(F2/100000)</f>
        <v>7.3421654689147395</v>
      </c>
    </row>
    <row r="3" spans="1:8" x14ac:dyDescent="0.3">
      <c r="A3" s="211">
        <v>2013</v>
      </c>
      <c r="B3" s="211">
        <v>36044</v>
      </c>
      <c r="C3" s="211">
        <v>294676</v>
      </c>
      <c r="E3" s="211">
        <v>25</v>
      </c>
      <c r="F3" s="211">
        <f t="shared" ref="F3:F26" si="0">SUM(B3:E3)</f>
        <v>330745</v>
      </c>
      <c r="H3" s="211">
        <f t="shared" ref="H3:H13" si="1">E3/(F3/100000)</f>
        <v>7.5586932531104027</v>
      </c>
    </row>
    <row r="4" spans="1:8" x14ac:dyDescent="0.3">
      <c r="A4" s="211">
        <v>2012</v>
      </c>
      <c r="B4" s="211">
        <v>33796</v>
      </c>
      <c r="C4" s="211">
        <v>254642</v>
      </c>
      <c r="E4" s="211">
        <v>24</v>
      </c>
      <c r="F4" s="211">
        <f t="shared" si="0"/>
        <v>288462</v>
      </c>
      <c r="H4" s="211">
        <f t="shared" si="1"/>
        <v>8.3199866880212987</v>
      </c>
    </row>
    <row r="5" spans="1:8" x14ac:dyDescent="0.3">
      <c r="A5" s="211">
        <v>2011</v>
      </c>
      <c r="B5" s="211">
        <v>31918</v>
      </c>
      <c r="C5" s="211">
        <v>238916</v>
      </c>
      <c r="E5" s="211">
        <v>24</v>
      </c>
      <c r="F5" s="211">
        <f t="shared" si="0"/>
        <v>270858</v>
      </c>
      <c r="H5" s="211">
        <f t="shared" si="1"/>
        <v>8.8607314533814758</v>
      </c>
    </row>
    <row r="6" spans="1:8" x14ac:dyDescent="0.3">
      <c r="A6" s="211">
        <v>2010</v>
      </c>
      <c r="B6" s="211">
        <v>30344</v>
      </c>
      <c r="C6" s="211">
        <v>230154</v>
      </c>
      <c r="E6" s="211">
        <v>21</v>
      </c>
      <c r="F6" s="211">
        <f t="shared" si="0"/>
        <v>260519</v>
      </c>
      <c r="H6" s="211">
        <f t="shared" si="1"/>
        <v>8.0608324152940867</v>
      </c>
    </row>
    <row r="7" spans="1:8" x14ac:dyDescent="0.3">
      <c r="A7" s="211">
        <v>2009</v>
      </c>
      <c r="B7" s="211">
        <v>29334</v>
      </c>
      <c r="C7" s="211">
        <v>227758</v>
      </c>
      <c r="E7" s="211">
        <v>21</v>
      </c>
      <c r="F7" s="211">
        <f t="shared" si="0"/>
        <v>257113</v>
      </c>
      <c r="H7" s="211">
        <f t="shared" si="1"/>
        <v>8.167615017521479</v>
      </c>
    </row>
    <row r="8" spans="1:8" x14ac:dyDescent="0.3">
      <c r="A8" s="211">
        <v>2008</v>
      </c>
      <c r="B8" s="211">
        <v>28188</v>
      </c>
      <c r="C8" s="211">
        <v>217876</v>
      </c>
      <c r="E8" s="211">
        <v>19</v>
      </c>
      <c r="F8" s="211">
        <f t="shared" si="0"/>
        <v>246083</v>
      </c>
      <c r="H8" s="211">
        <f t="shared" si="1"/>
        <v>7.720972192309099</v>
      </c>
    </row>
    <row r="9" spans="1:8" x14ac:dyDescent="0.3">
      <c r="A9" s="211">
        <v>2007</v>
      </c>
      <c r="B9" s="211">
        <v>28430</v>
      </c>
      <c r="C9" s="211">
        <v>204332</v>
      </c>
      <c r="E9" s="211">
        <v>19</v>
      </c>
      <c r="F9" s="211">
        <f t="shared" si="0"/>
        <v>232781</v>
      </c>
      <c r="H9" s="211">
        <f t="shared" si="1"/>
        <v>8.1621781846456543</v>
      </c>
    </row>
    <row r="10" spans="1:8" x14ac:dyDescent="0.3">
      <c r="A10" s="211">
        <v>2006</v>
      </c>
      <c r="D10" s="211">
        <v>217531</v>
      </c>
      <c r="E10" s="211">
        <v>19</v>
      </c>
      <c r="F10" s="211">
        <f t="shared" si="0"/>
        <v>217550</v>
      </c>
      <c r="H10" s="211">
        <f t="shared" si="1"/>
        <v>8.7336244541484724</v>
      </c>
    </row>
    <row r="11" spans="1:8" x14ac:dyDescent="0.3">
      <c r="A11" s="211">
        <v>2005</v>
      </c>
      <c r="D11" s="211">
        <v>191995</v>
      </c>
      <c r="E11" s="211">
        <v>17</v>
      </c>
      <c r="F11" s="211">
        <f t="shared" si="0"/>
        <v>192012</v>
      </c>
      <c r="H11" s="211">
        <f t="shared" si="1"/>
        <v>8.8536133158344263</v>
      </c>
    </row>
    <row r="12" spans="1:8" x14ac:dyDescent="0.3">
      <c r="A12" s="211">
        <v>2004</v>
      </c>
      <c r="D12" s="211">
        <v>180159</v>
      </c>
      <c r="E12" s="211">
        <v>17</v>
      </c>
      <c r="F12" s="211">
        <f t="shared" si="0"/>
        <v>180176</v>
      </c>
      <c r="H12" s="211">
        <f t="shared" si="1"/>
        <v>9.4352188970784123</v>
      </c>
    </row>
    <row r="13" spans="1:8" x14ac:dyDescent="0.3">
      <c r="A13" s="211">
        <v>2003</v>
      </c>
      <c r="D13" s="211">
        <v>172716</v>
      </c>
      <c r="E13" s="211">
        <v>15.8</v>
      </c>
      <c r="F13" s="211">
        <f t="shared" si="0"/>
        <v>172731.8</v>
      </c>
      <c r="H13" s="211">
        <f t="shared" si="1"/>
        <v>9.1471286699959133</v>
      </c>
    </row>
    <row r="14" spans="1:8" x14ac:dyDescent="0.3">
      <c r="A14" s="211">
        <v>2002</v>
      </c>
      <c r="F14" s="211">
        <v>147000</v>
      </c>
    </row>
    <row r="15" spans="1:8" x14ac:dyDescent="0.3">
      <c r="A15" s="211">
        <v>2001</v>
      </c>
      <c r="F15" s="211">
        <f t="shared" si="0"/>
        <v>0</v>
      </c>
    </row>
    <row r="16" spans="1:8" x14ac:dyDescent="0.3">
      <c r="A16" s="211">
        <v>2000</v>
      </c>
      <c r="F16" s="211">
        <f t="shared" si="0"/>
        <v>0</v>
      </c>
    </row>
    <row r="17" spans="1:6" x14ac:dyDescent="0.3">
      <c r="A17" s="211">
        <v>1999</v>
      </c>
      <c r="F17" s="211">
        <f t="shared" si="0"/>
        <v>0</v>
      </c>
    </row>
    <row r="18" spans="1:6" x14ac:dyDescent="0.3">
      <c r="A18" s="211">
        <v>1998</v>
      </c>
      <c r="F18" s="211">
        <v>47600</v>
      </c>
    </row>
    <row r="19" spans="1:6" x14ac:dyDescent="0.3">
      <c r="A19" s="211">
        <v>1997</v>
      </c>
      <c r="F19" s="211">
        <f t="shared" si="0"/>
        <v>0</v>
      </c>
    </row>
    <row r="20" spans="1:6" x14ac:dyDescent="0.3">
      <c r="A20" s="211">
        <v>1996</v>
      </c>
      <c r="F20" s="211">
        <f t="shared" si="0"/>
        <v>0</v>
      </c>
    </row>
    <row r="21" spans="1:6" x14ac:dyDescent="0.3">
      <c r="A21" s="211">
        <v>1995</v>
      </c>
      <c r="F21" s="211">
        <f t="shared" si="0"/>
        <v>0</v>
      </c>
    </row>
    <row r="22" spans="1:6" x14ac:dyDescent="0.3">
      <c r="A22" s="211">
        <v>1994</v>
      </c>
      <c r="F22" s="211">
        <f t="shared" si="0"/>
        <v>0</v>
      </c>
    </row>
    <row r="23" spans="1:6" x14ac:dyDescent="0.3">
      <c r="A23" s="211">
        <v>1993</v>
      </c>
      <c r="F23" s="211">
        <f t="shared" si="0"/>
        <v>0</v>
      </c>
    </row>
    <row r="24" spans="1:6" x14ac:dyDescent="0.3">
      <c r="A24" s="211">
        <v>1992</v>
      </c>
      <c r="F24" s="211">
        <f t="shared" si="0"/>
        <v>0</v>
      </c>
    </row>
    <row r="25" spans="1:6" x14ac:dyDescent="0.3">
      <c r="A25" s="211">
        <v>1991</v>
      </c>
      <c r="F25" s="211">
        <f t="shared" si="0"/>
        <v>0</v>
      </c>
    </row>
    <row r="26" spans="1:6" x14ac:dyDescent="0.3">
      <c r="A26" s="211">
        <v>1990</v>
      </c>
      <c r="F26" s="211">
        <f t="shared" si="0"/>
        <v>0</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006C2-D984-45DB-9BAA-ABB2321F7151}">
  <sheetPr>
    <tabColor theme="9" tint="0.39997558519241921"/>
  </sheetPr>
  <dimension ref="A1:N66"/>
  <sheetViews>
    <sheetView showGridLines="0" zoomScale="85" zoomScaleNormal="85" workbookViewId="0">
      <pane xSplit="1" ySplit="5" topLeftCell="B32" activePane="bottomRight" state="frozen"/>
      <selection activeCell="O23" sqref="O23"/>
      <selection pane="topRight" activeCell="O23" sqref="O23"/>
      <selection pane="bottomLeft" activeCell="O23" sqref="O23"/>
      <selection pane="bottomRight" activeCell="K67" sqref="K67"/>
    </sheetView>
  </sheetViews>
  <sheetFormatPr defaultColWidth="8.6640625" defaultRowHeight="15.6" outlineLevelRow="1" outlineLevelCol="1" x14ac:dyDescent="0.3"/>
  <cols>
    <col min="1" max="1" width="6" style="211" customWidth="1"/>
    <col min="2" max="4" width="9.109375" style="211" hidden="1" customWidth="1" outlineLevel="1"/>
    <col min="5" max="5" width="8" style="211" hidden="1" customWidth="1" outlineLevel="1"/>
    <col min="6" max="6" width="9.109375" style="211" hidden="1" customWidth="1" outlineLevel="1"/>
    <col min="7" max="7" width="1" style="211" hidden="1" customWidth="1" outlineLevel="1"/>
    <col min="8" max="8" width="22.44140625" style="211" customWidth="1" collapsed="1"/>
    <col min="9" max="9" width="13.44140625" style="211" customWidth="1"/>
    <col min="10" max="10" width="8.109375" style="211" customWidth="1"/>
    <col min="11" max="11" width="12.33203125" style="211" customWidth="1"/>
    <col min="12" max="12" width="9.33203125" style="211" bestFit="1" customWidth="1"/>
    <col min="13" max="13" width="8.44140625" style="211" bestFit="1" customWidth="1"/>
    <col min="14" max="14" width="6.6640625" style="211" customWidth="1"/>
    <col min="15" max="16384" width="8.6640625" style="211"/>
  </cols>
  <sheetData>
    <row r="1" spans="1:13" x14ac:dyDescent="0.3">
      <c r="A1" s="459" t="s">
        <v>2109</v>
      </c>
      <c r="B1" s="356"/>
    </row>
    <row r="2" spans="1:13" x14ac:dyDescent="0.3">
      <c r="A2" s="152" t="s">
        <v>1810</v>
      </c>
    </row>
    <row r="3" spans="1:13" ht="8.25" customHeight="1" thickBot="1" x14ac:dyDescent="0.35"/>
    <row r="4" spans="1:13" x14ac:dyDescent="0.3">
      <c r="A4" s="453"/>
      <c r="B4" s="2931" t="s">
        <v>1043</v>
      </c>
      <c r="C4" s="2931"/>
      <c r="D4" s="2931"/>
      <c r="E4" s="2931"/>
      <c r="F4" s="2931"/>
      <c r="G4" s="522"/>
      <c r="H4" s="522"/>
      <c r="I4" s="389"/>
    </row>
    <row r="5" spans="1:13" s="1497" customFormat="1" ht="35.4" customHeight="1" x14ac:dyDescent="0.3">
      <c r="A5" s="1493" t="s">
        <v>156</v>
      </c>
      <c r="B5" s="1494" t="s">
        <v>497</v>
      </c>
      <c r="C5" s="1494" t="s">
        <v>1046</v>
      </c>
      <c r="D5" s="1494" t="s">
        <v>1084</v>
      </c>
      <c r="E5" s="1494" t="s">
        <v>943</v>
      </c>
      <c r="F5" s="1494" t="s">
        <v>3</v>
      </c>
      <c r="G5" s="1495"/>
      <c r="H5" s="1495" t="s">
        <v>2183</v>
      </c>
      <c r="I5" s="1496" t="s">
        <v>917</v>
      </c>
      <c r="J5" s="1497" t="s">
        <v>2191</v>
      </c>
      <c r="K5" s="1497" t="s">
        <v>2182</v>
      </c>
      <c r="L5" s="1497" t="s">
        <v>2192</v>
      </c>
      <c r="M5" s="1497" t="s">
        <v>1886</v>
      </c>
    </row>
    <row r="6" spans="1:13" s="1737" customFormat="1" x14ac:dyDescent="0.3">
      <c r="A6" s="734">
        <v>1968</v>
      </c>
      <c r="B6" s="1735"/>
      <c r="C6" s="1735"/>
      <c r="D6" s="1735"/>
      <c r="E6" s="1735"/>
      <c r="F6" s="1735"/>
      <c r="G6" s="1736"/>
      <c r="H6" s="646">
        <v>19.899999999999999</v>
      </c>
      <c r="I6" s="890">
        <f t="shared" ref="I6:I12" si="0">-K6/H6</f>
        <v>7.6884422110552767E-3</v>
      </c>
      <c r="J6" s="948">
        <v>5.8999999999999997E-2</v>
      </c>
      <c r="K6" s="1738">
        <v>-0.153</v>
      </c>
      <c r="L6" s="1737">
        <v>0</v>
      </c>
    </row>
    <row r="7" spans="1:13" s="1737" customFormat="1" x14ac:dyDescent="0.3">
      <c r="A7" s="734">
        <v>1969</v>
      </c>
      <c r="B7" s="1735"/>
      <c r="C7" s="1735"/>
      <c r="D7" s="1735"/>
      <c r="E7" s="1735"/>
      <c r="F7" s="1735"/>
      <c r="G7" s="1736"/>
      <c r="H7" s="646">
        <v>23.4</v>
      </c>
      <c r="I7" s="890">
        <f t="shared" si="0"/>
        <v>1.4102564102564105E-2</v>
      </c>
      <c r="J7" s="948">
        <v>6.7900000000000002E-2</v>
      </c>
      <c r="K7" s="1739">
        <v>-0.33</v>
      </c>
      <c r="L7" s="1737">
        <v>0</v>
      </c>
    </row>
    <row r="8" spans="1:13" s="1737" customFormat="1" x14ac:dyDescent="0.3">
      <c r="A8" s="734">
        <v>1970</v>
      </c>
      <c r="B8" s="1735"/>
      <c r="C8" s="1735"/>
      <c r="D8" s="1735"/>
      <c r="E8" s="1735"/>
      <c r="F8" s="1735"/>
      <c r="G8" s="1736"/>
      <c r="H8" s="646">
        <v>32.4</v>
      </c>
      <c r="I8" s="890">
        <f t="shared" si="0"/>
        <v>-4.3487654320987654E-2</v>
      </c>
      <c r="J8" s="948">
        <v>6.25E-2</v>
      </c>
      <c r="K8" s="1739">
        <v>1.409</v>
      </c>
      <c r="L8" s="1737">
        <v>0</v>
      </c>
    </row>
    <row r="9" spans="1:13" s="1737" customFormat="1" x14ac:dyDescent="0.3">
      <c r="A9" s="734">
        <v>1971</v>
      </c>
      <c r="B9" s="1735"/>
      <c r="C9" s="1735"/>
      <c r="D9" s="1735"/>
      <c r="E9" s="1735"/>
      <c r="F9" s="1735"/>
      <c r="G9" s="1736"/>
      <c r="H9" s="646">
        <v>52.5</v>
      </c>
      <c r="I9" s="890">
        <f t="shared" si="0"/>
        <v>-8.1599999999999992E-2</v>
      </c>
      <c r="J9" s="948">
        <v>5.8099999999999999E-2</v>
      </c>
      <c r="K9" s="1739">
        <v>4.2839999999999998</v>
      </c>
      <c r="L9" s="1737">
        <v>0</v>
      </c>
    </row>
    <row r="10" spans="1:13" s="1737" customFormat="1" x14ac:dyDescent="0.3">
      <c r="A10" s="734">
        <v>1972</v>
      </c>
      <c r="B10" s="1735"/>
      <c r="C10" s="1735"/>
      <c r="D10" s="1735"/>
      <c r="E10" s="1735"/>
      <c r="F10" s="1735"/>
      <c r="G10" s="1736"/>
      <c r="H10" s="646">
        <v>69.5</v>
      </c>
      <c r="I10" s="890">
        <f t="shared" si="0"/>
        <v>-4.7755395683453238E-2</v>
      </c>
      <c r="J10" s="948">
        <v>5.8200000000000002E-2</v>
      </c>
      <c r="K10" s="1739">
        <v>3.319</v>
      </c>
      <c r="L10" s="1737">
        <v>0</v>
      </c>
    </row>
    <row r="11" spans="1:13" s="1737" customFormat="1" x14ac:dyDescent="0.3">
      <c r="A11" s="734">
        <v>1973</v>
      </c>
      <c r="B11" s="1735"/>
      <c r="C11" s="1735"/>
      <c r="D11" s="1735"/>
      <c r="E11" s="1735"/>
      <c r="F11" s="1735"/>
      <c r="G11" s="1736"/>
      <c r="H11" s="646">
        <v>73.3</v>
      </c>
      <c r="I11" s="1742">
        <f t="shared" si="0"/>
        <v>9.4024556616643939E-2</v>
      </c>
      <c r="J11" s="948">
        <v>7.2700000000000001E-2</v>
      </c>
      <c r="K11" s="1739">
        <v>-6.8920000000000003</v>
      </c>
      <c r="L11" s="1737">
        <v>0</v>
      </c>
    </row>
    <row r="12" spans="1:13" s="1737" customFormat="1" x14ac:dyDescent="0.3">
      <c r="A12" s="734">
        <v>1974</v>
      </c>
      <c r="B12" s="1735"/>
      <c r="C12" s="1735"/>
      <c r="D12" s="1735"/>
      <c r="E12" s="1735"/>
      <c r="F12" s="1735"/>
      <c r="G12" s="1736"/>
      <c r="H12" s="646">
        <v>79.099999999999994</v>
      </c>
      <c r="I12" s="1742">
        <f t="shared" si="0"/>
        <v>8.7130214917825549E-2</v>
      </c>
      <c r="J12" s="948">
        <v>8.1299999999999997E-2</v>
      </c>
      <c r="K12" s="1739">
        <v>-6.8920000000000003</v>
      </c>
      <c r="L12" s="1737">
        <v>0</v>
      </c>
    </row>
    <row r="13" spans="1:13" s="1737" customFormat="1" x14ac:dyDescent="0.3">
      <c r="A13" s="734">
        <v>1975</v>
      </c>
      <c r="B13" s="1735"/>
      <c r="C13" s="1735"/>
      <c r="D13" s="1735"/>
      <c r="E13" s="1735"/>
      <c r="F13" s="1735"/>
      <c r="G13" s="1736"/>
      <c r="H13" s="646">
        <v>87.6</v>
      </c>
      <c r="I13" s="1742">
        <f t="shared" ref="I13:I23" si="1">-K13/H13</f>
        <v>0.12154109589041097</v>
      </c>
      <c r="J13" s="948">
        <v>8.0299999999999996E-2</v>
      </c>
      <c r="K13" s="1739">
        <v>-10.647</v>
      </c>
      <c r="L13" s="1737">
        <v>0</v>
      </c>
    </row>
    <row r="14" spans="1:13" s="1737" customFormat="1" x14ac:dyDescent="0.3">
      <c r="A14" s="734">
        <v>1976</v>
      </c>
      <c r="B14" s="1735"/>
      <c r="C14" s="1735"/>
      <c r="D14" s="1735"/>
      <c r="E14" s="1735"/>
      <c r="F14" s="1735"/>
      <c r="G14" s="1736"/>
      <c r="H14" s="646">
        <v>102.6</v>
      </c>
      <c r="I14" s="890">
        <f t="shared" si="1"/>
        <v>-6.910331384015595E-3</v>
      </c>
      <c r="J14" s="948">
        <v>7.2999999999999995E-2</v>
      </c>
      <c r="K14" s="1739">
        <v>0.70899999999999996</v>
      </c>
      <c r="L14" s="1737">
        <v>0</v>
      </c>
    </row>
    <row r="15" spans="1:13" s="1737" customFormat="1" x14ac:dyDescent="0.3">
      <c r="A15" s="734">
        <v>1977</v>
      </c>
      <c r="B15" s="1735"/>
      <c r="C15" s="1735"/>
      <c r="D15" s="1735"/>
      <c r="E15" s="1735"/>
      <c r="F15" s="1735"/>
      <c r="G15" s="1736"/>
      <c r="H15" s="646">
        <v>139</v>
      </c>
      <c r="I15" s="890">
        <f t="shared" si="1"/>
        <v>-4.1733812949640292E-2</v>
      </c>
      <c r="J15" s="948">
        <v>7.9699999999999993E-2</v>
      </c>
      <c r="K15" s="1739">
        <v>5.8010000000000002</v>
      </c>
      <c r="L15" s="1737">
        <v>0</v>
      </c>
    </row>
    <row r="16" spans="1:13" s="1737" customFormat="1" x14ac:dyDescent="0.3">
      <c r="A16" s="734">
        <v>1978</v>
      </c>
      <c r="B16" s="1735"/>
      <c r="C16" s="1735"/>
      <c r="D16" s="1735"/>
      <c r="E16" s="1735"/>
      <c r="F16" s="1735"/>
      <c r="G16" s="1736"/>
      <c r="H16" s="646">
        <v>190.4</v>
      </c>
      <c r="I16" s="890">
        <f t="shared" si="1"/>
        <v>-1.576155462184874E-2</v>
      </c>
      <c r="J16" s="948">
        <v>8.9300000000000004E-2</v>
      </c>
      <c r="K16" s="1739">
        <v>3.0009999999999999</v>
      </c>
      <c r="L16" s="1737">
        <v>0</v>
      </c>
    </row>
    <row r="17" spans="1:12" s="1737" customFormat="1" x14ac:dyDescent="0.3">
      <c r="A17" s="734">
        <v>1979</v>
      </c>
      <c r="B17" s="1735"/>
      <c r="C17" s="1735"/>
      <c r="D17" s="1735"/>
      <c r="E17" s="1735"/>
      <c r="F17" s="1735"/>
      <c r="G17" s="1736"/>
      <c r="H17" s="646">
        <v>227.3</v>
      </c>
      <c r="I17" s="890">
        <f t="shared" si="1"/>
        <v>-1.646282446106467E-2</v>
      </c>
      <c r="J17" s="948">
        <v>0.1008</v>
      </c>
      <c r="K17" s="1739">
        <v>3.742</v>
      </c>
      <c r="L17" s="1737">
        <v>0</v>
      </c>
    </row>
    <row r="18" spans="1:12" s="1737" customFormat="1" x14ac:dyDescent="0.3">
      <c r="A18" s="734">
        <v>1980</v>
      </c>
      <c r="B18" s="1735"/>
      <c r="C18" s="1735"/>
      <c r="D18" s="1735"/>
      <c r="E18" s="1735"/>
      <c r="F18" s="1735"/>
      <c r="G18" s="1736"/>
      <c r="H18" s="646">
        <v>237</v>
      </c>
      <c r="I18" s="890">
        <f t="shared" si="1"/>
        <v>-2.8430379746835446E-2</v>
      </c>
      <c r="J18" s="949">
        <v>0.11940000000000001</v>
      </c>
      <c r="K18" s="1739">
        <v>6.7380000000000004</v>
      </c>
      <c r="L18" s="1737">
        <v>0</v>
      </c>
    </row>
    <row r="19" spans="1:12" s="1737" customFormat="1" x14ac:dyDescent="0.3">
      <c r="A19" s="734">
        <v>1981</v>
      </c>
      <c r="B19" s="1735"/>
      <c r="C19" s="1735"/>
      <c r="D19" s="1735"/>
      <c r="E19" s="1735"/>
      <c r="F19" s="1735"/>
      <c r="G19" s="1736"/>
      <c r="H19" s="646">
        <v>228.4</v>
      </c>
      <c r="I19" s="890">
        <f t="shared" si="1"/>
        <v>-6.4711033274956215E-3</v>
      </c>
      <c r="J19" s="948">
        <v>0.1361</v>
      </c>
      <c r="K19" s="1739">
        <v>1.478</v>
      </c>
      <c r="L19" s="1737">
        <v>0</v>
      </c>
    </row>
    <row r="20" spans="1:12" s="1737" customFormat="1" x14ac:dyDescent="0.3">
      <c r="A20" s="734">
        <v>1982</v>
      </c>
      <c r="B20" s="1735"/>
      <c r="C20" s="1735"/>
      <c r="D20" s="1735"/>
      <c r="E20" s="1735"/>
      <c r="F20" s="1735"/>
      <c r="G20" s="1736"/>
      <c r="H20" s="646">
        <v>220.6</v>
      </c>
      <c r="I20" s="890">
        <f t="shared" si="1"/>
        <v>9.7728921124206711E-2</v>
      </c>
      <c r="J20" s="948">
        <v>0.10639999999999999</v>
      </c>
      <c r="K20" s="1739">
        <v>-21.559000000000001</v>
      </c>
      <c r="L20" s="1737">
        <v>0</v>
      </c>
    </row>
    <row r="21" spans="1:12" s="1737" customFormat="1" x14ac:dyDescent="0.3">
      <c r="A21" s="734">
        <v>1983</v>
      </c>
      <c r="B21" s="1735"/>
      <c r="C21" s="1735"/>
      <c r="D21" s="1735"/>
      <c r="E21" s="1735"/>
      <c r="F21" s="1735"/>
      <c r="G21" s="1736"/>
      <c r="H21" s="646">
        <v>231.3</v>
      </c>
      <c r="I21" s="1742">
        <f t="shared" si="1"/>
        <v>0.146441850410722</v>
      </c>
      <c r="J21" s="948">
        <v>0.11840000000000001</v>
      </c>
      <c r="K21" s="1739">
        <v>-33.872</v>
      </c>
      <c r="L21" s="1737">
        <v>0</v>
      </c>
    </row>
    <row r="22" spans="1:12" s="1737" customFormat="1" x14ac:dyDescent="0.3">
      <c r="A22" s="734">
        <v>1984</v>
      </c>
      <c r="B22" s="1735"/>
      <c r="C22" s="1735"/>
      <c r="D22" s="1735"/>
      <c r="E22" s="1735"/>
      <c r="F22" s="1735"/>
      <c r="G22" s="1736"/>
      <c r="H22" s="646">
        <v>253.2</v>
      </c>
      <c r="I22" s="1742">
        <f t="shared" si="1"/>
        <v>0.18981042654028438</v>
      </c>
      <c r="J22" s="948">
        <v>0.1158</v>
      </c>
      <c r="K22" s="1739">
        <v>-48.06</v>
      </c>
      <c r="L22" s="1737">
        <v>0</v>
      </c>
    </row>
    <row r="23" spans="1:12" s="1737" customFormat="1" x14ac:dyDescent="0.3">
      <c r="A23" s="734">
        <v>1985</v>
      </c>
      <c r="B23" s="1735"/>
      <c r="C23" s="1735"/>
      <c r="D23" s="1735"/>
      <c r="E23" s="1735"/>
      <c r="F23" s="1735"/>
      <c r="G23" s="1736"/>
      <c r="H23" s="646">
        <v>390.2</v>
      </c>
      <c r="I23" s="1742">
        <f t="shared" si="1"/>
        <v>0.11335212711430036</v>
      </c>
      <c r="J23" s="948">
        <v>9.3399999999999997E-2</v>
      </c>
      <c r="K23" s="1739">
        <v>-44.23</v>
      </c>
      <c r="L23" s="1737">
        <v>0</v>
      </c>
    </row>
    <row r="24" spans="1:12" s="1737" customFormat="1" x14ac:dyDescent="0.3">
      <c r="A24" s="734">
        <v>1986</v>
      </c>
      <c r="B24" s="1735"/>
      <c r="C24" s="1735"/>
      <c r="D24" s="1735"/>
      <c r="E24" s="1735"/>
      <c r="F24" s="1735"/>
      <c r="G24" s="1736"/>
      <c r="H24" s="646">
        <v>797.5</v>
      </c>
      <c r="I24" s="890">
        <f t="shared" ref="I24:I30" si="2">-K24/H24</f>
        <v>6.9968652037617554E-2</v>
      </c>
      <c r="J24" s="948">
        <v>7.5999999999999998E-2</v>
      </c>
      <c r="K24" s="1739">
        <v>-55.8</v>
      </c>
      <c r="L24" s="1737">
        <v>0</v>
      </c>
    </row>
    <row r="25" spans="1:12" s="1737" customFormat="1" x14ac:dyDescent="0.3">
      <c r="A25" s="734">
        <v>1987</v>
      </c>
      <c r="B25" s="1735"/>
      <c r="C25" s="1735"/>
      <c r="D25" s="1735"/>
      <c r="E25" s="1735"/>
      <c r="F25" s="1735"/>
      <c r="G25" s="1736"/>
      <c r="H25" s="646">
        <v>1266.7</v>
      </c>
      <c r="I25" s="890">
        <f t="shared" si="2"/>
        <v>4.3735691166021946E-2</v>
      </c>
      <c r="J25" s="948">
        <v>8.9499999999999996E-2</v>
      </c>
      <c r="K25" s="1739">
        <v>-55.4</v>
      </c>
      <c r="L25" s="1737">
        <v>0</v>
      </c>
    </row>
    <row r="26" spans="1:12" s="1737" customFormat="1" x14ac:dyDescent="0.3">
      <c r="A26" s="734">
        <v>1988</v>
      </c>
      <c r="B26" s="1735"/>
      <c r="C26" s="1735"/>
      <c r="D26" s="1735"/>
      <c r="E26" s="1735"/>
      <c r="F26" s="1735"/>
      <c r="G26" s="1736"/>
      <c r="H26" s="646">
        <v>1497.7</v>
      </c>
      <c r="I26" s="890">
        <f t="shared" si="2"/>
        <v>7.4113640916071309E-3</v>
      </c>
      <c r="J26" s="948">
        <v>0.09</v>
      </c>
      <c r="K26" s="1739">
        <v>-11.1</v>
      </c>
      <c r="L26" s="1737">
        <v>0</v>
      </c>
    </row>
    <row r="27" spans="1:12" s="1737" customFormat="1" x14ac:dyDescent="0.3">
      <c r="A27" s="734">
        <v>1989</v>
      </c>
      <c r="B27" s="1735"/>
      <c r="C27" s="1735"/>
      <c r="D27" s="1735"/>
      <c r="E27" s="1735"/>
      <c r="F27" s="1735"/>
      <c r="G27" s="1736"/>
      <c r="H27" s="646">
        <v>1541.3</v>
      </c>
      <c r="I27" s="890">
        <f t="shared" si="2"/>
        <v>1.5830792188412379E-2</v>
      </c>
      <c r="J27" s="948">
        <v>7.9699999999999993E-2</v>
      </c>
      <c r="K27" s="1739">
        <v>-24.4</v>
      </c>
      <c r="L27" s="1737">
        <v>0</v>
      </c>
    </row>
    <row r="28" spans="1:12" s="1737" customFormat="1" x14ac:dyDescent="0.3">
      <c r="A28" s="734">
        <v>1990</v>
      </c>
      <c r="B28" s="1735"/>
      <c r="C28" s="1735"/>
      <c r="D28" s="1735"/>
      <c r="E28" s="1735"/>
      <c r="F28" s="1735"/>
      <c r="G28" s="1736"/>
      <c r="H28" s="646">
        <v>1637.3</v>
      </c>
      <c r="I28" s="890">
        <f t="shared" si="2"/>
        <v>1.6246259085079096E-2</v>
      </c>
      <c r="J28" s="948">
        <v>8.2400000000000001E-2</v>
      </c>
      <c r="K28" s="1739">
        <v>-26.6</v>
      </c>
      <c r="L28" s="1737">
        <v>0</v>
      </c>
    </row>
    <row r="29" spans="1:12" s="1737" customFormat="1" x14ac:dyDescent="0.3">
      <c r="A29" s="734">
        <v>1991</v>
      </c>
      <c r="B29" s="1735"/>
      <c r="C29" s="1735"/>
      <c r="D29" s="1735"/>
      <c r="E29" s="1735"/>
      <c r="F29" s="1735"/>
      <c r="G29" s="1736"/>
      <c r="H29" s="646">
        <v>1895</v>
      </c>
      <c r="I29" s="890">
        <f t="shared" si="2"/>
        <v>6.3113456464379949E-2</v>
      </c>
      <c r="J29" s="948">
        <v>7.3999999999999996E-2</v>
      </c>
      <c r="K29" s="1739">
        <v>-119.6</v>
      </c>
      <c r="L29" s="1737">
        <v>0</v>
      </c>
    </row>
    <row r="30" spans="1:12" s="1737" customFormat="1" x14ac:dyDescent="0.3">
      <c r="A30" s="734">
        <v>1992</v>
      </c>
      <c r="B30" s="1735"/>
      <c r="C30" s="1735"/>
      <c r="D30" s="1735"/>
      <c r="E30" s="1735"/>
      <c r="F30" s="1735"/>
      <c r="G30" s="1736"/>
      <c r="H30" s="646">
        <v>2290.4</v>
      </c>
      <c r="I30" s="890">
        <f t="shared" si="2"/>
        <v>4.758994062172546E-2</v>
      </c>
      <c r="J30" s="948">
        <v>7.3899999999999993E-2</v>
      </c>
      <c r="K30" s="1739">
        <v>-109</v>
      </c>
      <c r="L30" s="1737">
        <v>0</v>
      </c>
    </row>
    <row r="31" spans="1:12" s="1737" customFormat="1" x14ac:dyDescent="0.3">
      <c r="A31" s="734">
        <v>1993</v>
      </c>
      <c r="B31" s="1735"/>
      <c r="C31" s="1735"/>
      <c r="D31" s="1735"/>
      <c r="E31" s="1735"/>
      <c r="F31" s="1735"/>
      <c r="G31" s="1736"/>
      <c r="H31" s="646">
        <v>2624.7</v>
      </c>
      <c r="I31" s="890">
        <f>-K31/H31</f>
        <v>-1.1772774031317865E-2</v>
      </c>
      <c r="J31" s="948">
        <v>6.3500000000000001E-2</v>
      </c>
      <c r="K31" s="1739">
        <v>30.9</v>
      </c>
      <c r="L31" s="1737">
        <v>0</v>
      </c>
    </row>
    <row r="32" spans="1:12" outlineLevel="1" x14ac:dyDescent="0.3">
      <c r="A32" s="214">
        <v>1994</v>
      </c>
      <c r="B32" s="231"/>
      <c r="C32" s="231"/>
      <c r="D32" s="231"/>
      <c r="E32" s="231"/>
      <c r="F32" s="231"/>
      <c r="H32" s="230">
        <v>3056.6</v>
      </c>
      <c r="I32" s="347">
        <f>-'6. "Summary Table"'!L18/'8. Float-Cost'!H32</f>
        <v>-4.2498200615062494E-2</v>
      </c>
      <c r="J32" s="948">
        <v>7.8799999999999995E-2</v>
      </c>
      <c r="K32" s="1018">
        <v>129.9</v>
      </c>
      <c r="L32" s="1737">
        <v>0</v>
      </c>
    </row>
    <row r="33" spans="1:12" outlineLevel="1" x14ac:dyDescent="0.3">
      <c r="A33" s="214">
        <v>1995</v>
      </c>
      <c r="B33" s="231"/>
      <c r="C33" s="231"/>
      <c r="D33" s="231"/>
      <c r="E33" s="231"/>
      <c r="F33" s="231"/>
      <c r="H33" s="230">
        <v>3607.2</v>
      </c>
      <c r="I33" s="347">
        <f>-'6. "Summary Table"'!K18/'8. Float-Cost'!H33</f>
        <v>-5.6830782878687074E-3</v>
      </c>
      <c r="J33" s="1741">
        <v>5.96E-2</v>
      </c>
      <c r="K33" s="211">
        <v>21</v>
      </c>
      <c r="L33" s="1737">
        <v>0</v>
      </c>
    </row>
    <row r="34" spans="1:12" outlineLevel="1" x14ac:dyDescent="0.3">
      <c r="A34" s="214">
        <v>1996</v>
      </c>
      <c r="B34" s="231"/>
      <c r="C34" s="231"/>
      <c r="D34" s="231"/>
      <c r="E34" s="231"/>
      <c r="F34" s="231"/>
      <c r="H34" s="230">
        <v>6702</v>
      </c>
      <c r="I34" s="347">
        <f>-'6. "Summary Table"'!J18/'8. Float-Cost'!H34</f>
        <v>-3.3139361384661295E-2</v>
      </c>
      <c r="J34" s="1741"/>
      <c r="K34" s="211">
        <v>222</v>
      </c>
      <c r="L34" s="1737">
        <v>0</v>
      </c>
    </row>
    <row r="35" spans="1:12" outlineLevel="1" x14ac:dyDescent="0.3">
      <c r="A35" s="214">
        <v>1997</v>
      </c>
      <c r="B35" s="230">
        <v>2917</v>
      </c>
      <c r="C35" s="230"/>
      <c r="D35" s="230">
        <v>4014</v>
      </c>
      <c r="E35" s="230">
        <v>455</v>
      </c>
      <c r="F35" s="230">
        <f>SUM(B35:E35)</f>
        <v>7386</v>
      </c>
      <c r="H35" s="230">
        <v>7093.1</v>
      </c>
      <c r="I35" s="347">
        <f>-'6. "Summary Table"'!I18/'8. Float-Cost'!H35</f>
        <v>-6.5133721503996836E-2</v>
      </c>
      <c r="J35" s="1741"/>
      <c r="K35" s="211">
        <v>462</v>
      </c>
      <c r="L35" s="1737">
        <v>0</v>
      </c>
    </row>
    <row r="36" spans="1:12" outlineLevel="1" x14ac:dyDescent="0.3">
      <c r="A36" s="214">
        <v>1998</v>
      </c>
      <c r="B36" s="230">
        <v>3125</v>
      </c>
      <c r="C36" s="230">
        <v>14909</v>
      </c>
      <c r="D36" s="230">
        <v>4305</v>
      </c>
      <c r="E36" s="230">
        <v>415</v>
      </c>
      <c r="F36" s="230">
        <f t="shared" ref="F36:F52" si="3">SUM(B36:E36)</f>
        <v>22754</v>
      </c>
      <c r="H36" s="230">
        <f>(F36+F35)/2</f>
        <v>15070</v>
      </c>
      <c r="I36" s="347">
        <f>-'6. "Summary Table"'!H18/'8. Float-Cost'!H36</f>
        <v>-1.7584605175846053E-2</v>
      </c>
      <c r="J36" s="1741"/>
      <c r="K36" s="211">
        <v>265</v>
      </c>
      <c r="L36" s="1737">
        <v>0</v>
      </c>
    </row>
    <row r="37" spans="1:12" outlineLevel="1" x14ac:dyDescent="0.3">
      <c r="A37" s="214">
        <v>1999</v>
      </c>
      <c r="B37" s="230">
        <v>3444</v>
      </c>
      <c r="C37" s="230">
        <v>15166</v>
      </c>
      <c r="D37" s="230">
        <v>6285</v>
      </c>
      <c r="E37" s="230">
        <v>403</v>
      </c>
      <c r="F37" s="230">
        <f t="shared" si="3"/>
        <v>25298</v>
      </c>
      <c r="H37" s="230">
        <f t="shared" ref="H37:H52" si="4">(F37+F36)/2</f>
        <v>24026</v>
      </c>
      <c r="I37" s="347">
        <f>-'6. "Summary Table"'!G18/'8. Float-Cost'!H37</f>
        <v>5.8020477815699661E-2</v>
      </c>
      <c r="J37" s="1741">
        <v>6.4799999999999996E-2</v>
      </c>
      <c r="K37" s="211">
        <v>-1394</v>
      </c>
      <c r="L37" s="1737">
        <v>0</v>
      </c>
    </row>
    <row r="38" spans="1:12" outlineLevel="1" x14ac:dyDescent="0.3">
      <c r="A38" s="214">
        <v>2000</v>
      </c>
      <c r="B38" s="230">
        <v>3943</v>
      </c>
      <c r="C38" s="230">
        <v>15525</v>
      </c>
      <c r="D38" s="230">
        <v>7805</v>
      </c>
      <c r="E38" s="230">
        <v>598</v>
      </c>
      <c r="F38" s="230">
        <f t="shared" si="3"/>
        <v>27871</v>
      </c>
      <c r="H38" s="230">
        <f t="shared" si="4"/>
        <v>26584.5</v>
      </c>
      <c r="I38" s="1743">
        <f>-'6. "Summary Table"'!F18/'8. Float-Cost'!H38</f>
        <v>6.0749684966803962E-2</v>
      </c>
      <c r="J38" s="1741">
        <v>5.4600000000000003E-2</v>
      </c>
      <c r="K38" s="211">
        <v>-1615</v>
      </c>
      <c r="L38" s="1737">
        <v>0</v>
      </c>
    </row>
    <row r="39" spans="1:12" outlineLevel="1" x14ac:dyDescent="0.3">
      <c r="A39" s="214">
        <v>2001</v>
      </c>
      <c r="B39" s="230">
        <v>4251</v>
      </c>
      <c r="C39" s="230">
        <v>19310</v>
      </c>
      <c r="D39" s="230">
        <v>11262</v>
      </c>
      <c r="E39" s="230">
        <v>685</v>
      </c>
      <c r="F39" s="230">
        <f t="shared" si="3"/>
        <v>35508</v>
      </c>
      <c r="H39" s="230">
        <f t="shared" si="4"/>
        <v>31689.5</v>
      </c>
      <c r="I39" s="1743">
        <f>-'6. "Summary Table"'!E18/'8. Float-Cost'!H39</f>
        <v>0.12833903974502595</v>
      </c>
      <c r="J39" s="1741">
        <v>5.4800000000000001E-2</v>
      </c>
      <c r="K39" s="211">
        <v>-4067</v>
      </c>
      <c r="L39" s="1737">
        <v>0</v>
      </c>
    </row>
    <row r="40" spans="1:12" outlineLevel="1" x14ac:dyDescent="0.3">
      <c r="A40" s="214">
        <v>2002</v>
      </c>
      <c r="B40" s="230">
        <v>4678</v>
      </c>
      <c r="C40" s="230">
        <v>22207</v>
      </c>
      <c r="D40" s="230">
        <v>13396</v>
      </c>
      <c r="E40" s="230">
        <v>943</v>
      </c>
      <c r="F40" s="230">
        <f t="shared" si="3"/>
        <v>41224</v>
      </c>
      <c r="H40" s="230">
        <f t="shared" si="4"/>
        <v>38366</v>
      </c>
      <c r="I40" s="347">
        <f>-'6. "Summary Table"'!D18/'8. Float-Cost'!H40</f>
        <v>1.0712610123546891E-2</v>
      </c>
      <c r="J40" s="1741">
        <v>4.82E-2</v>
      </c>
      <c r="K40" s="211">
        <v>-411</v>
      </c>
      <c r="L40" s="1737">
        <v>0</v>
      </c>
    </row>
    <row r="41" spans="1:12" outlineLevel="1" x14ac:dyDescent="0.3">
      <c r="A41" s="214">
        <v>2003</v>
      </c>
      <c r="B41" s="230">
        <v>5287</v>
      </c>
      <c r="C41" s="230">
        <v>23654</v>
      </c>
      <c r="D41" s="230">
        <v>13948</v>
      </c>
      <c r="E41" s="230">
        <v>1331</v>
      </c>
      <c r="F41" s="230">
        <f t="shared" si="3"/>
        <v>44220</v>
      </c>
      <c r="H41" s="230">
        <f t="shared" si="4"/>
        <v>42722</v>
      </c>
      <c r="I41" s="347">
        <f>-'6. "Summary Table"'!C18/'8. Float-Cost'!H41</f>
        <v>-4.0213473152005991E-2</v>
      </c>
      <c r="J41" s="1741"/>
      <c r="K41" s="211">
        <v>1718</v>
      </c>
      <c r="L41" s="1737">
        <v>0</v>
      </c>
    </row>
    <row r="42" spans="1:12" x14ac:dyDescent="0.3">
      <c r="A42" s="214">
        <v>2004</v>
      </c>
      <c r="B42" s="230">
        <v>5960</v>
      </c>
      <c r="C42" s="230">
        <v>23120</v>
      </c>
      <c r="D42" s="230">
        <v>15278</v>
      </c>
      <c r="E42" s="230">
        <v>1736</v>
      </c>
      <c r="F42" s="230">
        <f t="shared" si="3"/>
        <v>46094</v>
      </c>
      <c r="H42" s="230">
        <f t="shared" si="4"/>
        <v>45157</v>
      </c>
      <c r="I42" s="347">
        <f>-'6. "Summary Table"'!B18/'8. Float-Cost'!H42</f>
        <v>-3.4346834377837324E-2</v>
      </c>
      <c r="J42" s="1741"/>
      <c r="K42" s="211">
        <v>1551</v>
      </c>
      <c r="L42" s="1737">
        <v>0</v>
      </c>
    </row>
    <row r="43" spans="1:12" x14ac:dyDescent="0.3">
      <c r="A43" s="214">
        <v>2005</v>
      </c>
      <c r="B43" s="230">
        <v>6692</v>
      </c>
      <c r="C43" s="230">
        <v>22920</v>
      </c>
      <c r="D43" s="230">
        <v>16233</v>
      </c>
      <c r="E43" s="230">
        <v>3442</v>
      </c>
      <c r="F43" s="230">
        <f t="shared" si="3"/>
        <v>49287</v>
      </c>
      <c r="H43" s="230">
        <f t="shared" si="4"/>
        <v>47690.5</v>
      </c>
      <c r="I43" s="347">
        <f>-53/H43</f>
        <v>-1.1113324456652792E-3</v>
      </c>
      <c r="J43" s="1741"/>
      <c r="K43" s="211">
        <v>53</v>
      </c>
      <c r="L43" s="1737">
        <v>0</v>
      </c>
    </row>
    <row r="44" spans="1:12" x14ac:dyDescent="0.3">
      <c r="A44" s="214">
        <v>2006</v>
      </c>
      <c r="B44" s="230">
        <v>7171</v>
      </c>
      <c r="C44" s="230">
        <v>22827</v>
      </c>
      <c r="D44" s="230">
        <v>16860</v>
      </c>
      <c r="E44" s="230">
        <v>4029</v>
      </c>
      <c r="F44" s="230">
        <f t="shared" si="3"/>
        <v>50887</v>
      </c>
      <c r="H44" s="230">
        <f t="shared" si="4"/>
        <v>50087</v>
      </c>
      <c r="I44" s="347">
        <f>-3838/H44</f>
        <v>-7.662666959490487E-2</v>
      </c>
      <c r="J44" s="1741"/>
      <c r="K44" s="211">
        <v>3838</v>
      </c>
      <c r="L44" s="1737">
        <v>0</v>
      </c>
    </row>
    <row r="45" spans="1:12" x14ac:dyDescent="0.3">
      <c r="A45" s="214">
        <v>2007</v>
      </c>
      <c r="B45" s="230">
        <v>7768</v>
      </c>
      <c r="C45" s="230">
        <v>23009</v>
      </c>
      <c r="D45" s="230">
        <v>23692</v>
      </c>
      <c r="E45" s="230">
        <v>4229</v>
      </c>
      <c r="F45" s="230">
        <f t="shared" si="3"/>
        <v>58698</v>
      </c>
      <c r="H45" s="230">
        <f t="shared" si="4"/>
        <v>54792.5</v>
      </c>
      <c r="I45" s="347">
        <f>-3374/H45</f>
        <v>-6.1577770680293839E-2</v>
      </c>
      <c r="J45" s="1741"/>
      <c r="K45" s="211">
        <v>3374</v>
      </c>
      <c r="L45" s="1737">
        <v>0</v>
      </c>
    </row>
    <row r="46" spans="1:12" x14ac:dyDescent="0.3">
      <c r="A46" s="214">
        <v>2008</v>
      </c>
      <c r="B46" s="230">
        <v>8454</v>
      </c>
      <c r="C46" s="230">
        <v>21074</v>
      </c>
      <c r="D46" s="230">
        <v>24221</v>
      </c>
      <c r="E46" s="230">
        <v>4739</v>
      </c>
      <c r="F46" s="230">
        <f t="shared" si="3"/>
        <v>58488</v>
      </c>
      <c r="H46" s="230">
        <f t="shared" si="4"/>
        <v>58593</v>
      </c>
      <c r="I46" s="347">
        <f>-2792/H46</f>
        <v>-4.7650743262847101E-2</v>
      </c>
      <c r="J46" s="1741"/>
      <c r="K46" s="211">
        <v>2792</v>
      </c>
      <c r="L46" s="1737">
        <v>0</v>
      </c>
    </row>
    <row r="47" spans="1:12" x14ac:dyDescent="0.3">
      <c r="A47" s="214">
        <v>2009</v>
      </c>
      <c r="B47" s="230">
        <v>9613</v>
      </c>
      <c r="C47" s="230">
        <v>21014</v>
      </c>
      <c r="D47" s="230">
        <v>26223</v>
      </c>
      <c r="E47" s="230">
        <v>5061</v>
      </c>
      <c r="F47" s="230">
        <f t="shared" si="3"/>
        <v>61911</v>
      </c>
      <c r="H47" s="230">
        <f t="shared" si="4"/>
        <v>60199.5</v>
      </c>
      <c r="I47" s="347">
        <f>-1559/H47</f>
        <v>-2.5897225060008803E-2</v>
      </c>
      <c r="J47" s="1741"/>
      <c r="K47" s="211">
        <v>1559</v>
      </c>
      <c r="L47" s="1737">
        <v>0</v>
      </c>
    </row>
    <row r="48" spans="1:12" x14ac:dyDescent="0.3">
      <c r="A48" s="214">
        <v>2010</v>
      </c>
      <c r="B48" s="230">
        <v>10272</v>
      </c>
      <c r="C48" s="230">
        <v>20049</v>
      </c>
      <c r="D48" s="230">
        <v>30370</v>
      </c>
      <c r="E48" s="230">
        <v>5141</v>
      </c>
      <c r="F48" s="230">
        <f t="shared" si="3"/>
        <v>65832</v>
      </c>
      <c r="H48" s="230">
        <f t="shared" si="4"/>
        <v>63871.5</v>
      </c>
      <c r="I48" s="347">
        <f>-2013/H48</f>
        <v>-3.1516404029966416E-2</v>
      </c>
      <c r="J48" s="1741"/>
      <c r="K48" s="211">
        <v>2013</v>
      </c>
      <c r="L48" s="1737">
        <v>0</v>
      </c>
    </row>
    <row r="49" spans="1:14" x14ac:dyDescent="0.3">
      <c r="A49" s="214">
        <v>2011</v>
      </c>
      <c r="B49" s="230">
        <v>11169</v>
      </c>
      <c r="C49" s="230">
        <v>19714</v>
      </c>
      <c r="D49" s="230">
        <v>33728</v>
      </c>
      <c r="E49" s="230">
        <v>5960</v>
      </c>
      <c r="F49" s="230">
        <f t="shared" si="3"/>
        <v>70571</v>
      </c>
      <c r="H49" s="230">
        <f t="shared" si="4"/>
        <v>68201.5</v>
      </c>
      <c r="I49" s="347">
        <f>-248/H49</f>
        <v>-3.6362836594503053E-3</v>
      </c>
      <c r="J49" s="1741"/>
      <c r="K49" s="211">
        <v>248</v>
      </c>
      <c r="L49" s="1737">
        <v>0</v>
      </c>
    </row>
    <row r="50" spans="1:14" x14ac:dyDescent="0.3">
      <c r="A50" s="214">
        <v>2012</v>
      </c>
      <c r="B50" s="230">
        <v>11578</v>
      </c>
      <c r="C50" s="230">
        <v>20128</v>
      </c>
      <c r="D50" s="230">
        <v>34821</v>
      </c>
      <c r="E50" s="230">
        <v>6598</v>
      </c>
      <c r="F50" s="230">
        <f t="shared" si="3"/>
        <v>73125</v>
      </c>
      <c r="H50" s="230">
        <f t="shared" si="4"/>
        <v>71848</v>
      </c>
      <c r="I50" s="347">
        <f>-1625/H50</f>
        <v>-2.2617191849459969E-2</v>
      </c>
      <c r="J50" s="1741"/>
      <c r="K50" s="211">
        <v>1625</v>
      </c>
      <c r="L50" s="1737">
        <v>0</v>
      </c>
    </row>
    <row r="51" spans="1:14" x14ac:dyDescent="0.3">
      <c r="A51" s="214">
        <v>2013</v>
      </c>
      <c r="B51" s="230">
        <v>12566</v>
      </c>
      <c r="C51" s="230">
        <v>20013</v>
      </c>
      <c r="D51" s="230">
        <v>37231</v>
      </c>
      <c r="E51" s="230">
        <v>7430</v>
      </c>
      <c r="F51" s="230">
        <f t="shared" si="3"/>
        <v>77240</v>
      </c>
      <c r="H51" s="230">
        <f t="shared" si="4"/>
        <v>75182.5</v>
      </c>
      <c r="I51" s="347">
        <f>-3089/H51</f>
        <v>-4.1086689056628871E-2</v>
      </c>
      <c r="J51" s="1741"/>
      <c r="K51" s="211">
        <v>3089</v>
      </c>
      <c r="L51" s="1737">
        <v>0</v>
      </c>
    </row>
    <row r="52" spans="1:14" ht="19.5" customHeight="1" x14ac:dyDescent="0.3">
      <c r="A52" s="214">
        <v>2014</v>
      </c>
      <c r="B52" s="230">
        <v>13569</v>
      </c>
      <c r="C52" s="230">
        <v>19280</v>
      </c>
      <c r="D52" s="230">
        <v>42454</v>
      </c>
      <c r="E52" s="230">
        <v>8618</v>
      </c>
      <c r="F52" s="230">
        <f t="shared" si="3"/>
        <v>83921</v>
      </c>
      <c r="H52" s="230">
        <f t="shared" si="4"/>
        <v>80580.5</v>
      </c>
      <c r="I52" s="347">
        <f>-2668/H52</f>
        <v>-3.3109747395461679E-2</v>
      </c>
      <c r="J52" s="1741"/>
      <c r="K52" s="211">
        <v>2668</v>
      </c>
      <c r="L52" s="1737">
        <v>0</v>
      </c>
    </row>
    <row r="53" spans="1:14" ht="16.2" thickBot="1" x14ac:dyDescent="0.35">
      <c r="A53" s="224">
        <v>2015</v>
      </c>
      <c r="B53" s="218"/>
      <c r="C53" s="218"/>
      <c r="D53" s="218"/>
      <c r="E53" s="218"/>
      <c r="F53" s="218"/>
      <c r="G53" s="218"/>
      <c r="H53" s="218"/>
      <c r="I53" s="219"/>
      <c r="L53" s="1737">
        <v>0</v>
      </c>
    </row>
    <row r="54" spans="1:14" x14ac:dyDescent="0.3">
      <c r="A54" s="211">
        <v>2016</v>
      </c>
    </row>
    <row r="55" spans="1:14" x14ac:dyDescent="0.3">
      <c r="A55" s="12" t="s">
        <v>1893</v>
      </c>
    </row>
    <row r="56" spans="1:14" x14ac:dyDescent="0.3">
      <c r="I56" s="211">
        <f>COUNTIF(I6:I52,"&lt;0")</f>
        <v>27</v>
      </c>
      <c r="J56" s="211">
        <f>COUNTIF(I6:I52,"&gt;0")</f>
        <v>20</v>
      </c>
    </row>
    <row r="57" spans="1:14" x14ac:dyDescent="0.3">
      <c r="H57" s="459" t="s">
        <v>2185</v>
      </c>
    </row>
    <row r="58" spans="1:14" ht="33.75" customHeight="1" x14ac:dyDescent="0.3">
      <c r="H58" s="2794" t="s">
        <v>2184</v>
      </c>
      <c r="I58" s="2794"/>
      <c r="J58" s="1902"/>
      <c r="L58" s="211" t="s">
        <v>2193</v>
      </c>
      <c r="M58" s="211" t="s">
        <v>2194</v>
      </c>
    </row>
    <row r="59" spans="1:14" ht="8.25" customHeight="1" thickBot="1" x14ac:dyDescent="0.35"/>
    <row r="60" spans="1:14" x14ac:dyDescent="0.3">
      <c r="H60" s="212" t="s">
        <v>1250</v>
      </c>
      <c r="I60" s="389"/>
    </row>
    <row r="61" spans="1:14" x14ac:dyDescent="0.3">
      <c r="D61" s="211" t="s">
        <v>176</v>
      </c>
      <c r="H61" s="1391" t="s">
        <v>2186</v>
      </c>
      <c r="I61" s="1422">
        <f>SUM(K6:K12)</f>
        <v>-5.2550000000000008</v>
      </c>
      <c r="L61" s="278">
        <f>H12</f>
        <v>79.099999999999994</v>
      </c>
      <c r="M61" s="211">
        <v>206</v>
      </c>
      <c r="N61" s="226">
        <f>L61/M61</f>
        <v>0.38398058252427181</v>
      </c>
    </row>
    <row r="62" spans="1:14" x14ac:dyDescent="0.3">
      <c r="H62" s="214" t="s">
        <v>2187</v>
      </c>
      <c r="I62" s="927">
        <f>SUM(K13:K22)</f>
        <v>-92.669000000000011</v>
      </c>
      <c r="L62" s="278">
        <f>H22</f>
        <v>253.2</v>
      </c>
      <c r="M62" s="211">
        <v>1946</v>
      </c>
      <c r="N62" s="226">
        <f t="shared" ref="N62:N65" si="5">L62/M62</f>
        <v>0.13011305241521068</v>
      </c>
    </row>
    <row r="63" spans="1:14" x14ac:dyDescent="0.3">
      <c r="H63" s="214" t="s">
        <v>2188</v>
      </c>
      <c r="I63" s="927">
        <f>SUM(K23:K32)</f>
        <v>-285.33000000000004</v>
      </c>
      <c r="L63" s="278">
        <f>H32</f>
        <v>3056.6</v>
      </c>
      <c r="M63" s="211">
        <v>20429</v>
      </c>
      <c r="N63" s="226">
        <f t="shared" si="5"/>
        <v>0.14962063732928679</v>
      </c>
    </row>
    <row r="64" spans="1:14" x14ac:dyDescent="0.3">
      <c r="H64" s="214" t="s">
        <v>2189</v>
      </c>
      <c r="I64" s="927">
        <f>SUM(K33:K42)</f>
        <v>-3248</v>
      </c>
      <c r="L64" s="278">
        <f>H42</f>
        <v>45157</v>
      </c>
      <c r="M64" s="211">
        <v>184717</v>
      </c>
      <c r="N64" s="226">
        <f t="shared" si="5"/>
        <v>0.24446585858367123</v>
      </c>
    </row>
    <row r="65" spans="8:14" ht="16.2" thickBot="1" x14ac:dyDescent="0.35">
      <c r="H65" s="224" t="s">
        <v>2190</v>
      </c>
      <c r="I65" s="1740">
        <f>SUM(K43:K52)</f>
        <v>21259</v>
      </c>
      <c r="L65" s="278">
        <f>H52</f>
        <v>80580.5</v>
      </c>
      <c r="M65" s="211">
        <v>505559</v>
      </c>
      <c r="N65" s="226">
        <f t="shared" si="5"/>
        <v>0.1593889140535526</v>
      </c>
    </row>
    <row r="66" spans="8:14" ht="34.5" customHeight="1" x14ac:dyDescent="0.3">
      <c r="H66" s="2811" t="s">
        <v>1893</v>
      </c>
      <c r="I66" s="2811"/>
      <c r="J66" s="904"/>
    </row>
  </sheetData>
  <mergeCells count="3">
    <mergeCell ref="B4:F4"/>
    <mergeCell ref="H66:I66"/>
    <mergeCell ref="H58:I58"/>
  </mergeCells>
  <pageMargins left="0.7" right="0.7" top="0.75" bottom="0.75" header="0.3" footer="0.3"/>
  <pageSetup orientation="portrait" r:id="rId1"/>
  <ignoredErrors>
    <ignoredError sqref="I61:I65" formulaRange="1"/>
  </ignoredError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52D4-94D5-4A9D-B1B9-BF707F994B0A}">
  <sheetPr>
    <tabColor theme="9" tint="0.39997558519241921"/>
  </sheetPr>
  <dimension ref="A1:AS58"/>
  <sheetViews>
    <sheetView showGridLines="0" zoomScale="70" zoomScaleNormal="70" workbookViewId="0">
      <selection activeCell="L27" sqref="L27"/>
    </sheetView>
  </sheetViews>
  <sheetFormatPr defaultColWidth="9.109375" defaultRowHeight="15.6" outlineLevelRow="1" x14ac:dyDescent="0.3"/>
  <cols>
    <col min="1" max="1" width="28.109375" style="211" customWidth="1"/>
    <col min="2" max="17" width="9.109375" style="211"/>
    <col min="18" max="18" width="27.33203125" style="211" customWidth="1"/>
    <col min="19" max="21" width="8.88671875" style="211" customWidth="1"/>
    <col min="22" max="22" width="9.109375" style="211"/>
    <col min="23" max="23" width="27.33203125" style="211" customWidth="1"/>
    <col min="24" max="24" width="9.6640625" style="211" customWidth="1"/>
    <col min="25" max="25" width="8.88671875" style="211" customWidth="1"/>
    <col min="26" max="26" width="9.6640625" style="211" customWidth="1"/>
    <col min="27" max="27" width="9.109375" style="211"/>
    <col min="28" max="28" width="26.5546875" style="211" customWidth="1"/>
    <col min="29" max="29" width="9.109375" style="211"/>
    <col min="30" max="30" width="9.109375" style="211" customWidth="1"/>
    <col min="31" max="31" width="10" style="211" bestFit="1" customWidth="1"/>
    <col min="32" max="32" width="9.109375" style="211"/>
    <col min="33" max="33" width="27.33203125" style="211" customWidth="1"/>
    <col min="34" max="34" width="9.109375" style="211"/>
    <col min="35" max="35" width="10" style="211" customWidth="1"/>
    <col min="36" max="36" width="9.6640625" style="211" customWidth="1"/>
    <col min="37" max="37" width="9.109375" style="211"/>
    <col min="38" max="38" width="27.33203125" style="211" customWidth="1"/>
    <col min="39" max="39" width="9.5546875" style="211" bestFit="1" customWidth="1"/>
    <col min="40" max="40" width="9.88671875" style="211" customWidth="1"/>
    <col min="41" max="41" width="9.33203125" style="211" customWidth="1"/>
    <col min="42" max="16384" width="9.109375" style="211"/>
  </cols>
  <sheetData>
    <row r="1" spans="1:6" x14ac:dyDescent="0.3">
      <c r="A1" s="459" t="s">
        <v>2185</v>
      </c>
    </row>
    <row r="2" spans="1:6" x14ac:dyDescent="0.3">
      <c r="A2" s="152" t="s">
        <v>3303</v>
      </c>
    </row>
    <row r="3" spans="1:6" ht="9" customHeight="1" x14ac:dyDescent="0.3"/>
    <row r="5" spans="1:6" x14ac:dyDescent="0.3">
      <c r="B5" s="211" t="s">
        <v>3302</v>
      </c>
    </row>
    <row r="6" spans="1:6" x14ac:dyDescent="0.3">
      <c r="A6" s="320" t="s">
        <v>3301</v>
      </c>
      <c r="B6" s="884">
        <v>2014</v>
      </c>
      <c r="C6" s="884">
        <v>2004</v>
      </c>
      <c r="D6" s="884">
        <v>1994</v>
      </c>
      <c r="E6" s="884">
        <v>1984</v>
      </c>
      <c r="F6" s="884">
        <v>1974</v>
      </c>
    </row>
    <row r="7" spans="1:6" x14ac:dyDescent="0.3">
      <c r="A7" s="211" t="s">
        <v>3300</v>
      </c>
      <c r="B7" s="227">
        <v>0.10100000000000001</v>
      </c>
      <c r="C7" s="227">
        <v>0.187</v>
      </c>
      <c r="D7" s="227">
        <v>0.247</v>
      </c>
      <c r="E7" s="227">
        <v>0.30399999999999999</v>
      </c>
      <c r="F7" s="227">
        <v>0.14899999999999999</v>
      </c>
    </row>
    <row r="8" spans="1:6" x14ac:dyDescent="0.3">
      <c r="A8" s="211" t="s">
        <v>3299</v>
      </c>
      <c r="B8" s="227">
        <v>9.9000000000000005E-2</v>
      </c>
      <c r="C8" s="227">
        <v>0.157</v>
      </c>
      <c r="D8" s="227">
        <v>0.31900000000000001</v>
      </c>
      <c r="E8" s="227">
        <v>0.41399999999999998</v>
      </c>
      <c r="F8" s="227">
        <v>0.125</v>
      </c>
    </row>
    <row r="9" spans="1:6" x14ac:dyDescent="0.3">
      <c r="A9" s="211" t="s">
        <v>3298</v>
      </c>
      <c r="B9" s="227">
        <v>7.6999999999999999E-2</v>
      </c>
      <c r="C9" s="227">
        <v>0.121</v>
      </c>
      <c r="D9" s="227">
        <v>0.14399999999999999</v>
      </c>
      <c r="E9" s="227">
        <v>0.14599999999999999</v>
      </c>
      <c r="F9" s="227">
        <v>1.4E-2</v>
      </c>
    </row>
    <row r="21" spans="18:45" x14ac:dyDescent="0.3">
      <c r="W21" s="211" t="s">
        <v>176</v>
      </c>
    </row>
    <row r="26" spans="18:45" x14ac:dyDescent="0.3">
      <c r="AS26" s="211" t="s">
        <v>176</v>
      </c>
    </row>
    <row r="27" spans="18:45" x14ac:dyDescent="0.3">
      <c r="R27" s="459" t="s">
        <v>2185</v>
      </c>
      <c r="W27" s="459" t="s">
        <v>2185</v>
      </c>
      <c r="AB27" s="459" t="s">
        <v>2185</v>
      </c>
      <c r="AG27" s="459" t="s">
        <v>2185</v>
      </c>
      <c r="AL27" s="459" t="s">
        <v>2185</v>
      </c>
    </row>
    <row r="28" spans="18:45" x14ac:dyDescent="0.3">
      <c r="R28" s="152" t="s">
        <v>3297</v>
      </c>
      <c r="W28" s="152" t="s">
        <v>3297</v>
      </c>
      <c r="AB28" s="152" t="s">
        <v>3297</v>
      </c>
      <c r="AG28" s="152" t="s">
        <v>3297</v>
      </c>
      <c r="AL28" s="152" t="s">
        <v>3297</v>
      </c>
    </row>
    <row r="29" spans="18:45" ht="8.25" customHeight="1" thickBot="1" x14ac:dyDescent="0.35"/>
    <row r="30" spans="18:45" x14ac:dyDescent="0.3">
      <c r="R30" s="212" t="s">
        <v>1250</v>
      </c>
      <c r="S30" s="470">
        <v>1974</v>
      </c>
      <c r="T30" s="470">
        <v>1964</v>
      </c>
      <c r="U30" s="471" t="s">
        <v>32</v>
      </c>
      <c r="W30" s="212" t="s">
        <v>1250</v>
      </c>
      <c r="X30" s="501">
        <v>1984</v>
      </c>
      <c r="Y30" s="501">
        <v>1974</v>
      </c>
      <c r="Z30" s="471" t="s">
        <v>32</v>
      </c>
      <c r="AB30" s="212" t="s">
        <v>1250</v>
      </c>
      <c r="AC30" s="501">
        <v>1994</v>
      </c>
      <c r="AD30" s="501">
        <v>1984</v>
      </c>
      <c r="AE30" s="471" t="s">
        <v>32</v>
      </c>
      <c r="AG30" s="212" t="s">
        <v>1250</v>
      </c>
      <c r="AH30" s="501">
        <v>2004</v>
      </c>
      <c r="AI30" s="501">
        <v>1994</v>
      </c>
      <c r="AJ30" s="471" t="s">
        <v>32</v>
      </c>
      <c r="AL30" s="212" t="s">
        <v>1250</v>
      </c>
      <c r="AM30" s="501">
        <v>2014</v>
      </c>
      <c r="AN30" s="501">
        <v>2004</v>
      </c>
      <c r="AO30" s="471" t="s">
        <v>32</v>
      </c>
    </row>
    <row r="31" spans="18:45" x14ac:dyDescent="0.3">
      <c r="R31" s="214" t="s">
        <v>975</v>
      </c>
      <c r="S31" s="2144">
        <v>101.5</v>
      </c>
      <c r="T31" s="2144">
        <v>49.982999999999997</v>
      </c>
      <c r="U31" s="2568">
        <f>S31/T31-1</f>
        <v>1.0306904347478145</v>
      </c>
      <c r="W31" s="214" t="s">
        <v>975</v>
      </c>
      <c r="X31" s="2145">
        <v>729</v>
      </c>
      <c r="Y31" s="2144">
        <v>101.5</v>
      </c>
      <c r="Z31" s="2568">
        <f>X31/Y31-1</f>
        <v>6.1822660098522171</v>
      </c>
      <c r="AB31" s="214" t="s">
        <v>975</v>
      </c>
      <c r="AC31" s="2145">
        <v>3847</v>
      </c>
      <c r="AD31" s="2145">
        <v>729</v>
      </c>
      <c r="AE31" s="2568">
        <f>AC31/AD31-1</f>
        <v>4.2770919067215365</v>
      </c>
      <c r="AG31" s="214" t="s">
        <v>975</v>
      </c>
      <c r="AH31" s="2145">
        <v>74382</v>
      </c>
      <c r="AI31" s="2145">
        <v>3847</v>
      </c>
      <c r="AJ31" s="2568">
        <f>AH31/AI31-1</f>
        <v>18.335066285417209</v>
      </c>
      <c r="AL31" s="214" t="s">
        <v>975</v>
      </c>
      <c r="AM31" s="2145">
        <v>194673</v>
      </c>
      <c r="AN31" s="2145">
        <v>74382</v>
      </c>
      <c r="AO31" s="2568">
        <f>AM31/AN31-1</f>
        <v>1.6172057755908686</v>
      </c>
    </row>
    <row r="32" spans="18:45" x14ac:dyDescent="0.3">
      <c r="R32" s="214" t="s">
        <v>371</v>
      </c>
      <c r="S32" s="2570">
        <v>6.4850000000000003</v>
      </c>
      <c r="T32" s="2570">
        <v>0.52800000000000002</v>
      </c>
      <c r="U32" s="2568">
        <f>S32/T32-1</f>
        <v>11.282196969696971</v>
      </c>
      <c r="W32" s="214" t="s">
        <v>371</v>
      </c>
      <c r="X32" s="2570">
        <v>82.021000000000001</v>
      </c>
      <c r="Y32" s="2570">
        <f>S32</f>
        <v>6.4850000000000003</v>
      </c>
      <c r="Z32" s="2568">
        <f>X32/Y32-1</f>
        <v>11.647802621434078</v>
      </c>
      <c r="AB32" s="214" t="s">
        <v>371</v>
      </c>
      <c r="AC32" s="545">
        <v>839.36500000000001</v>
      </c>
      <c r="AD32" s="545">
        <v>87.739000000000004</v>
      </c>
      <c r="AE32" s="2568">
        <f>AC32/AD32-1</f>
        <v>8.5666123388686906</v>
      </c>
      <c r="AG32" s="214" t="s">
        <v>371</v>
      </c>
      <c r="AH32" s="545">
        <v>7447</v>
      </c>
      <c r="AI32" s="545">
        <v>839.36500000000001</v>
      </c>
      <c r="AJ32" s="2568">
        <f>AH32/AI32-1</f>
        <v>7.8721831384439422</v>
      </c>
      <c r="AL32" s="214" t="s">
        <v>371</v>
      </c>
      <c r="AM32" s="545">
        <v>24024</v>
      </c>
      <c r="AN32" s="545">
        <v>7447</v>
      </c>
      <c r="AO32" s="2568">
        <f>AM32/AN32-1</f>
        <v>2.2259970457902511</v>
      </c>
    </row>
    <row r="33" spans="17:41" s="309" customFormat="1" hidden="1" outlineLevel="1" x14ac:dyDescent="0.3">
      <c r="R33" s="305" t="s">
        <v>99</v>
      </c>
      <c r="S33" s="2580">
        <v>7.0430000000000001</v>
      </c>
      <c r="T33" s="2580">
        <v>0.17599999999999999</v>
      </c>
      <c r="U33" s="2577">
        <f>S33/T33-1</f>
        <v>39.01704545454546</v>
      </c>
      <c r="W33" s="305" t="s">
        <v>99</v>
      </c>
      <c r="X33" s="2579">
        <v>149</v>
      </c>
      <c r="Y33" s="2580">
        <v>7.0430000000000001</v>
      </c>
      <c r="Z33" s="2577">
        <f>X33/Y33-1</f>
        <v>20.15575748970609</v>
      </c>
      <c r="AB33" s="305" t="s">
        <v>99</v>
      </c>
      <c r="AC33" s="2579">
        <v>495</v>
      </c>
      <c r="AD33" s="2578">
        <v>149</v>
      </c>
      <c r="AE33" s="2577">
        <f>AC33/AD33-1</f>
        <v>2.3221476510067114</v>
      </c>
      <c r="AG33" s="305" t="s">
        <v>99</v>
      </c>
      <c r="AH33" s="2579">
        <v>7308</v>
      </c>
      <c r="AI33" s="2578">
        <v>495</v>
      </c>
      <c r="AJ33" s="2577">
        <f>AH33/AI33-1</f>
        <v>13.763636363636364</v>
      </c>
      <c r="AL33" s="305" t="s">
        <v>99</v>
      </c>
      <c r="AM33" s="2579">
        <v>19872</v>
      </c>
      <c r="AN33" s="2578">
        <v>7308</v>
      </c>
      <c r="AO33" s="2577">
        <f>AM33/AN33-1</f>
        <v>1.7192118226600983</v>
      </c>
    </row>
    <row r="34" spans="17:41" ht="4.5" customHeight="1" collapsed="1" x14ac:dyDescent="0.3">
      <c r="R34" s="214"/>
      <c r="S34" s="2570"/>
      <c r="T34" s="2570"/>
      <c r="U34" s="2569"/>
      <c r="W34" s="214"/>
      <c r="X34" s="545"/>
      <c r="Y34" s="2570"/>
      <c r="Z34" s="2569"/>
      <c r="AB34" s="214"/>
      <c r="AC34" s="545"/>
      <c r="AD34" s="2145"/>
      <c r="AE34" s="2569"/>
      <c r="AG34" s="214"/>
      <c r="AH34" s="545"/>
      <c r="AI34" s="2145"/>
      <c r="AJ34" s="2569"/>
      <c r="AL34" s="214"/>
      <c r="AM34" s="545"/>
      <c r="AN34" s="2145"/>
      <c r="AO34" s="2569"/>
    </row>
    <row r="35" spans="17:41" ht="4.5" customHeight="1" x14ac:dyDescent="0.3">
      <c r="R35" s="1155"/>
      <c r="S35" s="2574"/>
      <c r="T35" s="2574"/>
      <c r="U35" s="2571"/>
      <c r="W35" s="1155"/>
      <c r="X35" s="2573"/>
      <c r="Y35" s="2574"/>
      <c r="Z35" s="2571"/>
      <c r="AB35" s="1155"/>
      <c r="AC35" s="2573"/>
      <c r="AD35" s="2572"/>
      <c r="AE35" s="2571"/>
      <c r="AG35" s="1155"/>
      <c r="AH35" s="2573"/>
      <c r="AI35" s="2572"/>
      <c r="AJ35" s="2571"/>
      <c r="AL35" s="1155"/>
      <c r="AM35" s="2573"/>
      <c r="AN35" s="2572"/>
      <c r="AO35" s="2571"/>
    </row>
    <row r="36" spans="17:41" ht="4.5" customHeight="1" x14ac:dyDescent="0.3">
      <c r="R36" s="214"/>
      <c r="S36" s="2570"/>
      <c r="T36" s="2570"/>
      <c r="U36" s="2569"/>
      <c r="W36" s="214"/>
      <c r="X36" s="545"/>
      <c r="Y36" s="2570"/>
      <c r="Z36" s="2569"/>
      <c r="AB36" s="214"/>
      <c r="AC36" s="545"/>
      <c r="AD36" s="2145"/>
      <c r="AE36" s="2569"/>
      <c r="AG36" s="214"/>
      <c r="AH36" s="545"/>
      <c r="AI36" s="2145"/>
      <c r="AJ36" s="2569"/>
      <c r="AL36" s="214"/>
      <c r="AM36" s="545"/>
      <c r="AN36" s="2145"/>
      <c r="AO36" s="2569"/>
    </row>
    <row r="37" spans="17:41" x14ac:dyDescent="0.3">
      <c r="R37" s="214" t="s">
        <v>1870</v>
      </c>
      <c r="S37" s="2570">
        <v>79.099999999999994</v>
      </c>
      <c r="T37" s="545">
        <v>0</v>
      </c>
      <c r="U37" s="2576" t="s">
        <v>826</v>
      </c>
      <c r="W37" s="214" t="s">
        <v>1870</v>
      </c>
      <c r="X37" s="545">
        <v>253</v>
      </c>
      <c r="Y37" s="545">
        <v>79</v>
      </c>
      <c r="Z37" s="2575">
        <f>X37/Y37-1</f>
        <v>2.2025316455696204</v>
      </c>
      <c r="AB37" s="214" t="s">
        <v>1870</v>
      </c>
      <c r="AC37" s="545">
        <v>3057</v>
      </c>
      <c r="AD37" s="545">
        <v>253</v>
      </c>
      <c r="AE37" s="2575">
        <f>AC37/AD37-1</f>
        <v>11.08300395256917</v>
      </c>
      <c r="AG37" s="214" t="s">
        <v>1870</v>
      </c>
      <c r="AH37" s="545">
        <v>45157</v>
      </c>
      <c r="AI37" s="545">
        <v>3057</v>
      </c>
      <c r="AJ37" s="2575">
        <f>AH37/AI37-1</f>
        <v>13.771671573438011</v>
      </c>
      <c r="AL37" s="214" t="s">
        <v>1870</v>
      </c>
      <c r="AM37" s="545">
        <v>80581</v>
      </c>
      <c r="AN37" s="545">
        <v>45157</v>
      </c>
      <c r="AO37" s="2575">
        <f>AM37/AN37-1</f>
        <v>0.78446309542263659</v>
      </c>
    </row>
    <row r="38" spans="17:41" x14ac:dyDescent="0.3">
      <c r="R38" s="214" t="s">
        <v>746</v>
      </c>
      <c r="S38" s="2570">
        <v>88.2</v>
      </c>
      <c r="T38" s="2570">
        <v>22.138999999999999</v>
      </c>
      <c r="U38" s="2568">
        <f>S38/T38-1</f>
        <v>2.9839197795745069</v>
      </c>
      <c r="W38" s="214" t="s">
        <v>746</v>
      </c>
      <c r="X38" s="545">
        <v>1272</v>
      </c>
      <c r="Y38" s="2570">
        <v>88.2</v>
      </c>
      <c r="Z38" s="2568">
        <f>X38/Y38-1</f>
        <v>13.421768707482993</v>
      </c>
      <c r="AB38" s="214" t="s">
        <v>746</v>
      </c>
      <c r="AC38" s="545">
        <v>11875</v>
      </c>
      <c r="AD38" s="545">
        <v>1272</v>
      </c>
      <c r="AE38" s="2568">
        <f>AC38/AD38-1</f>
        <v>8.3356918238993707</v>
      </c>
      <c r="AG38" s="214" t="s">
        <v>746</v>
      </c>
      <c r="AH38" s="545">
        <v>85900</v>
      </c>
      <c r="AI38" s="545">
        <v>11875</v>
      </c>
      <c r="AJ38" s="2568">
        <f>AH38/AI38-1</f>
        <v>6.2336842105263157</v>
      </c>
      <c r="AL38" s="214" t="s">
        <v>746</v>
      </c>
      <c r="AM38" s="545">
        <v>240170</v>
      </c>
      <c r="AN38" s="545">
        <v>85900</v>
      </c>
      <c r="AO38" s="2568">
        <f>AM38/AN38-1</f>
        <v>1.7959254947613505</v>
      </c>
    </row>
    <row r="39" spans="17:41" ht="4.5" customHeight="1" collapsed="1" x14ac:dyDescent="0.3">
      <c r="R39" s="214"/>
      <c r="S39" s="2570"/>
      <c r="T39" s="2570"/>
      <c r="U39" s="2569"/>
      <c r="W39" s="214"/>
      <c r="X39" s="545"/>
      <c r="Y39" s="2570"/>
      <c r="Z39" s="2569"/>
      <c r="AB39" s="214"/>
      <c r="AC39" s="545"/>
      <c r="AD39" s="2145"/>
      <c r="AE39" s="2569"/>
      <c r="AG39" s="214"/>
      <c r="AH39" s="545"/>
      <c r="AI39" s="2145"/>
      <c r="AJ39" s="2569"/>
      <c r="AL39" s="214"/>
      <c r="AM39" s="545"/>
      <c r="AN39" s="2145"/>
      <c r="AO39" s="2569"/>
    </row>
    <row r="40" spans="17:41" ht="4.5" customHeight="1" x14ac:dyDescent="0.3">
      <c r="R40" s="1155"/>
      <c r="S40" s="2574"/>
      <c r="T40" s="2574"/>
      <c r="U40" s="2571"/>
      <c r="W40" s="1155"/>
      <c r="X40" s="2573"/>
      <c r="Y40" s="2574"/>
      <c r="Z40" s="2571"/>
      <c r="AB40" s="1155"/>
      <c r="AC40" s="2573"/>
      <c r="AD40" s="2572"/>
      <c r="AE40" s="2571"/>
      <c r="AG40" s="1155"/>
      <c r="AH40" s="2573"/>
      <c r="AI40" s="2572"/>
      <c r="AJ40" s="2571"/>
      <c r="AL40" s="1155"/>
      <c r="AM40" s="2573"/>
      <c r="AN40" s="2572"/>
      <c r="AO40" s="2571"/>
    </row>
    <row r="41" spans="17:41" ht="4.5" customHeight="1" x14ac:dyDescent="0.3">
      <c r="R41" s="214"/>
      <c r="S41" s="2570"/>
      <c r="T41" s="2570"/>
      <c r="U41" s="2569"/>
      <c r="W41" s="214"/>
      <c r="X41" s="545"/>
      <c r="Y41" s="2570"/>
      <c r="Z41" s="2569"/>
      <c r="AB41" s="214"/>
      <c r="AC41" s="545"/>
      <c r="AD41" s="2145"/>
      <c r="AE41" s="2569"/>
      <c r="AG41" s="214"/>
      <c r="AH41" s="545"/>
      <c r="AI41" s="2145"/>
      <c r="AJ41" s="2569"/>
      <c r="AL41" s="214"/>
      <c r="AM41" s="545"/>
      <c r="AN41" s="2145"/>
      <c r="AO41" s="2569"/>
    </row>
    <row r="42" spans="17:41" ht="16.2" thickBot="1" x14ac:dyDescent="0.35">
      <c r="R42" s="224" t="s">
        <v>1286</v>
      </c>
      <c r="S42" s="1833">
        <v>90.02</v>
      </c>
      <c r="T42" s="1833">
        <v>19.46</v>
      </c>
      <c r="U42" s="2566">
        <f>S42/T42-1</f>
        <v>3.6258992805755392</v>
      </c>
      <c r="W42" s="224" t="s">
        <v>1286</v>
      </c>
      <c r="X42" s="2567">
        <v>1108.77</v>
      </c>
      <c r="Y42" s="1833">
        <v>90.02</v>
      </c>
      <c r="Z42" s="2566">
        <f>X42/Y42-1</f>
        <v>11.3169295712064</v>
      </c>
      <c r="AB42" s="214" t="s">
        <v>1286</v>
      </c>
      <c r="AC42" s="2145">
        <v>10083</v>
      </c>
      <c r="AD42" s="2145">
        <v>1108.77</v>
      </c>
      <c r="AE42" s="2568">
        <f>AC42/AD42-1</f>
        <v>8.0938607646310778</v>
      </c>
      <c r="AG42" s="224" t="s">
        <v>1286</v>
      </c>
      <c r="AH42" s="2567">
        <v>55824</v>
      </c>
      <c r="AI42" s="2567">
        <v>10083</v>
      </c>
      <c r="AJ42" s="2566">
        <f>AH42/AI42-1</f>
        <v>4.536447485867301</v>
      </c>
      <c r="AL42" s="224" t="s">
        <v>1286</v>
      </c>
      <c r="AM42" s="2567">
        <v>146186</v>
      </c>
      <c r="AN42" s="2567">
        <v>55824</v>
      </c>
      <c r="AO42" s="2566">
        <f>AM42/AN42-1</f>
        <v>1.6186944683290343</v>
      </c>
    </row>
    <row r="43" spans="17:41" ht="8.25" customHeight="1" x14ac:dyDescent="0.3">
      <c r="R43" s="2909" t="s">
        <v>3296</v>
      </c>
      <c r="S43" s="2909"/>
      <c r="T43" s="2909"/>
      <c r="U43" s="2909"/>
      <c r="W43" s="2811" t="s">
        <v>3295</v>
      </c>
      <c r="X43" s="2811"/>
      <c r="Y43" s="2811"/>
      <c r="Z43" s="2811"/>
      <c r="AB43" s="214"/>
      <c r="AE43" s="223"/>
      <c r="AG43" s="2811" t="s">
        <v>3294</v>
      </c>
      <c r="AH43" s="2811"/>
      <c r="AI43" s="2811"/>
      <c r="AJ43" s="2811"/>
      <c r="AL43" s="2811" t="s">
        <v>3293</v>
      </c>
      <c r="AM43" s="2811"/>
      <c r="AN43" s="2811"/>
      <c r="AO43" s="2811"/>
    </row>
    <row r="44" spans="17:41" ht="24" customHeight="1" x14ac:dyDescent="0.3">
      <c r="R44" s="2957"/>
      <c r="S44" s="2957"/>
      <c r="T44" s="2957"/>
      <c r="U44" s="2957"/>
      <c r="W44" s="2805"/>
      <c r="X44" s="2805"/>
      <c r="Y44" s="2805"/>
      <c r="Z44" s="2805"/>
      <c r="AB44" s="2799" t="s">
        <v>3292</v>
      </c>
      <c r="AC44" s="2827"/>
      <c r="AD44" s="2827"/>
      <c r="AE44" s="2801"/>
      <c r="AG44" s="2805"/>
      <c r="AH44" s="2805"/>
      <c r="AI44" s="2805"/>
      <c r="AJ44" s="2805"/>
      <c r="AL44" s="2805"/>
      <c r="AM44" s="2805"/>
      <c r="AN44" s="2805"/>
      <c r="AO44" s="2805"/>
    </row>
    <row r="45" spans="17:41" ht="7.5" customHeight="1" thickBot="1" x14ac:dyDescent="0.35">
      <c r="Q45" s="211" t="s">
        <v>176</v>
      </c>
      <c r="AB45" s="2802"/>
      <c r="AC45" s="2803"/>
      <c r="AD45" s="2803"/>
      <c r="AE45" s="2804"/>
    </row>
    <row r="46" spans="17:41" x14ac:dyDescent="0.3">
      <c r="W46" s="211" t="s">
        <v>176</v>
      </c>
      <c r="AB46" s="2805" t="s">
        <v>3291</v>
      </c>
      <c r="AC46" s="2805"/>
      <c r="AD46" s="2805"/>
      <c r="AE46" s="2805"/>
    </row>
    <row r="47" spans="17:41" x14ac:dyDescent="0.3">
      <c r="W47" s="211" t="s">
        <v>176</v>
      </c>
      <c r="AB47" s="2805"/>
      <c r="AC47" s="2805"/>
      <c r="AD47" s="2805"/>
      <c r="AE47" s="2805"/>
    </row>
    <row r="52" spans="18:19" x14ac:dyDescent="0.3">
      <c r="R52" s="211" t="s">
        <v>1286</v>
      </c>
    </row>
    <row r="53" spans="18:19" x14ac:dyDescent="0.3">
      <c r="R53" s="211">
        <v>1964</v>
      </c>
      <c r="S53" s="1329">
        <f>T42</f>
        <v>19.46</v>
      </c>
    </row>
    <row r="54" spans="18:19" x14ac:dyDescent="0.3">
      <c r="R54" s="211">
        <v>1974</v>
      </c>
      <c r="S54" s="2145">
        <f>Y42</f>
        <v>90.02</v>
      </c>
    </row>
    <row r="55" spans="18:19" x14ac:dyDescent="0.3">
      <c r="R55" s="211">
        <v>1984</v>
      </c>
      <c r="S55" s="2145">
        <f>AD42</f>
        <v>1108.77</v>
      </c>
    </row>
    <row r="56" spans="18:19" x14ac:dyDescent="0.3">
      <c r="R56" s="211">
        <v>1994</v>
      </c>
      <c r="S56" s="2145">
        <f>AI42</f>
        <v>10083</v>
      </c>
    </row>
    <row r="57" spans="18:19" x14ac:dyDescent="0.3">
      <c r="R57" s="211">
        <v>2004</v>
      </c>
      <c r="S57" s="2145">
        <f>AN42</f>
        <v>55824</v>
      </c>
    </row>
    <row r="58" spans="18:19" x14ac:dyDescent="0.3">
      <c r="R58" s="211">
        <v>2014</v>
      </c>
      <c r="S58" s="2145">
        <f>AM42</f>
        <v>146186</v>
      </c>
    </row>
  </sheetData>
  <mergeCells count="6">
    <mergeCell ref="AL43:AO44"/>
    <mergeCell ref="AB46:AE47"/>
    <mergeCell ref="AB44:AE45"/>
    <mergeCell ref="R43:U44"/>
    <mergeCell ref="W43:Z44"/>
    <mergeCell ref="AG43:AJ44"/>
  </mergeCells>
  <pageMargins left="0.7" right="0.7" top="0.75" bottom="0.75" header="0.3" footer="0.3"/>
  <pageSetup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B6E4-73F6-4684-BE6D-82FA04E57F5B}">
  <sheetPr>
    <tabColor theme="9" tint="0.39997558519241921"/>
  </sheetPr>
  <dimension ref="A1:I48"/>
  <sheetViews>
    <sheetView showGridLines="0" topLeftCell="A7" zoomScale="85" zoomScaleNormal="85" workbookViewId="0">
      <selection activeCell="H12" sqref="H12"/>
    </sheetView>
  </sheetViews>
  <sheetFormatPr defaultColWidth="9.109375" defaultRowHeight="15.6" outlineLevelRow="1" x14ac:dyDescent="0.3"/>
  <cols>
    <col min="1" max="1" width="37" style="211" customWidth="1"/>
    <col min="2" max="2" width="20.109375" style="211" customWidth="1"/>
    <col min="3" max="7" width="8.5546875" style="211" customWidth="1"/>
    <col min="8" max="16384" width="9.109375" style="211"/>
  </cols>
  <sheetData>
    <row r="1" spans="1:7" x14ac:dyDescent="0.3">
      <c r="A1" s="459" t="s">
        <v>2185</v>
      </c>
      <c r="B1" s="459"/>
    </row>
    <row r="2" spans="1:7" x14ac:dyDescent="0.3">
      <c r="A2" s="152" t="s">
        <v>3338</v>
      </c>
      <c r="B2" s="152"/>
    </row>
    <row r="3" spans="1:7" ht="8.25" customHeight="1" thickBot="1" x14ac:dyDescent="0.35"/>
    <row r="4" spans="1:7" x14ac:dyDescent="0.3">
      <c r="A4" s="212" t="s">
        <v>3337</v>
      </c>
      <c r="B4" s="1776"/>
      <c r="C4" s="501">
        <v>1974</v>
      </c>
      <c r="D4" s="501">
        <v>1984</v>
      </c>
      <c r="E4" s="501">
        <v>1994</v>
      </c>
      <c r="F4" s="501">
        <v>2004</v>
      </c>
      <c r="G4" s="502">
        <v>2014</v>
      </c>
    </row>
    <row r="5" spans="1:7" ht="8.25" customHeight="1" x14ac:dyDescent="0.3">
      <c r="A5" s="221"/>
      <c r="B5" s="320"/>
      <c r="C5" s="884"/>
      <c r="D5" s="884"/>
      <c r="E5" s="884"/>
      <c r="F5" s="884"/>
      <c r="G5" s="2586"/>
    </row>
    <row r="6" spans="1:7" x14ac:dyDescent="0.3">
      <c r="A6" s="221" t="s">
        <v>3336</v>
      </c>
      <c r="B6" s="320"/>
      <c r="C6" s="884"/>
      <c r="D6" s="884"/>
      <c r="E6" s="884"/>
      <c r="F6" s="884"/>
      <c r="G6" s="2586"/>
    </row>
    <row r="7" spans="1:7" ht="18.600000000000001" x14ac:dyDescent="0.3">
      <c r="A7" s="214" t="s">
        <v>3335</v>
      </c>
      <c r="C7" s="508">
        <v>0.23</v>
      </c>
      <c r="D7" s="508">
        <v>0.31</v>
      </c>
      <c r="E7" s="508">
        <f>5150/15236</f>
        <v>0.33801522709372539</v>
      </c>
      <c r="F7" s="508">
        <f>8546/37717</f>
        <v>0.22658217779781001</v>
      </c>
      <c r="G7" s="216">
        <f>26504/117470</f>
        <v>0.22562356346301182</v>
      </c>
    </row>
    <row r="8" spans="1:7" x14ac:dyDescent="0.3">
      <c r="A8" s="214" t="s">
        <v>3334</v>
      </c>
      <c r="C8" s="508">
        <v>0.47</v>
      </c>
      <c r="D8" s="508">
        <v>0.75</v>
      </c>
      <c r="E8" s="508">
        <v>0.56999999999999995</v>
      </c>
      <c r="F8" s="508">
        <v>0.65</v>
      </c>
      <c r="G8" s="216">
        <v>0.59</v>
      </c>
    </row>
    <row r="9" spans="1:7" s="309" customFormat="1" hidden="1" outlineLevel="1" x14ac:dyDescent="0.3">
      <c r="A9" s="305" t="s">
        <v>1888</v>
      </c>
      <c r="C9" s="2369">
        <v>84.677000000000007</v>
      </c>
      <c r="D9" s="2369">
        <v>1195.4770000000001</v>
      </c>
      <c r="E9" s="2369">
        <v>11151.628000000001</v>
      </c>
      <c r="F9" s="2369">
        <v>81748</v>
      </c>
      <c r="G9" s="2585">
        <v>231030</v>
      </c>
    </row>
    <row r="10" spans="1:7" s="309" customFormat="1" hidden="1" outlineLevel="1" x14ac:dyDescent="0.3">
      <c r="A10" s="305" t="s">
        <v>3333</v>
      </c>
      <c r="C10" s="2369">
        <f>8+3.151+2.772+2.592</f>
        <v>16.515000000000001</v>
      </c>
      <c r="D10" s="2369">
        <f>397.3+226.137+175.307+149.955</f>
        <v>948.69900000000007</v>
      </c>
      <c r="E10" s="2369">
        <f>5150+1797+985+819</f>
        <v>8751</v>
      </c>
      <c r="F10" s="2369">
        <f>8546+8328+4299+3508</f>
        <v>24681</v>
      </c>
      <c r="G10" s="2585">
        <f>26504+16888+14106+12349</f>
        <v>69847</v>
      </c>
    </row>
    <row r="11" spans="1:7" collapsed="1" x14ac:dyDescent="0.3">
      <c r="A11" s="214" t="s">
        <v>3332</v>
      </c>
      <c r="C11" s="508">
        <f>C10/C9</f>
        <v>0.1950352516031508</v>
      </c>
      <c r="D11" s="508">
        <f>D10/D9</f>
        <v>0.79357361120289227</v>
      </c>
      <c r="E11" s="508">
        <f>E10/E9</f>
        <v>0.78472847193252859</v>
      </c>
      <c r="F11" s="508">
        <f>F10/F9</f>
        <v>0.30191564319616382</v>
      </c>
      <c r="G11" s="216">
        <f>G10/G9</f>
        <v>0.30232870190018613</v>
      </c>
    </row>
    <row r="12" spans="1:7" ht="4.5" customHeight="1" x14ac:dyDescent="0.3">
      <c r="A12" s="214"/>
      <c r="G12" s="223"/>
    </row>
    <row r="13" spans="1:7" ht="4.5" customHeight="1" x14ac:dyDescent="0.3">
      <c r="A13" s="1155"/>
      <c r="B13" s="597"/>
      <c r="C13" s="597"/>
      <c r="D13" s="597"/>
      <c r="E13" s="597"/>
      <c r="F13" s="597"/>
      <c r="G13" s="1279"/>
    </row>
    <row r="14" spans="1:7" ht="4.5" customHeight="1" x14ac:dyDescent="0.3">
      <c r="A14" s="214"/>
      <c r="G14" s="223"/>
    </row>
    <row r="15" spans="1:7" x14ac:dyDescent="0.3">
      <c r="A15" s="221" t="s">
        <v>3331</v>
      </c>
      <c r="B15" s="320"/>
      <c r="G15" s="223"/>
    </row>
    <row r="16" spans="1:7" ht="18.75" customHeight="1" x14ac:dyDescent="0.3">
      <c r="A16" s="2582" t="s">
        <v>3330</v>
      </c>
      <c r="B16" s="2584"/>
      <c r="C16" s="2583">
        <f>17.7/40.062</f>
        <v>0.4418151864609855</v>
      </c>
      <c r="D16" s="2583"/>
      <c r="E16" s="2583"/>
      <c r="F16" s="2583"/>
      <c r="G16" s="2581"/>
    </row>
    <row r="17" spans="1:9" ht="18.75" customHeight="1" x14ac:dyDescent="0.3">
      <c r="A17" s="2582" t="s">
        <v>3329</v>
      </c>
      <c r="B17" s="2584"/>
      <c r="C17" s="2583">
        <f>8.6/30.519</f>
        <v>0.28179167076247585</v>
      </c>
      <c r="D17" s="2583"/>
      <c r="E17" s="2583"/>
      <c r="F17" s="2583"/>
      <c r="G17" s="2581"/>
    </row>
    <row r="18" spans="1:9" ht="18.75" customHeight="1" x14ac:dyDescent="0.3">
      <c r="A18" s="214" t="s">
        <v>3328</v>
      </c>
      <c r="B18" s="2965"/>
      <c r="C18" s="2965"/>
      <c r="D18" s="508">
        <v>0.15</v>
      </c>
      <c r="E18" s="508"/>
      <c r="F18" s="508"/>
      <c r="G18" s="216"/>
    </row>
    <row r="19" spans="1:9" ht="18.75" customHeight="1" x14ac:dyDescent="0.3">
      <c r="A19" s="214" t="s">
        <v>3327</v>
      </c>
      <c r="B19" s="2965"/>
      <c r="C19" s="2965"/>
      <c r="D19" s="508">
        <f>55.4/923.338</f>
        <v>5.9999696752435189E-2</v>
      </c>
      <c r="E19" s="508"/>
      <c r="F19" s="508"/>
      <c r="G19" s="216"/>
    </row>
    <row r="20" spans="1:9" ht="18.75" customHeight="1" x14ac:dyDescent="0.3">
      <c r="A20" s="2582" t="s">
        <v>3326</v>
      </c>
      <c r="B20" s="2966"/>
      <c r="C20" s="2966"/>
      <c r="D20" s="2966"/>
      <c r="E20" s="2583">
        <f>410/2131.564</f>
        <v>0.19234702781619506</v>
      </c>
      <c r="F20" s="2583"/>
      <c r="G20" s="2581"/>
    </row>
    <row r="21" spans="1:9" ht="18.75" customHeight="1" x14ac:dyDescent="0.3">
      <c r="A21" s="2582" t="s">
        <v>3325</v>
      </c>
      <c r="B21" s="2966"/>
      <c r="C21" s="2966"/>
      <c r="D21" s="2966"/>
      <c r="E21" s="2583">
        <f>433/9662.363</f>
        <v>4.4813054529207814E-2</v>
      </c>
      <c r="F21" s="2583"/>
      <c r="G21" s="2581"/>
    </row>
    <row r="22" spans="1:9" ht="18.75" customHeight="1" x14ac:dyDescent="0.3">
      <c r="A22" s="214" t="s">
        <v>3324</v>
      </c>
      <c r="B22" s="2965"/>
      <c r="C22" s="2965"/>
      <c r="D22" s="2965"/>
      <c r="E22" s="2965"/>
      <c r="F22" s="508">
        <f>272000/1518548</f>
        <v>0.17911847369987646</v>
      </c>
      <c r="G22" s="216"/>
    </row>
    <row r="23" spans="1:9" ht="18.75" customHeight="1" x14ac:dyDescent="0.3">
      <c r="A23" s="214" t="s">
        <v>3323</v>
      </c>
      <c r="B23" s="2965"/>
      <c r="C23" s="2965"/>
      <c r="D23" s="2965"/>
      <c r="E23" s="2965"/>
      <c r="F23" s="508">
        <f>2.33/20.083</f>
        <v>0.1160185231290146</v>
      </c>
      <c r="G23" s="216"/>
    </row>
    <row r="24" spans="1:9" ht="18.75" customHeight="1" x14ac:dyDescent="0.3">
      <c r="A24" s="2582" t="s">
        <v>3322</v>
      </c>
      <c r="B24" s="2966"/>
      <c r="C24" s="2966"/>
      <c r="D24" s="2966"/>
      <c r="E24" s="2966"/>
      <c r="F24" s="2966"/>
      <c r="G24" s="2581">
        <f>26.5/144.21</f>
        <v>0.18375979474377643</v>
      </c>
    </row>
    <row r="25" spans="1:9" ht="18.75" customHeight="1" x14ac:dyDescent="0.3">
      <c r="A25" s="2582" t="s">
        <v>3321</v>
      </c>
      <c r="B25" s="2966"/>
      <c r="C25" s="2966"/>
      <c r="D25" s="2966"/>
      <c r="E25" s="2966"/>
      <c r="F25" s="2966"/>
      <c r="G25" s="2581">
        <f>12.25/204.769</f>
        <v>5.9823508441219128E-2</v>
      </c>
    </row>
    <row r="26" spans="1:9" ht="7.5" customHeight="1" x14ac:dyDescent="0.3">
      <c r="A26" s="214"/>
      <c r="G26" s="223"/>
      <c r="I26" s="211" t="s">
        <v>176</v>
      </c>
    </row>
    <row r="27" spans="1:9" s="1" customFormat="1" ht="13.8" x14ac:dyDescent="0.25">
      <c r="A27" s="6" t="s">
        <v>1398</v>
      </c>
      <c r="G27" s="8"/>
    </row>
    <row r="28" spans="1:9" s="1" customFormat="1" ht="13.8" x14ac:dyDescent="0.25">
      <c r="A28" s="6" t="s">
        <v>3320</v>
      </c>
      <c r="G28" s="8"/>
    </row>
    <row r="29" spans="1:9" s="1" customFormat="1" ht="30" customHeight="1" x14ac:dyDescent="0.25">
      <c r="A29" s="2799" t="s">
        <v>3319</v>
      </c>
      <c r="B29" s="2827"/>
      <c r="C29" s="2827"/>
      <c r="D29" s="2827"/>
      <c r="E29" s="2827"/>
      <c r="F29" s="2827"/>
      <c r="G29" s="2801"/>
    </row>
    <row r="30" spans="1:9" s="1" customFormat="1" ht="30" customHeight="1" x14ac:dyDescent="0.25">
      <c r="A30" s="2799" t="s">
        <v>3318</v>
      </c>
      <c r="B30" s="2827"/>
      <c r="C30" s="2827"/>
      <c r="D30" s="2827"/>
      <c r="E30" s="2827"/>
      <c r="F30" s="2827"/>
      <c r="G30" s="2801"/>
    </row>
    <row r="31" spans="1:9" s="1" customFormat="1" ht="13.8" x14ac:dyDescent="0.25">
      <c r="A31" s="6" t="s">
        <v>3317</v>
      </c>
      <c r="G31" s="8"/>
    </row>
    <row r="32" spans="1:9" s="1" customFormat="1" ht="13.8" x14ac:dyDescent="0.25">
      <c r="A32" s="6" t="s">
        <v>3316</v>
      </c>
      <c r="G32" s="8"/>
    </row>
    <row r="33" spans="1:7" s="1" customFormat="1" ht="14.4" thickBot="1" x14ac:dyDescent="0.3">
      <c r="A33" s="9" t="s">
        <v>3315</v>
      </c>
      <c r="B33" s="25"/>
      <c r="C33" s="25"/>
      <c r="D33" s="25"/>
      <c r="E33" s="25"/>
      <c r="F33" s="25"/>
      <c r="G33" s="26"/>
    </row>
    <row r="34" spans="1:7" s="1" customFormat="1" ht="13.8" x14ac:dyDescent="0.25">
      <c r="A34" s="12" t="s">
        <v>3314</v>
      </c>
      <c r="B34" s="12"/>
    </row>
    <row r="35" spans="1:7" s="1" customFormat="1" ht="14.4" thickBot="1" x14ac:dyDescent="0.3"/>
    <row r="36" spans="1:7" x14ac:dyDescent="0.3">
      <c r="A36" s="453" t="s">
        <v>3313</v>
      </c>
      <c r="B36" s="2960">
        <v>62232</v>
      </c>
      <c r="C36" s="2961"/>
    </row>
    <row r="37" spans="1:7" x14ac:dyDescent="0.3">
      <c r="A37" s="214" t="s">
        <v>3312</v>
      </c>
      <c r="B37" s="2962">
        <f>(5026+796+37474+5039+862+40480)/2</f>
        <v>44838.5</v>
      </c>
      <c r="C37" s="2963"/>
    </row>
    <row r="38" spans="1:7" x14ac:dyDescent="0.3">
      <c r="A38" s="214" t="s">
        <v>3305</v>
      </c>
      <c r="B38" s="2962">
        <f>B36+B37</f>
        <v>107070.5</v>
      </c>
      <c r="C38" s="2963"/>
    </row>
    <row r="39" spans="1:7" x14ac:dyDescent="0.3">
      <c r="A39" s="214"/>
      <c r="C39" s="223"/>
    </row>
    <row r="40" spans="1:7" ht="16.2" thickBot="1" x14ac:dyDescent="0.35">
      <c r="A40" s="224" t="s">
        <v>3311</v>
      </c>
      <c r="B40" s="218"/>
      <c r="C40" s="2002">
        <f>24.7/107.071</f>
        <v>0.23068804811760421</v>
      </c>
    </row>
    <row r="43" spans="1:7" x14ac:dyDescent="0.3">
      <c r="A43" s="211" t="s">
        <v>3310</v>
      </c>
      <c r="B43" s="2958">
        <v>134929</v>
      </c>
      <c r="C43" s="2958"/>
      <c r="D43" s="211" t="s">
        <v>3309</v>
      </c>
    </row>
    <row r="44" spans="1:7" x14ac:dyDescent="0.3">
      <c r="A44" s="211" t="s">
        <v>3308</v>
      </c>
      <c r="B44" s="2958">
        <f>(99251+85988)/2</f>
        <v>92619.5</v>
      </c>
      <c r="C44" s="2958"/>
    </row>
    <row r="45" spans="1:7" x14ac:dyDescent="0.3">
      <c r="A45" s="211" t="s">
        <v>3307</v>
      </c>
      <c r="B45" s="2964">
        <f>23973.63-12641.809</f>
        <v>11331.821000000002</v>
      </c>
      <c r="C45" s="2964"/>
      <c r="E45" s="211" t="s">
        <v>3306</v>
      </c>
    </row>
    <row r="46" spans="1:7" x14ac:dyDescent="0.3">
      <c r="A46" s="211" t="s">
        <v>3305</v>
      </c>
      <c r="B46" s="2959">
        <f>B43+B44+B45</f>
        <v>238880.321</v>
      </c>
      <c r="C46" s="2959"/>
    </row>
    <row r="48" spans="1:7" x14ac:dyDescent="0.3">
      <c r="A48" s="211" t="s">
        <v>3304</v>
      </c>
      <c r="C48" s="227">
        <f>34.679/B46*1000</f>
        <v>0.14517311369486982</v>
      </c>
    </row>
  </sheetData>
  <mergeCells count="17">
    <mergeCell ref="A30:G30"/>
    <mergeCell ref="B18:C18"/>
    <mergeCell ref="B19:C19"/>
    <mergeCell ref="B20:D20"/>
    <mergeCell ref="B21:D21"/>
    <mergeCell ref="B22:E22"/>
    <mergeCell ref="B23:E23"/>
    <mergeCell ref="B24:F24"/>
    <mergeCell ref="B25:F25"/>
    <mergeCell ref="A29:G29"/>
    <mergeCell ref="B43:C43"/>
    <mergeCell ref="B44:C44"/>
    <mergeCell ref="B46:C46"/>
    <mergeCell ref="B36:C36"/>
    <mergeCell ref="B37:C37"/>
    <mergeCell ref="B38:C38"/>
    <mergeCell ref="B45:C45"/>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A5B3F-3896-4BF5-AB9F-6C48A2DFE4D3}">
  <sheetPr>
    <tabColor theme="9" tint="0.39997558519241921"/>
  </sheetPr>
  <dimension ref="A1:H23"/>
  <sheetViews>
    <sheetView zoomScale="85" zoomScaleNormal="85" workbookViewId="0">
      <selection activeCell="H28" sqref="H28"/>
    </sheetView>
  </sheetViews>
  <sheetFormatPr defaultColWidth="9.109375" defaultRowHeight="15.6" x14ac:dyDescent="0.3"/>
  <cols>
    <col min="1" max="2" width="27" style="211" customWidth="1"/>
    <col min="3" max="3" width="9.109375" style="211"/>
    <col min="4" max="4" width="21.5546875" style="211" customWidth="1"/>
    <col min="5" max="5" width="19.44140625" style="211" bestFit="1" customWidth="1"/>
    <col min="6" max="6" width="23.33203125" style="211" bestFit="1" customWidth="1"/>
    <col min="7" max="16384" width="9.109375" style="211"/>
  </cols>
  <sheetData>
    <row r="1" spans="1:8" x14ac:dyDescent="0.3">
      <c r="C1" s="211" t="s">
        <v>3358</v>
      </c>
    </row>
    <row r="2" spans="1:8" x14ac:dyDescent="0.3">
      <c r="B2" s="211" t="s">
        <v>3357</v>
      </c>
      <c r="C2" s="211" t="s">
        <v>3356</v>
      </c>
      <c r="D2" s="211" t="s">
        <v>3355</v>
      </c>
      <c r="E2" s="211" t="s">
        <v>3354</v>
      </c>
      <c r="F2" s="211" t="s">
        <v>3353</v>
      </c>
    </row>
    <row r="3" spans="1:8" x14ac:dyDescent="0.3">
      <c r="A3" s="597" t="s">
        <v>3352</v>
      </c>
      <c r="B3" s="597">
        <v>2013</v>
      </c>
      <c r="C3" s="597">
        <v>2014</v>
      </c>
      <c r="D3" s="607">
        <v>8.5000000000000006E-2</v>
      </c>
      <c r="E3" s="607">
        <v>7.0000000000000007E-2</v>
      </c>
      <c r="F3" s="2588">
        <f t="shared" ref="F3:F20" si="0">D3/E3</f>
        <v>1.2142857142857142</v>
      </c>
      <c r="H3" s="211" t="s">
        <v>3351</v>
      </c>
    </row>
    <row r="4" spans="1:8" x14ac:dyDescent="0.3">
      <c r="A4" s="597" t="s">
        <v>3350</v>
      </c>
      <c r="B4" s="597">
        <v>2013</v>
      </c>
      <c r="C4" s="597">
        <v>2014</v>
      </c>
      <c r="D4" s="607">
        <v>0.45500000000000002</v>
      </c>
      <c r="E4" s="607">
        <v>7.3999999999999996E-2</v>
      </c>
      <c r="F4" s="2588">
        <f t="shared" si="0"/>
        <v>6.1486486486486491</v>
      </c>
    </row>
    <row r="5" spans="1:8" x14ac:dyDescent="0.3">
      <c r="A5" s="597" t="s">
        <v>3349</v>
      </c>
      <c r="B5" s="597">
        <v>2000</v>
      </c>
      <c r="C5" s="597">
        <v>2004</v>
      </c>
      <c r="D5" s="607">
        <v>0.13400000000000001</v>
      </c>
      <c r="E5" s="607">
        <v>7.5999999999999998E-2</v>
      </c>
      <c r="F5" s="2588">
        <f t="shared" si="0"/>
        <v>1.7631578947368423</v>
      </c>
    </row>
    <row r="6" spans="1:8" x14ac:dyDescent="0.3">
      <c r="A6" s="597" t="s">
        <v>3239</v>
      </c>
      <c r="B6" s="597">
        <v>2011</v>
      </c>
      <c r="C6" s="597">
        <v>2014</v>
      </c>
      <c r="D6" s="607">
        <v>0.45</v>
      </c>
      <c r="E6" s="607">
        <v>8.1000000000000003E-2</v>
      </c>
      <c r="F6" s="2588">
        <f t="shared" si="0"/>
        <v>5.5555555555555554</v>
      </c>
    </row>
    <row r="7" spans="1:8" x14ac:dyDescent="0.3">
      <c r="A7" s="597" t="s">
        <v>3084</v>
      </c>
      <c r="B7" s="597">
        <v>1996</v>
      </c>
      <c r="C7" s="597">
        <v>2004</v>
      </c>
      <c r="D7" s="607">
        <v>0.27300000000000002</v>
      </c>
      <c r="E7" s="607">
        <v>8.6999999999999994E-2</v>
      </c>
      <c r="F7" s="2588">
        <f t="shared" si="0"/>
        <v>3.1379310344827589</v>
      </c>
    </row>
    <row r="8" spans="1:8" x14ac:dyDescent="0.3">
      <c r="A8" s="597" t="s">
        <v>3348</v>
      </c>
      <c r="B8" s="597">
        <v>2010</v>
      </c>
      <c r="C8" s="597">
        <v>2014</v>
      </c>
      <c r="D8" s="607">
        <v>0.14899999999999999</v>
      </c>
      <c r="E8" s="607">
        <v>0.09</v>
      </c>
      <c r="F8" s="2588">
        <f t="shared" si="0"/>
        <v>1.6555555555555554</v>
      </c>
    </row>
    <row r="9" spans="1:8" x14ac:dyDescent="0.3">
      <c r="A9" s="597" t="s">
        <v>3347</v>
      </c>
      <c r="B9" s="597">
        <v>1998</v>
      </c>
      <c r="C9" s="597">
        <v>2004</v>
      </c>
      <c r="D9" s="607">
        <v>0.32100000000000001</v>
      </c>
      <c r="E9" s="607">
        <v>9.2999999999999999E-2</v>
      </c>
      <c r="F9" s="2588">
        <f t="shared" si="0"/>
        <v>3.4516129032258065</v>
      </c>
    </row>
    <row r="10" spans="1:8" x14ac:dyDescent="0.3">
      <c r="A10" s="211" t="s">
        <v>3204</v>
      </c>
      <c r="B10" s="211">
        <v>2003</v>
      </c>
      <c r="C10" s="211">
        <v>2004</v>
      </c>
      <c r="D10" s="1572">
        <v>0.152</v>
      </c>
      <c r="E10" s="1572">
        <v>0.112</v>
      </c>
      <c r="F10" s="2587">
        <f t="shared" si="0"/>
        <v>1.357142857142857</v>
      </c>
    </row>
    <row r="11" spans="1:8" x14ac:dyDescent="0.3">
      <c r="A11" s="211" t="s">
        <v>3346</v>
      </c>
      <c r="B11" s="211">
        <v>1983</v>
      </c>
      <c r="C11" s="211">
        <v>1984</v>
      </c>
      <c r="D11" s="1572">
        <v>0.2</v>
      </c>
      <c r="E11" s="1572">
        <v>0.114</v>
      </c>
      <c r="F11" s="2587">
        <f t="shared" si="0"/>
        <v>1.7543859649122808</v>
      </c>
    </row>
    <row r="12" spans="1:8" x14ac:dyDescent="0.3">
      <c r="A12" s="211" t="s">
        <v>3345</v>
      </c>
      <c r="B12" s="211">
        <v>2000</v>
      </c>
      <c r="C12" s="211">
        <v>2004</v>
      </c>
      <c r="D12" s="1572">
        <v>0.31</v>
      </c>
      <c r="E12" s="1572">
        <v>0.114</v>
      </c>
      <c r="F12" s="2587">
        <f t="shared" si="0"/>
        <v>2.7192982456140351</v>
      </c>
    </row>
    <row r="13" spans="1:8" x14ac:dyDescent="0.3">
      <c r="A13" s="211" t="s">
        <v>3344</v>
      </c>
      <c r="B13" s="211">
        <v>2001</v>
      </c>
      <c r="C13" s="211">
        <v>2004</v>
      </c>
      <c r="D13" s="1572">
        <v>0.14000000000000001</v>
      </c>
      <c r="E13" s="1572">
        <v>0.12</v>
      </c>
      <c r="F13" s="2587">
        <f t="shared" si="0"/>
        <v>1.1666666666666667</v>
      </c>
    </row>
    <row r="14" spans="1:8" x14ac:dyDescent="0.3">
      <c r="A14" s="211" t="s">
        <v>2219</v>
      </c>
      <c r="B14" s="211">
        <v>2008</v>
      </c>
      <c r="C14" s="211">
        <v>2014</v>
      </c>
      <c r="D14" s="1572">
        <v>0.17599999999999999</v>
      </c>
      <c r="E14" s="1572">
        <v>0.13200000000000001</v>
      </c>
      <c r="F14" s="2587">
        <f t="shared" si="0"/>
        <v>1.3333333333333333</v>
      </c>
    </row>
    <row r="15" spans="1:8" x14ac:dyDescent="0.3">
      <c r="A15" s="211" t="s">
        <v>2222</v>
      </c>
      <c r="B15" s="211">
        <v>2001</v>
      </c>
      <c r="C15" s="211">
        <v>2004</v>
      </c>
      <c r="D15" s="1572">
        <v>0.35599999999999998</v>
      </c>
      <c r="E15" s="1572">
        <v>0.14599999999999999</v>
      </c>
      <c r="F15" s="2587">
        <f t="shared" si="0"/>
        <v>2.4383561643835616</v>
      </c>
    </row>
    <row r="16" spans="1:8" x14ac:dyDescent="0.3">
      <c r="A16" s="597" t="s">
        <v>3343</v>
      </c>
      <c r="B16" s="597">
        <v>2001</v>
      </c>
      <c r="C16" s="597">
        <v>2004</v>
      </c>
      <c r="D16" s="607">
        <v>0.33200000000000002</v>
      </c>
      <c r="E16" s="607">
        <v>0.16</v>
      </c>
      <c r="F16" s="2588">
        <f t="shared" si="0"/>
        <v>2.0750000000000002</v>
      </c>
    </row>
    <row r="17" spans="1:6" x14ac:dyDescent="0.3">
      <c r="A17" s="597" t="s">
        <v>3342</v>
      </c>
      <c r="B17" s="597">
        <v>1969</v>
      </c>
      <c r="C17" s="597">
        <v>1974</v>
      </c>
      <c r="D17" s="2589">
        <v>0.17699999999999999</v>
      </c>
      <c r="E17" s="2589">
        <v>0.16900000000000001</v>
      </c>
      <c r="F17" s="2588">
        <f t="shared" si="0"/>
        <v>1.0473372781065087</v>
      </c>
    </row>
    <row r="18" spans="1:6" x14ac:dyDescent="0.3">
      <c r="A18" s="597" t="s">
        <v>3341</v>
      </c>
      <c r="B18" s="597">
        <v>1972</v>
      </c>
      <c r="C18" s="597">
        <v>1974</v>
      </c>
      <c r="D18" s="607">
        <v>0.52500000000000002</v>
      </c>
      <c r="E18" s="607">
        <v>0.17</v>
      </c>
      <c r="F18" s="2588">
        <f t="shared" si="0"/>
        <v>3.0882352941176472</v>
      </c>
    </row>
    <row r="19" spans="1:6" x14ac:dyDescent="0.3">
      <c r="A19" s="211" t="s">
        <v>3340</v>
      </c>
      <c r="B19" s="211">
        <v>1986</v>
      </c>
      <c r="C19" s="211">
        <v>1994</v>
      </c>
      <c r="D19" s="1572">
        <v>0.33800000000000002</v>
      </c>
      <c r="E19" s="1572">
        <v>0.251</v>
      </c>
      <c r="F19" s="2587">
        <f t="shared" si="0"/>
        <v>1.3466135458167332</v>
      </c>
    </row>
    <row r="20" spans="1:6" x14ac:dyDescent="0.3">
      <c r="A20" s="211" t="s">
        <v>3339</v>
      </c>
      <c r="B20" s="211">
        <v>1986</v>
      </c>
      <c r="C20" s="211">
        <v>1994</v>
      </c>
      <c r="D20" s="1572">
        <v>0.54</v>
      </c>
      <c r="E20" s="1572">
        <v>0.26</v>
      </c>
      <c r="F20" s="2587">
        <f t="shared" si="0"/>
        <v>2.0769230769230771</v>
      </c>
    </row>
    <row r="21" spans="1:6" x14ac:dyDescent="0.3">
      <c r="D21" s="227"/>
      <c r="E21" s="227"/>
      <c r="F21" s="227"/>
    </row>
    <row r="22" spans="1:6" x14ac:dyDescent="0.3">
      <c r="D22" s="227"/>
      <c r="E22" s="227"/>
      <c r="F22" s="227"/>
    </row>
    <row r="23" spans="1:6" x14ac:dyDescent="0.3">
      <c r="D23" s="227"/>
      <c r="E23" s="227"/>
      <c r="F23" s="227"/>
    </row>
  </sheetData>
  <autoFilter ref="A2:F19" xr:uid="{624126AB-5191-4846-AF89-BCCA03A24F72}">
    <sortState xmlns:xlrd2="http://schemas.microsoft.com/office/spreadsheetml/2017/richdata2" ref="A3:F20">
      <sortCondition ref="E2:E19"/>
    </sortState>
  </autoFilter>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6BABD-B2F5-4113-8440-D6292DF88669}">
  <sheetPr>
    <tabColor theme="4"/>
  </sheetPr>
  <dimension ref="A1:F26"/>
  <sheetViews>
    <sheetView showGridLines="0" zoomScaleNormal="100" workbookViewId="0">
      <selection activeCell="L25" sqref="L25"/>
    </sheetView>
  </sheetViews>
  <sheetFormatPr defaultColWidth="9.109375" defaultRowHeight="15.6" x14ac:dyDescent="0.3"/>
  <cols>
    <col min="1" max="1" width="31" style="211" customWidth="1"/>
    <col min="2" max="3" width="9.109375" style="211"/>
    <col min="4" max="4" width="24.44140625" style="211" customWidth="1"/>
    <col min="5" max="16384" width="9.109375" style="211"/>
  </cols>
  <sheetData>
    <row r="1" spans="1:6" x14ac:dyDescent="0.3">
      <c r="A1" s="152" t="s">
        <v>2658</v>
      </c>
    </row>
    <row r="2" spans="1:6" x14ac:dyDescent="0.3">
      <c r="A2" s="2794" t="s">
        <v>2657</v>
      </c>
      <c r="B2" s="2794"/>
    </row>
    <row r="3" spans="1:6" x14ac:dyDescent="0.3">
      <c r="A3" s="2794"/>
      <c r="B3" s="2794"/>
    </row>
    <row r="4" spans="1:6" ht="6" customHeight="1" thickBot="1" x14ac:dyDescent="0.35"/>
    <row r="5" spans="1:6" x14ac:dyDescent="0.3">
      <c r="A5" s="212" t="s">
        <v>1250</v>
      </c>
      <c r="B5" s="1993"/>
    </row>
    <row r="6" spans="1:6" x14ac:dyDescent="0.3">
      <c r="A6" s="214" t="s">
        <v>2656</v>
      </c>
      <c r="B6" s="1992">
        <v>18.899999999999999</v>
      </c>
    </row>
    <row r="7" spans="1:6" x14ac:dyDescent="0.3">
      <c r="A7" s="214" t="s">
        <v>2655</v>
      </c>
      <c r="B7" s="1106">
        <v>1.2</v>
      </c>
    </row>
    <row r="8" spans="1:6" x14ac:dyDescent="0.3">
      <c r="A8" s="214" t="s">
        <v>2654</v>
      </c>
      <c r="B8" s="1991">
        <f>B6-B7</f>
        <v>17.7</v>
      </c>
    </row>
    <row r="9" spans="1:6" ht="4.5" customHeight="1" x14ac:dyDescent="0.3">
      <c r="A9" s="214"/>
      <c r="B9" s="1106"/>
    </row>
    <row r="10" spans="1:6" ht="4.5" customHeight="1" x14ac:dyDescent="0.3">
      <c r="A10" s="1155"/>
      <c r="B10" s="1510"/>
    </row>
    <row r="11" spans="1:6" ht="4.5" customHeight="1" x14ac:dyDescent="0.3">
      <c r="A11" s="214"/>
      <c r="B11" s="1106"/>
    </row>
    <row r="12" spans="1:6" x14ac:dyDescent="0.3">
      <c r="A12" s="214" t="s">
        <v>2653</v>
      </c>
      <c r="B12" s="1106">
        <v>16.8</v>
      </c>
    </row>
    <row r="13" spans="1:6" ht="4.5" customHeight="1" x14ac:dyDescent="0.3">
      <c r="A13" s="214"/>
      <c r="B13" s="1106"/>
    </row>
    <row r="14" spans="1:6" ht="4.5" customHeight="1" x14ac:dyDescent="0.3">
      <c r="A14" s="1155"/>
      <c r="B14" s="1279"/>
    </row>
    <row r="15" spans="1:6" ht="4.5" customHeight="1" x14ac:dyDescent="0.3">
      <c r="A15" s="214"/>
      <c r="B15" s="1106"/>
    </row>
    <row r="16" spans="1:6" ht="16.2" thickBot="1" x14ac:dyDescent="0.35">
      <c r="A16" s="224" t="s">
        <v>1705</v>
      </c>
      <c r="B16" s="1505">
        <f>B8/B12</f>
        <v>1.0535714285714284</v>
      </c>
      <c r="F16" s="1"/>
    </row>
    <row r="17" spans="1:6" ht="40.5" customHeight="1" x14ac:dyDescent="0.3">
      <c r="A17" s="2809" t="s">
        <v>3699</v>
      </c>
      <c r="B17" s="2809"/>
    </row>
    <row r="18" spans="1:6" x14ac:dyDescent="0.3">
      <c r="A18" s="1990"/>
      <c r="B18" s="1990"/>
    </row>
    <row r="20" spans="1:6" x14ac:dyDescent="0.3">
      <c r="A20" s="211" t="s">
        <v>2652</v>
      </c>
      <c r="B20" s="1015">
        <f>AVERAGE(E25:F25)</f>
        <v>1.7650000000000001</v>
      </c>
    </row>
    <row r="21" spans="1:6" x14ac:dyDescent="0.3">
      <c r="A21" s="211" t="s">
        <v>2651</v>
      </c>
      <c r="B21" s="227">
        <f>B20/B8</f>
        <v>9.9717514124293791E-2</v>
      </c>
    </row>
    <row r="23" spans="1:6" x14ac:dyDescent="0.3">
      <c r="E23" s="884">
        <v>1969</v>
      </c>
      <c r="F23" s="884">
        <v>1968</v>
      </c>
    </row>
    <row r="24" spans="1:6" x14ac:dyDescent="0.3">
      <c r="D24" s="211" t="s">
        <v>282</v>
      </c>
      <c r="E24" s="211">
        <v>118.2</v>
      </c>
      <c r="F24" s="211">
        <v>117.3</v>
      </c>
    </row>
    <row r="25" spans="1:6" ht="46.8" x14ac:dyDescent="0.3">
      <c r="D25" s="1497" t="s">
        <v>2650</v>
      </c>
      <c r="E25" s="211">
        <v>1.98</v>
      </c>
      <c r="F25" s="211">
        <v>1.55</v>
      </c>
    </row>
    <row r="26" spans="1:6" x14ac:dyDescent="0.3">
      <c r="D26" s="211" t="s">
        <v>2649</v>
      </c>
      <c r="E26" s="350">
        <f>E25/(AVERAGE(E24:F24))</f>
        <v>1.6815286624203823E-2</v>
      </c>
    </row>
  </sheetData>
  <mergeCells count="2">
    <mergeCell ref="A2:B3"/>
    <mergeCell ref="A17:B17"/>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1E32-77A2-4D55-845E-D2B0827E3188}">
  <sheetPr>
    <tabColor theme="9" tint="0.39997558519241921"/>
  </sheetPr>
  <dimension ref="A2:Y51"/>
  <sheetViews>
    <sheetView workbookViewId="0">
      <selection activeCell="G6" sqref="G6"/>
    </sheetView>
  </sheetViews>
  <sheetFormatPr defaultRowHeight="14.4" x14ac:dyDescent="0.3"/>
  <cols>
    <col min="2" max="2" width="18.109375" customWidth="1"/>
    <col min="3" max="3" width="19.44140625" customWidth="1"/>
    <col min="4" max="4" width="14.88671875" customWidth="1"/>
    <col min="5" max="5" width="19.33203125" customWidth="1"/>
  </cols>
  <sheetData>
    <row r="2" spans="1:15" x14ac:dyDescent="0.3">
      <c r="B2" t="s">
        <v>282</v>
      </c>
      <c r="C2" t="s">
        <v>746</v>
      </c>
      <c r="D2" t="s">
        <v>1870</v>
      </c>
      <c r="E2" t="s">
        <v>935</v>
      </c>
      <c r="F2" t="s">
        <v>3359</v>
      </c>
      <c r="I2" t="s">
        <v>1043</v>
      </c>
    </row>
    <row r="3" spans="1:15" ht="15.6" x14ac:dyDescent="0.3">
      <c r="A3">
        <v>2014</v>
      </c>
      <c r="B3" s="1438">
        <v>526186</v>
      </c>
      <c r="C3" s="1440">
        <v>240170</v>
      </c>
      <c r="D3">
        <v>80580.5</v>
      </c>
      <c r="E3" s="2590">
        <f t="shared" ref="E3:E12" si="0">B3/C3</f>
        <v>2.1908897864012991</v>
      </c>
      <c r="F3" s="2590">
        <f t="shared" ref="F3:F12" si="1">B3/(C3+(0.75*D3))</f>
        <v>1.7504211293627068</v>
      </c>
      <c r="H3" t="s">
        <v>156</v>
      </c>
      <c r="I3" t="s">
        <v>497</v>
      </c>
      <c r="J3" t="s">
        <v>1046</v>
      </c>
      <c r="K3" t="s">
        <v>1084</v>
      </c>
      <c r="L3" t="s">
        <v>943</v>
      </c>
      <c r="M3" t="s">
        <v>3</v>
      </c>
      <c r="O3" t="s">
        <v>1042</v>
      </c>
    </row>
    <row r="4" spans="1:15" ht="15.6" x14ac:dyDescent="0.3">
      <c r="A4">
        <v>2013</v>
      </c>
      <c r="B4" s="1438">
        <v>484931</v>
      </c>
      <c r="C4" s="1440">
        <v>221890</v>
      </c>
      <c r="D4">
        <v>75182.5</v>
      </c>
      <c r="E4" s="2590">
        <f t="shared" si="0"/>
        <v>2.1854567578529904</v>
      </c>
      <c r="F4" s="2590">
        <f t="shared" si="1"/>
        <v>1.7426205465330169</v>
      </c>
      <c r="H4">
        <v>1994</v>
      </c>
    </row>
    <row r="5" spans="1:15" ht="15.6" x14ac:dyDescent="0.3">
      <c r="A5">
        <v>2012</v>
      </c>
      <c r="B5" s="1438">
        <v>427452</v>
      </c>
      <c r="C5" s="1440">
        <v>187647</v>
      </c>
      <c r="D5">
        <v>71848</v>
      </c>
      <c r="E5" s="2590">
        <f t="shared" si="0"/>
        <v>2.2779580808646021</v>
      </c>
      <c r="F5" s="2590">
        <f t="shared" si="1"/>
        <v>1.769745749028083</v>
      </c>
      <c r="H5">
        <v>1995</v>
      </c>
    </row>
    <row r="6" spans="1:15" ht="15.6" x14ac:dyDescent="0.3">
      <c r="A6">
        <v>2011</v>
      </c>
      <c r="B6" s="1438">
        <v>392647</v>
      </c>
      <c r="C6" s="1440">
        <v>164850</v>
      </c>
      <c r="D6">
        <v>68201.5</v>
      </c>
      <c r="E6" s="2590">
        <f t="shared" si="0"/>
        <v>2.3818441006976037</v>
      </c>
      <c r="F6" s="2590">
        <f t="shared" si="1"/>
        <v>1.817800717473115</v>
      </c>
      <c r="H6">
        <v>1996</v>
      </c>
    </row>
    <row r="7" spans="1:15" ht="15.6" x14ac:dyDescent="0.3">
      <c r="A7">
        <v>2010</v>
      </c>
      <c r="B7" s="1438">
        <v>372229</v>
      </c>
      <c r="C7" s="1440">
        <v>157318</v>
      </c>
      <c r="D7">
        <v>63871.5</v>
      </c>
      <c r="E7" s="2590">
        <f t="shared" si="0"/>
        <v>2.3660928819334086</v>
      </c>
      <c r="F7" s="2590">
        <f t="shared" si="1"/>
        <v>1.8137903352046842</v>
      </c>
      <c r="H7">
        <v>1997</v>
      </c>
      <c r="I7">
        <v>2917</v>
      </c>
      <c r="K7">
        <v>4014</v>
      </c>
      <c r="L7">
        <v>455</v>
      </c>
      <c r="M7">
        <v>7386</v>
      </c>
    </row>
    <row r="8" spans="1:15" ht="15.6" x14ac:dyDescent="0.3">
      <c r="A8">
        <v>2009</v>
      </c>
      <c r="B8" s="1438">
        <v>297119</v>
      </c>
      <c r="C8" s="1440">
        <v>131102</v>
      </c>
      <c r="D8">
        <v>60199.5</v>
      </c>
      <c r="E8" s="2590">
        <f t="shared" si="0"/>
        <v>2.2663193543958138</v>
      </c>
      <c r="F8" s="2590">
        <f t="shared" si="1"/>
        <v>1.6857660177601199</v>
      </c>
      <c r="H8">
        <v>1998</v>
      </c>
      <c r="I8">
        <v>3125</v>
      </c>
      <c r="J8">
        <v>14909</v>
      </c>
      <c r="K8">
        <v>4305</v>
      </c>
      <c r="L8">
        <v>415</v>
      </c>
      <c r="M8">
        <v>22754</v>
      </c>
    </row>
    <row r="9" spans="1:15" ht="15.6" x14ac:dyDescent="0.3">
      <c r="A9">
        <v>2008</v>
      </c>
      <c r="B9" s="1438">
        <v>267399</v>
      </c>
      <c r="C9" s="1440">
        <v>109267</v>
      </c>
      <c r="D9">
        <v>58593</v>
      </c>
      <c r="E9" s="2590">
        <f t="shared" si="0"/>
        <v>2.4472072995506422</v>
      </c>
      <c r="F9" s="2590">
        <f t="shared" si="1"/>
        <v>1.7452904232214566</v>
      </c>
      <c r="H9">
        <v>1999</v>
      </c>
      <c r="I9">
        <v>3444</v>
      </c>
      <c r="J9">
        <v>15166</v>
      </c>
      <c r="K9">
        <v>6285</v>
      </c>
      <c r="L9">
        <v>403</v>
      </c>
      <c r="M9">
        <v>25298</v>
      </c>
    </row>
    <row r="10" spans="1:15" ht="15.6" x14ac:dyDescent="0.3">
      <c r="A10">
        <v>2007</v>
      </c>
      <c r="B10" s="1438">
        <v>273160</v>
      </c>
      <c r="C10" s="1440">
        <v>120733</v>
      </c>
      <c r="D10">
        <v>54792.5</v>
      </c>
      <c r="E10" s="2590">
        <f t="shared" si="0"/>
        <v>2.2625131488491133</v>
      </c>
      <c r="F10" s="2590">
        <f t="shared" si="1"/>
        <v>1.6879715190337852</v>
      </c>
      <c r="H10">
        <v>2000</v>
      </c>
      <c r="I10">
        <v>3943</v>
      </c>
      <c r="J10">
        <v>15525</v>
      </c>
      <c r="K10">
        <v>7805</v>
      </c>
      <c r="L10">
        <v>598</v>
      </c>
      <c r="M10">
        <v>27871</v>
      </c>
    </row>
    <row r="11" spans="1:15" ht="15.6" x14ac:dyDescent="0.3">
      <c r="A11">
        <v>2006</v>
      </c>
      <c r="B11" s="1438">
        <v>248437</v>
      </c>
      <c r="C11" s="1440">
        <v>108419</v>
      </c>
      <c r="D11">
        <v>50087</v>
      </c>
      <c r="E11" s="2590">
        <f t="shared" si="0"/>
        <v>2.2914526051706803</v>
      </c>
      <c r="F11" s="2590">
        <f t="shared" si="1"/>
        <v>1.7018068730017109</v>
      </c>
      <c r="H11">
        <v>2001</v>
      </c>
      <c r="I11">
        <v>4251</v>
      </c>
      <c r="J11">
        <v>19310</v>
      </c>
      <c r="K11">
        <v>11262</v>
      </c>
      <c r="L11">
        <v>685</v>
      </c>
      <c r="M11">
        <v>35508</v>
      </c>
    </row>
    <row r="12" spans="1:15" ht="15.6" x14ac:dyDescent="0.3">
      <c r="A12">
        <v>2005</v>
      </c>
      <c r="B12" s="1439">
        <v>198325</v>
      </c>
      <c r="C12" s="1441">
        <v>91484</v>
      </c>
      <c r="D12">
        <v>47690.5</v>
      </c>
      <c r="E12" s="2590">
        <f t="shared" si="0"/>
        <v>2.1678654190896767</v>
      </c>
      <c r="F12" s="2590">
        <f t="shared" si="1"/>
        <v>1.558523204471447</v>
      </c>
      <c r="H12">
        <v>2002</v>
      </c>
      <c r="I12">
        <v>4678</v>
      </c>
      <c r="J12">
        <v>22207</v>
      </c>
      <c r="K12">
        <v>13396</v>
      </c>
      <c r="L12">
        <v>943</v>
      </c>
      <c r="M12">
        <v>41224</v>
      </c>
    </row>
    <row r="13" spans="1:15" x14ac:dyDescent="0.3">
      <c r="A13">
        <v>2004</v>
      </c>
      <c r="D13">
        <v>45157</v>
      </c>
      <c r="H13">
        <v>2003</v>
      </c>
      <c r="I13">
        <v>5287</v>
      </c>
      <c r="J13">
        <v>23654</v>
      </c>
      <c r="K13">
        <v>13948</v>
      </c>
      <c r="L13">
        <v>1331</v>
      </c>
      <c r="M13">
        <v>44220</v>
      </c>
    </row>
    <row r="14" spans="1:15" x14ac:dyDescent="0.3">
      <c r="A14">
        <v>2003</v>
      </c>
      <c r="D14">
        <v>42722</v>
      </c>
      <c r="H14">
        <v>2004</v>
      </c>
      <c r="I14">
        <v>5960</v>
      </c>
      <c r="J14">
        <v>23120</v>
      </c>
      <c r="K14">
        <v>15278</v>
      </c>
      <c r="L14">
        <v>1736</v>
      </c>
      <c r="M14">
        <v>46094</v>
      </c>
    </row>
    <row r="15" spans="1:15" x14ac:dyDescent="0.3">
      <c r="A15">
        <v>2002</v>
      </c>
      <c r="D15">
        <v>38366</v>
      </c>
      <c r="H15">
        <v>2005</v>
      </c>
      <c r="I15">
        <v>6692</v>
      </c>
      <c r="J15">
        <v>22920</v>
      </c>
      <c r="K15">
        <v>16233</v>
      </c>
      <c r="L15">
        <v>3442</v>
      </c>
      <c r="M15">
        <v>49287</v>
      </c>
    </row>
    <row r="16" spans="1:15" x14ac:dyDescent="0.3">
      <c r="A16">
        <v>2001</v>
      </c>
      <c r="D16">
        <v>31689.5</v>
      </c>
      <c r="H16">
        <v>2006</v>
      </c>
      <c r="I16">
        <v>7171</v>
      </c>
      <c r="J16">
        <v>22827</v>
      </c>
      <c r="K16">
        <v>16860</v>
      </c>
      <c r="L16">
        <v>4029</v>
      </c>
      <c r="M16">
        <v>50887</v>
      </c>
    </row>
    <row r="17" spans="4:25" x14ac:dyDescent="0.3">
      <c r="D17">
        <v>26584.5</v>
      </c>
      <c r="H17">
        <v>2007</v>
      </c>
      <c r="I17">
        <v>7768</v>
      </c>
      <c r="J17">
        <v>23009</v>
      </c>
      <c r="K17">
        <v>23692</v>
      </c>
      <c r="L17">
        <v>4229</v>
      </c>
      <c r="M17">
        <v>58698</v>
      </c>
    </row>
    <row r="18" spans="4:25" x14ac:dyDescent="0.3">
      <c r="D18">
        <v>24026</v>
      </c>
      <c r="H18">
        <v>2008</v>
      </c>
      <c r="I18">
        <v>8454</v>
      </c>
      <c r="J18">
        <v>21074</v>
      </c>
      <c r="K18">
        <v>24221</v>
      </c>
      <c r="L18">
        <v>4739</v>
      </c>
      <c r="M18">
        <v>58488</v>
      </c>
    </row>
    <row r="19" spans="4:25" x14ac:dyDescent="0.3">
      <c r="D19">
        <v>15070</v>
      </c>
      <c r="H19">
        <v>2009</v>
      </c>
      <c r="I19">
        <v>9613</v>
      </c>
      <c r="J19">
        <v>21014</v>
      </c>
      <c r="K19">
        <v>26223</v>
      </c>
      <c r="L19">
        <v>5061</v>
      </c>
      <c r="M19">
        <v>61911</v>
      </c>
    </row>
    <row r="20" spans="4:25" x14ac:dyDescent="0.3">
      <c r="D20">
        <v>7093.1</v>
      </c>
      <c r="H20">
        <v>2010</v>
      </c>
      <c r="I20">
        <v>10272</v>
      </c>
      <c r="J20">
        <v>20049</v>
      </c>
      <c r="K20">
        <v>30370</v>
      </c>
      <c r="L20">
        <v>5141</v>
      </c>
      <c r="M20">
        <v>65832</v>
      </c>
    </row>
    <row r="21" spans="4:25" x14ac:dyDescent="0.3">
      <c r="D21">
        <v>6702</v>
      </c>
      <c r="H21">
        <v>2011</v>
      </c>
      <c r="I21">
        <v>11169</v>
      </c>
      <c r="J21">
        <v>19714</v>
      </c>
      <c r="K21">
        <v>33728</v>
      </c>
      <c r="L21">
        <v>5960</v>
      </c>
      <c r="M21">
        <v>70571</v>
      </c>
    </row>
    <row r="22" spans="4:25" x14ac:dyDescent="0.3">
      <c r="D22">
        <v>3607.2</v>
      </c>
      <c r="H22">
        <v>2012</v>
      </c>
      <c r="I22">
        <v>11578</v>
      </c>
      <c r="J22">
        <v>20128</v>
      </c>
      <c r="K22">
        <v>34821</v>
      </c>
      <c r="L22">
        <v>6598</v>
      </c>
      <c r="M22">
        <v>73125</v>
      </c>
    </row>
    <row r="23" spans="4:25" x14ac:dyDescent="0.3">
      <c r="D23">
        <v>3056.6</v>
      </c>
      <c r="H23">
        <v>2013</v>
      </c>
      <c r="I23">
        <v>12566</v>
      </c>
      <c r="J23">
        <v>20013</v>
      </c>
      <c r="K23">
        <v>37231</v>
      </c>
      <c r="L23">
        <v>7430</v>
      </c>
      <c r="M23">
        <v>77240</v>
      </c>
    </row>
    <row r="24" spans="4:25" x14ac:dyDescent="0.3">
      <c r="H24">
        <v>2014</v>
      </c>
      <c r="I24">
        <v>13569</v>
      </c>
      <c r="J24">
        <v>19280</v>
      </c>
      <c r="K24">
        <v>42454</v>
      </c>
      <c r="L24">
        <v>8618</v>
      </c>
      <c r="M24">
        <v>83921</v>
      </c>
    </row>
    <row r="30" spans="4:25" x14ac:dyDescent="0.3">
      <c r="Y30" t="s">
        <v>917</v>
      </c>
    </row>
    <row r="31" spans="4:25" x14ac:dyDescent="0.3">
      <c r="Y31">
        <v>-4.2498200615062494E-2</v>
      </c>
    </row>
    <row r="32" spans="4:25" x14ac:dyDescent="0.3">
      <c r="Y32">
        <v>-5.6830782878687074E-3</v>
      </c>
    </row>
    <row r="33" spans="25:25" x14ac:dyDescent="0.3">
      <c r="Y33">
        <v>-3.3139361384661295E-2</v>
      </c>
    </row>
    <row r="34" spans="25:25" x14ac:dyDescent="0.3">
      <c r="Y34">
        <v>-6.5133721503996836E-2</v>
      </c>
    </row>
    <row r="35" spans="25:25" x14ac:dyDescent="0.3">
      <c r="Y35">
        <v>-1.7584605175846053E-2</v>
      </c>
    </row>
    <row r="36" spans="25:25" x14ac:dyDescent="0.3">
      <c r="Y36">
        <v>5.8020477815699661E-2</v>
      </c>
    </row>
    <row r="37" spans="25:25" x14ac:dyDescent="0.3">
      <c r="Y37">
        <v>6.0749684966803962E-2</v>
      </c>
    </row>
    <row r="38" spans="25:25" x14ac:dyDescent="0.3">
      <c r="Y38">
        <v>0.12833903974502595</v>
      </c>
    </row>
    <row r="39" spans="25:25" x14ac:dyDescent="0.3">
      <c r="Y39">
        <v>1.0712610123546891E-2</v>
      </c>
    </row>
    <row r="40" spans="25:25" x14ac:dyDescent="0.3">
      <c r="Y40">
        <v>-4.0213473152005991E-2</v>
      </c>
    </row>
    <row r="41" spans="25:25" x14ac:dyDescent="0.3">
      <c r="Y41">
        <v>-3.4346834377837324E-2</v>
      </c>
    </row>
    <row r="42" spans="25:25" x14ac:dyDescent="0.3">
      <c r="Y42">
        <v>-1.1113324456652792E-3</v>
      </c>
    </row>
    <row r="43" spans="25:25" x14ac:dyDescent="0.3">
      <c r="Y43">
        <v>-7.662666959490487E-2</v>
      </c>
    </row>
    <row r="44" spans="25:25" x14ac:dyDescent="0.3">
      <c r="Y44">
        <v>-6.1577770680293839E-2</v>
      </c>
    </row>
    <row r="45" spans="25:25" x14ac:dyDescent="0.3">
      <c r="Y45">
        <v>-4.7650743262847101E-2</v>
      </c>
    </row>
    <row r="46" spans="25:25" x14ac:dyDescent="0.3">
      <c r="Y46">
        <v>-2.5897225060008803E-2</v>
      </c>
    </row>
    <row r="47" spans="25:25" x14ac:dyDescent="0.3">
      <c r="Y47">
        <v>-3.1516404029966416E-2</v>
      </c>
    </row>
    <row r="48" spans="25:25" x14ac:dyDescent="0.3">
      <c r="Y48">
        <v>-3.6362836594503053E-3</v>
      </c>
    </row>
    <row r="49" spans="25:25" x14ac:dyDescent="0.3">
      <c r="Y49">
        <v>-2.2617191849459969E-2</v>
      </c>
    </row>
    <row r="50" spans="25:25" x14ac:dyDescent="0.3">
      <c r="Y50">
        <v>-4.1086689056628871E-2</v>
      </c>
    </row>
    <row r="51" spans="25:25" x14ac:dyDescent="0.3">
      <c r="Y51">
        <v>-3.3109747395461679E-2</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7601-9CCD-4B0F-9070-D8471DE25502}">
  <sheetPr>
    <tabColor theme="4"/>
  </sheetPr>
  <dimension ref="A1:W216"/>
  <sheetViews>
    <sheetView zoomScale="70" zoomScaleNormal="70" workbookViewId="0">
      <pane xSplit="3" ySplit="1" topLeftCell="D193" activePane="bottomRight" state="frozen"/>
      <selection pane="topRight" activeCell="D1" sqref="D1"/>
      <selection pane="bottomLeft" activeCell="A2" sqref="A2"/>
      <selection pane="bottomRight" activeCell="L235" sqref="L235"/>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6" width="23.109375" style="211" bestFit="1" customWidth="1"/>
    <col min="17" max="17" width="20.6640625" style="211" bestFit="1" customWidth="1"/>
    <col min="18" max="18" width="14.109375" style="211" customWidth="1"/>
    <col min="19" max="19" width="16.6640625" style="211" customWidth="1"/>
    <col min="20" max="20" width="17.5546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156</v>
      </c>
    </row>
    <row r="2" spans="1:22" x14ac:dyDescent="0.3">
      <c r="I2" s="2230">
        <v>23653</v>
      </c>
      <c r="J2" s="230">
        <v>1137778</v>
      </c>
      <c r="P2" s="252">
        <f>'3. Financials'!M58</f>
        <v>22138753</v>
      </c>
      <c r="V2" s="2088"/>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Table24567[[#This Row],[Column3]]</f>
        <v>1965-Q1</v>
      </c>
    </row>
    <row r="4" spans="1:22" x14ac:dyDescent="0.3">
      <c r="A4" s="211">
        <v>1965</v>
      </c>
      <c r="B4" s="211" t="s">
        <v>2907</v>
      </c>
      <c r="C4" s="2088" t="str">
        <f t="shared" ref="C4:C67" si="0">CONCATENATE(A4,"-",B4)</f>
        <v>1965-Q2</v>
      </c>
      <c r="D4" s="2228"/>
      <c r="E4" s="252">
        <v>21</v>
      </c>
      <c r="F4" s="252">
        <v>16</v>
      </c>
      <c r="G4" s="252">
        <f t="shared" ref="G4:G82" si="1">AVERAGE(E4:F4)</f>
        <v>18.5</v>
      </c>
      <c r="I4" s="460"/>
      <c r="J4" s="230"/>
      <c r="L4" s="252">
        <f>K3*E4</f>
        <v>22630912.5</v>
      </c>
      <c r="M4" s="252">
        <f>K3*F4</f>
        <v>17242600</v>
      </c>
      <c r="N4" s="252">
        <f t="shared" ref="N4:N67" si="2">AVERAGE(L4:M4)</f>
        <v>19936756.25</v>
      </c>
      <c r="P4" s="252"/>
      <c r="S4" s="348">
        <f>L4/Q3</f>
        <v>0.97005838140047418</v>
      </c>
      <c r="T4" s="348">
        <f>M4/Q3</f>
        <v>0.73909210011464699</v>
      </c>
      <c r="U4" s="1043">
        <f t="shared" ref="U4:U67" si="3">AVERAGE(S4:T4)</f>
        <v>0.85457524075756064</v>
      </c>
      <c r="V4" s="2088" t="str">
        <f>Table24567[[#This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Table24567[[#This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Table24567[[#This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Table24567[[#This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Table24567[[#This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Table24567[[#This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Table24567[[#This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Table24567[[#This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Table24567[[#This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Table24567[[#This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Table24567[[#This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Table24567[[#This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Table24567[[#This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Table24567[[#This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Table24567[[#This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Table24567[[#This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Table24567[[#This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Table24567[[#This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Table24567[[#This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Table24567[[#This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Table24567[[#This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Table24567[[#This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Table24567[[#This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Table24567[[#This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30" t="str">
        <f>Table24567[[#This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Table24567[[#This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Table24567[[#This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Table24567[[#This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Table24567[[#This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Table24567[[#This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Table24567[[#This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Table24567[[#This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Table24567[[#This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Table24567[[#This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Table24567[[#This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c r="V39" s="2088" t="str">
        <f>Table24567[[#This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c r="V40" s="2088" t="str">
        <f>Table24567[[#This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c r="V41" s="2088" t="str">
        <f>Table24567[[#This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c r="V42" s="2088" t="str">
        <f>Table24567[[#This Row],[Column3]]</f>
        <v>1974-Q4</v>
      </c>
    </row>
    <row r="43" spans="1:22" x14ac:dyDescent="0.3">
      <c r="A43" s="211">
        <f t="shared" si="6"/>
        <v>1975</v>
      </c>
      <c r="B43" s="211" t="str">
        <f t="shared" si="7"/>
        <v>Q1</v>
      </c>
      <c r="C43" s="2088" t="str">
        <f t="shared" si="0"/>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si="2"/>
        <v>43590820.5</v>
      </c>
      <c r="P43" s="252">
        <f>'4. Financials'!O84</f>
        <v>92890192</v>
      </c>
      <c r="Q43" s="252">
        <f>AVERAGE(P39,P43)</f>
        <v>90544409.5</v>
      </c>
      <c r="S43" s="348">
        <f>L43/Q43</f>
        <v>0.55175155789160013</v>
      </c>
      <c r="T43" s="348">
        <f>M43/Q43</f>
        <v>0.4111090039192315</v>
      </c>
      <c r="U43" s="1043">
        <f t="shared" si="3"/>
        <v>0.48143028090541584</v>
      </c>
      <c r="V43" s="2088" t="str">
        <f>Table24567[[#This Row],[Column3]]</f>
        <v>1975-Q1</v>
      </c>
    </row>
    <row r="44" spans="1:22" x14ac:dyDescent="0.3">
      <c r="A44" s="211">
        <f t="shared" si="6"/>
        <v>1975</v>
      </c>
      <c r="B44" s="211" t="str">
        <f t="shared" si="7"/>
        <v>Q2</v>
      </c>
      <c r="C44" s="2088" t="str">
        <f t="shared" si="0"/>
        <v>1975-Q2</v>
      </c>
      <c r="E44" s="252">
        <v>51</v>
      </c>
      <c r="F44" s="252">
        <v>45</v>
      </c>
      <c r="G44" s="252">
        <f t="shared" si="1"/>
        <v>48</v>
      </c>
      <c r="J44" s="230"/>
      <c r="L44" s="252">
        <f>K43*E44</f>
        <v>49958019</v>
      </c>
      <c r="M44" s="252">
        <f>K43*F44</f>
        <v>44080605</v>
      </c>
      <c r="N44" s="252">
        <f t="shared" si="2"/>
        <v>47019312</v>
      </c>
      <c r="P44" s="252"/>
      <c r="Q44" s="252"/>
      <c r="S44" s="348">
        <f>L44/Q43</f>
        <v>0.55175155789160013</v>
      </c>
      <c r="T44" s="348">
        <f>M44/Q43</f>
        <v>0.48683960990435304</v>
      </c>
      <c r="U44" s="1043">
        <f t="shared" si="3"/>
        <v>0.51929558389797659</v>
      </c>
      <c r="V44" s="2088" t="str">
        <f>Table24567[[#This Row],[Column3]]</f>
        <v>1975-Q2</v>
      </c>
    </row>
    <row r="45" spans="1:22" x14ac:dyDescent="0.3">
      <c r="A45" s="211">
        <f t="shared" si="6"/>
        <v>1975</v>
      </c>
      <c r="B45" s="211" t="str">
        <f t="shared" si="7"/>
        <v>Q3</v>
      </c>
      <c r="C45" s="2088" t="str">
        <f t="shared" si="0"/>
        <v>1975-Q3</v>
      </c>
      <c r="E45" s="252">
        <v>60</v>
      </c>
      <c r="F45" s="252">
        <v>41</v>
      </c>
      <c r="G45" s="252">
        <f t="shared" si="1"/>
        <v>50.5</v>
      </c>
      <c r="J45" s="230"/>
      <c r="L45" s="252">
        <f>K43*E45</f>
        <v>58774140</v>
      </c>
      <c r="M45" s="252">
        <f>K43*F45</f>
        <v>40162329</v>
      </c>
      <c r="N45" s="252">
        <f t="shared" si="2"/>
        <v>49468234.5</v>
      </c>
      <c r="P45" s="252"/>
      <c r="Q45" s="252"/>
      <c r="S45" s="348">
        <f>L45/Q43</f>
        <v>0.64911947987247076</v>
      </c>
      <c r="T45" s="348">
        <f>M45/Q43</f>
        <v>0.44356497791285504</v>
      </c>
      <c r="U45" s="1043">
        <f t="shared" si="3"/>
        <v>0.54634222889266293</v>
      </c>
      <c r="V45" s="2088" t="str">
        <f>Table24567[[#This Row],[Column3]]</f>
        <v>1975-Q3</v>
      </c>
    </row>
    <row r="46" spans="1:22" x14ac:dyDescent="0.3">
      <c r="A46" s="211">
        <f t="shared" si="6"/>
        <v>1975</v>
      </c>
      <c r="B46" s="211" t="str">
        <f t="shared" si="7"/>
        <v>Q4</v>
      </c>
      <c r="C46" s="2088" t="str">
        <f t="shared" si="0"/>
        <v>1975-Q4</v>
      </c>
      <c r="E46" s="252">
        <v>43</v>
      </c>
      <c r="F46" s="252">
        <v>38</v>
      </c>
      <c r="G46" s="252">
        <f t="shared" si="1"/>
        <v>40.5</v>
      </c>
      <c r="J46" s="230"/>
      <c r="L46" s="252">
        <f>K43*E46</f>
        <v>42121467</v>
      </c>
      <c r="M46" s="252">
        <f>K43*F46</f>
        <v>37223622</v>
      </c>
      <c r="N46" s="252">
        <f t="shared" si="2"/>
        <v>39672544.5</v>
      </c>
      <c r="P46" s="252"/>
      <c r="Q46" s="252"/>
      <c r="S46" s="348">
        <f>L46/Q43</f>
        <v>0.46520229390860407</v>
      </c>
      <c r="T46" s="348">
        <f>M46/Q43</f>
        <v>0.4111090039192315</v>
      </c>
      <c r="U46" s="1043">
        <f t="shared" si="3"/>
        <v>0.43815564891391778</v>
      </c>
      <c r="V46" s="2088" t="str">
        <f>Table24567[[#This Row],[Column3]]</f>
        <v>1975-Q4</v>
      </c>
    </row>
    <row r="47" spans="1:22" x14ac:dyDescent="0.3">
      <c r="A47" s="211">
        <f t="shared" si="6"/>
        <v>1976</v>
      </c>
      <c r="B47" s="211" t="str">
        <f t="shared" si="7"/>
        <v>Q1</v>
      </c>
      <c r="C47" s="2088" t="str">
        <f t="shared" si="0"/>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2"/>
        <v>45883538.5</v>
      </c>
      <c r="P47" s="252">
        <f>'4. Financials'!N84</f>
        <v>115293133</v>
      </c>
      <c r="Q47" s="252">
        <f>AVERAGE(P43,P47)</f>
        <v>104091662.5</v>
      </c>
      <c r="S47" s="348">
        <f>L47/Q47</f>
        <v>0.52520775138931031</v>
      </c>
      <c r="T47" s="348">
        <f>M47/Q47</f>
        <v>0.35639097415703203</v>
      </c>
      <c r="U47" s="1043">
        <f t="shared" si="3"/>
        <v>0.44079936277317117</v>
      </c>
      <c r="V47" s="2088" t="str">
        <f>Table24567[[#This Row],[Column3]]</f>
        <v>1976-Q1</v>
      </c>
    </row>
    <row r="48" spans="1:22" x14ac:dyDescent="0.3">
      <c r="A48" s="211">
        <f t="shared" si="6"/>
        <v>1976</v>
      </c>
      <c r="B48" s="211" t="str">
        <f t="shared" si="7"/>
        <v>Q2</v>
      </c>
      <c r="C48" s="2088" t="str">
        <f t="shared" si="0"/>
        <v>1976-Q2</v>
      </c>
      <c r="E48" s="252">
        <v>60</v>
      </c>
      <c r="F48" s="252">
        <v>55</v>
      </c>
      <c r="G48" s="252">
        <f t="shared" si="1"/>
        <v>57.5</v>
      </c>
      <c r="J48" s="230"/>
      <c r="L48" s="252">
        <f>K47*E48</f>
        <v>58574730</v>
      </c>
      <c r="M48" s="252">
        <f>K47*F48</f>
        <v>53693502.5</v>
      </c>
      <c r="N48" s="252">
        <f t="shared" si="2"/>
        <v>56134116.25</v>
      </c>
      <c r="P48" s="252"/>
      <c r="Q48" s="252"/>
      <c r="S48" s="348">
        <f>L48/Q47</f>
        <v>0.56272259077426112</v>
      </c>
      <c r="T48" s="348">
        <f>M48/Q47</f>
        <v>0.51582904154307263</v>
      </c>
      <c r="U48" s="1043">
        <f t="shared" si="3"/>
        <v>0.53927581615866682</v>
      </c>
      <c r="V48" s="2088" t="str">
        <f>Table24567[[#This Row],[Column3]]</f>
        <v>1976-Q2</v>
      </c>
    </row>
    <row r="49" spans="1:22" x14ac:dyDescent="0.3">
      <c r="A49" s="211">
        <f t="shared" si="6"/>
        <v>1976</v>
      </c>
      <c r="B49" s="211" t="str">
        <f t="shared" si="7"/>
        <v>Q3</v>
      </c>
      <c r="C49" s="2088" t="str">
        <f t="shared" si="0"/>
        <v>1976-Q3</v>
      </c>
      <c r="E49" s="252">
        <v>73</v>
      </c>
      <c r="F49" s="252">
        <v>61</v>
      </c>
      <c r="G49" s="252">
        <f t="shared" si="1"/>
        <v>67</v>
      </c>
      <c r="J49" s="230"/>
      <c r="L49" s="252">
        <f>K47*E49</f>
        <v>71265921.5</v>
      </c>
      <c r="M49" s="252">
        <f>K47*F49</f>
        <v>59550975.5</v>
      </c>
      <c r="N49" s="252">
        <f t="shared" si="2"/>
        <v>65408448.5</v>
      </c>
      <c r="P49" s="252"/>
      <c r="Q49" s="252"/>
      <c r="S49" s="348">
        <f>L49/Q47</f>
        <v>0.68464581877535102</v>
      </c>
      <c r="T49" s="348">
        <f>M49/Q47</f>
        <v>0.5721013006204988</v>
      </c>
      <c r="U49" s="1043">
        <f t="shared" si="3"/>
        <v>0.62837355969792497</v>
      </c>
      <c r="V49" s="2088" t="str">
        <f>Table24567[[#This Row],[Column3]]</f>
        <v>1976-Q3</v>
      </c>
    </row>
    <row r="50" spans="1:22" x14ac:dyDescent="0.3">
      <c r="A50" s="211">
        <f t="shared" si="6"/>
        <v>1976</v>
      </c>
      <c r="B50" s="211" t="str">
        <f t="shared" si="7"/>
        <v>Q4</v>
      </c>
      <c r="C50" s="2088" t="str">
        <f t="shared" si="0"/>
        <v>1976-Q4</v>
      </c>
      <c r="E50" s="252">
        <v>95</v>
      </c>
      <c r="F50" s="252">
        <v>66</v>
      </c>
      <c r="G50" s="252">
        <f t="shared" si="1"/>
        <v>80.5</v>
      </c>
      <c r="J50" s="230"/>
      <c r="L50" s="252">
        <f>K47*E50</f>
        <v>92743322.5</v>
      </c>
      <c r="M50" s="252">
        <f>K47*F50</f>
        <v>64432203</v>
      </c>
      <c r="N50" s="252">
        <f t="shared" si="2"/>
        <v>78587762.75</v>
      </c>
      <c r="P50" s="252"/>
      <c r="Q50" s="252"/>
      <c r="S50" s="348">
        <f>L50/Q47</f>
        <v>0.89097743539258012</v>
      </c>
      <c r="T50" s="348">
        <f>M50/Q47</f>
        <v>0.61899484985168718</v>
      </c>
      <c r="U50" s="1043">
        <f t="shared" si="3"/>
        <v>0.75498614262213359</v>
      </c>
      <c r="V50" s="2088" t="str">
        <f>Table24567[[#This Row],[Column3]]</f>
        <v>1976-Q4</v>
      </c>
    </row>
    <row r="51" spans="1:22" x14ac:dyDescent="0.3">
      <c r="A51" s="211">
        <f t="shared" si="6"/>
        <v>1977</v>
      </c>
      <c r="B51" s="211" t="str">
        <f t="shared" si="7"/>
        <v>Q1</v>
      </c>
      <c r="C51" s="2088" t="str">
        <f t="shared" si="0"/>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si="2"/>
        <v>91163891</v>
      </c>
      <c r="P51" s="252">
        <f>'4. Financials'!M84</f>
        <v>141788403</v>
      </c>
      <c r="Q51" s="252">
        <f>AVERAGE(P47,P51)</f>
        <v>128540768</v>
      </c>
      <c r="S51" s="348">
        <f>L51/Q51</f>
        <v>0.75598347910913366</v>
      </c>
      <c r="T51" s="348">
        <f>M51/Q51</f>
        <v>0.66245974973480792</v>
      </c>
      <c r="U51" s="1043">
        <f t="shared" si="3"/>
        <v>0.70922161442197074</v>
      </c>
      <c r="V51" s="2088" t="str">
        <f>Table24567[[#This Row],[Column3]]</f>
        <v>1977-Q1</v>
      </c>
    </row>
    <row r="52" spans="1:22" x14ac:dyDescent="0.3">
      <c r="A52" s="211">
        <f t="shared" si="6"/>
        <v>1977</v>
      </c>
      <c r="B52" s="211" t="str">
        <f t="shared" si="7"/>
        <v>Q2</v>
      </c>
      <c r="C52" s="2088" t="str">
        <f t="shared" si="0"/>
        <v>1977-Q2</v>
      </c>
      <c r="E52" s="252">
        <v>100</v>
      </c>
      <c r="F52" s="252">
        <v>95</v>
      </c>
      <c r="G52" s="252">
        <f t="shared" si="1"/>
        <v>97.5</v>
      </c>
      <c r="J52" s="230"/>
      <c r="L52" s="252">
        <f>K51*E52</f>
        <v>100180100</v>
      </c>
      <c r="M52" s="252">
        <f>K51*F52</f>
        <v>95171095</v>
      </c>
      <c r="N52" s="252">
        <f t="shared" si="2"/>
        <v>97675597.5</v>
      </c>
      <c r="P52" s="252"/>
      <c r="Q52" s="252"/>
      <c r="S52" s="348">
        <f>L52/Q51</f>
        <v>0.77936441145271518</v>
      </c>
      <c r="T52" s="348">
        <f>M52/Q51</f>
        <v>0.74039619088007935</v>
      </c>
      <c r="U52" s="1043">
        <f t="shared" si="3"/>
        <v>0.75988030116639727</v>
      </c>
      <c r="V52" s="2088" t="str">
        <f>Table24567[[#This Row],[Column3]]</f>
        <v>1977-Q2</v>
      </c>
    </row>
    <row r="53" spans="1:22" x14ac:dyDescent="0.3">
      <c r="A53" s="211">
        <f t="shared" si="6"/>
        <v>1977</v>
      </c>
      <c r="B53" s="211" t="str">
        <f t="shared" si="7"/>
        <v>Q3</v>
      </c>
      <c r="C53" s="2088" t="str">
        <f t="shared" si="0"/>
        <v>1977-Q3</v>
      </c>
      <c r="E53" s="252">
        <v>107</v>
      </c>
      <c r="F53" s="252">
        <v>100</v>
      </c>
      <c r="G53" s="252">
        <f t="shared" si="1"/>
        <v>103.5</v>
      </c>
      <c r="J53" s="230"/>
      <c r="L53" s="252">
        <f>K51*E53</f>
        <v>107192707</v>
      </c>
      <c r="M53" s="252">
        <f>K51*F53</f>
        <v>100180100</v>
      </c>
      <c r="N53" s="252">
        <f t="shared" si="2"/>
        <v>103686403.5</v>
      </c>
      <c r="P53" s="252"/>
      <c r="Q53" s="252"/>
      <c r="S53" s="348">
        <f>L53/Q51</f>
        <v>0.8339199202544052</v>
      </c>
      <c r="T53" s="348">
        <f>M53/Q51</f>
        <v>0.77936441145271518</v>
      </c>
      <c r="U53" s="1043">
        <f t="shared" si="3"/>
        <v>0.80664216585356019</v>
      </c>
      <c r="V53" s="2088" t="str">
        <f>Table24567[[#This Row],[Column3]]</f>
        <v>1977-Q3</v>
      </c>
    </row>
    <row r="54" spans="1:22" x14ac:dyDescent="0.3">
      <c r="A54" s="211">
        <f t="shared" si="6"/>
        <v>1977</v>
      </c>
      <c r="B54" s="211" t="str">
        <f t="shared" si="7"/>
        <v>Q4</v>
      </c>
      <c r="C54" s="2088" t="str">
        <f t="shared" si="0"/>
        <v>1977-Q4</v>
      </c>
      <c r="E54" s="252">
        <v>139</v>
      </c>
      <c r="F54" s="252">
        <v>107</v>
      </c>
      <c r="G54" s="252">
        <f t="shared" si="1"/>
        <v>123</v>
      </c>
      <c r="J54" s="230"/>
      <c r="L54" s="252">
        <f>K51*E54</f>
        <v>139250339</v>
      </c>
      <c r="M54" s="252">
        <f>K51*F54</f>
        <v>107192707</v>
      </c>
      <c r="N54" s="252">
        <f t="shared" si="2"/>
        <v>123221523</v>
      </c>
      <c r="P54" s="252"/>
      <c r="Q54" s="252"/>
      <c r="S54" s="348">
        <f>L54/Q51</f>
        <v>1.0833165319192741</v>
      </c>
      <c r="T54" s="348">
        <f>M54/Q51</f>
        <v>0.8339199202544052</v>
      </c>
      <c r="U54" s="1043">
        <f t="shared" si="3"/>
        <v>0.95861822608683966</v>
      </c>
      <c r="V54" s="2088" t="str">
        <f>Table24567[[#This Row],[Column3]]</f>
        <v>1977-Q4</v>
      </c>
    </row>
    <row r="55" spans="1:22" x14ac:dyDescent="0.3">
      <c r="A55" s="211">
        <f t="shared" si="6"/>
        <v>1978</v>
      </c>
      <c r="B55" s="211" t="str">
        <f t="shared" si="7"/>
        <v>Q1</v>
      </c>
      <c r="C55" s="2088" t="str">
        <f t="shared" si="0"/>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2"/>
        <v>141989925</v>
      </c>
      <c r="P55" s="252">
        <f>'4. Financials'!J84</f>
        <v>254166000</v>
      </c>
      <c r="Q55" s="252">
        <f>AVERAGE(P51,P55)</f>
        <v>197977201.5</v>
      </c>
      <c r="S55" s="348">
        <f>L55/Q55</f>
        <v>0.73799191974132439</v>
      </c>
      <c r="T55" s="348">
        <f>M55/Q55</f>
        <v>0.69641491017843282</v>
      </c>
      <c r="U55" s="1043">
        <f t="shared" si="3"/>
        <v>0.7172034149598786</v>
      </c>
      <c r="V55" s="2088" t="str">
        <f>Table24567[[#This Row],[Column3]]</f>
        <v>1978-Q1</v>
      </c>
    </row>
    <row r="56" spans="1:22" x14ac:dyDescent="0.3">
      <c r="A56" s="211">
        <f t="shared" si="6"/>
        <v>1978</v>
      </c>
      <c r="B56" s="211" t="str">
        <f t="shared" si="7"/>
        <v>Q2</v>
      </c>
      <c r="C56" s="2088" t="str">
        <f t="shared" si="0"/>
        <v>1978-Q2</v>
      </c>
      <c r="E56" s="252">
        <v>180</v>
      </c>
      <c r="F56" s="252">
        <v>142</v>
      </c>
      <c r="G56" s="252">
        <f t="shared" si="1"/>
        <v>161</v>
      </c>
      <c r="J56" s="230"/>
      <c r="L56" s="252">
        <f>K55*E56</f>
        <v>185204250</v>
      </c>
      <c r="M56" s="252">
        <f>K55*F56</f>
        <v>146105575</v>
      </c>
      <c r="N56" s="252">
        <f t="shared" si="2"/>
        <v>165654912.5</v>
      </c>
      <c r="P56" s="252"/>
      <c r="Q56" s="252"/>
      <c r="S56" s="348">
        <f>L56/Q55</f>
        <v>0.9354827151650591</v>
      </c>
      <c r="T56" s="348">
        <f>M56/Q55</f>
        <v>0.73799191974132439</v>
      </c>
      <c r="U56" s="1043">
        <f t="shared" si="3"/>
        <v>0.8367373174531918</v>
      </c>
      <c r="V56" s="2088" t="str">
        <f>Table24567[[#This Row],[Column3]]</f>
        <v>1978-Q2</v>
      </c>
    </row>
    <row r="57" spans="1:22" x14ac:dyDescent="0.3">
      <c r="A57" s="211">
        <f t="shared" si="6"/>
        <v>1978</v>
      </c>
      <c r="B57" s="211" t="str">
        <f t="shared" si="7"/>
        <v>Q3</v>
      </c>
      <c r="C57" s="2088" t="str">
        <f t="shared" si="0"/>
        <v>1978-Q3</v>
      </c>
      <c r="E57" s="252">
        <v>180</v>
      </c>
      <c r="F57" s="252">
        <v>165</v>
      </c>
      <c r="G57" s="252">
        <f t="shared" si="1"/>
        <v>172.5</v>
      </c>
      <c r="J57" s="230"/>
      <c r="L57" s="252">
        <f>K55*E57</f>
        <v>185204250</v>
      </c>
      <c r="M57" s="252">
        <f>K55*F57</f>
        <v>169770562.5</v>
      </c>
      <c r="N57" s="252">
        <f t="shared" si="2"/>
        <v>177487406.25</v>
      </c>
      <c r="P57" s="252"/>
      <c r="Q57" s="252"/>
      <c r="S57" s="348">
        <f>L57/Q55</f>
        <v>0.9354827151650591</v>
      </c>
      <c r="T57" s="348">
        <f>M57/Q55</f>
        <v>0.85752582223463747</v>
      </c>
      <c r="U57" s="1043">
        <f t="shared" si="3"/>
        <v>0.89650426869984834</v>
      </c>
      <c r="V57" s="2088" t="str">
        <f>Table24567[[#This Row],[Column3]]</f>
        <v>1978-Q3</v>
      </c>
    </row>
    <row r="58" spans="1:22" x14ac:dyDescent="0.3">
      <c r="A58" s="211">
        <f t="shared" si="6"/>
        <v>1978</v>
      </c>
      <c r="B58" s="211" t="str">
        <f t="shared" si="7"/>
        <v>Q4</v>
      </c>
      <c r="C58" s="2088" t="str">
        <f t="shared" si="0"/>
        <v>1978-Q4</v>
      </c>
      <c r="E58" s="252">
        <v>189</v>
      </c>
      <c r="F58" s="252">
        <v>152</v>
      </c>
      <c r="G58" s="252">
        <f t="shared" si="1"/>
        <v>170.5</v>
      </c>
      <c r="J58" s="230"/>
      <c r="L58" s="252">
        <f>K55*E58</f>
        <v>194464462.5</v>
      </c>
      <c r="M58" s="252">
        <f>K55*F58</f>
        <v>156394700</v>
      </c>
      <c r="N58" s="252">
        <f t="shared" si="2"/>
        <v>175429581.25</v>
      </c>
      <c r="P58" s="252"/>
      <c r="Q58" s="252"/>
      <c r="S58" s="348">
        <f>L58/Q55</f>
        <v>0.98225685092331194</v>
      </c>
      <c r="T58" s="348">
        <f>M58/Q55</f>
        <v>0.78996318169493873</v>
      </c>
      <c r="U58" s="1043">
        <f t="shared" si="3"/>
        <v>0.88611001630912534</v>
      </c>
      <c r="V58" s="2088" t="str">
        <f>Table24567[[#This Row],[Column3]]</f>
        <v>1978-Q4</v>
      </c>
    </row>
    <row r="59" spans="1:22" x14ac:dyDescent="0.3">
      <c r="A59" s="211">
        <f t="shared" si="6"/>
        <v>1979</v>
      </c>
      <c r="B59" s="211" t="str">
        <f t="shared" si="7"/>
        <v>Q1</v>
      </c>
      <c r="C59" s="2088" t="str">
        <f t="shared" si="0"/>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si="2"/>
        <v>174101077.5</v>
      </c>
      <c r="P59" s="252">
        <f>'4. Financials'!I84</f>
        <v>344962000</v>
      </c>
      <c r="Q59" s="252">
        <f>AVERAGE(P55,P59)</f>
        <v>299564000</v>
      </c>
      <c r="S59" s="348">
        <f>L59/Q59</f>
        <v>0.63432797332122681</v>
      </c>
      <c r="T59" s="348">
        <f>M59/Q59</f>
        <v>0.52803517779172393</v>
      </c>
      <c r="U59" s="1043">
        <f t="shared" si="3"/>
        <v>0.58118157555647532</v>
      </c>
      <c r="V59" s="2088" t="str">
        <f>Table24567[[#This Row],[Column3]]</f>
        <v>1979-Q1</v>
      </c>
    </row>
    <row r="60" spans="1:22" x14ac:dyDescent="0.3">
      <c r="A60" s="211">
        <f t="shared" si="6"/>
        <v>1979</v>
      </c>
      <c r="B60" s="211" t="str">
        <f t="shared" si="7"/>
        <v>Q2</v>
      </c>
      <c r="C60" s="2088" t="str">
        <f t="shared" si="0"/>
        <v>1979-Q2</v>
      </c>
      <c r="E60" s="252">
        <v>215</v>
      </c>
      <c r="F60" s="252">
        <v>185</v>
      </c>
      <c r="G60" s="252">
        <f t="shared" si="1"/>
        <v>200</v>
      </c>
      <c r="J60" s="230"/>
      <c r="L60" s="252">
        <f>K59*E60</f>
        <v>220836175</v>
      </c>
      <c r="M60" s="252">
        <f>K59*F60</f>
        <v>190021825</v>
      </c>
      <c r="N60" s="252">
        <f t="shared" si="2"/>
        <v>205429000</v>
      </c>
      <c r="P60" s="252"/>
      <c r="Q60" s="252"/>
      <c r="S60" s="348">
        <f>L60/Q59</f>
        <v>0.73719196899493933</v>
      </c>
      <c r="T60" s="348">
        <f>M60/Q59</f>
        <v>0.63432797332122681</v>
      </c>
      <c r="U60" s="1043">
        <f t="shared" si="3"/>
        <v>0.68575997115808307</v>
      </c>
      <c r="V60" s="2088" t="str">
        <f>Table24567[[#This Row],[Column3]]</f>
        <v>1979-Q2</v>
      </c>
    </row>
    <row r="61" spans="1:22" x14ac:dyDescent="0.3">
      <c r="A61" s="211">
        <f t="shared" si="6"/>
        <v>1979</v>
      </c>
      <c r="B61" s="211" t="str">
        <f t="shared" si="7"/>
        <v>Q3</v>
      </c>
      <c r="C61" s="2088" t="str">
        <f t="shared" si="0"/>
        <v>1979-Q3</v>
      </c>
      <c r="E61" s="252">
        <v>350</v>
      </c>
      <c r="F61" s="252">
        <v>215</v>
      </c>
      <c r="G61" s="252">
        <f t="shared" si="1"/>
        <v>282.5</v>
      </c>
      <c r="J61" s="230"/>
      <c r="L61" s="252">
        <f>K59*E61</f>
        <v>359500750</v>
      </c>
      <c r="M61" s="252">
        <f>K59*F61</f>
        <v>220836175</v>
      </c>
      <c r="N61" s="252">
        <f t="shared" si="2"/>
        <v>290168462.5</v>
      </c>
      <c r="P61" s="252"/>
      <c r="Q61" s="252"/>
      <c r="S61" s="348">
        <f>L61/Q59</f>
        <v>1.2000799495266454</v>
      </c>
      <c r="T61" s="348">
        <f>M61/Q59</f>
        <v>0.73719196899493933</v>
      </c>
      <c r="U61" s="1043">
        <f t="shared" si="3"/>
        <v>0.96863595926079238</v>
      </c>
      <c r="V61" s="2088" t="str">
        <f>Table24567[[#This Row],[Column3]]</f>
        <v>1979-Q3</v>
      </c>
    </row>
    <row r="62" spans="1:22" x14ac:dyDescent="0.3">
      <c r="A62" s="211">
        <f t="shared" si="6"/>
        <v>1979</v>
      </c>
      <c r="B62" s="211" t="str">
        <f t="shared" si="7"/>
        <v>Q4</v>
      </c>
      <c r="C62" s="2088" t="str">
        <f t="shared" si="0"/>
        <v>1979-Q4</v>
      </c>
      <c r="E62" s="252">
        <v>335</v>
      </c>
      <c r="F62" s="252">
        <v>240</v>
      </c>
      <c r="G62" s="252">
        <f t="shared" si="1"/>
        <v>287.5</v>
      </c>
      <c r="J62" s="230"/>
      <c r="L62" s="252">
        <f>K59*E62</f>
        <v>344093575</v>
      </c>
      <c r="M62" s="252">
        <f>K59*F62</f>
        <v>246514800</v>
      </c>
      <c r="N62" s="252">
        <f t="shared" si="2"/>
        <v>295304187.5</v>
      </c>
      <c r="P62" s="252"/>
      <c r="Q62" s="252"/>
      <c r="S62" s="348">
        <f>L62/Q59</f>
        <v>1.1486479516897892</v>
      </c>
      <c r="T62" s="348">
        <f>M62/Q59</f>
        <v>0.82291196538969968</v>
      </c>
      <c r="U62" s="1043">
        <f t="shared" si="3"/>
        <v>0.98577995853974443</v>
      </c>
      <c r="V62" s="2088" t="str">
        <f>Table24567[[#This Row],[Column3]]</f>
        <v>1979-Q4</v>
      </c>
    </row>
    <row r="63" spans="1:22" x14ac:dyDescent="0.3">
      <c r="A63" s="211">
        <f t="shared" si="6"/>
        <v>1980</v>
      </c>
      <c r="B63" s="211" t="str">
        <f t="shared" si="7"/>
        <v>Q1</v>
      </c>
      <c r="C63" s="2088" t="str">
        <f t="shared" si="0"/>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2"/>
        <v>312046620</v>
      </c>
      <c r="P63" s="252">
        <f>'4. Financials'!H84</f>
        <v>395214000</v>
      </c>
      <c r="Q63" s="252">
        <f>AVERAGE(P59,P63)</f>
        <v>370088000</v>
      </c>
      <c r="S63" s="348">
        <f>L63/Q63</f>
        <v>0.97916365837314367</v>
      </c>
      <c r="T63" s="348">
        <f>M63/Q63</f>
        <v>0.70717375326949261</v>
      </c>
      <c r="U63" s="1043">
        <f t="shared" si="3"/>
        <v>0.8431687058213182</v>
      </c>
      <c r="V63" s="2088" t="str">
        <f>Table24567[[#This Row],[Column3]]</f>
        <v>1980-Q1</v>
      </c>
    </row>
    <row r="64" spans="1:22" x14ac:dyDescent="0.3">
      <c r="A64" s="211">
        <f t="shared" si="6"/>
        <v>1980</v>
      </c>
      <c r="B64" s="211" t="str">
        <f t="shared" si="7"/>
        <v>Q2</v>
      </c>
      <c r="C64" s="2088" t="str">
        <f t="shared" si="0"/>
        <v>1980-Q2</v>
      </c>
      <c r="E64" s="252">
        <v>340</v>
      </c>
      <c r="F64" s="252">
        <v>250</v>
      </c>
      <c r="G64" s="252">
        <f t="shared" si="1"/>
        <v>295</v>
      </c>
      <c r="J64" s="230"/>
      <c r="L64" s="252">
        <f>K63*E64</f>
        <v>342244680</v>
      </c>
      <c r="M64" s="252">
        <f>K63*F64</f>
        <v>251650500</v>
      </c>
      <c r="N64" s="252">
        <f t="shared" si="2"/>
        <v>296947590</v>
      </c>
      <c r="P64" s="252"/>
      <c r="Q64" s="252"/>
      <c r="S64" s="348">
        <f>L64/Q63</f>
        <v>0.92476567735241344</v>
      </c>
      <c r="T64" s="348">
        <f>M64/Q63</f>
        <v>0.6799747627591276</v>
      </c>
      <c r="U64" s="1043">
        <f t="shared" si="3"/>
        <v>0.80237022005577052</v>
      </c>
      <c r="V64" s="2088" t="str">
        <f>Table24567[[#This Row],[Column3]]</f>
        <v>1980-Q2</v>
      </c>
    </row>
    <row r="65" spans="1:22" x14ac:dyDescent="0.3">
      <c r="A65" s="211">
        <f t="shared" si="6"/>
        <v>1980</v>
      </c>
      <c r="B65" s="211" t="str">
        <f t="shared" si="7"/>
        <v>Q3</v>
      </c>
      <c r="C65" s="2088" t="str">
        <f t="shared" si="0"/>
        <v>1980-Q3</v>
      </c>
      <c r="E65" s="252">
        <v>415</v>
      </c>
      <c r="F65" s="252">
        <v>305</v>
      </c>
      <c r="G65" s="252">
        <f t="shared" si="1"/>
        <v>360</v>
      </c>
      <c r="J65" s="230"/>
      <c r="L65" s="252">
        <f>K63*E65</f>
        <v>417739830</v>
      </c>
      <c r="M65" s="252">
        <f>K63*F65</f>
        <v>307013610</v>
      </c>
      <c r="N65" s="252">
        <f t="shared" si="2"/>
        <v>362376720</v>
      </c>
      <c r="P65" s="252"/>
      <c r="Q65" s="252"/>
      <c r="S65" s="348">
        <f>L65/Q63</f>
        <v>1.1287581061801517</v>
      </c>
      <c r="T65" s="348">
        <f>M65/Q63</f>
        <v>0.82956921056613564</v>
      </c>
      <c r="U65" s="1043">
        <f t="shared" si="3"/>
        <v>0.97916365837314367</v>
      </c>
      <c r="V65" s="2088" t="str">
        <f>Table24567[[#This Row],[Column3]]</f>
        <v>1980-Q3</v>
      </c>
    </row>
    <row r="66" spans="1:22" x14ac:dyDescent="0.3">
      <c r="A66" s="211">
        <f t="shared" si="6"/>
        <v>1980</v>
      </c>
      <c r="B66" s="211" t="str">
        <f t="shared" si="7"/>
        <v>Q4</v>
      </c>
      <c r="C66" s="2088" t="str">
        <f t="shared" si="0"/>
        <v>1980-Q4</v>
      </c>
      <c r="E66" s="252">
        <v>490</v>
      </c>
      <c r="F66" s="252">
        <v>385</v>
      </c>
      <c r="G66" s="252">
        <f t="shared" si="1"/>
        <v>437.5</v>
      </c>
      <c r="J66" s="230"/>
      <c r="L66" s="252">
        <f>K63*E66</f>
        <v>493234980</v>
      </c>
      <c r="M66" s="252">
        <f>K63*F66</f>
        <v>387541770</v>
      </c>
      <c r="N66" s="252">
        <f t="shared" si="2"/>
        <v>440388375</v>
      </c>
      <c r="P66" s="252"/>
      <c r="Q66" s="252"/>
      <c r="S66" s="348">
        <f>L66/Q63</f>
        <v>1.3327505350078901</v>
      </c>
      <c r="T66" s="348">
        <f>M66/Q63</f>
        <v>1.0471611346490564</v>
      </c>
      <c r="U66" s="1043">
        <f t="shared" si="3"/>
        <v>1.1899558348284733</v>
      </c>
      <c r="V66" s="2088" t="str">
        <f>Table24567[[#This Row],[Column3]]</f>
        <v>1980-Q4</v>
      </c>
    </row>
    <row r="67" spans="1:22" x14ac:dyDescent="0.3">
      <c r="A67" s="211">
        <f t="shared" si="6"/>
        <v>1981</v>
      </c>
      <c r="B67" s="211" t="str">
        <f t="shared" si="7"/>
        <v>Q1</v>
      </c>
      <c r="C67" s="2088" t="str">
        <f t="shared" si="0"/>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2"/>
        <v>458622060</v>
      </c>
      <c r="P67" s="252">
        <f>'4. Financials'!G84</f>
        <v>519463000</v>
      </c>
      <c r="Q67" s="252">
        <f>AVERAGE(P63,P67)</f>
        <v>457338500</v>
      </c>
      <c r="S67" s="348">
        <f>L67/Q67</f>
        <v>1.0890695185294919</v>
      </c>
      <c r="T67" s="348">
        <f>M67/Q67</f>
        <v>0.91654365420798822</v>
      </c>
      <c r="U67" s="1043">
        <f t="shared" si="3"/>
        <v>1.0028065863687401</v>
      </c>
      <c r="V67" s="2088" t="str">
        <f>Table24567[[#This Row],[Column3]]</f>
        <v>1981-Q1</v>
      </c>
    </row>
    <row r="68" spans="1:22" x14ac:dyDescent="0.3">
      <c r="A68" s="211">
        <f t="shared" si="6"/>
        <v>1981</v>
      </c>
      <c r="B68" s="211" t="str">
        <f t="shared" si="7"/>
        <v>Q2</v>
      </c>
      <c r="C68" s="2088" t="str">
        <f t="shared" ref="C68:C131" si="8">CONCATENATE(A68,"-",B68)</f>
        <v>1981-Q2</v>
      </c>
      <c r="E68" s="252">
        <v>525</v>
      </c>
      <c r="F68" s="252">
        <v>485</v>
      </c>
      <c r="G68" s="252">
        <f t="shared" si="1"/>
        <v>505</v>
      </c>
      <c r="J68" s="230"/>
      <c r="L68" s="252">
        <f>K67*E68</f>
        <v>517799100</v>
      </c>
      <c r="M68" s="252">
        <f>K67*F68</f>
        <v>478347740</v>
      </c>
      <c r="N68" s="252">
        <f t="shared" ref="N68:N121" si="9">AVERAGE(L68:M68)</f>
        <v>498073420</v>
      </c>
      <c r="P68" s="252"/>
      <c r="Q68" s="252"/>
      <c r="S68" s="348">
        <f>L68/Q67</f>
        <v>1.1322009846098677</v>
      </c>
      <c r="T68" s="348">
        <f>M68/Q67</f>
        <v>1.045938052449116</v>
      </c>
      <c r="U68" s="1043">
        <f t="shared" ref="U68:U131" si="10">AVERAGE(S68:T68)</f>
        <v>1.0890695185294919</v>
      </c>
      <c r="V68" s="2088" t="str">
        <f>Table24567[[#This Row],[Column3]]</f>
        <v>1981-Q2</v>
      </c>
    </row>
    <row r="69" spans="1:22" x14ac:dyDescent="0.3">
      <c r="A69" s="211">
        <f t="shared" si="6"/>
        <v>1981</v>
      </c>
      <c r="B69" s="211" t="str">
        <f t="shared" si="7"/>
        <v>Q3</v>
      </c>
      <c r="C69" s="2088" t="str">
        <f t="shared" si="8"/>
        <v>1981-Q3</v>
      </c>
      <c r="E69" s="252">
        <v>520</v>
      </c>
      <c r="F69" s="252">
        <v>460</v>
      </c>
      <c r="G69" s="252">
        <f t="shared" si="1"/>
        <v>490</v>
      </c>
      <c r="J69" s="230"/>
      <c r="L69" s="252">
        <f>K67*E69</f>
        <v>512867680</v>
      </c>
      <c r="M69" s="252">
        <f>K67*F69</f>
        <v>453690640</v>
      </c>
      <c r="N69" s="252">
        <f t="shared" si="9"/>
        <v>483279160</v>
      </c>
      <c r="P69" s="252"/>
      <c r="Q69" s="252"/>
      <c r="S69" s="348">
        <f>L69/Q67</f>
        <v>1.1214181180897738</v>
      </c>
      <c r="T69" s="348">
        <f>M69/Q67</f>
        <v>0.99202371984864601</v>
      </c>
      <c r="U69" s="1043">
        <f t="shared" si="10"/>
        <v>1.0567209189692099</v>
      </c>
      <c r="V69" s="2088" t="str">
        <f>Table24567[[#This Row],[Column3]]</f>
        <v>1981-Q3</v>
      </c>
    </row>
    <row r="70" spans="1:22" x14ac:dyDescent="0.3">
      <c r="A70" s="211">
        <f t="shared" si="6"/>
        <v>1981</v>
      </c>
      <c r="B70" s="211" t="str">
        <f t="shared" si="7"/>
        <v>Q4</v>
      </c>
      <c r="C70" s="2088" t="str">
        <f t="shared" si="8"/>
        <v>1981-Q4</v>
      </c>
      <c r="E70" s="252">
        <v>590</v>
      </c>
      <c r="F70" s="252">
        <v>460</v>
      </c>
      <c r="G70" s="252">
        <f t="shared" si="1"/>
        <v>525</v>
      </c>
      <c r="J70" s="230"/>
      <c r="L70" s="252">
        <f>K67*E70</f>
        <v>581907560</v>
      </c>
      <c r="M70" s="252">
        <f>K67*F70</f>
        <v>453690640</v>
      </c>
      <c r="N70" s="252">
        <f t="shared" si="9"/>
        <v>517799100</v>
      </c>
      <c r="P70" s="252"/>
      <c r="Q70" s="252"/>
      <c r="S70" s="348">
        <f>L70/Q67</f>
        <v>1.2723782493710896</v>
      </c>
      <c r="T70" s="348">
        <f>M70/Q67</f>
        <v>0.99202371984864601</v>
      </c>
      <c r="U70" s="1043">
        <f t="shared" si="10"/>
        <v>1.1322009846098677</v>
      </c>
      <c r="V70" s="2088" t="str">
        <f>Table24567[[#This Row],[Column3]]</f>
        <v>1981-Q4</v>
      </c>
    </row>
    <row r="71" spans="1:22" x14ac:dyDescent="0.3">
      <c r="A71" s="211">
        <f t="shared" si="6"/>
        <v>1982</v>
      </c>
      <c r="B71" s="211" t="str">
        <f t="shared" si="7"/>
        <v>Q1</v>
      </c>
      <c r="C71" s="2088" t="str">
        <f t="shared" si="8"/>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9"/>
        <v>505585862.5</v>
      </c>
      <c r="P71" s="252">
        <f>'4. Financials'!D84</f>
        <v>727483000</v>
      </c>
      <c r="Q71" s="252">
        <f>AVERAGE(P67,P71)</f>
        <v>623473000</v>
      </c>
      <c r="S71" s="348">
        <f>L71/Q71</f>
        <v>0.88607692714840902</v>
      </c>
      <c r="T71" s="348">
        <f>M71/Q71</f>
        <v>0.73576030557858962</v>
      </c>
      <c r="U71" s="1043">
        <f t="shared" si="10"/>
        <v>0.81091861636349938</v>
      </c>
      <c r="V71" s="2088" t="str">
        <f>Table24567[[#This Row],[Column3]]</f>
        <v>1982-Q1</v>
      </c>
    </row>
    <row r="72" spans="1:22" x14ac:dyDescent="0.3">
      <c r="A72" s="211">
        <f t="shared" si="6"/>
        <v>1982</v>
      </c>
      <c r="B72" s="211" t="str">
        <f t="shared" si="7"/>
        <v>Q2</v>
      </c>
      <c r="C72" s="2088" t="str">
        <f t="shared" si="8"/>
        <v>1982-Q2</v>
      </c>
      <c r="E72" s="252">
        <v>520</v>
      </c>
      <c r="F72" s="252">
        <v>470</v>
      </c>
      <c r="G72" s="252">
        <f t="shared" si="1"/>
        <v>495</v>
      </c>
      <c r="J72" s="230"/>
      <c r="L72" s="252">
        <f>K71*E72</f>
        <v>512984680</v>
      </c>
      <c r="M72" s="252">
        <f>K71*F72</f>
        <v>463659230</v>
      </c>
      <c r="N72" s="252">
        <f t="shared" si="9"/>
        <v>488321955</v>
      </c>
      <c r="P72" s="252"/>
      <c r="Q72" s="252"/>
      <c r="S72" s="348">
        <f>L72/Q71</f>
        <v>0.82278571806637979</v>
      </c>
      <c r="T72" s="348">
        <f>M72/Q71</f>
        <v>0.74367170671384331</v>
      </c>
      <c r="U72" s="1043">
        <f t="shared" si="10"/>
        <v>0.7832287123901116</v>
      </c>
      <c r="V72" s="2088" t="str">
        <f>Table24567[[#This Row],[Column3]]</f>
        <v>1982-Q2</v>
      </c>
    </row>
    <row r="73" spans="1:22" x14ac:dyDescent="0.3">
      <c r="A73" s="211">
        <f t="shared" si="6"/>
        <v>1982</v>
      </c>
      <c r="B73" s="211" t="str">
        <f t="shared" si="7"/>
        <v>Q3</v>
      </c>
      <c r="C73" s="2088" t="str">
        <f t="shared" si="8"/>
        <v>1982-Q3</v>
      </c>
      <c r="E73" s="252">
        <v>550</v>
      </c>
      <c r="F73" s="252">
        <v>430</v>
      </c>
      <c r="G73" s="252">
        <f t="shared" si="1"/>
        <v>490</v>
      </c>
      <c r="J73" s="230"/>
      <c r="L73" s="252">
        <f>K71*E73</f>
        <v>542579950</v>
      </c>
      <c r="M73" s="252">
        <f>K71*F73</f>
        <v>424198870</v>
      </c>
      <c r="N73" s="252">
        <f t="shared" si="9"/>
        <v>483389410</v>
      </c>
      <c r="P73" s="252"/>
      <c r="Q73" s="252"/>
      <c r="S73" s="348">
        <f>L73/Q71</f>
        <v>0.87025412487790166</v>
      </c>
      <c r="T73" s="348">
        <f>M73/Q71</f>
        <v>0.68038049763181407</v>
      </c>
      <c r="U73" s="1043">
        <f t="shared" si="10"/>
        <v>0.77531731125485792</v>
      </c>
      <c r="V73" s="2088" t="str">
        <f>Table24567[[#This Row],[Column3]]</f>
        <v>1982-Q3</v>
      </c>
    </row>
    <row r="74" spans="1:22" x14ac:dyDescent="0.3">
      <c r="A74" s="211">
        <f t="shared" si="6"/>
        <v>1982</v>
      </c>
      <c r="B74" s="211" t="str">
        <f t="shared" si="7"/>
        <v>Q4</v>
      </c>
      <c r="C74" s="2088" t="str">
        <f t="shared" si="8"/>
        <v>1982-Q4</v>
      </c>
      <c r="E74" s="252">
        <v>775</v>
      </c>
      <c r="F74" s="252">
        <v>540</v>
      </c>
      <c r="G74" s="252">
        <f t="shared" si="1"/>
        <v>657.5</v>
      </c>
      <c r="J74" s="230"/>
      <c r="L74" s="252">
        <f>K71*E74</f>
        <v>764544475</v>
      </c>
      <c r="M74" s="252">
        <f>K71*F74</f>
        <v>532714860</v>
      </c>
      <c r="N74" s="252">
        <f t="shared" si="9"/>
        <v>648629667.5</v>
      </c>
      <c r="P74" s="252"/>
      <c r="Q74" s="252"/>
      <c r="S74" s="348">
        <f>L74/Q71</f>
        <v>1.226267175964316</v>
      </c>
      <c r="T74" s="348">
        <f>M74/Q71</f>
        <v>0.85443132260739441</v>
      </c>
      <c r="U74" s="1043">
        <f t="shared" si="10"/>
        <v>1.0403492492858553</v>
      </c>
      <c r="V74" s="2088" t="str">
        <f>Table24567[[#This Row],[Column3]]</f>
        <v>1982-Q4</v>
      </c>
    </row>
    <row r="75" spans="1:22" x14ac:dyDescent="0.3">
      <c r="A75" s="211">
        <f t="shared" si="6"/>
        <v>1983</v>
      </c>
      <c r="B75" s="211" t="str">
        <f t="shared" si="7"/>
        <v>Q1</v>
      </c>
      <c r="C75" s="2088" t="str">
        <f t="shared" si="8"/>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si="9"/>
        <v>928036830</v>
      </c>
      <c r="P75" s="252">
        <f>'4. Financials'!C84</f>
        <v>1119193000</v>
      </c>
      <c r="Q75" s="252">
        <f>AVERAGE(P71,P75)</f>
        <v>923338000</v>
      </c>
      <c r="S75" s="348">
        <f>L75/Q75</f>
        <v>1.114840053154966</v>
      </c>
      <c r="T75" s="348">
        <f>M75/Q75</f>
        <v>0.89533786652341829</v>
      </c>
      <c r="U75" s="1043">
        <f t="shared" si="10"/>
        <v>1.0050889598391921</v>
      </c>
      <c r="V75" s="2088" t="str">
        <f>Table24567[[#This Row],[Column3]]</f>
        <v>1983-Q1</v>
      </c>
    </row>
    <row r="76" spans="1:22" x14ac:dyDescent="0.3">
      <c r="A76" s="211">
        <f t="shared" ref="A76:A139" si="11">A72+1</f>
        <v>1983</v>
      </c>
      <c r="B76" s="211" t="str">
        <f t="shared" ref="B76:B139" si="12">B72</f>
        <v>Q2</v>
      </c>
      <c r="C76" s="2088" t="str">
        <f t="shared" si="8"/>
        <v>1983-Q2</v>
      </c>
      <c r="E76" s="252">
        <v>985</v>
      </c>
      <c r="F76" s="252">
        <v>890</v>
      </c>
      <c r="G76" s="252">
        <f t="shared" si="1"/>
        <v>937.5</v>
      </c>
      <c r="J76" s="230"/>
      <c r="L76" s="252">
        <f>K75*E76</f>
        <v>1050708365</v>
      </c>
      <c r="M76" s="252">
        <f>K75*F76</f>
        <v>949371010</v>
      </c>
      <c r="N76" s="252">
        <f t="shared" si="9"/>
        <v>1000039687.5</v>
      </c>
      <c r="P76" s="252"/>
      <c r="Q76" s="252"/>
      <c r="S76" s="348">
        <f>L76/Q75</f>
        <v>1.1379455464846027</v>
      </c>
      <c r="T76" s="348">
        <f>M76/Q75</f>
        <v>1.0281944531688287</v>
      </c>
      <c r="U76" s="1043">
        <f t="shared" si="10"/>
        <v>1.0830699998267157</v>
      </c>
      <c r="V76" s="2088" t="str">
        <f>Table24567[[#This Row],[Column3]]</f>
        <v>1983-Q2</v>
      </c>
    </row>
    <row r="77" spans="1:22" x14ac:dyDescent="0.3">
      <c r="A77" s="211">
        <f t="shared" si="11"/>
        <v>1983</v>
      </c>
      <c r="B77" s="211" t="str">
        <f t="shared" si="12"/>
        <v>Q3</v>
      </c>
      <c r="C77" s="2088" t="str">
        <f t="shared" si="8"/>
        <v>1983-Q3</v>
      </c>
      <c r="E77" s="252">
        <v>1245</v>
      </c>
      <c r="F77" s="252">
        <v>905</v>
      </c>
      <c r="G77" s="252">
        <f t="shared" si="1"/>
        <v>1075</v>
      </c>
      <c r="J77" s="230"/>
      <c r="L77" s="252">
        <f>K75*E77</f>
        <v>1328052705</v>
      </c>
      <c r="M77" s="252">
        <f>K75*F77</f>
        <v>965371645</v>
      </c>
      <c r="N77" s="252">
        <f t="shared" si="9"/>
        <v>1146712175</v>
      </c>
      <c r="P77" s="252"/>
      <c r="Q77" s="252"/>
      <c r="S77" s="348">
        <f>L77/Q75</f>
        <v>1.4383169597698784</v>
      </c>
      <c r="T77" s="348">
        <f>M77/Q75</f>
        <v>1.0455235731660562</v>
      </c>
      <c r="U77" s="1043">
        <f t="shared" si="10"/>
        <v>1.2419202664679672</v>
      </c>
      <c r="V77" s="2088" t="str">
        <f>Table24567[[#This Row],[Column3]]</f>
        <v>1983-Q3</v>
      </c>
    </row>
    <row r="78" spans="1:22" x14ac:dyDescent="0.3">
      <c r="A78" s="211">
        <f t="shared" si="11"/>
        <v>1983</v>
      </c>
      <c r="B78" s="211" t="str">
        <f t="shared" si="12"/>
        <v>Q4</v>
      </c>
      <c r="C78" s="2088" t="str">
        <f t="shared" si="8"/>
        <v>1983-Q4</v>
      </c>
      <c r="E78" s="252">
        <v>1385</v>
      </c>
      <c r="F78" s="252">
        <v>1240</v>
      </c>
      <c r="G78" s="252">
        <f t="shared" si="1"/>
        <v>1312.5</v>
      </c>
      <c r="J78" s="230"/>
      <c r="L78" s="252">
        <f>K75*E78</f>
        <v>1477391965</v>
      </c>
      <c r="M78" s="252">
        <f>K75*F78</f>
        <v>1322719160</v>
      </c>
      <c r="N78" s="252">
        <f t="shared" si="9"/>
        <v>1400055562.5</v>
      </c>
      <c r="P78" s="252"/>
      <c r="Q78" s="252"/>
      <c r="S78" s="348">
        <f>L78/Q75</f>
        <v>1.6000554130773346</v>
      </c>
      <c r="T78" s="348">
        <f>M78/Q75</f>
        <v>1.4325405864374692</v>
      </c>
      <c r="U78" s="1043">
        <f t="shared" si="10"/>
        <v>1.516297999757402</v>
      </c>
      <c r="V78" s="2088" t="str">
        <f>Table24567[[#This Row],[Column3]]</f>
        <v>1983-Q4</v>
      </c>
    </row>
    <row r="79" spans="1:22" x14ac:dyDescent="0.3">
      <c r="A79" s="211">
        <f t="shared" si="11"/>
        <v>1984</v>
      </c>
      <c r="B79" s="211" t="str">
        <f t="shared" si="12"/>
        <v>Q1</v>
      </c>
      <c r="C79" s="2088" t="str">
        <f t="shared" si="8"/>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si="9"/>
        <v>1490981700</v>
      </c>
      <c r="P79" s="252">
        <f>'4. Financials'!B84</f>
        <v>1271761000</v>
      </c>
      <c r="Q79" s="252">
        <f>AVERAGE(P75,P79)</f>
        <v>1195477000</v>
      </c>
      <c r="S79" s="348">
        <f>L79/Q79</f>
        <v>1.3047480127179361</v>
      </c>
      <c r="T79" s="348">
        <f>M79/Q79</f>
        <v>1.1896231880663535</v>
      </c>
      <c r="U79" s="1043">
        <f t="shared" si="10"/>
        <v>1.2471856003921449</v>
      </c>
      <c r="V79" s="2088" t="str">
        <f>Table24567[[#This Row],[Column3]]</f>
        <v>1984-Q1</v>
      </c>
    </row>
    <row r="80" spans="1:22" x14ac:dyDescent="0.3">
      <c r="A80" s="211">
        <f t="shared" si="11"/>
        <v>1984</v>
      </c>
      <c r="B80" s="211" t="str">
        <f t="shared" si="12"/>
        <v>Q2</v>
      </c>
      <c r="C80" s="2088" t="str">
        <f t="shared" si="8"/>
        <v>1984-Q2</v>
      </c>
      <c r="E80" s="252">
        <v>1345</v>
      </c>
      <c r="F80" s="252">
        <v>1220</v>
      </c>
      <c r="G80" s="252">
        <f t="shared" si="1"/>
        <v>1282.5</v>
      </c>
      <c r="J80" s="230"/>
      <c r="L80" s="252">
        <f>K79*E80</f>
        <v>1542592605</v>
      </c>
      <c r="M80" s="252">
        <f>K79*F80</f>
        <v>1399228980</v>
      </c>
      <c r="N80" s="252">
        <f t="shared" si="9"/>
        <v>1470910792.5</v>
      </c>
      <c r="P80" s="252"/>
      <c r="Q80" s="252"/>
      <c r="S80" s="348">
        <f>L80/Q79</f>
        <v>1.2903574096364883</v>
      </c>
      <c r="T80" s="348">
        <f>M80/Q79</f>
        <v>1.1704357172910897</v>
      </c>
      <c r="U80" s="1043">
        <f t="shared" si="10"/>
        <v>1.230396563463789</v>
      </c>
      <c r="V80" s="2088" t="str">
        <f>Table24567[[#This Row],[Column3]]</f>
        <v>1984-Q2</v>
      </c>
    </row>
    <row r="81" spans="1:22" x14ac:dyDescent="0.3">
      <c r="A81" s="211">
        <f t="shared" si="11"/>
        <v>1984</v>
      </c>
      <c r="B81" s="211" t="str">
        <f t="shared" si="12"/>
        <v>Q3</v>
      </c>
      <c r="C81" s="2088" t="str">
        <f t="shared" si="8"/>
        <v>1984-Q3</v>
      </c>
      <c r="E81" s="252">
        <v>1305</v>
      </c>
      <c r="F81" s="252">
        <v>1230</v>
      </c>
      <c r="G81" s="252">
        <f t="shared" si="1"/>
        <v>1267.5</v>
      </c>
      <c r="J81" s="230"/>
      <c r="L81" s="252">
        <f>K79*E81</f>
        <v>1496716245</v>
      </c>
      <c r="M81" s="252">
        <f>K79*F81</f>
        <v>1410698070</v>
      </c>
      <c r="N81" s="252">
        <f t="shared" si="9"/>
        <v>1453707157.5</v>
      </c>
      <c r="P81" s="252"/>
      <c r="Q81" s="252"/>
      <c r="S81" s="348">
        <f>L81/Q79</f>
        <v>1.2519824680859606</v>
      </c>
      <c r="T81" s="348">
        <f>M81/Q79</f>
        <v>1.1800294526787216</v>
      </c>
      <c r="U81" s="1043">
        <f t="shared" si="10"/>
        <v>1.2160059603823412</v>
      </c>
      <c r="V81" s="2088" t="str">
        <f>Table24567[[#This Row],[Column3]]</f>
        <v>1984-Q3</v>
      </c>
    </row>
    <row r="82" spans="1:22" x14ac:dyDescent="0.3">
      <c r="A82" s="211">
        <f t="shared" si="11"/>
        <v>1984</v>
      </c>
      <c r="B82" s="211" t="str">
        <f t="shared" si="12"/>
        <v>Q4</v>
      </c>
      <c r="C82" s="2088" t="str">
        <f t="shared" si="8"/>
        <v>1984-Q4</v>
      </c>
      <c r="E82" s="252">
        <v>1305</v>
      </c>
      <c r="F82" s="252">
        <v>1265</v>
      </c>
      <c r="G82" s="252">
        <f t="shared" si="1"/>
        <v>1285</v>
      </c>
      <c r="J82" s="230"/>
      <c r="L82" s="252">
        <f>K79*E82</f>
        <v>1496716245</v>
      </c>
      <c r="M82" s="252">
        <f>K79*F82</f>
        <v>1450839885</v>
      </c>
      <c r="N82" s="252">
        <f t="shared" si="9"/>
        <v>1473778065</v>
      </c>
      <c r="P82" s="252"/>
      <c r="Q82" s="252"/>
      <c r="S82" s="348">
        <f>L82/Q79</f>
        <v>1.2519824680859606</v>
      </c>
      <c r="T82" s="348">
        <f>M82/Q79</f>
        <v>1.2136075265354331</v>
      </c>
      <c r="U82" s="1043">
        <f t="shared" si="10"/>
        <v>1.2327949973106969</v>
      </c>
      <c r="V82" s="2088" t="str">
        <f>Table24567[[#This Row],[Column3]]</f>
        <v>1984-Q4</v>
      </c>
    </row>
    <row r="83" spans="1:22" x14ac:dyDescent="0.3">
      <c r="A83" s="211">
        <f t="shared" si="11"/>
        <v>1985</v>
      </c>
      <c r="B83" s="211" t="str">
        <f t="shared" si="12"/>
        <v>Q1</v>
      </c>
      <c r="C83" s="2088" t="str">
        <f t="shared" si="8"/>
        <v>1985-Q1</v>
      </c>
      <c r="D83" s="211">
        <v>1985</v>
      </c>
      <c r="E83" s="252">
        <v>1930</v>
      </c>
      <c r="F83" s="252">
        <v>1275</v>
      </c>
      <c r="G83" s="252">
        <f t="shared" ref="G83:G146" si="13">AVERAGE(E83:F83)</f>
        <v>1602.5</v>
      </c>
      <c r="I83" s="2088">
        <v>31412</v>
      </c>
      <c r="J83" s="230">
        <v>1147000</v>
      </c>
      <c r="K83" s="278">
        <f>AVERAGE(J79,J83)</f>
        <v>1146954.5</v>
      </c>
      <c r="L83" s="252">
        <f>K83*E83</f>
        <v>2213622185</v>
      </c>
      <c r="M83" s="252">
        <f>K83*F83</f>
        <v>1462366987.5</v>
      </c>
      <c r="N83" s="252">
        <f t="shared" si="9"/>
        <v>1837994586.25</v>
      </c>
      <c r="P83" s="252">
        <v>1885330000</v>
      </c>
      <c r="Q83" s="252">
        <f>AVERAGE(P79,P83)</f>
        <v>1578545500</v>
      </c>
      <c r="S83" s="348">
        <f>L83/Q83</f>
        <v>1.4023176303755578</v>
      </c>
      <c r="T83" s="348">
        <f>M83/Q83</f>
        <v>0.92640154338281666</v>
      </c>
      <c r="U83" s="1043">
        <f t="shared" si="10"/>
        <v>1.1643595868791872</v>
      </c>
      <c r="V83" s="2088" t="str">
        <f>Table24567[[#This Row],[Column3]]</f>
        <v>1985-Q1</v>
      </c>
    </row>
    <row r="84" spans="1:22" x14ac:dyDescent="0.3">
      <c r="A84" s="211">
        <f t="shared" si="11"/>
        <v>1985</v>
      </c>
      <c r="B84" s="211" t="str">
        <f t="shared" si="12"/>
        <v>Q2</v>
      </c>
      <c r="C84" s="2088" t="str">
        <f t="shared" si="8"/>
        <v>1985-Q2</v>
      </c>
      <c r="E84" s="252">
        <v>2160</v>
      </c>
      <c r="F84" s="252">
        <v>1725</v>
      </c>
      <c r="G84" s="252">
        <f t="shared" si="13"/>
        <v>1942.5</v>
      </c>
      <c r="J84" s="230"/>
      <c r="L84" s="252">
        <f>K83*E84</f>
        <v>2477421720</v>
      </c>
      <c r="M84" s="252">
        <f>K83*F84</f>
        <v>1978496512.5</v>
      </c>
      <c r="N84" s="252">
        <f t="shared" si="9"/>
        <v>2227959116.25</v>
      </c>
      <c r="P84" s="252"/>
      <c r="Q84" s="252"/>
      <c r="S84" s="348">
        <f>L84/Q83</f>
        <v>1.5694332029073599</v>
      </c>
      <c r="T84" s="348">
        <f>M84/Q83</f>
        <v>1.2533667939885167</v>
      </c>
      <c r="U84" s="1043">
        <f t="shared" si="10"/>
        <v>1.4113999984479384</v>
      </c>
      <c r="V84" s="2088" t="str">
        <f>Table24567[[#This Row],[Column3]]</f>
        <v>1985-Q2</v>
      </c>
    </row>
    <row r="85" spans="1:22" x14ac:dyDescent="0.3">
      <c r="A85" s="211">
        <f t="shared" si="11"/>
        <v>1985</v>
      </c>
      <c r="B85" s="211" t="str">
        <f t="shared" si="12"/>
        <v>Q3</v>
      </c>
      <c r="C85" s="2088" t="str">
        <f t="shared" si="8"/>
        <v>1985-Q3</v>
      </c>
      <c r="E85" s="252">
        <v>2235</v>
      </c>
      <c r="F85" s="252">
        <v>2005</v>
      </c>
      <c r="G85" s="252">
        <f t="shared" si="13"/>
        <v>2120</v>
      </c>
      <c r="J85" s="230"/>
      <c r="L85" s="252">
        <f>K83*E85</f>
        <v>2563443307.5</v>
      </c>
      <c r="M85" s="252">
        <f>K83*F85</f>
        <v>2299643772.5</v>
      </c>
      <c r="N85" s="252">
        <f t="shared" si="9"/>
        <v>2431543540</v>
      </c>
      <c r="P85" s="252"/>
      <c r="Q85" s="252"/>
      <c r="S85" s="348">
        <f>L85/Q83</f>
        <v>1.6239274113416433</v>
      </c>
      <c r="T85" s="348">
        <f>M85/Q83</f>
        <v>1.456811838809841</v>
      </c>
      <c r="U85" s="1043">
        <f t="shared" si="10"/>
        <v>1.5403696250757422</v>
      </c>
      <c r="V85" s="2088" t="str">
        <f>Table24567[[#This Row],[Column3]]</f>
        <v>1985-Q3</v>
      </c>
    </row>
    <row r="86" spans="1:22" x14ac:dyDescent="0.3">
      <c r="A86" s="211">
        <f t="shared" si="11"/>
        <v>1985</v>
      </c>
      <c r="B86" s="211" t="str">
        <f t="shared" si="12"/>
        <v>Q4</v>
      </c>
      <c r="C86" s="2088" t="str">
        <f t="shared" si="8"/>
        <v>1985-Q4</v>
      </c>
      <c r="E86" s="252">
        <v>2730</v>
      </c>
      <c r="F86" s="252">
        <v>2075</v>
      </c>
      <c r="G86" s="252">
        <f t="shared" si="13"/>
        <v>2402.5</v>
      </c>
      <c r="J86" s="230"/>
      <c r="L86" s="252">
        <f>K83*E86</f>
        <v>3131185785</v>
      </c>
      <c r="M86" s="252">
        <f>K83*F86</f>
        <v>2379930587.5</v>
      </c>
      <c r="N86" s="252">
        <f t="shared" si="9"/>
        <v>2755558186.25</v>
      </c>
      <c r="P86" s="252"/>
      <c r="Q86" s="252"/>
      <c r="S86" s="348">
        <f>L86/Q83</f>
        <v>1.9835891870079132</v>
      </c>
      <c r="T86" s="348">
        <f>M86/Q83</f>
        <v>1.5076731000151722</v>
      </c>
      <c r="U86" s="1043">
        <f t="shared" si="10"/>
        <v>1.7456311435115426</v>
      </c>
      <c r="V86" s="2088" t="str">
        <f>Table24567[[#This Row],[Column3]]</f>
        <v>1985-Q4</v>
      </c>
    </row>
    <row r="87" spans="1:22" x14ac:dyDescent="0.3">
      <c r="A87" s="211">
        <f t="shared" si="11"/>
        <v>1986</v>
      </c>
      <c r="B87" s="211" t="str">
        <f t="shared" si="12"/>
        <v>Q1</v>
      </c>
      <c r="C87" s="2088" t="str">
        <f t="shared" si="8"/>
        <v>1986-Q1</v>
      </c>
      <c r="D87" s="211">
        <v>1986</v>
      </c>
      <c r="E87" s="252">
        <v>3250</v>
      </c>
      <c r="F87" s="252">
        <v>2220</v>
      </c>
      <c r="G87" s="252">
        <f t="shared" si="13"/>
        <v>2735</v>
      </c>
      <c r="I87" s="2088">
        <v>31777</v>
      </c>
      <c r="J87" s="230">
        <v>1147000</v>
      </c>
      <c r="K87" s="278">
        <f>AVERAGE(J83,J87)</f>
        <v>1147000</v>
      </c>
      <c r="L87" s="252">
        <f>K87*E87</f>
        <v>3727750000</v>
      </c>
      <c r="M87" s="252">
        <f>K87*F87</f>
        <v>2546340000</v>
      </c>
      <c r="N87" s="252">
        <f t="shared" si="9"/>
        <v>3137045000</v>
      </c>
      <c r="P87" s="252">
        <v>2377797000</v>
      </c>
      <c r="Q87" s="252">
        <f>AVERAGE(P83,P87)</f>
        <v>2131563500</v>
      </c>
      <c r="S87" s="348">
        <f>L87/Q87</f>
        <v>1.7488336613007307</v>
      </c>
      <c r="T87" s="348">
        <f>M87/Q87</f>
        <v>1.1945879163346529</v>
      </c>
      <c r="U87" s="1043">
        <f t="shared" si="10"/>
        <v>1.4717107888176919</v>
      </c>
      <c r="V87" s="2088" t="str">
        <f>Table24567[[#This Row],[Column3]]</f>
        <v>1986-Q1</v>
      </c>
    </row>
    <row r="88" spans="1:22" x14ac:dyDescent="0.3">
      <c r="A88" s="211">
        <f t="shared" si="11"/>
        <v>1986</v>
      </c>
      <c r="B88" s="211" t="str">
        <f t="shared" si="12"/>
        <v>Q2</v>
      </c>
      <c r="C88" s="2088" t="str">
        <f t="shared" si="8"/>
        <v>1986-Q2</v>
      </c>
      <c r="E88" s="252">
        <v>3160</v>
      </c>
      <c r="F88" s="252">
        <v>2640</v>
      </c>
      <c r="G88" s="252">
        <f t="shared" si="13"/>
        <v>2900</v>
      </c>
      <c r="J88" s="230"/>
      <c r="L88" s="252">
        <f>K87*E88</f>
        <v>3624520000</v>
      </c>
      <c r="M88" s="252">
        <f>K87*F88</f>
        <v>3028080000</v>
      </c>
      <c r="N88" s="252">
        <f t="shared" si="9"/>
        <v>3326300000</v>
      </c>
      <c r="P88" s="252"/>
      <c r="Q88" s="252"/>
      <c r="S88" s="348">
        <f>L88/Q87</f>
        <v>1.7004044214493259</v>
      </c>
      <c r="T88" s="348">
        <f>M88/Q87</f>
        <v>1.4205910356412088</v>
      </c>
      <c r="U88" s="1043">
        <f t="shared" si="10"/>
        <v>1.5604977285452675</v>
      </c>
      <c r="V88" s="2088" t="str">
        <f>Table24567[[#This Row],[Column3]]</f>
        <v>1986-Q2</v>
      </c>
    </row>
    <row r="89" spans="1:22" x14ac:dyDescent="0.3">
      <c r="A89" s="211">
        <f t="shared" si="11"/>
        <v>1986</v>
      </c>
      <c r="B89" s="211" t="str">
        <f t="shared" si="12"/>
        <v>Q3</v>
      </c>
      <c r="C89" s="2088" t="str">
        <f t="shared" si="8"/>
        <v>1986-Q3</v>
      </c>
      <c r="E89" s="252">
        <v>3100</v>
      </c>
      <c r="F89" s="252">
        <v>2525</v>
      </c>
      <c r="G89" s="252">
        <f t="shared" si="13"/>
        <v>2812.5</v>
      </c>
      <c r="J89" s="230"/>
      <c r="L89" s="252">
        <f>K87*E89</f>
        <v>3555700000</v>
      </c>
      <c r="M89" s="252">
        <f>K87*F89</f>
        <v>2896175000</v>
      </c>
      <c r="N89" s="252">
        <f t="shared" si="9"/>
        <v>3225937500</v>
      </c>
      <c r="P89" s="252"/>
      <c r="Q89" s="252"/>
      <c r="S89" s="348">
        <f>L89/Q87</f>
        <v>1.6681182615483892</v>
      </c>
      <c r="T89" s="348">
        <f>M89/Q87</f>
        <v>1.3587092291644138</v>
      </c>
      <c r="U89" s="1043">
        <f t="shared" si="10"/>
        <v>1.5134137453564014</v>
      </c>
      <c r="V89" s="2088" t="str">
        <f>Table24567[[#This Row],[Column3]]</f>
        <v>1986-Q3</v>
      </c>
    </row>
    <row r="90" spans="1:22" x14ac:dyDescent="0.3">
      <c r="A90" s="211">
        <f t="shared" si="11"/>
        <v>1986</v>
      </c>
      <c r="B90" s="211" t="str">
        <f t="shared" si="12"/>
        <v>Q4</v>
      </c>
      <c r="C90" s="2088" t="str">
        <f t="shared" si="8"/>
        <v>1986-Q4</v>
      </c>
      <c r="E90" s="252">
        <v>2925</v>
      </c>
      <c r="F90" s="252">
        <v>2620</v>
      </c>
      <c r="G90" s="252">
        <f t="shared" si="13"/>
        <v>2772.5</v>
      </c>
      <c r="J90" s="230"/>
      <c r="L90" s="252">
        <f>K87*E90</f>
        <v>3354975000</v>
      </c>
      <c r="M90" s="252">
        <f>K87*F90</f>
        <v>3005140000</v>
      </c>
      <c r="N90" s="252">
        <f t="shared" si="9"/>
        <v>3180057500</v>
      </c>
      <c r="P90" s="252"/>
      <c r="Q90" s="252"/>
      <c r="S90" s="348">
        <f>L90/Q87</f>
        <v>1.5739502951706577</v>
      </c>
      <c r="T90" s="348">
        <f>M90/Q87</f>
        <v>1.4098289823408967</v>
      </c>
      <c r="U90" s="1043">
        <f t="shared" si="10"/>
        <v>1.4918896387557772</v>
      </c>
      <c r="V90" s="2088" t="str">
        <f>Table24567[[#This Row],[Column3]]</f>
        <v>1986-Q4</v>
      </c>
    </row>
    <row r="91" spans="1:22" x14ac:dyDescent="0.3">
      <c r="A91" s="211">
        <f t="shared" si="11"/>
        <v>1987</v>
      </c>
      <c r="B91" s="211" t="str">
        <f t="shared" si="12"/>
        <v>Q1</v>
      </c>
      <c r="C91" s="2088" t="str">
        <f t="shared" si="8"/>
        <v>1987-Q1</v>
      </c>
      <c r="D91" s="211">
        <v>1987</v>
      </c>
      <c r="E91" s="252">
        <v>3630</v>
      </c>
      <c r="F91" s="252">
        <v>2800</v>
      </c>
      <c r="G91" s="252">
        <f t="shared" si="13"/>
        <v>3215</v>
      </c>
      <c r="I91" s="2088">
        <v>32142</v>
      </c>
      <c r="J91" s="230">
        <v>1147000</v>
      </c>
      <c r="K91" s="278">
        <f>AVERAGE(J87,J91)</f>
        <v>1147000</v>
      </c>
      <c r="L91" s="252">
        <f>K91*E91</f>
        <v>4163610000</v>
      </c>
      <c r="M91" s="252">
        <f>K91*F91</f>
        <v>3211600000</v>
      </c>
      <c r="N91" s="252">
        <f t="shared" si="9"/>
        <v>3687605000</v>
      </c>
      <c r="P91" s="252">
        <v>2841659000</v>
      </c>
      <c r="Q91" s="252">
        <f>AVERAGE(P87,P91)</f>
        <v>2609728000</v>
      </c>
      <c r="S91" s="348">
        <f>L91/Q91</f>
        <v>1.5954191394658754</v>
      </c>
      <c r="T91" s="348">
        <f>M91/Q91</f>
        <v>1.2306263334723007</v>
      </c>
      <c r="U91" s="1043">
        <f t="shared" si="10"/>
        <v>1.4130227364690882</v>
      </c>
      <c r="V91" s="2088" t="str">
        <f>Table24567[[#This Row],[Column3]]</f>
        <v>1987-Q1</v>
      </c>
    </row>
    <row r="92" spans="1:22" x14ac:dyDescent="0.3">
      <c r="A92" s="211">
        <f t="shared" si="11"/>
        <v>1987</v>
      </c>
      <c r="B92" s="211" t="str">
        <f t="shared" si="12"/>
        <v>Q2</v>
      </c>
      <c r="C92" s="2088" t="str">
        <f t="shared" si="8"/>
        <v>1987-Q2</v>
      </c>
      <c r="E92" s="252">
        <v>3530</v>
      </c>
      <c r="F92" s="252">
        <v>3300</v>
      </c>
      <c r="G92" s="252">
        <f t="shared" si="13"/>
        <v>3415</v>
      </c>
      <c r="J92" s="230"/>
      <c r="L92" s="252">
        <f>K91*E92</f>
        <v>4048910000</v>
      </c>
      <c r="M92" s="252">
        <f>K91*F92</f>
        <v>3785100000</v>
      </c>
      <c r="N92" s="252">
        <f t="shared" si="9"/>
        <v>3917005000</v>
      </c>
      <c r="P92" s="252"/>
      <c r="Q92" s="252"/>
      <c r="S92" s="348">
        <f>L92/Q91</f>
        <v>1.5514681989847219</v>
      </c>
      <c r="T92" s="348">
        <f>M92/Q91</f>
        <v>1.4503810358780684</v>
      </c>
      <c r="U92" s="1043">
        <f t="shared" si="10"/>
        <v>1.5009246174313953</v>
      </c>
      <c r="V92" s="2088" t="str">
        <f>Table24567[[#This Row],[Column3]]</f>
        <v>1987-Q2</v>
      </c>
    </row>
    <row r="93" spans="1:22" x14ac:dyDescent="0.3">
      <c r="A93" s="211">
        <f t="shared" si="11"/>
        <v>1987</v>
      </c>
      <c r="B93" s="211" t="str">
        <f t="shared" si="12"/>
        <v>Q3</v>
      </c>
      <c r="C93" s="2088" t="str">
        <f t="shared" si="8"/>
        <v>1987-Q3</v>
      </c>
      <c r="E93" s="252">
        <v>4220</v>
      </c>
      <c r="F93" s="252">
        <v>3420</v>
      </c>
      <c r="G93" s="252">
        <f t="shared" si="13"/>
        <v>3820</v>
      </c>
      <c r="J93" s="230"/>
      <c r="L93" s="252">
        <f>K91*E93</f>
        <v>4840340000</v>
      </c>
      <c r="M93" s="252">
        <f>K91*F93</f>
        <v>3922740000</v>
      </c>
      <c r="N93" s="252">
        <f t="shared" si="9"/>
        <v>4381540000</v>
      </c>
      <c r="P93" s="252"/>
      <c r="Q93" s="252"/>
      <c r="S93" s="348">
        <f>L93/Q91</f>
        <v>1.8547296883046815</v>
      </c>
      <c r="T93" s="348">
        <f>M93/Q91</f>
        <v>1.5031221644554529</v>
      </c>
      <c r="U93" s="1043">
        <f t="shared" si="10"/>
        <v>1.6789259263800673</v>
      </c>
      <c r="V93" s="2088" t="str">
        <f>Table24567[[#This Row],[Column3]]</f>
        <v>1987-Q3</v>
      </c>
    </row>
    <row r="94" spans="1:22" x14ac:dyDescent="0.3">
      <c r="A94" s="211">
        <f t="shared" si="11"/>
        <v>1987</v>
      </c>
      <c r="B94" s="211" t="str">
        <f t="shared" si="12"/>
        <v>Q4</v>
      </c>
      <c r="C94" s="2088" t="str">
        <f t="shared" si="8"/>
        <v>1987-Q4</v>
      </c>
      <c r="E94" s="252">
        <v>4270</v>
      </c>
      <c r="F94" s="252">
        <v>2550</v>
      </c>
      <c r="G94" s="252">
        <f t="shared" si="13"/>
        <v>3410</v>
      </c>
      <c r="J94" s="230"/>
      <c r="L94" s="252">
        <f>K91*E94</f>
        <v>4897690000</v>
      </c>
      <c r="M94" s="252">
        <f>K91*F94</f>
        <v>2924850000</v>
      </c>
      <c r="N94" s="252">
        <f t="shared" si="9"/>
        <v>3911270000</v>
      </c>
      <c r="P94" s="252"/>
      <c r="Q94" s="252"/>
      <c r="S94" s="348">
        <f>L94/Q91</f>
        <v>1.8767051585452583</v>
      </c>
      <c r="T94" s="348">
        <f>M94/Q91</f>
        <v>1.1207489822694165</v>
      </c>
      <c r="U94" s="1043">
        <f t="shared" si="10"/>
        <v>1.4987270704073374</v>
      </c>
      <c r="V94" s="2088" t="str">
        <f>Table24567[[#This Row],[Column3]]</f>
        <v>1987-Q4</v>
      </c>
    </row>
    <row r="95" spans="1:22" x14ac:dyDescent="0.3">
      <c r="A95" s="211">
        <f t="shared" si="11"/>
        <v>1988</v>
      </c>
      <c r="B95" s="211" t="str">
        <f t="shared" si="12"/>
        <v>Q1</v>
      </c>
      <c r="C95" s="2088" t="str">
        <f t="shared" si="8"/>
        <v>1988-Q1</v>
      </c>
      <c r="D95" s="211">
        <v>1988</v>
      </c>
      <c r="E95" s="252">
        <v>3500</v>
      </c>
      <c r="F95" s="252">
        <v>3000</v>
      </c>
      <c r="G95" s="252">
        <f t="shared" si="13"/>
        <v>3250</v>
      </c>
      <c r="I95" s="2088">
        <v>32508</v>
      </c>
      <c r="J95" s="230">
        <v>1146000</v>
      </c>
      <c r="K95" s="278">
        <f>AVERAGE(J91,J95)</f>
        <v>1146500</v>
      </c>
      <c r="L95" s="252">
        <f>K95*E95</f>
        <v>4012750000</v>
      </c>
      <c r="M95" s="252">
        <f>K95*F95</f>
        <v>3439500000</v>
      </c>
      <c r="N95" s="252">
        <f t="shared" si="9"/>
        <v>3726125000</v>
      </c>
      <c r="P95" s="252">
        <v>3410108000</v>
      </c>
      <c r="Q95" s="252">
        <f>AVERAGE(P91,P95)</f>
        <v>3125883500</v>
      </c>
      <c r="S95" s="348">
        <f>L95/Q95</f>
        <v>1.2837170675106735</v>
      </c>
      <c r="T95" s="348">
        <f>M95/Q95</f>
        <v>1.1003289150091486</v>
      </c>
      <c r="U95" s="1043">
        <f t="shared" si="10"/>
        <v>1.1920229912599112</v>
      </c>
      <c r="V95" s="2088" t="str">
        <f>Table24567[[#This Row],[Column3]]</f>
        <v>1988-Q1</v>
      </c>
    </row>
    <row r="96" spans="1:22" x14ac:dyDescent="0.3">
      <c r="A96" s="211">
        <f t="shared" si="11"/>
        <v>1988</v>
      </c>
      <c r="B96" s="211" t="str">
        <f t="shared" si="12"/>
        <v>Q2</v>
      </c>
      <c r="C96" s="2088" t="str">
        <f t="shared" si="8"/>
        <v>1988-Q2</v>
      </c>
      <c r="E96" s="252">
        <v>4150</v>
      </c>
      <c r="F96" s="252">
        <v>3400</v>
      </c>
      <c r="G96" s="252">
        <f t="shared" si="13"/>
        <v>3775</v>
      </c>
      <c r="J96" s="230"/>
      <c r="L96" s="252">
        <f>K95*E96</f>
        <v>4757975000</v>
      </c>
      <c r="M96" s="252">
        <f>K95*F96</f>
        <v>3898100000</v>
      </c>
      <c r="N96" s="252">
        <f t="shared" si="9"/>
        <v>4328037500</v>
      </c>
      <c r="P96" s="252"/>
      <c r="Q96" s="252"/>
      <c r="S96" s="348">
        <f>L96/Q95</f>
        <v>1.5221216657626555</v>
      </c>
      <c r="T96" s="348">
        <f>M96/Q95</f>
        <v>1.2470394370103683</v>
      </c>
      <c r="U96" s="1043">
        <f t="shared" si="10"/>
        <v>1.3845805513865119</v>
      </c>
      <c r="V96" s="2088" t="str">
        <f>Table24567[[#This Row],[Column3]]</f>
        <v>1988-Q2</v>
      </c>
    </row>
    <row r="97" spans="1:22" x14ac:dyDescent="0.3">
      <c r="A97" s="211">
        <f t="shared" si="11"/>
        <v>1988</v>
      </c>
      <c r="B97" s="211" t="str">
        <f t="shared" si="12"/>
        <v>Q3</v>
      </c>
      <c r="C97" s="2088" t="str">
        <f t="shared" si="8"/>
        <v>1988-Q3</v>
      </c>
      <c r="E97" s="252">
        <v>5000</v>
      </c>
      <c r="F97" s="252">
        <v>4040</v>
      </c>
      <c r="G97" s="252">
        <f t="shared" si="13"/>
        <v>4520</v>
      </c>
      <c r="J97" s="230"/>
      <c r="L97" s="252">
        <f>K95*E97</f>
        <v>5732500000</v>
      </c>
      <c r="M97" s="252">
        <f>K95*F97</f>
        <v>4631860000</v>
      </c>
      <c r="N97" s="252">
        <f t="shared" si="9"/>
        <v>5182180000</v>
      </c>
      <c r="P97" s="252"/>
      <c r="Q97" s="252"/>
      <c r="S97" s="348">
        <f>L97/Q95</f>
        <v>1.8338815250152476</v>
      </c>
      <c r="T97" s="348">
        <f>M97/Q95</f>
        <v>1.4817762722123202</v>
      </c>
      <c r="U97" s="1043">
        <f t="shared" si="10"/>
        <v>1.6578288986137839</v>
      </c>
      <c r="V97" s="2088" t="str">
        <f>Table24567[[#This Row],[Column3]]</f>
        <v>1988-Q3</v>
      </c>
    </row>
    <row r="98" spans="1:22" x14ac:dyDescent="0.3">
      <c r="A98" s="211">
        <f t="shared" si="11"/>
        <v>1988</v>
      </c>
      <c r="B98" s="211" t="str">
        <f t="shared" si="12"/>
        <v>Q4</v>
      </c>
      <c r="C98" s="2088" t="str">
        <f t="shared" si="8"/>
        <v>1988-Q4</v>
      </c>
      <c r="E98" s="252">
        <v>5050</v>
      </c>
      <c r="F98" s="252">
        <v>4600</v>
      </c>
      <c r="G98" s="252">
        <f t="shared" si="13"/>
        <v>4825</v>
      </c>
      <c r="J98" s="230"/>
      <c r="L98" s="252">
        <f>K95*E98</f>
        <v>5789825000</v>
      </c>
      <c r="M98" s="252">
        <f>K95*F98</f>
        <v>5273900000</v>
      </c>
      <c r="N98" s="252">
        <f t="shared" si="9"/>
        <v>5531862500</v>
      </c>
      <c r="P98" s="252"/>
      <c r="Q98" s="252"/>
      <c r="S98" s="348">
        <f>L98/Q95</f>
        <v>1.8522203402654001</v>
      </c>
      <c r="T98" s="348">
        <f>M98/Q95</f>
        <v>1.6871710030140279</v>
      </c>
      <c r="U98" s="1043">
        <f t="shared" si="10"/>
        <v>1.7696956716397141</v>
      </c>
      <c r="V98" s="2088" t="str">
        <f>Table24567[[#This Row],[Column3]]</f>
        <v>1988-Q4</v>
      </c>
    </row>
    <row r="99" spans="1:22" x14ac:dyDescent="0.3">
      <c r="A99" s="211">
        <f t="shared" si="11"/>
        <v>1989</v>
      </c>
      <c r="B99" s="211" t="str">
        <f t="shared" si="12"/>
        <v>Q1</v>
      </c>
      <c r="C99" s="2088" t="str">
        <f t="shared" si="8"/>
        <v>1989-Q1</v>
      </c>
      <c r="D99" s="211">
        <v>1989</v>
      </c>
      <c r="E99" s="252">
        <v>5025</v>
      </c>
      <c r="F99" s="252">
        <v>4625</v>
      </c>
      <c r="G99" s="252">
        <f t="shared" si="13"/>
        <v>4825</v>
      </c>
      <c r="I99" s="2088">
        <v>32873</v>
      </c>
      <c r="J99" s="230">
        <v>1146000</v>
      </c>
      <c r="K99" s="278">
        <f>AVERAGE(J95,J99)</f>
        <v>1146000</v>
      </c>
      <c r="L99" s="252">
        <f>K99*E99</f>
        <v>5758650000</v>
      </c>
      <c r="M99" s="252">
        <f>K99*F99</f>
        <v>5300250000</v>
      </c>
      <c r="N99" s="252">
        <f t="shared" si="9"/>
        <v>5529450000</v>
      </c>
      <c r="P99" s="252">
        <v>4925126000</v>
      </c>
      <c r="Q99" s="252">
        <f>AVERAGE(P95,P99)</f>
        <v>4167617000</v>
      </c>
      <c r="S99" s="348">
        <f>L99/Q99</f>
        <v>1.3817608479857915</v>
      </c>
      <c r="T99" s="348">
        <f>M99/Q99</f>
        <v>1.2717699347132907</v>
      </c>
      <c r="U99" s="1043">
        <f t="shared" si="10"/>
        <v>1.3267653913495412</v>
      </c>
      <c r="V99" s="2088" t="str">
        <f>Table24567[[#This Row],[Column3]]</f>
        <v>1989-Q1</v>
      </c>
    </row>
    <row r="100" spans="1:22" x14ac:dyDescent="0.3">
      <c r="A100" s="211">
        <f t="shared" si="11"/>
        <v>1989</v>
      </c>
      <c r="B100" s="211" t="str">
        <f t="shared" si="12"/>
        <v>Q2</v>
      </c>
      <c r="C100" s="2088" t="str">
        <f t="shared" si="8"/>
        <v>1989-Q2</v>
      </c>
      <c r="E100" s="252">
        <v>7000</v>
      </c>
      <c r="F100" s="252">
        <v>4950</v>
      </c>
      <c r="G100" s="252">
        <f t="shared" si="13"/>
        <v>5975</v>
      </c>
      <c r="J100" s="230"/>
      <c r="L100" s="252">
        <f>K99*E100</f>
        <v>8022000000</v>
      </c>
      <c r="M100" s="252">
        <f>K99*F100</f>
        <v>5672700000</v>
      </c>
      <c r="N100" s="252">
        <f t="shared" si="9"/>
        <v>6847350000</v>
      </c>
      <c r="P100" s="252"/>
      <c r="Q100" s="252"/>
      <c r="S100" s="348">
        <f>L100/Q99</f>
        <v>1.9248409822687642</v>
      </c>
      <c r="T100" s="348">
        <f>M100/Q99</f>
        <v>1.3611375517471975</v>
      </c>
      <c r="U100" s="1043">
        <f t="shared" si="10"/>
        <v>1.6429892670079809</v>
      </c>
      <c r="V100" s="2088" t="str">
        <f>Table24567[[#This Row],[Column3]]</f>
        <v>1989-Q2</v>
      </c>
    </row>
    <row r="101" spans="1:22" x14ac:dyDescent="0.3">
      <c r="A101" s="211">
        <f t="shared" si="11"/>
        <v>1989</v>
      </c>
      <c r="B101" s="211" t="str">
        <f t="shared" si="12"/>
        <v>Q3</v>
      </c>
      <c r="C101" s="2088" t="str">
        <f t="shared" si="8"/>
        <v>1989-Q3</v>
      </c>
      <c r="E101" s="252">
        <v>8750</v>
      </c>
      <c r="F101" s="252">
        <v>6600</v>
      </c>
      <c r="G101" s="252">
        <f t="shared" si="13"/>
        <v>7675</v>
      </c>
      <c r="J101" s="230"/>
      <c r="L101" s="252">
        <f>K99*E101</f>
        <v>10027500000</v>
      </c>
      <c r="M101" s="252">
        <f>K99*F101</f>
        <v>7563600000</v>
      </c>
      <c r="N101" s="252">
        <f t="shared" si="9"/>
        <v>8795550000</v>
      </c>
      <c r="P101" s="252"/>
      <c r="Q101" s="252"/>
      <c r="S101" s="348">
        <f>L101/Q99</f>
        <v>2.4060512278359552</v>
      </c>
      <c r="T101" s="348">
        <f>M101/Q99</f>
        <v>1.8148500689962632</v>
      </c>
      <c r="U101" s="1043">
        <f t="shared" si="10"/>
        <v>2.1104506484161094</v>
      </c>
      <c r="V101" s="2088" t="str">
        <f>Table24567[[#This Row],[Column3]]</f>
        <v>1989-Q3</v>
      </c>
    </row>
    <row r="102" spans="1:22" x14ac:dyDescent="0.3">
      <c r="A102" s="211">
        <f t="shared" si="11"/>
        <v>1989</v>
      </c>
      <c r="B102" s="211" t="str">
        <f t="shared" si="12"/>
        <v>Q4</v>
      </c>
      <c r="C102" s="2088" t="str">
        <f t="shared" si="8"/>
        <v>1989-Q4</v>
      </c>
      <c r="E102" s="252">
        <v>8900</v>
      </c>
      <c r="F102" s="252">
        <v>7950</v>
      </c>
      <c r="G102" s="252">
        <f t="shared" si="13"/>
        <v>8425</v>
      </c>
      <c r="J102" s="230"/>
      <c r="L102" s="252">
        <f>K99*E102</f>
        <v>10199400000</v>
      </c>
      <c r="M102" s="252">
        <f>K99*F102</f>
        <v>9110700000</v>
      </c>
      <c r="N102" s="252">
        <f t="shared" si="9"/>
        <v>9655050000</v>
      </c>
      <c r="P102" s="252"/>
      <c r="Q102" s="252"/>
      <c r="S102" s="348">
        <f>L102/Q99</f>
        <v>2.447297820313143</v>
      </c>
      <c r="T102" s="348">
        <f>M102/Q99</f>
        <v>2.1860694012909536</v>
      </c>
      <c r="U102" s="1043">
        <f t="shared" si="10"/>
        <v>2.3166836108020483</v>
      </c>
      <c r="V102" s="2088" t="str">
        <f>Table24567[[#This Row],[Column3]]</f>
        <v>1989-Q4</v>
      </c>
    </row>
    <row r="103" spans="1:22" x14ac:dyDescent="0.3">
      <c r="A103" s="211">
        <f t="shared" si="11"/>
        <v>1990</v>
      </c>
      <c r="B103" s="211" t="str">
        <f t="shared" si="12"/>
        <v>Q1</v>
      </c>
      <c r="C103" s="2088" t="str">
        <f t="shared" si="8"/>
        <v>1990-Q1</v>
      </c>
      <c r="D103" s="211">
        <v>1990</v>
      </c>
      <c r="E103" s="252">
        <v>8725</v>
      </c>
      <c r="F103" s="252">
        <v>6675</v>
      </c>
      <c r="G103" s="252">
        <f t="shared" si="13"/>
        <v>7700</v>
      </c>
      <c r="I103" s="2088">
        <v>33238</v>
      </c>
      <c r="J103" s="230">
        <v>1146000</v>
      </c>
      <c r="K103" s="278">
        <f>AVERAGE(J99,J103)</f>
        <v>1146000</v>
      </c>
      <c r="L103" s="252">
        <f>K103*E103</f>
        <v>9998850000</v>
      </c>
      <c r="M103" s="252">
        <f>K103*F103</f>
        <v>7649550000</v>
      </c>
      <c r="N103" s="252">
        <f t="shared" si="9"/>
        <v>8824200000</v>
      </c>
      <c r="P103" s="252">
        <v>5287454000</v>
      </c>
      <c r="Q103" s="252">
        <f>AVERAGE(P99,P103)</f>
        <v>5106290000</v>
      </c>
      <c r="S103" s="348">
        <f>L103/Q103</f>
        <v>1.9581437795346524</v>
      </c>
      <c r="T103" s="348">
        <f>M103/Q103</f>
        <v>1.4980641522514389</v>
      </c>
      <c r="U103" s="1043">
        <f t="shared" si="10"/>
        <v>1.7281039658930455</v>
      </c>
      <c r="V103" s="2088" t="str">
        <f>Table24567[[#This Row],[Column3]]</f>
        <v>1990-Q1</v>
      </c>
    </row>
    <row r="104" spans="1:22" x14ac:dyDescent="0.3">
      <c r="A104" s="211">
        <f t="shared" si="11"/>
        <v>1990</v>
      </c>
      <c r="B104" s="211" t="str">
        <f t="shared" si="12"/>
        <v>Q2</v>
      </c>
      <c r="C104" s="2088" t="str">
        <f t="shared" si="8"/>
        <v>1990-Q2</v>
      </c>
      <c r="E104" s="252">
        <v>7675</v>
      </c>
      <c r="F104" s="252">
        <v>6600</v>
      </c>
      <c r="G104" s="252">
        <f t="shared" si="13"/>
        <v>7137.5</v>
      </c>
      <c r="J104" s="230"/>
      <c r="L104" s="252">
        <f>K103*E104</f>
        <v>8795550000</v>
      </c>
      <c r="M104" s="252">
        <f>K103*F104</f>
        <v>7563600000</v>
      </c>
      <c r="N104" s="252">
        <f t="shared" si="9"/>
        <v>8179575000</v>
      </c>
      <c r="P104" s="252"/>
      <c r="Q104" s="252"/>
      <c r="S104" s="348">
        <f>L104/Q103</f>
        <v>1.7224932387310552</v>
      </c>
      <c r="T104" s="348">
        <f>M104/Q103</f>
        <v>1.4812319707654678</v>
      </c>
      <c r="U104" s="1043">
        <f t="shared" si="10"/>
        <v>1.6018626047482614</v>
      </c>
      <c r="V104" s="2088" t="str">
        <f>Table24567[[#This Row],[Column3]]</f>
        <v>1990-Q2</v>
      </c>
    </row>
    <row r="105" spans="1:22" x14ac:dyDescent="0.3">
      <c r="A105" s="211">
        <f t="shared" si="11"/>
        <v>1990</v>
      </c>
      <c r="B105" s="211" t="str">
        <f t="shared" si="12"/>
        <v>Q3</v>
      </c>
      <c r="C105" s="2088" t="str">
        <f t="shared" si="8"/>
        <v>1990-Q3</v>
      </c>
      <c r="E105" s="252">
        <v>7325</v>
      </c>
      <c r="F105" s="252">
        <v>5500</v>
      </c>
      <c r="G105" s="252">
        <f t="shared" si="13"/>
        <v>6412.5</v>
      </c>
      <c r="J105" s="230"/>
      <c r="L105" s="252">
        <f>K103*E105</f>
        <v>8394450000</v>
      </c>
      <c r="M105" s="252">
        <f>K103*F105</f>
        <v>6303000000</v>
      </c>
      <c r="N105" s="252">
        <f t="shared" si="9"/>
        <v>7348725000</v>
      </c>
      <c r="P105" s="252"/>
      <c r="Q105" s="252"/>
      <c r="S105" s="348">
        <f>L105/Q103</f>
        <v>1.6439430584631896</v>
      </c>
      <c r="T105" s="348">
        <f>M105/Q103</f>
        <v>1.2343599756378898</v>
      </c>
      <c r="U105" s="1043">
        <f t="shared" si="10"/>
        <v>1.4391515170505396</v>
      </c>
      <c r="V105" s="2088" t="str">
        <f>Table24567[[#This Row],[Column3]]</f>
        <v>1990-Q3</v>
      </c>
    </row>
    <row r="106" spans="1:22" x14ac:dyDescent="0.3">
      <c r="A106" s="211">
        <f t="shared" si="11"/>
        <v>1990</v>
      </c>
      <c r="B106" s="211" t="str">
        <f t="shared" si="12"/>
        <v>Q4</v>
      </c>
      <c r="C106" s="2088" t="str">
        <f t="shared" si="8"/>
        <v>1990-Q4</v>
      </c>
      <c r="E106" s="252">
        <v>6900</v>
      </c>
      <c r="F106" s="252">
        <v>5500</v>
      </c>
      <c r="G106" s="252">
        <f t="shared" si="13"/>
        <v>6200</v>
      </c>
      <c r="J106" s="230"/>
      <c r="L106" s="252">
        <f>K103*E106</f>
        <v>7907400000</v>
      </c>
      <c r="M106" s="252">
        <f>K103*F106</f>
        <v>6303000000</v>
      </c>
      <c r="N106" s="252">
        <f t="shared" si="9"/>
        <v>7105200000</v>
      </c>
      <c r="P106" s="252"/>
      <c r="Q106" s="252"/>
      <c r="S106" s="348">
        <f>L106/Q103</f>
        <v>1.5485606967093526</v>
      </c>
      <c r="T106" s="348">
        <f>M106/Q103</f>
        <v>1.2343599756378898</v>
      </c>
      <c r="U106" s="1043">
        <f t="shared" si="10"/>
        <v>1.3914603361736213</v>
      </c>
      <c r="V106" s="2088" t="str">
        <f>Table24567[[#This Row],[Column3]]</f>
        <v>1990-Q4</v>
      </c>
    </row>
    <row r="107" spans="1:22" x14ac:dyDescent="0.3">
      <c r="A107" s="211">
        <f t="shared" si="11"/>
        <v>1991</v>
      </c>
      <c r="B107" s="211" t="str">
        <f t="shared" si="12"/>
        <v>Q1</v>
      </c>
      <c r="C107" s="2088" t="str">
        <f t="shared" si="8"/>
        <v>1991-Q1</v>
      </c>
      <c r="D107" s="211">
        <v>1991</v>
      </c>
      <c r="E107" s="252">
        <v>8275</v>
      </c>
      <c r="F107" s="252">
        <v>6550</v>
      </c>
      <c r="G107" s="252">
        <f t="shared" si="13"/>
        <v>7412.5</v>
      </c>
      <c r="I107" s="2088">
        <v>33603</v>
      </c>
      <c r="J107" s="230">
        <v>1146000</v>
      </c>
      <c r="K107" s="278">
        <f>AVERAGE(J103,J107)</f>
        <v>1146000</v>
      </c>
      <c r="L107" s="252">
        <f>K107*E107</f>
        <v>9483150000</v>
      </c>
      <c r="M107" s="252">
        <f>K107*F107</f>
        <v>7506300000</v>
      </c>
      <c r="N107" s="252">
        <f t="shared" si="9"/>
        <v>8494725000</v>
      </c>
      <c r="P107" s="252">
        <v>7379918000</v>
      </c>
      <c r="Q107" s="252">
        <f>AVERAGE(P103,P107)</f>
        <v>6333686000</v>
      </c>
      <c r="S107" s="348">
        <f>L107/Q107</f>
        <v>1.4972561001603173</v>
      </c>
      <c r="T107" s="348">
        <f>M107/Q107</f>
        <v>1.1851392696133025</v>
      </c>
      <c r="U107" s="1043">
        <f t="shared" si="10"/>
        <v>1.3411976848868099</v>
      </c>
      <c r="V107" s="2088" t="str">
        <f>Table24567[[#This Row],[Column3]]</f>
        <v>1991-Q1</v>
      </c>
    </row>
    <row r="108" spans="1:22" x14ac:dyDescent="0.3">
      <c r="A108" s="211">
        <f t="shared" si="11"/>
        <v>1991</v>
      </c>
      <c r="B108" s="211" t="str">
        <f t="shared" si="12"/>
        <v>Q2</v>
      </c>
      <c r="C108" s="2088" t="str">
        <f t="shared" si="8"/>
        <v>1991-Q2</v>
      </c>
      <c r="E108" s="252">
        <v>8750</v>
      </c>
      <c r="F108" s="252">
        <v>7760</v>
      </c>
      <c r="G108" s="252">
        <f t="shared" si="13"/>
        <v>8255</v>
      </c>
      <c r="J108" s="230"/>
      <c r="L108" s="252">
        <f>K107*E108</f>
        <v>10027500000</v>
      </c>
      <c r="M108" s="252">
        <f>K107*F108</f>
        <v>8892960000</v>
      </c>
      <c r="N108" s="252">
        <f t="shared" si="9"/>
        <v>9460230000</v>
      </c>
      <c r="P108" s="252"/>
      <c r="Q108" s="252"/>
      <c r="S108" s="348">
        <f>L108/Q107</f>
        <v>1.5832013143689156</v>
      </c>
      <c r="T108" s="348">
        <f>M108/Q107</f>
        <v>1.4040733942288899</v>
      </c>
      <c r="U108" s="1043">
        <f t="shared" si="10"/>
        <v>1.4936373542989028</v>
      </c>
      <c r="V108" s="2088" t="str">
        <f>Table24567[[#This Row],[Column3]]</f>
        <v>1991-Q2</v>
      </c>
    </row>
    <row r="109" spans="1:22" x14ac:dyDescent="0.3">
      <c r="A109" s="211">
        <f t="shared" si="11"/>
        <v>1991</v>
      </c>
      <c r="B109" s="211" t="str">
        <f t="shared" si="12"/>
        <v>Q3</v>
      </c>
      <c r="C109" s="2088" t="str">
        <f t="shared" si="8"/>
        <v>1991-Q3</v>
      </c>
      <c r="E109" s="252">
        <v>9000</v>
      </c>
      <c r="F109" s="252">
        <v>8325</v>
      </c>
      <c r="G109" s="252">
        <f t="shared" si="13"/>
        <v>8662.5</v>
      </c>
      <c r="J109" s="230"/>
      <c r="L109" s="252">
        <f>K107*E109</f>
        <v>10314000000</v>
      </c>
      <c r="M109" s="252">
        <f>K107*F109</f>
        <v>9540450000</v>
      </c>
      <c r="N109" s="252">
        <f t="shared" si="9"/>
        <v>9927225000</v>
      </c>
      <c r="P109" s="252"/>
      <c r="Q109" s="252"/>
      <c r="S109" s="348">
        <f>L109/Q107</f>
        <v>1.6284356376365989</v>
      </c>
      <c r="T109" s="348">
        <f>M109/Q107</f>
        <v>1.506302964813854</v>
      </c>
      <c r="U109" s="1043">
        <f t="shared" si="10"/>
        <v>1.5673693012252263</v>
      </c>
      <c r="V109" s="2088" t="str">
        <f>Table24567[[#This Row],[Column3]]</f>
        <v>1991-Q3</v>
      </c>
    </row>
    <row r="110" spans="1:22" x14ac:dyDescent="0.3">
      <c r="A110" s="211">
        <f t="shared" si="11"/>
        <v>1991</v>
      </c>
      <c r="B110" s="211" t="str">
        <f t="shared" si="12"/>
        <v>Q4</v>
      </c>
      <c r="C110" s="2088" t="str">
        <f t="shared" si="8"/>
        <v>1991-Q4</v>
      </c>
      <c r="E110" s="252">
        <v>9125</v>
      </c>
      <c r="F110" s="252">
        <v>8150</v>
      </c>
      <c r="G110" s="252">
        <f t="shared" si="13"/>
        <v>8637.5</v>
      </c>
      <c r="J110" s="230"/>
      <c r="L110" s="252">
        <f>K107*E110</f>
        <v>10457250000</v>
      </c>
      <c r="M110" s="252">
        <f>K107*F110</f>
        <v>9339900000</v>
      </c>
      <c r="N110" s="252">
        <f t="shared" si="9"/>
        <v>9898575000</v>
      </c>
      <c r="P110" s="252"/>
      <c r="Q110" s="252"/>
      <c r="S110" s="348">
        <f>L110/Q107</f>
        <v>1.6510527992704407</v>
      </c>
      <c r="T110" s="348">
        <f>M110/Q107</f>
        <v>1.4746389385264758</v>
      </c>
      <c r="U110" s="1043">
        <f t="shared" si="10"/>
        <v>1.5628458688984583</v>
      </c>
      <c r="V110" s="2088" t="str">
        <f>Table24567[[#This Row],[Column3]]</f>
        <v>1991-Q4</v>
      </c>
    </row>
    <row r="111" spans="1:22" x14ac:dyDescent="0.3">
      <c r="A111" s="211">
        <f t="shared" si="11"/>
        <v>1992</v>
      </c>
      <c r="B111" s="211" t="str">
        <f t="shared" si="12"/>
        <v>Q1</v>
      </c>
      <c r="C111" s="2088" t="str">
        <f t="shared" si="8"/>
        <v>1992-Q1</v>
      </c>
      <c r="D111" s="211">
        <v>1992</v>
      </c>
      <c r="E111" s="252">
        <v>9000</v>
      </c>
      <c r="F111" s="252">
        <v>8575</v>
      </c>
      <c r="G111" s="252">
        <f t="shared" si="13"/>
        <v>8787.5</v>
      </c>
      <c r="I111" s="2088">
        <v>33969</v>
      </c>
      <c r="J111" s="230">
        <v>1149000</v>
      </c>
      <c r="K111" s="278">
        <f>AVERAGE(J107,J111)</f>
        <v>1147500</v>
      </c>
      <c r="L111" s="252">
        <f>K111*E111</f>
        <v>10327500000</v>
      </c>
      <c r="M111" s="252">
        <f>K111*F111</f>
        <v>9839812500</v>
      </c>
      <c r="N111" s="252">
        <f t="shared" si="9"/>
        <v>10083656250</v>
      </c>
      <c r="P111" s="252">
        <v>8896331000</v>
      </c>
      <c r="Q111" s="252">
        <f>AVERAGE(P107,P111)</f>
        <v>8138124500</v>
      </c>
      <c r="S111" s="348">
        <f>L111/Q111</f>
        <v>1.2690270344229804</v>
      </c>
      <c r="T111" s="348">
        <f>M111/Q111</f>
        <v>1.2091007577974509</v>
      </c>
      <c r="U111" s="1043">
        <f t="shared" si="10"/>
        <v>1.2390638961102156</v>
      </c>
      <c r="V111" s="2088" t="str">
        <f>Table24567[[#This Row],[Column3]]</f>
        <v>1992-Q1</v>
      </c>
    </row>
    <row r="112" spans="1:22" x14ac:dyDescent="0.3">
      <c r="A112" s="211">
        <f t="shared" si="11"/>
        <v>1992</v>
      </c>
      <c r="B112" s="211" t="str">
        <f t="shared" si="12"/>
        <v>Q2</v>
      </c>
      <c r="C112" s="2088" t="str">
        <f t="shared" si="8"/>
        <v>1992-Q2</v>
      </c>
      <c r="E112" s="252">
        <v>9300</v>
      </c>
      <c r="F112" s="252">
        <v>8850</v>
      </c>
      <c r="G112" s="252">
        <f t="shared" si="13"/>
        <v>9075</v>
      </c>
      <c r="J112" s="230"/>
      <c r="L112" s="252">
        <f>K111*E112</f>
        <v>10671750000</v>
      </c>
      <c r="M112" s="252">
        <f>K111*F112</f>
        <v>10155375000</v>
      </c>
      <c r="N112" s="252">
        <f t="shared" si="9"/>
        <v>10413562500</v>
      </c>
      <c r="P112" s="252"/>
      <c r="Q112" s="252"/>
      <c r="S112" s="348">
        <f>L112/Q111</f>
        <v>1.3113279355704131</v>
      </c>
      <c r="T112" s="348">
        <f>M112/Q111</f>
        <v>1.247876583849264</v>
      </c>
      <c r="U112" s="1043">
        <f t="shared" si="10"/>
        <v>1.2796022597098387</v>
      </c>
      <c r="V112" s="2088" t="str">
        <f>Table24567[[#This Row],[Column3]]</f>
        <v>1992-Q2</v>
      </c>
    </row>
    <row r="113" spans="1:22" x14ac:dyDescent="0.3">
      <c r="A113" s="211">
        <f t="shared" si="11"/>
        <v>1992</v>
      </c>
      <c r="B113" s="211" t="str">
        <f t="shared" si="12"/>
        <v>Q3</v>
      </c>
      <c r="C113" s="2088" t="str">
        <f t="shared" si="8"/>
        <v>1992-Q3</v>
      </c>
      <c r="E113" s="252">
        <v>9950</v>
      </c>
      <c r="F113" s="252">
        <v>9050</v>
      </c>
      <c r="G113" s="252">
        <f t="shared" si="13"/>
        <v>9500</v>
      </c>
      <c r="J113" s="230"/>
      <c r="L113" s="252">
        <f>K111*E113</f>
        <v>11417625000</v>
      </c>
      <c r="M113" s="252">
        <f>K111*F113</f>
        <v>10384875000</v>
      </c>
      <c r="N113" s="252">
        <f t="shared" si="9"/>
        <v>10901250000</v>
      </c>
      <c r="P113" s="252"/>
      <c r="Q113" s="252"/>
      <c r="S113" s="348">
        <f>L113/Q111</f>
        <v>1.4029798880565172</v>
      </c>
      <c r="T113" s="348">
        <f>M113/Q111</f>
        <v>1.2760771846142192</v>
      </c>
      <c r="U113" s="1043">
        <f t="shared" si="10"/>
        <v>1.3395285363353682</v>
      </c>
      <c r="V113" s="2088" t="str">
        <f>Table24567[[#This Row],[Column3]]</f>
        <v>1992-Q3</v>
      </c>
    </row>
    <row r="114" spans="1:22" x14ac:dyDescent="0.3">
      <c r="A114" s="211">
        <f t="shared" si="11"/>
        <v>1992</v>
      </c>
      <c r="B114" s="211" t="str">
        <f t="shared" si="12"/>
        <v>Q4</v>
      </c>
      <c r="C114" s="2088" t="str">
        <f t="shared" si="8"/>
        <v>1992-Q4</v>
      </c>
      <c r="E114" s="252">
        <v>11750</v>
      </c>
      <c r="F114" s="252">
        <v>9150</v>
      </c>
      <c r="G114" s="252">
        <f t="shared" si="13"/>
        <v>10450</v>
      </c>
      <c r="J114" s="230"/>
      <c r="L114" s="252">
        <f>K111*E114</f>
        <v>13483125000</v>
      </c>
      <c r="M114" s="252">
        <f>K111*F114</f>
        <v>10499625000</v>
      </c>
      <c r="N114" s="252">
        <f t="shared" si="9"/>
        <v>11991375000</v>
      </c>
      <c r="P114" s="252"/>
      <c r="Q114" s="252"/>
      <c r="S114" s="348">
        <f>L114/Q111</f>
        <v>1.6567852949411133</v>
      </c>
      <c r="T114" s="348">
        <f>M114/Q111</f>
        <v>1.2901774849966967</v>
      </c>
      <c r="U114" s="1043">
        <f t="shared" si="10"/>
        <v>1.473481389968905</v>
      </c>
      <c r="V114" s="2088" t="str">
        <f>Table24567[[#This Row],[Column3]]</f>
        <v>1992-Q4</v>
      </c>
    </row>
    <row r="115" spans="1:22" x14ac:dyDescent="0.3">
      <c r="A115" s="211">
        <f t="shared" si="11"/>
        <v>1993</v>
      </c>
      <c r="B115" s="211" t="str">
        <f t="shared" si="12"/>
        <v>Q1</v>
      </c>
      <c r="C115" s="2088" t="str">
        <f t="shared" si="8"/>
        <v>1993-Q1</v>
      </c>
      <c r="D115" s="211">
        <v>1993</v>
      </c>
      <c r="E115" s="252">
        <v>13200</v>
      </c>
      <c r="F115" s="252">
        <v>11350</v>
      </c>
      <c r="G115" s="252">
        <f t="shared" si="13"/>
        <v>12275</v>
      </c>
      <c r="I115" s="2088">
        <v>34334</v>
      </c>
      <c r="J115" s="230">
        <v>1178000</v>
      </c>
      <c r="K115" s="278">
        <f>AVERAGE(J111,J115)</f>
        <v>1163500</v>
      </c>
      <c r="L115" s="252">
        <f>K115*E115</f>
        <v>15358200000</v>
      </c>
      <c r="M115" s="252">
        <f>K115*F115</f>
        <v>13205725000</v>
      </c>
      <c r="N115" s="252">
        <f t="shared" si="9"/>
        <v>14281962500</v>
      </c>
      <c r="P115" s="252">
        <v>10428374000</v>
      </c>
      <c r="Q115" s="252">
        <f>AVERAGE(P111,P115)</f>
        <v>9662352500</v>
      </c>
      <c r="S115" s="348">
        <f>L115/Q115</f>
        <v>1.5894886881843733</v>
      </c>
      <c r="T115" s="348">
        <f>M115/Q115</f>
        <v>1.3667194402191392</v>
      </c>
      <c r="U115" s="1043">
        <f t="shared" si="10"/>
        <v>1.4781040642017562</v>
      </c>
      <c r="V115" s="2088" t="str">
        <f>Table24567[[#This Row],[Column3]]</f>
        <v>1993-Q1</v>
      </c>
    </row>
    <row r="116" spans="1:22" x14ac:dyDescent="0.3">
      <c r="A116" s="211">
        <f t="shared" si="11"/>
        <v>1993</v>
      </c>
      <c r="B116" s="211" t="str">
        <f t="shared" si="12"/>
        <v>Q2</v>
      </c>
      <c r="C116" s="2088" t="str">
        <f t="shared" si="8"/>
        <v>1993-Q2</v>
      </c>
      <c r="E116" s="252">
        <v>16200</v>
      </c>
      <c r="F116" s="252">
        <v>11800</v>
      </c>
      <c r="G116" s="252">
        <f t="shared" si="13"/>
        <v>14000</v>
      </c>
      <c r="J116" s="230"/>
      <c r="L116" s="252">
        <f>K115*E116</f>
        <v>18848700000</v>
      </c>
      <c r="M116" s="252">
        <f>K115*F116</f>
        <v>13729300000</v>
      </c>
      <c r="N116" s="252">
        <f t="shared" si="9"/>
        <v>16289000000</v>
      </c>
      <c r="P116" s="252"/>
      <c r="Q116" s="252"/>
      <c r="S116" s="348">
        <f>L116/Q115</f>
        <v>1.9507361173171855</v>
      </c>
      <c r="T116" s="348">
        <f>M116/Q115</f>
        <v>1.4209065545890609</v>
      </c>
      <c r="U116" s="1043">
        <f t="shared" si="10"/>
        <v>1.6858213359531233</v>
      </c>
      <c r="V116" s="2088" t="str">
        <f>Table24567[[#This Row],[Column3]]</f>
        <v>1993-Q2</v>
      </c>
    </row>
    <row r="117" spans="1:22" x14ac:dyDescent="0.3">
      <c r="A117" s="211">
        <f t="shared" si="11"/>
        <v>1993</v>
      </c>
      <c r="B117" s="211" t="str">
        <f t="shared" si="12"/>
        <v>Q3</v>
      </c>
      <c r="C117" s="2088" t="str">
        <f t="shared" si="8"/>
        <v>1993-Q3</v>
      </c>
      <c r="E117" s="252">
        <v>17800</v>
      </c>
      <c r="F117" s="252">
        <v>15100</v>
      </c>
      <c r="G117" s="252">
        <f t="shared" si="13"/>
        <v>16450</v>
      </c>
      <c r="J117" s="230"/>
      <c r="L117" s="252">
        <f>K115*E117</f>
        <v>20710300000</v>
      </c>
      <c r="M117" s="252">
        <f>K115*F117</f>
        <v>17568850000</v>
      </c>
      <c r="N117" s="252">
        <f t="shared" si="9"/>
        <v>19139575000</v>
      </c>
      <c r="P117" s="252"/>
      <c r="Q117" s="252"/>
      <c r="S117" s="348">
        <f>L117/Q115</f>
        <v>2.1434014128546854</v>
      </c>
      <c r="T117" s="348">
        <f>M117/Q115</f>
        <v>1.8182787266351543</v>
      </c>
      <c r="U117" s="1043">
        <f t="shared" si="10"/>
        <v>1.9808400697449198</v>
      </c>
      <c r="V117" s="2088" t="str">
        <f>Table24567[[#This Row],[Column3]]</f>
        <v>1993-Q3</v>
      </c>
    </row>
    <row r="118" spans="1:22" x14ac:dyDescent="0.3">
      <c r="A118" s="211">
        <f t="shared" si="11"/>
        <v>1993</v>
      </c>
      <c r="B118" s="211" t="str">
        <f t="shared" si="12"/>
        <v>Q4</v>
      </c>
      <c r="C118" s="2088" t="str">
        <f t="shared" si="8"/>
        <v>1993-Q4</v>
      </c>
      <c r="E118" s="252">
        <v>17800</v>
      </c>
      <c r="F118" s="252">
        <v>16200</v>
      </c>
      <c r="G118" s="252">
        <f t="shared" si="13"/>
        <v>17000</v>
      </c>
      <c r="J118" s="230"/>
      <c r="L118" s="252">
        <f>K115*E118</f>
        <v>20710300000</v>
      </c>
      <c r="M118" s="252">
        <f>K115*F118</f>
        <v>18848700000</v>
      </c>
      <c r="N118" s="252">
        <f t="shared" si="9"/>
        <v>19779500000</v>
      </c>
      <c r="P118" s="252"/>
      <c r="Q118" s="252"/>
      <c r="S118" s="348">
        <f>L118/Q115</f>
        <v>2.1434014128546854</v>
      </c>
      <c r="T118" s="348">
        <f>M118/Q115</f>
        <v>1.9507361173171855</v>
      </c>
      <c r="U118" s="1043">
        <f t="shared" si="10"/>
        <v>2.0470687650859354</v>
      </c>
      <c r="V118" s="2088" t="str">
        <f>Table24567[[#This Row],[Column3]]</f>
        <v>1993-Q4</v>
      </c>
    </row>
    <row r="119" spans="1:22" x14ac:dyDescent="0.3">
      <c r="A119" s="211">
        <f t="shared" si="11"/>
        <v>1994</v>
      </c>
      <c r="B119" s="211" t="str">
        <f t="shared" si="12"/>
        <v>Q1</v>
      </c>
      <c r="C119" s="2088" t="str">
        <f t="shared" si="8"/>
        <v>1994-Q1</v>
      </c>
      <c r="D119" s="211">
        <v>1994</v>
      </c>
      <c r="E119" s="252">
        <v>16900</v>
      </c>
      <c r="F119" s="252">
        <v>15150</v>
      </c>
      <c r="G119" s="252">
        <f t="shared" si="13"/>
        <v>16025</v>
      </c>
      <c r="I119" s="2088">
        <v>34699</v>
      </c>
      <c r="J119" s="230">
        <v>1178000</v>
      </c>
      <c r="K119" s="278">
        <f>AVERAGE(J115,J119)</f>
        <v>1178000</v>
      </c>
      <c r="L119" s="252">
        <f>K119*E119</f>
        <v>19908200000</v>
      </c>
      <c r="M119" s="252">
        <f>K119*F119</f>
        <v>17846700000</v>
      </c>
      <c r="N119" s="252">
        <f t="shared" si="9"/>
        <v>18877450000</v>
      </c>
      <c r="P119" s="252">
        <v>11874882000</v>
      </c>
      <c r="Q119" s="252">
        <f>AVERAGE(P115,P119)</f>
        <v>11151628000</v>
      </c>
      <c r="S119" s="348">
        <f>L119/Q119</f>
        <v>1.7852281299196853</v>
      </c>
      <c r="T119" s="348">
        <f>M119/Q119</f>
        <v>1.6003672288924988</v>
      </c>
      <c r="U119" s="1043">
        <f t="shared" si="10"/>
        <v>1.6927976794060919</v>
      </c>
      <c r="V119" s="2088" t="str">
        <f>Table24567[[#This Row],[Column3]]</f>
        <v>1994-Q1</v>
      </c>
    </row>
    <row r="120" spans="1:22" x14ac:dyDescent="0.3">
      <c r="A120" s="211">
        <f t="shared" si="11"/>
        <v>1994</v>
      </c>
      <c r="B120" s="211" t="str">
        <f t="shared" si="12"/>
        <v>Q2</v>
      </c>
      <c r="C120" s="2088" t="str">
        <f t="shared" si="8"/>
        <v>1994-Q2</v>
      </c>
      <c r="E120" s="252">
        <v>16700</v>
      </c>
      <c r="F120" s="252">
        <v>15400</v>
      </c>
      <c r="G120" s="252">
        <f t="shared" si="13"/>
        <v>16050</v>
      </c>
      <c r="J120" s="230"/>
      <c r="L120" s="252">
        <f>K119*E120</f>
        <v>19672600000</v>
      </c>
      <c r="M120" s="252">
        <f>K119*F120</f>
        <v>18141200000</v>
      </c>
      <c r="N120" s="252">
        <f t="shared" si="9"/>
        <v>18906900000</v>
      </c>
      <c r="P120" s="252"/>
      <c r="Q120" s="252"/>
      <c r="S120" s="348">
        <f>L120/Q119</f>
        <v>1.7641011698022926</v>
      </c>
      <c r="T120" s="348">
        <f>M120/Q119</f>
        <v>1.6267759290392398</v>
      </c>
      <c r="U120" s="1043">
        <f t="shared" si="10"/>
        <v>1.6954385494207662</v>
      </c>
      <c r="V120" s="2088" t="str">
        <f>Table24567[[#This Row],[Column3]]</f>
        <v>1994-Q2</v>
      </c>
    </row>
    <row r="121" spans="1:22" x14ac:dyDescent="0.3">
      <c r="A121" s="211">
        <f t="shared" si="11"/>
        <v>1994</v>
      </c>
      <c r="B121" s="211" t="str">
        <f t="shared" si="12"/>
        <v>Q3</v>
      </c>
      <c r="C121" s="2088" t="str">
        <f t="shared" si="8"/>
        <v>1994-Q3</v>
      </c>
      <c r="E121" s="252">
        <v>19750</v>
      </c>
      <c r="F121" s="252">
        <v>16425</v>
      </c>
      <c r="G121" s="252">
        <f t="shared" si="13"/>
        <v>18087.5</v>
      </c>
      <c r="J121" s="230"/>
      <c r="L121" s="252">
        <f>K119*E121</f>
        <v>23265500000</v>
      </c>
      <c r="M121" s="252">
        <f>K119*F121</f>
        <v>19348650000</v>
      </c>
      <c r="N121" s="252">
        <f t="shared" si="9"/>
        <v>21307075000</v>
      </c>
      <c r="P121" s="252"/>
      <c r="Q121" s="252"/>
      <c r="S121" s="348">
        <f>L121/Q119</f>
        <v>2.0862873115925318</v>
      </c>
      <c r="T121" s="348">
        <f>M121/Q119</f>
        <v>1.7350515996408775</v>
      </c>
      <c r="U121" s="1043">
        <f t="shared" si="10"/>
        <v>1.9106694556167048</v>
      </c>
      <c r="V121" s="2088" t="str">
        <f>Table24567[[#This Row],[Column3]]</f>
        <v>1994-Q3</v>
      </c>
    </row>
    <row r="122" spans="1:22" x14ac:dyDescent="0.3">
      <c r="A122" s="211">
        <f t="shared" si="11"/>
        <v>1994</v>
      </c>
      <c r="B122" s="211" t="str">
        <f t="shared" si="12"/>
        <v>Q4</v>
      </c>
      <c r="C122" s="2088" t="str">
        <f t="shared" si="8"/>
        <v>1994-Q4</v>
      </c>
      <c r="E122" s="252">
        <v>20800</v>
      </c>
      <c r="F122" s="252">
        <v>19200</v>
      </c>
      <c r="G122" s="252">
        <f t="shared" si="13"/>
        <v>20000</v>
      </c>
      <c r="J122" s="230"/>
      <c r="L122" s="252">
        <f>K119*E122</f>
        <v>24502400000</v>
      </c>
      <c r="M122" s="252">
        <f>K119*F122</f>
        <v>22617600000</v>
      </c>
      <c r="N122" s="252">
        <f>AVERAGE(L122:M122)</f>
        <v>23560000000</v>
      </c>
      <c r="P122" s="252"/>
      <c r="Q122" s="252"/>
      <c r="S122" s="348">
        <f>L122/Q119</f>
        <v>2.1972038522088435</v>
      </c>
      <c r="T122" s="348">
        <f>M122/Q119</f>
        <v>2.0281881712697016</v>
      </c>
      <c r="U122" s="1043">
        <f t="shared" si="10"/>
        <v>2.1126960117392724</v>
      </c>
      <c r="V122" s="2088" t="str">
        <f>Table24567[[#This Row],[Column3]]</f>
        <v>1994-Q4</v>
      </c>
    </row>
    <row r="123" spans="1:22" x14ac:dyDescent="0.3">
      <c r="A123" s="211">
        <f t="shared" si="11"/>
        <v>1995</v>
      </c>
      <c r="B123" s="211" t="str">
        <f t="shared" si="12"/>
        <v>Q1</v>
      </c>
      <c r="C123" s="2088" t="str">
        <f t="shared" si="8"/>
        <v>1995-Q1</v>
      </c>
      <c r="D123" s="211">
        <v>1995</v>
      </c>
      <c r="E123" s="252">
        <v>25200</v>
      </c>
      <c r="F123" s="252">
        <v>20250</v>
      </c>
      <c r="G123" s="252">
        <f t="shared" si="13"/>
        <v>22725</v>
      </c>
      <c r="I123" s="2088">
        <v>35064</v>
      </c>
      <c r="J123" s="230">
        <v>1194000</v>
      </c>
      <c r="K123" s="230">
        <f>AVERAGE(J119,J123)</f>
        <v>1186000</v>
      </c>
      <c r="L123" s="252">
        <f>K123*E123</f>
        <v>29887200000</v>
      </c>
      <c r="M123" s="252">
        <f>K123*F123</f>
        <v>24016500000</v>
      </c>
      <c r="N123" s="252">
        <f>AVERAGE(L123:M123)</f>
        <v>26951850000</v>
      </c>
      <c r="P123" s="252">
        <v>16739000000</v>
      </c>
      <c r="Q123" s="252">
        <f>AVERAGE(P119,P123)</f>
        <v>14306941000</v>
      </c>
      <c r="S123" s="348">
        <f>L123/Q123</f>
        <v>2.0890000175439321</v>
      </c>
      <c r="T123" s="348">
        <f>M123/Q123</f>
        <v>1.6786607283835169</v>
      </c>
      <c r="U123" s="1043">
        <f t="shared" si="10"/>
        <v>1.8838303729637245</v>
      </c>
      <c r="V123" s="2088" t="str">
        <f>Table24567[[#This Row],[Column3]]</f>
        <v>1995-Q1</v>
      </c>
    </row>
    <row r="124" spans="1:22" x14ac:dyDescent="0.3">
      <c r="A124" s="211">
        <f t="shared" si="11"/>
        <v>1995</v>
      </c>
      <c r="B124" s="211" t="str">
        <f t="shared" si="12"/>
        <v>Q2</v>
      </c>
      <c r="C124" s="2088" t="str">
        <f t="shared" si="8"/>
        <v>1995-Q2</v>
      </c>
      <c r="E124" s="252">
        <v>24450</v>
      </c>
      <c r="F124" s="252">
        <v>21500</v>
      </c>
      <c r="G124" s="252">
        <f t="shared" si="13"/>
        <v>22975</v>
      </c>
      <c r="J124" s="230"/>
      <c r="K124" s="230"/>
      <c r="L124" s="252">
        <f>K123*E124</f>
        <v>28997700000</v>
      </c>
      <c r="M124" s="252">
        <f>K123*F124</f>
        <v>25499000000</v>
      </c>
      <c r="N124" s="252">
        <f t="shared" ref="N124:N161" si="14">AVERAGE(L124:M124)</f>
        <v>27248350000</v>
      </c>
      <c r="P124" s="252"/>
      <c r="Q124" s="252"/>
      <c r="S124" s="348">
        <f>L124/Q123</f>
        <v>2.0268273979741722</v>
      </c>
      <c r="T124" s="348">
        <f>M124/Q123</f>
        <v>1.7822817609997832</v>
      </c>
      <c r="U124" s="1043">
        <f t="shared" si="10"/>
        <v>1.9045545794869776</v>
      </c>
      <c r="V124" s="2088" t="str">
        <f>Table24567[[#This Row],[Column3]]</f>
        <v>1995-Q2</v>
      </c>
    </row>
    <row r="125" spans="1:22" x14ac:dyDescent="0.3">
      <c r="A125" s="211">
        <f t="shared" si="11"/>
        <v>1995</v>
      </c>
      <c r="B125" s="211" t="str">
        <f t="shared" si="12"/>
        <v>Q3</v>
      </c>
      <c r="C125" s="2088" t="str">
        <f t="shared" si="8"/>
        <v>1995-Q3</v>
      </c>
      <c r="E125" s="252">
        <v>30600</v>
      </c>
      <c r="F125" s="252">
        <v>23400</v>
      </c>
      <c r="G125" s="252">
        <f t="shared" si="13"/>
        <v>27000</v>
      </c>
      <c r="J125" s="230"/>
      <c r="K125" s="230"/>
      <c r="L125" s="252">
        <f>K123*E125</f>
        <v>36291600000</v>
      </c>
      <c r="M125" s="252">
        <f>K123*F125</f>
        <v>27752400000</v>
      </c>
      <c r="N125" s="252">
        <f t="shared" si="14"/>
        <v>32022000000</v>
      </c>
      <c r="P125" s="252"/>
      <c r="Q125" s="252"/>
      <c r="S125" s="348">
        <f>L125/Q123</f>
        <v>2.536642878446203</v>
      </c>
      <c r="T125" s="348">
        <f>M125/Q123</f>
        <v>1.9397857305765083</v>
      </c>
      <c r="U125" s="1043">
        <f t="shared" si="10"/>
        <v>2.2382143045113558</v>
      </c>
      <c r="V125" s="2088" t="str">
        <f>Table24567[[#This Row],[Column3]]</f>
        <v>1995-Q3</v>
      </c>
    </row>
    <row r="126" spans="1:22" x14ac:dyDescent="0.3">
      <c r="A126" s="211">
        <f t="shared" si="11"/>
        <v>1995</v>
      </c>
      <c r="B126" s="211" t="str">
        <f t="shared" si="12"/>
        <v>Q4</v>
      </c>
      <c r="C126" s="2088" t="str">
        <f t="shared" si="8"/>
        <v>1995-Q4</v>
      </c>
      <c r="E126" s="252">
        <v>33400</v>
      </c>
      <c r="F126" s="252">
        <v>28850</v>
      </c>
      <c r="G126" s="252">
        <f t="shared" si="13"/>
        <v>31125</v>
      </c>
      <c r="J126" s="230"/>
      <c r="K126" s="230"/>
      <c r="L126" s="252">
        <f>K123*E126</f>
        <v>39612400000</v>
      </c>
      <c r="M126" s="252">
        <f>K123*F126</f>
        <v>34216100000</v>
      </c>
      <c r="N126" s="252">
        <f t="shared" si="14"/>
        <v>36914250000</v>
      </c>
      <c r="P126" s="252"/>
      <c r="Q126" s="252"/>
      <c r="S126" s="348">
        <f>L126/Q123</f>
        <v>2.7687539915066401</v>
      </c>
      <c r="T126" s="348">
        <f>M126/Q123</f>
        <v>2.3915734327834302</v>
      </c>
      <c r="U126" s="1043">
        <f t="shared" si="10"/>
        <v>2.5801637121450351</v>
      </c>
      <c r="V126" s="2088" t="str">
        <f>Table24567[[#This Row],[Column3]]</f>
        <v>1995-Q4</v>
      </c>
    </row>
    <row r="127" spans="1:22" x14ac:dyDescent="0.3">
      <c r="A127" s="211">
        <f t="shared" si="11"/>
        <v>1996</v>
      </c>
      <c r="B127" s="211" t="str">
        <f t="shared" si="12"/>
        <v>Q1</v>
      </c>
      <c r="C127" s="2088" t="str">
        <f t="shared" si="8"/>
        <v>1996-Q1</v>
      </c>
      <c r="D127" s="211">
        <v>1996</v>
      </c>
      <c r="E127" s="252">
        <v>38000</v>
      </c>
      <c r="F127" s="252">
        <v>29800</v>
      </c>
      <c r="G127" s="252">
        <f t="shared" si="13"/>
        <v>33900</v>
      </c>
      <c r="I127" s="2088">
        <v>35430</v>
      </c>
      <c r="J127" s="230">
        <v>1232000</v>
      </c>
      <c r="K127" s="278">
        <f>AVERAGE(J123,J127)</f>
        <v>1213000</v>
      </c>
      <c r="L127" s="252">
        <f>K127*E127</f>
        <v>46094000000</v>
      </c>
      <c r="M127" s="252">
        <f>K127*F127</f>
        <v>36147400000</v>
      </c>
      <c r="N127" s="252">
        <f t="shared" si="14"/>
        <v>41120700000</v>
      </c>
      <c r="P127" s="252">
        <v>23427000000</v>
      </c>
      <c r="Q127" s="252">
        <f>AVERAGE(P123,P127)</f>
        <v>20083000000</v>
      </c>
      <c r="S127" s="348">
        <f>L127/Q127</f>
        <v>2.2951750236518449</v>
      </c>
      <c r="T127" s="348">
        <f>M127/Q127</f>
        <v>1.7999004132848677</v>
      </c>
      <c r="U127" s="1043">
        <f t="shared" si="10"/>
        <v>2.0475377184683561</v>
      </c>
      <c r="V127" s="2088" t="str">
        <f>Table24567[[#This Row],[Column3]]</f>
        <v>1996-Q1</v>
      </c>
    </row>
    <row r="128" spans="1:22" x14ac:dyDescent="0.3">
      <c r="A128" s="211">
        <f t="shared" si="11"/>
        <v>1996</v>
      </c>
      <c r="B128" s="211" t="str">
        <f t="shared" si="12"/>
        <v>Q2</v>
      </c>
      <c r="C128" s="2088" t="str">
        <f t="shared" si="8"/>
        <v>1996-Q2</v>
      </c>
      <c r="E128" s="252">
        <v>36000</v>
      </c>
      <c r="F128" s="252">
        <v>30000</v>
      </c>
      <c r="G128" s="252">
        <f t="shared" si="13"/>
        <v>33000</v>
      </c>
      <c r="J128" s="230"/>
      <c r="L128" s="252">
        <f>K127*E128</f>
        <v>43668000000</v>
      </c>
      <c r="M128" s="252">
        <f>K127*F128</f>
        <v>36390000000</v>
      </c>
      <c r="N128" s="252">
        <f t="shared" si="14"/>
        <v>40029000000</v>
      </c>
      <c r="P128" s="252"/>
      <c r="Q128" s="252"/>
      <c r="S128" s="348">
        <f>L128/Q127</f>
        <v>2.1743763381964847</v>
      </c>
      <c r="T128" s="348">
        <f>M128/Q127</f>
        <v>1.8119802818304038</v>
      </c>
      <c r="U128" s="1043">
        <f t="shared" si="10"/>
        <v>1.9931783100134441</v>
      </c>
      <c r="V128" s="2088" t="str">
        <f>Table24567[[#This Row],[Column3]]</f>
        <v>1996-Q2</v>
      </c>
    </row>
    <row r="129" spans="1:22" x14ac:dyDescent="0.3">
      <c r="A129" s="211">
        <f t="shared" si="11"/>
        <v>1996</v>
      </c>
      <c r="B129" s="211" t="str">
        <f t="shared" si="12"/>
        <v>Q3</v>
      </c>
      <c r="C129" s="2088" t="str">
        <f t="shared" si="8"/>
        <v>1996-Q3</v>
      </c>
      <c r="E129" s="252">
        <v>33500</v>
      </c>
      <c r="F129" s="252">
        <v>30500</v>
      </c>
      <c r="G129" s="252">
        <f t="shared" si="13"/>
        <v>32000</v>
      </c>
      <c r="J129" s="230"/>
      <c r="L129" s="252">
        <f>K127*E129</f>
        <v>40635500000</v>
      </c>
      <c r="M129" s="252">
        <f>K127*F129</f>
        <v>36996500000</v>
      </c>
      <c r="N129" s="252">
        <f t="shared" si="14"/>
        <v>38816000000</v>
      </c>
      <c r="P129" s="252"/>
      <c r="Q129" s="252"/>
      <c r="S129" s="348">
        <f>L129/Q127</f>
        <v>2.0233779813772843</v>
      </c>
      <c r="T129" s="348">
        <f>M129/Q127</f>
        <v>1.842179953194244</v>
      </c>
      <c r="U129" s="1043">
        <f t="shared" si="10"/>
        <v>1.9327789672857643</v>
      </c>
      <c r="V129" s="2088" t="str">
        <f>Table24567[[#This Row],[Column3]]</f>
        <v>1996-Q3</v>
      </c>
    </row>
    <row r="130" spans="1:22" x14ac:dyDescent="0.3">
      <c r="A130" s="211">
        <f t="shared" si="11"/>
        <v>1996</v>
      </c>
      <c r="B130" s="211" t="str">
        <f t="shared" si="12"/>
        <v>Q4</v>
      </c>
      <c r="C130" s="2088" t="str">
        <f t="shared" si="8"/>
        <v>1996-Q4</v>
      </c>
      <c r="E130" s="252">
        <v>36500</v>
      </c>
      <c r="F130" s="252">
        <v>31000</v>
      </c>
      <c r="G130" s="252">
        <f t="shared" si="13"/>
        <v>33750</v>
      </c>
      <c r="J130" s="230"/>
      <c r="L130" s="252">
        <f>K127*E130</f>
        <v>44274500000</v>
      </c>
      <c r="M130" s="252">
        <f>K127*F130</f>
        <v>37603000000</v>
      </c>
      <c r="N130" s="252">
        <f t="shared" si="14"/>
        <v>40938750000</v>
      </c>
      <c r="P130" s="252"/>
      <c r="Q130" s="252"/>
      <c r="S130" s="348">
        <f>L130/Q127</f>
        <v>2.2045760095603248</v>
      </c>
      <c r="T130" s="348">
        <f>M130/Q127</f>
        <v>1.8723796245580839</v>
      </c>
      <c r="U130" s="1043">
        <f t="shared" si="10"/>
        <v>2.0384778170592046</v>
      </c>
      <c r="V130" s="2088" t="str">
        <f>Table24567[[#This Row],[Column3]]</f>
        <v>1996-Q4</v>
      </c>
    </row>
    <row r="131" spans="1:22" x14ac:dyDescent="0.3">
      <c r="A131" s="211">
        <f t="shared" si="11"/>
        <v>1997</v>
      </c>
      <c r="B131" s="211" t="str">
        <f t="shared" si="12"/>
        <v>Q1</v>
      </c>
      <c r="C131" s="2088" t="str">
        <f t="shared" si="8"/>
        <v>1997-Q1</v>
      </c>
      <c r="D131" s="211">
        <v>1997</v>
      </c>
      <c r="E131" s="252">
        <v>37900</v>
      </c>
      <c r="F131" s="252">
        <v>33000</v>
      </c>
      <c r="G131" s="252">
        <f t="shared" si="13"/>
        <v>35450</v>
      </c>
      <c r="I131" s="2088">
        <v>35795</v>
      </c>
      <c r="J131" s="230">
        <v>1234000</v>
      </c>
      <c r="K131" s="230">
        <f>AVERAGE(J127,J131)</f>
        <v>1233000</v>
      </c>
      <c r="L131" s="252">
        <f>K131*E131</f>
        <v>46730700000</v>
      </c>
      <c r="M131" s="252">
        <f>K131*F131</f>
        <v>40689000000</v>
      </c>
      <c r="N131" s="252">
        <f t="shared" si="14"/>
        <v>43709850000</v>
      </c>
      <c r="P131" s="252">
        <v>31455000000</v>
      </c>
      <c r="Q131" s="252">
        <f>AVERAGE(P127,P131)</f>
        <v>27441000000</v>
      </c>
      <c r="S131" s="348">
        <f>L131/Q131</f>
        <v>1.702951787471302</v>
      </c>
      <c r="T131" s="348">
        <f>M131/Q131</f>
        <v>1.4827812397507381</v>
      </c>
      <c r="U131" s="1043">
        <f t="shared" si="10"/>
        <v>1.5928665136110201</v>
      </c>
      <c r="V131" s="2088" t="str">
        <f>Table24567[[#This Row],[Column3]]</f>
        <v>1997-Q1</v>
      </c>
    </row>
    <row r="132" spans="1:22" x14ac:dyDescent="0.3">
      <c r="A132" s="211">
        <f t="shared" si="11"/>
        <v>1997</v>
      </c>
      <c r="B132" s="211" t="str">
        <f t="shared" si="12"/>
        <v>Q2</v>
      </c>
      <c r="C132" s="2088" t="str">
        <f t="shared" ref="C132:C195" si="15">CONCATENATE(A132,"-",B132)</f>
        <v>1997-Q2</v>
      </c>
      <c r="E132" s="252">
        <v>48600</v>
      </c>
      <c r="F132" s="252">
        <v>35900</v>
      </c>
      <c r="G132" s="252">
        <f t="shared" si="13"/>
        <v>42250</v>
      </c>
      <c r="J132" s="230"/>
      <c r="K132" s="230"/>
      <c r="L132" s="252">
        <f>K131*E132</f>
        <v>59923800000</v>
      </c>
      <c r="M132" s="252">
        <f>K131*F132</f>
        <v>44264700000</v>
      </c>
      <c r="N132" s="252">
        <f t="shared" si="14"/>
        <v>52094250000</v>
      </c>
      <c r="P132" s="252"/>
      <c r="Q132" s="252"/>
      <c r="S132" s="348">
        <f>L132/Q131</f>
        <v>2.1837323712692687</v>
      </c>
      <c r="T132" s="348">
        <f>M132/Q131</f>
        <v>1.6130862577894391</v>
      </c>
      <c r="U132" s="1043">
        <f t="shared" ref="U132:U161" si="16">AVERAGE(S132:T132)</f>
        <v>1.8984093145293539</v>
      </c>
      <c r="V132" s="2088" t="str">
        <f>Table24567[[#This Row],[Column3]]</f>
        <v>1997-Q2</v>
      </c>
    </row>
    <row r="133" spans="1:22" x14ac:dyDescent="0.3">
      <c r="A133" s="211">
        <f t="shared" si="11"/>
        <v>1997</v>
      </c>
      <c r="B133" s="211" t="str">
        <f t="shared" si="12"/>
        <v>Q3</v>
      </c>
      <c r="C133" s="2088" t="str">
        <f t="shared" si="15"/>
        <v>1997-Q3</v>
      </c>
      <c r="E133" s="252">
        <v>48300</v>
      </c>
      <c r="F133" s="252">
        <v>41300</v>
      </c>
      <c r="G133" s="252">
        <f t="shared" si="13"/>
        <v>44800</v>
      </c>
      <c r="J133" s="230"/>
      <c r="K133" s="230"/>
      <c r="L133" s="252">
        <f>K131*E133</f>
        <v>59553900000</v>
      </c>
      <c r="M133" s="252">
        <f>K131*F133</f>
        <v>50922900000</v>
      </c>
      <c r="N133" s="252">
        <f t="shared" si="14"/>
        <v>55238400000</v>
      </c>
      <c r="P133" s="252"/>
      <c r="Q133" s="252"/>
      <c r="S133" s="348">
        <f>L133/Q131</f>
        <v>2.1702525418169891</v>
      </c>
      <c r="T133" s="348">
        <f>M133/Q131</f>
        <v>1.855723187930469</v>
      </c>
      <c r="U133" s="1043">
        <f t="shared" si="16"/>
        <v>2.0129878648737289</v>
      </c>
      <c r="V133" s="2088" t="str">
        <f>Table24567[[#This Row],[Column3]]</f>
        <v>1997-Q3</v>
      </c>
    </row>
    <row r="134" spans="1:22" x14ac:dyDescent="0.3">
      <c r="A134" s="211">
        <f t="shared" si="11"/>
        <v>1997</v>
      </c>
      <c r="B134" s="211" t="str">
        <f t="shared" si="12"/>
        <v>Q4</v>
      </c>
      <c r="C134" s="2088" t="str">
        <f t="shared" si="15"/>
        <v>1997-Q4</v>
      </c>
      <c r="E134" s="252">
        <v>47200</v>
      </c>
      <c r="F134" s="252">
        <v>42500</v>
      </c>
      <c r="G134" s="252">
        <f t="shared" si="13"/>
        <v>44850</v>
      </c>
      <c r="J134" s="230"/>
      <c r="K134" s="230"/>
      <c r="L134" s="252">
        <f>K131*E134</f>
        <v>58197600000</v>
      </c>
      <c r="M134" s="252">
        <f>K131*F134</f>
        <v>52402500000</v>
      </c>
      <c r="N134" s="252">
        <f t="shared" si="14"/>
        <v>55300050000</v>
      </c>
      <c r="P134" s="252"/>
      <c r="Q134" s="252"/>
      <c r="S134" s="348">
        <f>L134/Q131</f>
        <v>2.1208265004919644</v>
      </c>
      <c r="T134" s="348">
        <f>M134/Q131</f>
        <v>1.9096425057395867</v>
      </c>
      <c r="U134" s="1043">
        <f t="shared" si="16"/>
        <v>2.0152345031157757</v>
      </c>
      <c r="V134" s="2088" t="str">
        <f>Table24567[[#This Row],[Column3]]</f>
        <v>1997-Q4</v>
      </c>
    </row>
    <row r="135" spans="1:22" x14ac:dyDescent="0.3">
      <c r="A135" s="211">
        <f t="shared" si="11"/>
        <v>1998</v>
      </c>
      <c r="B135" s="211" t="str">
        <f t="shared" si="12"/>
        <v>Q1</v>
      </c>
      <c r="C135" s="2088" t="str">
        <f t="shared" si="15"/>
        <v>1998-Q1</v>
      </c>
      <c r="D135" s="211">
        <v>1998</v>
      </c>
      <c r="E135" s="252">
        <v>69500</v>
      </c>
      <c r="F135" s="252">
        <v>45700</v>
      </c>
      <c r="G135" s="252">
        <f t="shared" si="13"/>
        <v>57600</v>
      </c>
      <c r="I135" s="2088">
        <v>36160</v>
      </c>
      <c r="J135" s="230">
        <v>1519000</v>
      </c>
      <c r="K135" s="230">
        <f>AVERAGE(J131,J135)</f>
        <v>1376500</v>
      </c>
      <c r="L135" s="252">
        <f>K135*E135</f>
        <v>95666750000</v>
      </c>
      <c r="M135" s="252">
        <f>K135*F135</f>
        <v>62906050000</v>
      </c>
      <c r="N135" s="252">
        <f t="shared" si="14"/>
        <v>79286400000</v>
      </c>
      <c r="P135" s="252">
        <v>57403000000</v>
      </c>
      <c r="Q135" s="252">
        <f>AVERAGE(P131,P135)</f>
        <v>44429000000</v>
      </c>
      <c r="S135" s="348">
        <f>L135/Q135</f>
        <v>2.1532501294199733</v>
      </c>
      <c r="T135" s="348">
        <f>M135/Q135</f>
        <v>1.4158781426545726</v>
      </c>
      <c r="U135" s="1043">
        <f t="shared" si="16"/>
        <v>1.784564136037273</v>
      </c>
      <c r="V135" s="2088" t="str">
        <f>Table24567[[#This Row],[Column3]]</f>
        <v>1998-Q1</v>
      </c>
    </row>
    <row r="136" spans="1:22" x14ac:dyDescent="0.3">
      <c r="A136" s="211">
        <f t="shared" si="11"/>
        <v>1998</v>
      </c>
      <c r="B136" s="211" t="str">
        <f t="shared" si="12"/>
        <v>Q2</v>
      </c>
      <c r="C136" s="2088" t="str">
        <f t="shared" si="15"/>
        <v>1998-Q2</v>
      </c>
      <c r="E136" s="252">
        <v>84000</v>
      </c>
      <c r="F136" s="252">
        <v>65800</v>
      </c>
      <c r="G136" s="252">
        <f t="shared" si="13"/>
        <v>74900</v>
      </c>
      <c r="J136" s="230"/>
      <c r="K136" s="230"/>
      <c r="L136" s="252">
        <f>K135*E136</f>
        <v>115626000000</v>
      </c>
      <c r="M136" s="252">
        <f>K135*F136</f>
        <v>90573700000</v>
      </c>
      <c r="N136" s="252">
        <f t="shared" si="14"/>
        <v>103099850000</v>
      </c>
      <c r="P136" s="252"/>
      <c r="Q136" s="252"/>
      <c r="S136" s="348">
        <f>L136/Q135</f>
        <v>2.6024893650543564</v>
      </c>
      <c r="T136" s="348">
        <f>M136/Q135</f>
        <v>2.0386166692925793</v>
      </c>
      <c r="U136" s="1043">
        <f t="shared" si="16"/>
        <v>2.3205530171734678</v>
      </c>
      <c r="V136" s="2088" t="str">
        <f>Table24567[[#This Row],[Column3]]</f>
        <v>1998-Q2</v>
      </c>
    </row>
    <row r="137" spans="1:22" x14ac:dyDescent="0.3">
      <c r="A137" s="211">
        <f t="shared" si="11"/>
        <v>1998</v>
      </c>
      <c r="B137" s="211" t="str">
        <f t="shared" si="12"/>
        <v>Q3</v>
      </c>
      <c r="C137" s="2088" t="str">
        <f t="shared" si="15"/>
        <v>1998-Q3</v>
      </c>
      <c r="E137" s="252">
        <v>78500</v>
      </c>
      <c r="F137" s="252">
        <v>57000</v>
      </c>
      <c r="G137" s="252">
        <f t="shared" si="13"/>
        <v>67750</v>
      </c>
      <c r="J137" s="230"/>
      <c r="K137" s="230"/>
      <c r="L137" s="252">
        <f>K135*E137</f>
        <v>108055250000</v>
      </c>
      <c r="M137" s="252">
        <f>K135*F137</f>
        <v>78460500000</v>
      </c>
      <c r="N137" s="252">
        <f t="shared" si="14"/>
        <v>93257875000</v>
      </c>
      <c r="P137" s="252"/>
      <c r="Q137" s="252"/>
      <c r="S137" s="348">
        <f>L137/Q135</f>
        <v>2.4320882756757976</v>
      </c>
      <c r="T137" s="348">
        <f>M137/Q135</f>
        <v>1.7659749262868847</v>
      </c>
      <c r="U137" s="1043">
        <f t="shared" si="16"/>
        <v>2.0990316009813412</v>
      </c>
      <c r="V137" s="2088" t="str">
        <f>Table24567[[#This Row],[Column3]]</f>
        <v>1998-Q3</v>
      </c>
    </row>
    <row r="138" spans="1:22" x14ac:dyDescent="0.3">
      <c r="A138" s="211">
        <f t="shared" si="11"/>
        <v>1998</v>
      </c>
      <c r="B138" s="211" t="str">
        <f t="shared" si="12"/>
        <v>Q4</v>
      </c>
      <c r="C138" s="2088" t="str">
        <f t="shared" si="15"/>
        <v>1998-Q4</v>
      </c>
      <c r="E138" s="252">
        <v>71000</v>
      </c>
      <c r="F138" s="252">
        <v>57700</v>
      </c>
      <c r="G138" s="252">
        <f t="shared" si="13"/>
        <v>64350</v>
      </c>
      <c r="J138" s="230"/>
      <c r="K138" s="230"/>
      <c r="L138" s="252">
        <f>K135*E138</f>
        <v>97731500000</v>
      </c>
      <c r="M138" s="252">
        <f>K135*F138</f>
        <v>79424050000</v>
      </c>
      <c r="N138" s="252">
        <f t="shared" si="14"/>
        <v>88577775000</v>
      </c>
      <c r="P138" s="252"/>
      <c r="Q138" s="252"/>
      <c r="S138" s="348">
        <f>L138/Q135</f>
        <v>2.1997231537959441</v>
      </c>
      <c r="T138" s="348">
        <f>M138/Q135</f>
        <v>1.7876623376623377</v>
      </c>
      <c r="U138" s="1043">
        <f t="shared" si="16"/>
        <v>1.9936927457291409</v>
      </c>
      <c r="V138" s="2088" t="str">
        <f>Table24567[[#This Row],[Column3]]</f>
        <v>1998-Q4</v>
      </c>
    </row>
    <row r="139" spans="1:22" x14ac:dyDescent="0.3">
      <c r="A139" s="211">
        <f t="shared" si="11"/>
        <v>1999</v>
      </c>
      <c r="B139" s="211" t="str">
        <f t="shared" si="12"/>
        <v>Q1</v>
      </c>
      <c r="C139" s="2088" t="str">
        <f t="shared" si="15"/>
        <v>1999-Q1</v>
      </c>
      <c r="D139" s="211">
        <v>1999</v>
      </c>
      <c r="E139" s="252">
        <v>81100</v>
      </c>
      <c r="F139" s="252">
        <v>61900</v>
      </c>
      <c r="G139" s="252">
        <f t="shared" si="13"/>
        <v>71500</v>
      </c>
      <c r="I139" s="2088">
        <v>36525</v>
      </c>
      <c r="J139" s="230">
        <v>1521000</v>
      </c>
      <c r="K139" s="278">
        <f>AVERAGE(J135,J139)</f>
        <v>1520000</v>
      </c>
      <c r="L139" s="252">
        <f>K139*E139</f>
        <v>123272000000</v>
      </c>
      <c r="M139" s="252">
        <f>K139*F139</f>
        <v>94088000000</v>
      </c>
      <c r="N139" s="252">
        <f t="shared" si="14"/>
        <v>108680000000</v>
      </c>
      <c r="P139" s="252">
        <v>57761000000</v>
      </c>
      <c r="Q139" s="252">
        <f>AVERAGE(P135,P139)</f>
        <v>57582000000</v>
      </c>
      <c r="S139" s="348">
        <f>L139/Q139</f>
        <v>2.1408078913549371</v>
      </c>
      <c r="T139" s="348">
        <f>M139/Q139</f>
        <v>1.6339828418603035</v>
      </c>
      <c r="U139" s="1043">
        <f t="shared" si="16"/>
        <v>1.8873953666076204</v>
      </c>
      <c r="V139" s="2088" t="str">
        <f>Table24567[[#This Row],[Column3]]</f>
        <v>1999-Q1</v>
      </c>
    </row>
    <row r="140" spans="1:22" x14ac:dyDescent="0.3">
      <c r="A140" s="211">
        <f t="shared" ref="A140:A202" si="17">A136+1</f>
        <v>1999</v>
      </c>
      <c r="B140" s="211" t="str">
        <f t="shared" ref="B140:B202" si="18">B136</f>
        <v>Q2</v>
      </c>
      <c r="C140" s="2088" t="str">
        <f t="shared" si="15"/>
        <v>1999-Q2</v>
      </c>
      <c r="E140" s="252">
        <v>78600</v>
      </c>
      <c r="F140" s="252">
        <v>68300</v>
      </c>
      <c r="G140" s="252">
        <f t="shared" si="13"/>
        <v>73450</v>
      </c>
      <c r="J140" s="230"/>
      <c r="L140" s="252">
        <f>K139*E140</f>
        <v>119472000000</v>
      </c>
      <c r="M140" s="252">
        <f>K139*F140</f>
        <v>103816000000</v>
      </c>
      <c r="N140" s="252">
        <f t="shared" si="14"/>
        <v>111644000000</v>
      </c>
      <c r="P140" s="252"/>
      <c r="Q140" s="252"/>
      <c r="S140" s="348">
        <f>L140/Q139</f>
        <v>2.074815046368657</v>
      </c>
      <c r="T140" s="348">
        <f>M140/Q139</f>
        <v>1.8029245250251815</v>
      </c>
      <c r="U140" s="1043">
        <f t="shared" si="16"/>
        <v>1.9388697856969193</v>
      </c>
      <c r="V140" s="2088" t="str">
        <f>Table24567[[#This Row],[Column3]]</f>
        <v>1999-Q2</v>
      </c>
    </row>
    <row r="141" spans="1:22" x14ac:dyDescent="0.3">
      <c r="A141" s="211">
        <f t="shared" si="17"/>
        <v>1999</v>
      </c>
      <c r="B141" s="211" t="str">
        <f t="shared" si="18"/>
        <v>Q3</v>
      </c>
      <c r="C141" s="2088" t="str">
        <f t="shared" si="15"/>
        <v>1999-Q3</v>
      </c>
      <c r="E141" s="252">
        <v>73000</v>
      </c>
      <c r="F141" s="252">
        <v>54000</v>
      </c>
      <c r="G141" s="252">
        <f t="shared" si="13"/>
        <v>63500</v>
      </c>
      <c r="J141" s="230"/>
      <c r="L141" s="252">
        <f>K139*E141</f>
        <v>110960000000</v>
      </c>
      <c r="M141" s="252">
        <f>K139*F141</f>
        <v>82080000000</v>
      </c>
      <c r="N141" s="252">
        <f t="shared" si="14"/>
        <v>96520000000</v>
      </c>
      <c r="P141" s="252"/>
      <c r="Q141" s="252"/>
      <c r="S141" s="348">
        <f>L141/Q139</f>
        <v>1.9269910735993887</v>
      </c>
      <c r="T141" s="348">
        <f>M141/Q139</f>
        <v>1.4254454517036574</v>
      </c>
      <c r="U141" s="1043">
        <f t="shared" si="16"/>
        <v>1.6762182626515232</v>
      </c>
      <c r="V141" s="2088" t="str">
        <f>Table24567[[#This Row],[Column3]]</f>
        <v>1999-Q3</v>
      </c>
    </row>
    <row r="142" spans="1:22" x14ac:dyDescent="0.3">
      <c r="A142" s="211">
        <f t="shared" si="17"/>
        <v>1999</v>
      </c>
      <c r="B142" s="211" t="str">
        <f t="shared" si="18"/>
        <v>Q4</v>
      </c>
      <c r="C142" s="2088" t="str">
        <f t="shared" si="15"/>
        <v>1999-Q4</v>
      </c>
      <c r="E142" s="252">
        <v>66900</v>
      </c>
      <c r="F142" s="252">
        <v>52000</v>
      </c>
      <c r="G142" s="252">
        <f t="shared" si="13"/>
        <v>59450</v>
      </c>
      <c r="J142" s="230"/>
      <c r="L142" s="252">
        <f>K139*E142</f>
        <v>101688000000</v>
      </c>
      <c r="M142" s="252">
        <f>K139*F142</f>
        <v>79040000000</v>
      </c>
      <c r="N142" s="252">
        <f t="shared" si="14"/>
        <v>90364000000</v>
      </c>
      <c r="P142" s="252"/>
      <c r="Q142" s="252"/>
      <c r="S142" s="348">
        <f>L142/Q139</f>
        <v>1.7659685318328644</v>
      </c>
      <c r="T142" s="348">
        <f>M142/Q139</f>
        <v>1.3726511757146331</v>
      </c>
      <c r="U142" s="1043">
        <f t="shared" si="16"/>
        <v>1.5693098537737487</v>
      </c>
      <c r="V142" s="2088" t="str">
        <f>Table24567[[#This Row],[Column3]]</f>
        <v>1999-Q4</v>
      </c>
    </row>
    <row r="143" spans="1:22" x14ac:dyDescent="0.3">
      <c r="A143" s="211">
        <f t="shared" si="17"/>
        <v>2000</v>
      </c>
      <c r="B143" s="211" t="str">
        <f t="shared" si="18"/>
        <v>Q1</v>
      </c>
      <c r="C143" s="2088" t="str">
        <f t="shared" si="15"/>
        <v>2000-Q1</v>
      </c>
      <c r="D143" s="211">
        <v>2000</v>
      </c>
      <c r="E143" s="252">
        <v>58000</v>
      </c>
      <c r="F143" s="252">
        <v>40800</v>
      </c>
      <c r="G143" s="252">
        <f t="shared" si="13"/>
        <v>49400</v>
      </c>
      <c r="I143" s="2088">
        <v>36891</v>
      </c>
      <c r="J143" s="230">
        <v>1526000</v>
      </c>
      <c r="K143" s="230">
        <f>AVERAGE(J139,J143)</f>
        <v>1523500</v>
      </c>
      <c r="L143" s="252">
        <f>K143*E143</f>
        <v>88363000000</v>
      </c>
      <c r="M143" s="252">
        <f>K143*F143</f>
        <v>62158800000</v>
      </c>
      <c r="N143" s="252">
        <f t="shared" si="14"/>
        <v>75260900000</v>
      </c>
      <c r="P143" s="252">
        <v>61724000000</v>
      </c>
      <c r="Q143" s="252">
        <f>AVERAGE(P139,P143)</f>
        <v>59742500000</v>
      </c>
      <c r="S143" s="348">
        <f>L143/Q143</f>
        <v>1.4790643176967819</v>
      </c>
      <c r="T143" s="348">
        <f>M143/Q143</f>
        <v>1.0404452441729086</v>
      </c>
      <c r="U143" s="1043">
        <f t="shared" si="16"/>
        <v>1.2597547809348453</v>
      </c>
      <c r="V143" s="2088" t="str">
        <f>Table24567[[#This Row],[Column3]]</f>
        <v>2000-Q1</v>
      </c>
    </row>
    <row r="144" spans="1:22" x14ac:dyDescent="0.3">
      <c r="A144" s="211">
        <f t="shared" si="17"/>
        <v>2000</v>
      </c>
      <c r="B144" s="211" t="str">
        <f t="shared" si="18"/>
        <v>Q2</v>
      </c>
      <c r="C144" s="2088" t="str">
        <f t="shared" si="15"/>
        <v>2000-Q2</v>
      </c>
      <c r="E144" s="252">
        <v>60800</v>
      </c>
      <c r="F144" s="252">
        <v>51800</v>
      </c>
      <c r="G144" s="252">
        <f t="shared" si="13"/>
        <v>56300</v>
      </c>
      <c r="J144" s="230"/>
      <c r="K144" s="230"/>
      <c r="L144" s="252">
        <f>K143*E144</f>
        <v>92628800000</v>
      </c>
      <c r="M144" s="252">
        <f>K143*F144</f>
        <v>78917300000</v>
      </c>
      <c r="N144" s="252">
        <f t="shared" si="14"/>
        <v>85773050000</v>
      </c>
      <c r="P144" s="252"/>
      <c r="Q144" s="252"/>
      <c r="S144" s="348">
        <f>L144/Q143</f>
        <v>1.5504674226890405</v>
      </c>
      <c r="T144" s="348">
        <f>M144/Q143</f>
        <v>1.3209574423567811</v>
      </c>
      <c r="U144" s="1043">
        <f t="shared" si="16"/>
        <v>1.4357124325229109</v>
      </c>
      <c r="V144" s="2088" t="str">
        <f>Table24567[[#This Row],[Column3]]</f>
        <v>2000-Q2</v>
      </c>
    </row>
    <row r="145" spans="1:22" x14ac:dyDescent="0.3">
      <c r="A145" s="211">
        <f t="shared" si="17"/>
        <v>2000</v>
      </c>
      <c r="B145" s="211" t="str">
        <f t="shared" si="18"/>
        <v>Q3</v>
      </c>
      <c r="C145" s="2088" t="str">
        <f t="shared" si="15"/>
        <v>2000-Q3</v>
      </c>
      <c r="E145" s="252">
        <v>64400</v>
      </c>
      <c r="F145" s="252">
        <v>51600</v>
      </c>
      <c r="G145" s="252">
        <f t="shared" si="13"/>
        <v>58000</v>
      </c>
      <c r="J145" s="230"/>
      <c r="K145" s="230"/>
      <c r="L145" s="252">
        <f>K143*E145</f>
        <v>98113400000</v>
      </c>
      <c r="M145" s="252">
        <f>K143*F145</f>
        <v>78612600000</v>
      </c>
      <c r="N145" s="252">
        <f t="shared" si="14"/>
        <v>88363000000</v>
      </c>
      <c r="P145" s="252"/>
      <c r="Q145" s="252"/>
      <c r="S145" s="348">
        <f>L145/Q143</f>
        <v>1.6422714148219442</v>
      </c>
      <c r="T145" s="348">
        <f>M145/Q143</f>
        <v>1.3158572205716199</v>
      </c>
      <c r="U145" s="1043">
        <f t="shared" si="16"/>
        <v>1.4790643176967819</v>
      </c>
      <c r="V145" s="2088" t="str">
        <f>Table24567[[#This Row],[Column3]]</f>
        <v>2000-Q3</v>
      </c>
    </row>
    <row r="146" spans="1:22" x14ac:dyDescent="0.3">
      <c r="A146" s="211">
        <f t="shared" si="17"/>
        <v>2000</v>
      </c>
      <c r="B146" s="211" t="str">
        <f t="shared" si="18"/>
        <v>Q4</v>
      </c>
      <c r="C146" s="2088" t="str">
        <f t="shared" si="15"/>
        <v>2000-Q4</v>
      </c>
      <c r="E146" s="252">
        <v>71300</v>
      </c>
      <c r="F146" s="252">
        <v>53500</v>
      </c>
      <c r="G146" s="252">
        <f t="shared" si="13"/>
        <v>62400</v>
      </c>
      <c r="J146" s="230"/>
      <c r="K146" s="230"/>
      <c r="L146" s="252">
        <f>K143*E146</f>
        <v>108625550000</v>
      </c>
      <c r="M146" s="252">
        <f>K143*F146</f>
        <v>81507250000</v>
      </c>
      <c r="N146" s="252">
        <f t="shared" si="14"/>
        <v>95066400000</v>
      </c>
      <c r="P146" s="252"/>
      <c r="Q146" s="252"/>
      <c r="S146" s="348">
        <f>L146/Q143</f>
        <v>1.8182290664100096</v>
      </c>
      <c r="T146" s="348">
        <f>M146/Q143</f>
        <v>1.3643093275306524</v>
      </c>
      <c r="U146" s="1043">
        <f t="shared" si="16"/>
        <v>1.591269196970331</v>
      </c>
      <c r="V146" s="2088" t="str">
        <f>Table24567[[#This Row],[Column3]]</f>
        <v>2000-Q4</v>
      </c>
    </row>
    <row r="147" spans="1:22" x14ac:dyDescent="0.3">
      <c r="A147" s="211">
        <f t="shared" si="17"/>
        <v>2001</v>
      </c>
      <c r="B147" s="211" t="str">
        <f t="shared" si="18"/>
        <v>Q1</v>
      </c>
      <c r="C147" s="2088" t="str">
        <f t="shared" si="15"/>
        <v>2001-Q1</v>
      </c>
      <c r="D147" s="211">
        <v>2001</v>
      </c>
      <c r="E147" s="252">
        <v>74600</v>
      </c>
      <c r="F147" s="252">
        <v>63000</v>
      </c>
      <c r="G147" s="252">
        <f t="shared" ref="G147:G161" si="19">AVERAGE(E147:F147)</f>
        <v>68800</v>
      </c>
      <c r="I147" s="2088">
        <v>37256</v>
      </c>
      <c r="J147" s="230">
        <v>1528000</v>
      </c>
      <c r="K147" s="230">
        <f>AVERAGE(J143,J147)</f>
        <v>1527000</v>
      </c>
      <c r="L147" s="252">
        <f>K147*E147</f>
        <v>113914200000</v>
      </c>
      <c r="M147" s="252">
        <f>K147*F147</f>
        <v>96201000000</v>
      </c>
      <c r="N147" s="252">
        <f t="shared" si="14"/>
        <v>105057600000</v>
      </c>
      <c r="P147" s="252">
        <v>57950000000</v>
      </c>
      <c r="Q147" s="252">
        <f>AVERAGE(P143,P147)</f>
        <v>59837000000</v>
      </c>
      <c r="S147" s="348">
        <f>L147/Q147</f>
        <v>1.9037418319768704</v>
      </c>
      <c r="T147" s="348">
        <f>M147/Q147</f>
        <v>1.607717632902719</v>
      </c>
      <c r="U147" s="1043">
        <f t="shared" si="16"/>
        <v>1.7557297324397947</v>
      </c>
      <c r="V147" s="2088" t="str">
        <f>Table24567[[#This Row],[Column3]]</f>
        <v>2001-Q1</v>
      </c>
    </row>
    <row r="148" spans="1:22" x14ac:dyDescent="0.3">
      <c r="A148" s="211">
        <f t="shared" si="17"/>
        <v>2001</v>
      </c>
      <c r="B148" s="211" t="str">
        <f t="shared" si="18"/>
        <v>Q2</v>
      </c>
      <c r="C148" s="2088" t="str">
        <f t="shared" si="15"/>
        <v>2001-Q2</v>
      </c>
      <c r="E148" s="252">
        <v>69800</v>
      </c>
      <c r="F148" s="252">
        <v>62800</v>
      </c>
      <c r="G148" s="252">
        <f t="shared" si="19"/>
        <v>66300</v>
      </c>
      <c r="J148" s="230"/>
      <c r="K148" s="230"/>
      <c r="L148" s="252">
        <f>K147*E148</f>
        <v>106584600000</v>
      </c>
      <c r="M148" s="252">
        <f>K147*F148</f>
        <v>95895600000</v>
      </c>
      <c r="N148" s="252">
        <f t="shared" si="14"/>
        <v>101240100000</v>
      </c>
      <c r="P148" s="252"/>
      <c r="Q148" s="252"/>
      <c r="S148" s="348">
        <f>L148/Q147</f>
        <v>1.7812490599461872</v>
      </c>
      <c r="T148" s="348">
        <f>M148/Q147</f>
        <v>1.6026137674014407</v>
      </c>
      <c r="U148" s="1043">
        <f t="shared" si="16"/>
        <v>1.6919314136738139</v>
      </c>
      <c r="V148" s="2088" t="str">
        <f>Table24567[[#This Row],[Column3]]</f>
        <v>2001-Q2</v>
      </c>
    </row>
    <row r="149" spans="1:22" x14ac:dyDescent="0.3">
      <c r="A149" s="211">
        <f t="shared" si="17"/>
        <v>2001</v>
      </c>
      <c r="B149" s="211" t="str">
        <f t="shared" si="18"/>
        <v>Q3</v>
      </c>
      <c r="C149" s="2088" t="str">
        <f t="shared" si="15"/>
        <v>2001-Q3</v>
      </c>
      <c r="E149" s="252">
        <v>70900</v>
      </c>
      <c r="F149" s="252">
        <v>59000</v>
      </c>
      <c r="G149" s="252">
        <f t="shared" si="19"/>
        <v>64950</v>
      </c>
      <c r="J149" s="230"/>
      <c r="K149" s="230"/>
      <c r="L149" s="252">
        <f>K147*E149</f>
        <v>108264300000</v>
      </c>
      <c r="M149" s="252">
        <f>K147*F149</f>
        <v>90093000000</v>
      </c>
      <c r="N149" s="252">
        <f t="shared" si="14"/>
        <v>99178650000</v>
      </c>
      <c r="P149" s="252"/>
      <c r="Q149" s="252"/>
      <c r="S149" s="348">
        <f>L149/Q147</f>
        <v>1.8093203202032186</v>
      </c>
      <c r="T149" s="348">
        <f>M149/Q147</f>
        <v>1.5056403228771496</v>
      </c>
      <c r="U149" s="1043">
        <f t="shared" si="16"/>
        <v>1.6574803215401841</v>
      </c>
      <c r="V149" s="2088" t="str">
        <f>Table24567[[#This Row],[Column3]]</f>
        <v>2001-Q3</v>
      </c>
    </row>
    <row r="150" spans="1:22" x14ac:dyDescent="0.3">
      <c r="A150" s="211">
        <f t="shared" si="17"/>
        <v>2001</v>
      </c>
      <c r="B150" s="211" t="str">
        <f t="shared" si="18"/>
        <v>Q4</v>
      </c>
      <c r="C150" s="2088" t="str">
        <f t="shared" si="15"/>
        <v>2001-Q4</v>
      </c>
      <c r="E150" s="252">
        <v>75600</v>
      </c>
      <c r="F150" s="252">
        <v>66600</v>
      </c>
      <c r="G150" s="252">
        <f t="shared" si="19"/>
        <v>71100</v>
      </c>
      <c r="J150" s="230"/>
      <c r="K150" s="230"/>
      <c r="L150" s="252">
        <f>K147*E150</f>
        <v>115441200000</v>
      </c>
      <c r="M150" s="252">
        <f>K147*F150</f>
        <v>101698200000</v>
      </c>
      <c r="N150" s="252">
        <f t="shared" si="14"/>
        <v>108569700000</v>
      </c>
      <c r="P150" s="252"/>
      <c r="Q150" s="252"/>
      <c r="S150" s="348">
        <f>L150/Q147</f>
        <v>1.9292611594832629</v>
      </c>
      <c r="T150" s="348">
        <f>M150/Q147</f>
        <v>1.6995872119257316</v>
      </c>
      <c r="U150" s="1043">
        <f t="shared" si="16"/>
        <v>1.8144241857044974</v>
      </c>
      <c r="V150" s="2088" t="str">
        <f>Table24567[[#This Row],[Column3]]</f>
        <v>2001-Q4</v>
      </c>
    </row>
    <row r="151" spans="1:22" x14ac:dyDescent="0.3">
      <c r="A151" s="211">
        <f t="shared" si="17"/>
        <v>2002</v>
      </c>
      <c r="B151" s="211" t="str">
        <f t="shared" si="18"/>
        <v>Q1</v>
      </c>
      <c r="C151" s="2088" t="str">
        <f t="shared" si="15"/>
        <v>2002-Q1</v>
      </c>
      <c r="D151" s="211">
        <v>2002</v>
      </c>
      <c r="E151" s="252">
        <v>74900</v>
      </c>
      <c r="F151" s="252">
        <v>69000</v>
      </c>
      <c r="G151" s="252">
        <f t="shared" si="19"/>
        <v>71950</v>
      </c>
      <c r="I151" s="2088">
        <v>37621</v>
      </c>
      <c r="J151" s="230">
        <v>1535000</v>
      </c>
      <c r="K151" s="278">
        <f>AVERAGE(J147,J151)</f>
        <v>1531500</v>
      </c>
      <c r="L151" s="252">
        <f>K151*E151</f>
        <v>114709350000</v>
      </c>
      <c r="M151" s="252">
        <f>K151*F151</f>
        <v>105673500000</v>
      </c>
      <c r="N151" s="252">
        <f t="shared" si="14"/>
        <v>110191425000</v>
      </c>
      <c r="P151" s="252">
        <v>64037000000</v>
      </c>
      <c r="Q151" s="252">
        <f>AVERAGE(P147,P151)</f>
        <v>60993500000</v>
      </c>
      <c r="S151" s="348">
        <f>L151/Q151</f>
        <v>1.8806815480338068</v>
      </c>
      <c r="T151" s="348">
        <f>M151/Q151</f>
        <v>1.7325370736225991</v>
      </c>
      <c r="U151" s="1043">
        <f t="shared" si="16"/>
        <v>1.8066093108282031</v>
      </c>
      <c r="V151" s="2088" t="str">
        <f>Table24567[[#This Row],[Column3]]</f>
        <v>2002-Q1</v>
      </c>
    </row>
    <row r="152" spans="1:22" x14ac:dyDescent="0.3">
      <c r="A152" s="211">
        <f t="shared" si="17"/>
        <v>2002</v>
      </c>
      <c r="B152" s="211" t="str">
        <f t="shared" si="18"/>
        <v>Q2</v>
      </c>
      <c r="C152" s="2088" t="str">
        <f t="shared" si="15"/>
        <v>2002-Q2</v>
      </c>
      <c r="E152" s="252">
        <v>78500</v>
      </c>
      <c r="F152" s="252">
        <v>66500</v>
      </c>
      <c r="G152" s="252">
        <f t="shared" si="19"/>
        <v>72500</v>
      </c>
      <c r="J152" s="230"/>
      <c r="L152" s="252">
        <f>K151*E152</f>
        <v>120222750000</v>
      </c>
      <c r="M152" s="252">
        <f>K151*F152</f>
        <v>101844750000</v>
      </c>
      <c r="N152" s="252">
        <f t="shared" si="14"/>
        <v>111033750000</v>
      </c>
      <c r="P152" s="252"/>
      <c r="Q152" s="252"/>
      <c r="S152" s="348">
        <f>L152/Q151</f>
        <v>1.9710747866575946</v>
      </c>
      <c r="T152" s="348">
        <f>M152/Q151</f>
        <v>1.6697639912449687</v>
      </c>
      <c r="U152" s="1043">
        <f t="shared" si="16"/>
        <v>1.8204193889512816</v>
      </c>
      <c r="V152" s="2088" t="str">
        <f>Table24567[[#This Row],[Column3]]</f>
        <v>2002-Q2</v>
      </c>
    </row>
    <row r="153" spans="1:22" x14ac:dyDescent="0.3">
      <c r="A153" s="211">
        <f t="shared" si="17"/>
        <v>2002</v>
      </c>
      <c r="B153" s="211" t="str">
        <f t="shared" si="18"/>
        <v>Q3</v>
      </c>
      <c r="C153" s="2088" t="str">
        <f t="shared" si="15"/>
        <v>2002-Q3</v>
      </c>
      <c r="E153" s="252">
        <v>75900</v>
      </c>
      <c r="F153" s="252">
        <v>59600</v>
      </c>
      <c r="G153" s="252">
        <f t="shared" si="19"/>
        <v>67750</v>
      </c>
      <c r="J153" s="230"/>
      <c r="L153" s="252">
        <f>K151*E153</f>
        <v>116240850000</v>
      </c>
      <c r="M153" s="252">
        <f>K151*F153</f>
        <v>91277400000</v>
      </c>
      <c r="N153" s="252">
        <f t="shared" si="14"/>
        <v>103759125000</v>
      </c>
      <c r="P153" s="252"/>
      <c r="Q153" s="252"/>
      <c r="S153" s="348">
        <f>L153/Q151</f>
        <v>1.9057907809848591</v>
      </c>
      <c r="T153" s="348">
        <f>M153/Q151</f>
        <v>1.4965102838827089</v>
      </c>
      <c r="U153" s="1043">
        <f t="shared" si="16"/>
        <v>1.7011505324337839</v>
      </c>
      <c r="V153" s="2088" t="str">
        <f>Table24567[[#This Row],[Column3]]</f>
        <v>2002-Q3</v>
      </c>
    </row>
    <row r="154" spans="1:22" x14ac:dyDescent="0.3">
      <c r="A154" s="211">
        <f t="shared" si="17"/>
        <v>2002</v>
      </c>
      <c r="B154" s="211" t="str">
        <f t="shared" si="18"/>
        <v>Q4</v>
      </c>
      <c r="C154" s="2088" t="str">
        <f t="shared" si="15"/>
        <v>2002-Q4</v>
      </c>
      <c r="E154" s="252">
        <v>75000</v>
      </c>
      <c r="F154" s="252">
        <v>67800</v>
      </c>
      <c r="G154" s="252">
        <f t="shared" si="19"/>
        <v>71400</v>
      </c>
      <c r="J154" s="230"/>
      <c r="L154" s="252">
        <f>K151*E154</f>
        <v>114862500000</v>
      </c>
      <c r="M154" s="252">
        <f>K151*F154</f>
        <v>103835700000</v>
      </c>
      <c r="N154" s="252">
        <f t="shared" si="14"/>
        <v>109349100000</v>
      </c>
      <c r="P154" s="252"/>
      <c r="Q154" s="252"/>
      <c r="S154" s="348">
        <f>L154/Q151</f>
        <v>1.8831924713289121</v>
      </c>
      <c r="T154" s="348">
        <f>M154/Q151</f>
        <v>1.7024059940813365</v>
      </c>
      <c r="U154" s="1043">
        <f t="shared" si="16"/>
        <v>1.7927992327051243</v>
      </c>
      <c r="V154" s="2088" t="str">
        <f>Table24567[[#This Row],[Column3]]</f>
        <v>2002-Q4</v>
      </c>
    </row>
    <row r="155" spans="1:22" x14ac:dyDescent="0.3">
      <c r="A155" s="211">
        <f t="shared" si="17"/>
        <v>2003</v>
      </c>
      <c r="B155" s="211" t="str">
        <f t="shared" si="18"/>
        <v>Q1</v>
      </c>
      <c r="C155" s="2088" t="str">
        <f t="shared" si="15"/>
        <v>2003-Q1</v>
      </c>
      <c r="D155" s="211">
        <v>2003</v>
      </c>
      <c r="E155" s="252">
        <v>73005</v>
      </c>
      <c r="F155" s="252">
        <v>60600</v>
      </c>
      <c r="G155" s="252">
        <f t="shared" si="19"/>
        <v>66802.5</v>
      </c>
      <c r="I155" s="2088">
        <v>37986</v>
      </c>
      <c r="J155" s="230">
        <v>1537000</v>
      </c>
      <c r="K155" s="230">
        <f>AVERAGE(J151,J155)</f>
        <v>1536000</v>
      </c>
      <c r="L155" s="252">
        <f>K155*E155</f>
        <v>112135680000</v>
      </c>
      <c r="M155" s="252">
        <f>K155*F155</f>
        <v>93081600000</v>
      </c>
      <c r="N155" s="252">
        <f t="shared" si="14"/>
        <v>102608640000</v>
      </c>
      <c r="P155" s="252">
        <v>77596000000</v>
      </c>
      <c r="Q155" s="252">
        <f>AVERAGE(P151,P155)</f>
        <v>70816500000</v>
      </c>
      <c r="S155" s="348">
        <f>L155/Q155</f>
        <v>1.5834682595157907</v>
      </c>
      <c r="T155" s="348">
        <f>M155/Q155</f>
        <v>1.3144055410815276</v>
      </c>
      <c r="U155" s="1043">
        <f t="shared" si="16"/>
        <v>1.4489369002986592</v>
      </c>
      <c r="V155" s="2088" t="str">
        <f>Table24567[[#This Row],[Column3]]</f>
        <v>2003-Q1</v>
      </c>
    </row>
    <row r="156" spans="1:22" x14ac:dyDescent="0.3">
      <c r="A156" s="211">
        <f t="shared" si="17"/>
        <v>2003</v>
      </c>
      <c r="B156" s="211" t="str">
        <f t="shared" si="18"/>
        <v>Q2</v>
      </c>
      <c r="C156" s="2088" t="str">
        <f t="shared" si="15"/>
        <v>2003-Q2</v>
      </c>
      <c r="E156" s="252">
        <v>75500</v>
      </c>
      <c r="F156" s="252">
        <v>64305</v>
      </c>
      <c r="G156" s="252">
        <f t="shared" si="19"/>
        <v>69902.5</v>
      </c>
      <c r="J156" s="230"/>
      <c r="K156" s="230"/>
      <c r="L156" s="252">
        <f>K155*E156</f>
        <v>115968000000</v>
      </c>
      <c r="M156" s="252">
        <f>K155*F156</f>
        <v>98772480000</v>
      </c>
      <c r="N156" s="252">
        <f t="shared" si="14"/>
        <v>107370240000</v>
      </c>
      <c r="P156" s="252"/>
      <c r="Q156" s="252"/>
      <c r="S156" s="348">
        <f>L156/Q155</f>
        <v>1.6375844612484378</v>
      </c>
      <c r="T156" s="348">
        <f>M156/Q155</f>
        <v>1.3947664739149774</v>
      </c>
      <c r="U156" s="1043">
        <f t="shared" si="16"/>
        <v>1.5161754675817076</v>
      </c>
      <c r="V156" s="2088" t="str">
        <f>Table24567[[#This Row],[Column3]]</f>
        <v>2003-Q2</v>
      </c>
    </row>
    <row r="157" spans="1:22" x14ac:dyDescent="0.3">
      <c r="A157" s="211">
        <f t="shared" si="17"/>
        <v>2003</v>
      </c>
      <c r="B157" s="211" t="str">
        <f t="shared" si="18"/>
        <v>Q3</v>
      </c>
      <c r="C157" s="2088" t="str">
        <f t="shared" si="15"/>
        <v>2003-Q3</v>
      </c>
      <c r="E157" s="252">
        <v>76400</v>
      </c>
      <c r="F157" s="252">
        <v>70900</v>
      </c>
      <c r="G157" s="252">
        <f t="shared" si="19"/>
        <v>73650</v>
      </c>
      <c r="J157" s="230"/>
      <c r="K157" s="230"/>
      <c r="L157" s="252">
        <f>K155*E157</f>
        <v>117350400000</v>
      </c>
      <c r="M157" s="252">
        <f>K155*F157</f>
        <v>108902400000</v>
      </c>
      <c r="N157" s="252">
        <f t="shared" si="14"/>
        <v>113126400000</v>
      </c>
      <c r="P157" s="252"/>
      <c r="Q157" s="252"/>
      <c r="S157" s="348">
        <f>L157/Q155</f>
        <v>1.6571053356209358</v>
      </c>
      <c r="T157" s="348">
        <f>M157/Q155</f>
        <v>1.5378111033445596</v>
      </c>
      <c r="U157" s="1043">
        <f t="shared" si="16"/>
        <v>1.5974582194827476</v>
      </c>
      <c r="V157" s="2088" t="str">
        <f>Table24567[[#This Row],[Column3]]</f>
        <v>2003-Q3</v>
      </c>
    </row>
    <row r="158" spans="1:22" x14ac:dyDescent="0.3">
      <c r="A158" s="211">
        <f t="shared" si="17"/>
        <v>2003</v>
      </c>
      <c r="B158" s="211" t="str">
        <f t="shared" si="18"/>
        <v>Q4</v>
      </c>
      <c r="C158" s="2088" t="str">
        <f t="shared" si="15"/>
        <v>2003-Q4</v>
      </c>
      <c r="E158" s="252">
        <v>84700</v>
      </c>
      <c r="F158" s="252">
        <v>75150</v>
      </c>
      <c r="G158" s="252">
        <f t="shared" si="19"/>
        <v>79925</v>
      </c>
      <c r="J158" s="230"/>
      <c r="K158" s="230"/>
      <c r="L158" s="252">
        <f>K155*E158</f>
        <v>130099200000</v>
      </c>
      <c r="M158" s="252">
        <f>K155*F158</f>
        <v>115430400000</v>
      </c>
      <c r="N158" s="252">
        <f t="shared" si="14"/>
        <v>122764800000</v>
      </c>
      <c r="P158" s="252"/>
      <c r="Q158" s="252"/>
      <c r="S158" s="348">
        <f>L158/Q155</f>
        <v>1.8371311770561944</v>
      </c>
      <c r="T158" s="348">
        <f>M158/Q155</f>
        <v>1.6299930101035776</v>
      </c>
      <c r="U158" s="1043">
        <f t="shared" si="16"/>
        <v>1.7335620935798861</v>
      </c>
      <c r="V158" s="2088" t="str">
        <f>Table24567[[#This Row],[Column3]]</f>
        <v>2003-Q4</v>
      </c>
    </row>
    <row r="159" spans="1:22" x14ac:dyDescent="0.3">
      <c r="A159" s="211">
        <f t="shared" si="17"/>
        <v>2004</v>
      </c>
      <c r="B159" s="211" t="str">
        <f t="shared" si="18"/>
        <v>Q1</v>
      </c>
      <c r="C159" s="2088" t="str">
        <f t="shared" si="15"/>
        <v>2004-Q1</v>
      </c>
      <c r="D159" s="211">
        <v>2004</v>
      </c>
      <c r="E159" s="252">
        <v>95700</v>
      </c>
      <c r="F159" s="252">
        <v>84000</v>
      </c>
      <c r="G159" s="252">
        <f t="shared" si="19"/>
        <v>89850</v>
      </c>
      <c r="I159" s="2088">
        <v>38352</v>
      </c>
      <c r="J159" s="230">
        <v>1539000</v>
      </c>
      <c r="K159" s="230">
        <f>AVERAGE(J155,J159)</f>
        <v>1538000</v>
      </c>
      <c r="L159" s="252">
        <f>K159*E159</f>
        <v>147186600000</v>
      </c>
      <c r="M159" s="252">
        <f>K159*F159</f>
        <v>129192000000</v>
      </c>
      <c r="N159" s="252">
        <f t="shared" si="14"/>
        <v>138189300000</v>
      </c>
      <c r="P159" s="252">
        <v>85900000000</v>
      </c>
      <c r="Q159" s="252">
        <f>AVERAGE(P155,P159)</f>
        <v>81748000000</v>
      </c>
      <c r="S159" s="348">
        <f>L159/Q159</f>
        <v>1.8004917551499731</v>
      </c>
      <c r="T159" s="348">
        <f>M159/Q159</f>
        <v>1.5803689386896316</v>
      </c>
      <c r="U159" s="1043">
        <f t="shared" si="16"/>
        <v>1.6904303469198023</v>
      </c>
      <c r="V159" s="2088" t="str">
        <f>Table24567[[#This Row],[Column3]]</f>
        <v>2004-Q1</v>
      </c>
    </row>
    <row r="160" spans="1:22" x14ac:dyDescent="0.3">
      <c r="A160" s="211">
        <f t="shared" si="17"/>
        <v>2004</v>
      </c>
      <c r="B160" s="211" t="str">
        <f t="shared" si="18"/>
        <v>Q2</v>
      </c>
      <c r="C160" s="2088" t="str">
        <f t="shared" si="15"/>
        <v>2004-Q2</v>
      </c>
      <c r="E160" s="252">
        <v>95650</v>
      </c>
      <c r="F160" s="252">
        <v>85100</v>
      </c>
      <c r="G160" s="252">
        <f t="shared" si="19"/>
        <v>90375</v>
      </c>
      <c r="J160" s="230"/>
      <c r="K160" s="230"/>
      <c r="L160" s="252">
        <f>K159*E160</f>
        <v>147109700000</v>
      </c>
      <c r="M160" s="252">
        <f>K159*F160</f>
        <v>130883800000</v>
      </c>
      <c r="N160" s="252">
        <f t="shared" si="14"/>
        <v>138996750000</v>
      </c>
      <c r="P160" s="252"/>
      <c r="Q160" s="252"/>
      <c r="S160" s="348">
        <f>L160/Q159</f>
        <v>1.7995510593531341</v>
      </c>
      <c r="T160" s="348">
        <f>M160/Q159</f>
        <v>1.601064246220091</v>
      </c>
      <c r="U160" s="1043">
        <f t="shared" si="16"/>
        <v>1.7003076527866126</v>
      </c>
      <c r="V160" s="2088" t="str">
        <f>Table24567[[#This Row],[Column3]]</f>
        <v>2004-Q2</v>
      </c>
    </row>
    <row r="161" spans="1:22" x14ac:dyDescent="0.3">
      <c r="A161" s="211">
        <f t="shared" si="17"/>
        <v>2004</v>
      </c>
      <c r="B161" s="211" t="str">
        <f t="shared" si="18"/>
        <v>Q3</v>
      </c>
      <c r="C161" s="2088" t="str">
        <f t="shared" si="15"/>
        <v>2004-Q3</v>
      </c>
      <c r="E161" s="252">
        <v>90750</v>
      </c>
      <c r="F161" s="252">
        <v>83400</v>
      </c>
      <c r="G161" s="252">
        <f t="shared" si="19"/>
        <v>87075</v>
      </c>
      <c r="J161" s="230"/>
      <c r="K161" s="230"/>
      <c r="L161" s="252">
        <f>K159*E161</f>
        <v>139573500000</v>
      </c>
      <c r="M161" s="252">
        <f>K159*F161</f>
        <v>128269200000</v>
      </c>
      <c r="N161" s="252">
        <f t="shared" si="14"/>
        <v>133921350000</v>
      </c>
      <c r="P161" s="252"/>
      <c r="Q161" s="252"/>
      <c r="S161" s="348">
        <f>L161/Q159</f>
        <v>1.7073628712629054</v>
      </c>
      <c r="T161" s="348">
        <f>M161/Q159</f>
        <v>1.5690805891275628</v>
      </c>
      <c r="U161" s="1043">
        <f t="shared" si="16"/>
        <v>1.6382217301952342</v>
      </c>
      <c r="V161" s="2088" t="str">
        <f>Table24567[[#This Row],[Column3]]</f>
        <v>2004-Q3</v>
      </c>
    </row>
    <row r="162" spans="1:22" x14ac:dyDescent="0.3">
      <c r="A162" s="211">
        <f t="shared" si="17"/>
        <v>2004</v>
      </c>
      <c r="B162" s="211" t="str">
        <f t="shared" si="18"/>
        <v>Q4</v>
      </c>
      <c r="C162" s="2088" t="str">
        <f t="shared" si="15"/>
        <v>2004-Q4</v>
      </c>
      <c r="E162" s="252">
        <v>89500</v>
      </c>
      <c r="F162" s="252">
        <v>81150</v>
      </c>
      <c r="G162" s="252">
        <f>AVERAGE(E162:F162)</f>
        <v>85325</v>
      </c>
      <c r="J162" s="230"/>
      <c r="K162" s="230"/>
      <c r="L162" s="252">
        <f>K159*E162</f>
        <v>137651000000</v>
      </c>
      <c r="M162" s="252">
        <f>K159*F162</f>
        <v>124808700000</v>
      </c>
      <c r="N162" s="252">
        <f>AVERAGE(L162:M162)</f>
        <v>131229850000</v>
      </c>
      <c r="P162" s="252"/>
      <c r="Q162" s="252"/>
      <c r="S162" s="348">
        <f>L162/Q159</f>
        <v>1.6838454763419288</v>
      </c>
      <c r="T162" s="348">
        <f>M162/Q159</f>
        <v>1.5267492782698047</v>
      </c>
      <c r="U162" s="1043">
        <f>AVERAGE(S162:T162)</f>
        <v>1.6052973773058667</v>
      </c>
      <c r="V162" s="2088" t="str">
        <f>Table24567[[#This Row],[Column3]]</f>
        <v>2004-Q4</v>
      </c>
    </row>
    <row r="163" spans="1:22" x14ac:dyDescent="0.3">
      <c r="A163" s="211">
        <f t="shared" si="17"/>
        <v>2005</v>
      </c>
      <c r="B163" s="211" t="str">
        <f t="shared" si="18"/>
        <v>Q1</v>
      </c>
      <c r="C163" s="2088" t="str">
        <f t="shared" si="15"/>
        <v>2005-Q1</v>
      </c>
      <c r="D163" s="211">
        <v>2005</v>
      </c>
      <c r="E163" s="252">
        <v>92000</v>
      </c>
      <c r="F163" s="252">
        <v>84500</v>
      </c>
      <c r="G163" s="252">
        <f t="shared" ref="G163:G202" si="20">AVERAGE(E163:F163)</f>
        <v>88250</v>
      </c>
      <c r="I163" s="2088">
        <v>38717</v>
      </c>
      <c r="J163" s="230">
        <v>1541000</v>
      </c>
      <c r="K163" s="230">
        <f>AVERAGE(J159,J163)</f>
        <v>1540000</v>
      </c>
      <c r="L163" s="252">
        <f>K163*E163</f>
        <v>141680000000</v>
      </c>
      <c r="M163" s="252">
        <f>K163*F163</f>
        <v>130130000000</v>
      </c>
      <c r="N163" s="252">
        <f t="shared" ref="N163:N202" si="21">AVERAGE(L163:M163)</f>
        <v>135905000000</v>
      </c>
      <c r="P163" s="252">
        <v>91484000000</v>
      </c>
      <c r="Q163" s="252">
        <f>AVERAGE(P159,P163)</f>
        <v>88692000000</v>
      </c>
      <c r="S163" s="348">
        <f>L163/Q163</f>
        <v>1.5974383258918505</v>
      </c>
      <c r="T163" s="348">
        <f>M163/Q163</f>
        <v>1.4672123754115365</v>
      </c>
      <c r="U163" s="1043">
        <f t="shared" ref="U163:U202" si="22">AVERAGE(S163:T163)</f>
        <v>1.5323253506516936</v>
      </c>
      <c r="V163" s="2088" t="str">
        <f>Table24567[[#This Row],[Column3]]</f>
        <v>2005-Q1</v>
      </c>
    </row>
    <row r="164" spans="1:22" x14ac:dyDescent="0.3">
      <c r="A164" s="211">
        <f t="shared" si="17"/>
        <v>2005</v>
      </c>
      <c r="B164" s="211" t="str">
        <f t="shared" si="18"/>
        <v>Q2</v>
      </c>
      <c r="C164" s="2088" t="str">
        <f t="shared" si="15"/>
        <v>2005-Q2</v>
      </c>
      <c r="E164" s="252">
        <v>88900</v>
      </c>
      <c r="F164" s="252">
        <v>82000</v>
      </c>
      <c r="G164" s="252">
        <f t="shared" si="20"/>
        <v>85450</v>
      </c>
      <c r="J164" s="230"/>
      <c r="K164" s="230"/>
      <c r="L164" s="252">
        <f>K163*E164</f>
        <v>136906000000</v>
      </c>
      <c r="M164" s="252">
        <f>K163*F164</f>
        <v>126280000000</v>
      </c>
      <c r="N164" s="252">
        <f t="shared" si="21"/>
        <v>131593000000</v>
      </c>
      <c r="P164" s="252"/>
      <c r="Q164" s="252"/>
      <c r="S164" s="348">
        <f>L164/Q163</f>
        <v>1.5436115996933206</v>
      </c>
      <c r="T164" s="348">
        <f>M164/Q163</f>
        <v>1.423803725251432</v>
      </c>
      <c r="U164" s="1043">
        <f t="shared" si="22"/>
        <v>1.4837076624723764</v>
      </c>
      <c r="V164" s="2088" t="str">
        <f>Table24567[[#This Row],[Column3]]</f>
        <v>2005-Q2</v>
      </c>
    </row>
    <row r="165" spans="1:22" x14ac:dyDescent="0.3">
      <c r="A165" s="211">
        <f t="shared" si="17"/>
        <v>2005</v>
      </c>
      <c r="B165" s="211" t="str">
        <f t="shared" si="18"/>
        <v>Q3</v>
      </c>
      <c r="C165" s="2088" t="str">
        <f t="shared" si="15"/>
        <v>2005-Q3</v>
      </c>
      <c r="E165" s="252">
        <v>88450</v>
      </c>
      <c r="F165" s="252">
        <v>78800</v>
      </c>
      <c r="G165" s="252">
        <f t="shared" si="20"/>
        <v>83625</v>
      </c>
      <c r="J165" s="230"/>
      <c r="K165" s="230"/>
      <c r="L165" s="252">
        <f>K163*E165</f>
        <v>136213000000</v>
      </c>
      <c r="M165" s="252">
        <f>K163*F165</f>
        <v>121352000000</v>
      </c>
      <c r="N165" s="252">
        <f t="shared" si="21"/>
        <v>128782500000</v>
      </c>
      <c r="P165" s="252"/>
      <c r="Q165" s="252"/>
      <c r="S165" s="348">
        <f>L165/Q163</f>
        <v>1.5357980426645019</v>
      </c>
      <c r="T165" s="348">
        <f>M165/Q163</f>
        <v>1.3682406530464979</v>
      </c>
      <c r="U165" s="1043">
        <f t="shared" si="22"/>
        <v>1.4520193478554999</v>
      </c>
      <c r="V165" s="2088" t="str">
        <f>Table24567[[#This Row],[Column3]]</f>
        <v>2005-Q3</v>
      </c>
    </row>
    <row r="166" spans="1:22" x14ac:dyDescent="0.3">
      <c r="A166" s="211">
        <f t="shared" si="17"/>
        <v>2005</v>
      </c>
      <c r="B166" s="211" t="str">
        <f t="shared" si="18"/>
        <v>Q4</v>
      </c>
      <c r="C166" s="2088" t="str">
        <f t="shared" si="15"/>
        <v>2005-Q4</v>
      </c>
      <c r="E166" s="252">
        <v>91200</v>
      </c>
      <c r="F166" s="252">
        <v>82100</v>
      </c>
      <c r="G166" s="252">
        <f t="shared" si="20"/>
        <v>86650</v>
      </c>
      <c r="J166" s="230"/>
      <c r="K166" s="230"/>
      <c r="L166" s="252">
        <f>K163*E166</f>
        <v>140448000000</v>
      </c>
      <c r="M166" s="252">
        <f>K163*F166</f>
        <v>126434000000</v>
      </c>
      <c r="N166" s="252">
        <f t="shared" si="21"/>
        <v>133441000000</v>
      </c>
      <c r="P166" s="252"/>
      <c r="Q166" s="252"/>
      <c r="S166" s="348">
        <f>L166/Q163</f>
        <v>1.5835475578406171</v>
      </c>
      <c r="T166" s="348">
        <f>M166/Q163</f>
        <v>1.4255400712578361</v>
      </c>
      <c r="U166" s="1043">
        <f t="shared" si="22"/>
        <v>1.5045438145492267</v>
      </c>
      <c r="V166" s="2088" t="str">
        <f>Table24567[[#This Row],[Column3]]</f>
        <v>2005-Q4</v>
      </c>
    </row>
    <row r="167" spans="1:22" x14ac:dyDescent="0.3">
      <c r="A167" s="211">
        <f t="shared" si="17"/>
        <v>2006</v>
      </c>
      <c r="B167" s="211" t="str">
        <f t="shared" si="18"/>
        <v>Q1</v>
      </c>
      <c r="C167" s="2088" t="str">
        <f t="shared" si="15"/>
        <v>2006-Q1</v>
      </c>
      <c r="D167" s="211">
        <v>2006</v>
      </c>
      <c r="E167" s="252">
        <v>90650</v>
      </c>
      <c r="F167" s="252">
        <v>86200</v>
      </c>
      <c r="G167" s="252">
        <f t="shared" si="20"/>
        <v>88425</v>
      </c>
      <c r="I167" s="2088">
        <v>39082</v>
      </c>
      <c r="J167" s="230">
        <v>1543000</v>
      </c>
      <c r="K167" s="230">
        <f>AVERAGE(J163,J167)</f>
        <v>1542000</v>
      </c>
      <c r="L167" s="252">
        <f>K167*E167</f>
        <v>139782300000</v>
      </c>
      <c r="M167" s="252">
        <f>K167*F167</f>
        <v>132920400000</v>
      </c>
      <c r="N167" s="252">
        <f t="shared" si="21"/>
        <v>136351350000</v>
      </c>
      <c r="P167" s="252">
        <v>108419000000</v>
      </c>
      <c r="Q167" s="252">
        <f>AVERAGE(P163,P167)</f>
        <v>99951500000</v>
      </c>
      <c r="S167" s="348">
        <f>L167/Q167</f>
        <v>1.398501273117462</v>
      </c>
      <c r="T167" s="348">
        <f>M167/Q167</f>
        <v>1.3298489767537256</v>
      </c>
      <c r="U167" s="1043">
        <f t="shared" si="22"/>
        <v>1.3641751249355938</v>
      </c>
      <c r="V167" s="2088" t="str">
        <f>Table24567[[#This Row],[Column3]]</f>
        <v>2006-Q1</v>
      </c>
    </row>
    <row r="168" spans="1:22" x14ac:dyDescent="0.3">
      <c r="A168" s="211">
        <f t="shared" si="17"/>
        <v>2006</v>
      </c>
      <c r="B168" s="211" t="str">
        <f t="shared" si="18"/>
        <v>Q2</v>
      </c>
      <c r="C168" s="2088" t="str">
        <f t="shared" si="15"/>
        <v>2006-Q2</v>
      </c>
      <c r="E168" s="252">
        <v>93100</v>
      </c>
      <c r="F168" s="252">
        <v>85400</v>
      </c>
      <c r="G168" s="252">
        <f t="shared" si="20"/>
        <v>89250</v>
      </c>
      <c r="J168" s="230"/>
      <c r="K168" s="230"/>
      <c r="L168" s="252">
        <f>K167*E168</f>
        <v>143560200000</v>
      </c>
      <c r="M168" s="252">
        <f>K167*F168</f>
        <v>131686800000</v>
      </c>
      <c r="N168" s="252">
        <f t="shared" si="21"/>
        <v>137623500000</v>
      </c>
      <c r="P168" s="252"/>
      <c r="Q168" s="252"/>
      <c r="S168" s="348">
        <f>L168/Q167</f>
        <v>1.4362986048233393</v>
      </c>
      <c r="T168" s="348">
        <f>M168/Q167</f>
        <v>1.3175069908905819</v>
      </c>
      <c r="U168" s="1043">
        <f t="shared" si="22"/>
        <v>1.3769027978569606</v>
      </c>
      <c r="V168" s="2088" t="str">
        <f>Table24567[[#This Row],[Column3]]</f>
        <v>2006-Q2</v>
      </c>
    </row>
    <row r="169" spans="1:22" x14ac:dyDescent="0.3">
      <c r="A169" s="211">
        <f t="shared" si="17"/>
        <v>2006</v>
      </c>
      <c r="B169" s="211" t="str">
        <f t="shared" si="18"/>
        <v>Q3</v>
      </c>
      <c r="C169" s="2088" t="str">
        <f t="shared" si="15"/>
        <v>2006-Q3</v>
      </c>
      <c r="E169" s="252">
        <v>97100</v>
      </c>
      <c r="F169" s="252">
        <v>89400</v>
      </c>
      <c r="G169" s="252">
        <f t="shared" si="20"/>
        <v>93250</v>
      </c>
      <c r="J169" s="230"/>
      <c r="K169" s="230"/>
      <c r="L169" s="252">
        <f>K167*E169</f>
        <v>149728200000</v>
      </c>
      <c r="M169" s="252">
        <f>K167*F169</f>
        <v>137854800000</v>
      </c>
      <c r="N169" s="252">
        <f t="shared" si="21"/>
        <v>143791500000</v>
      </c>
      <c r="P169" s="252"/>
      <c r="Q169" s="252"/>
      <c r="S169" s="348">
        <f>L169/Q167</f>
        <v>1.4980085341390574</v>
      </c>
      <c r="T169" s="348">
        <f>M169/Q167</f>
        <v>1.3792169202063</v>
      </c>
      <c r="U169" s="1043">
        <f t="shared" si="22"/>
        <v>1.4386127271726787</v>
      </c>
      <c r="V169" s="2088" t="str">
        <f>Table24567[[#This Row],[Column3]]</f>
        <v>2006-Q3</v>
      </c>
    </row>
    <row r="170" spans="1:22" x14ac:dyDescent="0.3">
      <c r="A170" s="211">
        <f t="shared" si="17"/>
        <v>2006</v>
      </c>
      <c r="B170" s="211" t="str">
        <f t="shared" si="18"/>
        <v>Q4</v>
      </c>
      <c r="C170" s="2088" t="str">
        <f t="shared" si="15"/>
        <v>2006-Q4</v>
      </c>
      <c r="E170" s="252">
        <v>114500</v>
      </c>
      <c r="F170" s="252">
        <v>95200</v>
      </c>
      <c r="G170" s="252">
        <f t="shared" si="20"/>
        <v>104850</v>
      </c>
      <c r="J170" s="230"/>
      <c r="K170" s="230"/>
      <c r="L170" s="252">
        <f>K167*E170</f>
        <v>176559000000</v>
      </c>
      <c r="M170" s="252">
        <f>K167*F170</f>
        <v>146798400000</v>
      </c>
      <c r="N170" s="252">
        <f t="shared" si="21"/>
        <v>161678700000</v>
      </c>
      <c r="P170" s="252"/>
      <c r="Q170" s="252"/>
      <c r="S170" s="348">
        <f>L170/Q167</f>
        <v>1.7664467266624313</v>
      </c>
      <c r="T170" s="348">
        <f>M170/Q167</f>
        <v>1.4686963177140913</v>
      </c>
      <c r="U170" s="1043">
        <f t="shared" si="22"/>
        <v>1.6175715221882614</v>
      </c>
      <c r="V170" s="2088" t="str">
        <f>Table24567[[#This Row],[Column3]]</f>
        <v>2006-Q4</v>
      </c>
    </row>
    <row r="171" spans="1:22" x14ac:dyDescent="0.3">
      <c r="A171" s="211">
        <f t="shared" si="17"/>
        <v>2007</v>
      </c>
      <c r="B171" s="211" t="str">
        <f t="shared" si="18"/>
        <v>Q1</v>
      </c>
      <c r="C171" s="2088" t="str">
        <f t="shared" si="15"/>
        <v>2007-Q1</v>
      </c>
      <c r="D171" s="211">
        <v>2007</v>
      </c>
      <c r="E171" s="252">
        <v>110700</v>
      </c>
      <c r="F171" s="252">
        <v>103800</v>
      </c>
      <c r="G171" s="252">
        <f t="shared" si="20"/>
        <v>107250</v>
      </c>
      <c r="I171" s="2088">
        <v>39447</v>
      </c>
      <c r="J171" s="230">
        <v>1548000</v>
      </c>
      <c r="K171" s="230">
        <f>AVERAGE(J167,J171)</f>
        <v>1545500</v>
      </c>
      <c r="L171" s="252">
        <f>K171*E171</f>
        <v>171086850000</v>
      </c>
      <c r="M171" s="252">
        <f>K171*F171</f>
        <v>160422900000</v>
      </c>
      <c r="N171" s="252">
        <f t="shared" si="21"/>
        <v>165754875000</v>
      </c>
      <c r="P171" s="252">
        <v>120733000000</v>
      </c>
      <c r="Q171" s="252">
        <f>AVERAGE(P167,P171)</f>
        <v>114576000000</v>
      </c>
      <c r="S171" s="348">
        <f>L171/Q171</f>
        <v>1.4932171658986175</v>
      </c>
      <c r="T171" s="348">
        <f>M171/Q171</f>
        <v>1.4001440092165898</v>
      </c>
      <c r="U171" s="1043">
        <f t="shared" si="22"/>
        <v>1.4466805875576036</v>
      </c>
      <c r="V171" s="2088" t="str">
        <f>Table24567[[#This Row],[Column3]]</f>
        <v>2007-Q1</v>
      </c>
    </row>
    <row r="172" spans="1:22" x14ac:dyDescent="0.3">
      <c r="A172" s="211">
        <f t="shared" si="17"/>
        <v>2007</v>
      </c>
      <c r="B172" s="211" t="str">
        <f t="shared" si="18"/>
        <v>Q2</v>
      </c>
      <c r="C172" s="2088" t="str">
        <f t="shared" si="15"/>
        <v>2007-Q2</v>
      </c>
      <c r="E172" s="252">
        <v>110490</v>
      </c>
      <c r="F172" s="252">
        <v>107200</v>
      </c>
      <c r="G172" s="252">
        <f t="shared" si="20"/>
        <v>108845</v>
      </c>
      <c r="J172" s="230"/>
      <c r="K172" s="230"/>
      <c r="L172" s="252">
        <f>K171*E172</f>
        <v>170762295000</v>
      </c>
      <c r="M172" s="252">
        <f>K171*F172</f>
        <v>165677600000</v>
      </c>
      <c r="N172" s="252">
        <f t="shared" si="21"/>
        <v>168219947500</v>
      </c>
      <c r="P172" s="252"/>
      <c r="Q172" s="252"/>
      <c r="S172" s="348">
        <f>L172/Q171</f>
        <v>1.4903845046082949</v>
      </c>
      <c r="T172" s="348">
        <f>M172/Q171</f>
        <v>1.4460061443932413</v>
      </c>
      <c r="U172" s="1043">
        <f t="shared" si="22"/>
        <v>1.4681953245007682</v>
      </c>
      <c r="V172" s="2088" t="str">
        <f>Table24567[[#This Row],[Column3]]</f>
        <v>2007-Q2</v>
      </c>
    </row>
    <row r="173" spans="1:22" x14ac:dyDescent="0.3">
      <c r="A173" s="211">
        <f t="shared" si="17"/>
        <v>2007</v>
      </c>
      <c r="B173" s="211" t="str">
        <f t="shared" si="18"/>
        <v>Q3</v>
      </c>
      <c r="C173" s="2088" t="str">
        <f t="shared" si="15"/>
        <v>2007-Q3</v>
      </c>
      <c r="E173" s="252">
        <v>120800</v>
      </c>
      <c r="F173" s="252">
        <v>108600</v>
      </c>
      <c r="G173" s="252">
        <f t="shared" si="20"/>
        <v>114700</v>
      </c>
      <c r="J173" s="230"/>
      <c r="K173" s="230"/>
      <c r="L173" s="252">
        <f>K171*E173</f>
        <v>186696400000</v>
      </c>
      <c r="M173" s="252">
        <f>K171*F173</f>
        <v>167841300000</v>
      </c>
      <c r="N173" s="252">
        <f t="shared" si="21"/>
        <v>177268850000</v>
      </c>
      <c r="P173" s="252"/>
      <c r="Q173" s="252"/>
      <c r="S173" s="348">
        <f>L173/Q171</f>
        <v>1.6294546850998464</v>
      </c>
      <c r="T173" s="348">
        <f>M173/Q171</f>
        <v>1.4648905529953917</v>
      </c>
      <c r="U173" s="1043">
        <f t="shared" si="22"/>
        <v>1.5471726190476192</v>
      </c>
      <c r="V173" s="2088" t="str">
        <f>Table24567[[#This Row],[Column3]]</f>
        <v>2007-Q3</v>
      </c>
    </row>
    <row r="174" spans="1:22" x14ac:dyDescent="0.3">
      <c r="A174" s="211">
        <f t="shared" si="17"/>
        <v>2007</v>
      </c>
      <c r="B174" s="211" t="str">
        <f t="shared" si="18"/>
        <v>Q4</v>
      </c>
      <c r="C174" s="2088" t="str">
        <f t="shared" si="15"/>
        <v>2007-Q4</v>
      </c>
      <c r="E174" s="252">
        <v>151560</v>
      </c>
      <c r="F174" s="252">
        <v>118400</v>
      </c>
      <c r="G174" s="252">
        <f t="shared" si="20"/>
        <v>134980</v>
      </c>
      <c r="J174" s="230"/>
      <c r="K174" s="230"/>
      <c r="L174" s="252">
        <f>K171*E174</f>
        <v>234235980000</v>
      </c>
      <c r="M174" s="252">
        <f>K171*F174</f>
        <v>182987200000</v>
      </c>
      <c r="N174" s="252">
        <f t="shared" si="21"/>
        <v>208611590000</v>
      </c>
      <c r="P174" s="252"/>
      <c r="Q174" s="252"/>
      <c r="S174" s="348">
        <f>L174/Q171</f>
        <v>2.0443721198156681</v>
      </c>
      <c r="T174" s="348">
        <f>M174/Q171</f>
        <v>1.5970814132104454</v>
      </c>
      <c r="U174" s="1043">
        <f t="shared" si="22"/>
        <v>1.8207267665130566</v>
      </c>
      <c r="V174" s="2088" t="str">
        <f>Table24567[[#This Row],[Column3]]</f>
        <v>2007-Q4</v>
      </c>
    </row>
    <row r="175" spans="1:22" x14ac:dyDescent="0.3">
      <c r="A175" s="211">
        <f t="shared" si="17"/>
        <v>2008</v>
      </c>
      <c r="B175" s="211" t="str">
        <f t="shared" si="18"/>
        <v>Q1</v>
      </c>
      <c r="C175" s="2088" t="str">
        <f t="shared" si="15"/>
        <v>2008-Q1</v>
      </c>
      <c r="D175" s="211">
        <v>2008</v>
      </c>
      <c r="E175" s="252">
        <v>145900</v>
      </c>
      <c r="F175" s="252">
        <v>126100</v>
      </c>
      <c r="G175" s="252">
        <f t="shared" si="20"/>
        <v>136000</v>
      </c>
      <c r="I175" s="2088">
        <v>39813</v>
      </c>
      <c r="J175" s="230">
        <v>1549000</v>
      </c>
      <c r="K175" s="230">
        <f>AVERAGE(J171,J175)</f>
        <v>1548500</v>
      </c>
      <c r="L175" s="252">
        <f>K175*E175</f>
        <v>225926150000</v>
      </c>
      <c r="M175" s="252">
        <f>K175*F175</f>
        <v>195265850000</v>
      </c>
      <c r="N175" s="252">
        <f t="shared" si="21"/>
        <v>210596000000</v>
      </c>
      <c r="P175" s="252">
        <v>109267000000</v>
      </c>
      <c r="Q175" s="252">
        <f>AVERAGE(P171,P175)</f>
        <v>115000000000</v>
      </c>
      <c r="S175" s="348">
        <f>L175/Q175</f>
        <v>1.9645752173913043</v>
      </c>
      <c r="T175" s="348">
        <f>M175/Q175</f>
        <v>1.6979639130434783</v>
      </c>
      <c r="U175" s="1043">
        <f t="shared" si="22"/>
        <v>1.8312695652173914</v>
      </c>
      <c r="V175" s="2088" t="str">
        <f>Table24567[[#This Row],[Column3]]</f>
        <v>2008-Q1</v>
      </c>
    </row>
    <row r="176" spans="1:22" x14ac:dyDescent="0.3">
      <c r="A176" s="211">
        <f t="shared" si="17"/>
        <v>2008</v>
      </c>
      <c r="B176" s="211" t="str">
        <f t="shared" si="18"/>
        <v>Q2</v>
      </c>
      <c r="C176" s="2088" t="str">
        <f t="shared" si="15"/>
        <v>2008-Q2</v>
      </c>
      <c r="E176" s="252">
        <v>135500</v>
      </c>
      <c r="F176" s="252">
        <v>119450</v>
      </c>
      <c r="G176" s="252">
        <f t="shared" si="20"/>
        <v>127475</v>
      </c>
      <c r="J176" s="230"/>
      <c r="K176" s="230"/>
      <c r="L176" s="252">
        <f>K175*E176</f>
        <v>209821750000</v>
      </c>
      <c r="M176" s="252">
        <f>K175*F176</f>
        <v>184968325000</v>
      </c>
      <c r="N176" s="252">
        <f t="shared" si="21"/>
        <v>197395037500</v>
      </c>
      <c r="P176" s="252"/>
      <c r="Q176" s="252"/>
      <c r="S176" s="348">
        <f>L176/Q175</f>
        <v>1.8245369565217391</v>
      </c>
      <c r="T176" s="348">
        <f>M176/Q175</f>
        <v>1.6084202173913043</v>
      </c>
      <c r="U176" s="1043">
        <f t="shared" si="22"/>
        <v>1.7164785869565216</v>
      </c>
      <c r="V176" s="2088" t="str">
        <f>Table24567[[#This Row],[Column3]]</f>
        <v>2008-Q2</v>
      </c>
    </row>
    <row r="177" spans="1:22" x14ac:dyDescent="0.3">
      <c r="A177" s="211">
        <f t="shared" si="17"/>
        <v>2008</v>
      </c>
      <c r="B177" s="211" t="str">
        <f t="shared" si="18"/>
        <v>Q3</v>
      </c>
      <c r="C177" s="2088" t="str">
        <f t="shared" si="15"/>
        <v>2008-Q3</v>
      </c>
      <c r="E177" s="252">
        <v>147000</v>
      </c>
      <c r="F177" s="252">
        <v>111000</v>
      </c>
      <c r="G177" s="252">
        <f t="shared" si="20"/>
        <v>129000</v>
      </c>
      <c r="J177" s="230"/>
      <c r="K177" s="230"/>
      <c r="L177" s="252">
        <f>K175*E177</f>
        <v>227629500000</v>
      </c>
      <c r="M177" s="252">
        <f>K175*F177</f>
        <v>171883500000</v>
      </c>
      <c r="N177" s="252">
        <f t="shared" si="21"/>
        <v>199756500000</v>
      </c>
      <c r="P177" s="252"/>
      <c r="Q177" s="252"/>
      <c r="S177" s="348">
        <f>L177/Q175</f>
        <v>1.9793869565217392</v>
      </c>
      <c r="T177" s="348">
        <f>M177/Q175</f>
        <v>1.4946391304347826</v>
      </c>
      <c r="U177" s="1043">
        <f t="shared" si="22"/>
        <v>1.7370130434782609</v>
      </c>
      <c r="V177" s="2088" t="str">
        <f>Table24567[[#This Row],[Column3]]</f>
        <v>2008-Q3</v>
      </c>
    </row>
    <row r="178" spans="1:22" x14ac:dyDescent="0.3">
      <c r="A178" s="211">
        <f t="shared" si="17"/>
        <v>2008</v>
      </c>
      <c r="B178" s="211" t="str">
        <f t="shared" si="18"/>
        <v>Q4</v>
      </c>
      <c r="C178" s="2088" t="str">
        <f t="shared" si="15"/>
        <v>2008-Q4</v>
      </c>
      <c r="E178" s="252">
        <v>115750</v>
      </c>
      <c r="F178" s="252">
        <v>74100</v>
      </c>
      <c r="G178" s="252">
        <f t="shared" si="20"/>
        <v>94925</v>
      </c>
      <c r="J178" s="230"/>
      <c r="K178" s="230"/>
      <c r="L178" s="252">
        <f>K175*E178</f>
        <v>179238875000</v>
      </c>
      <c r="M178" s="252">
        <f>K175*F178</f>
        <v>114743850000</v>
      </c>
      <c r="N178" s="252">
        <f t="shared" si="21"/>
        <v>146991362500</v>
      </c>
      <c r="P178" s="252"/>
      <c r="Q178" s="252"/>
      <c r="S178" s="348">
        <f>L178/Q175</f>
        <v>1.5585989130434783</v>
      </c>
      <c r="T178" s="348">
        <f>M178/Q175</f>
        <v>0.99777260869565221</v>
      </c>
      <c r="U178" s="1043">
        <f t="shared" si="22"/>
        <v>1.2781857608695653</v>
      </c>
      <c r="V178" s="2088" t="str">
        <f>Table24567[[#This Row],[Column3]]</f>
        <v>2008-Q4</v>
      </c>
    </row>
    <row r="179" spans="1:22" x14ac:dyDescent="0.3">
      <c r="A179" s="211">
        <f t="shared" si="17"/>
        <v>2009</v>
      </c>
      <c r="B179" s="211" t="str">
        <f t="shared" si="18"/>
        <v>Q1</v>
      </c>
      <c r="C179" s="2088" t="str">
        <f t="shared" si="15"/>
        <v>2009-Q1</v>
      </c>
      <c r="D179" s="211">
        <v>2009</v>
      </c>
      <c r="E179" s="252">
        <v>102600</v>
      </c>
      <c r="F179" s="252">
        <v>70050</v>
      </c>
      <c r="G179" s="252">
        <f t="shared" si="20"/>
        <v>86325</v>
      </c>
      <c r="I179" s="2088">
        <v>40178</v>
      </c>
      <c r="J179" s="230">
        <v>1552000</v>
      </c>
      <c r="K179" s="230">
        <f>AVERAGE(J175,J179)</f>
        <v>1550500</v>
      </c>
      <c r="L179" s="252">
        <f>K179*E179</f>
        <v>159081300000</v>
      </c>
      <c r="M179" s="252">
        <f>K179*F179</f>
        <v>108612525000</v>
      </c>
      <c r="N179" s="252">
        <f t="shared" si="21"/>
        <v>133846912500</v>
      </c>
      <c r="P179" s="252">
        <v>131102000000</v>
      </c>
      <c r="Q179" s="252">
        <f>AVERAGE(P175,P179)</f>
        <v>120184500000</v>
      </c>
      <c r="S179" s="348">
        <f>L179/Q179</f>
        <v>1.3236423998102917</v>
      </c>
      <c r="T179" s="348">
        <f>M179/Q179</f>
        <v>0.90371491332076936</v>
      </c>
      <c r="U179" s="1043">
        <f t="shared" si="22"/>
        <v>1.1136786565655306</v>
      </c>
      <c r="V179" s="2088" t="str">
        <f>Table24567[[#This Row],[Column3]]</f>
        <v>2009-Q1</v>
      </c>
    </row>
    <row r="180" spans="1:22" x14ac:dyDescent="0.3">
      <c r="A180" s="211">
        <f t="shared" si="17"/>
        <v>2009</v>
      </c>
      <c r="B180" s="211" t="str">
        <f t="shared" si="18"/>
        <v>Q2</v>
      </c>
      <c r="C180" s="2088" t="str">
        <f t="shared" si="15"/>
        <v>2009-Q2</v>
      </c>
      <c r="E180" s="252">
        <v>95500</v>
      </c>
      <c r="F180" s="252">
        <v>83957</v>
      </c>
      <c r="G180" s="252">
        <f t="shared" si="20"/>
        <v>89728.5</v>
      </c>
      <c r="J180" s="230"/>
      <c r="K180" s="230"/>
      <c r="L180" s="252">
        <f>K179*E180</f>
        <v>148072750000</v>
      </c>
      <c r="M180" s="252">
        <f>K179*F180</f>
        <v>130175328500</v>
      </c>
      <c r="N180" s="252">
        <f t="shared" si="21"/>
        <v>139124039250</v>
      </c>
      <c r="P180" s="252"/>
      <c r="Q180" s="252"/>
      <c r="S180" s="348">
        <f>L180/Q179</f>
        <v>1.2320453136635756</v>
      </c>
      <c r="T180" s="348">
        <f>M180/Q179</f>
        <v>1.0831290931858935</v>
      </c>
      <c r="U180" s="1043">
        <f t="shared" si="22"/>
        <v>1.1575872034247345</v>
      </c>
      <c r="V180" s="2088" t="str">
        <f>Table24567[[#This Row],[Column3]]</f>
        <v>2009-Q2</v>
      </c>
    </row>
    <row r="181" spans="1:22" x14ac:dyDescent="0.3">
      <c r="A181" s="211">
        <f t="shared" si="17"/>
        <v>2009</v>
      </c>
      <c r="B181" s="211" t="str">
        <f t="shared" si="18"/>
        <v>Q3</v>
      </c>
      <c r="C181" s="2088" t="str">
        <f t="shared" si="15"/>
        <v>2009-Q3</v>
      </c>
      <c r="E181" s="252">
        <v>108450</v>
      </c>
      <c r="F181" s="252">
        <v>84600</v>
      </c>
      <c r="G181" s="252">
        <f t="shared" si="20"/>
        <v>96525</v>
      </c>
      <c r="J181" s="230"/>
      <c r="K181" s="230"/>
      <c r="L181" s="252">
        <f>K179*E181</f>
        <v>168151725000</v>
      </c>
      <c r="M181" s="252">
        <f>K179*F181</f>
        <v>131172300000</v>
      </c>
      <c r="N181" s="252">
        <f t="shared" si="21"/>
        <v>149662012500</v>
      </c>
      <c r="P181" s="252"/>
      <c r="Q181" s="252"/>
      <c r="S181" s="348">
        <f>L181/Q179</f>
        <v>1.3991132383959661</v>
      </c>
      <c r="T181" s="348">
        <f>M181/Q179</f>
        <v>1.0914244349312932</v>
      </c>
      <c r="U181" s="1043">
        <f t="shared" si="22"/>
        <v>1.2452688366636298</v>
      </c>
      <c r="V181" s="2088" t="str">
        <f>Table24567[[#This Row],[Column3]]</f>
        <v>2009-Q3</v>
      </c>
    </row>
    <row r="182" spans="1:22" x14ac:dyDescent="0.3">
      <c r="A182" s="211">
        <f t="shared" si="17"/>
        <v>2009</v>
      </c>
      <c r="B182" s="211" t="str">
        <f t="shared" si="18"/>
        <v>Q4</v>
      </c>
      <c r="C182" s="2088" t="str">
        <f t="shared" si="15"/>
        <v>2009-Q4</v>
      </c>
      <c r="E182" s="252">
        <v>105980</v>
      </c>
      <c r="F182" s="252">
        <v>97870</v>
      </c>
      <c r="G182" s="252">
        <f t="shared" si="20"/>
        <v>101925</v>
      </c>
      <c r="J182" s="230"/>
      <c r="K182" s="230"/>
      <c r="L182" s="252">
        <f>K179*E182</f>
        <v>164321990000</v>
      </c>
      <c r="M182" s="252">
        <f>K179*F182</f>
        <v>151747435000</v>
      </c>
      <c r="N182" s="252">
        <f t="shared" si="21"/>
        <v>158034712500</v>
      </c>
      <c r="P182" s="252"/>
      <c r="Q182" s="252"/>
      <c r="S182" s="348">
        <f>L182/Q179</f>
        <v>1.3672477732153481</v>
      </c>
      <c r="T182" s="348">
        <f>M182/Q179</f>
        <v>1.2626206790393104</v>
      </c>
      <c r="U182" s="1043">
        <f t="shared" si="22"/>
        <v>1.3149342261273294</v>
      </c>
      <c r="V182" s="2088" t="str">
        <f>Table24567[[#This Row],[Column3]]</f>
        <v>2009-Q4</v>
      </c>
    </row>
    <row r="183" spans="1:22" x14ac:dyDescent="0.3">
      <c r="A183" s="211">
        <f t="shared" si="17"/>
        <v>2010</v>
      </c>
      <c r="B183" s="211" t="str">
        <f t="shared" si="18"/>
        <v>Q1</v>
      </c>
      <c r="C183" s="2088" t="str">
        <f t="shared" si="15"/>
        <v>2010-Q1</v>
      </c>
      <c r="D183" s="211">
        <v>2010</v>
      </c>
      <c r="E183" s="252">
        <v>125252</v>
      </c>
      <c r="F183" s="252">
        <v>97205</v>
      </c>
      <c r="G183" s="252">
        <f t="shared" si="20"/>
        <v>111228.5</v>
      </c>
      <c r="I183" s="2088">
        <v>40543</v>
      </c>
      <c r="J183" s="230">
        <v>1648000</v>
      </c>
      <c r="K183" s="230">
        <f>AVERAGE(J179,J183)</f>
        <v>1600000</v>
      </c>
      <c r="L183" s="252">
        <f>K183*E183</f>
        <v>200403200000</v>
      </c>
      <c r="M183" s="252">
        <f>K183*F183</f>
        <v>155528000000</v>
      </c>
      <c r="N183" s="252">
        <f t="shared" si="21"/>
        <v>177965600000</v>
      </c>
      <c r="P183" s="252">
        <v>157318000000</v>
      </c>
      <c r="Q183" s="252">
        <f>AVERAGE(P179,P183)</f>
        <v>144210000000</v>
      </c>
      <c r="S183" s="348">
        <f>L183/Q183</f>
        <v>1.3896622980375841</v>
      </c>
      <c r="T183" s="348">
        <f>M183/Q183</f>
        <v>1.0784827681852853</v>
      </c>
      <c r="U183" s="1043">
        <f t="shared" si="22"/>
        <v>1.2340725331114348</v>
      </c>
      <c r="V183" s="2088" t="str">
        <f>Table24567[[#This Row],[Column3]]</f>
        <v>2010-Q1</v>
      </c>
    </row>
    <row r="184" spans="1:22" x14ac:dyDescent="0.3">
      <c r="A184" s="211">
        <f t="shared" si="17"/>
        <v>2010</v>
      </c>
      <c r="B184" s="211" t="str">
        <f t="shared" si="18"/>
        <v>Q2</v>
      </c>
      <c r="C184" s="2088" t="str">
        <f t="shared" si="15"/>
        <v>2010-Q2</v>
      </c>
      <c r="E184" s="252">
        <v>122908</v>
      </c>
      <c r="F184" s="252">
        <v>102751</v>
      </c>
      <c r="G184" s="252">
        <f t="shared" si="20"/>
        <v>112829.5</v>
      </c>
      <c r="J184" s="230"/>
      <c r="K184" s="230"/>
      <c r="L184" s="252">
        <f>K183*E184</f>
        <v>196652800000</v>
      </c>
      <c r="M184" s="252">
        <f>K183*F184</f>
        <v>164401600000</v>
      </c>
      <c r="N184" s="252">
        <f t="shared" si="21"/>
        <v>180527200000</v>
      </c>
      <c r="P184" s="252"/>
      <c r="Q184" s="252"/>
      <c r="S184" s="348">
        <f>L184/Q183</f>
        <v>1.3636557797656197</v>
      </c>
      <c r="T184" s="348">
        <f>M184/Q183</f>
        <v>1.1400152555301297</v>
      </c>
      <c r="U184" s="1043">
        <f t="shared" si="22"/>
        <v>1.2518355176478746</v>
      </c>
      <c r="V184" s="2088" t="str">
        <f>Table24567[[#This Row],[Column3]]</f>
        <v>2010-Q2</v>
      </c>
    </row>
    <row r="185" spans="1:22" x14ac:dyDescent="0.3">
      <c r="A185" s="211">
        <f t="shared" si="17"/>
        <v>2010</v>
      </c>
      <c r="B185" s="211" t="str">
        <f t="shared" si="18"/>
        <v>Q3</v>
      </c>
      <c r="C185" s="2088" t="str">
        <f t="shared" si="15"/>
        <v>2010-Q3</v>
      </c>
      <c r="E185" s="252">
        <v>128730</v>
      </c>
      <c r="F185" s="252">
        <v>113622</v>
      </c>
      <c r="G185" s="252">
        <f t="shared" si="20"/>
        <v>121176</v>
      </c>
      <c r="J185" s="230"/>
      <c r="K185" s="230"/>
      <c r="L185" s="252">
        <f>K183*E185</f>
        <v>205968000000</v>
      </c>
      <c r="M185" s="252">
        <f>K183*F185</f>
        <v>181795200000</v>
      </c>
      <c r="N185" s="252">
        <f t="shared" si="21"/>
        <v>193881600000</v>
      </c>
      <c r="P185" s="252"/>
      <c r="Q185" s="252"/>
      <c r="S185" s="348">
        <f>L185/Q183</f>
        <v>1.4282504680674017</v>
      </c>
      <c r="T185" s="348">
        <f>M185/Q183</f>
        <v>1.2606282504680675</v>
      </c>
      <c r="U185" s="1043">
        <f t="shared" si="22"/>
        <v>1.3444393592677346</v>
      </c>
      <c r="V185" s="2088" t="str">
        <f>Table24567[[#This Row],[Column3]]</f>
        <v>2010-Q3</v>
      </c>
    </row>
    <row r="186" spans="1:22" x14ac:dyDescent="0.3">
      <c r="A186" s="211">
        <f t="shared" si="17"/>
        <v>2010</v>
      </c>
      <c r="B186" s="211" t="str">
        <f t="shared" si="18"/>
        <v>Q4</v>
      </c>
      <c r="C186" s="2088" t="str">
        <f t="shared" si="15"/>
        <v>2010-Q4</v>
      </c>
      <c r="E186" s="252">
        <v>126568</v>
      </c>
      <c r="F186" s="252">
        <v>118201</v>
      </c>
      <c r="G186" s="252">
        <f t="shared" si="20"/>
        <v>122384.5</v>
      </c>
      <c r="J186" s="230"/>
      <c r="K186" s="230"/>
      <c r="L186" s="252">
        <f>K183*E186</f>
        <v>202508800000</v>
      </c>
      <c r="M186" s="252">
        <f>K183*F186</f>
        <v>189121600000</v>
      </c>
      <c r="N186" s="252">
        <f t="shared" si="21"/>
        <v>195815200000</v>
      </c>
      <c r="P186" s="252"/>
      <c r="Q186" s="252"/>
      <c r="S186" s="348">
        <f>L186/Q183</f>
        <v>1.4042632272380555</v>
      </c>
      <c r="T186" s="348">
        <f>M186/Q183</f>
        <v>1.3114319395326259</v>
      </c>
      <c r="U186" s="1043">
        <f t="shared" si="22"/>
        <v>1.3578475833853407</v>
      </c>
      <c r="V186" s="2088" t="str">
        <f>Table24567[[#This Row],[Column3]]</f>
        <v>2010-Q4</v>
      </c>
    </row>
    <row r="187" spans="1:22" x14ac:dyDescent="0.3">
      <c r="A187" s="211">
        <f t="shared" si="17"/>
        <v>2011</v>
      </c>
      <c r="B187" s="211" t="str">
        <f t="shared" si="18"/>
        <v>Q1</v>
      </c>
      <c r="C187" s="2088" t="str">
        <f t="shared" si="15"/>
        <v>2011-Q1</v>
      </c>
      <c r="D187" s="211">
        <v>2011</v>
      </c>
      <c r="E187" s="252">
        <v>131463</v>
      </c>
      <c r="F187" s="252">
        <v>118792</v>
      </c>
      <c r="G187" s="252">
        <f t="shared" si="20"/>
        <v>125127.5</v>
      </c>
      <c r="I187" s="2088">
        <v>40908</v>
      </c>
      <c r="J187" s="230">
        <v>1651000</v>
      </c>
      <c r="K187" s="230">
        <f>AVERAGE(J183,J187)</f>
        <v>1649500</v>
      </c>
      <c r="L187" s="252">
        <f>K187*E187</f>
        <v>216848218500</v>
      </c>
      <c r="M187" s="252">
        <f>K187*F187</f>
        <v>195947404000</v>
      </c>
      <c r="N187" s="252">
        <f t="shared" si="21"/>
        <v>206397811250</v>
      </c>
      <c r="P187" s="252">
        <v>164850000000</v>
      </c>
      <c r="Q187" s="252">
        <f>AVERAGE(P183,P187)</f>
        <v>161084000000</v>
      </c>
      <c r="S187" s="348">
        <f>L187/Q187</f>
        <v>1.3461809894216683</v>
      </c>
      <c r="T187" s="348">
        <f>M187/Q187</f>
        <v>1.2164299620073999</v>
      </c>
      <c r="U187" s="1043">
        <f t="shared" si="22"/>
        <v>1.2813054757145341</v>
      </c>
      <c r="V187" s="2088" t="str">
        <f>Table24567[[#This Row],[Column3]]</f>
        <v>2011-Q1</v>
      </c>
    </row>
    <row r="188" spans="1:22" x14ac:dyDescent="0.3">
      <c r="A188" s="211">
        <f t="shared" si="17"/>
        <v>2011</v>
      </c>
      <c r="B188" s="211" t="str">
        <f t="shared" si="18"/>
        <v>Q2</v>
      </c>
      <c r="C188" s="2088" t="str">
        <f t="shared" si="15"/>
        <v>2011-Q2</v>
      </c>
      <c r="E188" s="252">
        <v>126100</v>
      </c>
      <c r="F188" s="252">
        <v>109925</v>
      </c>
      <c r="G188" s="252">
        <f t="shared" si="20"/>
        <v>118012.5</v>
      </c>
      <c r="J188" s="230"/>
      <c r="K188" s="230"/>
      <c r="L188" s="252">
        <f>K187*E188</f>
        <v>208001950000</v>
      </c>
      <c r="M188" s="252">
        <f>K187*F188</f>
        <v>181321287500</v>
      </c>
      <c r="N188" s="252">
        <f t="shared" si="21"/>
        <v>194661618750</v>
      </c>
      <c r="P188" s="252"/>
      <c r="Q188" s="252"/>
      <c r="S188" s="348">
        <f>L188/Q187</f>
        <v>1.2912638747485783</v>
      </c>
      <c r="T188" s="348">
        <f>M188/Q187</f>
        <v>1.1256318908147303</v>
      </c>
      <c r="U188" s="1043">
        <f t="shared" si="22"/>
        <v>1.2084478827816543</v>
      </c>
      <c r="V188" s="2088" t="str">
        <f>Table24567[[#This Row],[Column3]]</f>
        <v>2011-Q2</v>
      </c>
    </row>
    <row r="189" spans="1:22" x14ac:dyDescent="0.3">
      <c r="A189" s="211">
        <f t="shared" si="17"/>
        <v>2011</v>
      </c>
      <c r="B189" s="211" t="str">
        <f t="shared" si="18"/>
        <v>Q3</v>
      </c>
      <c r="C189" s="2088" t="str">
        <f t="shared" si="15"/>
        <v>2011-Q3</v>
      </c>
      <c r="E189" s="252">
        <v>117250</v>
      </c>
      <c r="F189" s="252">
        <v>98952</v>
      </c>
      <c r="G189" s="252">
        <f t="shared" si="20"/>
        <v>108101</v>
      </c>
      <c r="J189" s="230"/>
      <c r="K189" s="230"/>
      <c r="L189" s="252">
        <f>K187*E189</f>
        <v>193403875000</v>
      </c>
      <c r="M189" s="252">
        <f>K187*F189</f>
        <v>163221324000</v>
      </c>
      <c r="N189" s="252">
        <f t="shared" si="21"/>
        <v>178312599500</v>
      </c>
      <c r="P189" s="252"/>
      <c r="Q189" s="252"/>
      <c r="S189" s="348">
        <f>L189/Q187</f>
        <v>1.2006398835390231</v>
      </c>
      <c r="T189" s="348">
        <f>M189/Q187</f>
        <v>1.0132683817138883</v>
      </c>
      <c r="U189" s="1043">
        <f t="shared" si="22"/>
        <v>1.1069541326264556</v>
      </c>
      <c r="V189" s="2088" t="str">
        <f>Table24567[[#This Row],[Column3]]</f>
        <v>2011-Q3</v>
      </c>
    </row>
    <row r="190" spans="1:22" x14ac:dyDescent="0.3">
      <c r="A190" s="211">
        <f t="shared" si="17"/>
        <v>2011</v>
      </c>
      <c r="B190" s="211" t="str">
        <f t="shared" si="18"/>
        <v>Q4</v>
      </c>
      <c r="C190" s="2088" t="str">
        <f t="shared" si="15"/>
        <v>2011-Q4</v>
      </c>
      <c r="E190" s="252">
        <v>120755</v>
      </c>
      <c r="F190" s="252">
        <v>104701</v>
      </c>
      <c r="G190" s="252">
        <f t="shared" si="20"/>
        <v>112728</v>
      </c>
      <c r="J190" s="230"/>
      <c r="K190" s="230"/>
      <c r="L190" s="252">
        <f>K187*E190</f>
        <v>199185372500</v>
      </c>
      <c r="M190" s="252">
        <f>K187*F190</f>
        <v>172704299500</v>
      </c>
      <c r="N190" s="252">
        <f t="shared" si="21"/>
        <v>185944836000</v>
      </c>
      <c r="P190" s="252"/>
      <c r="Q190" s="252"/>
      <c r="S190" s="348">
        <f>L190/Q187</f>
        <v>1.2365310800576097</v>
      </c>
      <c r="T190" s="348">
        <f>M190/Q187</f>
        <v>1.0721381360035758</v>
      </c>
      <c r="U190" s="1043">
        <f t="shared" si="22"/>
        <v>1.1543346080305927</v>
      </c>
      <c r="V190" s="2088" t="str">
        <f>Table24567[[#This Row],[Column3]]</f>
        <v>2011-Q4</v>
      </c>
    </row>
    <row r="191" spans="1:22" x14ac:dyDescent="0.3">
      <c r="A191" s="211">
        <f t="shared" si="17"/>
        <v>2012</v>
      </c>
      <c r="B191" s="211" t="str">
        <f t="shared" si="18"/>
        <v>Q1</v>
      </c>
      <c r="C191" s="2088" t="str">
        <f t="shared" si="15"/>
        <v>2012-Q1</v>
      </c>
      <c r="D191" s="211">
        <v>2012</v>
      </c>
      <c r="E191" s="252">
        <v>123578</v>
      </c>
      <c r="F191" s="252">
        <v>113855</v>
      </c>
      <c r="G191" s="252">
        <f t="shared" si="20"/>
        <v>118716.5</v>
      </c>
      <c r="I191" s="2088">
        <v>41274</v>
      </c>
      <c r="J191" s="230">
        <v>1643000</v>
      </c>
      <c r="K191" s="230">
        <f>AVERAGE(J187,J191)</f>
        <v>1647000</v>
      </c>
      <c r="L191" s="252">
        <f>K191*E191</f>
        <v>203532966000</v>
      </c>
      <c r="M191" s="252">
        <f>K191*F191</f>
        <v>187519185000</v>
      </c>
      <c r="N191" s="252">
        <f t="shared" si="21"/>
        <v>195526075500</v>
      </c>
      <c r="P191" s="252">
        <v>187647000000</v>
      </c>
      <c r="Q191" s="252">
        <f>AVERAGE(P187,P191)</f>
        <v>176248500000</v>
      </c>
      <c r="S191" s="348">
        <f>L191/Q191</f>
        <v>1.1548067983557306</v>
      </c>
      <c r="T191" s="348">
        <f>M191/Q191</f>
        <v>1.0639476931718568</v>
      </c>
      <c r="U191" s="1043">
        <f t="shared" si="22"/>
        <v>1.1093772457637936</v>
      </c>
      <c r="V191" s="2088" t="str">
        <f>Table24567[[#This Row],[Column3]]</f>
        <v>2012-Q1</v>
      </c>
    </row>
    <row r="192" spans="1:22" x14ac:dyDescent="0.3">
      <c r="A192" s="211">
        <f t="shared" si="17"/>
        <v>2012</v>
      </c>
      <c r="B192" s="211" t="str">
        <f t="shared" si="18"/>
        <v>Q2</v>
      </c>
      <c r="C192" s="2088" t="str">
        <f t="shared" si="15"/>
        <v>2012-Q2</v>
      </c>
      <c r="E192" s="252">
        <v>124950</v>
      </c>
      <c r="F192" s="252">
        <v>117551</v>
      </c>
      <c r="G192" s="252">
        <f t="shared" si="20"/>
        <v>121250.5</v>
      </c>
      <c r="J192" s="230"/>
      <c r="K192" s="230"/>
      <c r="L192" s="252">
        <f>K191*E192</f>
        <v>205792650000</v>
      </c>
      <c r="M192" s="252">
        <f>K191*F192</f>
        <v>193606497000</v>
      </c>
      <c r="N192" s="252">
        <f t="shared" si="21"/>
        <v>199699573500</v>
      </c>
      <c r="P192" s="252"/>
      <c r="Q192" s="252"/>
      <c r="S192" s="348">
        <f>L192/Q191</f>
        <v>1.1676278095983796</v>
      </c>
      <c r="T192" s="348">
        <f>M192/Q191</f>
        <v>1.0984859275398089</v>
      </c>
      <c r="U192" s="1043">
        <f t="shared" si="22"/>
        <v>1.1330568685690943</v>
      </c>
      <c r="V192" s="2088" t="str">
        <f>Table24567[[#This Row],[Column3]]</f>
        <v>2012-Q2</v>
      </c>
    </row>
    <row r="193" spans="1:22" x14ac:dyDescent="0.3">
      <c r="A193" s="211">
        <f t="shared" si="17"/>
        <v>2012</v>
      </c>
      <c r="B193" s="211" t="str">
        <f t="shared" si="18"/>
        <v>Q3</v>
      </c>
      <c r="C193" s="2088" t="str">
        <f t="shared" si="15"/>
        <v>2012-Q3</v>
      </c>
      <c r="E193" s="252">
        <v>134892</v>
      </c>
      <c r="F193" s="252">
        <v>123227</v>
      </c>
      <c r="G193" s="252">
        <f t="shared" si="20"/>
        <v>129059.5</v>
      </c>
      <c r="J193" s="230"/>
      <c r="K193" s="230"/>
      <c r="L193" s="252">
        <f>K191*E193</f>
        <v>222167124000</v>
      </c>
      <c r="M193" s="252">
        <f>K191*F193</f>
        <v>202954869000</v>
      </c>
      <c r="N193" s="252">
        <f t="shared" si="21"/>
        <v>212560996500</v>
      </c>
      <c r="P193" s="252"/>
      <c r="Q193" s="252"/>
      <c r="S193" s="348">
        <f>L193/Q191</f>
        <v>1.2605334173056792</v>
      </c>
      <c r="T193" s="348">
        <f>M193/Q191</f>
        <v>1.151526787462021</v>
      </c>
      <c r="U193" s="1043">
        <f t="shared" si="22"/>
        <v>1.20603010238385</v>
      </c>
      <c r="V193" s="2088" t="str">
        <f>Table24567[[#This Row],[Column3]]</f>
        <v>2012-Q3</v>
      </c>
    </row>
    <row r="194" spans="1:22" x14ac:dyDescent="0.3">
      <c r="A194" s="211">
        <f t="shared" si="17"/>
        <v>2012</v>
      </c>
      <c r="B194" s="211" t="str">
        <f t="shared" si="18"/>
        <v>Q4</v>
      </c>
      <c r="C194" s="2088" t="str">
        <f t="shared" si="15"/>
        <v>2012-Q4</v>
      </c>
      <c r="E194" s="252">
        <v>136345</v>
      </c>
      <c r="F194" s="252">
        <v>125950</v>
      </c>
      <c r="G194" s="252">
        <f t="shared" si="20"/>
        <v>131147.5</v>
      </c>
      <c r="J194" s="230"/>
      <c r="K194" s="230"/>
      <c r="L194" s="252">
        <f>K191*E194</f>
        <v>224560215000</v>
      </c>
      <c r="M194" s="252">
        <f>K191*F194</f>
        <v>207439650000</v>
      </c>
      <c r="N194" s="252">
        <f t="shared" si="21"/>
        <v>215999932500</v>
      </c>
      <c r="P194" s="252"/>
      <c r="Q194" s="252"/>
      <c r="S194" s="348">
        <f>L194/Q191</f>
        <v>1.2741113541391842</v>
      </c>
      <c r="T194" s="348">
        <f>M194/Q191</f>
        <v>1.176972569979319</v>
      </c>
      <c r="U194" s="1043">
        <f t="shared" si="22"/>
        <v>1.2255419620592516</v>
      </c>
      <c r="V194" s="2088" t="str">
        <f>Table24567[[#This Row],[Column3]]</f>
        <v>2012-Q4</v>
      </c>
    </row>
    <row r="195" spans="1:22" x14ac:dyDescent="0.3">
      <c r="A195" s="211">
        <f t="shared" si="17"/>
        <v>2013</v>
      </c>
      <c r="B195" s="211" t="str">
        <f t="shared" si="18"/>
        <v>Q1</v>
      </c>
      <c r="C195" s="2088" t="str">
        <f t="shared" si="15"/>
        <v>2013-Q1</v>
      </c>
      <c r="D195" s="211">
        <v>2013</v>
      </c>
      <c r="E195" s="252">
        <v>156634</v>
      </c>
      <c r="F195" s="252">
        <v>136850</v>
      </c>
      <c r="G195" s="252">
        <f t="shared" si="20"/>
        <v>146742</v>
      </c>
      <c r="I195" s="2088">
        <v>41639</v>
      </c>
      <c r="J195" s="230">
        <v>1644000</v>
      </c>
      <c r="K195" s="230">
        <f>AVERAGE(J191,J195)</f>
        <v>1643500</v>
      </c>
      <c r="L195" s="252">
        <f>K195*E195</f>
        <v>257427979000</v>
      </c>
      <c r="M195" s="252">
        <f>K195*F195</f>
        <v>224912975000</v>
      </c>
      <c r="N195" s="252">
        <f t="shared" si="21"/>
        <v>241170477000</v>
      </c>
      <c r="P195" s="252">
        <v>221890000000</v>
      </c>
      <c r="Q195" s="252">
        <f>AVERAGE(P191,P195)</f>
        <v>204768500000</v>
      </c>
      <c r="S195" s="348">
        <f>L195/Q195</f>
        <v>1.2571659166326852</v>
      </c>
      <c r="T195" s="348">
        <f>M195/Q195</f>
        <v>1.0983768255371309</v>
      </c>
      <c r="U195" s="1043">
        <f t="shared" si="22"/>
        <v>1.177771371084908</v>
      </c>
      <c r="V195" s="2088" t="str">
        <f>Table24567[[#This Row],[Column3]]</f>
        <v>2013-Q1</v>
      </c>
    </row>
    <row r="196" spans="1:22" x14ac:dyDescent="0.3">
      <c r="A196" s="211">
        <f t="shared" si="17"/>
        <v>2013</v>
      </c>
      <c r="B196" s="211" t="str">
        <f t="shared" si="18"/>
        <v>Q2</v>
      </c>
      <c r="C196" s="2088" t="str">
        <f t="shared" ref="C196:C202" si="23">CONCATENATE(A196,"-",B196)</f>
        <v>2013-Q2</v>
      </c>
      <c r="E196" s="252">
        <v>173810</v>
      </c>
      <c r="F196" s="252">
        <v>154145</v>
      </c>
      <c r="G196" s="252">
        <f t="shared" si="20"/>
        <v>163977.5</v>
      </c>
      <c r="J196" s="230"/>
      <c r="K196" s="230"/>
      <c r="L196" s="252">
        <f>K195*E196</f>
        <v>285656735000</v>
      </c>
      <c r="M196" s="252">
        <f>K195*F196</f>
        <v>253337307500</v>
      </c>
      <c r="N196" s="252">
        <f t="shared" si="21"/>
        <v>269497021250</v>
      </c>
      <c r="P196" s="252"/>
      <c r="Q196" s="252"/>
      <c r="S196" s="348">
        <f>L196/Q195</f>
        <v>1.3950228428688982</v>
      </c>
      <c r="T196" s="348">
        <f>M196/Q195</f>
        <v>1.2371888620564198</v>
      </c>
      <c r="U196" s="1043">
        <f t="shared" si="22"/>
        <v>1.316105852462659</v>
      </c>
      <c r="V196" s="2088" t="str">
        <f>Table24567[[#This Row],[Column3]]</f>
        <v>2013-Q2</v>
      </c>
    </row>
    <row r="197" spans="1:22" x14ac:dyDescent="0.3">
      <c r="A197" s="211">
        <f t="shared" si="17"/>
        <v>2013</v>
      </c>
      <c r="B197" s="211" t="str">
        <f t="shared" si="18"/>
        <v>Q3</v>
      </c>
      <c r="C197" s="2088" t="str">
        <f t="shared" si="23"/>
        <v>2013-Q3</v>
      </c>
      <c r="E197" s="252">
        <v>178900</v>
      </c>
      <c r="F197" s="252">
        <v>166168</v>
      </c>
      <c r="G197" s="252">
        <f t="shared" si="20"/>
        <v>172534</v>
      </c>
      <c r="J197" s="230"/>
      <c r="K197" s="230"/>
      <c r="L197" s="252">
        <f>K195*E197</f>
        <v>294022150000</v>
      </c>
      <c r="M197" s="252">
        <f>K195*F197</f>
        <v>273097108000</v>
      </c>
      <c r="N197" s="252">
        <f t="shared" si="21"/>
        <v>283559629000</v>
      </c>
      <c r="P197" s="252"/>
      <c r="Q197" s="252"/>
      <c r="S197" s="348">
        <f>L197/Q195</f>
        <v>1.4358758793466768</v>
      </c>
      <c r="T197" s="348">
        <f>M197/Q195</f>
        <v>1.3336871051944024</v>
      </c>
      <c r="U197" s="1043">
        <f t="shared" si="22"/>
        <v>1.3847814922705397</v>
      </c>
      <c r="V197" s="2088" t="str">
        <f>Table24567[[#This Row],[Column3]]</f>
        <v>2013-Q3</v>
      </c>
    </row>
    <row r="198" spans="1:22" x14ac:dyDescent="0.3">
      <c r="A198" s="211">
        <f t="shared" si="17"/>
        <v>2013</v>
      </c>
      <c r="B198" s="211" t="str">
        <f t="shared" si="18"/>
        <v>Q4</v>
      </c>
      <c r="C198" s="2088" t="str">
        <f t="shared" si="23"/>
        <v>2013-Q4</v>
      </c>
      <c r="E198" s="252">
        <v>177950</v>
      </c>
      <c r="F198" s="252">
        <v>166510</v>
      </c>
      <c r="G198" s="252">
        <f t="shared" si="20"/>
        <v>172230</v>
      </c>
      <c r="J198" s="230"/>
      <c r="K198" s="230"/>
      <c r="L198" s="252">
        <f>K195*E198</f>
        <v>292460825000</v>
      </c>
      <c r="M198" s="252">
        <f>K195*F198</f>
        <v>273659185000</v>
      </c>
      <c r="N198" s="252">
        <f t="shared" si="21"/>
        <v>283060005000</v>
      </c>
      <c r="P198" s="252"/>
      <c r="Q198" s="252"/>
      <c r="S198" s="348">
        <f>L198/Q195</f>
        <v>1.4282510493557359</v>
      </c>
      <c r="T198" s="348">
        <f>M198/Q195</f>
        <v>1.3364320439911412</v>
      </c>
      <c r="U198" s="1043">
        <f t="shared" si="22"/>
        <v>1.3823415466734386</v>
      </c>
      <c r="V198" s="2088" t="str">
        <f>Table24567[[#This Row],[Column3]]</f>
        <v>2013-Q4</v>
      </c>
    </row>
    <row r="199" spans="1:22" x14ac:dyDescent="0.3">
      <c r="A199" s="211">
        <f t="shared" si="17"/>
        <v>2014</v>
      </c>
      <c r="B199" s="211" t="str">
        <f t="shared" si="18"/>
        <v>Q1</v>
      </c>
      <c r="C199" s="2088" t="str">
        <f t="shared" si="23"/>
        <v>2014-Q1</v>
      </c>
      <c r="D199" s="211">
        <v>2014</v>
      </c>
      <c r="E199" s="252">
        <v>188853</v>
      </c>
      <c r="F199" s="252">
        <v>163039</v>
      </c>
      <c r="G199" s="252">
        <f t="shared" si="20"/>
        <v>175946</v>
      </c>
      <c r="I199" s="2088">
        <v>42004</v>
      </c>
      <c r="J199" s="230">
        <v>1643000</v>
      </c>
      <c r="K199" s="230">
        <f>AVERAGE(J195,J199)</f>
        <v>1643500</v>
      </c>
      <c r="L199" s="252">
        <f>K199*E199</f>
        <v>310379905500</v>
      </c>
      <c r="M199" s="252">
        <f>K199*F199</f>
        <v>267954596500</v>
      </c>
      <c r="N199" s="252">
        <f t="shared" si="21"/>
        <v>289167251000</v>
      </c>
      <c r="P199" s="252">
        <v>240170000000</v>
      </c>
      <c r="Q199" s="252">
        <f>AVERAGE(P195,P199)</f>
        <v>231030000000</v>
      </c>
      <c r="S199" s="348">
        <f>L199/Q199</f>
        <v>1.3434614790286976</v>
      </c>
      <c r="T199" s="348">
        <f>M199/Q199</f>
        <v>1.1598259814742675</v>
      </c>
      <c r="U199" s="1043">
        <f t="shared" si="22"/>
        <v>1.2516437302514825</v>
      </c>
      <c r="V199" s="2088" t="str">
        <f>Table24567[[#This Row],[Column3]]</f>
        <v>2014-Q1</v>
      </c>
    </row>
    <row r="200" spans="1:22" x14ac:dyDescent="0.3">
      <c r="A200" s="211">
        <f t="shared" si="17"/>
        <v>2014</v>
      </c>
      <c r="B200" s="211" t="str">
        <f t="shared" si="18"/>
        <v>Q2</v>
      </c>
      <c r="C200" s="2088" t="str">
        <f t="shared" si="23"/>
        <v>2014-Q2</v>
      </c>
      <c r="E200" s="252">
        <v>194670</v>
      </c>
      <c r="F200" s="252">
        <v>181785</v>
      </c>
      <c r="G200" s="252">
        <f t="shared" si="20"/>
        <v>188227.5</v>
      </c>
      <c r="J200" s="230"/>
      <c r="K200" s="230"/>
      <c r="L200" s="252">
        <f>K199*E200</f>
        <v>319940145000</v>
      </c>
      <c r="M200" s="252">
        <f>K199*F200</f>
        <v>298763647500</v>
      </c>
      <c r="N200" s="252">
        <f t="shared" si="21"/>
        <v>309351896250</v>
      </c>
      <c r="P200" s="252"/>
      <c r="Q200" s="252"/>
      <c r="S200" s="348">
        <f>L200/Q199</f>
        <v>1.3848424230619401</v>
      </c>
      <c r="T200" s="348">
        <f>M200/Q199</f>
        <v>1.2931811777691209</v>
      </c>
      <c r="U200" s="1043">
        <f t="shared" si="22"/>
        <v>1.3390118004155305</v>
      </c>
      <c r="V200" s="2088" t="str">
        <f>Table24567[[#This Row],[Column3]]</f>
        <v>2014-Q2</v>
      </c>
    </row>
    <row r="201" spans="1:22" x14ac:dyDescent="0.3">
      <c r="A201" s="211">
        <f t="shared" si="17"/>
        <v>2014</v>
      </c>
      <c r="B201" s="211" t="str">
        <f t="shared" si="18"/>
        <v>Q3</v>
      </c>
      <c r="C201" s="2088" t="str">
        <f t="shared" si="23"/>
        <v>2014-Q3</v>
      </c>
      <c r="E201" s="252">
        <v>213612</v>
      </c>
      <c r="F201" s="252">
        <v>185005</v>
      </c>
      <c r="G201" s="252">
        <f t="shared" si="20"/>
        <v>199308.5</v>
      </c>
      <c r="J201" s="230"/>
      <c r="L201" s="252">
        <f>K199*E201</f>
        <v>351071322000</v>
      </c>
      <c r="M201" s="252">
        <f>K199*F201</f>
        <v>304055717500</v>
      </c>
      <c r="N201" s="252">
        <f t="shared" si="21"/>
        <v>327563519750</v>
      </c>
      <c r="P201" s="252"/>
      <c r="Q201" s="252"/>
      <c r="S201" s="348">
        <f>L201/Q199</f>
        <v>1.5195919231268666</v>
      </c>
      <c r="T201" s="348">
        <f>M201/Q199</f>
        <v>1.3160875968488941</v>
      </c>
      <c r="U201" s="1043">
        <f t="shared" si="22"/>
        <v>1.4178397599878805</v>
      </c>
      <c r="V201" s="2088" t="str">
        <f>Table24567[[#This Row],[Column3]]</f>
        <v>2014-Q3</v>
      </c>
    </row>
    <row r="202" spans="1:22" x14ac:dyDescent="0.3">
      <c r="A202" s="211">
        <f t="shared" si="17"/>
        <v>2014</v>
      </c>
      <c r="B202" s="211" t="str">
        <f t="shared" si="18"/>
        <v>Q4</v>
      </c>
      <c r="C202" s="2088" t="str">
        <f t="shared" si="23"/>
        <v>2014-Q4</v>
      </c>
      <c r="E202" s="252">
        <v>229374</v>
      </c>
      <c r="F202" s="252">
        <v>198000</v>
      </c>
      <c r="G202" s="252">
        <f t="shared" si="20"/>
        <v>213687</v>
      </c>
      <c r="J202" s="230"/>
      <c r="L202" s="252">
        <f>K199*E202</f>
        <v>376976169000</v>
      </c>
      <c r="M202" s="252">
        <f>K199*F202</f>
        <v>325413000000</v>
      </c>
      <c r="N202" s="252">
        <f t="shared" si="21"/>
        <v>351194584500</v>
      </c>
      <c r="P202" s="252"/>
      <c r="Q202" s="252"/>
      <c r="S202" s="348">
        <f>L202/Q199</f>
        <v>1.6317195559018309</v>
      </c>
      <c r="T202" s="348">
        <f>M202/Q199</f>
        <v>1.408531359563693</v>
      </c>
      <c r="U202" s="1043">
        <f t="shared" si="22"/>
        <v>1.5201254577327621</v>
      </c>
      <c r="V202" s="2088" t="str">
        <f>Table24567[[#This Row],[Column3]]</f>
        <v>2014-Q4</v>
      </c>
    </row>
    <row r="203" spans="1:22" x14ac:dyDescent="0.3">
      <c r="C203" s="2088" t="str">
        <f>CONCATENATE(A203,"-",B203)</f>
        <v>-</v>
      </c>
      <c r="D203" s="211">
        <v>2015</v>
      </c>
      <c r="E203" s="252"/>
      <c r="F203" s="252"/>
      <c r="G203" s="252"/>
      <c r="I203" s="2088">
        <v>42369</v>
      </c>
      <c r="J203" s="230"/>
      <c r="L203" s="252"/>
      <c r="M203" s="252"/>
      <c r="N203" s="252" t="e">
        <f>AVERAGE(L203:M203)</f>
        <v>#DIV/0!</v>
      </c>
      <c r="P203" s="252"/>
      <c r="Q203" s="252"/>
      <c r="S203" s="348"/>
      <c r="T203" s="348"/>
      <c r="U203" s="1043"/>
      <c r="V203" s="2088" t="str">
        <f>Table24567[[#This Row],[Column3]]</f>
        <v>-</v>
      </c>
    </row>
    <row r="207" spans="1:22" x14ac:dyDescent="0.3">
      <c r="J207" s="211">
        <f>J199/J159</f>
        <v>1.0675763482781027</v>
      </c>
      <c r="K207" s="211">
        <f>K199/K159</f>
        <v>1.0685955786736021</v>
      </c>
      <c r="P207" s="211">
        <f>P199/P159</f>
        <v>2.7959254947613505</v>
      </c>
      <c r="Q207" s="211">
        <f>Q199/Q159</f>
        <v>2.8261241865244409</v>
      </c>
      <c r="T207" s="211">
        <f>T202/T162</f>
        <v>0.92256887205469473</v>
      </c>
      <c r="U207" s="211">
        <f>U202/U162</f>
        <v>0.94694321390093672</v>
      </c>
    </row>
    <row r="208" spans="1:22" x14ac:dyDescent="0.3">
      <c r="J208" s="350">
        <f>J207^(1/10)-1</f>
        <v>6.5605250019598049E-3</v>
      </c>
      <c r="K208" s="350">
        <f>K207^(1/10)-1</f>
        <v>6.6565815129533412E-3</v>
      </c>
      <c r="P208" s="227">
        <f>P207^(1/10)-1</f>
        <v>0.10828781751596006</v>
      </c>
      <c r="Q208" s="227">
        <f>Q207^(1/10)-1</f>
        <v>0.10947909651436749</v>
      </c>
      <c r="T208" s="350">
        <f>T207^(1/10)-1</f>
        <v>-8.0269354924169534E-3</v>
      </c>
      <c r="U208" s="350">
        <f>U207^(1/10)-1</f>
        <v>-5.4367820925428356E-3</v>
      </c>
    </row>
    <row r="213" spans="16:17" x14ac:dyDescent="0.3">
      <c r="P213" s="211" t="s">
        <v>3274</v>
      </c>
      <c r="Q213" s="2228">
        <f>Q159/K159</f>
        <v>53152.145643693111</v>
      </c>
    </row>
    <row r="214" spans="16:17" x14ac:dyDescent="0.3">
      <c r="P214" s="211" t="s">
        <v>3275</v>
      </c>
      <c r="Q214" s="211">
        <f>Q199/K199</f>
        <v>140571.95010648007</v>
      </c>
    </row>
    <row r="215" spans="16:17" x14ac:dyDescent="0.3">
      <c r="Q215" s="211">
        <f>Q214/Q213</f>
        <v>2.6447088523727351</v>
      </c>
    </row>
    <row r="216" spans="16:17" x14ac:dyDescent="0.3">
      <c r="Q216" s="211">
        <f>Q215^(1/10)-1</f>
        <v>0.10214259449521235</v>
      </c>
    </row>
  </sheetData>
  <pageMargins left="0.7" right="0.7" top="0.75" bottom="0.75" header="0.3" footer="0.3"/>
  <pageSetup orientation="portrait" r:id="rId1"/>
  <drawing r:id="rId2"/>
  <tableParts count="1">
    <tablePart r:id="rId3"/>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FCE-93C5-4CE6-9B55-3EC9B19054AE}">
  <sheetPr>
    <tabColor theme="4"/>
  </sheetPr>
  <dimension ref="A1:XFD37"/>
  <sheetViews>
    <sheetView showGridLines="0" zoomScale="85" zoomScaleNormal="85" workbookViewId="0">
      <selection activeCell="L7" sqref="L7"/>
    </sheetView>
  </sheetViews>
  <sheetFormatPr defaultColWidth="9.109375" defaultRowHeight="13.8" x14ac:dyDescent="0.25"/>
  <cols>
    <col min="1" max="1" width="21.88671875" style="1" customWidth="1"/>
    <col min="2" max="3" width="32.109375" style="1" customWidth="1"/>
    <col min="4" max="16384" width="9.109375" style="1"/>
  </cols>
  <sheetData>
    <row r="1" spans="1:5" s="198" customFormat="1" x14ac:dyDescent="0.25">
      <c r="A1" s="664" t="s">
        <v>2380</v>
      </c>
    </row>
    <row r="2" spans="1:5" s="198" customFormat="1" x14ac:dyDescent="0.25">
      <c r="A2" s="664" t="s">
        <v>2381</v>
      </c>
    </row>
    <row r="3" spans="1:5" s="198" customFormat="1" ht="8.25" customHeight="1" thickBot="1" x14ac:dyDescent="0.35">
      <c r="A3" s="2934"/>
      <c r="B3" s="2934"/>
      <c r="C3" s="2934"/>
    </row>
    <row r="4" spans="1:5" x14ac:dyDescent="0.25">
      <c r="A4" s="1657"/>
      <c r="B4" s="1658">
        <v>2014</v>
      </c>
      <c r="C4" s="1665">
        <v>2019</v>
      </c>
    </row>
    <row r="5" spans="1:5" ht="92.25" customHeight="1" x14ac:dyDescent="0.25">
      <c r="A5" s="1659" t="s">
        <v>45</v>
      </c>
      <c r="B5" s="1660" t="s">
        <v>2492</v>
      </c>
      <c r="C5" s="1669" t="s">
        <v>2486</v>
      </c>
      <c r="E5" s="1" t="s">
        <v>176</v>
      </c>
    </row>
    <row r="6" spans="1:5" ht="4.5" customHeight="1" x14ac:dyDescent="0.25">
      <c r="A6" s="1175"/>
      <c r="B6" s="1627"/>
      <c r="C6" s="1628"/>
    </row>
    <row r="7" spans="1:5" ht="29.25" customHeight="1" x14ac:dyDescent="0.25">
      <c r="A7" s="1659" t="s">
        <v>1241</v>
      </c>
      <c r="B7" s="1661" t="s">
        <v>467</v>
      </c>
      <c r="C7" s="1666" t="s">
        <v>467</v>
      </c>
    </row>
    <row r="8" spans="1:5" x14ac:dyDescent="0.25">
      <c r="A8" s="1175" t="s">
        <v>1242</v>
      </c>
      <c r="B8" s="1627" t="s">
        <v>2046</v>
      </c>
      <c r="C8" s="1628" t="s">
        <v>2382</v>
      </c>
    </row>
    <row r="9" spans="1:5" x14ac:dyDescent="0.25">
      <c r="A9" s="1175" t="s">
        <v>1418</v>
      </c>
      <c r="B9" s="1627" t="s">
        <v>2047</v>
      </c>
      <c r="C9" s="1628" t="s">
        <v>2383</v>
      </c>
    </row>
    <row r="10" spans="1:5" x14ac:dyDescent="0.25">
      <c r="A10" s="1175" t="s">
        <v>2049</v>
      </c>
      <c r="B10" s="1662">
        <v>146186</v>
      </c>
      <c r="C10" s="1667">
        <v>261417</v>
      </c>
    </row>
    <row r="11" spans="1:5" x14ac:dyDescent="0.25">
      <c r="A11" s="1175" t="s">
        <v>499</v>
      </c>
      <c r="B11" s="1663" t="s">
        <v>2048</v>
      </c>
      <c r="C11" s="1668" t="s">
        <v>2384</v>
      </c>
    </row>
    <row r="12" spans="1:5" ht="6.75" customHeight="1" x14ac:dyDescent="0.25">
      <c r="A12" s="1175"/>
      <c r="B12" s="1627"/>
      <c r="C12" s="1628"/>
    </row>
    <row r="13" spans="1:5" x14ac:dyDescent="0.25">
      <c r="A13" s="1664" t="s">
        <v>1632</v>
      </c>
      <c r="B13" s="1627"/>
      <c r="C13" s="1628"/>
    </row>
    <row r="14" spans="1:5" x14ac:dyDescent="0.25">
      <c r="A14" s="2824" t="s">
        <v>2552</v>
      </c>
      <c r="B14" s="2825"/>
      <c r="C14" s="2826"/>
    </row>
    <row r="15" spans="1:5" x14ac:dyDescent="0.25">
      <c r="A15" s="2824" t="s">
        <v>2385</v>
      </c>
      <c r="B15" s="2825"/>
      <c r="C15" s="2826"/>
    </row>
    <row r="16" spans="1:5" x14ac:dyDescent="0.25">
      <c r="A16" s="2824" t="s">
        <v>2553</v>
      </c>
      <c r="B16" s="2825"/>
      <c r="C16" s="2826"/>
      <c r="D16" s="1" t="s">
        <v>176</v>
      </c>
    </row>
    <row r="17" spans="1:16384" ht="30" customHeight="1" x14ac:dyDescent="0.25">
      <c r="A17" s="2824" t="s">
        <v>2477</v>
      </c>
      <c r="B17" s="2825"/>
      <c r="C17" s="2826"/>
    </row>
    <row r="18" spans="1:16384" x14ac:dyDescent="0.25">
      <c r="A18" s="2967" t="s">
        <v>2556</v>
      </c>
      <c r="B18" s="2968"/>
      <c r="C18" s="2969"/>
    </row>
    <row r="19" spans="1:16384" x14ac:dyDescent="0.25">
      <c r="A19" s="2824" t="s">
        <v>2387</v>
      </c>
      <c r="B19" s="2825"/>
      <c r="C19" s="2826"/>
    </row>
    <row r="20" spans="1:16384" x14ac:dyDescent="0.25">
      <c r="A20" s="2824" t="s">
        <v>2386</v>
      </c>
      <c r="B20" s="2825"/>
      <c r="C20" s="2826"/>
    </row>
    <row r="21" spans="1:16384" x14ac:dyDescent="0.25">
      <c r="A21" s="2824" t="s">
        <v>2557</v>
      </c>
      <c r="B21" s="2825"/>
      <c r="C21" s="2826"/>
      <c r="D21" s="2827"/>
      <c r="E21" s="2827"/>
      <c r="F21" s="2827"/>
      <c r="G21" s="2827"/>
      <c r="H21" s="2827"/>
      <c r="I21" s="2827"/>
      <c r="J21" s="2827"/>
      <c r="K21" s="2827"/>
      <c r="L21" s="2827"/>
      <c r="M21" s="2827"/>
      <c r="N21" s="2827"/>
      <c r="O21" s="2827"/>
      <c r="P21" s="2827"/>
      <c r="Q21" s="2827"/>
      <c r="R21" s="2867"/>
      <c r="S21" s="2866"/>
      <c r="T21" s="2827"/>
      <c r="U21" s="2867"/>
      <c r="V21" s="2866"/>
      <c r="W21" s="2827"/>
      <c r="X21" s="2867"/>
      <c r="Y21" s="2866"/>
      <c r="Z21" s="2827"/>
      <c r="AA21" s="2867"/>
      <c r="AB21" s="2866"/>
      <c r="AC21" s="2827"/>
      <c r="AD21" s="2867"/>
      <c r="AE21" s="2866"/>
      <c r="AF21" s="2827"/>
      <c r="AG21" s="2867"/>
      <c r="AH21" s="2866"/>
      <c r="AI21" s="2827"/>
      <c r="AJ21" s="2867"/>
      <c r="AK21" s="2866"/>
      <c r="AL21" s="2827"/>
      <c r="AM21" s="2867"/>
      <c r="AN21" s="2866"/>
      <c r="AO21" s="2827"/>
      <c r="AP21" s="2867"/>
      <c r="AQ21" s="2866"/>
      <c r="AR21" s="2827"/>
      <c r="AS21" s="2867"/>
      <c r="AT21" s="2866"/>
      <c r="AU21" s="2827"/>
      <c r="AV21" s="2867"/>
      <c r="AW21" s="2866"/>
      <c r="AX21" s="2827"/>
      <c r="AY21" s="2867"/>
      <c r="AZ21" s="2866"/>
      <c r="BA21" s="2827"/>
      <c r="BB21" s="2867"/>
      <c r="BC21" s="2866"/>
      <c r="BD21" s="2827"/>
      <c r="BE21" s="2867"/>
      <c r="BF21" s="2866"/>
      <c r="BG21" s="2827"/>
      <c r="BH21" s="2867"/>
      <c r="BI21" s="2866"/>
      <c r="BJ21" s="2827"/>
      <c r="BK21" s="2867"/>
      <c r="BL21" s="2866"/>
      <c r="BM21" s="2827"/>
      <c r="BN21" s="2867"/>
      <c r="BO21" s="2866"/>
      <c r="BP21" s="2827"/>
      <c r="BQ21" s="2867"/>
      <c r="BR21" s="2866"/>
      <c r="BS21" s="2827"/>
      <c r="BT21" s="2867"/>
      <c r="BU21" s="2866"/>
      <c r="BV21" s="2827"/>
      <c r="BW21" s="2867"/>
      <c r="BX21" s="2866"/>
      <c r="BY21" s="2827"/>
      <c r="BZ21" s="2867"/>
      <c r="CA21" s="2866"/>
      <c r="CB21" s="2827"/>
      <c r="CC21" s="2867"/>
      <c r="CD21" s="2866"/>
      <c r="CE21" s="2827"/>
      <c r="CF21" s="2867"/>
      <c r="CG21" s="2866"/>
      <c r="CH21" s="2827"/>
      <c r="CI21" s="2867"/>
      <c r="CJ21" s="2866"/>
      <c r="CK21" s="2827"/>
      <c r="CL21" s="2867"/>
      <c r="CM21" s="2866"/>
      <c r="CN21" s="2827"/>
      <c r="CO21" s="2867"/>
      <c r="CP21" s="2866"/>
      <c r="CQ21" s="2827"/>
      <c r="CR21" s="2867"/>
      <c r="CS21" s="2866"/>
      <c r="CT21" s="2827"/>
      <c r="CU21" s="2867"/>
      <c r="CV21" s="2866"/>
      <c r="CW21" s="2827"/>
      <c r="CX21" s="2867"/>
      <c r="CY21" s="2866"/>
      <c r="CZ21" s="2827"/>
      <c r="DA21" s="2867"/>
      <c r="DB21" s="2866"/>
      <c r="DC21" s="2827"/>
      <c r="DD21" s="2867"/>
      <c r="DE21" s="2866"/>
      <c r="DF21" s="2827"/>
      <c r="DG21" s="2867"/>
      <c r="DH21" s="2866"/>
      <c r="DI21" s="2827"/>
      <c r="DJ21" s="2867"/>
      <c r="DK21" s="2866"/>
      <c r="DL21" s="2827"/>
      <c r="DM21" s="2867"/>
      <c r="DN21" s="2866"/>
      <c r="DO21" s="2827"/>
      <c r="DP21" s="2867"/>
      <c r="DQ21" s="2866"/>
      <c r="DR21" s="2827"/>
      <c r="DS21" s="2867"/>
      <c r="DT21" s="2866"/>
      <c r="DU21" s="2827"/>
      <c r="DV21" s="2867"/>
      <c r="DW21" s="2866"/>
      <c r="DX21" s="2827"/>
      <c r="DY21" s="2867"/>
      <c r="DZ21" s="2866"/>
      <c r="EA21" s="2827"/>
      <c r="EB21" s="2867"/>
      <c r="EC21" s="2866"/>
      <c r="ED21" s="2827"/>
      <c r="EE21" s="2867"/>
      <c r="EF21" s="2866"/>
      <c r="EG21" s="2827"/>
      <c r="EH21" s="2867"/>
      <c r="EI21" s="2866"/>
      <c r="EJ21" s="2827"/>
      <c r="EK21" s="2867"/>
      <c r="EL21" s="2866"/>
      <c r="EM21" s="2827"/>
      <c r="EN21" s="2867"/>
      <c r="EO21" s="2866"/>
      <c r="EP21" s="2827"/>
      <c r="EQ21" s="2867"/>
      <c r="ER21" s="2866"/>
      <c r="ES21" s="2827"/>
      <c r="ET21" s="2867"/>
      <c r="EU21" s="2866"/>
      <c r="EV21" s="2827"/>
      <c r="EW21" s="2867"/>
      <c r="EX21" s="2866"/>
      <c r="EY21" s="2827"/>
      <c r="EZ21" s="2867"/>
      <c r="FA21" s="2866"/>
      <c r="FB21" s="2827"/>
      <c r="FC21" s="2867"/>
      <c r="FD21" s="2866"/>
      <c r="FE21" s="2827"/>
      <c r="FF21" s="2867"/>
      <c r="FG21" s="2866"/>
      <c r="FH21" s="2827"/>
      <c r="FI21" s="2867"/>
      <c r="FJ21" s="2866"/>
      <c r="FK21" s="2827"/>
      <c r="FL21" s="2867"/>
      <c r="FM21" s="2866"/>
      <c r="FN21" s="2827"/>
      <c r="FO21" s="2867"/>
      <c r="FP21" s="2866"/>
      <c r="FQ21" s="2827"/>
      <c r="FR21" s="2867"/>
      <c r="FS21" s="2866"/>
      <c r="FT21" s="2827"/>
      <c r="FU21" s="2867"/>
      <c r="FV21" s="2866"/>
      <c r="FW21" s="2827"/>
      <c r="FX21" s="2867"/>
      <c r="FY21" s="2866"/>
      <c r="FZ21" s="2827"/>
      <c r="GA21" s="2867"/>
      <c r="GB21" s="2866"/>
      <c r="GC21" s="2827"/>
      <c r="GD21" s="2867"/>
      <c r="GE21" s="2866"/>
      <c r="GF21" s="2827"/>
      <c r="GG21" s="2867"/>
      <c r="GH21" s="2866"/>
      <c r="GI21" s="2827"/>
      <c r="GJ21" s="2867"/>
      <c r="GK21" s="2866"/>
      <c r="GL21" s="2827"/>
      <c r="GM21" s="2867"/>
      <c r="GN21" s="2866"/>
      <c r="GO21" s="2827"/>
      <c r="GP21" s="2867"/>
      <c r="GQ21" s="2866"/>
      <c r="GR21" s="2827"/>
      <c r="GS21" s="2867"/>
      <c r="GT21" s="2866"/>
      <c r="GU21" s="2827"/>
      <c r="GV21" s="2867"/>
      <c r="GW21" s="2866"/>
      <c r="GX21" s="2827"/>
      <c r="GY21" s="2867"/>
      <c r="GZ21" s="2866"/>
      <c r="HA21" s="2827"/>
      <c r="HB21" s="2867"/>
      <c r="HC21" s="2866"/>
      <c r="HD21" s="2827"/>
      <c r="HE21" s="2867"/>
      <c r="HF21" s="2866"/>
      <c r="HG21" s="2827"/>
      <c r="HH21" s="2867"/>
      <c r="HI21" s="2866"/>
      <c r="HJ21" s="2827"/>
      <c r="HK21" s="2867"/>
      <c r="HL21" s="2866"/>
      <c r="HM21" s="2827"/>
      <c r="HN21" s="2867"/>
      <c r="HO21" s="2866"/>
      <c r="HP21" s="2827"/>
      <c r="HQ21" s="2867"/>
      <c r="HR21" s="2866"/>
      <c r="HS21" s="2827"/>
      <c r="HT21" s="2867"/>
      <c r="HU21" s="2866"/>
      <c r="HV21" s="2827"/>
      <c r="HW21" s="2867"/>
      <c r="HX21" s="2866"/>
      <c r="HY21" s="2827"/>
      <c r="HZ21" s="2867"/>
      <c r="IA21" s="2866"/>
      <c r="IB21" s="2827"/>
      <c r="IC21" s="2867"/>
      <c r="ID21" s="2866"/>
      <c r="IE21" s="2827"/>
      <c r="IF21" s="2867"/>
      <c r="IG21" s="2866"/>
      <c r="IH21" s="2827"/>
      <c r="II21" s="2867"/>
      <c r="IJ21" s="2866"/>
      <c r="IK21" s="2827"/>
      <c r="IL21" s="2867"/>
      <c r="IM21" s="2866"/>
      <c r="IN21" s="2827"/>
      <c r="IO21" s="2867"/>
      <c r="IP21" s="2866"/>
      <c r="IQ21" s="2827"/>
      <c r="IR21" s="2867"/>
      <c r="IS21" s="2866"/>
      <c r="IT21" s="2827"/>
      <c r="IU21" s="2867"/>
      <c r="IV21" s="2866"/>
      <c r="IW21" s="2827"/>
      <c r="IX21" s="2867"/>
      <c r="IY21" s="2866"/>
      <c r="IZ21" s="2827"/>
      <c r="JA21" s="2867"/>
      <c r="JB21" s="2866"/>
      <c r="JC21" s="2827"/>
      <c r="JD21" s="2867"/>
      <c r="JE21" s="2866"/>
      <c r="JF21" s="2827"/>
      <c r="JG21" s="2867"/>
      <c r="JH21" s="2866"/>
      <c r="JI21" s="2827"/>
      <c r="JJ21" s="2867"/>
      <c r="JK21" s="2866"/>
      <c r="JL21" s="2827"/>
      <c r="JM21" s="2867"/>
      <c r="JN21" s="2866"/>
      <c r="JO21" s="2827"/>
      <c r="JP21" s="2867"/>
      <c r="JQ21" s="2866"/>
      <c r="JR21" s="2827"/>
      <c r="JS21" s="2867"/>
      <c r="JT21" s="2866"/>
      <c r="JU21" s="2827"/>
      <c r="JV21" s="2867"/>
      <c r="JW21" s="2866"/>
      <c r="JX21" s="2827"/>
      <c r="JY21" s="2867"/>
      <c r="JZ21" s="2866"/>
      <c r="KA21" s="2827"/>
      <c r="KB21" s="2867"/>
      <c r="KC21" s="2866"/>
      <c r="KD21" s="2827"/>
      <c r="KE21" s="2867"/>
      <c r="KF21" s="2866"/>
      <c r="KG21" s="2827"/>
      <c r="KH21" s="2867"/>
      <c r="KI21" s="2866"/>
      <c r="KJ21" s="2827"/>
      <c r="KK21" s="2867"/>
      <c r="KL21" s="2866"/>
      <c r="KM21" s="2827"/>
      <c r="KN21" s="2867"/>
      <c r="KO21" s="2866"/>
      <c r="KP21" s="2827"/>
      <c r="KQ21" s="2867"/>
      <c r="KR21" s="2866"/>
      <c r="KS21" s="2827"/>
      <c r="KT21" s="2867"/>
      <c r="KU21" s="2866"/>
      <c r="KV21" s="2827"/>
      <c r="KW21" s="2867"/>
      <c r="KX21" s="2866"/>
      <c r="KY21" s="2827"/>
      <c r="KZ21" s="2867"/>
      <c r="LA21" s="2866"/>
      <c r="LB21" s="2827"/>
      <c r="LC21" s="2867"/>
      <c r="LD21" s="2866"/>
      <c r="LE21" s="2827"/>
      <c r="LF21" s="2867"/>
      <c r="LG21" s="2866"/>
      <c r="LH21" s="2827"/>
      <c r="LI21" s="2867"/>
      <c r="LJ21" s="2866"/>
      <c r="LK21" s="2827"/>
      <c r="LL21" s="2867"/>
      <c r="LM21" s="2866"/>
      <c r="LN21" s="2827"/>
      <c r="LO21" s="2867"/>
      <c r="LP21" s="2866"/>
      <c r="LQ21" s="2827"/>
      <c r="LR21" s="2867"/>
      <c r="LS21" s="2866"/>
      <c r="LT21" s="2827"/>
      <c r="LU21" s="2867"/>
      <c r="LV21" s="2866"/>
      <c r="LW21" s="2827"/>
      <c r="LX21" s="2867"/>
      <c r="LY21" s="2866"/>
      <c r="LZ21" s="2827"/>
      <c r="MA21" s="2867"/>
      <c r="MB21" s="2866"/>
      <c r="MC21" s="2827"/>
      <c r="MD21" s="2867"/>
      <c r="ME21" s="2866"/>
      <c r="MF21" s="2827"/>
      <c r="MG21" s="2867"/>
      <c r="MH21" s="2866"/>
      <c r="MI21" s="2827"/>
      <c r="MJ21" s="2867"/>
      <c r="MK21" s="2866"/>
      <c r="ML21" s="2827"/>
      <c r="MM21" s="2867"/>
      <c r="MN21" s="2866"/>
      <c r="MO21" s="2827"/>
      <c r="MP21" s="2867"/>
      <c r="MQ21" s="2866"/>
      <c r="MR21" s="2827"/>
      <c r="MS21" s="2867"/>
      <c r="MT21" s="2866"/>
      <c r="MU21" s="2827"/>
      <c r="MV21" s="2867"/>
      <c r="MW21" s="2866"/>
      <c r="MX21" s="2827"/>
      <c r="MY21" s="2867"/>
      <c r="MZ21" s="2866"/>
      <c r="NA21" s="2827"/>
      <c r="NB21" s="2867"/>
      <c r="NC21" s="2866"/>
      <c r="ND21" s="2827"/>
      <c r="NE21" s="2867"/>
      <c r="NF21" s="2866"/>
      <c r="NG21" s="2827"/>
      <c r="NH21" s="2867"/>
      <c r="NI21" s="2866"/>
      <c r="NJ21" s="2827"/>
      <c r="NK21" s="2867"/>
      <c r="NL21" s="2866"/>
      <c r="NM21" s="2827"/>
      <c r="NN21" s="2867"/>
      <c r="NO21" s="2866"/>
      <c r="NP21" s="2827"/>
      <c r="NQ21" s="2867"/>
      <c r="NR21" s="2866"/>
      <c r="NS21" s="2827"/>
      <c r="NT21" s="2867"/>
      <c r="NU21" s="2866"/>
      <c r="NV21" s="2827"/>
      <c r="NW21" s="2867"/>
      <c r="NX21" s="2866"/>
      <c r="NY21" s="2827"/>
      <c r="NZ21" s="2867"/>
      <c r="OA21" s="2866"/>
      <c r="OB21" s="2827"/>
      <c r="OC21" s="2867"/>
      <c r="OD21" s="2866"/>
      <c r="OE21" s="2827"/>
      <c r="OF21" s="2867"/>
      <c r="OG21" s="2866"/>
      <c r="OH21" s="2827"/>
      <c r="OI21" s="2867"/>
      <c r="OJ21" s="2866"/>
      <c r="OK21" s="2827"/>
      <c r="OL21" s="2867"/>
      <c r="OM21" s="2866"/>
      <c r="ON21" s="2827"/>
      <c r="OO21" s="2867"/>
      <c r="OP21" s="2866"/>
      <c r="OQ21" s="2827"/>
      <c r="OR21" s="2867"/>
      <c r="OS21" s="2866"/>
      <c r="OT21" s="2827"/>
      <c r="OU21" s="2867"/>
      <c r="OV21" s="2866"/>
      <c r="OW21" s="2827"/>
      <c r="OX21" s="2867"/>
      <c r="OY21" s="2866"/>
      <c r="OZ21" s="2827"/>
      <c r="PA21" s="2867"/>
      <c r="PB21" s="2866"/>
      <c r="PC21" s="2827"/>
      <c r="PD21" s="2867"/>
      <c r="PE21" s="2866"/>
      <c r="PF21" s="2827"/>
      <c r="PG21" s="2867"/>
      <c r="PH21" s="2866"/>
      <c r="PI21" s="2827"/>
      <c r="PJ21" s="2867"/>
      <c r="PK21" s="2866"/>
      <c r="PL21" s="2827"/>
      <c r="PM21" s="2867"/>
      <c r="PN21" s="2866"/>
      <c r="PO21" s="2827"/>
      <c r="PP21" s="2867"/>
      <c r="PQ21" s="2866"/>
      <c r="PR21" s="2827"/>
      <c r="PS21" s="2867"/>
      <c r="PT21" s="2866"/>
      <c r="PU21" s="2827"/>
      <c r="PV21" s="2867"/>
      <c r="PW21" s="2866"/>
      <c r="PX21" s="2827"/>
      <c r="PY21" s="2867"/>
      <c r="PZ21" s="2866"/>
      <c r="QA21" s="2827"/>
      <c r="QB21" s="2867"/>
      <c r="QC21" s="2866"/>
      <c r="QD21" s="2827"/>
      <c r="QE21" s="2867"/>
      <c r="QF21" s="2866"/>
      <c r="QG21" s="2827"/>
      <c r="QH21" s="2867"/>
      <c r="QI21" s="2866"/>
      <c r="QJ21" s="2827"/>
      <c r="QK21" s="2867"/>
      <c r="QL21" s="2866"/>
      <c r="QM21" s="2827"/>
      <c r="QN21" s="2867"/>
      <c r="QO21" s="2866"/>
      <c r="QP21" s="2827"/>
      <c r="QQ21" s="2867"/>
      <c r="QR21" s="2866"/>
      <c r="QS21" s="2827"/>
      <c r="QT21" s="2867"/>
      <c r="QU21" s="2866"/>
      <c r="QV21" s="2827"/>
      <c r="QW21" s="2867"/>
      <c r="QX21" s="2866"/>
      <c r="QY21" s="2827"/>
      <c r="QZ21" s="2867"/>
      <c r="RA21" s="2866"/>
      <c r="RB21" s="2827"/>
      <c r="RC21" s="2867"/>
      <c r="RD21" s="2866"/>
      <c r="RE21" s="2827"/>
      <c r="RF21" s="2867"/>
      <c r="RG21" s="2866"/>
      <c r="RH21" s="2827"/>
      <c r="RI21" s="2867"/>
      <c r="RJ21" s="2866"/>
      <c r="RK21" s="2827"/>
      <c r="RL21" s="2867"/>
      <c r="RM21" s="2866"/>
      <c r="RN21" s="2827"/>
      <c r="RO21" s="2867"/>
      <c r="RP21" s="2866"/>
      <c r="RQ21" s="2827"/>
      <c r="RR21" s="2867"/>
      <c r="RS21" s="2866"/>
      <c r="RT21" s="2827"/>
      <c r="RU21" s="2867"/>
      <c r="RV21" s="2866"/>
      <c r="RW21" s="2827"/>
      <c r="RX21" s="2867"/>
      <c r="RY21" s="2866"/>
      <c r="RZ21" s="2827"/>
      <c r="SA21" s="2867"/>
      <c r="SB21" s="2866"/>
      <c r="SC21" s="2827"/>
      <c r="SD21" s="2867"/>
      <c r="SE21" s="2866"/>
      <c r="SF21" s="2827"/>
      <c r="SG21" s="2867"/>
      <c r="SH21" s="2866"/>
      <c r="SI21" s="2827"/>
      <c r="SJ21" s="2867"/>
      <c r="SK21" s="2866"/>
      <c r="SL21" s="2827"/>
      <c r="SM21" s="2867"/>
      <c r="SN21" s="2866"/>
      <c r="SO21" s="2827"/>
      <c r="SP21" s="2867"/>
      <c r="SQ21" s="2866"/>
      <c r="SR21" s="2827"/>
      <c r="SS21" s="2867"/>
      <c r="ST21" s="2866"/>
      <c r="SU21" s="2827"/>
      <c r="SV21" s="2867"/>
      <c r="SW21" s="2866"/>
      <c r="SX21" s="2827"/>
      <c r="SY21" s="2867"/>
      <c r="SZ21" s="2866"/>
      <c r="TA21" s="2827"/>
      <c r="TB21" s="2867"/>
      <c r="TC21" s="2866"/>
      <c r="TD21" s="2827"/>
      <c r="TE21" s="2867"/>
      <c r="TF21" s="2866"/>
      <c r="TG21" s="2827"/>
      <c r="TH21" s="2867"/>
      <c r="TI21" s="2866"/>
      <c r="TJ21" s="2827"/>
      <c r="TK21" s="2867"/>
      <c r="TL21" s="2866"/>
      <c r="TM21" s="2827"/>
      <c r="TN21" s="2867"/>
      <c r="TO21" s="2866"/>
      <c r="TP21" s="2827"/>
      <c r="TQ21" s="2867"/>
      <c r="TR21" s="2866"/>
      <c r="TS21" s="2827"/>
      <c r="TT21" s="2867"/>
      <c r="TU21" s="2866"/>
      <c r="TV21" s="2827"/>
      <c r="TW21" s="2867"/>
      <c r="TX21" s="2866"/>
      <c r="TY21" s="2827"/>
      <c r="TZ21" s="2867"/>
      <c r="UA21" s="2866"/>
      <c r="UB21" s="2827"/>
      <c r="UC21" s="2867"/>
      <c r="UD21" s="2866"/>
      <c r="UE21" s="2827"/>
      <c r="UF21" s="2867"/>
      <c r="UG21" s="2866"/>
      <c r="UH21" s="2827"/>
      <c r="UI21" s="2867"/>
      <c r="UJ21" s="2866"/>
      <c r="UK21" s="2827"/>
      <c r="UL21" s="2867"/>
      <c r="UM21" s="2866"/>
      <c r="UN21" s="2827"/>
      <c r="UO21" s="2867"/>
      <c r="UP21" s="2866"/>
      <c r="UQ21" s="2827"/>
      <c r="UR21" s="2867"/>
      <c r="US21" s="2866"/>
      <c r="UT21" s="2827"/>
      <c r="UU21" s="2867"/>
      <c r="UV21" s="2866"/>
      <c r="UW21" s="2827"/>
      <c r="UX21" s="2867"/>
      <c r="UY21" s="2866"/>
      <c r="UZ21" s="2827"/>
      <c r="VA21" s="2867"/>
      <c r="VB21" s="2866"/>
      <c r="VC21" s="2827"/>
      <c r="VD21" s="2867"/>
      <c r="VE21" s="2866"/>
      <c r="VF21" s="2827"/>
      <c r="VG21" s="2867"/>
      <c r="VH21" s="2866"/>
      <c r="VI21" s="2827"/>
      <c r="VJ21" s="2867"/>
      <c r="VK21" s="2866"/>
      <c r="VL21" s="2827"/>
      <c r="VM21" s="2867"/>
      <c r="VN21" s="2866"/>
      <c r="VO21" s="2827"/>
      <c r="VP21" s="2867"/>
      <c r="VQ21" s="2866"/>
      <c r="VR21" s="2827"/>
      <c r="VS21" s="2867"/>
      <c r="VT21" s="2866"/>
      <c r="VU21" s="2827"/>
      <c r="VV21" s="2867"/>
      <c r="VW21" s="2866"/>
      <c r="VX21" s="2827"/>
      <c r="VY21" s="2867"/>
      <c r="VZ21" s="2866"/>
      <c r="WA21" s="2827"/>
      <c r="WB21" s="2867"/>
      <c r="WC21" s="2866"/>
      <c r="WD21" s="2827"/>
      <c r="WE21" s="2867"/>
      <c r="WF21" s="2866"/>
      <c r="WG21" s="2827"/>
      <c r="WH21" s="2867"/>
      <c r="WI21" s="2866"/>
      <c r="WJ21" s="2827"/>
      <c r="WK21" s="2867"/>
      <c r="WL21" s="2866"/>
      <c r="WM21" s="2827"/>
      <c r="WN21" s="2867"/>
      <c r="WO21" s="2866"/>
      <c r="WP21" s="2827"/>
      <c r="WQ21" s="2867"/>
      <c r="WR21" s="2866"/>
      <c r="WS21" s="2827"/>
      <c r="WT21" s="2867"/>
      <c r="WU21" s="2866"/>
      <c r="WV21" s="2827"/>
      <c r="WW21" s="2867"/>
      <c r="WX21" s="2866"/>
      <c r="WY21" s="2827"/>
      <c r="WZ21" s="2867"/>
      <c r="XA21" s="2866"/>
      <c r="XB21" s="2827"/>
      <c r="XC21" s="2867"/>
      <c r="XD21" s="2866"/>
      <c r="XE21" s="2827"/>
      <c r="XF21" s="2867"/>
      <c r="XG21" s="2866"/>
      <c r="XH21" s="2827"/>
      <c r="XI21" s="2867"/>
      <c r="XJ21" s="2866"/>
      <c r="XK21" s="2827"/>
      <c r="XL21" s="2867"/>
      <c r="XM21" s="2866"/>
      <c r="XN21" s="2827"/>
      <c r="XO21" s="2867"/>
      <c r="XP21" s="2866"/>
      <c r="XQ21" s="2827"/>
      <c r="XR21" s="2867"/>
      <c r="XS21" s="2866"/>
      <c r="XT21" s="2827"/>
      <c r="XU21" s="2867"/>
      <c r="XV21" s="2866"/>
      <c r="XW21" s="2827"/>
      <c r="XX21" s="2867"/>
      <c r="XY21" s="2866"/>
      <c r="XZ21" s="2827"/>
      <c r="YA21" s="2867"/>
      <c r="YB21" s="2866"/>
      <c r="YC21" s="2827"/>
      <c r="YD21" s="2867"/>
      <c r="YE21" s="2866"/>
      <c r="YF21" s="2827"/>
      <c r="YG21" s="2867"/>
      <c r="YH21" s="2866"/>
      <c r="YI21" s="2827"/>
      <c r="YJ21" s="2867"/>
      <c r="YK21" s="2866"/>
      <c r="YL21" s="2827"/>
      <c r="YM21" s="2867"/>
      <c r="YN21" s="2866"/>
      <c r="YO21" s="2827"/>
      <c r="YP21" s="2867"/>
      <c r="YQ21" s="2866"/>
      <c r="YR21" s="2827"/>
      <c r="YS21" s="2867"/>
      <c r="YT21" s="2866"/>
      <c r="YU21" s="2827"/>
      <c r="YV21" s="2867"/>
      <c r="YW21" s="2866"/>
      <c r="YX21" s="2827"/>
      <c r="YY21" s="2867"/>
      <c r="YZ21" s="2866"/>
      <c r="ZA21" s="2827"/>
      <c r="ZB21" s="2867"/>
      <c r="ZC21" s="2866"/>
      <c r="ZD21" s="2827"/>
      <c r="ZE21" s="2867"/>
      <c r="ZF21" s="2866"/>
      <c r="ZG21" s="2827"/>
      <c r="ZH21" s="2867"/>
      <c r="ZI21" s="2866"/>
      <c r="ZJ21" s="2827"/>
      <c r="ZK21" s="2867"/>
      <c r="ZL21" s="2866"/>
      <c r="ZM21" s="2827"/>
      <c r="ZN21" s="2867"/>
      <c r="ZO21" s="2866"/>
      <c r="ZP21" s="2827"/>
      <c r="ZQ21" s="2867"/>
      <c r="ZR21" s="2866"/>
      <c r="ZS21" s="2827"/>
      <c r="ZT21" s="2867"/>
      <c r="ZU21" s="2866"/>
      <c r="ZV21" s="2827"/>
      <c r="ZW21" s="2867"/>
      <c r="ZX21" s="2866"/>
      <c r="ZY21" s="2827"/>
      <c r="ZZ21" s="2867"/>
      <c r="AAA21" s="2866"/>
      <c r="AAB21" s="2827"/>
      <c r="AAC21" s="2867"/>
      <c r="AAD21" s="2866"/>
      <c r="AAE21" s="2827"/>
      <c r="AAF21" s="2867"/>
      <c r="AAG21" s="2866"/>
      <c r="AAH21" s="2827"/>
      <c r="AAI21" s="2867"/>
      <c r="AAJ21" s="2866"/>
      <c r="AAK21" s="2827"/>
      <c r="AAL21" s="2867"/>
      <c r="AAM21" s="2866"/>
      <c r="AAN21" s="2827"/>
      <c r="AAO21" s="2867"/>
      <c r="AAP21" s="2866"/>
      <c r="AAQ21" s="2827"/>
      <c r="AAR21" s="2867"/>
      <c r="AAS21" s="2866"/>
      <c r="AAT21" s="2827"/>
      <c r="AAU21" s="2867"/>
      <c r="AAV21" s="2866"/>
      <c r="AAW21" s="2827"/>
      <c r="AAX21" s="2867"/>
      <c r="AAY21" s="2866"/>
      <c r="AAZ21" s="2827"/>
      <c r="ABA21" s="2867"/>
      <c r="ABB21" s="2866"/>
      <c r="ABC21" s="2827"/>
      <c r="ABD21" s="2867"/>
      <c r="ABE21" s="2866"/>
      <c r="ABF21" s="2827"/>
      <c r="ABG21" s="2867"/>
      <c r="ABH21" s="2866"/>
      <c r="ABI21" s="2827"/>
      <c r="ABJ21" s="2867"/>
      <c r="ABK21" s="2866"/>
      <c r="ABL21" s="2827"/>
      <c r="ABM21" s="2867"/>
      <c r="ABN21" s="2866"/>
      <c r="ABO21" s="2827"/>
      <c r="ABP21" s="2867"/>
      <c r="ABQ21" s="2866"/>
      <c r="ABR21" s="2827"/>
      <c r="ABS21" s="2867"/>
      <c r="ABT21" s="2866"/>
      <c r="ABU21" s="2827"/>
      <c r="ABV21" s="2867"/>
      <c r="ABW21" s="2866"/>
      <c r="ABX21" s="2827"/>
      <c r="ABY21" s="2867"/>
      <c r="ABZ21" s="2866"/>
      <c r="ACA21" s="2827"/>
      <c r="ACB21" s="2867"/>
      <c r="ACC21" s="2866"/>
      <c r="ACD21" s="2827"/>
      <c r="ACE21" s="2867"/>
      <c r="ACF21" s="2866"/>
      <c r="ACG21" s="2827"/>
      <c r="ACH21" s="2867"/>
      <c r="ACI21" s="2866"/>
      <c r="ACJ21" s="2827"/>
      <c r="ACK21" s="2867"/>
      <c r="ACL21" s="2866"/>
      <c r="ACM21" s="2827"/>
      <c r="ACN21" s="2867"/>
      <c r="ACO21" s="2866"/>
      <c r="ACP21" s="2827"/>
      <c r="ACQ21" s="2867"/>
      <c r="ACR21" s="2866"/>
      <c r="ACS21" s="2827"/>
      <c r="ACT21" s="2867"/>
      <c r="ACU21" s="2866"/>
      <c r="ACV21" s="2827"/>
      <c r="ACW21" s="2867"/>
      <c r="ACX21" s="2866"/>
      <c r="ACY21" s="2827"/>
      <c r="ACZ21" s="2867"/>
      <c r="ADA21" s="2866"/>
      <c r="ADB21" s="2827"/>
      <c r="ADC21" s="2867"/>
      <c r="ADD21" s="2866"/>
      <c r="ADE21" s="2827"/>
      <c r="ADF21" s="2867"/>
      <c r="ADG21" s="2866"/>
      <c r="ADH21" s="2827"/>
      <c r="ADI21" s="2867"/>
      <c r="ADJ21" s="2866"/>
      <c r="ADK21" s="2827"/>
      <c r="ADL21" s="2867"/>
      <c r="ADM21" s="2866"/>
      <c r="ADN21" s="2827"/>
      <c r="ADO21" s="2867"/>
      <c r="ADP21" s="2866"/>
      <c r="ADQ21" s="2827"/>
      <c r="ADR21" s="2867"/>
      <c r="ADS21" s="2866"/>
      <c r="ADT21" s="2827"/>
      <c r="ADU21" s="2867"/>
      <c r="ADV21" s="2866"/>
      <c r="ADW21" s="2827"/>
      <c r="ADX21" s="2867"/>
      <c r="ADY21" s="2866"/>
      <c r="ADZ21" s="2827"/>
      <c r="AEA21" s="2867"/>
      <c r="AEB21" s="2866"/>
      <c r="AEC21" s="2827"/>
      <c r="AED21" s="2867"/>
      <c r="AEE21" s="2866"/>
      <c r="AEF21" s="2827"/>
      <c r="AEG21" s="2867"/>
      <c r="AEH21" s="2866"/>
      <c r="AEI21" s="2827"/>
      <c r="AEJ21" s="2867"/>
      <c r="AEK21" s="2866"/>
      <c r="AEL21" s="2827"/>
      <c r="AEM21" s="2867"/>
      <c r="AEN21" s="2866"/>
      <c r="AEO21" s="2827"/>
      <c r="AEP21" s="2867"/>
      <c r="AEQ21" s="2866"/>
      <c r="AER21" s="2827"/>
      <c r="AES21" s="2867"/>
      <c r="AET21" s="2866"/>
      <c r="AEU21" s="2827"/>
      <c r="AEV21" s="2867"/>
      <c r="AEW21" s="2866"/>
      <c r="AEX21" s="2827"/>
      <c r="AEY21" s="2867"/>
      <c r="AEZ21" s="2866"/>
      <c r="AFA21" s="2827"/>
      <c r="AFB21" s="2867"/>
      <c r="AFC21" s="2866"/>
      <c r="AFD21" s="2827"/>
      <c r="AFE21" s="2867"/>
      <c r="AFF21" s="2866"/>
      <c r="AFG21" s="2827"/>
      <c r="AFH21" s="2867"/>
      <c r="AFI21" s="2866"/>
      <c r="AFJ21" s="2827"/>
      <c r="AFK21" s="2867"/>
      <c r="AFL21" s="2866"/>
      <c r="AFM21" s="2827"/>
      <c r="AFN21" s="2867"/>
      <c r="AFO21" s="2866"/>
      <c r="AFP21" s="2827"/>
      <c r="AFQ21" s="2867"/>
      <c r="AFR21" s="2866"/>
      <c r="AFS21" s="2827"/>
      <c r="AFT21" s="2867"/>
      <c r="AFU21" s="2866"/>
      <c r="AFV21" s="2827"/>
      <c r="AFW21" s="2867"/>
      <c r="AFX21" s="2866"/>
      <c r="AFY21" s="2827"/>
      <c r="AFZ21" s="2867"/>
      <c r="AGA21" s="2866"/>
      <c r="AGB21" s="2827"/>
      <c r="AGC21" s="2867"/>
      <c r="AGD21" s="2866"/>
      <c r="AGE21" s="2827"/>
      <c r="AGF21" s="2867"/>
      <c r="AGG21" s="2866"/>
      <c r="AGH21" s="2827"/>
      <c r="AGI21" s="2867"/>
      <c r="AGJ21" s="2866"/>
      <c r="AGK21" s="2827"/>
      <c r="AGL21" s="2867"/>
      <c r="AGM21" s="2866"/>
      <c r="AGN21" s="2827"/>
      <c r="AGO21" s="2867"/>
      <c r="AGP21" s="2866"/>
      <c r="AGQ21" s="2827"/>
      <c r="AGR21" s="2867"/>
      <c r="AGS21" s="2866"/>
      <c r="AGT21" s="2827"/>
      <c r="AGU21" s="2867"/>
      <c r="AGV21" s="2866"/>
      <c r="AGW21" s="2827"/>
      <c r="AGX21" s="2867"/>
      <c r="AGY21" s="2866"/>
      <c r="AGZ21" s="2827"/>
      <c r="AHA21" s="2867"/>
      <c r="AHB21" s="2866"/>
      <c r="AHC21" s="2827"/>
      <c r="AHD21" s="2867"/>
      <c r="AHE21" s="2866"/>
      <c r="AHF21" s="2827"/>
      <c r="AHG21" s="2867"/>
      <c r="AHH21" s="2866"/>
      <c r="AHI21" s="2827"/>
      <c r="AHJ21" s="2867"/>
      <c r="AHK21" s="2866"/>
      <c r="AHL21" s="2827"/>
      <c r="AHM21" s="2867"/>
      <c r="AHN21" s="2866"/>
      <c r="AHO21" s="2827"/>
      <c r="AHP21" s="2867"/>
      <c r="AHQ21" s="2866"/>
      <c r="AHR21" s="2827"/>
      <c r="AHS21" s="2867"/>
      <c r="AHT21" s="2866"/>
      <c r="AHU21" s="2827"/>
      <c r="AHV21" s="2867"/>
      <c r="AHW21" s="2866"/>
      <c r="AHX21" s="2827"/>
      <c r="AHY21" s="2867"/>
      <c r="AHZ21" s="2866"/>
      <c r="AIA21" s="2827"/>
      <c r="AIB21" s="2867"/>
      <c r="AIC21" s="2866"/>
      <c r="AID21" s="2827"/>
      <c r="AIE21" s="2867"/>
      <c r="AIF21" s="2866"/>
      <c r="AIG21" s="2827"/>
      <c r="AIH21" s="2867"/>
      <c r="AII21" s="2866"/>
      <c r="AIJ21" s="2827"/>
      <c r="AIK21" s="2867"/>
      <c r="AIL21" s="2866"/>
      <c r="AIM21" s="2827"/>
      <c r="AIN21" s="2867"/>
      <c r="AIO21" s="2866"/>
      <c r="AIP21" s="2827"/>
      <c r="AIQ21" s="2867"/>
      <c r="AIR21" s="2866"/>
      <c r="AIS21" s="2827"/>
      <c r="AIT21" s="2867"/>
      <c r="AIU21" s="2866"/>
      <c r="AIV21" s="2827"/>
      <c r="AIW21" s="2867"/>
      <c r="AIX21" s="2866"/>
      <c r="AIY21" s="2827"/>
      <c r="AIZ21" s="2867"/>
      <c r="AJA21" s="2866"/>
      <c r="AJB21" s="2827"/>
      <c r="AJC21" s="2867"/>
      <c r="AJD21" s="2866"/>
      <c r="AJE21" s="2827"/>
      <c r="AJF21" s="2867"/>
      <c r="AJG21" s="2866"/>
      <c r="AJH21" s="2827"/>
      <c r="AJI21" s="2867"/>
      <c r="AJJ21" s="2866"/>
      <c r="AJK21" s="2827"/>
      <c r="AJL21" s="2867"/>
      <c r="AJM21" s="2866"/>
      <c r="AJN21" s="2827"/>
      <c r="AJO21" s="2867"/>
      <c r="AJP21" s="2866"/>
      <c r="AJQ21" s="2827"/>
      <c r="AJR21" s="2867"/>
      <c r="AJS21" s="2866"/>
      <c r="AJT21" s="2827"/>
      <c r="AJU21" s="2867"/>
      <c r="AJV21" s="2866"/>
      <c r="AJW21" s="2827"/>
      <c r="AJX21" s="2867"/>
      <c r="AJY21" s="2866"/>
      <c r="AJZ21" s="2827"/>
      <c r="AKA21" s="2867"/>
      <c r="AKB21" s="2866"/>
      <c r="AKC21" s="2827"/>
      <c r="AKD21" s="2867"/>
      <c r="AKE21" s="2866"/>
      <c r="AKF21" s="2827"/>
      <c r="AKG21" s="2867"/>
      <c r="AKH21" s="2866"/>
      <c r="AKI21" s="2827"/>
      <c r="AKJ21" s="2867"/>
      <c r="AKK21" s="2866"/>
      <c r="AKL21" s="2827"/>
      <c r="AKM21" s="2867"/>
      <c r="AKN21" s="2866"/>
      <c r="AKO21" s="2827"/>
      <c r="AKP21" s="2867"/>
      <c r="AKQ21" s="2866"/>
      <c r="AKR21" s="2827"/>
      <c r="AKS21" s="2867"/>
      <c r="AKT21" s="2866"/>
      <c r="AKU21" s="2827"/>
      <c r="AKV21" s="2867"/>
      <c r="AKW21" s="2866"/>
      <c r="AKX21" s="2827"/>
      <c r="AKY21" s="2867"/>
      <c r="AKZ21" s="2866"/>
      <c r="ALA21" s="2827"/>
      <c r="ALB21" s="2867"/>
      <c r="ALC21" s="2866"/>
      <c r="ALD21" s="2827"/>
      <c r="ALE21" s="2867"/>
      <c r="ALF21" s="2866"/>
      <c r="ALG21" s="2827"/>
      <c r="ALH21" s="2867"/>
      <c r="ALI21" s="2866"/>
      <c r="ALJ21" s="2827"/>
      <c r="ALK21" s="2867"/>
      <c r="ALL21" s="2866"/>
      <c r="ALM21" s="2827"/>
      <c r="ALN21" s="2867"/>
      <c r="ALO21" s="2866"/>
      <c r="ALP21" s="2827"/>
      <c r="ALQ21" s="2867"/>
      <c r="ALR21" s="2866"/>
      <c r="ALS21" s="2827"/>
      <c r="ALT21" s="2867"/>
      <c r="ALU21" s="2866"/>
      <c r="ALV21" s="2827"/>
      <c r="ALW21" s="2867"/>
      <c r="ALX21" s="2866"/>
      <c r="ALY21" s="2827"/>
      <c r="ALZ21" s="2867"/>
      <c r="AMA21" s="2866"/>
      <c r="AMB21" s="2827"/>
      <c r="AMC21" s="2867"/>
      <c r="AMD21" s="2866"/>
      <c r="AME21" s="2827"/>
      <c r="AMF21" s="2867"/>
      <c r="AMG21" s="2866"/>
      <c r="AMH21" s="2827"/>
      <c r="AMI21" s="2867"/>
      <c r="AMJ21" s="2866"/>
      <c r="AMK21" s="2827"/>
      <c r="AML21" s="2867"/>
      <c r="AMM21" s="2866"/>
      <c r="AMN21" s="2827"/>
      <c r="AMO21" s="2867"/>
      <c r="AMP21" s="2866"/>
      <c r="AMQ21" s="2827"/>
      <c r="AMR21" s="2867"/>
      <c r="AMS21" s="2866"/>
      <c r="AMT21" s="2827"/>
      <c r="AMU21" s="2867"/>
      <c r="AMV21" s="2866"/>
      <c r="AMW21" s="2827"/>
      <c r="AMX21" s="2867"/>
      <c r="AMY21" s="2866"/>
      <c r="AMZ21" s="2827"/>
      <c r="ANA21" s="2867"/>
      <c r="ANB21" s="2866"/>
      <c r="ANC21" s="2827"/>
      <c r="AND21" s="2867"/>
      <c r="ANE21" s="2866"/>
      <c r="ANF21" s="2827"/>
      <c r="ANG21" s="2867"/>
      <c r="ANH21" s="2866"/>
      <c r="ANI21" s="2827"/>
      <c r="ANJ21" s="2867"/>
      <c r="ANK21" s="2866"/>
      <c r="ANL21" s="2827"/>
      <c r="ANM21" s="2867"/>
      <c r="ANN21" s="2866"/>
      <c r="ANO21" s="2827"/>
      <c r="ANP21" s="2867"/>
      <c r="ANQ21" s="2866"/>
      <c r="ANR21" s="2827"/>
      <c r="ANS21" s="2867"/>
      <c r="ANT21" s="2866"/>
      <c r="ANU21" s="2827"/>
      <c r="ANV21" s="2867"/>
      <c r="ANW21" s="2866"/>
      <c r="ANX21" s="2827"/>
      <c r="ANY21" s="2867"/>
      <c r="ANZ21" s="2866"/>
      <c r="AOA21" s="2827"/>
      <c r="AOB21" s="2867"/>
      <c r="AOC21" s="2866"/>
      <c r="AOD21" s="2827"/>
      <c r="AOE21" s="2867"/>
      <c r="AOF21" s="2866"/>
      <c r="AOG21" s="2827"/>
      <c r="AOH21" s="2867"/>
      <c r="AOI21" s="2866"/>
      <c r="AOJ21" s="2827"/>
      <c r="AOK21" s="2867"/>
      <c r="AOL21" s="2866"/>
      <c r="AOM21" s="2827"/>
      <c r="AON21" s="2867"/>
      <c r="AOO21" s="2866"/>
      <c r="AOP21" s="2827"/>
      <c r="AOQ21" s="2867"/>
      <c r="AOR21" s="2866"/>
      <c r="AOS21" s="2827"/>
      <c r="AOT21" s="2867"/>
      <c r="AOU21" s="2866"/>
      <c r="AOV21" s="2827"/>
      <c r="AOW21" s="2867"/>
      <c r="AOX21" s="2866"/>
      <c r="AOY21" s="2827"/>
      <c r="AOZ21" s="2867"/>
      <c r="APA21" s="2866"/>
      <c r="APB21" s="2827"/>
      <c r="APC21" s="2867"/>
      <c r="APD21" s="2866"/>
      <c r="APE21" s="2827"/>
      <c r="APF21" s="2867"/>
      <c r="APG21" s="2866"/>
      <c r="APH21" s="2827"/>
      <c r="API21" s="2867"/>
      <c r="APJ21" s="2866"/>
      <c r="APK21" s="2827"/>
      <c r="APL21" s="2867"/>
      <c r="APM21" s="2866"/>
      <c r="APN21" s="2827"/>
      <c r="APO21" s="2867"/>
      <c r="APP21" s="2866"/>
      <c r="APQ21" s="2827"/>
      <c r="APR21" s="2867"/>
      <c r="APS21" s="2866"/>
      <c r="APT21" s="2827"/>
      <c r="APU21" s="2867"/>
      <c r="APV21" s="2866"/>
      <c r="APW21" s="2827"/>
      <c r="APX21" s="2867"/>
      <c r="APY21" s="2866"/>
      <c r="APZ21" s="2827"/>
      <c r="AQA21" s="2867"/>
      <c r="AQB21" s="2866"/>
      <c r="AQC21" s="2827"/>
      <c r="AQD21" s="2867"/>
      <c r="AQE21" s="2866"/>
      <c r="AQF21" s="2827"/>
      <c r="AQG21" s="2867"/>
      <c r="AQH21" s="2866"/>
      <c r="AQI21" s="2827"/>
      <c r="AQJ21" s="2867"/>
      <c r="AQK21" s="2866"/>
      <c r="AQL21" s="2827"/>
      <c r="AQM21" s="2867"/>
      <c r="AQN21" s="2866"/>
      <c r="AQO21" s="2827"/>
      <c r="AQP21" s="2867"/>
      <c r="AQQ21" s="2866"/>
      <c r="AQR21" s="2827"/>
      <c r="AQS21" s="2867"/>
      <c r="AQT21" s="2866"/>
      <c r="AQU21" s="2827"/>
      <c r="AQV21" s="2867"/>
      <c r="AQW21" s="2866"/>
      <c r="AQX21" s="2827"/>
      <c r="AQY21" s="2867"/>
      <c r="AQZ21" s="2866"/>
      <c r="ARA21" s="2827"/>
      <c r="ARB21" s="2867"/>
      <c r="ARC21" s="2866"/>
      <c r="ARD21" s="2827"/>
      <c r="ARE21" s="2867"/>
      <c r="ARF21" s="2866"/>
      <c r="ARG21" s="2827"/>
      <c r="ARH21" s="2867"/>
      <c r="ARI21" s="2866"/>
      <c r="ARJ21" s="2827"/>
      <c r="ARK21" s="2867"/>
      <c r="ARL21" s="2866"/>
      <c r="ARM21" s="2827"/>
      <c r="ARN21" s="2867"/>
      <c r="ARO21" s="2866"/>
      <c r="ARP21" s="2827"/>
      <c r="ARQ21" s="2867"/>
      <c r="ARR21" s="2866"/>
      <c r="ARS21" s="2827"/>
      <c r="ART21" s="2867"/>
      <c r="ARU21" s="2866"/>
      <c r="ARV21" s="2827"/>
      <c r="ARW21" s="2867"/>
      <c r="ARX21" s="2866"/>
      <c r="ARY21" s="2827"/>
      <c r="ARZ21" s="2867"/>
      <c r="ASA21" s="2866"/>
      <c r="ASB21" s="2827"/>
      <c r="ASC21" s="2867"/>
      <c r="ASD21" s="2866"/>
      <c r="ASE21" s="2827"/>
      <c r="ASF21" s="2867"/>
      <c r="ASG21" s="2866"/>
      <c r="ASH21" s="2827"/>
      <c r="ASI21" s="2867"/>
      <c r="ASJ21" s="2866"/>
      <c r="ASK21" s="2827"/>
      <c r="ASL21" s="2867"/>
      <c r="ASM21" s="2866"/>
      <c r="ASN21" s="2827"/>
      <c r="ASO21" s="2867"/>
      <c r="ASP21" s="2866"/>
      <c r="ASQ21" s="2827"/>
      <c r="ASR21" s="2867"/>
      <c r="ASS21" s="2866"/>
      <c r="AST21" s="2827"/>
      <c r="ASU21" s="2867"/>
      <c r="ASV21" s="2866"/>
      <c r="ASW21" s="2827"/>
      <c r="ASX21" s="2867"/>
      <c r="ASY21" s="2866"/>
      <c r="ASZ21" s="2827"/>
      <c r="ATA21" s="2867"/>
      <c r="ATB21" s="2866"/>
      <c r="ATC21" s="2827"/>
      <c r="ATD21" s="2867"/>
      <c r="ATE21" s="2866"/>
      <c r="ATF21" s="2827"/>
      <c r="ATG21" s="2867"/>
      <c r="ATH21" s="2866"/>
      <c r="ATI21" s="2827"/>
      <c r="ATJ21" s="2867"/>
      <c r="ATK21" s="2866"/>
      <c r="ATL21" s="2827"/>
      <c r="ATM21" s="2867"/>
      <c r="ATN21" s="2866"/>
      <c r="ATO21" s="2827"/>
      <c r="ATP21" s="2867"/>
      <c r="ATQ21" s="2866"/>
      <c r="ATR21" s="2827"/>
      <c r="ATS21" s="2867"/>
      <c r="ATT21" s="2866"/>
      <c r="ATU21" s="2827"/>
      <c r="ATV21" s="2867"/>
      <c r="ATW21" s="2866"/>
      <c r="ATX21" s="2827"/>
      <c r="ATY21" s="2867"/>
      <c r="ATZ21" s="2866"/>
      <c r="AUA21" s="2827"/>
      <c r="AUB21" s="2867"/>
      <c r="AUC21" s="2866"/>
      <c r="AUD21" s="2827"/>
      <c r="AUE21" s="2867"/>
      <c r="AUF21" s="2866"/>
      <c r="AUG21" s="2827"/>
      <c r="AUH21" s="2867"/>
      <c r="AUI21" s="2866"/>
      <c r="AUJ21" s="2827"/>
      <c r="AUK21" s="2867"/>
      <c r="AUL21" s="2866"/>
      <c r="AUM21" s="2827"/>
      <c r="AUN21" s="2867"/>
      <c r="AUO21" s="2866"/>
      <c r="AUP21" s="2827"/>
      <c r="AUQ21" s="2867"/>
      <c r="AUR21" s="2866"/>
      <c r="AUS21" s="2827"/>
      <c r="AUT21" s="2867"/>
      <c r="AUU21" s="2866"/>
      <c r="AUV21" s="2827"/>
      <c r="AUW21" s="2867"/>
      <c r="AUX21" s="2866"/>
      <c r="AUY21" s="2827"/>
      <c r="AUZ21" s="2867"/>
      <c r="AVA21" s="2866"/>
      <c r="AVB21" s="2827"/>
      <c r="AVC21" s="2867"/>
      <c r="AVD21" s="2866"/>
      <c r="AVE21" s="2827"/>
      <c r="AVF21" s="2867"/>
      <c r="AVG21" s="2866"/>
      <c r="AVH21" s="2827"/>
      <c r="AVI21" s="2867"/>
      <c r="AVJ21" s="2866"/>
      <c r="AVK21" s="2827"/>
      <c r="AVL21" s="2867"/>
      <c r="AVM21" s="2866"/>
      <c r="AVN21" s="2827"/>
      <c r="AVO21" s="2867"/>
      <c r="AVP21" s="2866"/>
      <c r="AVQ21" s="2827"/>
      <c r="AVR21" s="2867"/>
      <c r="AVS21" s="2866"/>
      <c r="AVT21" s="2827"/>
      <c r="AVU21" s="2867"/>
      <c r="AVV21" s="2866"/>
      <c r="AVW21" s="2827"/>
      <c r="AVX21" s="2867"/>
      <c r="AVY21" s="2866"/>
      <c r="AVZ21" s="2827"/>
      <c r="AWA21" s="2867"/>
      <c r="AWB21" s="2866"/>
      <c r="AWC21" s="2827"/>
      <c r="AWD21" s="2867"/>
      <c r="AWE21" s="2866"/>
      <c r="AWF21" s="2827"/>
      <c r="AWG21" s="2867"/>
      <c r="AWH21" s="2866"/>
      <c r="AWI21" s="2827"/>
      <c r="AWJ21" s="2867"/>
      <c r="AWK21" s="2866"/>
      <c r="AWL21" s="2827"/>
      <c r="AWM21" s="2867"/>
      <c r="AWN21" s="2866"/>
      <c r="AWO21" s="2827"/>
      <c r="AWP21" s="2867"/>
      <c r="AWQ21" s="2866"/>
      <c r="AWR21" s="2827"/>
      <c r="AWS21" s="2867"/>
      <c r="AWT21" s="2866"/>
      <c r="AWU21" s="2827"/>
      <c r="AWV21" s="2867"/>
      <c r="AWW21" s="2866"/>
      <c r="AWX21" s="2827"/>
      <c r="AWY21" s="2867"/>
      <c r="AWZ21" s="2866"/>
      <c r="AXA21" s="2827"/>
      <c r="AXB21" s="2867"/>
      <c r="AXC21" s="2866"/>
      <c r="AXD21" s="2827"/>
      <c r="AXE21" s="2867"/>
      <c r="AXF21" s="2866"/>
      <c r="AXG21" s="2827"/>
      <c r="AXH21" s="2867"/>
      <c r="AXI21" s="2866"/>
      <c r="AXJ21" s="2827"/>
      <c r="AXK21" s="2867"/>
      <c r="AXL21" s="2866"/>
      <c r="AXM21" s="2827"/>
      <c r="AXN21" s="2867"/>
      <c r="AXO21" s="2866"/>
      <c r="AXP21" s="2827"/>
      <c r="AXQ21" s="2867"/>
      <c r="AXR21" s="2866"/>
      <c r="AXS21" s="2827"/>
      <c r="AXT21" s="2867"/>
      <c r="AXU21" s="2866"/>
      <c r="AXV21" s="2827"/>
      <c r="AXW21" s="2867"/>
      <c r="AXX21" s="2866"/>
      <c r="AXY21" s="2827"/>
      <c r="AXZ21" s="2867"/>
      <c r="AYA21" s="2866"/>
      <c r="AYB21" s="2827"/>
      <c r="AYC21" s="2867"/>
      <c r="AYD21" s="2866"/>
      <c r="AYE21" s="2827"/>
      <c r="AYF21" s="2867"/>
      <c r="AYG21" s="2866"/>
      <c r="AYH21" s="2827"/>
      <c r="AYI21" s="2867"/>
      <c r="AYJ21" s="2866"/>
      <c r="AYK21" s="2827"/>
      <c r="AYL21" s="2867"/>
      <c r="AYM21" s="2866"/>
      <c r="AYN21" s="2827"/>
      <c r="AYO21" s="2867"/>
      <c r="AYP21" s="2866"/>
      <c r="AYQ21" s="2827"/>
      <c r="AYR21" s="2867"/>
      <c r="AYS21" s="2866"/>
      <c r="AYT21" s="2827"/>
      <c r="AYU21" s="2867"/>
      <c r="AYV21" s="2866"/>
      <c r="AYW21" s="2827"/>
      <c r="AYX21" s="2867"/>
      <c r="AYY21" s="2866"/>
      <c r="AYZ21" s="2827"/>
      <c r="AZA21" s="2867"/>
      <c r="AZB21" s="2866"/>
      <c r="AZC21" s="2827"/>
      <c r="AZD21" s="2867"/>
      <c r="AZE21" s="2866"/>
      <c r="AZF21" s="2827"/>
      <c r="AZG21" s="2867"/>
      <c r="AZH21" s="2866"/>
      <c r="AZI21" s="2827"/>
      <c r="AZJ21" s="2867"/>
      <c r="AZK21" s="2866"/>
      <c r="AZL21" s="2827"/>
      <c r="AZM21" s="2867"/>
      <c r="AZN21" s="2866"/>
      <c r="AZO21" s="2827"/>
      <c r="AZP21" s="2867"/>
      <c r="AZQ21" s="2866"/>
      <c r="AZR21" s="2827"/>
      <c r="AZS21" s="2867"/>
      <c r="AZT21" s="2866"/>
      <c r="AZU21" s="2827"/>
      <c r="AZV21" s="2867"/>
      <c r="AZW21" s="2866"/>
      <c r="AZX21" s="2827"/>
      <c r="AZY21" s="2867"/>
      <c r="AZZ21" s="2866"/>
      <c r="BAA21" s="2827"/>
      <c r="BAB21" s="2867"/>
      <c r="BAC21" s="2866"/>
      <c r="BAD21" s="2827"/>
      <c r="BAE21" s="2867"/>
      <c r="BAF21" s="2866"/>
      <c r="BAG21" s="2827"/>
      <c r="BAH21" s="2867"/>
      <c r="BAI21" s="2866"/>
      <c r="BAJ21" s="2827"/>
      <c r="BAK21" s="2867"/>
      <c r="BAL21" s="2866"/>
      <c r="BAM21" s="2827"/>
      <c r="BAN21" s="2867"/>
      <c r="BAO21" s="2866"/>
      <c r="BAP21" s="2827"/>
      <c r="BAQ21" s="2867"/>
      <c r="BAR21" s="2866"/>
      <c r="BAS21" s="2827"/>
      <c r="BAT21" s="2867"/>
      <c r="BAU21" s="2866"/>
      <c r="BAV21" s="2827"/>
      <c r="BAW21" s="2867"/>
      <c r="BAX21" s="2866"/>
      <c r="BAY21" s="2827"/>
      <c r="BAZ21" s="2867"/>
      <c r="BBA21" s="2866"/>
      <c r="BBB21" s="2827"/>
      <c r="BBC21" s="2867"/>
      <c r="BBD21" s="2866"/>
      <c r="BBE21" s="2827"/>
      <c r="BBF21" s="2867"/>
      <c r="BBG21" s="2866"/>
      <c r="BBH21" s="2827"/>
      <c r="BBI21" s="2867"/>
      <c r="BBJ21" s="2866"/>
      <c r="BBK21" s="2827"/>
      <c r="BBL21" s="2867"/>
      <c r="BBM21" s="2866"/>
      <c r="BBN21" s="2827"/>
      <c r="BBO21" s="2867"/>
      <c r="BBP21" s="2866"/>
      <c r="BBQ21" s="2827"/>
      <c r="BBR21" s="2867"/>
      <c r="BBS21" s="2866"/>
      <c r="BBT21" s="2827"/>
      <c r="BBU21" s="2867"/>
      <c r="BBV21" s="2866"/>
      <c r="BBW21" s="2827"/>
      <c r="BBX21" s="2867"/>
      <c r="BBY21" s="2866"/>
      <c r="BBZ21" s="2827"/>
      <c r="BCA21" s="2867"/>
      <c r="BCB21" s="2866"/>
      <c r="BCC21" s="2827"/>
      <c r="BCD21" s="2867"/>
      <c r="BCE21" s="2866"/>
      <c r="BCF21" s="2827"/>
      <c r="BCG21" s="2867"/>
      <c r="BCH21" s="2866"/>
      <c r="BCI21" s="2827"/>
      <c r="BCJ21" s="2867"/>
      <c r="BCK21" s="2866"/>
      <c r="BCL21" s="2827"/>
      <c r="BCM21" s="2867"/>
      <c r="BCN21" s="2866"/>
      <c r="BCO21" s="2827"/>
      <c r="BCP21" s="2867"/>
      <c r="BCQ21" s="2866"/>
      <c r="BCR21" s="2827"/>
      <c r="BCS21" s="2867"/>
      <c r="BCT21" s="2866"/>
      <c r="BCU21" s="2827"/>
      <c r="BCV21" s="2867"/>
      <c r="BCW21" s="2866"/>
      <c r="BCX21" s="2827"/>
      <c r="BCY21" s="2867"/>
      <c r="BCZ21" s="2866"/>
      <c r="BDA21" s="2827"/>
      <c r="BDB21" s="2867"/>
      <c r="BDC21" s="2866"/>
      <c r="BDD21" s="2827"/>
      <c r="BDE21" s="2867"/>
      <c r="BDF21" s="2866"/>
      <c r="BDG21" s="2827"/>
      <c r="BDH21" s="2867"/>
      <c r="BDI21" s="2866"/>
      <c r="BDJ21" s="2827"/>
      <c r="BDK21" s="2867"/>
      <c r="BDL21" s="2866"/>
      <c r="BDM21" s="2827"/>
      <c r="BDN21" s="2867"/>
      <c r="BDO21" s="2866"/>
      <c r="BDP21" s="2827"/>
      <c r="BDQ21" s="2867"/>
      <c r="BDR21" s="2866"/>
      <c r="BDS21" s="2827"/>
      <c r="BDT21" s="2867"/>
      <c r="BDU21" s="2866"/>
      <c r="BDV21" s="2827"/>
      <c r="BDW21" s="2867"/>
      <c r="BDX21" s="2866"/>
      <c r="BDY21" s="2827"/>
      <c r="BDZ21" s="2867"/>
      <c r="BEA21" s="2866"/>
      <c r="BEB21" s="2827"/>
      <c r="BEC21" s="2867"/>
      <c r="BED21" s="2866"/>
      <c r="BEE21" s="2827"/>
      <c r="BEF21" s="2867"/>
      <c r="BEG21" s="2866"/>
      <c r="BEH21" s="2827"/>
      <c r="BEI21" s="2867"/>
      <c r="BEJ21" s="2866"/>
      <c r="BEK21" s="2827"/>
      <c r="BEL21" s="2867"/>
      <c r="BEM21" s="2866"/>
      <c r="BEN21" s="2827"/>
      <c r="BEO21" s="2867"/>
      <c r="BEP21" s="2866"/>
      <c r="BEQ21" s="2827"/>
      <c r="BER21" s="2867"/>
      <c r="BES21" s="2866"/>
      <c r="BET21" s="2827"/>
      <c r="BEU21" s="2867"/>
      <c r="BEV21" s="2866"/>
      <c r="BEW21" s="2827"/>
      <c r="BEX21" s="2867"/>
      <c r="BEY21" s="2866"/>
      <c r="BEZ21" s="2827"/>
      <c r="BFA21" s="2867"/>
      <c r="BFB21" s="2866"/>
      <c r="BFC21" s="2827"/>
      <c r="BFD21" s="2867"/>
      <c r="BFE21" s="2866"/>
      <c r="BFF21" s="2827"/>
      <c r="BFG21" s="2867"/>
      <c r="BFH21" s="2866"/>
      <c r="BFI21" s="2827"/>
      <c r="BFJ21" s="2867"/>
      <c r="BFK21" s="2866"/>
      <c r="BFL21" s="2827"/>
      <c r="BFM21" s="2867"/>
      <c r="BFN21" s="2866"/>
      <c r="BFO21" s="2827"/>
      <c r="BFP21" s="2867"/>
      <c r="BFQ21" s="2866"/>
      <c r="BFR21" s="2827"/>
      <c r="BFS21" s="2867"/>
      <c r="BFT21" s="2866"/>
      <c r="BFU21" s="2827"/>
      <c r="BFV21" s="2867"/>
      <c r="BFW21" s="2866"/>
      <c r="BFX21" s="2827"/>
      <c r="BFY21" s="2867"/>
      <c r="BFZ21" s="2866"/>
      <c r="BGA21" s="2827"/>
      <c r="BGB21" s="2867"/>
      <c r="BGC21" s="2866"/>
      <c r="BGD21" s="2827"/>
      <c r="BGE21" s="2867"/>
      <c r="BGF21" s="2866"/>
      <c r="BGG21" s="2827"/>
      <c r="BGH21" s="2867"/>
      <c r="BGI21" s="2866"/>
      <c r="BGJ21" s="2827"/>
      <c r="BGK21" s="2867"/>
      <c r="BGL21" s="2866"/>
      <c r="BGM21" s="2827"/>
      <c r="BGN21" s="2867"/>
      <c r="BGO21" s="2866"/>
      <c r="BGP21" s="2827"/>
      <c r="BGQ21" s="2867"/>
      <c r="BGR21" s="2866"/>
      <c r="BGS21" s="2827"/>
      <c r="BGT21" s="2867"/>
      <c r="BGU21" s="2866"/>
      <c r="BGV21" s="2827"/>
      <c r="BGW21" s="2867"/>
      <c r="BGX21" s="2866"/>
      <c r="BGY21" s="2827"/>
      <c r="BGZ21" s="2867"/>
      <c r="BHA21" s="2866"/>
      <c r="BHB21" s="2827"/>
      <c r="BHC21" s="2867"/>
      <c r="BHD21" s="2866"/>
      <c r="BHE21" s="2827"/>
      <c r="BHF21" s="2867"/>
      <c r="BHG21" s="2866"/>
      <c r="BHH21" s="2827"/>
      <c r="BHI21" s="2867"/>
      <c r="BHJ21" s="2866"/>
      <c r="BHK21" s="2827"/>
      <c r="BHL21" s="2867"/>
      <c r="BHM21" s="2866"/>
      <c r="BHN21" s="2827"/>
      <c r="BHO21" s="2867"/>
      <c r="BHP21" s="2866"/>
      <c r="BHQ21" s="2827"/>
      <c r="BHR21" s="2867"/>
      <c r="BHS21" s="2866"/>
      <c r="BHT21" s="2827"/>
      <c r="BHU21" s="2867"/>
      <c r="BHV21" s="2866"/>
      <c r="BHW21" s="2827"/>
      <c r="BHX21" s="2867"/>
      <c r="BHY21" s="2866"/>
      <c r="BHZ21" s="2827"/>
      <c r="BIA21" s="2867"/>
      <c r="BIB21" s="2866"/>
      <c r="BIC21" s="2827"/>
      <c r="BID21" s="2867"/>
      <c r="BIE21" s="2866"/>
      <c r="BIF21" s="2827"/>
      <c r="BIG21" s="2867"/>
      <c r="BIH21" s="2866"/>
      <c r="BII21" s="2827"/>
      <c r="BIJ21" s="2867"/>
      <c r="BIK21" s="2866"/>
      <c r="BIL21" s="2827"/>
      <c r="BIM21" s="2867"/>
      <c r="BIN21" s="2866"/>
      <c r="BIO21" s="2827"/>
      <c r="BIP21" s="2867"/>
      <c r="BIQ21" s="2866"/>
      <c r="BIR21" s="2827"/>
      <c r="BIS21" s="2867"/>
      <c r="BIT21" s="2866"/>
      <c r="BIU21" s="2827"/>
      <c r="BIV21" s="2867"/>
      <c r="BIW21" s="2866"/>
      <c r="BIX21" s="2827"/>
      <c r="BIY21" s="2867"/>
      <c r="BIZ21" s="2866"/>
      <c r="BJA21" s="2827"/>
      <c r="BJB21" s="2867"/>
      <c r="BJC21" s="2866"/>
      <c r="BJD21" s="2827"/>
      <c r="BJE21" s="2867"/>
      <c r="BJF21" s="2866"/>
      <c r="BJG21" s="2827"/>
      <c r="BJH21" s="2867"/>
      <c r="BJI21" s="2866"/>
      <c r="BJJ21" s="2827"/>
      <c r="BJK21" s="2867"/>
      <c r="BJL21" s="2866"/>
      <c r="BJM21" s="2827"/>
      <c r="BJN21" s="2867"/>
      <c r="BJO21" s="2866"/>
      <c r="BJP21" s="2827"/>
      <c r="BJQ21" s="2867"/>
      <c r="BJR21" s="2866"/>
      <c r="BJS21" s="2827"/>
      <c r="BJT21" s="2867"/>
      <c r="BJU21" s="2866"/>
      <c r="BJV21" s="2827"/>
      <c r="BJW21" s="2867"/>
      <c r="BJX21" s="2866"/>
      <c r="BJY21" s="2827"/>
      <c r="BJZ21" s="2867"/>
      <c r="BKA21" s="2866"/>
      <c r="BKB21" s="2827"/>
      <c r="BKC21" s="2867"/>
      <c r="BKD21" s="2866"/>
      <c r="BKE21" s="2827"/>
      <c r="BKF21" s="2867"/>
      <c r="BKG21" s="2866"/>
      <c r="BKH21" s="2827"/>
      <c r="BKI21" s="2867"/>
      <c r="BKJ21" s="2866"/>
      <c r="BKK21" s="2827"/>
      <c r="BKL21" s="2867"/>
      <c r="BKM21" s="2866"/>
      <c r="BKN21" s="2827"/>
      <c r="BKO21" s="2867"/>
      <c r="BKP21" s="2866"/>
      <c r="BKQ21" s="2827"/>
      <c r="BKR21" s="2867"/>
      <c r="BKS21" s="2866"/>
      <c r="BKT21" s="2827"/>
      <c r="BKU21" s="2867"/>
      <c r="BKV21" s="2866"/>
      <c r="BKW21" s="2827"/>
      <c r="BKX21" s="2867"/>
      <c r="BKY21" s="2866"/>
      <c r="BKZ21" s="2827"/>
      <c r="BLA21" s="2867"/>
      <c r="BLB21" s="2866"/>
      <c r="BLC21" s="2827"/>
      <c r="BLD21" s="2867"/>
      <c r="BLE21" s="2866"/>
      <c r="BLF21" s="2827"/>
      <c r="BLG21" s="2867"/>
      <c r="BLH21" s="2866"/>
      <c r="BLI21" s="2827"/>
      <c r="BLJ21" s="2867"/>
      <c r="BLK21" s="2866"/>
      <c r="BLL21" s="2827"/>
      <c r="BLM21" s="2867"/>
      <c r="BLN21" s="2866"/>
      <c r="BLO21" s="2827"/>
      <c r="BLP21" s="2867"/>
      <c r="BLQ21" s="2866"/>
      <c r="BLR21" s="2827"/>
      <c r="BLS21" s="2867"/>
      <c r="BLT21" s="2866"/>
      <c r="BLU21" s="2827"/>
      <c r="BLV21" s="2867"/>
      <c r="BLW21" s="2866"/>
      <c r="BLX21" s="2827"/>
      <c r="BLY21" s="2867"/>
      <c r="BLZ21" s="2866"/>
      <c r="BMA21" s="2827"/>
      <c r="BMB21" s="2867"/>
      <c r="BMC21" s="2866"/>
      <c r="BMD21" s="2827"/>
      <c r="BME21" s="2867"/>
      <c r="BMF21" s="2866"/>
      <c r="BMG21" s="2827"/>
      <c r="BMH21" s="2867"/>
      <c r="BMI21" s="2866"/>
      <c r="BMJ21" s="2827"/>
      <c r="BMK21" s="2867"/>
      <c r="BML21" s="2866"/>
      <c r="BMM21" s="2827"/>
      <c r="BMN21" s="2867"/>
      <c r="BMO21" s="2866"/>
      <c r="BMP21" s="2827"/>
      <c r="BMQ21" s="2867"/>
      <c r="BMR21" s="2866"/>
      <c r="BMS21" s="2827"/>
      <c r="BMT21" s="2867"/>
      <c r="BMU21" s="2866"/>
      <c r="BMV21" s="2827"/>
      <c r="BMW21" s="2867"/>
      <c r="BMX21" s="2866"/>
      <c r="BMY21" s="2827"/>
      <c r="BMZ21" s="2867"/>
      <c r="BNA21" s="2866"/>
      <c r="BNB21" s="2827"/>
      <c r="BNC21" s="2867"/>
      <c r="BND21" s="2866"/>
      <c r="BNE21" s="2827"/>
      <c r="BNF21" s="2867"/>
      <c r="BNG21" s="2866"/>
      <c r="BNH21" s="2827"/>
      <c r="BNI21" s="2867"/>
      <c r="BNJ21" s="2866"/>
      <c r="BNK21" s="2827"/>
      <c r="BNL21" s="2867"/>
      <c r="BNM21" s="2866"/>
      <c r="BNN21" s="2827"/>
      <c r="BNO21" s="2867"/>
      <c r="BNP21" s="2866"/>
      <c r="BNQ21" s="2827"/>
      <c r="BNR21" s="2867"/>
      <c r="BNS21" s="2866"/>
      <c r="BNT21" s="2827"/>
      <c r="BNU21" s="2867"/>
      <c r="BNV21" s="2866"/>
      <c r="BNW21" s="2827"/>
      <c r="BNX21" s="2867"/>
      <c r="BNY21" s="2866"/>
      <c r="BNZ21" s="2827"/>
      <c r="BOA21" s="2867"/>
      <c r="BOB21" s="2866"/>
      <c r="BOC21" s="2827"/>
      <c r="BOD21" s="2867"/>
      <c r="BOE21" s="2866"/>
      <c r="BOF21" s="2827"/>
      <c r="BOG21" s="2867"/>
      <c r="BOH21" s="2866"/>
      <c r="BOI21" s="2827"/>
      <c r="BOJ21" s="2867"/>
      <c r="BOK21" s="2866"/>
      <c r="BOL21" s="2827"/>
      <c r="BOM21" s="2867"/>
      <c r="BON21" s="2866"/>
      <c r="BOO21" s="2827"/>
      <c r="BOP21" s="2867"/>
      <c r="BOQ21" s="2866"/>
      <c r="BOR21" s="2827"/>
      <c r="BOS21" s="2867"/>
      <c r="BOT21" s="2866"/>
      <c r="BOU21" s="2827"/>
      <c r="BOV21" s="2867"/>
      <c r="BOW21" s="2866"/>
      <c r="BOX21" s="2827"/>
      <c r="BOY21" s="2867"/>
      <c r="BOZ21" s="2866"/>
      <c r="BPA21" s="2827"/>
      <c r="BPB21" s="2867"/>
      <c r="BPC21" s="2866"/>
      <c r="BPD21" s="2827"/>
      <c r="BPE21" s="2867"/>
      <c r="BPF21" s="2866"/>
      <c r="BPG21" s="2827"/>
      <c r="BPH21" s="2867"/>
      <c r="BPI21" s="2866"/>
      <c r="BPJ21" s="2827"/>
      <c r="BPK21" s="2867"/>
      <c r="BPL21" s="2866"/>
      <c r="BPM21" s="2827"/>
      <c r="BPN21" s="2867"/>
      <c r="BPO21" s="2866"/>
      <c r="BPP21" s="2827"/>
      <c r="BPQ21" s="2867"/>
      <c r="BPR21" s="2866"/>
      <c r="BPS21" s="2827"/>
      <c r="BPT21" s="2867"/>
      <c r="BPU21" s="2866"/>
      <c r="BPV21" s="2827"/>
      <c r="BPW21" s="2867"/>
      <c r="BPX21" s="2866"/>
      <c r="BPY21" s="2827"/>
      <c r="BPZ21" s="2867"/>
      <c r="BQA21" s="2866"/>
      <c r="BQB21" s="2827"/>
      <c r="BQC21" s="2867"/>
      <c r="BQD21" s="2866"/>
      <c r="BQE21" s="2827"/>
      <c r="BQF21" s="2867"/>
      <c r="BQG21" s="2866"/>
      <c r="BQH21" s="2827"/>
      <c r="BQI21" s="2867"/>
      <c r="BQJ21" s="2866"/>
      <c r="BQK21" s="2827"/>
      <c r="BQL21" s="2867"/>
      <c r="BQM21" s="2866"/>
      <c r="BQN21" s="2827"/>
      <c r="BQO21" s="2867"/>
      <c r="BQP21" s="2866"/>
      <c r="BQQ21" s="2827"/>
      <c r="BQR21" s="2867"/>
      <c r="BQS21" s="2866"/>
      <c r="BQT21" s="2827"/>
      <c r="BQU21" s="2867"/>
      <c r="BQV21" s="2866"/>
      <c r="BQW21" s="2827"/>
      <c r="BQX21" s="2867"/>
      <c r="BQY21" s="2866"/>
      <c r="BQZ21" s="2827"/>
      <c r="BRA21" s="2867"/>
      <c r="BRB21" s="2866"/>
      <c r="BRC21" s="2827"/>
      <c r="BRD21" s="2867"/>
      <c r="BRE21" s="2866"/>
      <c r="BRF21" s="2827"/>
      <c r="BRG21" s="2867"/>
      <c r="BRH21" s="2866"/>
      <c r="BRI21" s="2827"/>
      <c r="BRJ21" s="2867"/>
      <c r="BRK21" s="2866"/>
      <c r="BRL21" s="2827"/>
      <c r="BRM21" s="2867"/>
      <c r="BRN21" s="2866"/>
      <c r="BRO21" s="2827"/>
      <c r="BRP21" s="2867"/>
      <c r="BRQ21" s="2866"/>
      <c r="BRR21" s="2827"/>
      <c r="BRS21" s="2867"/>
      <c r="BRT21" s="2866"/>
      <c r="BRU21" s="2827"/>
      <c r="BRV21" s="2867"/>
      <c r="BRW21" s="2866"/>
      <c r="BRX21" s="2827"/>
      <c r="BRY21" s="2867"/>
      <c r="BRZ21" s="2866"/>
      <c r="BSA21" s="2827"/>
      <c r="BSB21" s="2867"/>
      <c r="BSC21" s="2866"/>
      <c r="BSD21" s="2827"/>
      <c r="BSE21" s="2867"/>
      <c r="BSF21" s="2866"/>
      <c r="BSG21" s="2827"/>
      <c r="BSH21" s="2867"/>
      <c r="BSI21" s="2866"/>
      <c r="BSJ21" s="2827"/>
      <c r="BSK21" s="2867"/>
      <c r="BSL21" s="2866"/>
      <c r="BSM21" s="2827"/>
      <c r="BSN21" s="2867"/>
      <c r="BSO21" s="2866"/>
      <c r="BSP21" s="2827"/>
      <c r="BSQ21" s="2867"/>
      <c r="BSR21" s="2866"/>
      <c r="BSS21" s="2827"/>
      <c r="BST21" s="2867"/>
      <c r="BSU21" s="2866"/>
      <c r="BSV21" s="2827"/>
      <c r="BSW21" s="2867"/>
      <c r="BSX21" s="2866"/>
      <c r="BSY21" s="2827"/>
      <c r="BSZ21" s="2867"/>
      <c r="BTA21" s="2866"/>
      <c r="BTB21" s="2827"/>
      <c r="BTC21" s="2867"/>
      <c r="BTD21" s="2866"/>
      <c r="BTE21" s="2827"/>
      <c r="BTF21" s="2867"/>
      <c r="BTG21" s="2866"/>
      <c r="BTH21" s="2827"/>
      <c r="BTI21" s="2867"/>
      <c r="BTJ21" s="2866"/>
      <c r="BTK21" s="2827"/>
      <c r="BTL21" s="2867"/>
      <c r="BTM21" s="2866"/>
      <c r="BTN21" s="2827"/>
      <c r="BTO21" s="2867"/>
      <c r="BTP21" s="2866"/>
      <c r="BTQ21" s="2827"/>
      <c r="BTR21" s="2867"/>
      <c r="BTS21" s="2866"/>
      <c r="BTT21" s="2827"/>
      <c r="BTU21" s="2867"/>
      <c r="BTV21" s="2866"/>
      <c r="BTW21" s="2827"/>
      <c r="BTX21" s="2867"/>
      <c r="BTY21" s="2866"/>
      <c r="BTZ21" s="2827"/>
      <c r="BUA21" s="2867"/>
      <c r="BUB21" s="2866"/>
      <c r="BUC21" s="2827"/>
      <c r="BUD21" s="2867"/>
      <c r="BUE21" s="2866"/>
      <c r="BUF21" s="2827"/>
      <c r="BUG21" s="2867"/>
      <c r="BUH21" s="2866"/>
      <c r="BUI21" s="2827"/>
      <c r="BUJ21" s="2867"/>
      <c r="BUK21" s="2866"/>
      <c r="BUL21" s="2827"/>
      <c r="BUM21" s="2867"/>
      <c r="BUN21" s="2866"/>
      <c r="BUO21" s="2827"/>
      <c r="BUP21" s="2867"/>
      <c r="BUQ21" s="2866"/>
      <c r="BUR21" s="2827"/>
      <c r="BUS21" s="2867"/>
      <c r="BUT21" s="2866"/>
      <c r="BUU21" s="2827"/>
      <c r="BUV21" s="2867"/>
      <c r="BUW21" s="2866"/>
      <c r="BUX21" s="2827"/>
      <c r="BUY21" s="2867"/>
      <c r="BUZ21" s="2866"/>
      <c r="BVA21" s="2827"/>
      <c r="BVB21" s="2867"/>
      <c r="BVC21" s="2866"/>
      <c r="BVD21" s="2827"/>
      <c r="BVE21" s="2867"/>
      <c r="BVF21" s="2866"/>
      <c r="BVG21" s="2827"/>
      <c r="BVH21" s="2867"/>
      <c r="BVI21" s="2866"/>
      <c r="BVJ21" s="2827"/>
      <c r="BVK21" s="2867"/>
      <c r="BVL21" s="2866"/>
      <c r="BVM21" s="2827"/>
      <c r="BVN21" s="2867"/>
      <c r="BVO21" s="2866"/>
      <c r="BVP21" s="2827"/>
      <c r="BVQ21" s="2867"/>
      <c r="BVR21" s="2866"/>
      <c r="BVS21" s="2827"/>
      <c r="BVT21" s="2867"/>
      <c r="BVU21" s="2866"/>
      <c r="BVV21" s="2827"/>
      <c r="BVW21" s="2867"/>
      <c r="BVX21" s="2866"/>
      <c r="BVY21" s="2827"/>
      <c r="BVZ21" s="2867"/>
      <c r="BWA21" s="2866"/>
      <c r="BWB21" s="2827"/>
      <c r="BWC21" s="2867"/>
      <c r="BWD21" s="2866"/>
      <c r="BWE21" s="2827"/>
      <c r="BWF21" s="2867"/>
      <c r="BWG21" s="2866"/>
      <c r="BWH21" s="2827"/>
      <c r="BWI21" s="2867"/>
      <c r="BWJ21" s="2866"/>
      <c r="BWK21" s="2827"/>
      <c r="BWL21" s="2867"/>
      <c r="BWM21" s="2866"/>
      <c r="BWN21" s="2827"/>
      <c r="BWO21" s="2867"/>
      <c r="BWP21" s="2866"/>
      <c r="BWQ21" s="2827"/>
      <c r="BWR21" s="2867"/>
      <c r="BWS21" s="2866"/>
      <c r="BWT21" s="2827"/>
      <c r="BWU21" s="2867"/>
      <c r="BWV21" s="2866"/>
      <c r="BWW21" s="2827"/>
      <c r="BWX21" s="2867"/>
      <c r="BWY21" s="2866"/>
      <c r="BWZ21" s="2827"/>
      <c r="BXA21" s="2867"/>
      <c r="BXB21" s="2866"/>
      <c r="BXC21" s="2827"/>
      <c r="BXD21" s="2867"/>
      <c r="BXE21" s="2866"/>
      <c r="BXF21" s="2827"/>
      <c r="BXG21" s="2867"/>
      <c r="BXH21" s="2866"/>
      <c r="BXI21" s="2827"/>
      <c r="BXJ21" s="2867"/>
      <c r="BXK21" s="2866"/>
      <c r="BXL21" s="2827"/>
      <c r="BXM21" s="2867"/>
      <c r="BXN21" s="2866"/>
      <c r="BXO21" s="2827"/>
      <c r="BXP21" s="2867"/>
      <c r="BXQ21" s="2866"/>
      <c r="BXR21" s="2827"/>
      <c r="BXS21" s="2867"/>
      <c r="BXT21" s="2866"/>
      <c r="BXU21" s="2827"/>
      <c r="BXV21" s="2867"/>
      <c r="BXW21" s="2866"/>
      <c r="BXX21" s="2827"/>
      <c r="BXY21" s="2867"/>
      <c r="BXZ21" s="2866"/>
      <c r="BYA21" s="2827"/>
      <c r="BYB21" s="2867"/>
      <c r="BYC21" s="2866"/>
      <c r="BYD21" s="2827"/>
      <c r="BYE21" s="2867"/>
      <c r="BYF21" s="2866"/>
      <c r="BYG21" s="2827"/>
      <c r="BYH21" s="2867"/>
      <c r="BYI21" s="2866"/>
      <c r="BYJ21" s="2827"/>
      <c r="BYK21" s="2867"/>
      <c r="BYL21" s="2866"/>
      <c r="BYM21" s="2827"/>
      <c r="BYN21" s="2867"/>
      <c r="BYO21" s="2866"/>
      <c r="BYP21" s="2827"/>
      <c r="BYQ21" s="2867"/>
      <c r="BYR21" s="2866"/>
      <c r="BYS21" s="2827"/>
      <c r="BYT21" s="2867"/>
      <c r="BYU21" s="2866"/>
      <c r="BYV21" s="2827"/>
      <c r="BYW21" s="2867"/>
      <c r="BYX21" s="2866"/>
      <c r="BYY21" s="2827"/>
      <c r="BYZ21" s="2867"/>
      <c r="BZA21" s="2866"/>
      <c r="BZB21" s="2827"/>
      <c r="BZC21" s="2867"/>
      <c r="BZD21" s="2866"/>
      <c r="BZE21" s="2827"/>
      <c r="BZF21" s="2867"/>
      <c r="BZG21" s="2866"/>
      <c r="BZH21" s="2827"/>
      <c r="BZI21" s="2867"/>
      <c r="BZJ21" s="2866"/>
      <c r="BZK21" s="2827"/>
      <c r="BZL21" s="2867"/>
      <c r="BZM21" s="2866"/>
      <c r="BZN21" s="2827"/>
      <c r="BZO21" s="2867"/>
      <c r="BZP21" s="2866"/>
      <c r="BZQ21" s="2827"/>
      <c r="BZR21" s="2867"/>
      <c r="BZS21" s="2866"/>
      <c r="BZT21" s="2827"/>
      <c r="BZU21" s="2867"/>
      <c r="BZV21" s="2866"/>
      <c r="BZW21" s="2827"/>
      <c r="BZX21" s="2867"/>
      <c r="BZY21" s="2866"/>
      <c r="BZZ21" s="2827"/>
      <c r="CAA21" s="2867"/>
      <c r="CAB21" s="2866"/>
      <c r="CAC21" s="2827"/>
      <c r="CAD21" s="2867"/>
      <c r="CAE21" s="2866"/>
      <c r="CAF21" s="2827"/>
      <c r="CAG21" s="2867"/>
      <c r="CAH21" s="2866"/>
      <c r="CAI21" s="2827"/>
      <c r="CAJ21" s="2867"/>
      <c r="CAK21" s="2866"/>
      <c r="CAL21" s="2827"/>
      <c r="CAM21" s="2867"/>
      <c r="CAN21" s="2866"/>
      <c r="CAO21" s="2827"/>
      <c r="CAP21" s="2867"/>
      <c r="CAQ21" s="2866"/>
      <c r="CAR21" s="2827"/>
      <c r="CAS21" s="2867"/>
      <c r="CAT21" s="2866"/>
      <c r="CAU21" s="2827"/>
      <c r="CAV21" s="2867"/>
      <c r="CAW21" s="2866"/>
      <c r="CAX21" s="2827"/>
      <c r="CAY21" s="2867"/>
      <c r="CAZ21" s="2866"/>
      <c r="CBA21" s="2827"/>
      <c r="CBB21" s="2867"/>
      <c r="CBC21" s="2866"/>
      <c r="CBD21" s="2827"/>
      <c r="CBE21" s="2867"/>
      <c r="CBF21" s="2866"/>
      <c r="CBG21" s="2827"/>
      <c r="CBH21" s="2867"/>
      <c r="CBI21" s="2866"/>
      <c r="CBJ21" s="2827"/>
      <c r="CBK21" s="2867"/>
      <c r="CBL21" s="2866"/>
      <c r="CBM21" s="2827"/>
      <c r="CBN21" s="2867"/>
      <c r="CBO21" s="2866"/>
      <c r="CBP21" s="2827"/>
      <c r="CBQ21" s="2867"/>
      <c r="CBR21" s="2866"/>
      <c r="CBS21" s="2827"/>
      <c r="CBT21" s="2867"/>
      <c r="CBU21" s="2866"/>
      <c r="CBV21" s="2827"/>
      <c r="CBW21" s="2867"/>
      <c r="CBX21" s="2866"/>
      <c r="CBY21" s="2827"/>
      <c r="CBZ21" s="2867"/>
      <c r="CCA21" s="2866"/>
      <c r="CCB21" s="2827"/>
      <c r="CCC21" s="2867"/>
      <c r="CCD21" s="2866"/>
      <c r="CCE21" s="2827"/>
      <c r="CCF21" s="2867"/>
      <c r="CCG21" s="2866"/>
      <c r="CCH21" s="2827"/>
      <c r="CCI21" s="2867"/>
      <c r="CCJ21" s="2866"/>
      <c r="CCK21" s="2827"/>
      <c r="CCL21" s="2867"/>
      <c r="CCM21" s="2866"/>
      <c r="CCN21" s="2827"/>
      <c r="CCO21" s="2867"/>
      <c r="CCP21" s="2866"/>
      <c r="CCQ21" s="2827"/>
      <c r="CCR21" s="2867"/>
      <c r="CCS21" s="2866"/>
      <c r="CCT21" s="2827"/>
      <c r="CCU21" s="2867"/>
      <c r="CCV21" s="2866"/>
      <c r="CCW21" s="2827"/>
      <c r="CCX21" s="2867"/>
      <c r="CCY21" s="2866"/>
      <c r="CCZ21" s="2827"/>
      <c r="CDA21" s="2867"/>
      <c r="CDB21" s="2866"/>
      <c r="CDC21" s="2827"/>
      <c r="CDD21" s="2867"/>
      <c r="CDE21" s="2866"/>
      <c r="CDF21" s="2827"/>
      <c r="CDG21" s="2867"/>
      <c r="CDH21" s="2866"/>
      <c r="CDI21" s="2827"/>
      <c r="CDJ21" s="2867"/>
      <c r="CDK21" s="2866"/>
      <c r="CDL21" s="2827"/>
      <c r="CDM21" s="2867"/>
      <c r="CDN21" s="2866"/>
      <c r="CDO21" s="2827"/>
      <c r="CDP21" s="2867"/>
      <c r="CDQ21" s="2866"/>
      <c r="CDR21" s="2827"/>
      <c r="CDS21" s="2867"/>
      <c r="CDT21" s="2866"/>
      <c r="CDU21" s="2827"/>
      <c r="CDV21" s="2867"/>
      <c r="CDW21" s="2866"/>
      <c r="CDX21" s="2827"/>
      <c r="CDY21" s="2867"/>
      <c r="CDZ21" s="2866"/>
      <c r="CEA21" s="2827"/>
      <c r="CEB21" s="2867"/>
      <c r="CEC21" s="2866"/>
      <c r="CED21" s="2827"/>
      <c r="CEE21" s="2867"/>
      <c r="CEF21" s="2866"/>
      <c r="CEG21" s="2827"/>
      <c r="CEH21" s="2867"/>
      <c r="CEI21" s="2866"/>
      <c r="CEJ21" s="2827"/>
      <c r="CEK21" s="2867"/>
      <c r="CEL21" s="2866"/>
      <c r="CEM21" s="2827"/>
      <c r="CEN21" s="2867"/>
      <c r="CEO21" s="2866"/>
      <c r="CEP21" s="2827"/>
      <c r="CEQ21" s="2867"/>
      <c r="CER21" s="2866"/>
      <c r="CES21" s="2827"/>
      <c r="CET21" s="2867"/>
      <c r="CEU21" s="2866"/>
      <c r="CEV21" s="2827"/>
      <c r="CEW21" s="2867"/>
      <c r="CEX21" s="2866"/>
      <c r="CEY21" s="2827"/>
      <c r="CEZ21" s="2867"/>
      <c r="CFA21" s="2866"/>
      <c r="CFB21" s="2827"/>
      <c r="CFC21" s="2867"/>
      <c r="CFD21" s="2866"/>
      <c r="CFE21" s="2827"/>
      <c r="CFF21" s="2867"/>
      <c r="CFG21" s="2866"/>
      <c r="CFH21" s="2827"/>
      <c r="CFI21" s="2867"/>
      <c r="CFJ21" s="2866"/>
      <c r="CFK21" s="2827"/>
      <c r="CFL21" s="2867"/>
      <c r="CFM21" s="2866"/>
      <c r="CFN21" s="2827"/>
      <c r="CFO21" s="2867"/>
      <c r="CFP21" s="2866"/>
      <c r="CFQ21" s="2827"/>
      <c r="CFR21" s="2867"/>
      <c r="CFS21" s="2866"/>
      <c r="CFT21" s="2827"/>
      <c r="CFU21" s="2867"/>
      <c r="CFV21" s="2866"/>
      <c r="CFW21" s="2827"/>
      <c r="CFX21" s="2867"/>
      <c r="CFY21" s="2866"/>
      <c r="CFZ21" s="2827"/>
      <c r="CGA21" s="2867"/>
      <c r="CGB21" s="2866"/>
      <c r="CGC21" s="2827"/>
      <c r="CGD21" s="2867"/>
      <c r="CGE21" s="2866"/>
      <c r="CGF21" s="2827"/>
      <c r="CGG21" s="2867"/>
      <c r="CGH21" s="2866"/>
      <c r="CGI21" s="2827"/>
      <c r="CGJ21" s="2867"/>
      <c r="CGK21" s="2866"/>
      <c r="CGL21" s="2827"/>
      <c r="CGM21" s="2867"/>
      <c r="CGN21" s="2866"/>
      <c r="CGO21" s="2827"/>
      <c r="CGP21" s="2867"/>
      <c r="CGQ21" s="2866"/>
      <c r="CGR21" s="2827"/>
      <c r="CGS21" s="2867"/>
      <c r="CGT21" s="2866"/>
      <c r="CGU21" s="2827"/>
      <c r="CGV21" s="2867"/>
      <c r="CGW21" s="2866"/>
      <c r="CGX21" s="2827"/>
      <c r="CGY21" s="2867"/>
      <c r="CGZ21" s="2866"/>
      <c r="CHA21" s="2827"/>
      <c r="CHB21" s="2867"/>
      <c r="CHC21" s="2866"/>
      <c r="CHD21" s="2827"/>
      <c r="CHE21" s="2867"/>
      <c r="CHF21" s="2866"/>
      <c r="CHG21" s="2827"/>
      <c r="CHH21" s="2867"/>
      <c r="CHI21" s="2866"/>
      <c r="CHJ21" s="2827"/>
      <c r="CHK21" s="2867"/>
      <c r="CHL21" s="2866"/>
      <c r="CHM21" s="2827"/>
      <c r="CHN21" s="2867"/>
      <c r="CHO21" s="2866"/>
      <c r="CHP21" s="2827"/>
      <c r="CHQ21" s="2867"/>
      <c r="CHR21" s="2866"/>
      <c r="CHS21" s="2827"/>
      <c r="CHT21" s="2867"/>
      <c r="CHU21" s="2866"/>
      <c r="CHV21" s="2827"/>
      <c r="CHW21" s="2867"/>
      <c r="CHX21" s="2866"/>
      <c r="CHY21" s="2827"/>
      <c r="CHZ21" s="2867"/>
      <c r="CIA21" s="2866"/>
      <c r="CIB21" s="2827"/>
      <c r="CIC21" s="2867"/>
      <c r="CID21" s="2866"/>
      <c r="CIE21" s="2827"/>
      <c r="CIF21" s="2867"/>
      <c r="CIG21" s="2866"/>
      <c r="CIH21" s="2827"/>
      <c r="CII21" s="2867"/>
      <c r="CIJ21" s="2866"/>
      <c r="CIK21" s="2827"/>
      <c r="CIL21" s="2867"/>
      <c r="CIM21" s="2866"/>
      <c r="CIN21" s="2827"/>
      <c r="CIO21" s="2867"/>
      <c r="CIP21" s="2866"/>
      <c r="CIQ21" s="2827"/>
      <c r="CIR21" s="2867"/>
      <c r="CIS21" s="2866"/>
      <c r="CIT21" s="2827"/>
      <c r="CIU21" s="2867"/>
      <c r="CIV21" s="2866"/>
      <c r="CIW21" s="2827"/>
      <c r="CIX21" s="2867"/>
      <c r="CIY21" s="2866"/>
      <c r="CIZ21" s="2827"/>
      <c r="CJA21" s="2867"/>
      <c r="CJB21" s="2866"/>
      <c r="CJC21" s="2827"/>
      <c r="CJD21" s="2867"/>
      <c r="CJE21" s="2866"/>
      <c r="CJF21" s="2827"/>
      <c r="CJG21" s="2867"/>
      <c r="CJH21" s="2866"/>
      <c r="CJI21" s="2827"/>
      <c r="CJJ21" s="2867"/>
      <c r="CJK21" s="2866"/>
      <c r="CJL21" s="2827"/>
      <c r="CJM21" s="2867"/>
      <c r="CJN21" s="2866"/>
      <c r="CJO21" s="2827"/>
      <c r="CJP21" s="2867"/>
      <c r="CJQ21" s="2866"/>
      <c r="CJR21" s="2827"/>
      <c r="CJS21" s="2867"/>
      <c r="CJT21" s="2866"/>
      <c r="CJU21" s="2827"/>
      <c r="CJV21" s="2867"/>
      <c r="CJW21" s="2866"/>
      <c r="CJX21" s="2827"/>
      <c r="CJY21" s="2867"/>
      <c r="CJZ21" s="2866"/>
      <c r="CKA21" s="2827"/>
      <c r="CKB21" s="2867"/>
      <c r="CKC21" s="2866"/>
      <c r="CKD21" s="2827"/>
      <c r="CKE21" s="2867"/>
      <c r="CKF21" s="2866"/>
      <c r="CKG21" s="2827"/>
      <c r="CKH21" s="2867"/>
      <c r="CKI21" s="2866"/>
      <c r="CKJ21" s="2827"/>
      <c r="CKK21" s="2867"/>
      <c r="CKL21" s="2866"/>
      <c r="CKM21" s="2827"/>
      <c r="CKN21" s="2867"/>
      <c r="CKO21" s="2866"/>
      <c r="CKP21" s="2827"/>
      <c r="CKQ21" s="2867"/>
      <c r="CKR21" s="2866"/>
      <c r="CKS21" s="2827"/>
      <c r="CKT21" s="2867"/>
      <c r="CKU21" s="2866"/>
      <c r="CKV21" s="2827"/>
      <c r="CKW21" s="2867"/>
      <c r="CKX21" s="2866"/>
      <c r="CKY21" s="2827"/>
      <c r="CKZ21" s="2867"/>
      <c r="CLA21" s="2866"/>
      <c r="CLB21" s="2827"/>
      <c r="CLC21" s="2867"/>
      <c r="CLD21" s="2866"/>
      <c r="CLE21" s="2827"/>
      <c r="CLF21" s="2867"/>
      <c r="CLG21" s="2866"/>
      <c r="CLH21" s="2827"/>
      <c r="CLI21" s="2867"/>
      <c r="CLJ21" s="2866"/>
      <c r="CLK21" s="2827"/>
      <c r="CLL21" s="2867"/>
      <c r="CLM21" s="2866"/>
      <c r="CLN21" s="2827"/>
      <c r="CLO21" s="2867"/>
      <c r="CLP21" s="2866"/>
      <c r="CLQ21" s="2827"/>
      <c r="CLR21" s="2867"/>
      <c r="CLS21" s="2866"/>
      <c r="CLT21" s="2827"/>
      <c r="CLU21" s="2867"/>
      <c r="CLV21" s="2866"/>
      <c r="CLW21" s="2827"/>
      <c r="CLX21" s="2867"/>
      <c r="CLY21" s="2866"/>
      <c r="CLZ21" s="2827"/>
      <c r="CMA21" s="2867"/>
      <c r="CMB21" s="2866"/>
      <c r="CMC21" s="2827"/>
      <c r="CMD21" s="2867"/>
      <c r="CME21" s="2866"/>
      <c r="CMF21" s="2827"/>
      <c r="CMG21" s="2867"/>
      <c r="CMH21" s="2866"/>
      <c r="CMI21" s="2827"/>
      <c r="CMJ21" s="2867"/>
      <c r="CMK21" s="2866"/>
      <c r="CML21" s="2827"/>
      <c r="CMM21" s="2867"/>
      <c r="CMN21" s="2866"/>
      <c r="CMO21" s="2827"/>
      <c r="CMP21" s="2867"/>
      <c r="CMQ21" s="2866"/>
      <c r="CMR21" s="2827"/>
      <c r="CMS21" s="2867"/>
      <c r="CMT21" s="2866"/>
      <c r="CMU21" s="2827"/>
      <c r="CMV21" s="2867"/>
      <c r="CMW21" s="2866"/>
      <c r="CMX21" s="2827"/>
      <c r="CMY21" s="2867"/>
      <c r="CMZ21" s="2866"/>
      <c r="CNA21" s="2827"/>
      <c r="CNB21" s="2867"/>
      <c r="CNC21" s="2866"/>
      <c r="CND21" s="2827"/>
      <c r="CNE21" s="2867"/>
      <c r="CNF21" s="2866"/>
      <c r="CNG21" s="2827"/>
      <c r="CNH21" s="2867"/>
      <c r="CNI21" s="2866"/>
      <c r="CNJ21" s="2827"/>
      <c r="CNK21" s="2867"/>
      <c r="CNL21" s="2866"/>
      <c r="CNM21" s="2827"/>
      <c r="CNN21" s="2867"/>
      <c r="CNO21" s="2866"/>
      <c r="CNP21" s="2827"/>
      <c r="CNQ21" s="2867"/>
      <c r="CNR21" s="2866"/>
      <c r="CNS21" s="2827"/>
      <c r="CNT21" s="2867"/>
      <c r="CNU21" s="2866"/>
      <c r="CNV21" s="2827"/>
      <c r="CNW21" s="2867"/>
      <c r="CNX21" s="2866"/>
      <c r="CNY21" s="2827"/>
      <c r="CNZ21" s="2867"/>
      <c r="COA21" s="2866"/>
      <c r="COB21" s="2827"/>
      <c r="COC21" s="2867"/>
      <c r="COD21" s="2866"/>
      <c r="COE21" s="2827"/>
      <c r="COF21" s="2867"/>
      <c r="COG21" s="2866"/>
      <c r="COH21" s="2827"/>
      <c r="COI21" s="2867"/>
      <c r="COJ21" s="2866"/>
      <c r="COK21" s="2827"/>
      <c r="COL21" s="2867"/>
      <c r="COM21" s="2866"/>
      <c r="CON21" s="2827"/>
      <c r="COO21" s="2867"/>
      <c r="COP21" s="2866"/>
      <c r="COQ21" s="2827"/>
      <c r="COR21" s="2867"/>
      <c r="COS21" s="2866"/>
      <c r="COT21" s="2827"/>
      <c r="COU21" s="2867"/>
      <c r="COV21" s="2866"/>
      <c r="COW21" s="2827"/>
      <c r="COX21" s="2867"/>
      <c r="COY21" s="2866"/>
      <c r="COZ21" s="2827"/>
      <c r="CPA21" s="2867"/>
      <c r="CPB21" s="2866"/>
      <c r="CPC21" s="2827"/>
      <c r="CPD21" s="2867"/>
      <c r="CPE21" s="2866"/>
      <c r="CPF21" s="2827"/>
      <c r="CPG21" s="2867"/>
      <c r="CPH21" s="2866"/>
      <c r="CPI21" s="2827"/>
      <c r="CPJ21" s="2867"/>
      <c r="CPK21" s="2866"/>
      <c r="CPL21" s="2827"/>
      <c r="CPM21" s="2867"/>
      <c r="CPN21" s="2866"/>
      <c r="CPO21" s="2827"/>
      <c r="CPP21" s="2867"/>
      <c r="CPQ21" s="2866"/>
      <c r="CPR21" s="2827"/>
      <c r="CPS21" s="2867"/>
      <c r="CPT21" s="2866"/>
      <c r="CPU21" s="2827"/>
      <c r="CPV21" s="2867"/>
      <c r="CPW21" s="2866"/>
      <c r="CPX21" s="2827"/>
      <c r="CPY21" s="2867"/>
      <c r="CPZ21" s="2866"/>
      <c r="CQA21" s="2827"/>
      <c r="CQB21" s="2867"/>
      <c r="CQC21" s="2866"/>
      <c r="CQD21" s="2827"/>
      <c r="CQE21" s="2867"/>
      <c r="CQF21" s="2866"/>
      <c r="CQG21" s="2827"/>
      <c r="CQH21" s="2867"/>
      <c r="CQI21" s="2866"/>
      <c r="CQJ21" s="2827"/>
      <c r="CQK21" s="2867"/>
      <c r="CQL21" s="2866"/>
      <c r="CQM21" s="2827"/>
      <c r="CQN21" s="2867"/>
      <c r="CQO21" s="2866"/>
      <c r="CQP21" s="2827"/>
      <c r="CQQ21" s="2867"/>
      <c r="CQR21" s="2866"/>
      <c r="CQS21" s="2827"/>
      <c r="CQT21" s="2867"/>
      <c r="CQU21" s="2866"/>
      <c r="CQV21" s="2827"/>
      <c r="CQW21" s="2867"/>
      <c r="CQX21" s="2866"/>
      <c r="CQY21" s="2827"/>
      <c r="CQZ21" s="2867"/>
      <c r="CRA21" s="2866"/>
      <c r="CRB21" s="2827"/>
      <c r="CRC21" s="2867"/>
      <c r="CRD21" s="2866"/>
      <c r="CRE21" s="2827"/>
      <c r="CRF21" s="2867"/>
      <c r="CRG21" s="2866"/>
      <c r="CRH21" s="2827"/>
      <c r="CRI21" s="2867"/>
      <c r="CRJ21" s="2866"/>
      <c r="CRK21" s="2827"/>
      <c r="CRL21" s="2867"/>
      <c r="CRM21" s="2866"/>
      <c r="CRN21" s="2827"/>
      <c r="CRO21" s="2867"/>
      <c r="CRP21" s="2866"/>
      <c r="CRQ21" s="2827"/>
      <c r="CRR21" s="2867"/>
      <c r="CRS21" s="2866"/>
      <c r="CRT21" s="2827"/>
      <c r="CRU21" s="2867"/>
      <c r="CRV21" s="2866"/>
      <c r="CRW21" s="2827"/>
      <c r="CRX21" s="2867"/>
      <c r="CRY21" s="2866"/>
      <c r="CRZ21" s="2827"/>
      <c r="CSA21" s="2867"/>
      <c r="CSB21" s="2866"/>
      <c r="CSC21" s="2827"/>
      <c r="CSD21" s="2867"/>
      <c r="CSE21" s="2866"/>
      <c r="CSF21" s="2827"/>
      <c r="CSG21" s="2867"/>
      <c r="CSH21" s="2866"/>
      <c r="CSI21" s="2827"/>
      <c r="CSJ21" s="2867"/>
      <c r="CSK21" s="2866"/>
      <c r="CSL21" s="2827"/>
      <c r="CSM21" s="2867"/>
      <c r="CSN21" s="2866"/>
      <c r="CSO21" s="2827"/>
      <c r="CSP21" s="2867"/>
      <c r="CSQ21" s="2866"/>
      <c r="CSR21" s="2827"/>
      <c r="CSS21" s="2867"/>
      <c r="CST21" s="2866"/>
      <c r="CSU21" s="2827"/>
      <c r="CSV21" s="2867"/>
      <c r="CSW21" s="2866"/>
      <c r="CSX21" s="2827"/>
      <c r="CSY21" s="2867"/>
      <c r="CSZ21" s="2866"/>
      <c r="CTA21" s="2827"/>
      <c r="CTB21" s="2867"/>
      <c r="CTC21" s="2866"/>
      <c r="CTD21" s="2827"/>
      <c r="CTE21" s="2867"/>
      <c r="CTF21" s="2866"/>
      <c r="CTG21" s="2827"/>
      <c r="CTH21" s="2867"/>
      <c r="CTI21" s="2866"/>
      <c r="CTJ21" s="2827"/>
      <c r="CTK21" s="2867"/>
      <c r="CTL21" s="2866"/>
      <c r="CTM21" s="2827"/>
      <c r="CTN21" s="2867"/>
      <c r="CTO21" s="2866"/>
      <c r="CTP21" s="2827"/>
      <c r="CTQ21" s="2867"/>
      <c r="CTR21" s="2866"/>
      <c r="CTS21" s="2827"/>
      <c r="CTT21" s="2867"/>
      <c r="CTU21" s="2866"/>
      <c r="CTV21" s="2827"/>
      <c r="CTW21" s="2867"/>
      <c r="CTX21" s="2866"/>
      <c r="CTY21" s="2827"/>
      <c r="CTZ21" s="2867"/>
      <c r="CUA21" s="2866"/>
      <c r="CUB21" s="2827"/>
      <c r="CUC21" s="2867"/>
      <c r="CUD21" s="2866"/>
      <c r="CUE21" s="2827"/>
      <c r="CUF21" s="2867"/>
      <c r="CUG21" s="2866"/>
      <c r="CUH21" s="2827"/>
      <c r="CUI21" s="2867"/>
      <c r="CUJ21" s="2866"/>
      <c r="CUK21" s="2827"/>
      <c r="CUL21" s="2867"/>
      <c r="CUM21" s="2866"/>
      <c r="CUN21" s="2827"/>
      <c r="CUO21" s="2867"/>
      <c r="CUP21" s="2866"/>
      <c r="CUQ21" s="2827"/>
      <c r="CUR21" s="2867"/>
      <c r="CUS21" s="2866"/>
      <c r="CUT21" s="2827"/>
      <c r="CUU21" s="2867"/>
      <c r="CUV21" s="2866"/>
      <c r="CUW21" s="2827"/>
      <c r="CUX21" s="2867"/>
      <c r="CUY21" s="2866"/>
      <c r="CUZ21" s="2827"/>
      <c r="CVA21" s="2867"/>
      <c r="CVB21" s="2866"/>
      <c r="CVC21" s="2827"/>
      <c r="CVD21" s="2867"/>
      <c r="CVE21" s="2866"/>
      <c r="CVF21" s="2827"/>
      <c r="CVG21" s="2867"/>
      <c r="CVH21" s="2866"/>
      <c r="CVI21" s="2827"/>
      <c r="CVJ21" s="2867"/>
      <c r="CVK21" s="2866"/>
      <c r="CVL21" s="2827"/>
      <c r="CVM21" s="2867"/>
      <c r="CVN21" s="2866"/>
      <c r="CVO21" s="2827"/>
      <c r="CVP21" s="2867"/>
      <c r="CVQ21" s="2866"/>
      <c r="CVR21" s="2827"/>
      <c r="CVS21" s="2867"/>
      <c r="CVT21" s="2866"/>
      <c r="CVU21" s="2827"/>
      <c r="CVV21" s="2867"/>
      <c r="CVW21" s="2866"/>
      <c r="CVX21" s="2827"/>
      <c r="CVY21" s="2867"/>
      <c r="CVZ21" s="2866"/>
      <c r="CWA21" s="2827"/>
      <c r="CWB21" s="2867"/>
      <c r="CWC21" s="2866"/>
      <c r="CWD21" s="2827"/>
      <c r="CWE21" s="2867"/>
      <c r="CWF21" s="2866"/>
      <c r="CWG21" s="2827"/>
      <c r="CWH21" s="2867"/>
      <c r="CWI21" s="2866"/>
      <c r="CWJ21" s="2827"/>
      <c r="CWK21" s="2867"/>
      <c r="CWL21" s="2866"/>
      <c r="CWM21" s="2827"/>
      <c r="CWN21" s="2867"/>
      <c r="CWO21" s="2866"/>
      <c r="CWP21" s="2827"/>
      <c r="CWQ21" s="2867"/>
      <c r="CWR21" s="2866"/>
      <c r="CWS21" s="2827"/>
      <c r="CWT21" s="2867"/>
      <c r="CWU21" s="2866"/>
      <c r="CWV21" s="2827"/>
      <c r="CWW21" s="2867"/>
      <c r="CWX21" s="2866"/>
      <c r="CWY21" s="2827"/>
      <c r="CWZ21" s="2867"/>
      <c r="CXA21" s="2866"/>
      <c r="CXB21" s="2827"/>
      <c r="CXC21" s="2867"/>
      <c r="CXD21" s="2866"/>
      <c r="CXE21" s="2827"/>
      <c r="CXF21" s="2867"/>
      <c r="CXG21" s="2866"/>
      <c r="CXH21" s="2827"/>
      <c r="CXI21" s="2867"/>
      <c r="CXJ21" s="2866"/>
      <c r="CXK21" s="2827"/>
      <c r="CXL21" s="2867"/>
      <c r="CXM21" s="2866"/>
      <c r="CXN21" s="2827"/>
      <c r="CXO21" s="2867"/>
      <c r="CXP21" s="2866"/>
      <c r="CXQ21" s="2827"/>
      <c r="CXR21" s="2867"/>
      <c r="CXS21" s="2866"/>
      <c r="CXT21" s="2827"/>
      <c r="CXU21" s="2867"/>
      <c r="CXV21" s="2866"/>
      <c r="CXW21" s="2827"/>
      <c r="CXX21" s="2867"/>
      <c r="CXY21" s="2866"/>
      <c r="CXZ21" s="2827"/>
      <c r="CYA21" s="2867"/>
      <c r="CYB21" s="2866"/>
      <c r="CYC21" s="2827"/>
      <c r="CYD21" s="2867"/>
      <c r="CYE21" s="2866"/>
      <c r="CYF21" s="2827"/>
      <c r="CYG21" s="2867"/>
      <c r="CYH21" s="2866"/>
      <c r="CYI21" s="2827"/>
      <c r="CYJ21" s="2867"/>
      <c r="CYK21" s="2866"/>
      <c r="CYL21" s="2827"/>
      <c r="CYM21" s="2867"/>
      <c r="CYN21" s="2866"/>
      <c r="CYO21" s="2827"/>
      <c r="CYP21" s="2867"/>
      <c r="CYQ21" s="2866"/>
      <c r="CYR21" s="2827"/>
      <c r="CYS21" s="2867"/>
      <c r="CYT21" s="2866"/>
      <c r="CYU21" s="2827"/>
      <c r="CYV21" s="2867"/>
      <c r="CYW21" s="2866"/>
      <c r="CYX21" s="2827"/>
      <c r="CYY21" s="2867"/>
      <c r="CYZ21" s="2866"/>
      <c r="CZA21" s="2827"/>
      <c r="CZB21" s="2867"/>
      <c r="CZC21" s="2866"/>
      <c r="CZD21" s="2827"/>
      <c r="CZE21" s="2867"/>
      <c r="CZF21" s="2866"/>
      <c r="CZG21" s="2827"/>
      <c r="CZH21" s="2867"/>
      <c r="CZI21" s="2866"/>
      <c r="CZJ21" s="2827"/>
      <c r="CZK21" s="2867"/>
      <c r="CZL21" s="2866"/>
      <c r="CZM21" s="2827"/>
      <c r="CZN21" s="2867"/>
      <c r="CZO21" s="2866"/>
      <c r="CZP21" s="2827"/>
      <c r="CZQ21" s="2867"/>
      <c r="CZR21" s="2866"/>
      <c r="CZS21" s="2827"/>
      <c r="CZT21" s="2867"/>
      <c r="CZU21" s="2866"/>
      <c r="CZV21" s="2827"/>
      <c r="CZW21" s="2867"/>
      <c r="CZX21" s="2866"/>
      <c r="CZY21" s="2827"/>
      <c r="CZZ21" s="2867"/>
      <c r="DAA21" s="2866"/>
      <c r="DAB21" s="2827"/>
      <c r="DAC21" s="2867"/>
      <c r="DAD21" s="2866"/>
      <c r="DAE21" s="2827"/>
      <c r="DAF21" s="2867"/>
      <c r="DAG21" s="2866"/>
      <c r="DAH21" s="2827"/>
      <c r="DAI21" s="2867"/>
      <c r="DAJ21" s="2866"/>
      <c r="DAK21" s="2827"/>
      <c r="DAL21" s="2867"/>
      <c r="DAM21" s="2866"/>
      <c r="DAN21" s="2827"/>
      <c r="DAO21" s="2867"/>
      <c r="DAP21" s="2866"/>
      <c r="DAQ21" s="2827"/>
      <c r="DAR21" s="2867"/>
      <c r="DAS21" s="2866"/>
      <c r="DAT21" s="2827"/>
      <c r="DAU21" s="2867"/>
      <c r="DAV21" s="2866"/>
      <c r="DAW21" s="2827"/>
      <c r="DAX21" s="2867"/>
      <c r="DAY21" s="2866"/>
      <c r="DAZ21" s="2827"/>
      <c r="DBA21" s="2867"/>
      <c r="DBB21" s="2866"/>
      <c r="DBC21" s="2827"/>
      <c r="DBD21" s="2867"/>
      <c r="DBE21" s="2866"/>
      <c r="DBF21" s="2827"/>
      <c r="DBG21" s="2867"/>
      <c r="DBH21" s="2866"/>
      <c r="DBI21" s="2827"/>
      <c r="DBJ21" s="2867"/>
      <c r="DBK21" s="2866"/>
      <c r="DBL21" s="2827"/>
      <c r="DBM21" s="2867"/>
      <c r="DBN21" s="2866"/>
      <c r="DBO21" s="2827"/>
      <c r="DBP21" s="2867"/>
      <c r="DBQ21" s="2866"/>
      <c r="DBR21" s="2827"/>
      <c r="DBS21" s="2867"/>
      <c r="DBT21" s="2866"/>
      <c r="DBU21" s="2827"/>
      <c r="DBV21" s="2867"/>
      <c r="DBW21" s="2866"/>
      <c r="DBX21" s="2827"/>
      <c r="DBY21" s="2867"/>
      <c r="DBZ21" s="2866"/>
      <c r="DCA21" s="2827"/>
      <c r="DCB21" s="2867"/>
      <c r="DCC21" s="2866"/>
      <c r="DCD21" s="2827"/>
      <c r="DCE21" s="2867"/>
      <c r="DCF21" s="2866"/>
      <c r="DCG21" s="2827"/>
      <c r="DCH21" s="2867"/>
      <c r="DCI21" s="2866"/>
      <c r="DCJ21" s="2827"/>
      <c r="DCK21" s="2867"/>
      <c r="DCL21" s="2866"/>
      <c r="DCM21" s="2827"/>
      <c r="DCN21" s="2867"/>
      <c r="DCO21" s="2866"/>
      <c r="DCP21" s="2827"/>
      <c r="DCQ21" s="2867"/>
      <c r="DCR21" s="2866"/>
      <c r="DCS21" s="2827"/>
      <c r="DCT21" s="2867"/>
      <c r="DCU21" s="2866"/>
      <c r="DCV21" s="2827"/>
      <c r="DCW21" s="2867"/>
      <c r="DCX21" s="2866"/>
      <c r="DCY21" s="2827"/>
      <c r="DCZ21" s="2867"/>
      <c r="DDA21" s="2866"/>
      <c r="DDB21" s="2827"/>
      <c r="DDC21" s="2867"/>
      <c r="DDD21" s="2866"/>
      <c r="DDE21" s="2827"/>
      <c r="DDF21" s="2867"/>
      <c r="DDG21" s="2866"/>
      <c r="DDH21" s="2827"/>
      <c r="DDI21" s="2867"/>
      <c r="DDJ21" s="2866"/>
      <c r="DDK21" s="2827"/>
      <c r="DDL21" s="2867"/>
      <c r="DDM21" s="2866"/>
      <c r="DDN21" s="2827"/>
      <c r="DDO21" s="2867"/>
      <c r="DDP21" s="2866"/>
      <c r="DDQ21" s="2827"/>
      <c r="DDR21" s="2867"/>
      <c r="DDS21" s="2866"/>
      <c r="DDT21" s="2827"/>
      <c r="DDU21" s="2867"/>
      <c r="DDV21" s="2866"/>
      <c r="DDW21" s="2827"/>
      <c r="DDX21" s="2867"/>
      <c r="DDY21" s="2866"/>
      <c r="DDZ21" s="2827"/>
      <c r="DEA21" s="2867"/>
      <c r="DEB21" s="2866"/>
      <c r="DEC21" s="2827"/>
      <c r="DED21" s="2867"/>
      <c r="DEE21" s="2866"/>
      <c r="DEF21" s="2827"/>
      <c r="DEG21" s="2867"/>
      <c r="DEH21" s="2866"/>
      <c r="DEI21" s="2827"/>
      <c r="DEJ21" s="2867"/>
      <c r="DEK21" s="2866"/>
      <c r="DEL21" s="2827"/>
      <c r="DEM21" s="2867"/>
      <c r="DEN21" s="2866"/>
      <c r="DEO21" s="2827"/>
      <c r="DEP21" s="2867"/>
      <c r="DEQ21" s="2866"/>
      <c r="DER21" s="2827"/>
      <c r="DES21" s="2867"/>
      <c r="DET21" s="2866"/>
      <c r="DEU21" s="2827"/>
      <c r="DEV21" s="2867"/>
      <c r="DEW21" s="2866"/>
      <c r="DEX21" s="2827"/>
      <c r="DEY21" s="2867"/>
      <c r="DEZ21" s="2866"/>
      <c r="DFA21" s="2827"/>
      <c r="DFB21" s="2867"/>
      <c r="DFC21" s="2866"/>
      <c r="DFD21" s="2827"/>
      <c r="DFE21" s="2867"/>
      <c r="DFF21" s="2866"/>
      <c r="DFG21" s="2827"/>
      <c r="DFH21" s="2867"/>
      <c r="DFI21" s="2866"/>
      <c r="DFJ21" s="2827"/>
      <c r="DFK21" s="2867"/>
      <c r="DFL21" s="2866"/>
      <c r="DFM21" s="2827"/>
      <c r="DFN21" s="2867"/>
      <c r="DFO21" s="2866"/>
      <c r="DFP21" s="2827"/>
      <c r="DFQ21" s="2867"/>
      <c r="DFR21" s="2866"/>
      <c r="DFS21" s="2827"/>
      <c r="DFT21" s="2867"/>
      <c r="DFU21" s="2866"/>
      <c r="DFV21" s="2827"/>
      <c r="DFW21" s="2867"/>
      <c r="DFX21" s="2866"/>
      <c r="DFY21" s="2827"/>
      <c r="DFZ21" s="2867"/>
      <c r="DGA21" s="2866"/>
      <c r="DGB21" s="2827"/>
      <c r="DGC21" s="2867"/>
      <c r="DGD21" s="2866"/>
      <c r="DGE21" s="2827"/>
      <c r="DGF21" s="2867"/>
      <c r="DGG21" s="2866"/>
      <c r="DGH21" s="2827"/>
      <c r="DGI21" s="2867"/>
      <c r="DGJ21" s="2866"/>
      <c r="DGK21" s="2827"/>
      <c r="DGL21" s="2867"/>
      <c r="DGM21" s="2866"/>
      <c r="DGN21" s="2827"/>
      <c r="DGO21" s="2867"/>
      <c r="DGP21" s="2866"/>
      <c r="DGQ21" s="2827"/>
      <c r="DGR21" s="2867"/>
      <c r="DGS21" s="2866"/>
      <c r="DGT21" s="2827"/>
      <c r="DGU21" s="2867"/>
      <c r="DGV21" s="2866"/>
      <c r="DGW21" s="2827"/>
      <c r="DGX21" s="2867"/>
      <c r="DGY21" s="2866"/>
      <c r="DGZ21" s="2827"/>
      <c r="DHA21" s="2867"/>
      <c r="DHB21" s="2866"/>
      <c r="DHC21" s="2827"/>
      <c r="DHD21" s="2867"/>
      <c r="DHE21" s="2866"/>
      <c r="DHF21" s="2827"/>
      <c r="DHG21" s="2867"/>
      <c r="DHH21" s="2866"/>
      <c r="DHI21" s="2827"/>
      <c r="DHJ21" s="2867"/>
      <c r="DHK21" s="2866"/>
      <c r="DHL21" s="2827"/>
      <c r="DHM21" s="2867"/>
      <c r="DHN21" s="2866"/>
      <c r="DHO21" s="2827"/>
      <c r="DHP21" s="2867"/>
      <c r="DHQ21" s="2866"/>
      <c r="DHR21" s="2827"/>
      <c r="DHS21" s="2867"/>
      <c r="DHT21" s="2866"/>
      <c r="DHU21" s="2827"/>
      <c r="DHV21" s="2867"/>
      <c r="DHW21" s="2866"/>
      <c r="DHX21" s="2827"/>
      <c r="DHY21" s="2867"/>
      <c r="DHZ21" s="2866"/>
      <c r="DIA21" s="2827"/>
      <c r="DIB21" s="2867"/>
      <c r="DIC21" s="2866"/>
      <c r="DID21" s="2827"/>
      <c r="DIE21" s="2867"/>
      <c r="DIF21" s="2866"/>
      <c r="DIG21" s="2827"/>
      <c r="DIH21" s="2867"/>
      <c r="DII21" s="2866"/>
      <c r="DIJ21" s="2827"/>
      <c r="DIK21" s="2867"/>
      <c r="DIL21" s="2866"/>
      <c r="DIM21" s="2827"/>
      <c r="DIN21" s="2867"/>
      <c r="DIO21" s="2866"/>
      <c r="DIP21" s="2827"/>
      <c r="DIQ21" s="2867"/>
      <c r="DIR21" s="2866"/>
      <c r="DIS21" s="2827"/>
      <c r="DIT21" s="2867"/>
      <c r="DIU21" s="2866"/>
      <c r="DIV21" s="2827"/>
      <c r="DIW21" s="2867"/>
      <c r="DIX21" s="2866"/>
      <c r="DIY21" s="2827"/>
      <c r="DIZ21" s="2867"/>
      <c r="DJA21" s="2866"/>
      <c r="DJB21" s="2827"/>
      <c r="DJC21" s="2867"/>
      <c r="DJD21" s="2866"/>
      <c r="DJE21" s="2827"/>
      <c r="DJF21" s="2867"/>
      <c r="DJG21" s="2866"/>
      <c r="DJH21" s="2827"/>
      <c r="DJI21" s="2867"/>
      <c r="DJJ21" s="2866"/>
      <c r="DJK21" s="2827"/>
      <c r="DJL21" s="2867"/>
      <c r="DJM21" s="2866"/>
      <c r="DJN21" s="2827"/>
      <c r="DJO21" s="2867"/>
      <c r="DJP21" s="2866"/>
      <c r="DJQ21" s="2827"/>
      <c r="DJR21" s="2867"/>
      <c r="DJS21" s="2866"/>
      <c r="DJT21" s="2827"/>
      <c r="DJU21" s="2867"/>
      <c r="DJV21" s="2866"/>
      <c r="DJW21" s="2827"/>
      <c r="DJX21" s="2867"/>
      <c r="DJY21" s="2866"/>
      <c r="DJZ21" s="2827"/>
      <c r="DKA21" s="2867"/>
      <c r="DKB21" s="2866"/>
      <c r="DKC21" s="2827"/>
      <c r="DKD21" s="2867"/>
      <c r="DKE21" s="2866"/>
      <c r="DKF21" s="2827"/>
      <c r="DKG21" s="2867"/>
      <c r="DKH21" s="2866"/>
      <c r="DKI21" s="2827"/>
      <c r="DKJ21" s="2867"/>
      <c r="DKK21" s="2866"/>
      <c r="DKL21" s="2827"/>
      <c r="DKM21" s="2867"/>
      <c r="DKN21" s="2866"/>
      <c r="DKO21" s="2827"/>
      <c r="DKP21" s="2867"/>
      <c r="DKQ21" s="2866"/>
      <c r="DKR21" s="2827"/>
      <c r="DKS21" s="2867"/>
      <c r="DKT21" s="2866"/>
      <c r="DKU21" s="2827"/>
      <c r="DKV21" s="2867"/>
      <c r="DKW21" s="2866"/>
      <c r="DKX21" s="2827"/>
      <c r="DKY21" s="2867"/>
      <c r="DKZ21" s="2866"/>
      <c r="DLA21" s="2827"/>
      <c r="DLB21" s="2867"/>
      <c r="DLC21" s="2866"/>
      <c r="DLD21" s="2827"/>
      <c r="DLE21" s="2867"/>
      <c r="DLF21" s="2866"/>
      <c r="DLG21" s="2827"/>
      <c r="DLH21" s="2867"/>
      <c r="DLI21" s="2866"/>
      <c r="DLJ21" s="2827"/>
      <c r="DLK21" s="2867"/>
      <c r="DLL21" s="2866"/>
      <c r="DLM21" s="2827"/>
      <c r="DLN21" s="2867"/>
      <c r="DLO21" s="2866"/>
      <c r="DLP21" s="2827"/>
      <c r="DLQ21" s="2867"/>
      <c r="DLR21" s="2866"/>
      <c r="DLS21" s="2827"/>
      <c r="DLT21" s="2867"/>
      <c r="DLU21" s="2866"/>
      <c r="DLV21" s="2827"/>
      <c r="DLW21" s="2867"/>
      <c r="DLX21" s="2866"/>
      <c r="DLY21" s="2827"/>
      <c r="DLZ21" s="2867"/>
      <c r="DMA21" s="2866"/>
      <c r="DMB21" s="2827"/>
      <c r="DMC21" s="2867"/>
      <c r="DMD21" s="2866"/>
      <c r="DME21" s="2827"/>
      <c r="DMF21" s="2867"/>
      <c r="DMG21" s="2866"/>
      <c r="DMH21" s="2827"/>
      <c r="DMI21" s="2867"/>
      <c r="DMJ21" s="2866"/>
      <c r="DMK21" s="2827"/>
      <c r="DML21" s="2867"/>
      <c r="DMM21" s="2866"/>
      <c r="DMN21" s="2827"/>
      <c r="DMO21" s="2867"/>
      <c r="DMP21" s="2866"/>
      <c r="DMQ21" s="2827"/>
      <c r="DMR21" s="2867"/>
      <c r="DMS21" s="2866"/>
      <c r="DMT21" s="2827"/>
      <c r="DMU21" s="2867"/>
      <c r="DMV21" s="2866"/>
      <c r="DMW21" s="2827"/>
      <c r="DMX21" s="2867"/>
      <c r="DMY21" s="2866"/>
      <c r="DMZ21" s="2827"/>
      <c r="DNA21" s="2867"/>
      <c r="DNB21" s="2866"/>
      <c r="DNC21" s="2827"/>
      <c r="DND21" s="2867"/>
      <c r="DNE21" s="2866"/>
      <c r="DNF21" s="2827"/>
      <c r="DNG21" s="2867"/>
      <c r="DNH21" s="2866"/>
      <c r="DNI21" s="2827"/>
      <c r="DNJ21" s="2867"/>
      <c r="DNK21" s="2866"/>
      <c r="DNL21" s="2827"/>
      <c r="DNM21" s="2867"/>
      <c r="DNN21" s="2866"/>
      <c r="DNO21" s="2827"/>
      <c r="DNP21" s="2867"/>
      <c r="DNQ21" s="2866"/>
      <c r="DNR21" s="2827"/>
      <c r="DNS21" s="2867"/>
      <c r="DNT21" s="2866"/>
      <c r="DNU21" s="2827"/>
      <c r="DNV21" s="2867"/>
      <c r="DNW21" s="2866"/>
      <c r="DNX21" s="2827"/>
      <c r="DNY21" s="2867"/>
      <c r="DNZ21" s="2866"/>
      <c r="DOA21" s="2827"/>
      <c r="DOB21" s="2867"/>
      <c r="DOC21" s="2866"/>
      <c r="DOD21" s="2827"/>
      <c r="DOE21" s="2867"/>
      <c r="DOF21" s="2866"/>
      <c r="DOG21" s="2827"/>
      <c r="DOH21" s="2867"/>
      <c r="DOI21" s="2866"/>
      <c r="DOJ21" s="2827"/>
      <c r="DOK21" s="2867"/>
      <c r="DOL21" s="2866"/>
      <c r="DOM21" s="2827"/>
      <c r="DON21" s="2867"/>
      <c r="DOO21" s="2866"/>
      <c r="DOP21" s="2827"/>
      <c r="DOQ21" s="2867"/>
      <c r="DOR21" s="2866"/>
      <c r="DOS21" s="2827"/>
      <c r="DOT21" s="2867"/>
      <c r="DOU21" s="2866"/>
      <c r="DOV21" s="2827"/>
      <c r="DOW21" s="2867"/>
      <c r="DOX21" s="2866"/>
      <c r="DOY21" s="2827"/>
      <c r="DOZ21" s="2867"/>
      <c r="DPA21" s="2866"/>
      <c r="DPB21" s="2827"/>
      <c r="DPC21" s="2867"/>
      <c r="DPD21" s="2866"/>
      <c r="DPE21" s="2827"/>
      <c r="DPF21" s="2867"/>
      <c r="DPG21" s="2866"/>
      <c r="DPH21" s="2827"/>
      <c r="DPI21" s="2867"/>
      <c r="DPJ21" s="2866"/>
      <c r="DPK21" s="2827"/>
      <c r="DPL21" s="2867"/>
      <c r="DPM21" s="2866"/>
      <c r="DPN21" s="2827"/>
      <c r="DPO21" s="2867"/>
      <c r="DPP21" s="2866"/>
      <c r="DPQ21" s="2827"/>
      <c r="DPR21" s="2867"/>
      <c r="DPS21" s="2866"/>
      <c r="DPT21" s="2827"/>
      <c r="DPU21" s="2867"/>
      <c r="DPV21" s="2866"/>
      <c r="DPW21" s="2827"/>
      <c r="DPX21" s="2867"/>
      <c r="DPY21" s="2866"/>
      <c r="DPZ21" s="2827"/>
      <c r="DQA21" s="2867"/>
      <c r="DQB21" s="2866"/>
      <c r="DQC21" s="2827"/>
      <c r="DQD21" s="2867"/>
      <c r="DQE21" s="2866"/>
      <c r="DQF21" s="2827"/>
      <c r="DQG21" s="2867"/>
      <c r="DQH21" s="2866"/>
      <c r="DQI21" s="2827"/>
      <c r="DQJ21" s="2867"/>
      <c r="DQK21" s="2866"/>
      <c r="DQL21" s="2827"/>
      <c r="DQM21" s="2867"/>
      <c r="DQN21" s="2866"/>
      <c r="DQO21" s="2827"/>
      <c r="DQP21" s="2867"/>
      <c r="DQQ21" s="2866"/>
      <c r="DQR21" s="2827"/>
      <c r="DQS21" s="2867"/>
      <c r="DQT21" s="2866"/>
      <c r="DQU21" s="2827"/>
      <c r="DQV21" s="2867"/>
      <c r="DQW21" s="2866"/>
      <c r="DQX21" s="2827"/>
      <c r="DQY21" s="2867"/>
      <c r="DQZ21" s="2866"/>
      <c r="DRA21" s="2827"/>
      <c r="DRB21" s="2867"/>
      <c r="DRC21" s="2866"/>
      <c r="DRD21" s="2827"/>
      <c r="DRE21" s="2867"/>
      <c r="DRF21" s="2866"/>
      <c r="DRG21" s="2827"/>
      <c r="DRH21" s="2867"/>
      <c r="DRI21" s="2866"/>
      <c r="DRJ21" s="2827"/>
      <c r="DRK21" s="2867"/>
      <c r="DRL21" s="2866"/>
      <c r="DRM21" s="2827"/>
      <c r="DRN21" s="2867"/>
      <c r="DRO21" s="2866"/>
      <c r="DRP21" s="2827"/>
      <c r="DRQ21" s="2867"/>
      <c r="DRR21" s="2866"/>
      <c r="DRS21" s="2827"/>
      <c r="DRT21" s="2867"/>
      <c r="DRU21" s="2866"/>
      <c r="DRV21" s="2827"/>
      <c r="DRW21" s="2867"/>
      <c r="DRX21" s="2866"/>
      <c r="DRY21" s="2827"/>
      <c r="DRZ21" s="2867"/>
      <c r="DSA21" s="2866"/>
      <c r="DSB21" s="2827"/>
      <c r="DSC21" s="2867"/>
      <c r="DSD21" s="2866"/>
      <c r="DSE21" s="2827"/>
      <c r="DSF21" s="2867"/>
      <c r="DSG21" s="2866"/>
      <c r="DSH21" s="2827"/>
      <c r="DSI21" s="2867"/>
      <c r="DSJ21" s="2866"/>
      <c r="DSK21" s="2827"/>
      <c r="DSL21" s="2867"/>
      <c r="DSM21" s="2866"/>
      <c r="DSN21" s="2827"/>
      <c r="DSO21" s="2867"/>
      <c r="DSP21" s="2866"/>
      <c r="DSQ21" s="2827"/>
      <c r="DSR21" s="2867"/>
      <c r="DSS21" s="2866"/>
      <c r="DST21" s="2827"/>
      <c r="DSU21" s="2867"/>
      <c r="DSV21" s="2866"/>
      <c r="DSW21" s="2827"/>
      <c r="DSX21" s="2867"/>
      <c r="DSY21" s="2866"/>
      <c r="DSZ21" s="2827"/>
      <c r="DTA21" s="2867"/>
      <c r="DTB21" s="2866"/>
      <c r="DTC21" s="2827"/>
      <c r="DTD21" s="2867"/>
      <c r="DTE21" s="2866"/>
      <c r="DTF21" s="2827"/>
      <c r="DTG21" s="2867"/>
      <c r="DTH21" s="2866"/>
      <c r="DTI21" s="2827"/>
      <c r="DTJ21" s="2867"/>
      <c r="DTK21" s="2866"/>
      <c r="DTL21" s="2827"/>
      <c r="DTM21" s="2867"/>
      <c r="DTN21" s="2866"/>
      <c r="DTO21" s="2827"/>
      <c r="DTP21" s="2867"/>
      <c r="DTQ21" s="2866"/>
      <c r="DTR21" s="2827"/>
      <c r="DTS21" s="2867"/>
      <c r="DTT21" s="2866"/>
      <c r="DTU21" s="2827"/>
      <c r="DTV21" s="2867"/>
      <c r="DTW21" s="2866"/>
      <c r="DTX21" s="2827"/>
      <c r="DTY21" s="2867"/>
      <c r="DTZ21" s="2866"/>
      <c r="DUA21" s="2827"/>
      <c r="DUB21" s="2867"/>
      <c r="DUC21" s="2866"/>
      <c r="DUD21" s="2827"/>
      <c r="DUE21" s="2867"/>
      <c r="DUF21" s="2866"/>
      <c r="DUG21" s="2827"/>
      <c r="DUH21" s="2867"/>
      <c r="DUI21" s="2866"/>
      <c r="DUJ21" s="2827"/>
      <c r="DUK21" s="2867"/>
      <c r="DUL21" s="2866"/>
      <c r="DUM21" s="2827"/>
      <c r="DUN21" s="2867"/>
      <c r="DUO21" s="2866"/>
      <c r="DUP21" s="2827"/>
      <c r="DUQ21" s="2867"/>
      <c r="DUR21" s="2866"/>
      <c r="DUS21" s="2827"/>
      <c r="DUT21" s="2867"/>
      <c r="DUU21" s="2866"/>
      <c r="DUV21" s="2827"/>
      <c r="DUW21" s="2867"/>
      <c r="DUX21" s="2866"/>
      <c r="DUY21" s="2827"/>
      <c r="DUZ21" s="2867"/>
      <c r="DVA21" s="2866"/>
      <c r="DVB21" s="2827"/>
      <c r="DVC21" s="2867"/>
      <c r="DVD21" s="2866"/>
      <c r="DVE21" s="2827"/>
      <c r="DVF21" s="2867"/>
      <c r="DVG21" s="2866"/>
      <c r="DVH21" s="2827"/>
      <c r="DVI21" s="2867"/>
      <c r="DVJ21" s="2866"/>
      <c r="DVK21" s="2827"/>
      <c r="DVL21" s="2867"/>
      <c r="DVM21" s="2866"/>
      <c r="DVN21" s="2827"/>
      <c r="DVO21" s="2867"/>
      <c r="DVP21" s="2866"/>
      <c r="DVQ21" s="2827"/>
      <c r="DVR21" s="2867"/>
      <c r="DVS21" s="2866"/>
      <c r="DVT21" s="2827"/>
      <c r="DVU21" s="2867"/>
      <c r="DVV21" s="2866"/>
      <c r="DVW21" s="2827"/>
      <c r="DVX21" s="2867"/>
      <c r="DVY21" s="2866"/>
      <c r="DVZ21" s="2827"/>
      <c r="DWA21" s="2867"/>
      <c r="DWB21" s="2866"/>
      <c r="DWC21" s="2827"/>
      <c r="DWD21" s="2867"/>
      <c r="DWE21" s="2866"/>
      <c r="DWF21" s="2827"/>
      <c r="DWG21" s="2867"/>
      <c r="DWH21" s="2866"/>
      <c r="DWI21" s="2827"/>
      <c r="DWJ21" s="2867"/>
      <c r="DWK21" s="2866"/>
      <c r="DWL21" s="2827"/>
      <c r="DWM21" s="2867"/>
      <c r="DWN21" s="2866"/>
      <c r="DWO21" s="2827"/>
      <c r="DWP21" s="2867"/>
      <c r="DWQ21" s="2866"/>
      <c r="DWR21" s="2827"/>
      <c r="DWS21" s="2867"/>
      <c r="DWT21" s="2866"/>
      <c r="DWU21" s="2827"/>
      <c r="DWV21" s="2867"/>
      <c r="DWW21" s="2866"/>
      <c r="DWX21" s="2827"/>
      <c r="DWY21" s="2867"/>
      <c r="DWZ21" s="2866"/>
      <c r="DXA21" s="2827"/>
      <c r="DXB21" s="2867"/>
      <c r="DXC21" s="2866"/>
      <c r="DXD21" s="2827"/>
      <c r="DXE21" s="2867"/>
      <c r="DXF21" s="2866"/>
      <c r="DXG21" s="2827"/>
      <c r="DXH21" s="2867"/>
      <c r="DXI21" s="2866"/>
      <c r="DXJ21" s="2827"/>
      <c r="DXK21" s="2867"/>
      <c r="DXL21" s="2866"/>
      <c r="DXM21" s="2827"/>
      <c r="DXN21" s="2867"/>
      <c r="DXO21" s="2866"/>
      <c r="DXP21" s="2827"/>
      <c r="DXQ21" s="2867"/>
      <c r="DXR21" s="2866"/>
      <c r="DXS21" s="2827"/>
      <c r="DXT21" s="2867"/>
      <c r="DXU21" s="2866"/>
      <c r="DXV21" s="2827"/>
      <c r="DXW21" s="2867"/>
      <c r="DXX21" s="2866"/>
      <c r="DXY21" s="2827"/>
      <c r="DXZ21" s="2867"/>
      <c r="DYA21" s="2866"/>
      <c r="DYB21" s="2827"/>
      <c r="DYC21" s="2867"/>
      <c r="DYD21" s="2866"/>
      <c r="DYE21" s="2827"/>
      <c r="DYF21" s="2867"/>
      <c r="DYG21" s="2866"/>
      <c r="DYH21" s="2827"/>
      <c r="DYI21" s="2867"/>
      <c r="DYJ21" s="2866"/>
      <c r="DYK21" s="2827"/>
      <c r="DYL21" s="2867"/>
      <c r="DYM21" s="2866"/>
      <c r="DYN21" s="2827"/>
      <c r="DYO21" s="2867"/>
      <c r="DYP21" s="2866"/>
      <c r="DYQ21" s="2827"/>
      <c r="DYR21" s="2867"/>
      <c r="DYS21" s="2866"/>
      <c r="DYT21" s="2827"/>
      <c r="DYU21" s="2867"/>
      <c r="DYV21" s="2866"/>
      <c r="DYW21" s="2827"/>
      <c r="DYX21" s="2867"/>
      <c r="DYY21" s="2866"/>
      <c r="DYZ21" s="2827"/>
      <c r="DZA21" s="2867"/>
      <c r="DZB21" s="2866"/>
      <c r="DZC21" s="2827"/>
      <c r="DZD21" s="2867"/>
      <c r="DZE21" s="2866"/>
      <c r="DZF21" s="2827"/>
      <c r="DZG21" s="2867"/>
      <c r="DZH21" s="2866"/>
      <c r="DZI21" s="2827"/>
      <c r="DZJ21" s="2867"/>
      <c r="DZK21" s="2866"/>
      <c r="DZL21" s="2827"/>
      <c r="DZM21" s="2867"/>
      <c r="DZN21" s="2866"/>
      <c r="DZO21" s="2827"/>
      <c r="DZP21" s="2867"/>
      <c r="DZQ21" s="2866"/>
      <c r="DZR21" s="2827"/>
      <c r="DZS21" s="2867"/>
      <c r="DZT21" s="2866"/>
      <c r="DZU21" s="2827"/>
      <c r="DZV21" s="2867"/>
      <c r="DZW21" s="2866"/>
      <c r="DZX21" s="2827"/>
      <c r="DZY21" s="2867"/>
      <c r="DZZ21" s="2866"/>
      <c r="EAA21" s="2827"/>
      <c r="EAB21" s="2867"/>
      <c r="EAC21" s="2866"/>
      <c r="EAD21" s="2827"/>
      <c r="EAE21" s="2867"/>
      <c r="EAF21" s="2866"/>
      <c r="EAG21" s="2827"/>
      <c r="EAH21" s="2867"/>
      <c r="EAI21" s="2866"/>
      <c r="EAJ21" s="2827"/>
      <c r="EAK21" s="2867"/>
      <c r="EAL21" s="2866"/>
      <c r="EAM21" s="2827"/>
      <c r="EAN21" s="2867"/>
      <c r="EAO21" s="2866"/>
      <c r="EAP21" s="2827"/>
      <c r="EAQ21" s="2867"/>
      <c r="EAR21" s="2866"/>
      <c r="EAS21" s="2827"/>
      <c r="EAT21" s="2867"/>
      <c r="EAU21" s="2866"/>
      <c r="EAV21" s="2827"/>
      <c r="EAW21" s="2867"/>
      <c r="EAX21" s="2866"/>
      <c r="EAY21" s="2827"/>
      <c r="EAZ21" s="2867"/>
      <c r="EBA21" s="2866"/>
      <c r="EBB21" s="2827"/>
      <c r="EBC21" s="2867"/>
      <c r="EBD21" s="2866"/>
      <c r="EBE21" s="2827"/>
      <c r="EBF21" s="2867"/>
      <c r="EBG21" s="2866"/>
      <c r="EBH21" s="2827"/>
      <c r="EBI21" s="2867"/>
      <c r="EBJ21" s="2866"/>
      <c r="EBK21" s="2827"/>
      <c r="EBL21" s="2867"/>
      <c r="EBM21" s="2866"/>
      <c r="EBN21" s="2827"/>
      <c r="EBO21" s="2867"/>
      <c r="EBP21" s="2866"/>
      <c r="EBQ21" s="2827"/>
      <c r="EBR21" s="2867"/>
      <c r="EBS21" s="2866"/>
      <c r="EBT21" s="2827"/>
      <c r="EBU21" s="2867"/>
      <c r="EBV21" s="2866"/>
      <c r="EBW21" s="2827"/>
      <c r="EBX21" s="2867"/>
      <c r="EBY21" s="2866"/>
      <c r="EBZ21" s="2827"/>
      <c r="ECA21" s="2867"/>
      <c r="ECB21" s="2866"/>
      <c r="ECC21" s="2827"/>
      <c r="ECD21" s="2867"/>
      <c r="ECE21" s="2866"/>
      <c r="ECF21" s="2827"/>
      <c r="ECG21" s="2867"/>
      <c r="ECH21" s="2866"/>
      <c r="ECI21" s="2827"/>
      <c r="ECJ21" s="2867"/>
      <c r="ECK21" s="2866"/>
      <c r="ECL21" s="2827"/>
      <c r="ECM21" s="2867"/>
      <c r="ECN21" s="2866"/>
      <c r="ECO21" s="2827"/>
      <c r="ECP21" s="2867"/>
      <c r="ECQ21" s="2866"/>
      <c r="ECR21" s="2827"/>
      <c r="ECS21" s="2867"/>
      <c r="ECT21" s="2866"/>
      <c r="ECU21" s="2827"/>
      <c r="ECV21" s="2867"/>
      <c r="ECW21" s="2866"/>
      <c r="ECX21" s="2827"/>
      <c r="ECY21" s="2867"/>
      <c r="ECZ21" s="2866"/>
      <c r="EDA21" s="2827"/>
      <c r="EDB21" s="2867"/>
      <c r="EDC21" s="2866"/>
      <c r="EDD21" s="2827"/>
      <c r="EDE21" s="2867"/>
      <c r="EDF21" s="2866"/>
      <c r="EDG21" s="2827"/>
      <c r="EDH21" s="2867"/>
      <c r="EDI21" s="2866"/>
      <c r="EDJ21" s="2827"/>
      <c r="EDK21" s="2867"/>
      <c r="EDL21" s="2866"/>
      <c r="EDM21" s="2827"/>
      <c r="EDN21" s="2867"/>
      <c r="EDO21" s="2866"/>
      <c r="EDP21" s="2827"/>
      <c r="EDQ21" s="2867"/>
      <c r="EDR21" s="2866"/>
      <c r="EDS21" s="2827"/>
      <c r="EDT21" s="2867"/>
      <c r="EDU21" s="2866"/>
      <c r="EDV21" s="2827"/>
      <c r="EDW21" s="2867"/>
      <c r="EDX21" s="2866"/>
      <c r="EDY21" s="2827"/>
      <c r="EDZ21" s="2867"/>
      <c r="EEA21" s="2866"/>
      <c r="EEB21" s="2827"/>
      <c r="EEC21" s="2867"/>
      <c r="EED21" s="2866"/>
      <c r="EEE21" s="2827"/>
      <c r="EEF21" s="2867"/>
      <c r="EEG21" s="2866"/>
      <c r="EEH21" s="2827"/>
      <c r="EEI21" s="2867"/>
      <c r="EEJ21" s="2866"/>
      <c r="EEK21" s="2827"/>
      <c r="EEL21" s="2867"/>
      <c r="EEM21" s="2866"/>
      <c r="EEN21" s="2827"/>
      <c r="EEO21" s="2867"/>
      <c r="EEP21" s="2866"/>
      <c r="EEQ21" s="2827"/>
      <c r="EER21" s="2867"/>
      <c r="EES21" s="2866"/>
      <c r="EET21" s="2827"/>
      <c r="EEU21" s="2867"/>
      <c r="EEV21" s="2866"/>
      <c r="EEW21" s="2827"/>
      <c r="EEX21" s="2867"/>
      <c r="EEY21" s="2866"/>
      <c r="EEZ21" s="2827"/>
      <c r="EFA21" s="2867"/>
      <c r="EFB21" s="2866"/>
      <c r="EFC21" s="2827"/>
      <c r="EFD21" s="2867"/>
      <c r="EFE21" s="2866"/>
      <c r="EFF21" s="2827"/>
      <c r="EFG21" s="2867"/>
      <c r="EFH21" s="2866"/>
      <c r="EFI21" s="2827"/>
      <c r="EFJ21" s="2867"/>
      <c r="EFK21" s="2866"/>
      <c r="EFL21" s="2827"/>
      <c r="EFM21" s="2867"/>
      <c r="EFN21" s="2866"/>
      <c r="EFO21" s="2827"/>
      <c r="EFP21" s="2867"/>
      <c r="EFQ21" s="2866"/>
      <c r="EFR21" s="2827"/>
      <c r="EFS21" s="2867"/>
      <c r="EFT21" s="2866"/>
      <c r="EFU21" s="2827"/>
      <c r="EFV21" s="2867"/>
      <c r="EFW21" s="2866"/>
      <c r="EFX21" s="2827"/>
      <c r="EFY21" s="2867"/>
      <c r="EFZ21" s="2866"/>
      <c r="EGA21" s="2827"/>
      <c r="EGB21" s="2867"/>
      <c r="EGC21" s="2866"/>
      <c r="EGD21" s="2827"/>
      <c r="EGE21" s="2867"/>
      <c r="EGF21" s="2866"/>
      <c r="EGG21" s="2827"/>
      <c r="EGH21" s="2867"/>
      <c r="EGI21" s="2866"/>
      <c r="EGJ21" s="2827"/>
      <c r="EGK21" s="2867"/>
      <c r="EGL21" s="2866"/>
      <c r="EGM21" s="2827"/>
      <c r="EGN21" s="2867"/>
      <c r="EGO21" s="2866"/>
      <c r="EGP21" s="2827"/>
      <c r="EGQ21" s="2867"/>
      <c r="EGR21" s="2866"/>
      <c r="EGS21" s="2827"/>
      <c r="EGT21" s="2867"/>
      <c r="EGU21" s="2866"/>
      <c r="EGV21" s="2827"/>
      <c r="EGW21" s="2867"/>
      <c r="EGX21" s="2866"/>
      <c r="EGY21" s="2827"/>
      <c r="EGZ21" s="2867"/>
      <c r="EHA21" s="2866"/>
      <c r="EHB21" s="2827"/>
      <c r="EHC21" s="2867"/>
      <c r="EHD21" s="2866"/>
      <c r="EHE21" s="2827"/>
      <c r="EHF21" s="2867"/>
      <c r="EHG21" s="2866"/>
      <c r="EHH21" s="2827"/>
      <c r="EHI21" s="2867"/>
      <c r="EHJ21" s="2866"/>
      <c r="EHK21" s="2827"/>
      <c r="EHL21" s="2867"/>
      <c r="EHM21" s="2866"/>
      <c r="EHN21" s="2827"/>
      <c r="EHO21" s="2867"/>
      <c r="EHP21" s="2866"/>
      <c r="EHQ21" s="2827"/>
      <c r="EHR21" s="2867"/>
      <c r="EHS21" s="2866"/>
      <c r="EHT21" s="2827"/>
      <c r="EHU21" s="2867"/>
      <c r="EHV21" s="2866"/>
      <c r="EHW21" s="2827"/>
      <c r="EHX21" s="2867"/>
      <c r="EHY21" s="2866"/>
      <c r="EHZ21" s="2827"/>
      <c r="EIA21" s="2867"/>
      <c r="EIB21" s="2866"/>
      <c r="EIC21" s="2827"/>
      <c r="EID21" s="2867"/>
      <c r="EIE21" s="2866"/>
      <c r="EIF21" s="2827"/>
      <c r="EIG21" s="2867"/>
      <c r="EIH21" s="2866"/>
      <c r="EII21" s="2827"/>
      <c r="EIJ21" s="2867"/>
      <c r="EIK21" s="2866"/>
      <c r="EIL21" s="2827"/>
      <c r="EIM21" s="2867"/>
      <c r="EIN21" s="2866"/>
      <c r="EIO21" s="2827"/>
      <c r="EIP21" s="2867"/>
      <c r="EIQ21" s="2866"/>
      <c r="EIR21" s="2827"/>
      <c r="EIS21" s="2867"/>
      <c r="EIT21" s="2866"/>
      <c r="EIU21" s="2827"/>
      <c r="EIV21" s="2867"/>
      <c r="EIW21" s="2866"/>
      <c r="EIX21" s="2827"/>
      <c r="EIY21" s="2867"/>
      <c r="EIZ21" s="2866"/>
      <c r="EJA21" s="2827"/>
      <c r="EJB21" s="2867"/>
      <c r="EJC21" s="2866"/>
      <c r="EJD21" s="2827"/>
      <c r="EJE21" s="2867"/>
      <c r="EJF21" s="2866"/>
      <c r="EJG21" s="2827"/>
      <c r="EJH21" s="2867"/>
      <c r="EJI21" s="2866"/>
      <c r="EJJ21" s="2827"/>
      <c r="EJK21" s="2867"/>
      <c r="EJL21" s="2866"/>
      <c r="EJM21" s="2827"/>
      <c r="EJN21" s="2867"/>
      <c r="EJO21" s="2866"/>
      <c r="EJP21" s="2827"/>
      <c r="EJQ21" s="2867"/>
      <c r="EJR21" s="2866"/>
      <c r="EJS21" s="2827"/>
      <c r="EJT21" s="2867"/>
      <c r="EJU21" s="2866"/>
      <c r="EJV21" s="2827"/>
      <c r="EJW21" s="2867"/>
      <c r="EJX21" s="2866"/>
      <c r="EJY21" s="2827"/>
      <c r="EJZ21" s="2867"/>
      <c r="EKA21" s="2866"/>
      <c r="EKB21" s="2827"/>
      <c r="EKC21" s="2867"/>
      <c r="EKD21" s="2866"/>
      <c r="EKE21" s="2827"/>
      <c r="EKF21" s="2867"/>
      <c r="EKG21" s="2866"/>
      <c r="EKH21" s="2827"/>
      <c r="EKI21" s="2867"/>
      <c r="EKJ21" s="2866"/>
      <c r="EKK21" s="2827"/>
      <c r="EKL21" s="2867"/>
      <c r="EKM21" s="2866"/>
      <c r="EKN21" s="2827"/>
      <c r="EKO21" s="2867"/>
      <c r="EKP21" s="2866"/>
      <c r="EKQ21" s="2827"/>
      <c r="EKR21" s="2867"/>
      <c r="EKS21" s="2866"/>
      <c r="EKT21" s="2827"/>
      <c r="EKU21" s="2867"/>
      <c r="EKV21" s="2866"/>
      <c r="EKW21" s="2827"/>
      <c r="EKX21" s="2867"/>
      <c r="EKY21" s="2866"/>
      <c r="EKZ21" s="2827"/>
      <c r="ELA21" s="2867"/>
      <c r="ELB21" s="2866"/>
      <c r="ELC21" s="2827"/>
      <c r="ELD21" s="2867"/>
      <c r="ELE21" s="2866"/>
      <c r="ELF21" s="2827"/>
      <c r="ELG21" s="2867"/>
      <c r="ELH21" s="2866"/>
      <c r="ELI21" s="2827"/>
      <c r="ELJ21" s="2867"/>
      <c r="ELK21" s="2866"/>
      <c r="ELL21" s="2827"/>
      <c r="ELM21" s="2867"/>
      <c r="ELN21" s="2866"/>
      <c r="ELO21" s="2827"/>
      <c r="ELP21" s="2867"/>
      <c r="ELQ21" s="2866"/>
      <c r="ELR21" s="2827"/>
      <c r="ELS21" s="2867"/>
      <c r="ELT21" s="2866"/>
      <c r="ELU21" s="2827"/>
      <c r="ELV21" s="2867"/>
      <c r="ELW21" s="2866"/>
      <c r="ELX21" s="2827"/>
      <c r="ELY21" s="2867"/>
      <c r="ELZ21" s="2866"/>
      <c r="EMA21" s="2827"/>
      <c r="EMB21" s="2867"/>
      <c r="EMC21" s="2866"/>
      <c r="EMD21" s="2827"/>
      <c r="EME21" s="2867"/>
      <c r="EMF21" s="2866"/>
      <c r="EMG21" s="2827"/>
      <c r="EMH21" s="2867"/>
      <c r="EMI21" s="2866"/>
      <c r="EMJ21" s="2827"/>
      <c r="EMK21" s="2867"/>
      <c r="EML21" s="2866"/>
      <c r="EMM21" s="2827"/>
      <c r="EMN21" s="2867"/>
      <c r="EMO21" s="2866"/>
      <c r="EMP21" s="2827"/>
      <c r="EMQ21" s="2867"/>
      <c r="EMR21" s="2866"/>
      <c r="EMS21" s="2827"/>
      <c r="EMT21" s="2867"/>
      <c r="EMU21" s="2866"/>
      <c r="EMV21" s="2827"/>
      <c r="EMW21" s="2867"/>
      <c r="EMX21" s="2866"/>
      <c r="EMY21" s="2827"/>
      <c r="EMZ21" s="2867"/>
      <c r="ENA21" s="2866"/>
      <c r="ENB21" s="2827"/>
      <c r="ENC21" s="2867"/>
      <c r="END21" s="2866"/>
      <c r="ENE21" s="2827"/>
      <c r="ENF21" s="2867"/>
      <c r="ENG21" s="2866"/>
      <c r="ENH21" s="2827"/>
      <c r="ENI21" s="2867"/>
      <c r="ENJ21" s="2866"/>
      <c r="ENK21" s="2827"/>
      <c r="ENL21" s="2867"/>
      <c r="ENM21" s="2866"/>
      <c r="ENN21" s="2827"/>
      <c r="ENO21" s="2867"/>
      <c r="ENP21" s="2866"/>
      <c r="ENQ21" s="2827"/>
      <c r="ENR21" s="2867"/>
      <c r="ENS21" s="2866"/>
      <c r="ENT21" s="2827"/>
      <c r="ENU21" s="2867"/>
      <c r="ENV21" s="2866"/>
      <c r="ENW21" s="2827"/>
      <c r="ENX21" s="2867"/>
      <c r="ENY21" s="2866"/>
      <c r="ENZ21" s="2827"/>
      <c r="EOA21" s="2867"/>
      <c r="EOB21" s="2866"/>
      <c r="EOC21" s="2827"/>
      <c r="EOD21" s="2867"/>
      <c r="EOE21" s="2866"/>
      <c r="EOF21" s="2827"/>
      <c r="EOG21" s="2867"/>
      <c r="EOH21" s="2866"/>
      <c r="EOI21" s="2827"/>
      <c r="EOJ21" s="2867"/>
      <c r="EOK21" s="2866"/>
      <c r="EOL21" s="2827"/>
      <c r="EOM21" s="2867"/>
      <c r="EON21" s="2866"/>
      <c r="EOO21" s="2827"/>
      <c r="EOP21" s="2867"/>
      <c r="EOQ21" s="2866"/>
      <c r="EOR21" s="2827"/>
      <c r="EOS21" s="2867"/>
      <c r="EOT21" s="2866"/>
      <c r="EOU21" s="2827"/>
      <c r="EOV21" s="2867"/>
      <c r="EOW21" s="2866"/>
      <c r="EOX21" s="2827"/>
      <c r="EOY21" s="2867"/>
      <c r="EOZ21" s="2866"/>
      <c r="EPA21" s="2827"/>
      <c r="EPB21" s="2867"/>
      <c r="EPC21" s="2866"/>
      <c r="EPD21" s="2827"/>
      <c r="EPE21" s="2867"/>
      <c r="EPF21" s="2866"/>
      <c r="EPG21" s="2827"/>
      <c r="EPH21" s="2867"/>
      <c r="EPI21" s="2866"/>
      <c r="EPJ21" s="2827"/>
      <c r="EPK21" s="2867"/>
      <c r="EPL21" s="2866"/>
      <c r="EPM21" s="2827"/>
      <c r="EPN21" s="2867"/>
      <c r="EPO21" s="2866"/>
      <c r="EPP21" s="2827"/>
      <c r="EPQ21" s="2867"/>
      <c r="EPR21" s="2866"/>
      <c r="EPS21" s="2827"/>
      <c r="EPT21" s="2867"/>
      <c r="EPU21" s="2866"/>
      <c r="EPV21" s="2827"/>
      <c r="EPW21" s="2867"/>
      <c r="EPX21" s="2866"/>
      <c r="EPY21" s="2827"/>
      <c r="EPZ21" s="2867"/>
      <c r="EQA21" s="2866"/>
      <c r="EQB21" s="2827"/>
      <c r="EQC21" s="2867"/>
      <c r="EQD21" s="2866"/>
      <c r="EQE21" s="2827"/>
      <c r="EQF21" s="2867"/>
      <c r="EQG21" s="2866"/>
      <c r="EQH21" s="2827"/>
      <c r="EQI21" s="2867"/>
      <c r="EQJ21" s="2866"/>
      <c r="EQK21" s="2827"/>
      <c r="EQL21" s="2867"/>
      <c r="EQM21" s="2866"/>
      <c r="EQN21" s="2827"/>
      <c r="EQO21" s="2867"/>
      <c r="EQP21" s="2866"/>
      <c r="EQQ21" s="2827"/>
      <c r="EQR21" s="2867"/>
      <c r="EQS21" s="2866"/>
      <c r="EQT21" s="2827"/>
      <c r="EQU21" s="2867"/>
      <c r="EQV21" s="2866"/>
      <c r="EQW21" s="2827"/>
      <c r="EQX21" s="2867"/>
      <c r="EQY21" s="2866"/>
      <c r="EQZ21" s="2827"/>
      <c r="ERA21" s="2867"/>
      <c r="ERB21" s="2866"/>
      <c r="ERC21" s="2827"/>
      <c r="ERD21" s="2867"/>
      <c r="ERE21" s="2866"/>
      <c r="ERF21" s="2827"/>
      <c r="ERG21" s="2867"/>
      <c r="ERH21" s="2866"/>
      <c r="ERI21" s="2827"/>
      <c r="ERJ21" s="2867"/>
      <c r="ERK21" s="2866"/>
      <c r="ERL21" s="2827"/>
      <c r="ERM21" s="2867"/>
      <c r="ERN21" s="2866"/>
      <c r="ERO21" s="2827"/>
      <c r="ERP21" s="2867"/>
      <c r="ERQ21" s="2866"/>
      <c r="ERR21" s="2827"/>
      <c r="ERS21" s="2867"/>
      <c r="ERT21" s="2866"/>
      <c r="ERU21" s="2827"/>
      <c r="ERV21" s="2867"/>
      <c r="ERW21" s="2866"/>
      <c r="ERX21" s="2827"/>
      <c r="ERY21" s="2867"/>
      <c r="ERZ21" s="2866"/>
      <c r="ESA21" s="2827"/>
      <c r="ESB21" s="2867"/>
      <c r="ESC21" s="2866"/>
      <c r="ESD21" s="2827"/>
      <c r="ESE21" s="2867"/>
      <c r="ESF21" s="2866"/>
      <c r="ESG21" s="2827"/>
      <c r="ESH21" s="2867"/>
      <c r="ESI21" s="2866"/>
      <c r="ESJ21" s="2827"/>
      <c r="ESK21" s="2867"/>
      <c r="ESL21" s="2866"/>
      <c r="ESM21" s="2827"/>
      <c r="ESN21" s="2867"/>
      <c r="ESO21" s="2866"/>
      <c r="ESP21" s="2827"/>
      <c r="ESQ21" s="2867"/>
      <c r="ESR21" s="2866"/>
      <c r="ESS21" s="2827"/>
      <c r="EST21" s="2867"/>
      <c r="ESU21" s="2866"/>
      <c r="ESV21" s="2827"/>
      <c r="ESW21" s="2867"/>
      <c r="ESX21" s="2866"/>
      <c r="ESY21" s="2827"/>
      <c r="ESZ21" s="2867"/>
      <c r="ETA21" s="2866"/>
      <c r="ETB21" s="2827"/>
      <c r="ETC21" s="2867"/>
      <c r="ETD21" s="2866"/>
      <c r="ETE21" s="2827"/>
      <c r="ETF21" s="2867"/>
      <c r="ETG21" s="2866"/>
      <c r="ETH21" s="2827"/>
      <c r="ETI21" s="2867"/>
      <c r="ETJ21" s="2866"/>
      <c r="ETK21" s="2827"/>
      <c r="ETL21" s="2867"/>
      <c r="ETM21" s="2866"/>
      <c r="ETN21" s="2827"/>
      <c r="ETO21" s="2867"/>
      <c r="ETP21" s="2866"/>
      <c r="ETQ21" s="2827"/>
      <c r="ETR21" s="2867"/>
      <c r="ETS21" s="2866"/>
      <c r="ETT21" s="2827"/>
      <c r="ETU21" s="2867"/>
      <c r="ETV21" s="2866"/>
      <c r="ETW21" s="2827"/>
      <c r="ETX21" s="2867"/>
      <c r="ETY21" s="2866"/>
      <c r="ETZ21" s="2827"/>
      <c r="EUA21" s="2867"/>
      <c r="EUB21" s="2866"/>
      <c r="EUC21" s="2827"/>
      <c r="EUD21" s="2867"/>
      <c r="EUE21" s="2866"/>
      <c r="EUF21" s="2827"/>
      <c r="EUG21" s="2867"/>
      <c r="EUH21" s="2866"/>
      <c r="EUI21" s="2827"/>
      <c r="EUJ21" s="2867"/>
      <c r="EUK21" s="2866"/>
      <c r="EUL21" s="2827"/>
      <c r="EUM21" s="2867"/>
      <c r="EUN21" s="2866"/>
      <c r="EUO21" s="2827"/>
      <c r="EUP21" s="2867"/>
      <c r="EUQ21" s="2866"/>
      <c r="EUR21" s="2827"/>
      <c r="EUS21" s="2867"/>
      <c r="EUT21" s="2866"/>
      <c r="EUU21" s="2827"/>
      <c r="EUV21" s="2867"/>
      <c r="EUW21" s="2866"/>
      <c r="EUX21" s="2827"/>
      <c r="EUY21" s="2867"/>
      <c r="EUZ21" s="2866"/>
      <c r="EVA21" s="2827"/>
      <c r="EVB21" s="2867"/>
      <c r="EVC21" s="2866"/>
      <c r="EVD21" s="2827"/>
      <c r="EVE21" s="2867"/>
      <c r="EVF21" s="2866"/>
      <c r="EVG21" s="2827"/>
      <c r="EVH21" s="2867"/>
      <c r="EVI21" s="2866"/>
      <c r="EVJ21" s="2827"/>
      <c r="EVK21" s="2867"/>
      <c r="EVL21" s="2866"/>
      <c r="EVM21" s="2827"/>
      <c r="EVN21" s="2867"/>
      <c r="EVO21" s="2866"/>
      <c r="EVP21" s="2827"/>
      <c r="EVQ21" s="2867"/>
      <c r="EVR21" s="2866"/>
      <c r="EVS21" s="2827"/>
      <c r="EVT21" s="2867"/>
      <c r="EVU21" s="2866"/>
      <c r="EVV21" s="2827"/>
      <c r="EVW21" s="2867"/>
      <c r="EVX21" s="2866"/>
      <c r="EVY21" s="2827"/>
      <c r="EVZ21" s="2867"/>
      <c r="EWA21" s="2866"/>
      <c r="EWB21" s="2827"/>
      <c r="EWC21" s="2867"/>
      <c r="EWD21" s="2866"/>
      <c r="EWE21" s="2827"/>
      <c r="EWF21" s="2867"/>
      <c r="EWG21" s="2866"/>
      <c r="EWH21" s="2827"/>
      <c r="EWI21" s="2867"/>
      <c r="EWJ21" s="2866"/>
      <c r="EWK21" s="2827"/>
      <c r="EWL21" s="2867"/>
      <c r="EWM21" s="2866"/>
      <c r="EWN21" s="2827"/>
      <c r="EWO21" s="2867"/>
      <c r="EWP21" s="2866"/>
      <c r="EWQ21" s="2827"/>
      <c r="EWR21" s="2867"/>
      <c r="EWS21" s="2866"/>
      <c r="EWT21" s="2827"/>
      <c r="EWU21" s="2867"/>
      <c r="EWV21" s="2866"/>
      <c r="EWW21" s="2827"/>
      <c r="EWX21" s="2867"/>
      <c r="EWY21" s="2866"/>
      <c r="EWZ21" s="2827"/>
      <c r="EXA21" s="2867"/>
      <c r="EXB21" s="2866"/>
      <c r="EXC21" s="2827"/>
      <c r="EXD21" s="2867"/>
      <c r="EXE21" s="2866"/>
      <c r="EXF21" s="2827"/>
      <c r="EXG21" s="2867"/>
      <c r="EXH21" s="2866"/>
      <c r="EXI21" s="2827"/>
      <c r="EXJ21" s="2867"/>
      <c r="EXK21" s="2866"/>
      <c r="EXL21" s="2827"/>
      <c r="EXM21" s="2867"/>
      <c r="EXN21" s="2866"/>
      <c r="EXO21" s="2827"/>
      <c r="EXP21" s="2867"/>
      <c r="EXQ21" s="2866"/>
      <c r="EXR21" s="2827"/>
      <c r="EXS21" s="2867"/>
      <c r="EXT21" s="2866"/>
      <c r="EXU21" s="2827"/>
      <c r="EXV21" s="2867"/>
      <c r="EXW21" s="2866"/>
      <c r="EXX21" s="2827"/>
      <c r="EXY21" s="2867"/>
      <c r="EXZ21" s="2866"/>
      <c r="EYA21" s="2827"/>
      <c r="EYB21" s="2867"/>
      <c r="EYC21" s="2866"/>
      <c r="EYD21" s="2827"/>
      <c r="EYE21" s="2867"/>
      <c r="EYF21" s="2866"/>
      <c r="EYG21" s="2827"/>
      <c r="EYH21" s="2867"/>
      <c r="EYI21" s="2866"/>
      <c r="EYJ21" s="2827"/>
      <c r="EYK21" s="2867"/>
      <c r="EYL21" s="2866"/>
      <c r="EYM21" s="2827"/>
      <c r="EYN21" s="2867"/>
      <c r="EYO21" s="2866"/>
      <c r="EYP21" s="2827"/>
      <c r="EYQ21" s="2867"/>
      <c r="EYR21" s="2866"/>
      <c r="EYS21" s="2827"/>
      <c r="EYT21" s="2867"/>
      <c r="EYU21" s="2866"/>
      <c r="EYV21" s="2827"/>
      <c r="EYW21" s="2867"/>
      <c r="EYX21" s="2866"/>
      <c r="EYY21" s="2827"/>
      <c r="EYZ21" s="2867"/>
      <c r="EZA21" s="2866"/>
      <c r="EZB21" s="2827"/>
      <c r="EZC21" s="2867"/>
      <c r="EZD21" s="2866"/>
      <c r="EZE21" s="2827"/>
      <c r="EZF21" s="2867"/>
      <c r="EZG21" s="2866"/>
      <c r="EZH21" s="2827"/>
      <c r="EZI21" s="2867"/>
      <c r="EZJ21" s="2866"/>
      <c r="EZK21" s="2827"/>
      <c r="EZL21" s="2867"/>
      <c r="EZM21" s="2866"/>
      <c r="EZN21" s="2827"/>
      <c r="EZO21" s="2867"/>
      <c r="EZP21" s="2866"/>
      <c r="EZQ21" s="2827"/>
      <c r="EZR21" s="2867"/>
      <c r="EZS21" s="2866"/>
      <c r="EZT21" s="2827"/>
      <c r="EZU21" s="2867"/>
      <c r="EZV21" s="2866"/>
      <c r="EZW21" s="2827"/>
      <c r="EZX21" s="2867"/>
      <c r="EZY21" s="2866"/>
      <c r="EZZ21" s="2827"/>
      <c r="FAA21" s="2867"/>
      <c r="FAB21" s="2866"/>
      <c r="FAC21" s="2827"/>
      <c r="FAD21" s="2867"/>
      <c r="FAE21" s="2866"/>
      <c r="FAF21" s="2827"/>
      <c r="FAG21" s="2867"/>
      <c r="FAH21" s="2866"/>
      <c r="FAI21" s="2827"/>
      <c r="FAJ21" s="2867"/>
      <c r="FAK21" s="2866"/>
      <c r="FAL21" s="2827"/>
      <c r="FAM21" s="2867"/>
      <c r="FAN21" s="2866"/>
      <c r="FAO21" s="2827"/>
      <c r="FAP21" s="2867"/>
      <c r="FAQ21" s="2866"/>
      <c r="FAR21" s="2827"/>
      <c r="FAS21" s="2867"/>
      <c r="FAT21" s="2866"/>
      <c r="FAU21" s="2827"/>
      <c r="FAV21" s="2867"/>
      <c r="FAW21" s="2866"/>
      <c r="FAX21" s="2827"/>
      <c r="FAY21" s="2867"/>
      <c r="FAZ21" s="2866"/>
      <c r="FBA21" s="2827"/>
      <c r="FBB21" s="2867"/>
      <c r="FBC21" s="2866"/>
      <c r="FBD21" s="2827"/>
      <c r="FBE21" s="2867"/>
      <c r="FBF21" s="2866"/>
      <c r="FBG21" s="2827"/>
      <c r="FBH21" s="2867"/>
      <c r="FBI21" s="2866"/>
      <c r="FBJ21" s="2827"/>
      <c r="FBK21" s="2867"/>
      <c r="FBL21" s="2866"/>
      <c r="FBM21" s="2827"/>
      <c r="FBN21" s="2867"/>
      <c r="FBO21" s="2866"/>
      <c r="FBP21" s="2827"/>
      <c r="FBQ21" s="2867"/>
      <c r="FBR21" s="2866"/>
      <c r="FBS21" s="2827"/>
      <c r="FBT21" s="2867"/>
      <c r="FBU21" s="2866"/>
      <c r="FBV21" s="2827"/>
      <c r="FBW21" s="2867"/>
      <c r="FBX21" s="2866"/>
      <c r="FBY21" s="2827"/>
      <c r="FBZ21" s="2867"/>
      <c r="FCA21" s="2866"/>
      <c r="FCB21" s="2827"/>
      <c r="FCC21" s="2867"/>
      <c r="FCD21" s="2866"/>
      <c r="FCE21" s="2827"/>
      <c r="FCF21" s="2867"/>
      <c r="FCG21" s="2866"/>
      <c r="FCH21" s="2827"/>
      <c r="FCI21" s="2867"/>
      <c r="FCJ21" s="2866"/>
      <c r="FCK21" s="2827"/>
      <c r="FCL21" s="2867"/>
      <c r="FCM21" s="2866"/>
      <c r="FCN21" s="2827"/>
      <c r="FCO21" s="2867"/>
      <c r="FCP21" s="2866"/>
      <c r="FCQ21" s="2827"/>
      <c r="FCR21" s="2867"/>
      <c r="FCS21" s="2866"/>
      <c r="FCT21" s="2827"/>
      <c r="FCU21" s="2867"/>
      <c r="FCV21" s="2866"/>
      <c r="FCW21" s="2827"/>
      <c r="FCX21" s="2867"/>
      <c r="FCY21" s="2866"/>
      <c r="FCZ21" s="2827"/>
      <c r="FDA21" s="2867"/>
      <c r="FDB21" s="2866"/>
      <c r="FDC21" s="2827"/>
      <c r="FDD21" s="2867"/>
      <c r="FDE21" s="2866"/>
      <c r="FDF21" s="2827"/>
      <c r="FDG21" s="2867"/>
      <c r="FDH21" s="2866"/>
      <c r="FDI21" s="2827"/>
      <c r="FDJ21" s="2867"/>
      <c r="FDK21" s="2866"/>
      <c r="FDL21" s="2827"/>
      <c r="FDM21" s="2867"/>
      <c r="FDN21" s="2866"/>
      <c r="FDO21" s="2827"/>
      <c r="FDP21" s="2867"/>
      <c r="FDQ21" s="2866"/>
      <c r="FDR21" s="2827"/>
      <c r="FDS21" s="2867"/>
      <c r="FDT21" s="2866"/>
      <c r="FDU21" s="2827"/>
      <c r="FDV21" s="2867"/>
      <c r="FDW21" s="2866"/>
      <c r="FDX21" s="2827"/>
      <c r="FDY21" s="2867"/>
      <c r="FDZ21" s="2866"/>
      <c r="FEA21" s="2827"/>
      <c r="FEB21" s="2867"/>
      <c r="FEC21" s="2866"/>
      <c r="FED21" s="2827"/>
      <c r="FEE21" s="2867"/>
      <c r="FEF21" s="2866"/>
      <c r="FEG21" s="2827"/>
      <c r="FEH21" s="2867"/>
      <c r="FEI21" s="2866"/>
      <c r="FEJ21" s="2827"/>
      <c r="FEK21" s="2867"/>
      <c r="FEL21" s="2866"/>
      <c r="FEM21" s="2827"/>
      <c r="FEN21" s="2867"/>
      <c r="FEO21" s="2866"/>
      <c r="FEP21" s="2827"/>
      <c r="FEQ21" s="2867"/>
      <c r="FER21" s="2866"/>
      <c r="FES21" s="2827"/>
      <c r="FET21" s="2867"/>
      <c r="FEU21" s="2866"/>
      <c r="FEV21" s="2827"/>
      <c r="FEW21" s="2867"/>
      <c r="FEX21" s="2866"/>
      <c r="FEY21" s="2827"/>
      <c r="FEZ21" s="2867"/>
      <c r="FFA21" s="2866"/>
      <c r="FFB21" s="2827"/>
      <c r="FFC21" s="2867"/>
      <c r="FFD21" s="2866"/>
      <c r="FFE21" s="2827"/>
      <c r="FFF21" s="2867"/>
      <c r="FFG21" s="2866"/>
      <c r="FFH21" s="2827"/>
      <c r="FFI21" s="2867"/>
      <c r="FFJ21" s="2866"/>
      <c r="FFK21" s="2827"/>
      <c r="FFL21" s="2867"/>
      <c r="FFM21" s="2866"/>
      <c r="FFN21" s="2827"/>
      <c r="FFO21" s="2867"/>
      <c r="FFP21" s="2866"/>
      <c r="FFQ21" s="2827"/>
      <c r="FFR21" s="2867"/>
      <c r="FFS21" s="2866"/>
      <c r="FFT21" s="2827"/>
      <c r="FFU21" s="2867"/>
      <c r="FFV21" s="2866"/>
      <c r="FFW21" s="2827"/>
      <c r="FFX21" s="2867"/>
      <c r="FFY21" s="2866"/>
      <c r="FFZ21" s="2827"/>
      <c r="FGA21" s="2867"/>
      <c r="FGB21" s="2866"/>
      <c r="FGC21" s="2827"/>
      <c r="FGD21" s="2867"/>
      <c r="FGE21" s="2866"/>
      <c r="FGF21" s="2827"/>
      <c r="FGG21" s="2867"/>
      <c r="FGH21" s="2866"/>
      <c r="FGI21" s="2827"/>
      <c r="FGJ21" s="2867"/>
      <c r="FGK21" s="2866"/>
      <c r="FGL21" s="2827"/>
      <c r="FGM21" s="2867"/>
      <c r="FGN21" s="2866"/>
      <c r="FGO21" s="2827"/>
      <c r="FGP21" s="2867"/>
      <c r="FGQ21" s="2866"/>
      <c r="FGR21" s="2827"/>
      <c r="FGS21" s="2867"/>
      <c r="FGT21" s="2866"/>
      <c r="FGU21" s="2827"/>
      <c r="FGV21" s="2867"/>
      <c r="FGW21" s="2866"/>
      <c r="FGX21" s="2827"/>
      <c r="FGY21" s="2867"/>
      <c r="FGZ21" s="2866"/>
      <c r="FHA21" s="2827"/>
      <c r="FHB21" s="2867"/>
      <c r="FHC21" s="2866"/>
      <c r="FHD21" s="2827"/>
      <c r="FHE21" s="2867"/>
      <c r="FHF21" s="2866"/>
      <c r="FHG21" s="2827"/>
      <c r="FHH21" s="2867"/>
      <c r="FHI21" s="2866"/>
      <c r="FHJ21" s="2827"/>
      <c r="FHK21" s="2867"/>
      <c r="FHL21" s="2866"/>
      <c r="FHM21" s="2827"/>
      <c r="FHN21" s="2867"/>
      <c r="FHO21" s="2866"/>
      <c r="FHP21" s="2827"/>
      <c r="FHQ21" s="2867"/>
      <c r="FHR21" s="2866"/>
      <c r="FHS21" s="2827"/>
      <c r="FHT21" s="2867"/>
      <c r="FHU21" s="2866"/>
      <c r="FHV21" s="2827"/>
      <c r="FHW21" s="2867"/>
      <c r="FHX21" s="2866"/>
      <c r="FHY21" s="2827"/>
      <c r="FHZ21" s="2867"/>
      <c r="FIA21" s="2866"/>
      <c r="FIB21" s="2827"/>
      <c r="FIC21" s="2867"/>
      <c r="FID21" s="2866"/>
      <c r="FIE21" s="2827"/>
      <c r="FIF21" s="2867"/>
      <c r="FIG21" s="2866"/>
      <c r="FIH21" s="2827"/>
      <c r="FII21" s="2867"/>
      <c r="FIJ21" s="2866"/>
      <c r="FIK21" s="2827"/>
      <c r="FIL21" s="2867"/>
      <c r="FIM21" s="2866"/>
      <c r="FIN21" s="2827"/>
      <c r="FIO21" s="2867"/>
      <c r="FIP21" s="2866"/>
      <c r="FIQ21" s="2827"/>
      <c r="FIR21" s="2867"/>
      <c r="FIS21" s="2866"/>
      <c r="FIT21" s="2827"/>
      <c r="FIU21" s="2867"/>
      <c r="FIV21" s="2866"/>
      <c r="FIW21" s="2827"/>
      <c r="FIX21" s="2867"/>
      <c r="FIY21" s="2866"/>
      <c r="FIZ21" s="2827"/>
      <c r="FJA21" s="2867"/>
      <c r="FJB21" s="2866"/>
      <c r="FJC21" s="2827"/>
      <c r="FJD21" s="2867"/>
      <c r="FJE21" s="2866"/>
      <c r="FJF21" s="2827"/>
      <c r="FJG21" s="2867"/>
      <c r="FJH21" s="2866"/>
      <c r="FJI21" s="2827"/>
      <c r="FJJ21" s="2867"/>
      <c r="FJK21" s="2866"/>
      <c r="FJL21" s="2827"/>
      <c r="FJM21" s="2867"/>
      <c r="FJN21" s="2866"/>
      <c r="FJO21" s="2827"/>
      <c r="FJP21" s="2867"/>
      <c r="FJQ21" s="2866"/>
      <c r="FJR21" s="2827"/>
      <c r="FJS21" s="2867"/>
      <c r="FJT21" s="2866"/>
      <c r="FJU21" s="2827"/>
      <c r="FJV21" s="2867"/>
      <c r="FJW21" s="2866"/>
      <c r="FJX21" s="2827"/>
      <c r="FJY21" s="2867"/>
      <c r="FJZ21" s="2866"/>
      <c r="FKA21" s="2827"/>
      <c r="FKB21" s="2867"/>
      <c r="FKC21" s="2866"/>
      <c r="FKD21" s="2827"/>
      <c r="FKE21" s="2867"/>
      <c r="FKF21" s="2866"/>
      <c r="FKG21" s="2827"/>
      <c r="FKH21" s="2867"/>
      <c r="FKI21" s="2866"/>
      <c r="FKJ21" s="2827"/>
      <c r="FKK21" s="2867"/>
      <c r="FKL21" s="2866"/>
      <c r="FKM21" s="2827"/>
      <c r="FKN21" s="2867"/>
      <c r="FKO21" s="2866"/>
      <c r="FKP21" s="2827"/>
      <c r="FKQ21" s="2867"/>
      <c r="FKR21" s="2866"/>
      <c r="FKS21" s="2827"/>
      <c r="FKT21" s="2867"/>
      <c r="FKU21" s="2866"/>
      <c r="FKV21" s="2827"/>
      <c r="FKW21" s="2867"/>
      <c r="FKX21" s="2866"/>
      <c r="FKY21" s="2827"/>
      <c r="FKZ21" s="2867"/>
      <c r="FLA21" s="2866"/>
      <c r="FLB21" s="2827"/>
      <c r="FLC21" s="2867"/>
      <c r="FLD21" s="2866"/>
      <c r="FLE21" s="2827"/>
      <c r="FLF21" s="2867"/>
      <c r="FLG21" s="2866"/>
      <c r="FLH21" s="2827"/>
      <c r="FLI21" s="2867"/>
      <c r="FLJ21" s="2866"/>
      <c r="FLK21" s="2827"/>
      <c r="FLL21" s="2867"/>
      <c r="FLM21" s="2866"/>
      <c r="FLN21" s="2827"/>
      <c r="FLO21" s="2867"/>
      <c r="FLP21" s="2866"/>
      <c r="FLQ21" s="2827"/>
      <c r="FLR21" s="2867"/>
      <c r="FLS21" s="2866"/>
      <c r="FLT21" s="2827"/>
      <c r="FLU21" s="2867"/>
      <c r="FLV21" s="2866"/>
      <c r="FLW21" s="2827"/>
      <c r="FLX21" s="2867"/>
      <c r="FLY21" s="2866"/>
      <c r="FLZ21" s="2827"/>
      <c r="FMA21" s="2867"/>
      <c r="FMB21" s="2866"/>
      <c r="FMC21" s="2827"/>
      <c r="FMD21" s="2867"/>
      <c r="FME21" s="2866"/>
      <c r="FMF21" s="2827"/>
      <c r="FMG21" s="2867"/>
      <c r="FMH21" s="2866"/>
      <c r="FMI21" s="2827"/>
      <c r="FMJ21" s="2867"/>
      <c r="FMK21" s="2866"/>
      <c r="FML21" s="2827"/>
      <c r="FMM21" s="2867"/>
      <c r="FMN21" s="2866"/>
      <c r="FMO21" s="2827"/>
      <c r="FMP21" s="2867"/>
      <c r="FMQ21" s="2866"/>
      <c r="FMR21" s="2827"/>
      <c r="FMS21" s="2867"/>
      <c r="FMT21" s="2866"/>
      <c r="FMU21" s="2827"/>
      <c r="FMV21" s="2867"/>
      <c r="FMW21" s="2866"/>
      <c r="FMX21" s="2827"/>
      <c r="FMY21" s="2867"/>
      <c r="FMZ21" s="2866"/>
      <c r="FNA21" s="2827"/>
      <c r="FNB21" s="2867"/>
      <c r="FNC21" s="2866"/>
      <c r="FND21" s="2827"/>
      <c r="FNE21" s="2867"/>
      <c r="FNF21" s="2866"/>
      <c r="FNG21" s="2827"/>
      <c r="FNH21" s="2867"/>
      <c r="FNI21" s="2866"/>
      <c r="FNJ21" s="2827"/>
      <c r="FNK21" s="2867"/>
      <c r="FNL21" s="2866"/>
      <c r="FNM21" s="2827"/>
      <c r="FNN21" s="2867"/>
      <c r="FNO21" s="2866"/>
      <c r="FNP21" s="2827"/>
      <c r="FNQ21" s="2867"/>
      <c r="FNR21" s="2866"/>
      <c r="FNS21" s="2827"/>
      <c r="FNT21" s="2867"/>
      <c r="FNU21" s="2866"/>
      <c r="FNV21" s="2827"/>
      <c r="FNW21" s="2867"/>
      <c r="FNX21" s="2866"/>
      <c r="FNY21" s="2827"/>
      <c r="FNZ21" s="2867"/>
      <c r="FOA21" s="2866"/>
      <c r="FOB21" s="2827"/>
      <c r="FOC21" s="2867"/>
      <c r="FOD21" s="2866"/>
      <c r="FOE21" s="2827"/>
      <c r="FOF21" s="2867"/>
      <c r="FOG21" s="2866"/>
      <c r="FOH21" s="2827"/>
      <c r="FOI21" s="2867"/>
      <c r="FOJ21" s="2866"/>
      <c r="FOK21" s="2827"/>
      <c r="FOL21" s="2867"/>
      <c r="FOM21" s="2866"/>
      <c r="FON21" s="2827"/>
      <c r="FOO21" s="2867"/>
      <c r="FOP21" s="2866"/>
      <c r="FOQ21" s="2827"/>
      <c r="FOR21" s="2867"/>
      <c r="FOS21" s="2866"/>
      <c r="FOT21" s="2827"/>
      <c r="FOU21" s="2867"/>
      <c r="FOV21" s="2866"/>
      <c r="FOW21" s="2827"/>
      <c r="FOX21" s="2867"/>
      <c r="FOY21" s="2866"/>
      <c r="FOZ21" s="2827"/>
      <c r="FPA21" s="2867"/>
      <c r="FPB21" s="2866"/>
      <c r="FPC21" s="2827"/>
      <c r="FPD21" s="2867"/>
      <c r="FPE21" s="2866"/>
      <c r="FPF21" s="2827"/>
      <c r="FPG21" s="2867"/>
      <c r="FPH21" s="2866"/>
      <c r="FPI21" s="2827"/>
      <c r="FPJ21" s="2867"/>
      <c r="FPK21" s="2866"/>
      <c r="FPL21" s="2827"/>
      <c r="FPM21" s="2867"/>
      <c r="FPN21" s="2866"/>
      <c r="FPO21" s="2827"/>
      <c r="FPP21" s="2867"/>
      <c r="FPQ21" s="2866"/>
      <c r="FPR21" s="2827"/>
      <c r="FPS21" s="2867"/>
      <c r="FPT21" s="2866"/>
      <c r="FPU21" s="2827"/>
      <c r="FPV21" s="2867"/>
      <c r="FPW21" s="2866"/>
      <c r="FPX21" s="2827"/>
      <c r="FPY21" s="2867"/>
      <c r="FPZ21" s="2866"/>
      <c r="FQA21" s="2827"/>
      <c r="FQB21" s="2867"/>
      <c r="FQC21" s="2866"/>
      <c r="FQD21" s="2827"/>
      <c r="FQE21" s="2867"/>
      <c r="FQF21" s="2866"/>
      <c r="FQG21" s="2827"/>
      <c r="FQH21" s="2867"/>
      <c r="FQI21" s="2866"/>
      <c r="FQJ21" s="2827"/>
      <c r="FQK21" s="2867"/>
      <c r="FQL21" s="2866"/>
      <c r="FQM21" s="2827"/>
      <c r="FQN21" s="2867"/>
      <c r="FQO21" s="2866"/>
      <c r="FQP21" s="2827"/>
      <c r="FQQ21" s="2867"/>
      <c r="FQR21" s="2866"/>
      <c r="FQS21" s="2827"/>
      <c r="FQT21" s="2867"/>
      <c r="FQU21" s="2866"/>
      <c r="FQV21" s="2827"/>
      <c r="FQW21" s="2867"/>
      <c r="FQX21" s="2866"/>
      <c r="FQY21" s="2827"/>
      <c r="FQZ21" s="2867"/>
      <c r="FRA21" s="2866"/>
      <c r="FRB21" s="2827"/>
      <c r="FRC21" s="2867"/>
      <c r="FRD21" s="2866"/>
      <c r="FRE21" s="2827"/>
      <c r="FRF21" s="2867"/>
      <c r="FRG21" s="2866"/>
      <c r="FRH21" s="2827"/>
      <c r="FRI21" s="2867"/>
      <c r="FRJ21" s="2866"/>
      <c r="FRK21" s="2827"/>
      <c r="FRL21" s="2867"/>
      <c r="FRM21" s="2866"/>
      <c r="FRN21" s="2827"/>
      <c r="FRO21" s="2867"/>
      <c r="FRP21" s="2866"/>
      <c r="FRQ21" s="2827"/>
      <c r="FRR21" s="2867"/>
      <c r="FRS21" s="2866"/>
      <c r="FRT21" s="2827"/>
      <c r="FRU21" s="2867"/>
      <c r="FRV21" s="2866"/>
      <c r="FRW21" s="2827"/>
      <c r="FRX21" s="2867"/>
      <c r="FRY21" s="2866"/>
      <c r="FRZ21" s="2827"/>
      <c r="FSA21" s="2867"/>
      <c r="FSB21" s="2866"/>
      <c r="FSC21" s="2827"/>
      <c r="FSD21" s="2867"/>
      <c r="FSE21" s="2866"/>
      <c r="FSF21" s="2827"/>
      <c r="FSG21" s="2867"/>
      <c r="FSH21" s="2866"/>
      <c r="FSI21" s="2827"/>
      <c r="FSJ21" s="2867"/>
      <c r="FSK21" s="2866"/>
      <c r="FSL21" s="2827"/>
      <c r="FSM21" s="2867"/>
      <c r="FSN21" s="2866"/>
      <c r="FSO21" s="2827"/>
      <c r="FSP21" s="2867"/>
      <c r="FSQ21" s="2866"/>
      <c r="FSR21" s="2827"/>
      <c r="FSS21" s="2867"/>
      <c r="FST21" s="2866"/>
      <c r="FSU21" s="2827"/>
      <c r="FSV21" s="2867"/>
      <c r="FSW21" s="2866"/>
      <c r="FSX21" s="2827"/>
      <c r="FSY21" s="2867"/>
      <c r="FSZ21" s="2866"/>
      <c r="FTA21" s="2827"/>
      <c r="FTB21" s="2867"/>
      <c r="FTC21" s="2866"/>
      <c r="FTD21" s="2827"/>
      <c r="FTE21" s="2867"/>
      <c r="FTF21" s="2866"/>
      <c r="FTG21" s="2827"/>
      <c r="FTH21" s="2867"/>
      <c r="FTI21" s="2866"/>
      <c r="FTJ21" s="2827"/>
      <c r="FTK21" s="2867"/>
      <c r="FTL21" s="2866"/>
      <c r="FTM21" s="2827"/>
      <c r="FTN21" s="2867"/>
      <c r="FTO21" s="2866"/>
      <c r="FTP21" s="2827"/>
      <c r="FTQ21" s="2867"/>
      <c r="FTR21" s="2866"/>
      <c r="FTS21" s="2827"/>
      <c r="FTT21" s="2867"/>
      <c r="FTU21" s="2866"/>
      <c r="FTV21" s="2827"/>
      <c r="FTW21" s="2867"/>
      <c r="FTX21" s="2866"/>
      <c r="FTY21" s="2827"/>
      <c r="FTZ21" s="2867"/>
      <c r="FUA21" s="2866"/>
      <c r="FUB21" s="2827"/>
      <c r="FUC21" s="2867"/>
      <c r="FUD21" s="2866"/>
      <c r="FUE21" s="2827"/>
      <c r="FUF21" s="2867"/>
      <c r="FUG21" s="2866"/>
      <c r="FUH21" s="2827"/>
      <c r="FUI21" s="2867"/>
      <c r="FUJ21" s="2866"/>
      <c r="FUK21" s="2827"/>
      <c r="FUL21" s="2867"/>
      <c r="FUM21" s="2866"/>
      <c r="FUN21" s="2827"/>
      <c r="FUO21" s="2867"/>
      <c r="FUP21" s="2866"/>
      <c r="FUQ21" s="2827"/>
      <c r="FUR21" s="2867"/>
      <c r="FUS21" s="2866"/>
      <c r="FUT21" s="2827"/>
      <c r="FUU21" s="2867"/>
      <c r="FUV21" s="2866"/>
      <c r="FUW21" s="2827"/>
      <c r="FUX21" s="2867"/>
      <c r="FUY21" s="2866"/>
      <c r="FUZ21" s="2827"/>
      <c r="FVA21" s="2867"/>
      <c r="FVB21" s="2866"/>
      <c r="FVC21" s="2827"/>
      <c r="FVD21" s="2867"/>
      <c r="FVE21" s="2866"/>
      <c r="FVF21" s="2827"/>
      <c r="FVG21" s="2867"/>
      <c r="FVH21" s="2866"/>
      <c r="FVI21" s="2827"/>
      <c r="FVJ21" s="2867"/>
      <c r="FVK21" s="2866"/>
      <c r="FVL21" s="2827"/>
      <c r="FVM21" s="2867"/>
      <c r="FVN21" s="2866"/>
      <c r="FVO21" s="2827"/>
      <c r="FVP21" s="2867"/>
      <c r="FVQ21" s="2866"/>
      <c r="FVR21" s="2827"/>
      <c r="FVS21" s="2867"/>
      <c r="FVT21" s="2866"/>
      <c r="FVU21" s="2827"/>
      <c r="FVV21" s="2867"/>
      <c r="FVW21" s="2866"/>
      <c r="FVX21" s="2827"/>
      <c r="FVY21" s="2867"/>
      <c r="FVZ21" s="2866"/>
      <c r="FWA21" s="2827"/>
      <c r="FWB21" s="2867"/>
      <c r="FWC21" s="2866"/>
      <c r="FWD21" s="2827"/>
      <c r="FWE21" s="2867"/>
      <c r="FWF21" s="2866"/>
      <c r="FWG21" s="2827"/>
      <c r="FWH21" s="2867"/>
      <c r="FWI21" s="2866"/>
      <c r="FWJ21" s="2827"/>
      <c r="FWK21" s="2867"/>
      <c r="FWL21" s="2866"/>
      <c r="FWM21" s="2827"/>
      <c r="FWN21" s="2867"/>
      <c r="FWO21" s="2866"/>
      <c r="FWP21" s="2827"/>
      <c r="FWQ21" s="2867"/>
      <c r="FWR21" s="2866"/>
      <c r="FWS21" s="2827"/>
      <c r="FWT21" s="2867"/>
      <c r="FWU21" s="2866"/>
      <c r="FWV21" s="2827"/>
      <c r="FWW21" s="2867"/>
      <c r="FWX21" s="2866"/>
      <c r="FWY21" s="2827"/>
      <c r="FWZ21" s="2867"/>
      <c r="FXA21" s="2866"/>
      <c r="FXB21" s="2827"/>
      <c r="FXC21" s="2867"/>
      <c r="FXD21" s="2866"/>
      <c r="FXE21" s="2827"/>
      <c r="FXF21" s="2867"/>
      <c r="FXG21" s="2866"/>
      <c r="FXH21" s="2827"/>
      <c r="FXI21" s="2867"/>
      <c r="FXJ21" s="2866"/>
      <c r="FXK21" s="2827"/>
      <c r="FXL21" s="2867"/>
      <c r="FXM21" s="2866"/>
      <c r="FXN21" s="2827"/>
      <c r="FXO21" s="2867"/>
      <c r="FXP21" s="2866"/>
      <c r="FXQ21" s="2827"/>
      <c r="FXR21" s="2867"/>
      <c r="FXS21" s="2866"/>
      <c r="FXT21" s="2827"/>
      <c r="FXU21" s="2867"/>
      <c r="FXV21" s="2866"/>
      <c r="FXW21" s="2827"/>
      <c r="FXX21" s="2867"/>
      <c r="FXY21" s="2866"/>
      <c r="FXZ21" s="2827"/>
      <c r="FYA21" s="2867"/>
      <c r="FYB21" s="2866"/>
      <c r="FYC21" s="2827"/>
      <c r="FYD21" s="2867"/>
      <c r="FYE21" s="2866"/>
      <c r="FYF21" s="2827"/>
      <c r="FYG21" s="2867"/>
      <c r="FYH21" s="2866"/>
      <c r="FYI21" s="2827"/>
      <c r="FYJ21" s="2867"/>
      <c r="FYK21" s="2866"/>
      <c r="FYL21" s="2827"/>
      <c r="FYM21" s="2867"/>
      <c r="FYN21" s="2866"/>
      <c r="FYO21" s="2827"/>
      <c r="FYP21" s="2867"/>
      <c r="FYQ21" s="2866"/>
      <c r="FYR21" s="2827"/>
      <c r="FYS21" s="2867"/>
      <c r="FYT21" s="2866"/>
      <c r="FYU21" s="2827"/>
      <c r="FYV21" s="2867"/>
      <c r="FYW21" s="2866"/>
      <c r="FYX21" s="2827"/>
      <c r="FYY21" s="2867"/>
      <c r="FYZ21" s="2866"/>
      <c r="FZA21" s="2827"/>
      <c r="FZB21" s="2867"/>
      <c r="FZC21" s="2866"/>
      <c r="FZD21" s="2827"/>
      <c r="FZE21" s="2867"/>
      <c r="FZF21" s="2866"/>
      <c r="FZG21" s="2827"/>
      <c r="FZH21" s="2867"/>
      <c r="FZI21" s="2866"/>
      <c r="FZJ21" s="2827"/>
      <c r="FZK21" s="2867"/>
      <c r="FZL21" s="2866"/>
      <c r="FZM21" s="2827"/>
      <c r="FZN21" s="2867"/>
      <c r="FZO21" s="2866"/>
      <c r="FZP21" s="2827"/>
      <c r="FZQ21" s="2867"/>
      <c r="FZR21" s="2866"/>
      <c r="FZS21" s="2827"/>
      <c r="FZT21" s="2867"/>
      <c r="FZU21" s="2866"/>
      <c r="FZV21" s="2827"/>
      <c r="FZW21" s="2867"/>
      <c r="FZX21" s="2866"/>
      <c r="FZY21" s="2827"/>
      <c r="FZZ21" s="2867"/>
      <c r="GAA21" s="2866"/>
      <c r="GAB21" s="2827"/>
      <c r="GAC21" s="2867"/>
      <c r="GAD21" s="2866"/>
      <c r="GAE21" s="2827"/>
      <c r="GAF21" s="2867"/>
      <c r="GAG21" s="2866"/>
      <c r="GAH21" s="2827"/>
      <c r="GAI21" s="2867"/>
      <c r="GAJ21" s="2866"/>
      <c r="GAK21" s="2827"/>
      <c r="GAL21" s="2867"/>
      <c r="GAM21" s="2866"/>
      <c r="GAN21" s="2827"/>
      <c r="GAO21" s="2867"/>
      <c r="GAP21" s="2866"/>
      <c r="GAQ21" s="2827"/>
      <c r="GAR21" s="2867"/>
      <c r="GAS21" s="2866"/>
      <c r="GAT21" s="2827"/>
      <c r="GAU21" s="2867"/>
      <c r="GAV21" s="2866"/>
      <c r="GAW21" s="2827"/>
      <c r="GAX21" s="2867"/>
      <c r="GAY21" s="2866"/>
      <c r="GAZ21" s="2827"/>
      <c r="GBA21" s="2867"/>
      <c r="GBB21" s="2866"/>
      <c r="GBC21" s="2827"/>
      <c r="GBD21" s="2867"/>
      <c r="GBE21" s="2866"/>
      <c r="GBF21" s="2827"/>
      <c r="GBG21" s="2867"/>
      <c r="GBH21" s="2866"/>
      <c r="GBI21" s="2827"/>
      <c r="GBJ21" s="2867"/>
      <c r="GBK21" s="2866"/>
      <c r="GBL21" s="2827"/>
      <c r="GBM21" s="2867"/>
      <c r="GBN21" s="2866"/>
      <c r="GBO21" s="2827"/>
      <c r="GBP21" s="2867"/>
      <c r="GBQ21" s="2866"/>
      <c r="GBR21" s="2827"/>
      <c r="GBS21" s="2867"/>
      <c r="GBT21" s="2866"/>
      <c r="GBU21" s="2827"/>
      <c r="GBV21" s="2867"/>
      <c r="GBW21" s="2866"/>
      <c r="GBX21" s="2827"/>
      <c r="GBY21" s="2867"/>
      <c r="GBZ21" s="2866"/>
      <c r="GCA21" s="2827"/>
      <c r="GCB21" s="2867"/>
      <c r="GCC21" s="2866"/>
      <c r="GCD21" s="2827"/>
      <c r="GCE21" s="2867"/>
      <c r="GCF21" s="2866"/>
      <c r="GCG21" s="2827"/>
      <c r="GCH21" s="2867"/>
      <c r="GCI21" s="2866"/>
      <c r="GCJ21" s="2827"/>
      <c r="GCK21" s="2867"/>
      <c r="GCL21" s="2866"/>
      <c r="GCM21" s="2827"/>
      <c r="GCN21" s="2867"/>
      <c r="GCO21" s="2866"/>
      <c r="GCP21" s="2827"/>
      <c r="GCQ21" s="2867"/>
      <c r="GCR21" s="2866"/>
      <c r="GCS21" s="2827"/>
      <c r="GCT21" s="2867"/>
      <c r="GCU21" s="2866"/>
      <c r="GCV21" s="2827"/>
      <c r="GCW21" s="2867"/>
      <c r="GCX21" s="2866"/>
      <c r="GCY21" s="2827"/>
      <c r="GCZ21" s="2867"/>
      <c r="GDA21" s="2866"/>
      <c r="GDB21" s="2827"/>
      <c r="GDC21" s="2867"/>
      <c r="GDD21" s="2866"/>
      <c r="GDE21" s="2827"/>
      <c r="GDF21" s="2867"/>
      <c r="GDG21" s="2866"/>
      <c r="GDH21" s="2827"/>
      <c r="GDI21" s="2867"/>
      <c r="GDJ21" s="2866"/>
      <c r="GDK21" s="2827"/>
      <c r="GDL21" s="2867"/>
      <c r="GDM21" s="2866"/>
      <c r="GDN21" s="2827"/>
      <c r="GDO21" s="2867"/>
      <c r="GDP21" s="2866"/>
      <c r="GDQ21" s="2827"/>
      <c r="GDR21" s="2867"/>
      <c r="GDS21" s="2866"/>
      <c r="GDT21" s="2827"/>
      <c r="GDU21" s="2867"/>
      <c r="GDV21" s="2866"/>
      <c r="GDW21" s="2827"/>
      <c r="GDX21" s="2867"/>
      <c r="GDY21" s="2866"/>
      <c r="GDZ21" s="2827"/>
      <c r="GEA21" s="2867"/>
      <c r="GEB21" s="2866"/>
      <c r="GEC21" s="2827"/>
      <c r="GED21" s="2867"/>
      <c r="GEE21" s="2866"/>
      <c r="GEF21" s="2827"/>
      <c r="GEG21" s="2867"/>
      <c r="GEH21" s="2866"/>
      <c r="GEI21" s="2827"/>
      <c r="GEJ21" s="2867"/>
      <c r="GEK21" s="2866"/>
      <c r="GEL21" s="2827"/>
      <c r="GEM21" s="2867"/>
      <c r="GEN21" s="2866"/>
      <c r="GEO21" s="2827"/>
      <c r="GEP21" s="2867"/>
      <c r="GEQ21" s="2866"/>
      <c r="GER21" s="2827"/>
      <c r="GES21" s="2867"/>
      <c r="GET21" s="2866"/>
      <c r="GEU21" s="2827"/>
      <c r="GEV21" s="2867"/>
      <c r="GEW21" s="2866"/>
      <c r="GEX21" s="2827"/>
      <c r="GEY21" s="2867"/>
      <c r="GEZ21" s="2866"/>
      <c r="GFA21" s="2827"/>
      <c r="GFB21" s="2867"/>
      <c r="GFC21" s="2866"/>
      <c r="GFD21" s="2827"/>
      <c r="GFE21" s="2867"/>
      <c r="GFF21" s="2866"/>
      <c r="GFG21" s="2827"/>
      <c r="GFH21" s="2867"/>
      <c r="GFI21" s="2866"/>
      <c r="GFJ21" s="2827"/>
      <c r="GFK21" s="2867"/>
      <c r="GFL21" s="2866"/>
      <c r="GFM21" s="2827"/>
      <c r="GFN21" s="2867"/>
      <c r="GFO21" s="2866"/>
      <c r="GFP21" s="2827"/>
      <c r="GFQ21" s="2867"/>
      <c r="GFR21" s="2866"/>
      <c r="GFS21" s="2827"/>
      <c r="GFT21" s="2867"/>
      <c r="GFU21" s="2866"/>
      <c r="GFV21" s="2827"/>
      <c r="GFW21" s="2867"/>
      <c r="GFX21" s="2866"/>
      <c r="GFY21" s="2827"/>
      <c r="GFZ21" s="2867"/>
      <c r="GGA21" s="2866"/>
      <c r="GGB21" s="2827"/>
      <c r="GGC21" s="2867"/>
      <c r="GGD21" s="2866"/>
      <c r="GGE21" s="2827"/>
      <c r="GGF21" s="2867"/>
      <c r="GGG21" s="2866"/>
      <c r="GGH21" s="2827"/>
      <c r="GGI21" s="2867"/>
      <c r="GGJ21" s="2866"/>
      <c r="GGK21" s="2827"/>
      <c r="GGL21" s="2867"/>
      <c r="GGM21" s="2866"/>
      <c r="GGN21" s="2827"/>
      <c r="GGO21" s="2867"/>
      <c r="GGP21" s="2866"/>
      <c r="GGQ21" s="2827"/>
      <c r="GGR21" s="2867"/>
      <c r="GGS21" s="2866"/>
      <c r="GGT21" s="2827"/>
      <c r="GGU21" s="2867"/>
      <c r="GGV21" s="2866"/>
      <c r="GGW21" s="2827"/>
      <c r="GGX21" s="2867"/>
      <c r="GGY21" s="2866"/>
      <c r="GGZ21" s="2827"/>
      <c r="GHA21" s="2867"/>
      <c r="GHB21" s="2866"/>
      <c r="GHC21" s="2827"/>
      <c r="GHD21" s="2867"/>
      <c r="GHE21" s="2866"/>
      <c r="GHF21" s="2827"/>
      <c r="GHG21" s="2867"/>
      <c r="GHH21" s="2866"/>
      <c r="GHI21" s="2827"/>
      <c r="GHJ21" s="2867"/>
      <c r="GHK21" s="2866"/>
      <c r="GHL21" s="2827"/>
      <c r="GHM21" s="2867"/>
      <c r="GHN21" s="2866"/>
      <c r="GHO21" s="2827"/>
      <c r="GHP21" s="2867"/>
      <c r="GHQ21" s="2866"/>
      <c r="GHR21" s="2827"/>
      <c r="GHS21" s="2867"/>
      <c r="GHT21" s="2866"/>
      <c r="GHU21" s="2827"/>
      <c r="GHV21" s="2867"/>
      <c r="GHW21" s="2866"/>
      <c r="GHX21" s="2827"/>
      <c r="GHY21" s="2867"/>
      <c r="GHZ21" s="2866"/>
      <c r="GIA21" s="2827"/>
      <c r="GIB21" s="2867"/>
      <c r="GIC21" s="2866"/>
      <c r="GID21" s="2827"/>
      <c r="GIE21" s="2867"/>
      <c r="GIF21" s="2866"/>
      <c r="GIG21" s="2827"/>
      <c r="GIH21" s="2867"/>
      <c r="GII21" s="2866"/>
      <c r="GIJ21" s="2827"/>
      <c r="GIK21" s="2867"/>
      <c r="GIL21" s="2866"/>
      <c r="GIM21" s="2827"/>
      <c r="GIN21" s="2867"/>
      <c r="GIO21" s="2866"/>
      <c r="GIP21" s="2827"/>
      <c r="GIQ21" s="2867"/>
      <c r="GIR21" s="2866"/>
      <c r="GIS21" s="2827"/>
      <c r="GIT21" s="2867"/>
      <c r="GIU21" s="2866"/>
      <c r="GIV21" s="2827"/>
      <c r="GIW21" s="2867"/>
      <c r="GIX21" s="2866"/>
      <c r="GIY21" s="2827"/>
      <c r="GIZ21" s="2867"/>
      <c r="GJA21" s="2866"/>
      <c r="GJB21" s="2827"/>
      <c r="GJC21" s="2867"/>
      <c r="GJD21" s="2866"/>
      <c r="GJE21" s="2827"/>
      <c r="GJF21" s="2867"/>
      <c r="GJG21" s="2866"/>
      <c r="GJH21" s="2827"/>
      <c r="GJI21" s="2867"/>
      <c r="GJJ21" s="2866"/>
      <c r="GJK21" s="2827"/>
      <c r="GJL21" s="2867"/>
      <c r="GJM21" s="2866"/>
      <c r="GJN21" s="2827"/>
      <c r="GJO21" s="2867"/>
      <c r="GJP21" s="2866"/>
      <c r="GJQ21" s="2827"/>
      <c r="GJR21" s="2867"/>
      <c r="GJS21" s="2866"/>
      <c r="GJT21" s="2827"/>
      <c r="GJU21" s="2867"/>
      <c r="GJV21" s="2866"/>
      <c r="GJW21" s="2827"/>
      <c r="GJX21" s="2867"/>
      <c r="GJY21" s="2866"/>
      <c r="GJZ21" s="2827"/>
      <c r="GKA21" s="2867"/>
      <c r="GKB21" s="2866"/>
      <c r="GKC21" s="2827"/>
      <c r="GKD21" s="2867"/>
      <c r="GKE21" s="2866"/>
      <c r="GKF21" s="2827"/>
      <c r="GKG21" s="2867"/>
      <c r="GKH21" s="2866"/>
      <c r="GKI21" s="2827"/>
      <c r="GKJ21" s="2867"/>
      <c r="GKK21" s="2866"/>
      <c r="GKL21" s="2827"/>
      <c r="GKM21" s="2867"/>
      <c r="GKN21" s="2866"/>
      <c r="GKO21" s="2827"/>
      <c r="GKP21" s="2867"/>
      <c r="GKQ21" s="2866"/>
      <c r="GKR21" s="2827"/>
      <c r="GKS21" s="2867"/>
      <c r="GKT21" s="2866"/>
      <c r="GKU21" s="2827"/>
      <c r="GKV21" s="2867"/>
      <c r="GKW21" s="2866"/>
      <c r="GKX21" s="2827"/>
      <c r="GKY21" s="2867"/>
      <c r="GKZ21" s="2866"/>
      <c r="GLA21" s="2827"/>
      <c r="GLB21" s="2867"/>
      <c r="GLC21" s="2866"/>
      <c r="GLD21" s="2827"/>
      <c r="GLE21" s="2867"/>
      <c r="GLF21" s="2866"/>
      <c r="GLG21" s="2827"/>
      <c r="GLH21" s="2867"/>
      <c r="GLI21" s="2866"/>
      <c r="GLJ21" s="2827"/>
      <c r="GLK21" s="2867"/>
      <c r="GLL21" s="2866"/>
      <c r="GLM21" s="2827"/>
      <c r="GLN21" s="2867"/>
      <c r="GLO21" s="2866"/>
      <c r="GLP21" s="2827"/>
      <c r="GLQ21" s="2867"/>
      <c r="GLR21" s="2866"/>
      <c r="GLS21" s="2827"/>
      <c r="GLT21" s="2867"/>
      <c r="GLU21" s="2866"/>
      <c r="GLV21" s="2827"/>
      <c r="GLW21" s="2867"/>
      <c r="GLX21" s="2866"/>
      <c r="GLY21" s="2827"/>
      <c r="GLZ21" s="2867"/>
      <c r="GMA21" s="2866"/>
      <c r="GMB21" s="2827"/>
      <c r="GMC21" s="2867"/>
      <c r="GMD21" s="2866"/>
      <c r="GME21" s="2827"/>
      <c r="GMF21" s="2867"/>
      <c r="GMG21" s="2866"/>
      <c r="GMH21" s="2827"/>
      <c r="GMI21" s="2867"/>
      <c r="GMJ21" s="2866"/>
      <c r="GMK21" s="2827"/>
      <c r="GML21" s="2867"/>
      <c r="GMM21" s="2866"/>
      <c r="GMN21" s="2827"/>
      <c r="GMO21" s="2867"/>
      <c r="GMP21" s="2866"/>
      <c r="GMQ21" s="2827"/>
      <c r="GMR21" s="2867"/>
      <c r="GMS21" s="2866"/>
      <c r="GMT21" s="2827"/>
      <c r="GMU21" s="2867"/>
      <c r="GMV21" s="2866"/>
      <c r="GMW21" s="2827"/>
      <c r="GMX21" s="2867"/>
      <c r="GMY21" s="2866"/>
      <c r="GMZ21" s="2827"/>
      <c r="GNA21" s="2867"/>
      <c r="GNB21" s="2866"/>
      <c r="GNC21" s="2827"/>
      <c r="GND21" s="2867"/>
      <c r="GNE21" s="2866"/>
      <c r="GNF21" s="2827"/>
      <c r="GNG21" s="2867"/>
      <c r="GNH21" s="2866"/>
      <c r="GNI21" s="2827"/>
      <c r="GNJ21" s="2867"/>
      <c r="GNK21" s="2866"/>
      <c r="GNL21" s="2827"/>
      <c r="GNM21" s="2867"/>
      <c r="GNN21" s="2866"/>
      <c r="GNO21" s="2827"/>
      <c r="GNP21" s="2867"/>
      <c r="GNQ21" s="2866"/>
      <c r="GNR21" s="2827"/>
      <c r="GNS21" s="2867"/>
      <c r="GNT21" s="2866"/>
      <c r="GNU21" s="2827"/>
      <c r="GNV21" s="2867"/>
      <c r="GNW21" s="2866"/>
      <c r="GNX21" s="2827"/>
      <c r="GNY21" s="2867"/>
      <c r="GNZ21" s="2866"/>
      <c r="GOA21" s="2827"/>
      <c r="GOB21" s="2867"/>
      <c r="GOC21" s="2866"/>
      <c r="GOD21" s="2827"/>
      <c r="GOE21" s="2867"/>
      <c r="GOF21" s="2866"/>
      <c r="GOG21" s="2827"/>
      <c r="GOH21" s="2867"/>
      <c r="GOI21" s="2866"/>
      <c r="GOJ21" s="2827"/>
      <c r="GOK21" s="2867"/>
      <c r="GOL21" s="2866"/>
      <c r="GOM21" s="2827"/>
      <c r="GON21" s="2867"/>
      <c r="GOO21" s="2866"/>
      <c r="GOP21" s="2827"/>
      <c r="GOQ21" s="2867"/>
      <c r="GOR21" s="2866"/>
      <c r="GOS21" s="2827"/>
      <c r="GOT21" s="2867"/>
      <c r="GOU21" s="2866"/>
      <c r="GOV21" s="2827"/>
      <c r="GOW21" s="2867"/>
      <c r="GOX21" s="2866"/>
      <c r="GOY21" s="2827"/>
      <c r="GOZ21" s="2867"/>
      <c r="GPA21" s="2866"/>
      <c r="GPB21" s="2827"/>
      <c r="GPC21" s="2867"/>
      <c r="GPD21" s="2866"/>
      <c r="GPE21" s="2827"/>
      <c r="GPF21" s="2867"/>
      <c r="GPG21" s="2866"/>
      <c r="GPH21" s="2827"/>
      <c r="GPI21" s="2867"/>
      <c r="GPJ21" s="2866"/>
      <c r="GPK21" s="2827"/>
      <c r="GPL21" s="2867"/>
      <c r="GPM21" s="2866"/>
      <c r="GPN21" s="2827"/>
      <c r="GPO21" s="2867"/>
      <c r="GPP21" s="2866"/>
      <c r="GPQ21" s="2827"/>
      <c r="GPR21" s="2867"/>
      <c r="GPS21" s="2866"/>
      <c r="GPT21" s="2827"/>
      <c r="GPU21" s="2867"/>
      <c r="GPV21" s="2866"/>
      <c r="GPW21" s="2827"/>
      <c r="GPX21" s="2867"/>
      <c r="GPY21" s="2866"/>
      <c r="GPZ21" s="2827"/>
      <c r="GQA21" s="2867"/>
      <c r="GQB21" s="2866"/>
      <c r="GQC21" s="2827"/>
      <c r="GQD21" s="2867"/>
      <c r="GQE21" s="2866"/>
      <c r="GQF21" s="2827"/>
      <c r="GQG21" s="2867"/>
      <c r="GQH21" s="2866"/>
      <c r="GQI21" s="2827"/>
      <c r="GQJ21" s="2867"/>
      <c r="GQK21" s="2866"/>
      <c r="GQL21" s="2827"/>
      <c r="GQM21" s="2867"/>
      <c r="GQN21" s="2866"/>
      <c r="GQO21" s="2827"/>
      <c r="GQP21" s="2867"/>
      <c r="GQQ21" s="2866"/>
      <c r="GQR21" s="2827"/>
      <c r="GQS21" s="2867"/>
      <c r="GQT21" s="2866"/>
      <c r="GQU21" s="2827"/>
      <c r="GQV21" s="2867"/>
      <c r="GQW21" s="2866"/>
      <c r="GQX21" s="2827"/>
      <c r="GQY21" s="2867"/>
      <c r="GQZ21" s="2866"/>
      <c r="GRA21" s="2827"/>
      <c r="GRB21" s="2867"/>
      <c r="GRC21" s="2866"/>
      <c r="GRD21" s="2827"/>
      <c r="GRE21" s="2867"/>
      <c r="GRF21" s="2866"/>
      <c r="GRG21" s="2827"/>
      <c r="GRH21" s="2867"/>
      <c r="GRI21" s="2866"/>
      <c r="GRJ21" s="2827"/>
      <c r="GRK21" s="2867"/>
      <c r="GRL21" s="2866"/>
      <c r="GRM21" s="2827"/>
      <c r="GRN21" s="2867"/>
      <c r="GRO21" s="2866"/>
      <c r="GRP21" s="2827"/>
      <c r="GRQ21" s="2867"/>
      <c r="GRR21" s="2866"/>
      <c r="GRS21" s="2827"/>
      <c r="GRT21" s="2867"/>
      <c r="GRU21" s="2866"/>
      <c r="GRV21" s="2827"/>
      <c r="GRW21" s="2867"/>
      <c r="GRX21" s="2866"/>
      <c r="GRY21" s="2827"/>
      <c r="GRZ21" s="2867"/>
      <c r="GSA21" s="2866"/>
      <c r="GSB21" s="2827"/>
      <c r="GSC21" s="2867"/>
      <c r="GSD21" s="2866"/>
      <c r="GSE21" s="2827"/>
      <c r="GSF21" s="2867"/>
      <c r="GSG21" s="2866"/>
      <c r="GSH21" s="2827"/>
      <c r="GSI21" s="2867"/>
      <c r="GSJ21" s="2866"/>
      <c r="GSK21" s="2827"/>
      <c r="GSL21" s="2867"/>
      <c r="GSM21" s="2866"/>
      <c r="GSN21" s="2827"/>
      <c r="GSO21" s="2867"/>
      <c r="GSP21" s="2866"/>
      <c r="GSQ21" s="2827"/>
      <c r="GSR21" s="2867"/>
      <c r="GSS21" s="2866"/>
      <c r="GST21" s="2827"/>
      <c r="GSU21" s="2867"/>
      <c r="GSV21" s="2866"/>
      <c r="GSW21" s="2827"/>
      <c r="GSX21" s="2867"/>
      <c r="GSY21" s="2866"/>
      <c r="GSZ21" s="2827"/>
      <c r="GTA21" s="2867"/>
      <c r="GTB21" s="2866"/>
      <c r="GTC21" s="2827"/>
      <c r="GTD21" s="2867"/>
      <c r="GTE21" s="2866"/>
      <c r="GTF21" s="2827"/>
      <c r="GTG21" s="2867"/>
      <c r="GTH21" s="2866"/>
      <c r="GTI21" s="2827"/>
      <c r="GTJ21" s="2867"/>
      <c r="GTK21" s="2866"/>
      <c r="GTL21" s="2827"/>
      <c r="GTM21" s="2867"/>
      <c r="GTN21" s="2866"/>
      <c r="GTO21" s="2827"/>
      <c r="GTP21" s="2867"/>
      <c r="GTQ21" s="2866"/>
      <c r="GTR21" s="2827"/>
      <c r="GTS21" s="2867"/>
      <c r="GTT21" s="2866"/>
      <c r="GTU21" s="2827"/>
      <c r="GTV21" s="2867"/>
      <c r="GTW21" s="2866"/>
      <c r="GTX21" s="2827"/>
      <c r="GTY21" s="2867"/>
      <c r="GTZ21" s="2866"/>
      <c r="GUA21" s="2827"/>
      <c r="GUB21" s="2867"/>
      <c r="GUC21" s="2866"/>
      <c r="GUD21" s="2827"/>
      <c r="GUE21" s="2867"/>
      <c r="GUF21" s="2866"/>
      <c r="GUG21" s="2827"/>
      <c r="GUH21" s="2867"/>
      <c r="GUI21" s="2866"/>
      <c r="GUJ21" s="2827"/>
      <c r="GUK21" s="2867"/>
      <c r="GUL21" s="2866"/>
      <c r="GUM21" s="2827"/>
      <c r="GUN21" s="2867"/>
      <c r="GUO21" s="2866"/>
      <c r="GUP21" s="2827"/>
      <c r="GUQ21" s="2867"/>
      <c r="GUR21" s="2866"/>
      <c r="GUS21" s="2827"/>
      <c r="GUT21" s="2867"/>
      <c r="GUU21" s="2866"/>
      <c r="GUV21" s="2827"/>
      <c r="GUW21" s="2867"/>
      <c r="GUX21" s="2866"/>
      <c r="GUY21" s="2827"/>
      <c r="GUZ21" s="2867"/>
      <c r="GVA21" s="2866"/>
      <c r="GVB21" s="2827"/>
      <c r="GVC21" s="2867"/>
      <c r="GVD21" s="2866"/>
      <c r="GVE21" s="2827"/>
      <c r="GVF21" s="2867"/>
      <c r="GVG21" s="2866"/>
      <c r="GVH21" s="2827"/>
      <c r="GVI21" s="2867"/>
      <c r="GVJ21" s="2866"/>
      <c r="GVK21" s="2827"/>
      <c r="GVL21" s="2867"/>
      <c r="GVM21" s="2866"/>
      <c r="GVN21" s="2827"/>
      <c r="GVO21" s="2867"/>
      <c r="GVP21" s="2866"/>
      <c r="GVQ21" s="2827"/>
      <c r="GVR21" s="2867"/>
      <c r="GVS21" s="2866"/>
      <c r="GVT21" s="2827"/>
      <c r="GVU21" s="2867"/>
      <c r="GVV21" s="2866"/>
      <c r="GVW21" s="2827"/>
      <c r="GVX21" s="2867"/>
      <c r="GVY21" s="2866"/>
      <c r="GVZ21" s="2827"/>
      <c r="GWA21" s="2867"/>
      <c r="GWB21" s="2866"/>
      <c r="GWC21" s="2827"/>
      <c r="GWD21" s="2867"/>
      <c r="GWE21" s="2866"/>
      <c r="GWF21" s="2827"/>
      <c r="GWG21" s="2867"/>
      <c r="GWH21" s="2866"/>
      <c r="GWI21" s="2827"/>
      <c r="GWJ21" s="2867"/>
      <c r="GWK21" s="2866"/>
      <c r="GWL21" s="2827"/>
      <c r="GWM21" s="2867"/>
      <c r="GWN21" s="2866"/>
      <c r="GWO21" s="2827"/>
      <c r="GWP21" s="2867"/>
      <c r="GWQ21" s="2866"/>
      <c r="GWR21" s="2827"/>
      <c r="GWS21" s="2867"/>
      <c r="GWT21" s="2866"/>
      <c r="GWU21" s="2827"/>
      <c r="GWV21" s="2867"/>
      <c r="GWW21" s="2866"/>
      <c r="GWX21" s="2827"/>
      <c r="GWY21" s="2867"/>
      <c r="GWZ21" s="2866"/>
      <c r="GXA21" s="2827"/>
      <c r="GXB21" s="2867"/>
      <c r="GXC21" s="2866"/>
      <c r="GXD21" s="2827"/>
      <c r="GXE21" s="2867"/>
      <c r="GXF21" s="2866"/>
      <c r="GXG21" s="2827"/>
      <c r="GXH21" s="2867"/>
      <c r="GXI21" s="2866"/>
      <c r="GXJ21" s="2827"/>
      <c r="GXK21" s="2867"/>
      <c r="GXL21" s="2866"/>
      <c r="GXM21" s="2827"/>
      <c r="GXN21" s="2867"/>
      <c r="GXO21" s="2866"/>
      <c r="GXP21" s="2827"/>
      <c r="GXQ21" s="2867"/>
      <c r="GXR21" s="2866"/>
      <c r="GXS21" s="2827"/>
      <c r="GXT21" s="2867"/>
      <c r="GXU21" s="2866"/>
      <c r="GXV21" s="2827"/>
      <c r="GXW21" s="2867"/>
      <c r="GXX21" s="2866"/>
      <c r="GXY21" s="2827"/>
      <c r="GXZ21" s="2867"/>
      <c r="GYA21" s="2866"/>
      <c r="GYB21" s="2827"/>
      <c r="GYC21" s="2867"/>
      <c r="GYD21" s="2866"/>
      <c r="GYE21" s="2827"/>
      <c r="GYF21" s="2867"/>
      <c r="GYG21" s="2866"/>
      <c r="GYH21" s="2827"/>
      <c r="GYI21" s="2867"/>
      <c r="GYJ21" s="2866"/>
      <c r="GYK21" s="2827"/>
      <c r="GYL21" s="2867"/>
      <c r="GYM21" s="2866"/>
      <c r="GYN21" s="2827"/>
      <c r="GYO21" s="2867"/>
      <c r="GYP21" s="2866"/>
      <c r="GYQ21" s="2827"/>
      <c r="GYR21" s="2867"/>
      <c r="GYS21" s="2866"/>
      <c r="GYT21" s="2827"/>
      <c r="GYU21" s="2867"/>
      <c r="GYV21" s="2866"/>
      <c r="GYW21" s="2827"/>
      <c r="GYX21" s="2867"/>
      <c r="GYY21" s="2866"/>
      <c r="GYZ21" s="2827"/>
      <c r="GZA21" s="2867"/>
      <c r="GZB21" s="2866"/>
      <c r="GZC21" s="2827"/>
      <c r="GZD21" s="2867"/>
      <c r="GZE21" s="2866"/>
      <c r="GZF21" s="2827"/>
      <c r="GZG21" s="2867"/>
      <c r="GZH21" s="2866"/>
      <c r="GZI21" s="2827"/>
      <c r="GZJ21" s="2867"/>
      <c r="GZK21" s="2866"/>
      <c r="GZL21" s="2827"/>
      <c r="GZM21" s="2867"/>
      <c r="GZN21" s="2866"/>
      <c r="GZO21" s="2827"/>
      <c r="GZP21" s="2867"/>
      <c r="GZQ21" s="2866"/>
      <c r="GZR21" s="2827"/>
      <c r="GZS21" s="2867"/>
      <c r="GZT21" s="2866"/>
      <c r="GZU21" s="2827"/>
      <c r="GZV21" s="2867"/>
      <c r="GZW21" s="2866"/>
      <c r="GZX21" s="2827"/>
      <c r="GZY21" s="2867"/>
      <c r="GZZ21" s="2866"/>
      <c r="HAA21" s="2827"/>
      <c r="HAB21" s="2867"/>
      <c r="HAC21" s="2866"/>
      <c r="HAD21" s="2827"/>
      <c r="HAE21" s="2867"/>
      <c r="HAF21" s="2866"/>
      <c r="HAG21" s="2827"/>
      <c r="HAH21" s="2867"/>
      <c r="HAI21" s="2866"/>
      <c r="HAJ21" s="2827"/>
      <c r="HAK21" s="2867"/>
      <c r="HAL21" s="2866"/>
      <c r="HAM21" s="2827"/>
      <c r="HAN21" s="2867"/>
      <c r="HAO21" s="2866"/>
      <c r="HAP21" s="2827"/>
      <c r="HAQ21" s="2867"/>
      <c r="HAR21" s="2866"/>
      <c r="HAS21" s="2827"/>
      <c r="HAT21" s="2867"/>
      <c r="HAU21" s="2866"/>
      <c r="HAV21" s="2827"/>
      <c r="HAW21" s="2867"/>
      <c r="HAX21" s="2866"/>
      <c r="HAY21" s="2827"/>
      <c r="HAZ21" s="2867"/>
      <c r="HBA21" s="2866"/>
      <c r="HBB21" s="2827"/>
      <c r="HBC21" s="2867"/>
      <c r="HBD21" s="2866"/>
      <c r="HBE21" s="2827"/>
      <c r="HBF21" s="2867"/>
      <c r="HBG21" s="2866"/>
      <c r="HBH21" s="2827"/>
      <c r="HBI21" s="2867"/>
      <c r="HBJ21" s="2866"/>
      <c r="HBK21" s="2827"/>
      <c r="HBL21" s="2867"/>
      <c r="HBM21" s="2866"/>
      <c r="HBN21" s="2827"/>
      <c r="HBO21" s="2867"/>
      <c r="HBP21" s="2866"/>
      <c r="HBQ21" s="2827"/>
      <c r="HBR21" s="2867"/>
      <c r="HBS21" s="2866"/>
      <c r="HBT21" s="2827"/>
      <c r="HBU21" s="2867"/>
      <c r="HBV21" s="2866"/>
      <c r="HBW21" s="2827"/>
      <c r="HBX21" s="2867"/>
      <c r="HBY21" s="2866"/>
      <c r="HBZ21" s="2827"/>
      <c r="HCA21" s="2867"/>
      <c r="HCB21" s="2866"/>
      <c r="HCC21" s="2827"/>
      <c r="HCD21" s="2867"/>
      <c r="HCE21" s="2866"/>
      <c r="HCF21" s="2827"/>
      <c r="HCG21" s="2867"/>
      <c r="HCH21" s="2866"/>
      <c r="HCI21" s="2827"/>
      <c r="HCJ21" s="2867"/>
      <c r="HCK21" s="2866"/>
      <c r="HCL21" s="2827"/>
      <c r="HCM21" s="2867"/>
      <c r="HCN21" s="2866"/>
      <c r="HCO21" s="2827"/>
      <c r="HCP21" s="2867"/>
      <c r="HCQ21" s="2866"/>
      <c r="HCR21" s="2827"/>
      <c r="HCS21" s="2867"/>
      <c r="HCT21" s="2866"/>
      <c r="HCU21" s="2827"/>
      <c r="HCV21" s="2867"/>
      <c r="HCW21" s="2866"/>
      <c r="HCX21" s="2827"/>
      <c r="HCY21" s="2867"/>
      <c r="HCZ21" s="2866"/>
      <c r="HDA21" s="2827"/>
      <c r="HDB21" s="2867"/>
      <c r="HDC21" s="2866"/>
      <c r="HDD21" s="2827"/>
      <c r="HDE21" s="2867"/>
      <c r="HDF21" s="2866"/>
      <c r="HDG21" s="2827"/>
      <c r="HDH21" s="2867"/>
      <c r="HDI21" s="2866"/>
      <c r="HDJ21" s="2827"/>
      <c r="HDK21" s="2867"/>
      <c r="HDL21" s="2866"/>
      <c r="HDM21" s="2827"/>
      <c r="HDN21" s="2867"/>
      <c r="HDO21" s="2866"/>
      <c r="HDP21" s="2827"/>
      <c r="HDQ21" s="2867"/>
      <c r="HDR21" s="2866"/>
      <c r="HDS21" s="2827"/>
      <c r="HDT21" s="2867"/>
      <c r="HDU21" s="2866"/>
      <c r="HDV21" s="2827"/>
      <c r="HDW21" s="2867"/>
      <c r="HDX21" s="2866"/>
      <c r="HDY21" s="2827"/>
      <c r="HDZ21" s="2867"/>
      <c r="HEA21" s="2866"/>
      <c r="HEB21" s="2827"/>
      <c r="HEC21" s="2867"/>
      <c r="HED21" s="2866"/>
      <c r="HEE21" s="2827"/>
      <c r="HEF21" s="2867"/>
      <c r="HEG21" s="2866"/>
      <c r="HEH21" s="2827"/>
      <c r="HEI21" s="2867"/>
      <c r="HEJ21" s="2866"/>
      <c r="HEK21" s="2827"/>
      <c r="HEL21" s="2867"/>
      <c r="HEM21" s="2866"/>
      <c r="HEN21" s="2827"/>
      <c r="HEO21" s="2867"/>
      <c r="HEP21" s="2866"/>
      <c r="HEQ21" s="2827"/>
      <c r="HER21" s="2867"/>
      <c r="HES21" s="2866"/>
      <c r="HET21" s="2827"/>
      <c r="HEU21" s="2867"/>
      <c r="HEV21" s="2866"/>
      <c r="HEW21" s="2827"/>
      <c r="HEX21" s="2867"/>
      <c r="HEY21" s="2866"/>
      <c r="HEZ21" s="2827"/>
      <c r="HFA21" s="2867"/>
      <c r="HFB21" s="2866"/>
      <c r="HFC21" s="2827"/>
      <c r="HFD21" s="2867"/>
      <c r="HFE21" s="2866"/>
      <c r="HFF21" s="2827"/>
      <c r="HFG21" s="2867"/>
      <c r="HFH21" s="2866"/>
      <c r="HFI21" s="2827"/>
      <c r="HFJ21" s="2867"/>
      <c r="HFK21" s="2866"/>
      <c r="HFL21" s="2827"/>
      <c r="HFM21" s="2867"/>
      <c r="HFN21" s="2866"/>
      <c r="HFO21" s="2827"/>
      <c r="HFP21" s="2867"/>
      <c r="HFQ21" s="2866"/>
      <c r="HFR21" s="2827"/>
      <c r="HFS21" s="2867"/>
      <c r="HFT21" s="2866"/>
      <c r="HFU21" s="2827"/>
      <c r="HFV21" s="2867"/>
      <c r="HFW21" s="2866"/>
      <c r="HFX21" s="2827"/>
      <c r="HFY21" s="2867"/>
      <c r="HFZ21" s="2866"/>
      <c r="HGA21" s="2827"/>
      <c r="HGB21" s="2867"/>
      <c r="HGC21" s="2866"/>
      <c r="HGD21" s="2827"/>
      <c r="HGE21" s="2867"/>
      <c r="HGF21" s="2866"/>
      <c r="HGG21" s="2827"/>
      <c r="HGH21" s="2867"/>
      <c r="HGI21" s="2866"/>
      <c r="HGJ21" s="2827"/>
      <c r="HGK21" s="2867"/>
      <c r="HGL21" s="2866"/>
      <c r="HGM21" s="2827"/>
      <c r="HGN21" s="2867"/>
      <c r="HGO21" s="2866"/>
      <c r="HGP21" s="2827"/>
      <c r="HGQ21" s="2867"/>
      <c r="HGR21" s="2866"/>
      <c r="HGS21" s="2827"/>
      <c r="HGT21" s="2867"/>
      <c r="HGU21" s="2866"/>
      <c r="HGV21" s="2827"/>
      <c r="HGW21" s="2867"/>
      <c r="HGX21" s="2866"/>
      <c r="HGY21" s="2827"/>
      <c r="HGZ21" s="2867"/>
      <c r="HHA21" s="2866"/>
      <c r="HHB21" s="2827"/>
      <c r="HHC21" s="2867"/>
      <c r="HHD21" s="2866"/>
      <c r="HHE21" s="2827"/>
      <c r="HHF21" s="2867"/>
      <c r="HHG21" s="2866"/>
      <c r="HHH21" s="2827"/>
      <c r="HHI21" s="2867"/>
      <c r="HHJ21" s="2866"/>
      <c r="HHK21" s="2827"/>
      <c r="HHL21" s="2867"/>
      <c r="HHM21" s="2866"/>
      <c r="HHN21" s="2827"/>
      <c r="HHO21" s="2867"/>
      <c r="HHP21" s="2866"/>
      <c r="HHQ21" s="2827"/>
      <c r="HHR21" s="2867"/>
      <c r="HHS21" s="2866"/>
      <c r="HHT21" s="2827"/>
      <c r="HHU21" s="2867"/>
      <c r="HHV21" s="2866"/>
      <c r="HHW21" s="2827"/>
      <c r="HHX21" s="2867"/>
      <c r="HHY21" s="2866"/>
      <c r="HHZ21" s="2827"/>
      <c r="HIA21" s="2867"/>
      <c r="HIB21" s="2866"/>
      <c r="HIC21" s="2827"/>
      <c r="HID21" s="2867"/>
      <c r="HIE21" s="2866"/>
      <c r="HIF21" s="2827"/>
      <c r="HIG21" s="2867"/>
      <c r="HIH21" s="2866"/>
      <c r="HII21" s="2827"/>
      <c r="HIJ21" s="2867"/>
      <c r="HIK21" s="2866"/>
      <c r="HIL21" s="2827"/>
      <c r="HIM21" s="2867"/>
      <c r="HIN21" s="2866"/>
      <c r="HIO21" s="2827"/>
      <c r="HIP21" s="2867"/>
      <c r="HIQ21" s="2866"/>
      <c r="HIR21" s="2827"/>
      <c r="HIS21" s="2867"/>
      <c r="HIT21" s="2866"/>
      <c r="HIU21" s="2827"/>
      <c r="HIV21" s="2867"/>
      <c r="HIW21" s="2866"/>
      <c r="HIX21" s="2827"/>
      <c r="HIY21" s="2867"/>
      <c r="HIZ21" s="2866"/>
      <c r="HJA21" s="2827"/>
      <c r="HJB21" s="2867"/>
      <c r="HJC21" s="2866"/>
      <c r="HJD21" s="2827"/>
      <c r="HJE21" s="2867"/>
      <c r="HJF21" s="2866"/>
      <c r="HJG21" s="2827"/>
      <c r="HJH21" s="2867"/>
      <c r="HJI21" s="2866"/>
      <c r="HJJ21" s="2827"/>
      <c r="HJK21" s="2867"/>
      <c r="HJL21" s="2866"/>
      <c r="HJM21" s="2827"/>
      <c r="HJN21" s="2867"/>
      <c r="HJO21" s="2866"/>
      <c r="HJP21" s="2827"/>
      <c r="HJQ21" s="2867"/>
      <c r="HJR21" s="2866"/>
      <c r="HJS21" s="2827"/>
      <c r="HJT21" s="2867"/>
      <c r="HJU21" s="2866"/>
      <c r="HJV21" s="2827"/>
      <c r="HJW21" s="2867"/>
      <c r="HJX21" s="2866"/>
      <c r="HJY21" s="2827"/>
      <c r="HJZ21" s="2867"/>
      <c r="HKA21" s="2866"/>
      <c r="HKB21" s="2827"/>
      <c r="HKC21" s="2867"/>
      <c r="HKD21" s="2866"/>
      <c r="HKE21" s="2827"/>
      <c r="HKF21" s="2867"/>
      <c r="HKG21" s="2866"/>
      <c r="HKH21" s="2827"/>
      <c r="HKI21" s="2867"/>
      <c r="HKJ21" s="2866"/>
      <c r="HKK21" s="2827"/>
      <c r="HKL21" s="2867"/>
      <c r="HKM21" s="2866"/>
      <c r="HKN21" s="2827"/>
      <c r="HKO21" s="2867"/>
      <c r="HKP21" s="2866"/>
      <c r="HKQ21" s="2827"/>
      <c r="HKR21" s="2867"/>
      <c r="HKS21" s="2866"/>
      <c r="HKT21" s="2827"/>
      <c r="HKU21" s="2867"/>
      <c r="HKV21" s="2866"/>
      <c r="HKW21" s="2827"/>
      <c r="HKX21" s="2867"/>
      <c r="HKY21" s="2866"/>
      <c r="HKZ21" s="2827"/>
      <c r="HLA21" s="2867"/>
      <c r="HLB21" s="2866"/>
      <c r="HLC21" s="2827"/>
      <c r="HLD21" s="2867"/>
      <c r="HLE21" s="2866"/>
      <c r="HLF21" s="2827"/>
      <c r="HLG21" s="2867"/>
      <c r="HLH21" s="2866"/>
      <c r="HLI21" s="2827"/>
      <c r="HLJ21" s="2867"/>
      <c r="HLK21" s="2866"/>
      <c r="HLL21" s="2827"/>
      <c r="HLM21" s="2867"/>
      <c r="HLN21" s="2866"/>
      <c r="HLO21" s="2827"/>
      <c r="HLP21" s="2867"/>
      <c r="HLQ21" s="2866"/>
      <c r="HLR21" s="2827"/>
      <c r="HLS21" s="2867"/>
      <c r="HLT21" s="2866"/>
      <c r="HLU21" s="2827"/>
      <c r="HLV21" s="2867"/>
      <c r="HLW21" s="2866"/>
      <c r="HLX21" s="2827"/>
      <c r="HLY21" s="2867"/>
      <c r="HLZ21" s="2866"/>
      <c r="HMA21" s="2827"/>
      <c r="HMB21" s="2867"/>
      <c r="HMC21" s="2866"/>
      <c r="HMD21" s="2827"/>
      <c r="HME21" s="2867"/>
      <c r="HMF21" s="2866"/>
      <c r="HMG21" s="2827"/>
      <c r="HMH21" s="2867"/>
      <c r="HMI21" s="2866"/>
      <c r="HMJ21" s="2827"/>
      <c r="HMK21" s="2867"/>
      <c r="HML21" s="2866"/>
      <c r="HMM21" s="2827"/>
      <c r="HMN21" s="2867"/>
      <c r="HMO21" s="2866"/>
      <c r="HMP21" s="2827"/>
      <c r="HMQ21" s="2867"/>
      <c r="HMR21" s="2866"/>
      <c r="HMS21" s="2827"/>
      <c r="HMT21" s="2867"/>
      <c r="HMU21" s="2866"/>
      <c r="HMV21" s="2827"/>
      <c r="HMW21" s="2867"/>
      <c r="HMX21" s="2866"/>
      <c r="HMY21" s="2827"/>
      <c r="HMZ21" s="2867"/>
      <c r="HNA21" s="2866"/>
      <c r="HNB21" s="2827"/>
      <c r="HNC21" s="2867"/>
      <c r="HND21" s="2866"/>
      <c r="HNE21" s="2827"/>
      <c r="HNF21" s="2867"/>
      <c r="HNG21" s="2866"/>
      <c r="HNH21" s="2827"/>
      <c r="HNI21" s="2867"/>
      <c r="HNJ21" s="2866"/>
      <c r="HNK21" s="2827"/>
      <c r="HNL21" s="2867"/>
      <c r="HNM21" s="2866"/>
      <c r="HNN21" s="2827"/>
      <c r="HNO21" s="2867"/>
      <c r="HNP21" s="2866"/>
      <c r="HNQ21" s="2827"/>
      <c r="HNR21" s="2867"/>
      <c r="HNS21" s="2866"/>
      <c r="HNT21" s="2827"/>
      <c r="HNU21" s="2867"/>
      <c r="HNV21" s="2866"/>
      <c r="HNW21" s="2827"/>
      <c r="HNX21" s="2867"/>
      <c r="HNY21" s="2866"/>
      <c r="HNZ21" s="2827"/>
      <c r="HOA21" s="2867"/>
      <c r="HOB21" s="2866"/>
      <c r="HOC21" s="2827"/>
      <c r="HOD21" s="2867"/>
      <c r="HOE21" s="2866"/>
      <c r="HOF21" s="2827"/>
      <c r="HOG21" s="2867"/>
      <c r="HOH21" s="2866"/>
      <c r="HOI21" s="2827"/>
      <c r="HOJ21" s="2867"/>
      <c r="HOK21" s="2866"/>
      <c r="HOL21" s="2827"/>
      <c r="HOM21" s="2867"/>
      <c r="HON21" s="2866"/>
      <c r="HOO21" s="2827"/>
      <c r="HOP21" s="2867"/>
      <c r="HOQ21" s="2866"/>
      <c r="HOR21" s="2827"/>
      <c r="HOS21" s="2867"/>
      <c r="HOT21" s="2866"/>
      <c r="HOU21" s="2827"/>
      <c r="HOV21" s="2867"/>
      <c r="HOW21" s="2866"/>
      <c r="HOX21" s="2827"/>
      <c r="HOY21" s="2867"/>
      <c r="HOZ21" s="2866"/>
      <c r="HPA21" s="2827"/>
      <c r="HPB21" s="2867"/>
      <c r="HPC21" s="2866"/>
      <c r="HPD21" s="2827"/>
      <c r="HPE21" s="2867"/>
      <c r="HPF21" s="2866"/>
      <c r="HPG21" s="2827"/>
      <c r="HPH21" s="2867"/>
      <c r="HPI21" s="2866"/>
      <c r="HPJ21" s="2827"/>
      <c r="HPK21" s="2867"/>
      <c r="HPL21" s="2866"/>
      <c r="HPM21" s="2827"/>
      <c r="HPN21" s="2867"/>
      <c r="HPO21" s="2866"/>
      <c r="HPP21" s="2827"/>
      <c r="HPQ21" s="2867"/>
      <c r="HPR21" s="2866"/>
      <c r="HPS21" s="2827"/>
      <c r="HPT21" s="2867"/>
      <c r="HPU21" s="2866"/>
      <c r="HPV21" s="2827"/>
      <c r="HPW21" s="2867"/>
      <c r="HPX21" s="2866"/>
      <c r="HPY21" s="2827"/>
      <c r="HPZ21" s="2867"/>
      <c r="HQA21" s="2866"/>
      <c r="HQB21" s="2827"/>
      <c r="HQC21" s="2867"/>
      <c r="HQD21" s="2866"/>
      <c r="HQE21" s="2827"/>
      <c r="HQF21" s="2867"/>
      <c r="HQG21" s="2866"/>
      <c r="HQH21" s="2827"/>
      <c r="HQI21" s="2867"/>
      <c r="HQJ21" s="2866"/>
      <c r="HQK21" s="2827"/>
      <c r="HQL21" s="2867"/>
      <c r="HQM21" s="2866"/>
      <c r="HQN21" s="2827"/>
      <c r="HQO21" s="2867"/>
      <c r="HQP21" s="2866"/>
      <c r="HQQ21" s="2827"/>
      <c r="HQR21" s="2867"/>
      <c r="HQS21" s="2866"/>
      <c r="HQT21" s="2827"/>
      <c r="HQU21" s="2867"/>
      <c r="HQV21" s="2866"/>
      <c r="HQW21" s="2827"/>
      <c r="HQX21" s="2867"/>
      <c r="HQY21" s="2866"/>
      <c r="HQZ21" s="2827"/>
      <c r="HRA21" s="2867"/>
      <c r="HRB21" s="2866"/>
      <c r="HRC21" s="2827"/>
      <c r="HRD21" s="2867"/>
      <c r="HRE21" s="2866"/>
      <c r="HRF21" s="2827"/>
      <c r="HRG21" s="2867"/>
      <c r="HRH21" s="2866"/>
      <c r="HRI21" s="2827"/>
      <c r="HRJ21" s="2867"/>
      <c r="HRK21" s="2866"/>
      <c r="HRL21" s="2827"/>
      <c r="HRM21" s="2867"/>
      <c r="HRN21" s="2866"/>
      <c r="HRO21" s="2827"/>
      <c r="HRP21" s="2867"/>
      <c r="HRQ21" s="2866"/>
      <c r="HRR21" s="2827"/>
      <c r="HRS21" s="2867"/>
      <c r="HRT21" s="2866"/>
      <c r="HRU21" s="2827"/>
      <c r="HRV21" s="2867"/>
      <c r="HRW21" s="2866"/>
      <c r="HRX21" s="2827"/>
      <c r="HRY21" s="2867"/>
      <c r="HRZ21" s="2866"/>
      <c r="HSA21" s="2827"/>
      <c r="HSB21" s="2867"/>
      <c r="HSC21" s="2866"/>
      <c r="HSD21" s="2827"/>
      <c r="HSE21" s="2867"/>
      <c r="HSF21" s="2866"/>
      <c r="HSG21" s="2827"/>
      <c r="HSH21" s="2867"/>
      <c r="HSI21" s="2866"/>
      <c r="HSJ21" s="2827"/>
      <c r="HSK21" s="2867"/>
      <c r="HSL21" s="2866"/>
      <c r="HSM21" s="2827"/>
      <c r="HSN21" s="2867"/>
      <c r="HSO21" s="2866"/>
      <c r="HSP21" s="2827"/>
      <c r="HSQ21" s="2867"/>
      <c r="HSR21" s="2866"/>
      <c r="HSS21" s="2827"/>
      <c r="HST21" s="2867"/>
      <c r="HSU21" s="2866"/>
      <c r="HSV21" s="2827"/>
      <c r="HSW21" s="2867"/>
      <c r="HSX21" s="2866"/>
      <c r="HSY21" s="2827"/>
      <c r="HSZ21" s="2867"/>
      <c r="HTA21" s="2866"/>
      <c r="HTB21" s="2827"/>
      <c r="HTC21" s="2867"/>
      <c r="HTD21" s="2866"/>
      <c r="HTE21" s="2827"/>
      <c r="HTF21" s="2867"/>
      <c r="HTG21" s="2866"/>
      <c r="HTH21" s="2827"/>
      <c r="HTI21" s="2867"/>
      <c r="HTJ21" s="2866"/>
      <c r="HTK21" s="2827"/>
      <c r="HTL21" s="2867"/>
      <c r="HTM21" s="2866"/>
      <c r="HTN21" s="2827"/>
      <c r="HTO21" s="2867"/>
      <c r="HTP21" s="2866"/>
      <c r="HTQ21" s="2827"/>
      <c r="HTR21" s="2867"/>
      <c r="HTS21" s="2866"/>
      <c r="HTT21" s="2827"/>
      <c r="HTU21" s="2867"/>
      <c r="HTV21" s="2866"/>
      <c r="HTW21" s="2827"/>
      <c r="HTX21" s="2867"/>
      <c r="HTY21" s="2866"/>
      <c r="HTZ21" s="2827"/>
      <c r="HUA21" s="2867"/>
      <c r="HUB21" s="2866"/>
      <c r="HUC21" s="2827"/>
      <c r="HUD21" s="2867"/>
      <c r="HUE21" s="2866"/>
      <c r="HUF21" s="2827"/>
      <c r="HUG21" s="2867"/>
      <c r="HUH21" s="2866"/>
      <c r="HUI21" s="2827"/>
      <c r="HUJ21" s="2867"/>
      <c r="HUK21" s="2866"/>
      <c r="HUL21" s="2827"/>
      <c r="HUM21" s="2867"/>
      <c r="HUN21" s="2866"/>
      <c r="HUO21" s="2827"/>
      <c r="HUP21" s="2867"/>
      <c r="HUQ21" s="2866"/>
      <c r="HUR21" s="2827"/>
      <c r="HUS21" s="2867"/>
      <c r="HUT21" s="2866"/>
      <c r="HUU21" s="2827"/>
      <c r="HUV21" s="2867"/>
      <c r="HUW21" s="2866"/>
      <c r="HUX21" s="2827"/>
      <c r="HUY21" s="2867"/>
      <c r="HUZ21" s="2866"/>
      <c r="HVA21" s="2827"/>
      <c r="HVB21" s="2867"/>
      <c r="HVC21" s="2866"/>
      <c r="HVD21" s="2827"/>
      <c r="HVE21" s="2867"/>
      <c r="HVF21" s="2866"/>
      <c r="HVG21" s="2827"/>
      <c r="HVH21" s="2867"/>
      <c r="HVI21" s="2866"/>
      <c r="HVJ21" s="2827"/>
      <c r="HVK21" s="2867"/>
      <c r="HVL21" s="2866"/>
      <c r="HVM21" s="2827"/>
      <c r="HVN21" s="2867"/>
      <c r="HVO21" s="2866"/>
      <c r="HVP21" s="2827"/>
      <c r="HVQ21" s="2867"/>
      <c r="HVR21" s="2866"/>
      <c r="HVS21" s="2827"/>
      <c r="HVT21" s="2867"/>
      <c r="HVU21" s="2866"/>
      <c r="HVV21" s="2827"/>
      <c r="HVW21" s="2867"/>
      <c r="HVX21" s="2866"/>
      <c r="HVY21" s="2827"/>
      <c r="HVZ21" s="2867"/>
      <c r="HWA21" s="2866"/>
      <c r="HWB21" s="2827"/>
      <c r="HWC21" s="2867"/>
      <c r="HWD21" s="2866"/>
      <c r="HWE21" s="2827"/>
      <c r="HWF21" s="2867"/>
      <c r="HWG21" s="2866"/>
      <c r="HWH21" s="2827"/>
      <c r="HWI21" s="2867"/>
      <c r="HWJ21" s="2866"/>
      <c r="HWK21" s="2827"/>
      <c r="HWL21" s="2867"/>
      <c r="HWM21" s="2866"/>
      <c r="HWN21" s="2827"/>
      <c r="HWO21" s="2867"/>
      <c r="HWP21" s="2866"/>
      <c r="HWQ21" s="2827"/>
      <c r="HWR21" s="2867"/>
      <c r="HWS21" s="2866"/>
      <c r="HWT21" s="2827"/>
      <c r="HWU21" s="2867"/>
      <c r="HWV21" s="2866"/>
      <c r="HWW21" s="2827"/>
      <c r="HWX21" s="2867"/>
      <c r="HWY21" s="2866"/>
      <c r="HWZ21" s="2827"/>
      <c r="HXA21" s="2867"/>
      <c r="HXB21" s="2866"/>
      <c r="HXC21" s="2827"/>
      <c r="HXD21" s="2867"/>
      <c r="HXE21" s="2866"/>
      <c r="HXF21" s="2827"/>
      <c r="HXG21" s="2867"/>
      <c r="HXH21" s="2866"/>
      <c r="HXI21" s="2827"/>
      <c r="HXJ21" s="2867"/>
      <c r="HXK21" s="2866"/>
      <c r="HXL21" s="2827"/>
      <c r="HXM21" s="2867"/>
      <c r="HXN21" s="2866"/>
      <c r="HXO21" s="2827"/>
      <c r="HXP21" s="2867"/>
      <c r="HXQ21" s="2866"/>
      <c r="HXR21" s="2827"/>
      <c r="HXS21" s="2867"/>
      <c r="HXT21" s="2866"/>
      <c r="HXU21" s="2827"/>
      <c r="HXV21" s="2867"/>
      <c r="HXW21" s="2866"/>
      <c r="HXX21" s="2827"/>
      <c r="HXY21" s="2867"/>
      <c r="HXZ21" s="2866"/>
      <c r="HYA21" s="2827"/>
      <c r="HYB21" s="2867"/>
      <c r="HYC21" s="2866"/>
      <c r="HYD21" s="2827"/>
      <c r="HYE21" s="2867"/>
      <c r="HYF21" s="2866"/>
      <c r="HYG21" s="2827"/>
      <c r="HYH21" s="2867"/>
      <c r="HYI21" s="2866"/>
      <c r="HYJ21" s="2827"/>
      <c r="HYK21" s="2867"/>
      <c r="HYL21" s="2866"/>
      <c r="HYM21" s="2827"/>
      <c r="HYN21" s="2867"/>
      <c r="HYO21" s="2866"/>
      <c r="HYP21" s="2827"/>
      <c r="HYQ21" s="2867"/>
      <c r="HYR21" s="2866"/>
      <c r="HYS21" s="2827"/>
      <c r="HYT21" s="2867"/>
      <c r="HYU21" s="2866"/>
      <c r="HYV21" s="2827"/>
      <c r="HYW21" s="2867"/>
      <c r="HYX21" s="2866"/>
      <c r="HYY21" s="2827"/>
      <c r="HYZ21" s="2867"/>
      <c r="HZA21" s="2866"/>
      <c r="HZB21" s="2827"/>
      <c r="HZC21" s="2867"/>
      <c r="HZD21" s="2866"/>
      <c r="HZE21" s="2827"/>
      <c r="HZF21" s="2867"/>
      <c r="HZG21" s="2866"/>
      <c r="HZH21" s="2827"/>
      <c r="HZI21" s="2867"/>
      <c r="HZJ21" s="2866"/>
      <c r="HZK21" s="2827"/>
      <c r="HZL21" s="2867"/>
      <c r="HZM21" s="2866"/>
      <c r="HZN21" s="2827"/>
      <c r="HZO21" s="2867"/>
      <c r="HZP21" s="2866"/>
      <c r="HZQ21" s="2827"/>
      <c r="HZR21" s="2867"/>
      <c r="HZS21" s="2866"/>
      <c r="HZT21" s="2827"/>
      <c r="HZU21" s="2867"/>
      <c r="HZV21" s="2866"/>
      <c r="HZW21" s="2827"/>
      <c r="HZX21" s="2867"/>
      <c r="HZY21" s="2866"/>
      <c r="HZZ21" s="2827"/>
      <c r="IAA21" s="2867"/>
      <c r="IAB21" s="2866"/>
      <c r="IAC21" s="2827"/>
      <c r="IAD21" s="2867"/>
      <c r="IAE21" s="2866"/>
      <c r="IAF21" s="2827"/>
      <c r="IAG21" s="2867"/>
      <c r="IAH21" s="2866"/>
      <c r="IAI21" s="2827"/>
      <c r="IAJ21" s="2867"/>
      <c r="IAK21" s="2866"/>
      <c r="IAL21" s="2827"/>
      <c r="IAM21" s="2867"/>
      <c r="IAN21" s="2866"/>
      <c r="IAO21" s="2827"/>
      <c r="IAP21" s="2867"/>
      <c r="IAQ21" s="2866"/>
      <c r="IAR21" s="2827"/>
      <c r="IAS21" s="2867"/>
      <c r="IAT21" s="2866"/>
      <c r="IAU21" s="2827"/>
      <c r="IAV21" s="2867"/>
      <c r="IAW21" s="2866"/>
      <c r="IAX21" s="2827"/>
      <c r="IAY21" s="2867"/>
      <c r="IAZ21" s="2866"/>
      <c r="IBA21" s="2827"/>
      <c r="IBB21" s="2867"/>
      <c r="IBC21" s="2866"/>
      <c r="IBD21" s="2827"/>
      <c r="IBE21" s="2867"/>
      <c r="IBF21" s="2866"/>
      <c r="IBG21" s="2827"/>
      <c r="IBH21" s="2867"/>
      <c r="IBI21" s="2866"/>
      <c r="IBJ21" s="2827"/>
      <c r="IBK21" s="2867"/>
      <c r="IBL21" s="2866"/>
      <c r="IBM21" s="2827"/>
      <c r="IBN21" s="2867"/>
      <c r="IBO21" s="2866"/>
      <c r="IBP21" s="2827"/>
      <c r="IBQ21" s="2867"/>
      <c r="IBR21" s="2866"/>
      <c r="IBS21" s="2827"/>
      <c r="IBT21" s="2867"/>
      <c r="IBU21" s="2866"/>
      <c r="IBV21" s="2827"/>
      <c r="IBW21" s="2867"/>
      <c r="IBX21" s="2866"/>
      <c r="IBY21" s="2827"/>
      <c r="IBZ21" s="2867"/>
      <c r="ICA21" s="2866"/>
      <c r="ICB21" s="2827"/>
      <c r="ICC21" s="2867"/>
      <c r="ICD21" s="2866"/>
      <c r="ICE21" s="2827"/>
      <c r="ICF21" s="2867"/>
      <c r="ICG21" s="2866"/>
      <c r="ICH21" s="2827"/>
      <c r="ICI21" s="2867"/>
      <c r="ICJ21" s="2866"/>
      <c r="ICK21" s="2827"/>
      <c r="ICL21" s="2867"/>
      <c r="ICM21" s="2866"/>
      <c r="ICN21" s="2827"/>
      <c r="ICO21" s="2867"/>
      <c r="ICP21" s="2866"/>
      <c r="ICQ21" s="2827"/>
      <c r="ICR21" s="2867"/>
      <c r="ICS21" s="2866"/>
      <c r="ICT21" s="2827"/>
      <c r="ICU21" s="2867"/>
      <c r="ICV21" s="2866"/>
      <c r="ICW21" s="2827"/>
      <c r="ICX21" s="2867"/>
      <c r="ICY21" s="2866"/>
      <c r="ICZ21" s="2827"/>
      <c r="IDA21" s="2867"/>
      <c r="IDB21" s="2866"/>
      <c r="IDC21" s="2827"/>
      <c r="IDD21" s="2867"/>
      <c r="IDE21" s="2866"/>
      <c r="IDF21" s="2827"/>
      <c r="IDG21" s="2867"/>
      <c r="IDH21" s="2866"/>
      <c r="IDI21" s="2827"/>
      <c r="IDJ21" s="2867"/>
      <c r="IDK21" s="2866"/>
      <c r="IDL21" s="2827"/>
      <c r="IDM21" s="2867"/>
      <c r="IDN21" s="2866"/>
      <c r="IDO21" s="2827"/>
      <c r="IDP21" s="2867"/>
      <c r="IDQ21" s="2866"/>
      <c r="IDR21" s="2827"/>
      <c r="IDS21" s="2867"/>
      <c r="IDT21" s="2866"/>
      <c r="IDU21" s="2827"/>
      <c r="IDV21" s="2867"/>
      <c r="IDW21" s="2866"/>
      <c r="IDX21" s="2827"/>
      <c r="IDY21" s="2867"/>
      <c r="IDZ21" s="2866"/>
      <c r="IEA21" s="2827"/>
      <c r="IEB21" s="2867"/>
      <c r="IEC21" s="2866"/>
      <c r="IED21" s="2827"/>
      <c r="IEE21" s="2867"/>
      <c r="IEF21" s="2866"/>
      <c r="IEG21" s="2827"/>
      <c r="IEH21" s="2867"/>
      <c r="IEI21" s="2866"/>
      <c r="IEJ21" s="2827"/>
      <c r="IEK21" s="2867"/>
      <c r="IEL21" s="2866"/>
      <c r="IEM21" s="2827"/>
      <c r="IEN21" s="2867"/>
      <c r="IEO21" s="2866"/>
      <c r="IEP21" s="2827"/>
      <c r="IEQ21" s="2867"/>
      <c r="IER21" s="2866"/>
      <c r="IES21" s="2827"/>
      <c r="IET21" s="2867"/>
      <c r="IEU21" s="2866"/>
      <c r="IEV21" s="2827"/>
      <c r="IEW21" s="2867"/>
      <c r="IEX21" s="2866"/>
      <c r="IEY21" s="2827"/>
      <c r="IEZ21" s="2867"/>
      <c r="IFA21" s="2866"/>
      <c r="IFB21" s="2827"/>
      <c r="IFC21" s="2867"/>
      <c r="IFD21" s="2866"/>
      <c r="IFE21" s="2827"/>
      <c r="IFF21" s="2867"/>
      <c r="IFG21" s="2866"/>
      <c r="IFH21" s="2827"/>
      <c r="IFI21" s="2867"/>
      <c r="IFJ21" s="2866"/>
      <c r="IFK21" s="2827"/>
      <c r="IFL21" s="2867"/>
      <c r="IFM21" s="2866"/>
      <c r="IFN21" s="2827"/>
      <c r="IFO21" s="2867"/>
      <c r="IFP21" s="2866"/>
      <c r="IFQ21" s="2827"/>
      <c r="IFR21" s="2867"/>
      <c r="IFS21" s="2866"/>
      <c r="IFT21" s="2827"/>
      <c r="IFU21" s="2867"/>
      <c r="IFV21" s="2866"/>
      <c r="IFW21" s="2827"/>
      <c r="IFX21" s="2867"/>
      <c r="IFY21" s="2866"/>
      <c r="IFZ21" s="2827"/>
      <c r="IGA21" s="2867"/>
      <c r="IGB21" s="2866"/>
      <c r="IGC21" s="2827"/>
      <c r="IGD21" s="2867"/>
      <c r="IGE21" s="2866"/>
      <c r="IGF21" s="2827"/>
      <c r="IGG21" s="2867"/>
      <c r="IGH21" s="2866"/>
      <c r="IGI21" s="2827"/>
      <c r="IGJ21" s="2867"/>
      <c r="IGK21" s="2866"/>
      <c r="IGL21" s="2827"/>
      <c r="IGM21" s="2867"/>
      <c r="IGN21" s="2866"/>
      <c r="IGO21" s="2827"/>
      <c r="IGP21" s="2867"/>
      <c r="IGQ21" s="2866"/>
      <c r="IGR21" s="2827"/>
      <c r="IGS21" s="2867"/>
      <c r="IGT21" s="2866"/>
      <c r="IGU21" s="2827"/>
      <c r="IGV21" s="2867"/>
      <c r="IGW21" s="2866"/>
      <c r="IGX21" s="2827"/>
      <c r="IGY21" s="2867"/>
      <c r="IGZ21" s="2866"/>
      <c r="IHA21" s="2827"/>
      <c r="IHB21" s="2867"/>
      <c r="IHC21" s="2866"/>
      <c r="IHD21" s="2827"/>
      <c r="IHE21" s="2867"/>
      <c r="IHF21" s="2866"/>
      <c r="IHG21" s="2827"/>
      <c r="IHH21" s="2867"/>
      <c r="IHI21" s="2866"/>
      <c r="IHJ21" s="2827"/>
      <c r="IHK21" s="2867"/>
      <c r="IHL21" s="2866"/>
      <c r="IHM21" s="2827"/>
      <c r="IHN21" s="2867"/>
      <c r="IHO21" s="2866"/>
      <c r="IHP21" s="2827"/>
      <c r="IHQ21" s="2867"/>
      <c r="IHR21" s="2866"/>
      <c r="IHS21" s="2827"/>
      <c r="IHT21" s="2867"/>
      <c r="IHU21" s="2866"/>
      <c r="IHV21" s="2827"/>
      <c r="IHW21" s="2867"/>
      <c r="IHX21" s="2866"/>
      <c r="IHY21" s="2827"/>
      <c r="IHZ21" s="2867"/>
      <c r="IIA21" s="2866"/>
      <c r="IIB21" s="2827"/>
      <c r="IIC21" s="2867"/>
      <c r="IID21" s="2866"/>
      <c r="IIE21" s="2827"/>
      <c r="IIF21" s="2867"/>
      <c r="IIG21" s="2866"/>
      <c r="IIH21" s="2827"/>
      <c r="III21" s="2867"/>
      <c r="IIJ21" s="2866"/>
      <c r="IIK21" s="2827"/>
      <c r="IIL21" s="2867"/>
      <c r="IIM21" s="2866"/>
      <c r="IIN21" s="2827"/>
      <c r="IIO21" s="2867"/>
      <c r="IIP21" s="2866"/>
      <c r="IIQ21" s="2827"/>
      <c r="IIR21" s="2867"/>
      <c r="IIS21" s="2866"/>
      <c r="IIT21" s="2827"/>
      <c r="IIU21" s="2867"/>
      <c r="IIV21" s="2866"/>
      <c r="IIW21" s="2827"/>
      <c r="IIX21" s="2867"/>
      <c r="IIY21" s="2866"/>
      <c r="IIZ21" s="2827"/>
      <c r="IJA21" s="2867"/>
      <c r="IJB21" s="2866"/>
      <c r="IJC21" s="2827"/>
      <c r="IJD21" s="2867"/>
      <c r="IJE21" s="2866"/>
      <c r="IJF21" s="2827"/>
      <c r="IJG21" s="2867"/>
      <c r="IJH21" s="2866"/>
      <c r="IJI21" s="2827"/>
      <c r="IJJ21" s="2867"/>
      <c r="IJK21" s="2866"/>
      <c r="IJL21" s="2827"/>
      <c r="IJM21" s="2867"/>
      <c r="IJN21" s="2866"/>
      <c r="IJO21" s="2827"/>
      <c r="IJP21" s="2867"/>
      <c r="IJQ21" s="2866"/>
      <c r="IJR21" s="2827"/>
      <c r="IJS21" s="2867"/>
      <c r="IJT21" s="2866"/>
      <c r="IJU21" s="2827"/>
      <c r="IJV21" s="2867"/>
      <c r="IJW21" s="2866"/>
      <c r="IJX21" s="2827"/>
      <c r="IJY21" s="2867"/>
      <c r="IJZ21" s="2866"/>
      <c r="IKA21" s="2827"/>
      <c r="IKB21" s="2867"/>
      <c r="IKC21" s="2866"/>
      <c r="IKD21" s="2827"/>
      <c r="IKE21" s="2867"/>
      <c r="IKF21" s="2866"/>
      <c r="IKG21" s="2827"/>
      <c r="IKH21" s="2867"/>
      <c r="IKI21" s="2866"/>
      <c r="IKJ21" s="2827"/>
      <c r="IKK21" s="2867"/>
      <c r="IKL21" s="2866"/>
      <c r="IKM21" s="2827"/>
      <c r="IKN21" s="2867"/>
      <c r="IKO21" s="2866"/>
      <c r="IKP21" s="2827"/>
      <c r="IKQ21" s="2867"/>
      <c r="IKR21" s="2866"/>
      <c r="IKS21" s="2827"/>
      <c r="IKT21" s="2867"/>
      <c r="IKU21" s="2866"/>
      <c r="IKV21" s="2827"/>
      <c r="IKW21" s="2867"/>
      <c r="IKX21" s="2866"/>
      <c r="IKY21" s="2827"/>
      <c r="IKZ21" s="2867"/>
      <c r="ILA21" s="2866"/>
      <c r="ILB21" s="2827"/>
      <c r="ILC21" s="2867"/>
      <c r="ILD21" s="2866"/>
      <c r="ILE21" s="2827"/>
      <c r="ILF21" s="2867"/>
      <c r="ILG21" s="2866"/>
      <c r="ILH21" s="2827"/>
      <c r="ILI21" s="2867"/>
      <c r="ILJ21" s="2866"/>
      <c r="ILK21" s="2827"/>
      <c r="ILL21" s="2867"/>
      <c r="ILM21" s="2866"/>
      <c r="ILN21" s="2827"/>
      <c r="ILO21" s="2867"/>
      <c r="ILP21" s="2866"/>
      <c r="ILQ21" s="2827"/>
      <c r="ILR21" s="2867"/>
      <c r="ILS21" s="2866"/>
      <c r="ILT21" s="2827"/>
      <c r="ILU21" s="2867"/>
      <c r="ILV21" s="2866"/>
      <c r="ILW21" s="2827"/>
      <c r="ILX21" s="2867"/>
      <c r="ILY21" s="2866"/>
      <c r="ILZ21" s="2827"/>
      <c r="IMA21" s="2867"/>
      <c r="IMB21" s="2866"/>
      <c r="IMC21" s="2827"/>
      <c r="IMD21" s="2867"/>
      <c r="IME21" s="2866"/>
      <c r="IMF21" s="2827"/>
      <c r="IMG21" s="2867"/>
      <c r="IMH21" s="2866"/>
      <c r="IMI21" s="2827"/>
      <c r="IMJ21" s="2867"/>
      <c r="IMK21" s="2866"/>
      <c r="IML21" s="2827"/>
      <c r="IMM21" s="2867"/>
      <c r="IMN21" s="2866"/>
      <c r="IMO21" s="2827"/>
      <c r="IMP21" s="2867"/>
      <c r="IMQ21" s="2866"/>
      <c r="IMR21" s="2827"/>
      <c r="IMS21" s="2867"/>
      <c r="IMT21" s="2866"/>
      <c r="IMU21" s="2827"/>
      <c r="IMV21" s="2867"/>
      <c r="IMW21" s="2866"/>
      <c r="IMX21" s="2827"/>
      <c r="IMY21" s="2867"/>
      <c r="IMZ21" s="2866"/>
      <c r="INA21" s="2827"/>
      <c r="INB21" s="2867"/>
      <c r="INC21" s="2866"/>
      <c r="IND21" s="2827"/>
      <c r="INE21" s="2867"/>
      <c r="INF21" s="2866"/>
      <c r="ING21" s="2827"/>
      <c r="INH21" s="2867"/>
      <c r="INI21" s="2866"/>
      <c r="INJ21" s="2827"/>
      <c r="INK21" s="2867"/>
      <c r="INL21" s="2866"/>
      <c r="INM21" s="2827"/>
      <c r="INN21" s="2867"/>
      <c r="INO21" s="2866"/>
      <c r="INP21" s="2827"/>
      <c r="INQ21" s="2867"/>
      <c r="INR21" s="2866"/>
      <c r="INS21" s="2827"/>
      <c r="INT21" s="2867"/>
      <c r="INU21" s="2866"/>
      <c r="INV21" s="2827"/>
      <c r="INW21" s="2867"/>
      <c r="INX21" s="2866"/>
      <c r="INY21" s="2827"/>
      <c r="INZ21" s="2867"/>
      <c r="IOA21" s="2866"/>
      <c r="IOB21" s="2827"/>
      <c r="IOC21" s="2867"/>
      <c r="IOD21" s="2866"/>
      <c r="IOE21" s="2827"/>
      <c r="IOF21" s="2867"/>
      <c r="IOG21" s="2866"/>
      <c r="IOH21" s="2827"/>
      <c r="IOI21" s="2867"/>
      <c r="IOJ21" s="2866"/>
      <c r="IOK21" s="2827"/>
      <c r="IOL21" s="2867"/>
      <c r="IOM21" s="2866"/>
      <c r="ION21" s="2827"/>
      <c r="IOO21" s="2867"/>
      <c r="IOP21" s="2866"/>
      <c r="IOQ21" s="2827"/>
      <c r="IOR21" s="2867"/>
      <c r="IOS21" s="2866"/>
      <c r="IOT21" s="2827"/>
      <c r="IOU21" s="2867"/>
      <c r="IOV21" s="2866"/>
      <c r="IOW21" s="2827"/>
      <c r="IOX21" s="2867"/>
      <c r="IOY21" s="2866"/>
      <c r="IOZ21" s="2827"/>
      <c r="IPA21" s="2867"/>
      <c r="IPB21" s="2866"/>
      <c r="IPC21" s="2827"/>
      <c r="IPD21" s="2867"/>
      <c r="IPE21" s="2866"/>
      <c r="IPF21" s="2827"/>
      <c r="IPG21" s="2867"/>
      <c r="IPH21" s="2866"/>
      <c r="IPI21" s="2827"/>
      <c r="IPJ21" s="2867"/>
      <c r="IPK21" s="2866"/>
      <c r="IPL21" s="2827"/>
      <c r="IPM21" s="2867"/>
      <c r="IPN21" s="2866"/>
      <c r="IPO21" s="2827"/>
      <c r="IPP21" s="2867"/>
      <c r="IPQ21" s="2866"/>
      <c r="IPR21" s="2827"/>
      <c r="IPS21" s="2867"/>
      <c r="IPT21" s="2866"/>
      <c r="IPU21" s="2827"/>
      <c r="IPV21" s="2867"/>
      <c r="IPW21" s="2866"/>
      <c r="IPX21" s="2827"/>
      <c r="IPY21" s="2867"/>
      <c r="IPZ21" s="2866"/>
      <c r="IQA21" s="2827"/>
      <c r="IQB21" s="2867"/>
      <c r="IQC21" s="2866"/>
      <c r="IQD21" s="2827"/>
      <c r="IQE21" s="2867"/>
      <c r="IQF21" s="2866"/>
      <c r="IQG21" s="2827"/>
      <c r="IQH21" s="2867"/>
      <c r="IQI21" s="2866"/>
      <c r="IQJ21" s="2827"/>
      <c r="IQK21" s="2867"/>
      <c r="IQL21" s="2866"/>
      <c r="IQM21" s="2827"/>
      <c r="IQN21" s="2867"/>
      <c r="IQO21" s="2866"/>
      <c r="IQP21" s="2827"/>
      <c r="IQQ21" s="2867"/>
      <c r="IQR21" s="2866"/>
      <c r="IQS21" s="2827"/>
      <c r="IQT21" s="2867"/>
      <c r="IQU21" s="2866"/>
      <c r="IQV21" s="2827"/>
      <c r="IQW21" s="2867"/>
      <c r="IQX21" s="2866"/>
      <c r="IQY21" s="2827"/>
      <c r="IQZ21" s="2867"/>
      <c r="IRA21" s="2866"/>
      <c r="IRB21" s="2827"/>
      <c r="IRC21" s="2867"/>
      <c r="IRD21" s="2866"/>
      <c r="IRE21" s="2827"/>
      <c r="IRF21" s="2867"/>
      <c r="IRG21" s="2866"/>
      <c r="IRH21" s="2827"/>
      <c r="IRI21" s="2867"/>
      <c r="IRJ21" s="2866"/>
      <c r="IRK21" s="2827"/>
      <c r="IRL21" s="2867"/>
      <c r="IRM21" s="2866"/>
      <c r="IRN21" s="2827"/>
      <c r="IRO21" s="2867"/>
      <c r="IRP21" s="2866"/>
      <c r="IRQ21" s="2827"/>
      <c r="IRR21" s="2867"/>
      <c r="IRS21" s="2866"/>
      <c r="IRT21" s="2827"/>
      <c r="IRU21" s="2867"/>
      <c r="IRV21" s="2866"/>
      <c r="IRW21" s="2827"/>
      <c r="IRX21" s="2867"/>
      <c r="IRY21" s="2866"/>
      <c r="IRZ21" s="2827"/>
      <c r="ISA21" s="2867"/>
      <c r="ISB21" s="2866"/>
      <c r="ISC21" s="2827"/>
      <c r="ISD21" s="2867"/>
      <c r="ISE21" s="2866"/>
      <c r="ISF21" s="2827"/>
      <c r="ISG21" s="2867"/>
      <c r="ISH21" s="2866"/>
      <c r="ISI21" s="2827"/>
      <c r="ISJ21" s="2867"/>
      <c r="ISK21" s="2866"/>
      <c r="ISL21" s="2827"/>
      <c r="ISM21" s="2867"/>
      <c r="ISN21" s="2866"/>
      <c r="ISO21" s="2827"/>
      <c r="ISP21" s="2867"/>
      <c r="ISQ21" s="2866"/>
      <c r="ISR21" s="2827"/>
      <c r="ISS21" s="2867"/>
      <c r="IST21" s="2866"/>
      <c r="ISU21" s="2827"/>
      <c r="ISV21" s="2867"/>
      <c r="ISW21" s="2866"/>
      <c r="ISX21" s="2827"/>
      <c r="ISY21" s="2867"/>
      <c r="ISZ21" s="2866"/>
      <c r="ITA21" s="2827"/>
      <c r="ITB21" s="2867"/>
      <c r="ITC21" s="2866"/>
      <c r="ITD21" s="2827"/>
      <c r="ITE21" s="2867"/>
      <c r="ITF21" s="2866"/>
      <c r="ITG21" s="2827"/>
      <c r="ITH21" s="2867"/>
      <c r="ITI21" s="2866"/>
      <c r="ITJ21" s="2827"/>
      <c r="ITK21" s="2867"/>
      <c r="ITL21" s="2866"/>
      <c r="ITM21" s="2827"/>
      <c r="ITN21" s="2867"/>
      <c r="ITO21" s="2866"/>
      <c r="ITP21" s="2827"/>
      <c r="ITQ21" s="2867"/>
      <c r="ITR21" s="2866"/>
      <c r="ITS21" s="2827"/>
      <c r="ITT21" s="2867"/>
      <c r="ITU21" s="2866"/>
      <c r="ITV21" s="2827"/>
      <c r="ITW21" s="2867"/>
      <c r="ITX21" s="2866"/>
      <c r="ITY21" s="2827"/>
      <c r="ITZ21" s="2867"/>
      <c r="IUA21" s="2866"/>
      <c r="IUB21" s="2827"/>
      <c r="IUC21" s="2867"/>
      <c r="IUD21" s="2866"/>
      <c r="IUE21" s="2827"/>
      <c r="IUF21" s="2867"/>
      <c r="IUG21" s="2866"/>
      <c r="IUH21" s="2827"/>
      <c r="IUI21" s="2867"/>
      <c r="IUJ21" s="2866"/>
      <c r="IUK21" s="2827"/>
      <c r="IUL21" s="2867"/>
      <c r="IUM21" s="2866"/>
      <c r="IUN21" s="2827"/>
      <c r="IUO21" s="2867"/>
      <c r="IUP21" s="2866"/>
      <c r="IUQ21" s="2827"/>
      <c r="IUR21" s="2867"/>
      <c r="IUS21" s="2866"/>
      <c r="IUT21" s="2827"/>
      <c r="IUU21" s="2867"/>
      <c r="IUV21" s="2866"/>
      <c r="IUW21" s="2827"/>
      <c r="IUX21" s="2867"/>
      <c r="IUY21" s="2866"/>
      <c r="IUZ21" s="2827"/>
      <c r="IVA21" s="2867"/>
      <c r="IVB21" s="2866"/>
      <c r="IVC21" s="2827"/>
      <c r="IVD21" s="2867"/>
      <c r="IVE21" s="2866"/>
      <c r="IVF21" s="2827"/>
      <c r="IVG21" s="2867"/>
      <c r="IVH21" s="2866"/>
      <c r="IVI21" s="2827"/>
      <c r="IVJ21" s="2867"/>
      <c r="IVK21" s="2866"/>
      <c r="IVL21" s="2827"/>
      <c r="IVM21" s="2867"/>
      <c r="IVN21" s="2866"/>
      <c r="IVO21" s="2827"/>
      <c r="IVP21" s="2867"/>
      <c r="IVQ21" s="2866"/>
      <c r="IVR21" s="2827"/>
      <c r="IVS21" s="2867"/>
      <c r="IVT21" s="2866"/>
      <c r="IVU21" s="2827"/>
      <c r="IVV21" s="2867"/>
      <c r="IVW21" s="2866"/>
      <c r="IVX21" s="2827"/>
      <c r="IVY21" s="2867"/>
      <c r="IVZ21" s="2866"/>
      <c r="IWA21" s="2827"/>
      <c r="IWB21" s="2867"/>
      <c r="IWC21" s="2866"/>
      <c r="IWD21" s="2827"/>
      <c r="IWE21" s="2867"/>
      <c r="IWF21" s="2866"/>
      <c r="IWG21" s="2827"/>
      <c r="IWH21" s="2867"/>
      <c r="IWI21" s="2866"/>
      <c r="IWJ21" s="2827"/>
      <c r="IWK21" s="2867"/>
      <c r="IWL21" s="2866"/>
      <c r="IWM21" s="2827"/>
      <c r="IWN21" s="2867"/>
      <c r="IWO21" s="2866"/>
      <c r="IWP21" s="2827"/>
      <c r="IWQ21" s="2867"/>
      <c r="IWR21" s="2866"/>
      <c r="IWS21" s="2827"/>
      <c r="IWT21" s="2867"/>
      <c r="IWU21" s="2866"/>
      <c r="IWV21" s="2827"/>
      <c r="IWW21" s="2867"/>
      <c r="IWX21" s="2866"/>
      <c r="IWY21" s="2827"/>
      <c r="IWZ21" s="2867"/>
      <c r="IXA21" s="2866"/>
      <c r="IXB21" s="2827"/>
      <c r="IXC21" s="2867"/>
      <c r="IXD21" s="2866"/>
      <c r="IXE21" s="2827"/>
      <c r="IXF21" s="2867"/>
      <c r="IXG21" s="2866"/>
      <c r="IXH21" s="2827"/>
      <c r="IXI21" s="2867"/>
      <c r="IXJ21" s="2866"/>
      <c r="IXK21" s="2827"/>
      <c r="IXL21" s="2867"/>
      <c r="IXM21" s="2866"/>
      <c r="IXN21" s="2827"/>
      <c r="IXO21" s="2867"/>
      <c r="IXP21" s="2866"/>
      <c r="IXQ21" s="2827"/>
      <c r="IXR21" s="2867"/>
      <c r="IXS21" s="2866"/>
      <c r="IXT21" s="2827"/>
      <c r="IXU21" s="2867"/>
      <c r="IXV21" s="2866"/>
      <c r="IXW21" s="2827"/>
      <c r="IXX21" s="2867"/>
      <c r="IXY21" s="2866"/>
      <c r="IXZ21" s="2827"/>
      <c r="IYA21" s="2867"/>
      <c r="IYB21" s="2866"/>
      <c r="IYC21" s="2827"/>
      <c r="IYD21" s="2867"/>
      <c r="IYE21" s="2866"/>
      <c r="IYF21" s="2827"/>
      <c r="IYG21" s="2867"/>
      <c r="IYH21" s="2866"/>
      <c r="IYI21" s="2827"/>
      <c r="IYJ21" s="2867"/>
      <c r="IYK21" s="2866"/>
      <c r="IYL21" s="2827"/>
      <c r="IYM21" s="2867"/>
      <c r="IYN21" s="2866"/>
      <c r="IYO21" s="2827"/>
      <c r="IYP21" s="2867"/>
      <c r="IYQ21" s="2866"/>
      <c r="IYR21" s="2827"/>
      <c r="IYS21" s="2867"/>
      <c r="IYT21" s="2866"/>
      <c r="IYU21" s="2827"/>
      <c r="IYV21" s="2867"/>
      <c r="IYW21" s="2866"/>
      <c r="IYX21" s="2827"/>
      <c r="IYY21" s="2867"/>
      <c r="IYZ21" s="2866"/>
      <c r="IZA21" s="2827"/>
      <c r="IZB21" s="2867"/>
      <c r="IZC21" s="2866"/>
      <c r="IZD21" s="2827"/>
      <c r="IZE21" s="2867"/>
      <c r="IZF21" s="2866"/>
      <c r="IZG21" s="2827"/>
      <c r="IZH21" s="2867"/>
      <c r="IZI21" s="2866"/>
      <c r="IZJ21" s="2827"/>
      <c r="IZK21" s="2867"/>
      <c r="IZL21" s="2866"/>
      <c r="IZM21" s="2827"/>
      <c r="IZN21" s="2867"/>
      <c r="IZO21" s="2866"/>
      <c r="IZP21" s="2827"/>
      <c r="IZQ21" s="2867"/>
      <c r="IZR21" s="2866"/>
      <c r="IZS21" s="2827"/>
      <c r="IZT21" s="2867"/>
      <c r="IZU21" s="2866"/>
      <c r="IZV21" s="2827"/>
      <c r="IZW21" s="2867"/>
      <c r="IZX21" s="2866"/>
      <c r="IZY21" s="2827"/>
      <c r="IZZ21" s="2867"/>
      <c r="JAA21" s="2866"/>
      <c r="JAB21" s="2827"/>
      <c r="JAC21" s="2867"/>
      <c r="JAD21" s="2866"/>
      <c r="JAE21" s="2827"/>
      <c r="JAF21" s="2867"/>
      <c r="JAG21" s="2866"/>
      <c r="JAH21" s="2827"/>
      <c r="JAI21" s="2867"/>
      <c r="JAJ21" s="2866"/>
      <c r="JAK21" s="2827"/>
      <c r="JAL21" s="2867"/>
      <c r="JAM21" s="2866"/>
      <c r="JAN21" s="2827"/>
      <c r="JAO21" s="2867"/>
      <c r="JAP21" s="2866"/>
      <c r="JAQ21" s="2827"/>
      <c r="JAR21" s="2867"/>
      <c r="JAS21" s="2866"/>
      <c r="JAT21" s="2827"/>
      <c r="JAU21" s="2867"/>
      <c r="JAV21" s="2866"/>
      <c r="JAW21" s="2827"/>
      <c r="JAX21" s="2867"/>
      <c r="JAY21" s="2866"/>
      <c r="JAZ21" s="2827"/>
      <c r="JBA21" s="2867"/>
      <c r="JBB21" s="2866"/>
      <c r="JBC21" s="2827"/>
      <c r="JBD21" s="2867"/>
      <c r="JBE21" s="2866"/>
      <c r="JBF21" s="2827"/>
      <c r="JBG21" s="2867"/>
      <c r="JBH21" s="2866"/>
      <c r="JBI21" s="2827"/>
      <c r="JBJ21" s="2867"/>
      <c r="JBK21" s="2866"/>
      <c r="JBL21" s="2827"/>
      <c r="JBM21" s="2867"/>
      <c r="JBN21" s="2866"/>
      <c r="JBO21" s="2827"/>
      <c r="JBP21" s="2867"/>
      <c r="JBQ21" s="2866"/>
      <c r="JBR21" s="2827"/>
      <c r="JBS21" s="2867"/>
      <c r="JBT21" s="2866"/>
      <c r="JBU21" s="2827"/>
      <c r="JBV21" s="2867"/>
      <c r="JBW21" s="2866"/>
      <c r="JBX21" s="2827"/>
      <c r="JBY21" s="2867"/>
      <c r="JBZ21" s="2866"/>
      <c r="JCA21" s="2827"/>
      <c r="JCB21" s="2867"/>
      <c r="JCC21" s="2866"/>
      <c r="JCD21" s="2827"/>
      <c r="JCE21" s="2867"/>
      <c r="JCF21" s="2866"/>
      <c r="JCG21" s="2827"/>
      <c r="JCH21" s="2867"/>
      <c r="JCI21" s="2866"/>
      <c r="JCJ21" s="2827"/>
      <c r="JCK21" s="2867"/>
      <c r="JCL21" s="2866"/>
      <c r="JCM21" s="2827"/>
      <c r="JCN21" s="2867"/>
      <c r="JCO21" s="2866"/>
      <c r="JCP21" s="2827"/>
      <c r="JCQ21" s="2867"/>
      <c r="JCR21" s="2866"/>
      <c r="JCS21" s="2827"/>
      <c r="JCT21" s="2867"/>
      <c r="JCU21" s="2866"/>
      <c r="JCV21" s="2827"/>
      <c r="JCW21" s="2867"/>
      <c r="JCX21" s="2866"/>
      <c r="JCY21" s="2827"/>
      <c r="JCZ21" s="2867"/>
      <c r="JDA21" s="2866"/>
      <c r="JDB21" s="2827"/>
      <c r="JDC21" s="2867"/>
      <c r="JDD21" s="2866"/>
      <c r="JDE21" s="2827"/>
      <c r="JDF21" s="2867"/>
      <c r="JDG21" s="2866"/>
      <c r="JDH21" s="2827"/>
      <c r="JDI21" s="2867"/>
      <c r="JDJ21" s="2866"/>
      <c r="JDK21" s="2827"/>
      <c r="JDL21" s="2867"/>
      <c r="JDM21" s="2866"/>
      <c r="JDN21" s="2827"/>
      <c r="JDO21" s="2867"/>
      <c r="JDP21" s="2866"/>
      <c r="JDQ21" s="2827"/>
      <c r="JDR21" s="2867"/>
      <c r="JDS21" s="2866"/>
      <c r="JDT21" s="2827"/>
      <c r="JDU21" s="2867"/>
      <c r="JDV21" s="2866"/>
      <c r="JDW21" s="2827"/>
      <c r="JDX21" s="2867"/>
      <c r="JDY21" s="2866"/>
      <c r="JDZ21" s="2827"/>
      <c r="JEA21" s="2867"/>
      <c r="JEB21" s="2866"/>
      <c r="JEC21" s="2827"/>
      <c r="JED21" s="2867"/>
      <c r="JEE21" s="2866"/>
      <c r="JEF21" s="2827"/>
      <c r="JEG21" s="2867"/>
      <c r="JEH21" s="2866"/>
      <c r="JEI21" s="2827"/>
      <c r="JEJ21" s="2867"/>
      <c r="JEK21" s="2866"/>
      <c r="JEL21" s="2827"/>
      <c r="JEM21" s="2867"/>
      <c r="JEN21" s="2866"/>
      <c r="JEO21" s="2827"/>
      <c r="JEP21" s="2867"/>
      <c r="JEQ21" s="2866"/>
      <c r="JER21" s="2827"/>
      <c r="JES21" s="2867"/>
      <c r="JET21" s="2866"/>
      <c r="JEU21" s="2827"/>
      <c r="JEV21" s="2867"/>
      <c r="JEW21" s="2866"/>
      <c r="JEX21" s="2827"/>
      <c r="JEY21" s="2867"/>
      <c r="JEZ21" s="2866"/>
      <c r="JFA21" s="2827"/>
      <c r="JFB21" s="2867"/>
      <c r="JFC21" s="2866"/>
      <c r="JFD21" s="2827"/>
      <c r="JFE21" s="2867"/>
      <c r="JFF21" s="2866"/>
      <c r="JFG21" s="2827"/>
      <c r="JFH21" s="2867"/>
      <c r="JFI21" s="2866"/>
      <c r="JFJ21" s="2827"/>
      <c r="JFK21" s="2867"/>
      <c r="JFL21" s="2866"/>
      <c r="JFM21" s="2827"/>
      <c r="JFN21" s="2867"/>
      <c r="JFO21" s="2866"/>
      <c r="JFP21" s="2827"/>
      <c r="JFQ21" s="2867"/>
      <c r="JFR21" s="2866"/>
      <c r="JFS21" s="2827"/>
      <c r="JFT21" s="2867"/>
      <c r="JFU21" s="2866"/>
      <c r="JFV21" s="2827"/>
      <c r="JFW21" s="2867"/>
      <c r="JFX21" s="2866"/>
      <c r="JFY21" s="2827"/>
      <c r="JFZ21" s="2867"/>
      <c r="JGA21" s="2866"/>
      <c r="JGB21" s="2827"/>
      <c r="JGC21" s="2867"/>
      <c r="JGD21" s="2866"/>
      <c r="JGE21" s="2827"/>
      <c r="JGF21" s="2867"/>
      <c r="JGG21" s="2866"/>
      <c r="JGH21" s="2827"/>
      <c r="JGI21" s="2867"/>
      <c r="JGJ21" s="2866"/>
      <c r="JGK21" s="2827"/>
      <c r="JGL21" s="2867"/>
      <c r="JGM21" s="2866"/>
      <c r="JGN21" s="2827"/>
      <c r="JGO21" s="2867"/>
      <c r="JGP21" s="2866"/>
      <c r="JGQ21" s="2827"/>
      <c r="JGR21" s="2867"/>
      <c r="JGS21" s="2866"/>
      <c r="JGT21" s="2827"/>
      <c r="JGU21" s="2867"/>
      <c r="JGV21" s="2866"/>
      <c r="JGW21" s="2827"/>
      <c r="JGX21" s="2867"/>
      <c r="JGY21" s="2866"/>
      <c r="JGZ21" s="2827"/>
      <c r="JHA21" s="2867"/>
      <c r="JHB21" s="2866"/>
      <c r="JHC21" s="2827"/>
      <c r="JHD21" s="2867"/>
      <c r="JHE21" s="2866"/>
      <c r="JHF21" s="2827"/>
      <c r="JHG21" s="2867"/>
      <c r="JHH21" s="2866"/>
      <c r="JHI21" s="2827"/>
      <c r="JHJ21" s="2867"/>
      <c r="JHK21" s="2866"/>
      <c r="JHL21" s="2827"/>
      <c r="JHM21" s="2867"/>
      <c r="JHN21" s="2866"/>
      <c r="JHO21" s="2827"/>
      <c r="JHP21" s="2867"/>
      <c r="JHQ21" s="2866"/>
      <c r="JHR21" s="2827"/>
      <c r="JHS21" s="2867"/>
      <c r="JHT21" s="2866"/>
      <c r="JHU21" s="2827"/>
      <c r="JHV21" s="2867"/>
      <c r="JHW21" s="2866"/>
      <c r="JHX21" s="2827"/>
      <c r="JHY21" s="2867"/>
      <c r="JHZ21" s="2866"/>
      <c r="JIA21" s="2827"/>
      <c r="JIB21" s="2867"/>
      <c r="JIC21" s="2866"/>
      <c r="JID21" s="2827"/>
      <c r="JIE21" s="2867"/>
      <c r="JIF21" s="2866"/>
      <c r="JIG21" s="2827"/>
      <c r="JIH21" s="2867"/>
      <c r="JII21" s="2866"/>
      <c r="JIJ21" s="2827"/>
      <c r="JIK21" s="2867"/>
      <c r="JIL21" s="2866"/>
      <c r="JIM21" s="2827"/>
      <c r="JIN21" s="2867"/>
      <c r="JIO21" s="2866"/>
      <c r="JIP21" s="2827"/>
      <c r="JIQ21" s="2867"/>
      <c r="JIR21" s="2866"/>
      <c r="JIS21" s="2827"/>
      <c r="JIT21" s="2867"/>
      <c r="JIU21" s="2866"/>
      <c r="JIV21" s="2827"/>
      <c r="JIW21" s="2867"/>
      <c r="JIX21" s="2866"/>
      <c r="JIY21" s="2827"/>
      <c r="JIZ21" s="2867"/>
      <c r="JJA21" s="2866"/>
      <c r="JJB21" s="2827"/>
      <c r="JJC21" s="2867"/>
      <c r="JJD21" s="2866"/>
      <c r="JJE21" s="2827"/>
      <c r="JJF21" s="2867"/>
      <c r="JJG21" s="2866"/>
      <c r="JJH21" s="2827"/>
      <c r="JJI21" s="2867"/>
      <c r="JJJ21" s="2866"/>
      <c r="JJK21" s="2827"/>
      <c r="JJL21" s="2867"/>
      <c r="JJM21" s="2866"/>
      <c r="JJN21" s="2827"/>
      <c r="JJO21" s="2867"/>
      <c r="JJP21" s="2866"/>
      <c r="JJQ21" s="2827"/>
      <c r="JJR21" s="2867"/>
      <c r="JJS21" s="2866"/>
      <c r="JJT21" s="2827"/>
      <c r="JJU21" s="2867"/>
      <c r="JJV21" s="2866"/>
      <c r="JJW21" s="2827"/>
      <c r="JJX21" s="2867"/>
      <c r="JJY21" s="2866"/>
      <c r="JJZ21" s="2827"/>
      <c r="JKA21" s="2867"/>
      <c r="JKB21" s="2866"/>
      <c r="JKC21" s="2827"/>
      <c r="JKD21" s="2867"/>
      <c r="JKE21" s="2866"/>
      <c r="JKF21" s="2827"/>
      <c r="JKG21" s="2867"/>
      <c r="JKH21" s="2866"/>
      <c r="JKI21" s="2827"/>
      <c r="JKJ21" s="2867"/>
      <c r="JKK21" s="2866"/>
      <c r="JKL21" s="2827"/>
      <c r="JKM21" s="2867"/>
      <c r="JKN21" s="2866"/>
      <c r="JKO21" s="2827"/>
      <c r="JKP21" s="2867"/>
      <c r="JKQ21" s="2866"/>
      <c r="JKR21" s="2827"/>
      <c r="JKS21" s="2867"/>
      <c r="JKT21" s="2866"/>
      <c r="JKU21" s="2827"/>
      <c r="JKV21" s="2867"/>
      <c r="JKW21" s="2866"/>
      <c r="JKX21" s="2827"/>
      <c r="JKY21" s="2867"/>
      <c r="JKZ21" s="2866"/>
      <c r="JLA21" s="2827"/>
      <c r="JLB21" s="2867"/>
      <c r="JLC21" s="2866"/>
      <c r="JLD21" s="2827"/>
      <c r="JLE21" s="2867"/>
      <c r="JLF21" s="2866"/>
      <c r="JLG21" s="2827"/>
      <c r="JLH21" s="2867"/>
      <c r="JLI21" s="2866"/>
      <c r="JLJ21" s="2827"/>
      <c r="JLK21" s="2867"/>
      <c r="JLL21" s="2866"/>
      <c r="JLM21" s="2827"/>
      <c r="JLN21" s="2867"/>
      <c r="JLO21" s="2866"/>
      <c r="JLP21" s="2827"/>
      <c r="JLQ21" s="2867"/>
      <c r="JLR21" s="2866"/>
      <c r="JLS21" s="2827"/>
      <c r="JLT21" s="2867"/>
      <c r="JLU21" s="2866"/>
      <c r="JLV21" s="2827"/>
      <c r="JLW21" s="2867"/>
      <c r="JLX21" s="2866"/>
      <c r="JLY21" s="2827"/>
      <c r="JLZ21" s="2867"/>
      <c r="JMA21" s="2866"/>
      <c r="JMB21" s="2827"/>
      <c r="JMC21" s="2867"/>
      <c r="JMD21" s="2866"/>
      <c r="JME21" s="2827"/>
      <c r="JMF21" s="2867"/>
      <c r="JMG21" s="2866"/>
      <c r="JMH21" s="2827"/>
      <c r="JMI21" s="2867"/>
      <c r="JMJ21" s="2866"/>
      <c r="JMK21" s="2827"/>
      <c r="JML21" s="2867"/>
      <c r="JMM21" s="2866"/>
      <c r="JMN21" s="2827"/>
      <c r="JMO21" s="2867"/>
      <c r="JMP21" s="2866"/>
      <c r="JMQ21" s="2827"/>
      <c r="JMR21" s="2867"/>
      <c r="JMS21" s="2866"/>
      <c r="JMT21" s="2827"/>
      <c r="JMU21" s="2867"/>
      <c r="JMV21" s="2866"/>
      <c r="JMW21" s="2827"/>
      <c r="JMX21" s="2867"/>
      <c r="JMY21" s="2866"/>
      <c r="JMZ21" s="2827"/>
      <c r="JNA21" s="2867"/>
      <c r="JNB21" s="2866"/>
      <c r="JNC21" s="2827"/>
      <c r="JND21" s="2867"/>
      <c r="JNE21" s="2866"/>
      <c r="JNF21" s="2827"/>
      <c r="JNG21" s="2867"/>
      <c r="JNH21" s="2866"/>
      <c r="JNI21" s="2827"/>
      <c r="JNJ21" s="2867"/>
      <c r="JNK21" s="2866"/>
      <c r="JNL21" s="2827"/>
      <c r="JNM21" s="2867"/>
      <c r="JNN21" s="2866"/>
      <c r="JNO21" s="2827"/>
      <c r="JNP21" s="2867"/>
      <c r="JNQ21" s="2866"/>
      <c r="JNR21" s="2827"/>
      <c r="JNS21" s="2867"/>
      <c r="JNT21" s="2866"/>
      <c r="JNU21" s="2827"/>
      <c r="JNV21" s="2867"/>
      <c r="JNW21" s="2866"/>
      <c r="JNX21" s="2827"/>
      <c r="JNY21" s="2867"/>
      <c r="JNZ21" s="2866"/>
      <c r="JOA21" s="2827"/>
      <c r="JOB21" s="2867"/>
      <c r="JOC21" s="2866"/>
      <c r="JOD21" s="2827"/>
      <c r="JOE21" s="2867"/>
      <c r="JOF21" s="2866"/>
      <c r="JOG21" s="2827"/>
      <c r="JOH21" s="2867"/>
      <c r="JOI21" s="2866"/>
      <c r="JOJ21" s="2827"/>
      <c r="JOK21" s="2867"/>
      <c r="JOL21" s="2866"/>
      <c r="JOM21" s="2827"/>
      <c r="JON21" s="2867"/>
      <c r="JOO21" s="2866"/>
      <c r="JOP21" s="2827"/>
      <c r="JOQ21" s="2867"/>
      <c r="JOR21" s="2866"/>
      <c r="JOS21" s="2827"/>
      <c r="JOT21" s="2867"/>
      <c r="JOU21" s="2866"/>
      <c r="JOV21" s="2827"/>
      <c r="JOW21" s="2867"/>
      <c r="JOX21" s="2866"/>
      <c r="JOY21" s="2827"/>
      <c r="JOZ21" s="2867"/>
      <c r="JPA21" s="2866"/>
      <c r="JPB21" s="2827"/>
      <c r="JPC21" s="2867"/>
      <c r="JPD21" s="2866"/>
      <c r="JPE21" s="2827"/>
      <c r="JPF21" s="2867"/>
      <c r="JPG21" s="2866"/>
      <c r="JPH21" s="2827"/>
      <c r="JPI21" s="2867"/>
      <c r="JPJ21" s="2866"/>
      <c r="JPK21" s="2827"/>
      <c r="JPL21" s="2867"/>
      <c r="JPM21" s="2866"/>
      <c r="JPN21" s="2827"/>
      <c r="JPO21" s="2867"/>
      <c r="JPP21" s="2866"/>
      <c r="JPQ21" s="2827"/>
      <c r="JPR21" s="2867"/>
      <c r="JPS21" s="2866"/>
      <c r="JPT21" s="2827"/>
      <c r="JPU21" s="2867"/>
      <c r="JPV21" s="2866"/>
      <c r="JPW21" s="2827"/>
      <c r="JPX21" s="2867"/>
      <c r="JPY21" s="2866"/>
      <c r="JPZ21" s="2827"/>
      <c r="JQA21" s="2867"/>
      <c r="JQB21" s="2866"/>
      <c r="JQC21" s="2827"/>
      <c r="JQD21" s="2867"/>
      <c r="JQE21" s="2866"/>
      <c r="JQF21" s="2827"/>
      <c r="JQG21" s="2867"/>
      <c r="JQH21" s="2866"/>
      <c r="JQI21" s="2827"/>
      <c r="JQJ21" s="2867"/>
      <c r="JQK21" s="2866"/>
      <c r="JQL21" s="2827"/>
      <c r="JQM21" s="2867"/>
      <c r="JQN21" s="2866"/>
      <c r="JQO21" s="2827"/>
      <c r="JQP21" s="2867"/>
      <c r="JQQ21" s="2866"/>
      <c r="JQR21" s="2827"/>
      <c r="JQS21" s="2867"/>
      <c r="JQT21" s="2866"/>
      <c r="JQU21" s="2827"/>
      <c r="JQV21" s="2867"/>
      <c r="JQW21" s="2866"/>
      <c r="JQX21" s="2827"/>
      <c r="JQY21" s="2867"/>
      <c r="JQZ21" s="2866"/>
      <c r="JRA21" s="2827"/>
      <c r="JRB21" s="2867"/>
      <c r="JRC21" s="2866"/>
      <c r="JRD21" s="2827"/>
      <c r="JRE21" s="2867"/>
      <c r="JRF21" s="2866"/>
      <c r="JRG21" s="2827"/>
      <c r="JRH21" s="2867"/>
      <c r="JRI21" s="2866"/>
      <c r="JRJ21" s="2827"/>
      <c r="JRK21" s="2867"/>
      <c r="JRL21" s="2866"/>
      <c r="JRM21" s="2827"/>
      <c r="JRN21" s="2867"/>
      <c r="JRO21" s="2866"/>
      <c r="JRP21" s="2827"/>
      <c r="JRQ21" s="2867"/>
      <c r="JRR21" s="2866"/>
      <c r="JRS21" s="2827"/>
      <c r="JRT21" s="2867"/>
      <c r="JRU21" s="2866"/>
      <c r="JRV21" s="2827"/>
      <c r="JRW21" s="2867"/>
      <c r="JRX21" s="2866"/>
      <c r="JRY21" s="2827"/>
      <c r="JRZ21" s="2867"/>
      <c r="JSA21" s="2866"/>
      <c r="JSB21" s="2827"/>
      <c r="JSC21" s="2867"/>
      <c r="JSD21" s="2866"/>
      <c r="JSE21" s="2827"/>
      <c r="JSF21" s="2867"/>
      <c r="JSG21" s="2866"/>
      <c r="JSH21" s="2827"/>
      <c r="JSI21" s="2867"/>
      <c r="JSJ21" s="2866"/>
      <c r="JSK21" s="2827"/>
      <c r="JSL21" s="2867"/>
      <c r="JSM21" s="2866"/>
      <c r="JSN21" s="2827"/>
      <c r="JSO21" s="2867"/>
      <c r="JSP21" s="2866"/>
      <c r="JSQ21" s="2827"/>
      <c r="JSR21" s="2867"/>
      <c r="JSS21" s="2866"/>
      <c r="JST21" s="2827"/>
      <c r="JSU21" s="2867"/>
      <c r="JSV21" s="2866"/>
      <c r="JSW21" s="2827"/>
      <c r="JSX21" s="2867"/>
      <c r="JSY21" s="2866"/>
      <c r="JSZ21" s="2827"/>
      <c r="JTA21" s="2867"/>
      <c r="JTB21" s="2866"/>
      <c r="JTC21" s="2827"/>
      <c r="JTD21" s="2867"/>
      <c r="JTE21" s="2866"/>
      <c r="JTF21" s="2827"/>
      <c r="JTG21" s="2867"/>
      <c r="JTH21" s="2866"/>
      <c r="JTI21" s="2827"/>
      <c r="JTJ21" s="2867"/>
      <c r="JTK21" s="2866"/>
      <c r="JTL21" s="2827"/>
      <c r="JTM21" s="2867"/>
      <c r="JTN21" s="2866"/>
      <c r="JTO21" s="2827"/>
      <c r="JTP21" s="2867"/>
      <c r="JTQ21" s="2866"/>
      <c r="JTR21" s="2827"/>
      <c r="JTS21" s="2867"/>
      <c r="JTT21" s="2866"/>
      <c r="JTU21" s="2827"/>
      <c r="JTV21" s="2867"/>
      <c r="JTW21" s="2866"/>
      <c r="JTX21" s="2827"/>
      <c r="JTY21" s="2867"/>
      <c r="JTZ21" s="2866"/>
      <c r="JUA21" s="2827"/>
      <c r="JUB21" s="2867"/>
      <c r="JUC21" s="2866"/>
      <c r="JUD21" s="2827"/>
      <c r="JUE21" s="2867"/>
      <c r="JUF21" s="2866"/>
      <c r="JUG21" s="2827"/>
      <c r="JUH21" s="2867"/>
      <c r="JUI21" s="2866"/>
      <c r="JUJ21" s="2827"/>
      <c r="JUK21" s="2867"/>
      <c r="JUL21" s="2866"/>
      <c r="JUM21" s="2827"/>
      <c r="JUN21" s="2867"/>
      <c r="JUO21" s="2866"/>
      <c r="JUP21" s="2827"/>
      <c r="JUQ21" s="2867"/>
      <c r="JUR21" s="2866"/>
      <c r="JUS21" s="2827"/>
      <c r="JUT21" s="2867"/>
      <c r="JUU21" s="2866"/>
      <c r="JUV21" s="2827"/>
      <c r="JUW21" s="2867"/>
      <c r="JUX21" s="2866"/>
      <c r="JUY21" s="2827"/>
      <c r="JUZ21" s="2867"/>
      <c r="JVA21" s="2866"/>
      <c r="JVB21" s="2827"/>
      <c r="JVC21" s="2867"/>
      <c r="JVD21" s="2866"/>
      <c r="JVE21" s="2827"/>
      <c r="JVF21" s="2867"/>
      <c r="JVG21" s="2866"/>
      <c r="JVH21" s="2827"/>
      <c r="JVI21" s="2867"/>
      <c r="JVJ21" s="2866"/>
      <c r="JVK21" s="2827"/>
      <c r="JVL21" s="2867"/>
      <c r="JVM21" s="2866"/>
      <c r="JVN21" s="2827"/>
      <c r="JVO21" s="2867"/>
      <c r="JVP21" s="2866"/>
      <c r="JVQ21" s="2827"/>
      <c r="JVR21" s="2867"/>
      <c r="JVS21" s="2866"/>
      <c r="JVT21" s="2827"/>
      <c r="JVU21" s="2867"/>
      <c r="JVV21" s="2866"/>
      <c r="JVW21" s="2827"/>
      <c r="JVX21" s="2867"/>
      <c r="JVY21" s="2866"/>
      <c r="JVZ21" s="2827"/>
      <c r="JWA21" s="2867"/>
      <c r="JWB21" s="2866"/>
      <c r="JWC21" s="2827"/>
      <c r="JWD21" s="2867"/>
      <c r="JWE21" s="2866"/>
      <c r="JWF21" s="2827"/>
      <c r="JWG21" s="2867"/>
      <c r="JWH21" s="2866"/>
      <c r="JWI21" s="2827"/>
      <c r="JWJ21" s="2867"/>
      <c r="JWK21" s="2866"/>
      <c r="JWL21" s="2827"/>
      <c r="JWM21" s="2867"/>
      <c r="JWN21" s="2866"/>
      <c r="JWO21" s="2827"/>
      <c r="JWP21" s="2867"/>
      <c r="JWQ21" s="2866"/>
      <c r="JWR21" s="2827"/>
      <c r="JWS21" s="2867"/>
      <c r="JWT21" s="2866"/>
      <c r="JWU21" s="2827"/>
      <c r="JWV21" s="2867"/>
      <c r="JWW21" s="2866"/>
      <c r="JWX21" s="2827"/>
      <c r="JWY21" s="2867"/>
      <c r="JWZ21" s="2866"/>
      <c r="JXA21" s="2827"/>
      <c r="JXB21" s="2867"/>
      <c r="JXC21" s="2866"/>
      <c r="JXD21" s="2827"/>
      <c r="JXE21" s="2867"/>
      <c r="JXF21" s="2866"/>
      <c r="JXG21" s="2827"/>
      <c r="JXH21" s="2867"/>
      <c r="JXI21" s="2866"/>
      <c r="JXJ21" s="2827"/>
      <c r="JXK21" s="2867"/>
      <c r="JXL21" s="2866"/>
      <c r="JXM21" s="2827"/>
      <c r="JXN21" s="2867"/>
      <c r="JXO21" s="2866"/>
      <c r="JXP21" s="2827"/>
      <c r="JXQ21" s="2867"/>
      <c r="JXR21" s="2866"/>
      <c r="JXS21" s="2827"/>
      <c r="JXT21" s="2867"/>
      <c r="JXU21" s="2866"/>
      <c r="JXV21" s="2827"/>
      <c r="JXW21" s="2867"/>
      <c r="JXX21" s="2866"/>
      <c r="JXY21" s="2827"/>
      <c r="JXZ21" s="2867"/>
      <c r="JYA21" s="2866"/>
      <c r="JYB21" s="2827"/>
      <c r="JYC21" s="2867"/>
      <c r="JYD21" s="2866"/>
      <c r="JYE21" s="2827"/>
      <c r="JYF21" s="2867"/>
      <c r="JYG21" s="2866"/>
      <c r="JYH21" s="2827"/>
      <c r="JYI21" s="2867"/>
      <c r="JYJ21" s="2866"/>
      <c r="JYK21" s="2827"/>
      <c r="JYL21" s="2867"/>
      <c r="JYM21" s="2866"/>
      <c r="JYN21" s="2827"/>
      <c r="JYO21" s="2867"/>
      <c r="JYP21" s="2866"/>
      <c r="JYQ21" s="2827"/>
      <c r="JYR21" s="2867"/>
      <c r="JYS21" s="2866"/>
      <c r="JYT21" s="2827"/>
      <c r="JYU21" s="2867"/>
      <c r="JYV21" s="2866"/>
      <c r="JYW21" s="2827"/>
      <c r="JYX21" s="2867"/>
      <c r="JYY21" s="2866"/>
      <c r="JYZ21" s="2827"/>
      <c r="JZA21" s="2867"/>
      <c r="JZB21" s="2866"/>
      <c r="JZC21" s="2827"/>
      <c r="JZD21" s="2867"/>
      <c r="JZE21" s="2866"/>
      <c r="JZF21" s="2827"/>
      <c r="JZG21" s="2867"/>
      <c r="JZH21" s="2866"/>
      <c r="JZI21" s="2827"/>
      <c r="JZJ21" s="2867"/>
      <c r="JZK21" s="2866"/>
      <c r="JZL21" s="2827"/>
      <c r="JZM21" s="2867"/>
      <c r="JZN21" s="2866"/>
      <c r="JZO21" s="2827"/>
      <c r="JZP21" s="2867"/>
      <c r="JZQ21" s="2866"/>
      <c r="JZR21" s="2827"/>
      <c r="JZS21" s="2867"/>
      <c r="JZT21" s="2866"/>
      <c r="JZU21" s="2827"/>
      <c r="JZV21" s="2867"/>
      <c r="JZW21" s="2866"/>
      <c r="JZX21" s="2827"/>
      <c r="JZY21" s="2867"/>
      <c r="JZZ21" s="2866"/>
      <c r="KAA21" s="2827"/>
      <c r="KAB21" s="2867"/>
      <c r="KAC21" s="2866"/>
      <c r="KAD21" s="2827"/>
      <c r="KAE21" s="2867"/>
      <c r="KAF21" s="2866"/>
      <c r="KAG21" s="2827"/>
      <c r="KAH21" s="2867"/>
      <c r="KAI21" s="2866"/>
      <c r="KAJ21" s="2827"/>
      <c r="KAK21" s="2867"/>
      <c r="KAL21" s="2866"/>
      <c r="KAM21" s="2827"/>
      <c r="KAN21" s="2867"/>
      <c r="KAO21" s="2866"/>
      <c r="KAP21" s="2827"/>
      <c r="KAQ21" s="2867"/>
      <c r="KAR21" s="2866"/>
      <c r="KAS21" s="2827"/>
      <c r="KAT21" s="2867"/>
      <c r="KAU21" s="2866"/>
      <c r="KAV21" s="2827"/>
      <c r="KAW21" s="2867"/>
      <c r="KAX21" s="2866"/>
      <c r="KAY21" s="2827"/>
      <c r="KAZ21" s="2867"/>
      <c r="KBA21" s="2866"/>
      <c r="KBB21" s="2827"/>
      <c r="KBC21" s="2867"/>
      <c r="KBD21" s="2866"/>
      <c r="KBE21" s="2827"/>
      <c r="KBF21" s="2867"/>
      <c r="KBG21" s="2866"/>
      <c r="KBH21" s="2827"/>
      <c r="KBI21" s="2867"/>
      <c r="KBJ21" s="2866"/>
      <c r="KBK21" s="2827"/>
      <c r="KBL21" s="2867"/>
      <c r="KBM21" s="2866"/>
      <c r="KBN21" s="2827"/>
      <c r="KBO21" s="2867"/>
      <c r="KBP21" s="2866"/>
      <c r="KBQ21" s="2827"/>
      <c r="KBR21" s="2867"/>
      <c r="KBS21" s="2866"/>
      <c r="KBT21" s="2827"/>
      <c r="KBU21" s="2867"/>
      <c r="KBV21" s="2866"/>
      <c r="KBW21" s="2827"/>
      <c r="KBX21" s="2867"/>
      <c r="KBY21" s="2866"/>
      <c r="KBZ21" s="2827"/>
      <c r="KCA21" s="2867"/>
      <c r="KCB21" s="2866"/>
      <c r="KCC21" s="2827"/>
      <c r="KCD21" s="2867"/>
      <c r="KCE21" s="2866"/>
      <c r="KCF21" s="2827"/>
      <c r="KCG21" s="2867"/>
      <c r="KCH21" s="2866"/>
      <c r="KCI21" s="2827"/>
      <c r="KCJ21" s="2867"/>
      <c r="KCK21" s="2866"/>
      <c r="KCL21" s="2827"/>
      <c r="KCM21" s="2867"/>
      <c r="KCN21" s="2866"/>
      <c r="KCO21" s="2827"/>
      <c r="KCP21" s="2867"/>
      <c r="KCQ21" s="2866"/>
      <c r="KCR21" s="2827"/>
      <c r="KCS21" s="2867"/>
      <c r="KCT21" s="2866"/>
      <c r="KCU21" s="2827"/>
      <c r="KCV21" s="2867"/>
      <c r="KCW21" s="2866"/>
      <c r="KCX21" s="2827"/>
      <c r="KCY21" s="2867"/>
      <c r="KCZ21" s="2866"/>
      <c r="KDA21" s="2827"/>
      <c r="KDB21" s="2867"/>
      <c r="KDC21" s="2866"/>
      <c r="KDD21" s="2827"/>
      <c r="KDE21" s="2867"/>
      <c r="KDF21" s="2866"/>
      <c r="KDG21" s="2827"/>
      <c r="KDH21" s="2867"/>
      <c r="KDI21" s="2866"/>
      <c r="KDJ21" s="2827"/>
      <c r="KDK21" s="2867"/>
      <c r="KDL21" s="2866"/>
      <c r="KDM21" s="2827"/>
      <c r="KDN21" s="2867"/>
      <c r="KDO21" s="2866"/>
      <c r="KDP21" s="2827"/>
      <c r="KDQ21" s="2867"/>
      <c r="KDR21" s="2866"/>
      <c r="KDS21" s="2827"/>
      <c r="KDT21" s="2867"/>
      <c r="KDU21" s="2866"/>
      <c r="KDV21" s="2827"/>
      <c r="KDW21" s="2867"/>
      <c r="KDX21" s="2866"/>
      <c r="KDY21" s="2827"/>
      <c r="KDZ21" s="2867"/>
      <c r="KEA21" s="2866"/>
      <c r="KEB21" s="2827"/>
      <c r="KEC21" s="2867"/>
      <c r="KED21" s="2866"/>
      <c r="KEE21" s="2827"/>
      <c r="KEF21" s="2867"/>
      <c r="KEG21" s="2866"/>
      <c r="KEH21" s="2827"/>
      <c r="KEI21" s="2867"/>
      <c r="KEJ21" s="2866"/>
      <c r="KEK21" s="2827"/>
      <c r="KEL21" s="2867"/>
      <c r="KEM21" s="2866"/>
      <c r="KEN21" s="2827"/>
      <c r="KEO21" s="2867"/>
      <c r="KEP21" s="2866"/>
      <c r="KEQ21" s="2827"/>
      <c r="KER21" s="2867"/>
      <c r="KES21" s="2866"/>
      <c r="KET21" s="2827"/>
      <c r="KEU21" s="2867"/>
      <c r="KEV21" s="2866"/>
      <c r="KEW21" s="2827"/>
      <c r="KEX21" s="2867"/>
      <c r="KEY21" s="2866"/>
      <c r="KEZ21" s="2827"/>
      <c r="KFA21" s="2867"/>
      <c r="KFB21" s="2866"/>
      <c r="KFC21" s="2827"/>
      <c r="KFD21" s="2867"/>
      <c r="KFE21" s="2866"/>
      <c r="KFF21" s="2827"/>
      <c r="KFG21" s="2867"/>
      <c r="KFH21" s="2866"/>
      <c r="KFI21" s="2827"/>
      <c r="KFJ21" s="2867"/>
      <c r="KFK21" s="2866"/>
      <c r="KFL21" s="2827"/>
      <c r="KFM21" s="2867"/>
      <c r="KFN21" s="2866"/>
      <c r="KFO21" s="2827"/>
      <c r="KFP21" s="2867"/>
      <c r="KFQ21" s="2866"/>
      <c r="KFR21" s="2827"/>
      <c r="KFS21" s="2867"/>
      <c r="KFT21" s="2866"/>
      <c r="KFU21" s="2827"/>
      <c r="KFV21" s="2867"/>
      <c r="KFW21" s="2866"/>
      <c r="KFX21" s="2827"/>
      <c r="KFY21" s="2867"/>
      <c r="KFZ21" s="2866"/>
      <c r="KGA21" s="2827"/>
      <c r="KGB21" s="2867"/>
      <c r="KGC21" s="2866"/>
      <c r="KGD21" s="2827"/>
      <c r="KGE21" s="2867"/>
      <c r="KGF21" s="2866"/>
      <c r="KGG21" s="2827"/>
      <c r="KGH21" s="2867"/>
      <c r="KGI21" s="2866"/>
      <c r="KGJ21" s="2827"/>
      <c r="KGK21" s="2867"/>
      <c r="KGL21" s="2866"/>
      <c r="KGM21" s="2827"/>
      <c r="KGN21" s="2867"/>
      <c r="KGO21" s="2866"/>
      <c r="KGP21" s="2827"/>
      <c r="KGQ21" s="2867"/>
      <c r="KGR21" s="2866"/>
      <c r="KGS21" s="2827"/>
      <c r="KGT21" s="2867"/>
      <c r="KGU21" s="2866"/>
      <c r="KGV21" s="2827"/>
      <c r="KGW21" s="2867"/>
      <c r="KGX21" s="2866"/>
      <c r="KGY21" s="2827"/>
      <c r="KGZ21" s="2867"/>
      <c r="KHA21" s="2866"/>
      <c r="KHB21" s="2827"/>
      <c r="KHC21" s="2867"/>
      <c r="KHD21" s="2866"/>
      <c r="KHE21" s="2827"/>
      <c r="KHF21" s="2867"/>
      <c r="KHG21" s="2866"/>
      <c r="KHH21" s="2827"/>
      <c r="KHI21" s="2867"/>
      <c r="KHJ21" s="2866"/>
      <c r="KHK21" s="2827"/>
      <c r="KHL21" s="2867"/>
      <c r="KHM21" s="2866"/>
      <c r="KHN21" s="2827"/>
      <c r="KHO21" s="2867"/>
      <c r="KHP21" s="2866"/>
      <c r="KHQ21" s="2827"/>
      <c r="KHR21" s="2867"/>
      <c r="KHS21" s="2866"/>
      <c r="KHT21" s="2827"/>
      <c r="KHU21" s="2867"/>
      <c r="KHV21" s="2866"/>
      <c r="KHW21" s="2827"/>
      <c r="KHX21" s="2867"/>
      <c r="KHY21" s="2866"/>
      <c r="KHZ21" s="2827"/>
      <c r="KIA21" s="2867"/>
      <c r="KIB21" s="2866"/>
      <c r="KIC21" s="2827"/>
      <c r="KID21" s="2867"/>
      <c r="KIE21" s="2866"/>
      <c r="KIF21" s="2827"/>
      <c r="KIG21" s="2867"/>
      <c r="KIH21" s="2866"/>
      <c r="KII21" s="2827"/>
      <c r="KIJ21" s="2867"/>
      <c r="KIK21" s="2866"/>
      <c r="KIL21" s="2827"/>
      <c r="KIM21" s="2867"/>
      <c r="KIN21" s="2866"/>
      <c r="KIO21" s="2827"/>
      <c r="KIP21" s="2867"/>
      <c r="KIQ21" s="2866"/>
      <c r="KIR21" s="2827"/>
      <c r="KIS21" s="2867"/>
      <c r="KIT21" s="2866"/>
      <c r="KIU21" s="2827"/>
      <c r="KIV21" s="2867"/>
      <c r="KIW21" s="2866"/>
      <c r="KIX21" s="2827"/>
      <c r="KIY21" s="2867"/>
      <c r="KIZ21" s="2866"/>
      <c r="KJA21" s="2827"/>
      <c r="KJB21" s="2867"/>
      <c r="KJC21" s="2866"/>
      <c r="KJD21" s="2827"/>
      <c r="KJE21" s="2867"/>
      <c r="KJF21" s="2866"/>
      <c r="KJG21" s="2827"/>
      <c r="KJH21" s="2867"/>
      <c r="KJI21" s="2866"/>
      <c r="KJJ21" s="2827"/>
      <c r="KJK21" s="2867"/>
      <c r="KJL21" s="2866"/>
      <c r="KJM21" s="2827"/>
      <c r="KJN21" s="2867"/>
      <c r="KJO21" s="2866"/>
      <c r="KJP21" s="2827"/>
      <c r="KJQ21" s="2867"/>
      <c r="KJR21" s="2866"/>
      <c r="KJS21" s="2827"/>
      <c r="KJT21" s="2867"/>
      <c r="KJU21" s="2866"/>
      <c r="KJV21" s="2827"/>
      <c r="KJW21" s="2867"/>
      <c r="KJX21" s="2866"/>
      <c r="KJY21" s="2827"/>
      <c r="KJZ21" s="2867"/>
      <c r="KKA21" s="2866"/>
      <c r="KKB21" s="2827"/>
      <c r="KKC21" s="2867"/>
      <c r="KKD21" s="2866"/>
      <c r="KKE21" s="2827"/>
      <c r="KKF21" s="2867"/>
      <c r="KKG21" s="2866"/>
      <c r="KKH21" s="2827"/>
      <c r="KKI21" s="2867"/>
      <c r="KKJ21" s="2866"/>
      <c r="KKK21" s="2827"/>
      <c r="KKL21" s="2867"/>
      <c r="KKM21" s="2866"/>
      <c r="KKN21" s="2827"/>
      <c r="KKO21" s="2867"/>
      <c r="KKP21" s="2866"/>
      <c r="KKQ21" s="2827"/>
      <c r="KKR21" s="2867"/>
      <c r="KKS21" s="2866"/>
      <c r="KKT21" s="2827"/>
      <c r="KKU21" s="2867"/>
      <c r="KKV21" s="2866"/>
      <c r="KKW21" s="2827"/>
      <c r="KKX21" s="2867"/>
      <c r="KKY21" s="2866"/>
      <c r="KKZ21" s="2827"/>
      <c r="KLA21" s="2867"/>
      <c r="KLB21" s="2866"/>
      <c r="KLC21" s="2827"/>
      <c r="KLD21" s="2867"/>
      <c r="KLE21" s="2866"/>
      <c r="KLF21" s="2827"/>
      <c r="KLG21" s="2867"/>
      <c r="KLH21" s="2866"/>
      <c r="KLI21" s="2827"/>
      <c r="KLJ21" s="2867"/>
      <c r="KLK21" s="2866"/>
      <c r="KLL21" s="2827"/>
      <c r="KLM21" s="2867"/>
      <c r="KLN21" s="2866"/>
      <c r="KLO21" s="2827"/>
      <c r="KLP21" s="2867"/>
      <c r="KLQ21" s="2866"/>
      <c r="KLR21" s="2827"/>
      <c r="KLS21" s="2867"/>
      <c r="KLT21" s="2866"/>
      <c r="KLU21" s="2827"/>
      <c r="KLV21" s="2867"/>
      <c r="KLW21" s="2866"/>
      <c r="KLX21" s="2827"/>
      <c r="KLY21" s="2867"/>
      <c r="KLZ21" s="2866"/>
      <c r="KMA21" s="2827"/>
      <c r="KMB21" s="2867"/>
      <c r="KMC21" s="2866"/>
      <c r="KMD21" s="2827"/>
      <c r="KME21" s="2867"/>
      <c r="KMF21" s="2866"/>
      <c r="KMG21" s="2827"/>
      <c r="KMH21" s="2867"/>
      <c r="KMI21" s="2866"/>
      <c r="KMJ21" s="2827"/>
      <c r="KMK21" s="2867"/>
      <c r="KML21" s="2866"/>
      <c r="KMM21" s="2827"/>
      <c r="KMN21" s="2867"/>
      <c r="KMO21" s="2866"/>
      <c r="KMP21" s="2827"/>
      <c r="KMQ21" s="2867"/>
      <c r="KMR21" s="2866"/>
      <c r="KMS21" s="2827"/>
      <c r="KMT21" s="2867"/>
      <c r="KMU21" s="2866"/>
      <c r="KMV21" s="2827"/>
      <c r="KMW21" s="2867"/>
      <c r="KMX21" s="2866"/>
      <c r="KMY21" s="2827"/>
      <c r="KMZ21" s="2867"/>
      <c r="KNA21" s="2866"/>
      <c r="KNB21" s="2827"/>
      <c r="KNC21" s="2867"/>
      <c r="KND21" s="2866"/>
      <c r="KNE21" s="2827"/>
      <c r="KNF21" s="2867"/>
      <c r="KNG21" s="2866"/>
      <c r="KNH21" s="2827"/>
      <c r="KNI21" s="2867"/>
      <c r="KNJ21" s="2866"/>
      <c r="KNK21" s="2827"/>
      <c r="KNL21" s="2867"/>
      <c r="KNM21" s="2866"/>
      <c r="KNN21" s="2827"/>
      <c r="KNO21" s="2867"/>
      <c r="KNP21" s="2866"/>
      <c r="KNQ21" s="2827"/>
      <c r="KNR21" s="2867"/>
      <c r="KNS21" s="2866"/>
      <c r="KNT21" s="2827"/>
      <c r="KNU21" s="2867"/>
      <c r="KNV21" s="2866"/>
      <c r="KNW21" s="2827"/>
      <c r="KNX21" s="2867"/>
      <c r="KNY21" s="2866"/>
      <c r="KNZ21" s="2827"/>
      <c r="KOA21" s="2867"/>
      <c r="KOB21" s="2866"/>
      <c r="KOC21" s="2827"/>
      <c r="KOD21" s="2867"/>
      <c r="KOE21" s="2866"/>
      <c r="KOF21" s="2827"/>
      <c r="KOG21" s="2867"/>
      <c r="KOH21" s="2866"/>
      <c r="KOI21" s="2827"/>
      <c r="KOJ21" s="2867"/>
      <c r="KOK21" s="2866"/>
      <c r="KOL21" s="2827"/>
      <c r="KOM21" s="2867"/>
      <c r="KON21" s="2866"/>
      <c r="KOO21" s="2827"/>
      <c r="KOP21" s="2867"/>
      <c r="KOQ21" s="2866"/>
      <c r="KOR21" s="2827"/>
      <c r="KOS21" s="2867"/>
      <c r="KOT21" s="2866"/>
      <c r="KOU21" s="2827"/>
      <c r="KOV21" s="2867"/>
      <c r="KOW21" s="2866"/>
      <c r="KOX21" s="2827"/>
      <c r="KOY21" s="2867"/>
      <c r="KOZ21" s="2866"/>
      <c r="KPA21" s="2827"/>
      <c r="KPB21" s="2867"/>
      <c r="KPC21" s="2866"/>
      <c r="KPD21" s="2827"/>
      <c r="KPE21" s="2867"/>
      <c r="KPF21" s="2866"/>
      <c r="KPG21" s="2827"/>
      <c r="KPH21" s="2867"/>
      <c r="KPI21" s="2866"/>
      <c r="KPJ21" s="2827"/>
      <c r="KPK21" s="2867"/>
      <c r="KPL21" s="2866"/>
      <c r="KPM21" s="2827"/>
      <c r="KPN21" s="2867"/>
      <c r="KPO21" s="2866"/>
      <c r="KPP21" s="2827"/>
      <c r="KPQ21" s="2867"/>
      <c r="KPR21" s="2866"/>
      <c r="KPS21" s="2827"/>
      <c r="KPT21" s="2867"/>
      <c r="KPU21" s="2866"/>
      <c r="KPV21" s="2827"/>
      <c r="KPW21" s="2867"/>
      <c r="KPX21" s="2866"/>
      <c r="KPY21" s="2827"/>
      <c r="KPZ21" s="2867"/>
      <c r="KQA21" s="2866"/>
      <c r="KQB21" s="2827"/>
      <c r="KQC21" s="2867"/>
      <c r="KQD21" s="2866"/>
      <c r="KQE21" s="2827"/>
      <c r="KQF21" s="2867"/>
      <c r="KQG21" s="2866"/>
      <c r="KQH21" s="2827"/>
      <c r="KQI21" s="2867"/>
      <c r="KQJ21" s="2866"/>
      <c r="KQK21" s="2827"/>
      <c r="KQL21" s="2867"/>
      <c r="KQM21" s="2866"/>
      <c r="KQN21" s="2827"/>
      <c r="KQO21" s="2867"/>
      <c r="KQP21" s="2866"/>
      <c r="KQQ21" s="2827"/>
      <c r="KQR21" s="2867"/>
      <c r="KQS21" s="2866"/>
      <c r="KQT21" s="2827"/>
      <c r="KQU21" s="2867"/>
      <c r="KQV21" s="2866"/>
      <c r="KQW21" s="2827"/>
      <c r="KQX21" s="2867"/>
      <c r="KQY21" s="2866"/>
      <c r="KQZ21" s="2827"/>
      <c r="KRA21" s="2867"/>
      <c r="KRB21" s="2866"/>
      <c r="KRC21" s="2827"/>
      <c r="KRD21" s="2867"/>
      <c r="KRE21" s="2866"/>
      <c r="KRF21" s="2827"/>
      <c r="KRG21" s="2867"/>
      <c r="KRH21" s="2866"/>
      <c r="KRI21" s="2827"/>
      <c r="KRJ21" s="2867"/>
      <c r="KRK21" s="2866"/>
      <c r="KRL21" s="2827"/>
      <c r="KRM21" s="2867"/>
      <c r="KRN21" s="2866"/>
      <c r="KRO21" s="2827"/>
      <c r="KRP21" s="2867"/>
      <c r="KRQ21" s="2866"/>
      <c r="KRR21" s="2827"/>
      <c r="KRS21" s="2867"/>
      <c r="KRT21" s="2866"/>
      <c r="KRU21" s="2827"/>
      <c r="KRV21" s="2867"/>
      <c r="KRW21" s="2866"/>
      <c r="KRX21" s="2827"/>
      <c r="KRY21" s="2867"/>
      <c r="KRZ21" s="2866"/>
      <c r="KSA21" s="2827"/>
      <c r="KSB21" s="2867"/>
      <c r="KSC21" s="2866"/>
      <c r="KSD21" s="2827"/>
      <c r="KSE21" s="2867"/>
      <c r="KSF21" s="2866"/>
      <c r="KSG21" s="2827"/>
      <c r="KSH21" s="2867"/>
      <c r="KSI21" s="2866"/>
      <c r="KSJ21" s="2827"/>
      <c r="KSK21" s="2867"/>
      <c r="KSL21" s="2866"/>
      <c r="KSM21" s="2827"/>
      <c r="KSN21" s="2867"/>
      <c r="KSO21" s="2866"/>
      <c r="KSP21" s="2827"/>
      <c r="KSQ21" s="2867"/>
      <c r="KSR21" s="2866"/>
      <c r="KSS21" s="2827"/>
      <c r="KST21" s="2867"/>
      <c r="KSU21" s="2866"/>
      <c r="KSV21" s="2827"/>
      <c r="KSW21" s="2867"/>
      <c r="KSX21" s="2866"/>
      <c r="KSY21" s="2827"/>
      <c r="KSZ21" s="2867"/>
      <c r="KTA21" s="2866"/>
      <c r="KTB21" s="2827"/>
      <c r="KTC21" s="2867"/>
      <c r="KTD21" s="2866"/>
      <c r="KTE21" s="2827"/>
      <c r="KTF21" s="2867"/>
      <c r="KTG21" s="2866"/>
      <c r="KTH21" s="2827"/>
      <c r="KTI21" s="2867"/>
      <c r="KTJ21" s="2866"/>
      <c r="KTK21" s="2827"/>
      <c r="KTL21" s="2867"/>
      <c r="KTM21" s="2866"/>
      <c r="KTN21" s="2827"/>
      <c r="KTO21" s="2867"/>
      <c r="KTP21" s="2866"/>
      <c r="KTQ21" s="2827"/>
      <c r="KTR21" s="2867"/>
      <c r="KTS21" s="2866"/>
      <c r="KTT21" s="2827"/>
      <c r="KTU21" s="2867"/>
      <c r="KTV21" s="2866"/>
      <c r="KTW21" s="2827"/>
      <c r="KTX21" s="2867"/>
      <c r="KTY21" s="2866"/>
      <c r="KTZ21" s="2827"/>
      <c r="KUA21" s="2867"/>
      <c r="KUB21" s="2866"/>
      <c r="KUC21" s="2827"/>
      <c r="KUD21" s="2867"/>
      <c r="KUE21" s="2866"/>
      <c r="KUF21" s="2827"/>
      <c r="KUG21" s="2867"/>
      <c r="KUH21" s="2866"/>
      <c r="KUI21" s="2827"/>
      <c r="KUJ21" s="2867"/>
      <c r="KUK21" s="2866"/>
      <c r="KUL21" s="2827"/>
      <c r="KUM21" s="2867"/>
      <c r="KUN21" s="2866"/>
      <c r="KUO21" s="2827"/>
      <c r="KUP21" s="2867"/>
      <c r="KUQ21" s="2866"/>
      <c r="KUR21" s="2827"/>
      <c r="KUS21" s="2867"/>
      <c r="KUT21" s="2866"/>
      <c r="KUU21" s="2827"/>
      <c r="KUV21" s="2867"/>
      <c r="KUW21" s="2866"/>
      <c r="KUX21" s="2827"/>
      <c r="KUY21" s="2867"/>
      <c r="KUZ21" s="2866"/>
      <c r="KVA21" s="2827"/>
      <c r="KVB21" s="2867"/>
      <c r="KVC21" s="2866"/>
      <c r="KVD21" s="2827"/>
      <c r="KVE21" s="2867"/>
      <c r="KVF21" s="2866"/>
      <c r="KVG21" s="2827"/>
      <c r="KVH21" s="2867"/>
      <c r="KVI21" s="2866"/>
      <c r="KVJ21" s="2827"/>
      <c r="KVK21" s="2867"/>
      <c r="KVL21" s="2866"/>
      <c r="KVM21" s="2827"/>
      <c r="KVN21" s="2867"/>
      <c r="KVO21" s="2866"/>
      <c r="KVP21" s="2827"/>
      <c r="KVQ21" s="2867"/>
      <c r="KVR21" s="2866"/>
      <c r="KVS21" s="2827"/>
      <c r="KVT21" s="2867"/>
      <c r="KVU21" s="2866"/>
      <c r="KVV21" s="2827"/>
      <c r="KVW21" s="2867"/>
      <c r="KVX21" s="2866"/>
      <c r="KVY21" s="2827"/>
      <c r="KVZ21" s="2867"/>
      <c r="KWA21" s="2866"/>
      <c r="KWB21" s="2827"/>
      <c r="KWC21" s="2867"/>
      <c r="KWD21" s="2866"/>
      <c r="KWE21" s="2827"/>
      <c r="KWF21" s="2867"/>
      <c r="KWG21" s="2866"/>
      <c r="KWH21" s="2827"/>
      <c r="KWI21" s="2867"/>
      <c r="KWJ21" s="2866"/>
      <c r="KWK21" s="2827"/>
      <c r="KWL21" s="2867"/>
      <c r="KWM21" s="2866"/>
      <c r="KWN21" s="2827"/>
      <c r="KWO21" s="2867"/>
      <c r="KWP21" s="2866"/>
      <c r="KWQ21" s="2827"/>
      <c r="KWR21" s="2867"/>
      <c r="KWS21" s="2866"/>
      <c r="KWT21" s="2827"/>
      <c r="KWU21" s="2867"/>
      <c r="KWV21" s="2866"/>
      <c r="KWW21" s="2827"/>
      <c r="KWX21" s="2867"/>
      <c r="KWY21" s="2866"/>
      <c r="KWZ21" s="2827"/>
      <c r="KXA21" s="2867"/>
      <c r="KXB21" s="2866"/>
      <c r="KXC21" s="2827"/>
      <c r="KXD21" s="2867"/>
      <c r="KXE21" s="2866"/>
      <c r="KXF21" s="2827"/>
      <c r="KXG21" s="2867"/>
      <c r="KXH21" s="2866"/>
      <c r="KXI21" s="2827"/>
      <c r="KXJ21" s="2867"/>
      <c r="KXK21" s="2866"/>
      <c r="KXL21" s="2827"/>
      <c r="KXM21" s="2867"/>
      <c r="KXN21" s="2866"/>
      <c r="KXO21" s="2827"/>
      <c r="KXP21" s="2867"/>
      <c r="KXQ21" s="2866"/>
      <c r="KXR21" s="2827"/>
      <c r="KXS21" s="2867"/>
      <c r="KXT21" s="2866"/>
      <c r="KXU21" s="2827"/>
      <c r="KXV21" s="2867"/>
      <c r="KXW21" s="2866"/>
      <c r="KXX21" s="2827"/>
      <c r="KXY21" s="2867"/>
      <c r="KXZ21" s="2866"/>
      <c r="KYA21" s="2827"/>
      <c r="KYB21" s="2867"/>
      <c r="KYC21" s="2866"/>
      <c r="KYD21" s="2827"/>
      <c r="KYE21" s="2867"/>
      <c r="KYF21" s="2866"/>
      <c r="KYG21" s="2827"/>
      <c r="KYH21" s="2867"/>
      <c r="KYI21" s="2866"/>
      <c r="KYJ21" s="2827"/>
      <c r="KYK21" s="2867"/>
      <c r="KYL21" s="2866"/>
      <c r="KYM21" s="2827"/>
      <c r="KYN21" s="2867"/>
      <c r="KYO21" s="2866"/>
      <c r="KYP21" s="2827"/>
      <c r="KYQ21" s="2867"/>
      <c r="KYR21" s="2866"/>
      <c r="KYS21" s="2827"/>
      <c r="KYT21" s="2867"/>
      <c r="KYU21" s="2866"/>
      <c r="KYV21" s="2827"/>
      <c r="KYW21" s="2867"/>
      <c r="KYX21" s="2866"/>
      <c r="KYY21" s="2827"/>
      <c r="KYZ21" s="2867"/>
      <c r="KZA21" s="2866"/>
      <c r="KZB21" s="2827"/>
      <c r="KZC21" s="2867"/>
      <c r="KZD21" s="2866"/>
      <c r="KZE21" s="2827"/>
      <c r="KZF21" s="2867"/>
      <c r="KZG21" s="2866"/>
      <c r="KZH21" s="2827"/>
      <c r="KZI21" s="2867"/>
      <c r="KZJ21" s="2866"/>
      <c r="KZK21" s="2827"/>
      <c r="KZL21" s="2867"/>
      <c r="KZM21" s="2866"/>
      <c r="KZN21" s="2827"/>
      <c r="KZO21" s="2867"/>
      <c r="KZP21" s="2866"/>
      <c r="KZQ21" s="2827"/>
      <c r="KZR21" s="2867"/>
      <c r="KZS21" s="2866"/>
      <c r="KZT21" s="2827"/>
      <c r="KZU21" s="2867"/>
      <c r="KZV21" s="2866"/>
      <c r="KZW21" s="2827"/>
      <c r="KZX21" s="2867"/>
      <c r="KZY21" s="2866"/>
      <c r="KZZ21" s="2827"/>
      <c r="LAA21" s="2867"/>
      <c r="LAB21" s="2866"/>
      <c r="LAC21" s="2827"/>
      <c r="LAD21" s="2867"/>
      <c r="LAE21" s="2866"/>
      <c r="LAF21" s="2827"/>
      <c r="LAG21" s="2867"/>
      <c r="LAH21" s="2866"/>
      <c r="LAI21" s="2827"/>
      <c r="LAJ21" s="2867"/>
      <c r="LAK21" s="2866"/>
      <c r="LAL21" s="2827"/>
      <c r="LAM21" s="2867"/>
      <c r="LAN21" s="2866"/>
      <c r="LAO21" s="2827"/>
      <c r="LAP21" s="2867"/>
      <c r="LAQ21" s="2866"/>
      <c r="LAR21" s="2827"/>
      <c r="LAS21" s="2867"/>
      <c r="LAT21" s="2866"/>
      <c r="LAU21" s="2827"/>
      <c r="LAV21" s="2867"/>
      <c r="LAW21" s="2866"/>
      <c r="LAX21" s="2827"/>
      <c r="LAY21" s="2867"/>
      <c r="LAZ21" s="2866"/>
      <c r="LBA21" s="2827"/>
      <c r="LBB21" s="2867"/>
      <c r="LBC21" s="2866"/>
      <c r="LBD21" s="2827"/>
      <c r="LBE21" s="2867"/>
      <c r="LBF21" s="2866"/>
      <c r="LBG21" s="2827"/>
      <c r="LBH21" s="2867"/>
      <c r="LBI21" s="2866"/>
      <c r="LBJ21" s="2827"/>
      <c r="LBK21" s="2867"/>
      <c r="LBL21" s="2866"/>
      <c r="LBM21" s="2827"/>
      <c r="LBN21" s="2867"/>
      <c r="LBO21" s="2866"/>
      <c r="LBP21" s="2827"/>
      <c r="LBQ21" s="2867"/>
      <c r="LBR21" s="2866"/>
      <c r="LBS21" s="2827"/>
      <c r="LBT21" s="2867"/>
      <c r="LBU21" s="2866"/>
      <c r="LBV21" s="2827"/>
      <c r="LBW21" s="2867"/>
      <c r="LBX21" s="2866"/>
      <c r="LBY21" s="2827"/>
      <c r="LBZ21" s="2867"/>
      <c r="LCA21" s="2866"/>
      <c r="LCB21" s="2827"/>
      <c r="LCC21" s="2867"/>
      <c r="LCD21" s="2866"/>
      <c r="LCE21" s="2827"/>
      <c r="LCF21" s="2867"/>
      <c r="LCG21" s="2866"/>
      <c r="LCH21" s="2827"/>
      <c r="LCI21" s="2867"/>
      <c r="LCJ21" s="2866"/>
      <c r="LCK21" s="2827"/>
      <c r="LCL21" s="2867"/>
      <c r="LCM21" s="2866"/>
      <c r="LCN21" s="2827"/>
      <c r="LCO21" s="2867"/>
      <c r="LCP21" s="2866"/>
      <c r="LCQ21" s="2827"/>
      <c r="LCR21" s="2867"/>
      <c r="LCS21" s="2866"/>
      <c r="LCT21" s="2827"/>
      <c r="LCU21" s="2867"/>
      <c r="LCV21" s="2866"/>
      <c r="LCW21" s="2827"/>
      <c r="LCX21" s="2867"/>
      <c r="LCY21" s="2866"/>
      <c r="LCZ21" s="2827"/>
      <c r="LDA21" s="2867"/>
      <c r="LDB21" s="2866"/>
      <c r="LDC21" s="2827"/>
      <c r="LDD21" s="2867"/>
      <c r="LDE21" s="2866"/>
      <c r="LDF21" s="2827"/>
      <c r="LDG21" s="2867"/>
      <c r="LDH21" s="2866"/>
      <c r="LDI21" s="2827"/>
      <c r="LDJ21" s="2867"/>
      <c r="LDK21" s="2866"/>
      <c r="LDL21" s="2827"/>
      <c r="LDM21" s="2867"/>
      <c r="LDN21" s="2866"/>
      <c r="LDO21" s="2827"/>
      <c r="LDP21" s="2867"/>
      <c r="LDQ21" s="2866"/>
      <c r="LDR21" s="2827"/>
      <c r="LDS21" s="2867"/>
      <c r="LDT21" s="2866"/>
      <c r="LDU21" s="2827"/>
      <c r="LDV21" s="2867"/>
      <c r="LDW21" s="2866"/>
      <c r="LDX21" s="2827"/>
      <c r="LDY21" s="2867"/>
      <c r="LDZ21" s="2866"/>
      <c r="LEA21" s="2827"/>
      <c r="LEB21" s="2867"/>
      <c r="LEC21" s="2866"/>
      <c r="LED21" s="2827"/>
      <c r="LEE21" s="2867"/>
      <c r="LEF21" s="2866"/>
      <c r="LEG21" s="2827"/>
      <c r="LEH21" s="2867"/>
      <c r="LEI21" s="2866"/>
      <c r="LEJ21" s="2827"/>
      <c r="LEK21" s="2867"/>
      <c r="LEL21" s="2866"/>
      <c r="LEM21" s="2827"/>
      <c r="LEN21" s="2867"/>
      <c r="LEO21" s="2866"/>
      <c r="LEP21" s="2827"/>
      <c r="LEQ21" s="2867"/>
      <c r="LER21" s="2866"/>
      <c r="LES21" s="2827"/>
      <c r="LET21" s="2867"/>
      <c r="LEU21" s="2866"/>
      <c r="LEV21" s="2827"/>
      <c r="LEW21" s="2867"/>
      <c r="LEX21" s="2866"/>
      <c r="LEY21" s="2827"/>
      <c r="LEZ21" s="2867"/>
      <c r="LFA21" s="2866"/>
      <c r="LFB21" s="2827"/>
      <c r="LFC21" s="2867"/>
      <c r="LFD21" s="2866"/>
      <c r="LFE21" s="2827"/>
      <c r="LFF21" s="2867"/>
      <c r="LFG21" s="2866"/>
      <c r="LFH21" s="2827"/>
      <c r="LFI21" s="2867"/>
      <c r="LFJ21" s="2866"/>
      <c r="LFK21" s="2827"/>
      <c r="LFL21" s="2867"/>
      <c r="LFM21" s="2866"/>
      <c r="LFN21" s="2827"/>
      <c r="LFO21" s="2867"/>
      <c r="LFP21" s="2866"/>
      <c r="LFQ21" s="2827"/>
      <c r="LFR21" s="2867"/>
      <c r="LFS21" s="2866"/>
      <c r="LFT21" s="2827"/>
      <c r="LFU21" s="2867"/>
      <c r="LFV21" s="2866"/>
      <c r="LFW21" s="2827"/>
      <c r="LFX21" s="2867"/>
      <c r="LFY21" s="2866"/>
      <c r="LFZ21" s="2827"/>
      <c r="LGA21" s="2867"/>
      <c r="LGB21" s="2866"/>
      <c r="LGC21" s="2827"/>
      <c r="LGD21" s="2867"/>
      <c r="LGE21" s="2866"/>
      <c r="LGF21" s="2827"/>
      <c r="LGG21" s="2867"/>
      <c r="LGH21" s="2866"/>
      <c r="LGI21" s="2827"/>
      <c r="LGJ21" s="2867"/>
      <c r="LGK21" s="2866"/>
      <c r="LGL21" s="2827"/>
      <c r="LGM21" s="2867"/>
      <c r="LGN21" s="2866"/>
      <c r="LGO21" s="2827"/>
      <c r="LGP21" s="2867"/>
      <c r="LGQ21" s="2866"/>
      <c r="LGR21" s="2827"/>
      <c r="LGS21" s="2867"/>
      <c r="LGT21" s="2866"/>
      <c r="LGU21" s="2827"/>
      <c r="LGV21" s="2867"/>
      <c r="LGW21" s="2866"/>
      <c r="LGX21" s="2827"/>
      <c r="LGY21" s="2867"/>
      <c r="LGZ21" s="2866"/>
      <c r="LHA21" s="2827"/>
      <c r="LHB21" s="2867"/>
      <c r="LHC21" s="2866"/>
      <c r="LHD21" s="2827"/>
      <c r="LHE21" s="2867"/>
      <c r="LHF21" s="2866"/>
      <c r="LHG21" s="2827"/>
      <c r="LHH21" s="2867"/>
      <c r="LHI21" s="2866"/>
      <c r="LHJ21" s="2827"/>
      <c r="LHK21" s="2867"/>
      <c r="LHL21" s="2866"/>
      <c r="LHM21" s="2827"/>
      <c r="LHN21" s="2867"/>
      <c r="LHO21" s="2866"/>
      <c r="LHP21" s="2827"/>
      <c r="LHQ21" s="2867"/>
      <c r="LHR21" s="2866"/>
      <c r="LHS21" s="2827"/>
      <c r="LHT21" s="2867"/>
      <c r="LHU21" s="2866"/>
      <c r="LHV21" s="2827"/>
      <c r="LHW21" s="2867"/>
      <c r="LHX21" s="2866"/>
      <c r="LHY21" s="2827"/>
      <c r="LHZ21" s="2867"/>
      <c r="LIA21" s="2866"/>
      <c r="LIB21" s="2827"/>
      <c r="LIC21" s="2867"/>
      <c r="LID21" s="2866"/>
      <c r="LIE21" s="2827"/>
      <c r="LIF21" s="2867"/>
      <c r="LIG21" s="2866"/>
      <c r="LIH21" s="2827"/>
      <c r="LII21" s="2867"/>
      <c r="LIJ21" s="2866"/>
      <c r="LIK21" s="2827"/>
      <c r="LIL21" s="2867"/>
      <c r="LIM21" s="2866"/>
      <c r="LIN21" s="2827"/>
      <c r="LIO21" s="2867"/>
      <c r="LIP21" s="2866"/>
      <c r="LIQ21" s="2827"/>
      <c r="LIR21" s="2867"/>
      <c r="LIS21" s="2866"/>
      <c r="LIT21" s="2827"/>
      <c r="LIU21" s="2867"/>
      <c r="LIV21" s="2866"/>
      <c r="LIW21" s="2827"/>
      <c r="LIX21" s="2867"/>
      <c r="LIY21" s="2866"/>
      <c r="LIZ21" s="2827"/>
      <c r="LJA21" s="2867"/>
      <c r="LJB21" s="2866"/>
      <c r="LJC21" s="2827"/>
      <c r="LJD21" s="2867"/>
      <c r="LJE21" s="2866"/>
      <c r="LJF21" s="2827"/>
      <c r="LJG21" s="2867"/>
      <c r="LJH21" s="2866"/>
      <c r="LJI21" s="2827"/>
      <c r="LJJ21" s="2867"/>
      <c r="LJK21" s="2866"/>
      <c r="LJL21" s="2827"/>
      <c r="LJM21" s="2867"/>
      <c r="LJN21" s="2866"/>
      <c r="LJO21" s="2827"/>
      <c r="LJP21" s="2867"/>
      <c r="LJQ21" s="2866"/>
      <c r="LJR21" s="2827"/>
      <c r="LJS21" s="2867"/>
      <c r="LJT21" s="2866"/>
      <c r="LJU21" s="2827"/>
      <c r="LJV21" s="2867"/>
      <c r="LJW21" s="2866"/>
      <c r="LJX21" s="2827"/>
      <c r="LJY21" s="2867"/>
      <c r="LJZ21" s="2866"/>
      <c r="LKA21" s="2827"/>
      <c r="LKB21" s="2867"/>
      <c r="LKC21" s="2866"/>
      <c r="LKD21" s="2827"/>
      <c r="LKE21" s="2867"/>
      <c r="LKF21" s="2866"/>
      <c r="LKG21" s="2827"/>
      <c r="LKH21" s="2867"/>
      <c r="LKI21" s="2866"/>
      <c r="LKJ21" s="2827"/>
      <c r="LKK21" s="2867"/>
      <c r="LKL21" s="2866"/>
      <c r="LKM21" s="2827"/>
      <c r="LKN21" s="2867"/>
      <c r="LKO21" s="2866"/>
      <c r="LKP21" s="2827"/>
      <c r="LKQ21" s="2867"/>
      <c r="LKR21" s="2866"/>
      <c r="LKS21" s="2827"/>
      <c r="LKT21" s="2867"/>
      <c r="LKU21" s="2866"/>
      <c r="LKV21" s="2827"/>
      <c r="LKW21" s="2867"/>
      <c r="LKX21" s="2866"/>
      <c r="LKY21" s="2827"/>
      <c r="LKZ21" s="2867"/>
      <c r="LLA21" s="2866"/>
      <c r="LLB21" s="2827"/>
      <c r="LLC21" s="2867"/>
      <c r="LLD21" s="2866"/>
      <c r="LLE21" s="2827"/>
      <c r="LLF21" s="2867"/>
      <c r="LLG21" s="2866"/>
      <c r="LLH21" s="2827"/>
      <c r="LLI21" s="2867"/>
      <c r="LLJ21" s="2866"/>
      <c r="LLK21" s="2827"/>
      <c r="LLL21" s="2867"/>
      <c r="LLM21" s="2866"/>
      <c r="LLN21" s="2827"/>
      <c r="LLO21" s="2867"/>
      <c r="LLP21" s="2866"/>
      <c r="LLQ21" s="2827"/>
      <c r="LLR21" s="2867"/>
      <c r="LLS21" s="2866"/>
      <c r="LLT21" s="2827"/>
      <c r="LLU21" s="2867"/>
      <c r="LLV21" s="2866"/>
      <c r="LLW21" s="2827"/>
      <c r="LLX21" s="2867"/>
      <c r="LLY21" s="2866"/>
      <c r="LLZ21" s="2827"/>
      <c r="LMA21" s="2867"/>
      <c r="LMB21" s="2866"/>
      <c r="LMC21" s="2827"/>
      <c r="LMD21" s="2867"/>
      <c r="LME21" s="2866"/>
      <c r="LMF21" s="2827"/>
      <c r="LMG21" s="2867"/>
      <c r="LMH21" s="2866"/>
      <c r="LMI21" s="2827"/>
      <c r="LMJ21" s="2867"/>
      <c r="LMK21" s="2866"/>
      <c r="LML21" s="2827"/>
      <c r="LMM21" s="2867"/>
      <c r="LMN21" s="2866"/>
      <c r="LMO21" s="2827"/>
      <c r="LMP21" s="2867"/>
      <c r="LMQ21" s="2866"/>
      <c r="LMR21" s="2827"/>
      <c r="LMS21" s="2867"/>
      <c r="LMT21" s="2866"/>
      <c r="LMU21" s="2827"/>
      <c r="LMV21" s="2867"/>
      <c r="LMW21" s="2866"/>
      <c r="LMX21" s="2827"/>
      <c r="LMY21" s="2867"/>
      <c r="LMZ21" s="2866"/>
      <c r="LNA21" s="2827"/>
      <c r="LNB21" s="2867"/>
      <c r="LNC21" s="2866"/>
      <c r="LND21" s="2827"/>
      <c r="LNE21" s="2867"/>
      <c r="LNF21" s="2866"/>
      <c r="LNG21" s="2827"/>
      <c r="LNH21" s="2867"/>
      <c r="LNI21" s="2866"/>
      <c r="LNJ21" s="2827"/>
      <c r="LNK21" s="2867"/>
      <c r="LNL21" s="2866"/>
      <c r="LNM21" s="2827"/>
      <c r="LNN21" s="2867"/>
      <c r="LNO21" s="2866"/>
      <c r="LNP21" s="2827"/>
      <c r="LNQ21" s="2867"/>
      <c r="LNR21" s="2866"/>
      <c r="LNS21" s="2827"/>
      <c r="LNT21" s="2867"/>
      <c r="LNU21" s="2866"/>
      <c r="LNV21" s="2827"/>
      <c r="LNW21" s="2867"/>
      <c r="LNX21" s="2866"/>
      <c r="LNY21" s="2827"/>
      <c r="LNZ21" s="2867"/>
      <c r="LOA21" s="2866"/>
      <c r="LOB21" s="2827"/>
      <c r="LOC21" s="2867"/>
      <c r="LOD21" s="2866"/>
      <c r="LOE21" s="2827"/>
      <c r="LOF21" s="2867"/>
      <c r="LOG21" s="2866"/>
      <c r="LOH21" s="2827"/>
      <c r="LOI21" s="2867"/>
      <c r="LOJ21" s="2866"/>
      <c r="LOK21" s="2827"/>
      <c r="LOL21" s="2867"/>
      <c r="LOM21" s="2866"/>
      <c r="LON21" s="2827"/>
      <c r="LOO21" s="2867"/>
      <c r="LOP21" s="2866"/>
      <c r="LOQ21" s="2827"/>
      <c r="LOR21" s="2867"/>
      <c r="LOS21" s="2866"/>
      <c r="LOT21" s="2827"/>
      <c r="LOU21" s="2867"/>
      <c r="LOV21" s="2866"/>
      <c r="LOW21" s="2827"/>
      <c r="LOX21" s="2867"/>
      <c r="LOY21" s="2866"/>
      <c r="LOZ21" s="2827"/>
      <c r="LPA21" s="2867"/>
      <c r="LPB21" s="2866"/>
      <c r="LPC21" s="2827"/>
      <c r="LPD21" s="2867"/>
      <c r="LPE21" s="2866"/>
      <c r="LPF21" s="2827"/>
      <c r="LPG21" s="2867"/>
      <c r="LPH21" s="2866"/>
      <c r="LPI21" s="2827"/>
      <c r="LPJ21" s="2867"/>
      <c r="LPK21" s="2866"/>
      <c r="LPL21" s="2827"/>
      <c r="LPM21" s="2867"/>
      <c r="LPN21" s="2866"/>
      <c r="LPO21" s="2827"/>
      <c r="LPP21" s="2867"/>
      <c r="LPQ21" s="2866"/>
      <c r="LPR21" s="2827"/>
      <c r="LPS21" s="2867"/>
      <c r="LPT21" s="2866"/>
      <c r="LPU21" s="2827"/>
      <c r="LPV21" s="2867"/>
      <c r="LPW21" s="2866"/>
      <c r="LPX21" s="2827"/>
      <c r="LPY21" s="2867"/>
      <c r="LPZ21" s="2866"/>
      <c r="LQA21" s="2827"/>
      <c r="LQB21" s="2867"/>
      <c r="LQC21" s="2866"/>
      <c r="LQD21" s="2827"/>
      <c r="LQE21" s="2867"/>
      <c r="LQF21" s="2866"/>
      <c r="LQG21" s="2827"/>
      <c r="LQH21" s="2867"/>
      <c r="LQI21" s="2866"/>
      <c r="LQJ21" s="2827"/>
      <c r="LQK21" s="2867"/>
      <c r="LQL21" s="2866"/>
      <c r="LQM21" s="2827"/>
      <c r="LQN21" s="2867"/>
      <c r="LQO21" s="2866"/>
      <c r="LQP21" s="2827"/>
      <c r="LQQ21" s="2867"/>
      <c r="LQR21" s="2866"/>
      <c r="LQS21" s="2827"/>
      <c r="LQT21" s="2867"/>
      <c r="LQU21" s="2866"/>
      <c r="LQV21" s="2827"/>
      <c r="LQW21" s="2867"/>
      <c r="LQX21" s="2866"/>
      <c r="LQY21" s="2827"/>
      <c r="LQZ21" s="2867"/>
      <c r="LRA21" s="2866"/>
      <c r="LRB21" s="2827"/>
      <c r="LRC21" s="2867"/>
      <c r="LRD21" s="2866"/>
      <c r="LRE21" s="2827"/>
      <c r="LRF21" s="2867"/>
      <c r="LRG21" s="2866"/>
      <c r="LRH21" s="2827"/>
      <c r="LRI21" s="2867"/>
      <c r="LRJ21" s="2866"/>
      <c r="LRK21" s="2827"/>
      <c r="LRL21" s="2867"/>
      <c r="LRM21" s="2866"/>
      <c r="LRN21" s="2827"/>
      <c r="LRO21" s="2867"/>
      <c r="LRP21" s="2866"/>
      <c r="LRQ21" s="2827"/>
      <c r="LRR21" s="2867"/>
      <c r="LRS21" s="2866"/>
      <c r="LRT21" s="2827"/>
      <c r="LRU21" s="2867"/>
      <c r="LRV21" s="2866"/>
      <c r="LRW21" s="2827"/>
      <c r="LRX21" s="2867"/>
      <c r="LRY21" s="2866"/>
      <c r="LRZ21" s="2827"/>
      <c r="LSA21" s="2867"/>
      <c r="LSB21" s="2866"/>
      <c r="LSC21" s="2827"/>
      <c r="LSD21" s="2867"/>
      <c r="LSE21" s="2866"/>
      <c r="LSF21" s="2827"/>
      <c r="LSG21" s="2867"/>
      <c r="LSH21" s="2866"/>
      <c r="LSI21" s="2827"/>
      <c r="LSJ21" s="2867"/>
      <c r="LSK21" s="2866"/>
      <c r="LSL21" s="2827"/>
      <c r="LSM21" s="2867"/>
      <c r="LSN21" s="2866"/>
      <c r="LSO21" s="2827"/>
      <c r="LSP21" s="2867"/>
      <c r="LSQ21" s="2866"/>
      <c r="LSR21" s="2827"/>
      <c r="LSS21" s="2867"/>
      <c r="LST21" s="2866"/>
      <c r="LSU21" s="2827"/>
      <c r="LSV21" s="2867"/>
      <c r="LSW21" s="2866"/>
      <c r="LSX21" s="2827"/>
      <c r="LSY21" s="2867"/>
      <c r="LSZ21" s="2866"/>
      <c r="LTA21" s="2827"/>
      <c r="LTB21" s="2867"/>
      <c r="LTC21" s="2866"/>
      <c r="LTD21" s="2827"/>
      <c r="LTE21" s="2867"/>
      <c r="LTF21" s="2866"/>
      <c r="LTG21" s="2827"/>
      <c r="LTH21" s="2867"/>
      <c r="LTI21" s="2866"/>
      <c r="LTJ21" s="2827"/>
      <c r="LTK21" s="2867"/>
      <c r="LTL21" s="2866"/>
      <c r="LTM21" s="2827"/>
      <c r="LTN21" s="2867"/>
      <c r="LTO21" s="2866"/>
      <c r="LTP21" s="2827"/>
      <c r="LTQ21" s="2867"/>
      <c r="LTR21" s="2866"/>
      <c r="LTS21" s="2827"/>
      <c r="LTT21" s="2867"/>
      <c r="LTU21" s="2866"/>
      <c r="LTV21" s="2827"/>
      <c r="LTW21" s="2867"/>
      <c r="LTX21" s="2866"/>
      <c r="LTY21" s="2827"/>
      <c r="LTZ21" s="2867"/>
      <c r="LUA21" s="2866"/>
      <c r="LUB21" s="2827"/>
      <c r="LUC21" s="2867"/>
      <c r="LUD21" s="2866"/>
      <c r="LUE21" s="2827"/>
      <c r="LUF21" s="2867"/>
      <c r="LUG21" s="2866"/>
      <c r="LUH21" s="2827"/>
      <c r="LUI21" s="2867"/>
      <c r="LUJ21" s="2866"/>
      <c r="LUK21" s="2827"/>
      <c r="LUL21" s="2867"/>
      <c r="LUM21" s="2866"/>
      <c r="LUN21" s="2827"/>
      <c r="LUO21" s="2867"/>
      <c r="LUP21" s="2866"/>
      <c r="LUQ21" s="2827"/>
      <c r="LUR21" s="2867"/>
      <c r="LUS21" s="2866"/>
      <c r="LUT21" s="2827"/>
      <c r="LUU21" s="2867"/>
      <c r="LUV21" s="2866"/>
      <c r="LUW21" s="2827"/>
      <c r="LUX21" s="2867"/>
      <c r="LUY21" s="2866"/>
      <c r="LUZ21" s="2827"/>
      <c r="LVA21" s="2867"/>
      <c r="LVB21" s="2866"/>
      <c r="LVC21" s="2827"/>
      <c r="LVD21" s="2867"/>
      <c r="LVE21" s="2866"/>
      <c r="LVF21" s="2827"/>
      <c r="LVG21" s="2867"/>
      <c r="LVH21" s="2866"/>
      <c r="LVI21" s="2827"/>
      <c r="LVJ21" s="2867"/>
      <c r="LVK21" s="2866"/>
      <c r="LVL21" s="2827"/>
      <c r="LVM21" s="2867"/>
      <c r="LVN21" s="2866"/>
      <c r="LVO21" s="2827"/>
      <c r="LVP21" s="2867"/>
      <c r="LVQ21" s="2866"/>
      <c r="LVR21" s="2827"/>
      <c r="LVS21" s="2867"/>
      <c r="LVT21" s="2866"/>
      <c r="LVU21" s="2827"/>
      <c r="LVV21" s="2867"/>
      <c r="LVW21" s="2866"/>
      <c r="LVX21" s="2827"/>
      <c r="LVY21" s="2867"/>
      <c r="LVZ21" s="2866"/>
      <c r="LWA21" s="2827"/>
      <c r="LWB21" s="2867"/>
      <c r="LWC21" s="2866"/>
      <c r="LWD21" s="2827"/>
      <c r="LWE21" s="2867"/>
      <c r="LWF21" s="2866"/>
      <c r="LWG21" s="2827"/>
      <c r="LWH21" s="2867"/>
      <c r="LWI21" s="2866"/>
      <c r="LWJ21" s="2827"/>
      <c r="LWK21" s="2867"/>
      <c r="LWL21" s="2866"/>
      <c r="LWM21" s="2827"/>
      <c r="LWN21" s="2867"/>
      <c r="LWO21" s="2866"/>
      <c r="LWP21" s="2827"/>
      <c r="LWQ21" s="2867"/>
      <c r="LWR21" s="2866"/>
      <c r="LWS21" s="2827"/>
      <c r="LWT21" s="2867"/>
      <c r="LWU21" s="2866"/>
      <c r="LWV21" s="2827"/>
      <c r="LWW21" s="2867"/>
      <c r="LWX21" s="2866"/>
      <c r="LWY21" s="2827"/>
      <c r="LWZ21" s="2867"/>
      <c r="LXA21" s="2866"/>
      <c r="LXB21" s="2827"/>
      <c r="LXC21" s="2867"/>
      <c r="LXD21" s="2866"/>
      <c r="LXE21" s="2827"/>
      <c r="LXF21" s="2867"/>
      <c r="LXG21" s="2866"/>
      <c r="LXH21" s="2827"/>
      <c r="LXI21" s="2867"/>
      <c r="LXJ21" s="2866"/>
      <c r="LXK21" s="2827"/>
      <c r="LXL21" s="2867"/>
      <c r="LXM21" s="2866"/>
      <c r="LXN21" s="2827"/>
      <c r="LXO21" s="2867"/>
      <c r="LXP21" s="2866"/>
      <c r="LXQ21" s="2827"/>
      <c r="LXR21" s="2867"/>
      <c r="LXS21" s="2866"/>
      <c r="LXT21" s="2827"/>
      <c r="LXU21" s="2867"/>
      <c r="LXV21" s="2866"/>
      <c r="LXW21" s="2827"/>
      <c r="LXX21" s="2867"/>
      <c r="LXY21" s="2866"/>
      <c r="LXZ21" s="2827"/>
      <c r="LYA21" s="2867"/>
      <c r="LYB21" s="2866"/>
      <c r="LYC21" s="2827"/>
      <c r="LYD21" s="2867"/>
      <c r="LYE21" s="2866"/>
      <c r="LYF21" s="2827"/>
      <c r="LYG21" s="2867"/>
      <c r="LYH21" s="2866"/>
      <c r="LYI21" s="2827"/>
      <c r="LYJ21" s="2867"/>
      <c r="LYK21" s="2866"/>
      <c r="LYL21" s="2827"/>
      <c r="LYM21" s="2867"/>
      <c r="LYN21" s="2866"/>
      <c r="LYO21" s="2827"/>
      <c r="LYP21" s="2867"/>
      <c r="LYQ21" s="2866"/>
      <c r="LYR21" s="2827"/>
      <c r="LYS21" s="2867"/>
      <c r="LYT21" s="2866"/>
      <c r="LYU21" s="2827"/>
      <c r="LYV21" s="2867"/>
      <c r="LYW21" s="2866"/>
      <c r="LYX21" s="2827"/>
      <c r="LYY21" s="2867"/>
      <c r="LYZ21" s="2866"/>
      <c r="LZA21" s="2827"/>
      <c r="LZB21" s="2867"/>
      <c r="LZC21" s="2866"/>
      <c r="LZD21" s="2827"/>
      <c r="LZE21" s="2867"/>
      <c r="LZF21" s="2866"/>
      <c r="LZG21" s="2827"/>
      <c r="LZH21" s="2867"/>
      <c r="LZI21" s="2866"/>
      <c r="LZJ21" s="2827"/>
      <c r="LZK21" s="2867"/>
      <c r="LZL21" s="2866"/>
      <c r="LZM21" s="2827"/>
      <c r="LZN21" s="2867"/>
      <c r="LZO21" s="2866"/>
      <c r="LZP21" s="2827"/>
      <c r="LZQ21" s="2867"/>
      <c r="LZR21" s="2866"/>
      <c r="LZS21" s="2827"/>
      <c r="LZT21" s="2867"/>
      <c r="LZU21" s="2866"/>
      <c r="LZV21" s="2827"/>
      <c r="LZW21" s="2867"/>
      <c r="LZX21" s="2866"/>
      <c r="LZY21" s="2827"/>
      <c r="LZZ21" s="2867"/>
      <c r="MAA21" s="2866"/>
      <c r="MAB21" s="2827"/>
      <c r="MAC21" s="2867"/>
      <c r="MAD21" s="2866"/>
      <c r="MAE21" s="2827"/>
      <c r="MAF21" s="2867"/>
      <c r="MAG21" s="2866"/>
      <c r="MAH21" s="2827"/>
      <c r="MAI21" s="2867"/>
      <c r="MAJ21" s="2866"/>
      <c r="MAK21" s="2827"/>
      <c r="MAL21" s="2867"/>
      <c r="MAM21" s="2866"/>
      <c r="MAN21" s="2827"/>
      <c r="MAO21" s="2867"/>
      <c r="MAP21" s="2866"/>
      <c r="MAQ21" s="2827"/>
      <c r="MAR21" s="2867"/>
      <c r="MAS21" s="2866"/>
      <c r="MAT21" s="2827"/>
      <c r="MAU21" s="2867"/>
      <c r="MAV21" s="2866"/>
      <c r="MAW21" s="2827"/>
      <c r="MAX21" s="2867"/>
      <c r="MAY21" s="2866"/>
      <c r="MAZ21" s="2827"/>
      <c r="MBA21" s="2867"/>
      <c r="MBB21" s="2866"/>
      <c r="MBC21" s="2827"/>
      <c r="MBD21" s="2867"/>
      <c r="MBE21" s="2866"/>
      <c r="MBF21" s="2827"/>
      <c r="MBG21" s="2867"/>
      <c r="MBH21" s="2866"/>
      <c r="MBI21" s="2827"/>
      <c r="MBJ21" s="2867"/>
      <c r="MBK21" s="2866"/>
      <c r="MBL21" s="2827"/>
      <c r="MBM21" s="2867"/>
      <c r="MBN21" s="2866"/>
      <c r="MBO21" s="2827"/>
      <c r="MBP21" s="2867"/>
      <c r="MBQ21" s="2866"/>
      <c r="MBR21" s="2827"/>
      <c r="MBS21" s="2867"/>
      <c r="MBT21" s="2866"/>
      <c r="MBU21" s="2827"/>
      <c r="MBV21" s="2867"/>
      <c r="MBW21" s="2866"/>
      <c r="MBX21" s="2827"/>
      <c r="MBY21" s="2867"/>
      <c r="MBZ21" s="2866"/>
      <c r="MCA21" s="2827"/>
      <c r="MCB21" s="2867"/>
      <c r="MCC21" s="2866"/>
      <c r="MCD21" s="2827"/>
      <c r="MCE21" s="2867"/>
      <c r="MCF21" s="2866"/>
      <c r="MCG21" s="2827"/>
      <c r="MCH21" s="2867"/>
      <c r="MCI21" s="2866"/>
      <c r="MCJ21" s="2827"/>
      <c r="MCK21" s="2867"/>
      <c r="MCL21" s="2866"/>
      <c r="MCM21" s="2827"/>
      <c r="MCN21" s="2867"/>
      <c r="MCO21" s="2866"/>
      <c r="MCP21" s="2827"/>
      <c r="MCQ21" s="2867"/>
      <c r="MCR21" s="2866"/>
      <c r="MCS21" s="2827"/>
      <c r="MCT21" s="2867"/>
      <c r="MCU21" s="2866"/>
      <c r="MCV21" s="2827"/>
      <c r="MCW21" s="2867"/>
      <c r="MCX21" s="2866"/>
      <c r="MCY21" s="2827"/>
      <c r="MCZ21" s="2867"/>
      <c r="MDA21" s="2866"/>
      <c r="MDB21" s="2827"/>
      <c r="MDC21" s="2867"/>
      <c r="MDD21" s="2866"/>
      <c r="MDE21" s="2827"/>
      <c r="MDF21" s="2867"/>
      <c r="MDG21" s="2866"/>
      <c r="MDH21" s="2827"/>
      <c r="MDI21" s="2867"/>
      <c r="MDJ21" s="2866"/>
      <c r="MDK21" s="2827"/>
      <c r="MDL21" s="2867"/>
      <c r="MDM21" s="2866"/>
      <c r="MDN21" s="2827"/>
      <c r="MDO21" s="2867"/>
      <c r="MDP21" s="2866"/>
      <c r="MDQ21" s="2827"/>
      <c r="MDR21" s="2867"/>
      <c r="MDS21" s="2866"/>
      <c r="MDT21" s="2827"/>
      <c r="MDU21" s="2867"/>
      <c r="MDV21" s="2866"/>
      <c r="MDW21" s="2827"/>
      <c r="MDX21" s="2867"/>
      <c r="MDY21" s="2866"/>
      <c r="MDZ21" s="2827"/>
      <c r="MEA21" s="2867"/>
      <c r="MEB21" s="2866"/>
      <c r="MEC21" s="2827"/>
      <c r="MED21" s="2867"/>
      <c r="MEE21" s="2866"/>
      <c r="MEF21" s="2827"/>
      <c r="MEG21" s="2867"/>
      <c r="MEH21" s="2866"/>
      <c r="MEI21" s="2827"/>
      <c r="MEJ21" s="2867"/>
      <c r="MEK21" s="2866"/>
      <c r="MEL21" s="2827"/>
      <c r="MEM21" s="2867"/>
      <c r="MEN21" s="2866"/>
      <c r="MEO21" s="2827"/>
      <c r="MEP21" s="2867"/>
      <c r="MEQ21" s="2866"/>
      <c r="MER21" s="2827"/>
      <c r="MES21" s="2867"/>
      <c r="MET21" s="2866"/>
      <c r="MEU21" s="2827"/>
      <c r="MEV21" s="2867"/>
      <c r="MEW21" s="2866"/>
      <c r="MEX21" s="2827"/>
      <c r="MEY21" s="2867"/>
      <c r="MEZ21" s="2866"/>
      <c r="MFA21" s="2827"/>
      <c r="MFB21" s="2867"/>
      <c r="MFC21" s="2866"/>
      <c r="MFD21" s="2827"/>
      <c r="MFE21" s="2867"/>
      <c r="MFF21" s="2866"/>
      <c r="MFG21" s="2827"/>
      <c r="MFH21" s="2867"/>
      <c r="MFI21" s="2866"/>
      <c r="MFJ21" s="2827"/>
      <c r="MFK21" s="2867"/>
      <c r="MFL21" s="2866"/>
      <c r="MFM21" s="2827"/>
      <c r="MFN21" s="2867"/>
      <c r="MFO21" s="2866"/>
      <c r="MFP21" s="2827"/>
      <c r="MFQ21" s="2867"/>
      <c r="MFR21" s="2866"/>
      <c r="MFS21" s="2827"/>
      <c r="MFT21" s="2867"/>
      <c r="MFU21" s="2866"/>
      <c r="MFV21" s="2827"/>
      <c r="MFW21" s="2867"/>
      <c r="MFX21" s="2866"/>
      <c r="MFY21" s="2827"/>
      <c r="MFZ21" s="2867"/>
      <c r="MGA21" s="2866"/>
      <c r="MGB21" s="2827"/>
      <c r="MGC21" s="2867"/>
      <c r="MGD21" s="2866"/>
      <c r="MGE21" s="2827"/>
      <c r="MGF21" s="2867"/>
      <c r="MGG21" s="2866"/>
      <c r="MGH21" s="2827"/>
      <c r="MGI21" s="2867"/>
      <c r="MGJ21" s="2866"/>
      <c r="MGK21" s="2827"/>
      <c r="MGL21" s="2867"/>
      <c r="MGM21" s="2866"/>
      <c r="MGN21" s="2827"/>
      <c r="MGO21" s="2867"/>
      <c r="MGP21" s="2866"/>
      <c r="MGQ21" s="2827"/>
      <c r="MGR21" s="2867"/>
      <c r="MGS21" s="2866"/>
      <c r="MGT21" s="2827"/>
      <c r="MGU21" s="2867"/>
      <c r="MGV21" s="2866"/>
      <c r="MGW21" s="2827"/>
      <c r="MGX21" s="2867"/>
      <c r="MGY21" s="2866"/>
      <c r="MGZ21" s="2827"/>
      <c r="MHA21" s="2867"/>
      <c r="MHB21" s="2866"/>
      <c r="MHC21" s="2827"/>
      <c r="MHD21" s="2867"/>
      <c r="MHE21" s="2866"/>
      <c r="MHF21" s="2827"/>
      <c r="MHG21" s="2867"/>
      <c r="MHH21" s="2866"/>
      <c r="MHI21" s="2827"/>
      <c r="MHJ21" s="2867"/>
      <c r="MHK21" s="2866"/>
      <c r="MHL21" s="2827"/>
      <c r="MHM21" s="2867"/>
      <c r="MHN21" s="2866"/>
      <c r="MHO21" s="2827"/>
      <c r="MHP21" s="2867"/>
      <c r="MHQ21" s="2866"/>
      <c r="MHR21" s="2827"/>
      <c r="MHS21" s="2867"/>
      <c r="MHT21" s="2866"/>
      <c r="MHU21" s="2827"/>
      <c r="MHV21" s="2867"/>
      <c r="MHW21" s="2866"/>
      <c r="MHX21" s="2827"/>
      <c r="MHY21" s="2867"/>
      <c r="MHZ21" s="2866"/>
      <c r="MIA21" s="2827"/>
      <c r="MIB21" s="2867"/>
      <c r="MIC21" s="2866"/>
      <c r="MID21" s="2827"/>
      <c r="MIE21" s="2867"/>
      <c r="MIF21" s="2866"/>
      <c r="MIG21" s="2827"/>
      <c r="MIH21" s="2867"/>
      <c r="MII21" s="2866"/>
      <c r="MIJ21" s="2827"/>
      <c r="MIK21" s="2867"/>
      <c r="MIL21" s="2866"/>
      <c r="MIM21" s="2827"/>
      <c r="MIN21" s="2867"/>
      <c r="MIO21" s="2866"/>
      <c r="MIP21" s="2827"/>
      <c r="MIQ21" s="2867"/>
      <c r="MIR21" s="2866"/>
      <c r="MIS21" s="2827"/>
      <c r="MIT21" s="2867"/>
      <c r="MIU21" s="2866"/>
      <c r="MIV21" s="2827"/>
      <c r="MIW21" s="2867"/>
      <c r="MIX21" s="2866"/>
      <c r="MIY21" s="2827"/>
      <c r="MIZ21" s="2867"/>
      <c r="MJA21" s="2866"/>
      <c r="MJB21" s="2827"/>
      <c r="MJC21" s="2867"/>
      <c r="MJD21" s="2866"/>
      <c r="MJE21" s="2827"/>
      <c r="MJF21" s="2867"/>
      <c r="MJG21" s="2866"/>
      <c r="MJH21" s="2827"/>
      <c r="MJI21" s="2867"/>
      <c r="MJJ21" s="2866"/>
      <c r="MJK21" s="2827"/>
      <c r="MJL21" s="2867"/>
      <c r="MJM21" s="2866"/>
      <c r="MJN21" s="2827"/>
      <c r="MJO21" s="2867"/>
      <c r="MJP21" s="2866"/>
      <c r="MJQ21" s="2827"/>
      <c r="MJR21" s="2867"/>
      <c r="MJS21" s="2866"/>
      <c r="MJT21" s="2827"/>
      <c r="MJU21" s="2867"/>
      <c r="MJV21" s="2866"/>
      <c r="MJW21" s="2827"/>
      <c r="MJX21" s="2867"/>
      <c r="MJY21" s="2866"/>
      <c r="MJZ21" s="2827"/>
      <c r="MKA21" s="2867"/>
      <c r="MKB21" s="2866"/>
      <c r="MKC21" s="2827"/>
      <c r="MKD21" s="2867"/>
      <c r="MKE21" s="2866"/>
      <c r="MKF21" s="2827"/>
      <c r="MKG21" s="2867"/>
      <c r="MKH21" s="2866"/>
      <c r="MKI21" s="2827"/>
      <c r="MKJ21" s="2867"/>
      <c r="MKK21" s="2866"/>
      <c r="MKL21" s="2827"/>
      <c r="MKM21" s="2867"/>
      <c r="MKN21" s="2866"/>
      <c r="MKO21" s="2827"/>
      <c r="MKP21" s="2867"/>
      <c r="MKQ21" s="2866"/>
      <c r="MKR21" s="2827"/>
      <c r="MKS21" s="2867"/>
      <c r="MKT21" s="2866"/>
      <c r="MKU21" s="2827"/>
      <c r="MKV21" s="2867"/>
      <c r="MKW21" s="2866"/>
      <c r="MKX21" s="2827"/>
      <c r="MKY21" s="2867"/>
      <c r="MKZ21" s="2866"/>
      <c r="MLA21" s="2827"/>
      <c r="MLB21" s="2867"/>
      <c r="MLC21" s="2866"/>
      <c r="MLD21" s="2827"/>
      <c r="MLE21" s="2867"/>
      <c r="MLF21" s="2866"/>
      <c r="MLG21" s="2827"/>
      <c r="MLH21" s="2867"/>
      <c r="MLI21" s="2866"/>
      <c r="MLJ21" s="2827"/>
      <c r="MLK21" s="2867"/>
      <c r="MLL21" s="2866"/>
      <c r="MLM21" s="2827"/>
      <c r="MLN21" s="2867"/>
      <c r="MLO21" s="2866"/>
      <c r="MLP21" s="2827"/>
      <c r="MLQ21" s="2867"/>
      <c r="MLR21" s="2866"/>
      <c r="MLS21" s="2827"/>
      <c r="MLT21" s="2867"/>
      <c r="MLU21" s="2866"/>
      <c r="MLV21" s="2827"/>
      <c r="MLW21" s="2867"/>
      <c r="MLX21" s="2866"/>
      <c r="MLY21" s="2827"/>
      <c r="MLZ21" s="2867"/>
      <c r="MMA21" s="2866"/>
      <c r="MMB21" s="2827"/>
      <c r="MMC21" s="2867"/>
      <c r="MMD21" s="2866"/>
      <c r="MME21" s="2827"/>
      <c r="MMF21" s="2867"/>
      <c r="MMG21" s="2866"/>
      <c r="MMH21" s="2827"/>
      <c r="MMI21" s="2867"/>
      <c r="MMJ21" s="2866"/>
      <c r="MMK21" s="2827"/>
      <c r="MML21" s="2867"/>
      <c r="MMM21" s="2866"/>
      <c r="MMN21" s="2827"/>
      <c r="MMO21" s="2867"/>
      <c r="MMP21" s="2866"/>
      <c r="MMQ21" s="2827"/>
      <c r="MMR21" s="2867"/>
      <c r="MMS21" s="2866"/>
      <c r="MMT21" s="2827"/>
      <c r="MMU21" s="2867"/>
      <c r="MMV21" s="2866"/>
      <c r="MMW21" s="2827"/>
      <c r="MMX21" s="2867"/>
      <c r="MMY21" s="2866"/>
      <c r="MMZ21" s="2827"/>
      <c r="MNA21" s="2867"/>
      <c r="MNB21" s="2866"/>
      <c r="MNC21" s="2827"/>
      <c r="MND21" s="2867"/>
      <c r="MNE21" s="2866"/>
      <c r="MNF21" s="2827"/>
      <c r="MNG21" s="2867"/>
      <c r="MNH21" s="2866"/>
      <c r="MNI21" s="2827"/>
      <c r="MNJ21" s="2867"/>
      <c r="MNK21" s="2866"/>
      <c r="MNL21" s="2827"/>
      <c r="MNM21" s="2867"/>
      <c r="MNN21" s="2866"/>
      <c r="MNO21" s="2827"/>
      <c r="MNP21" s="2867"/>
      <c r="MNQ21" s="2866"/>
      <c r="MNR21" s="2827"/>
      <c r="MNS21" s="2867"/>
      <c r="MNT21" s="2866"/>
      <c r="MNU21" s="2827"/>
      <c r="MNV21" s="2867"/>
      <c r="MNW21" s="2866"/>
      <c r="MNX21" s="2827"/>
      <c r="MNY21" s="2867"/>
      <c r="MNZ21" s="2866"/>
      <c r="MOA21" s="2827"/>
      <c r="MOB21" s="2867"/>
      <c r="MOC21" s="2866"/>
      <c r="MOD21" s="2827"/>
      <c r="MOE21" s="2867"/>
      <c r="MOF21" s="2866"/>
      <c r="MOG21" s="2827"/>
      <c r="MOH21" s="2867"/>
      <c r="MOI21" s="2866"/>
      <c r="MOJ21" s="2827"/>
      <c r="MOK21" s="2867"/>
      <c r="MOL21" s="2866"/>
      <c r="MOM21" s="2827"/>
      <c r="MON21" s="2867"/>
      <c r="MOO21" s="2866"/>
      <c r="MOP21" s="2827"/>
      <c r="MOQ21" s="2867"/>
      <c r="MOR21" s="2866"/>
      <c r="MOS21" s="2827"/>
      <c r="MOT21" s="2867"/>
      <c r="MOU21" s="2866"/>
      <c r="MOV21" s="2827"/>
      <c r="MOW21" s="2867"/>
      <c r="MOX21" s="2866"/>
      <c r="MOY21" s="2827"/>
      <c r="MOZ21" s="2867"/>
      <c r="MPA21" s="2866"/>
      <c r="MPB21" s="2827"/>
      <c r="MPC21" s="2867"/>
      <c r="MPD21" s="2866"/>
      <c r="MPE21" s="2827"/>
      <c r="MPF21" s="2867"/>
      <c r="MPG21" s="2866"/>
      <c r="MPH21" s="2827"/>
      <c r="MPI21" s="2867"/>
      <c r="MPJ21" s="2866"/>
      <c r="MPK21" s="2827"/>
      <c r="MPL21" s="2867"/>
      <c r="MPM21" s="2866"/>
      <c r="MPN21" s="2827"/>
      <c r="MPO21" s="2867"/>
      <c r="MPP21" s="2866"/>
      <c r="MPQ21" s="2827"/>
      <c r="MPR21" s="2867"/>
      <c r="MPS21" s="2866"/>
      <c r="MPT21" s="2827"/>
      <c r="MPU21" s="2867"/>
      <c r="MPV21" s="2866"/>
      <c r="MPW21" s="2827"/>
      <c r="MPX21" s="2867"/>
      <c r="MPY21" s="2866"/>
      <c r="MPZ21" s="2827"/>
      <c r="MQA21" s="2867"/>
      <c r="MQB21" s="2866"/>
      <c r="MQC21" s="2827"/>
      <c r="MQD21" s="2867"/>
      <c r="MQE21" s="2866"/>
      <c r="MQF21" s="2827"/>
      <c r="MQG21" s="2867"/>
      <c r="MQH21" s="2866"/>
      <c r="MQI21" s="2827"/>
      <c r="MQJ21" s="2867"/>
      <c r="MQK21" s="2866"/>
      <c r="MQL21" s="2827"/>
      <c r="MQM21" s="2867"/>
      <c r="MQN21" s="2866"/>
      <c r="MQO21" s="2827"/>
      <c r="MQP21" s="2867"/>
      <c r="MQQ21" s="2866"/>
      <c r="MQR21" s="2827"/>
      <c r="MQS21" s="2867"/>
      <c r="MQT21" s="2866"/>
      <c r="MQU21" s="2827"/>
      <c r="MQV21" s="2867"/>
      <c r="MQW21" s="2866"/>
      <c r="MQX21" s="2827"/>
      <c r="MQY21" s="2867"/>
      <c r="MQZ21" s="2866"/>
      <c r="MRA21" s="2827"/>
      <c r="MRB21" s="2867"/>
      <c r="MRC21" s="2866"/>
      <c r="MRD21" s="2827"/>
      <c r="MRE21" s="2867"/>
      <c r="MRF21" s="2866"/>
      <c r="MRG21" s="2827"/>
      <c r="MRH21" s="2867"/>
      <c r="MRI21" s="2866"/>
      <c r="MRJ21" s="2827"/>
      <c r="MRK21" s="2867"/>
      <c r="MRL21" s="2866"/>
      <c r="MRM21" s="2827"/>
      <c r="MRN21" s="2867"/>
      <c r="MRO21" s="2866"/>
      <c r="MRP21" s="2827"/>
      <c r="MRQ21" s="2867"/>
      <c r="MRR21" s="2866"/>
      <c r="MRS21" s="2827"/>
      <c r="MRT21" s="2867"/>
      <c r="MRU21" s="2866"/>
      <c r="MRV21" s="2827"/>
      <c r="MRW21" s="2867"/>
      <c r="MRX21" s="2866"/>
      <c r="MRY21" s="2827"/>
      <c r="MRZ21" s="2867"/>
      <c r="MSA21" s="2866"/>
      <c r="MSB21" s="2827"/>
      <c r="MSC21" s="2867"/>
      <c r="MSD21" s="2866"/>
      <c r="MSE21" s="2827"/>
      <c r="MSF21" s="2867"/>
      <c r="MSG21" s="2866"/>
      <c r="MSH21" s="2827"/>
      <c r="MSI21" s="2867"/>
      <c r="MSJ21" s="2866"/>
      <c r="MSK21" s="2827"/>
      <c r="MSL21" s="2867"/>
      <c r="MSM21" s="2866"/>
      <c r="MSN21" s="2827"/>
      <c r="MSO21" s="2867"/>
      <c r="MSP21" s="2866"/>
      <c r="MSQ21" s="2827"/>
      <c r="MSR21" s="2867"/>
      <c r="MSS21" s="2866"/>
      <c r="MST21" s="2827"/>
      <c r="MSU21" s="2867"/>
      <c r="MSV21" s="2866"/>
      <c r="MSW21" s="2827"/>
      <c r="MSX21" s="2867"/>
      <c r="MSY21" s="2866"/>
      <c r="MSZ21" s="2827"/>
      <c r="MTA21" s="2867"/>
      <c r="MTB21" s="2866"/>
      <c r="MTC21" s="2827"/>
      <c r="MTD21" s="2867"/>
      <c r="MTE21" s="2866"/>
      <c r="MTF21" s="2827"/>
      <c r="MTG21" s="2867"/>
      <c r="MTH21" s="2866"/>
      <c r="MTI21" s="2827"/>
      <c r="MTJ21" s="2867"/>
      <c r="MTK21" s="2866"/>
      <c r="MTL21" s="2827"/>
      <c r="MTM21" s="2867"/>
      <c r="MTN21" s="2866"/>
      <c r="MTO21" s="2827"/>
      <c r="MTP21" s="2867"/>
      <c r="MTQ21" s="2866"/>
      <c r="MTR21" s="2827"/>
      <c r="MTS21" s="2867"/>
      <c r="MTT21" s="2866"/>
      <c r="MTU21" s="2827"/>
      <c r="MTV21" s="2867"/>
      <c r="MTW21" s="2866"/>
      <c r="MTX21" s="2827"/>
      <c r="MTY21" s="2867"/>
      <c r="MTZ21" s="2866"/>
      <c r="MUA21" s="2827"/>
      <c r="MUB21" s="2867"/>
      <c r="MUC21" s="2866"/>
      <c r="MUD21" s="2827"/>
      <c r="MUE21" s="2867"/>
      <c r="MUF21" s="2866"/>
      <c r="MUG21" s="2827"/>
      <c r="MUH21" s="2867"/>
      <c r="MUI21" s="2866"/>
      <c r="MUJ21" s="2827"/>
      <c r="MUK21" s="2867"/>
      <c r="MUL21" s="2866"/>
      <c r="MUM21" s="2827"/>
      <c r="MUN21" s="2867"/>
      <c r="MUO21" s="2866"/>
      <c r="MUP21" s="2827"/>
      <c r="MUQ21" s="2867"/>
      <c r="MUR21" s="2866"/>
      <c r="MUS21" s="2827"/>
      <c r="MUT21" s="2867"/>
      <c r="MUU21" s="2866"/>
      <c r="MUV21" s="2827"/>
      <c r="MUW21" s="2867"/>
      <c r="MUX21" s="2866"/>
      <c r="MUY21" s="2827"/>
      <c r="MUZ21" s="2867"/>
      <c r="MVA21" s="2866"/>
      <c r="MVB21" s="2827"/>
      <c r="MVC21" s="2867"/>
      <c r="MVD21" s="2866"/>
      <c r="MVE21" s="2827"/>
      <c r="MVF21" s="2867"/>
      <c r="MVG21" s="2866"/>
      <c r="MVH21" s="2827"/>
      <c r="MVI21" s="2867"/>
      <c r="MVJ21" s="2866"/>
      <c r="MVK21" s="2827"/>
      <c r="MVL21" s="2867"/>
      <c r="MVM21" s="2866"/>
      <c r="MVN21" s="2827"/>
      <c r="MVO21" s="2867"/>
      <c r="MVP21" s="2866"/>
      <c r="MVQ21" s="2827"/>
      <c r="MVR21" s="2867"/>
      <c r="MVS21" s="2866"/>
      <c r="MVT21" s="2827"/>
      <c r="MVU21" s="2867"/>
      <c r="MVV21" s="2866"/>
      <c r="MVW21" s="2827"/>
      <c r="MVX21" s="2867"/>
      <c r="MVY21" s="2866"/>
      <c r="MVZ21" s="2827"/>
      <c r="MWA21" s="2867"/>
      <c r="MWB21" s="2866"/>
      <c r="MWC21" s="2827"/>
      <c r="MWD21" s="2867"/>
      <c r="MWE21" s="2866"/>
      <c r="MWF21" s="2827"/>
      <c r="MWG21" s="2867"/>
      <c r="MWH21" s="2866"/>
      <c r="MWI21" s="2827"/>
      <c r="MWJ21" s="2867"/>
      <c r="MWK21" s="2866"/>
      <c r="MWL21" s="2827"/>
      <c r="MWM21" s="2867"/>
      <c r="MWN21" s="2866"/>
      <c r="MWO21" s="2827"/>
      <c r="MWP21" s="2867"/>
      <c r="MWQ21" s="2866"/>
      <c r="MWR21" s="2827"/>
      <c r="MWS21" s="2867"/>
      <c r="MWT21" s="2866"/>
      <c r="MWU21" s="2827"/>
      <c r="MWV21" s="2867"/>
      <c r="MWW21" s="2866"/>
      <c r="MWX21" s="2827"/>
      <c r="MWY21" s="2867"/>
      <c r="MWZ21" s="2866"/>
      <c r="MXA21" s="2827"/>
      <c r="MXB21" s="2867"/>
      <c r="MXC21" s="2866"/>
      <c r="MXD21" s="2827"/>
      <c r="MXE21" s="2867"/>
      <c r="MXF21" s="2866"/>
      <c r="MXG21" s="2827"/>
      <c r="MXH21" s="2867"/>
      <c r="MXI21" s="2866"/>
      <c r="MXJ21" s="2827"/>
      <c r="MXK21" s="2867"/>
      <c r="MXL21" s="2866"/>
      <c r="MXM21" s="2827"/>
      <c r="MXN21" s="2867"/>
      <c r="MXO21" s="2866"/>
      <c r="MXP21" s="2827"/>
      <c r="MXQ21" s="2867"/>
      <c r="MXR21" s="2866"/>
      <c r="MXS21" s="2827"/>
      <c r="MXT21" s="2867"/>
      <c r="MXU21" s="2866"/>
      <c r="MXV21" s="2827"/>
      <c r="MXW21" s="2867"/>
      <c r="MXX21" s="2866"/>
      <c r="MXY21" s="2827"/>
      <c r="MXZ21" s="2867"/>
      <c r="MYA21" s="2866"/>
      <c r="MYB21" s="2827"/>
      <c r="MYC21" s="2867"/>
      <c r="MYD21" s="2866"/>
      <c r="MYE21" s="2827"/>
      <c r="MYF21" s="2867"/>
      <c r="MYG21" s="2866"/>
      <c r="MYH21" s="2827"/>
      <c r="MYI21" s="2867"/>
      <c r="MYJ21" s="2866"/>
      <c r="MYK21" s="2827"/>
      <c r="MYL21" s="2867"/>
      <c r="MYM21" s="2866"/>
      <c r="MYN21" s="2827"/>
      <c r="MYO21" s="2867"/>
      <c r="MYP21" s="2866"/>
      <c r="MYQ21" s="2827"/>
      <c r="MYR21" s="2867"/>
      <c r="MYS21" s="2866"/>
      <c r="MYT21" s="2827"/>
      <c r="MYU21" s="2867"/>
      <c r="MYV21" s="2866"/>
      <c r="MYW21" s="2827"/>
      <c r="MYX21" s="2867"/>
      <c r="MYY21" s="2866"/>
      <c r="MYZ21" s="2827"/>
      <c r="MZA21" s="2867"/>
      <c r="MZB21" s="2866"/>
      <c r="MZC21" s="2827"/>
      <c r="MZD21" s="2867"/>
      <c r="MZE21" s="2866"/>
      <c r="MZF21" s="2827"/>
      <c r="MZG21" s="2867"/>
      <c r="MZH21" s="2866"/>
      <c r="MZI21" s="2827"/>
      <c r="MZJ21" s="2867"/>
      <c r="MZK21" s="2866"/>
      <c r="MZL21" s="2827"/>
      <c r="MZM21" s="2867"/>
      <c r="MZN21" s="2866"/>
      <c r="MZO21" s="2827"/>
      <c r="MZP21" s="2867"/>
      <c r="MZQ21" s="2866"/>
      <c r="MZR21" s="2827"/>
      <c r="MZS21" s="2867"/>
      <c r="MZT21" s="2866"/>
      <c r="MZU21" s="2827"/>
      <c r="MZV21" s="2867"/>
      <c r="MZW21" s="2866"/>
      <c r="MZX21" s="2827"/>
      <c r="MZY21" s="2867"/>
      <c r="MZZ21" s="2866"/>
      <c r="NAA21" s="2827"/>
      <c r="NAB21" s="2867"/>
      <c r="NAC21" s="2866"/>
      <c r="NAD21" s="2827"/>
      <c r="NAE21" s="2867"/>
      <c r="NAF21" s="2866"/>
      <c r="NAG21" s="2827"/>
      <c r="NAH21" s="2867"/>
      <c r="NAI21" s="2866"/>
      <c r="NAJ21" s="2827"/>
      <c r="NAK21" s="2867"/>
      <c r="NAL21" s="2866"/>
      <c r="NAM21" s="2827"/>
      <c r="NAN21" s="2867"/>
      <c r="NAO21" s="2866"/>
      <c r="NAP21" s="2827"/>
      <c r="NAQ21" s="2867"/>
      <c r="NAR21" s="2866"/>
      <c r="NAS21" s="2827"/>
      <c r="NAT21" s="2867"/>
      <c r="NAU21" s="2866"/>
      <c r="NAV21" s="2827"/>
      <c r="NAW21" s="2867"/>
      <c r="NAX21" s="2866"/>
      <c r="NAY21" s="2827"/>
      <c r="NAZ21" s="2867"/>
      <c r="NBA21" s="2866"/>
      <c r="NBB21" s="2827"/>
      <c r="NBC21" s="2867"/>
      <c r="NBD21" s="2866"/>
      <c r="NBE21" s="2827"/>
      <c r="NBF21" s="2867"/>
      <c r="NBG21" s="2866"/>
      <c r="NBH21" s="2827"/>
      <c r="NBI21" s="2867"/>
      <c r="NBJ21" s="2866"/>
      <c r="NBK21" s="2827"/>
      <c r="NBL21" s="2867"/>
      <c r="NBM21" s="2866"/>
      <c r="NBN21" s="2827"/>
      <c r="NBO21" s="2867"/>
      <c r="NBP21" s="2866"/>
      <c r="NBQ21" s="2827"/>
      <c r="NBR21" s="2867"/>
      <c r="NBS21" s="2866"/>
      <c r="NBT21" s="2827"/>
      <c r="NBU21" s="2867"/>
      <c r="NBV21" s="2866"/>
      <c r="NBW21" s="2827"/>
      <c r="NBX21" s="2867"/>
      <c r="NBY21" s="2866"/>
      <c r="NBZ21" s="2827"/>
      <c r="NCA21" s="2867"/>
      <c r="NCB21" s="2866"/>
      <c r="NCC21" s="2827"/>
      <c r="NCD21" s="2867"/>
      <c r="NCE21" s="2866"/>
      <c r="NCF21" s="2827"/>
      <c r="NCG21" s="2867"/>
      <c r="NCH21" s="2866"/>
      <c r="NCI21" s="2827"/>
      <c r="NCJ21" s="2867"/>
      <c r="NCK21" s="2866"/>
      <c r="NCL21" s="2827"/>
      <c r="NCM21" s="2867"/>
      <c r="NCN21" s="2866"/>
      <c r="NCO21" s="2827"/>
      <c r="NCP21" s="2867"/>
      <c r="NCQ21" s="2866"/>
      <c r="NCR21" s="2827"/>
      <c r="NCS21" s="2867"/>
      <c r="NCT21" s="2866"/>
      <c r="NCU21" s="2827"/>
      <c r="NCV21" s="2867"/>
      <c r="NCW21" s="2866"/>
      <c r="NCX21" s="2827"/>
      <c r="NCY21" s="2867"/>
      <c r="NCZ21" s="2866"/>
      <c r="NDA21" s="2827"/>
      <c r="NDB21" s="2867"/>
      <c r="NDC21" s="2866"/>
      <c r="NDD21" s="2827"/>
      <c r="NDE21" s="2867"/>
      <c r="NDF21" s="2866"/>
      <c r="NDG21" s="2827"/>
      <c r="NDH21" s="2867"/>
      <c r="NDI21" s="2866"/>
      <c r="NDJ21" s="2827"/>
      <c r="NDK21" s="2867"/>
      <c r="NDL21" s="2866"/>
      <c r="NDM21" s="2827"/>
      <c r="NDN21" s="2867"/>
      <c r="NDO21" s="2866"/>
      <c r="NDP21" s="2827"/>
      <c r="NDQ21" s="2867"/>
      <c r="NDR21" s="2866"/>
      <c r="NDS21" s="2827"/>
      <c r="NDT21" s="2867"/>
      <c r="NDU21" s="2866"/>
      <c r="NDV21" s="2827"/>
      <c r="NDW21" s="2867"/>
      <c r="NDX21" s="2866"/>
      <c r="NDY21" s="2827"/>
      <c r="NDZ21" s="2867"/>
      <c r="NEA21" s="2866"/>
      <c r="NEB21" s="2827"/>
      <c r="NEC21" s="2867"/>
      <c r="NED21" s="2866"/>
      <c r="NEE21" s="2827"/>
      <c r="NEF21" s="2867"/>
      <c r="NEG21" s="2866"/>
      <c r="NEH21" s="2827"/>
      <c r="NEI21" s="2867"/>
      <c r="NEJ21" s="2866"/>
      <c r="NEK21" s="2827"/>
      <c r="NEL21" s="2867"/>
      <c r="NEM21" s="2866"/>
      <c r="NEN21" s="2827"/>
      <c r="NEO21" s="2867"/>
      <c r="NEP21" s="2866"/>
      <c r="NEQ21" s="2827"/>
      <c r="NER21" s="2867"/>
      <c r="NES21" s="2866"/>
      <c r="NET21" s="2827"/>
      <c r="NEU21" s="2867"/>
      <c r="NEV21" s="2866"/>
      <c r="NEW21" s="2827"/>
      <c r="NEX21" s="2867"/>
      <c r="NEY21" s="2866"/>
      <c r="NEZ21" s="2827"/>
      <c r="NFA21" s="2867"/>
      <c r="NFB21" s="2866"/>
      <c r="NFC21" s="2827"/>
      <c r="NFD21" s="2867"/>
      <c r="NFE21" s="2866"/>
      <c r="NFF21" s="2827"/>
      <c r="NFG21" s="2867"/>
      <c r="NFH21" s="2866"/>
      <c r="NFI21" s="2827"/>
      <c r="NFJ21" s="2867"/>
      <c r="NFK21" s="2866"/>
      <c r="NFL21" s="2827"/>
      <c r="NFM21" s="2867"/>
      <c r="NFN21" s="2866"/>
      <c r="NFO21" s="2827"/>
      <c r="NFP21" s="2867"/>
      <c r="NFQ21" s="2866"/>
      <c r="NFR21" s="2827"/>
      <c r="NFS21" s="2867"/>
      <c r="NFT21" s="2866"/>
      <c r="NFU21" s="2827"/>
      <c r="NFV21" s="2867"/>
      <c r="NFW21" s="2866"/>
      <c r="NFX21" s="2827"/>
      <c r="NFY21" s="2867"/>
      <c r="NFZ21" s="2866"/>
      <c r="NGA21" s="2827"/>
      <c r="NGB21" s="2867"/>
      <c r="NGC21" s="2866"/>
      <c r="NGD21" s="2827"/>
      <c r="NGE21" s="2867"/>
      <c r="NGF21" s="2866"/>
      <c r="NGG21" s="2827"/>
      <c r="NGH21" s="2867"/>
      <c r="NGI21" s="2866"/>
      <c r="NGJ21" s="2827"/>
      <c r="NGK21" s="2867"/>
      <c r="NGL21" s="2866"/>
      <c r="NGM21" s="2827"/>
      <c r="NGN21" s="2867"/>
      <c r="NGO21" s="2866"/>
      <c r="NGP21" s="2827"/>
      <c r="NGQ21" s="2867"/>
      <c r="NGR21" s="2866"/>
      <c r="NGS21" s="2827"/>
      <c r="NGT21" s="2867"/>
      <c r="NGU21" s="2866"/>
      <c r="NGV21" s="2827"/>
      <c r="NGW21" s="2867"/>
      <c r="NGX21" s="2866"/>
      <c r="NGY21" s="2827"/>
      <c r="NGZ21" s="2867"/>
      <c r="NHA21" s="2866"/>
      <c r="NHB21" s="2827"/>
      <c r="NHC21" s="2867"/>
      <c r="NHD21" s="2866"/>
      <c r="NHE21" s="2827"/>
      <c r="NHF21" s="2867"/>
      <c r="NHG21" s="2866"/>
      <c r="NHH21" s="2827"/>
      <c r="NHI21" s="2867"/>
      <c r="NHJ21" s="2866"/>
      <c r="NHK21" s="2827"/>
      <c r="NHL21" s="2867"/>
      <c r="NHM21" s="2866"/>
      <c r="NHN21" s="2827"/>
      <c r="NHO21" s="2867"/>
      <c r="NHP21" s="2866"/>
      <c r="NHQ21" s="2827"/>
      <c r="NHR21" s="2867"/>
      <c r="NHS21" s="2866"/>
      <c r="NHT21" s="2827"/>
      <c r="NHU21" s="2867"/>
      <c r="NHV21" s="2866"/>
      <c r="NHW21" s="2827"/>
      <c r="NHX21" s="2867"/>
      <c r="NHY21" s="2866"/>
      <c r="NHZ21" s="2827"/>
      <c r="NIA21" s="2867"/>
      <c r="NIB21" s="2866"/>
      <c r="NIC21" s="2827"/>
      <c r="NID21" s="2867"/>
      <c r="NIE21" s="2866"/>
      <c r="NIF21" s="2827"/>
      <c r="NIG21" s="2867"/>
      <c r="NIH21" s="2866"/>
      <c r="NII21" s="2827"/>
      <c r="NIJ21" s="2867"/>
      <c r="NIK21" s="2866"/>
      <c r="NIL21" s="2827"/>
      <c r="NIM21" s="2867"/>
      <c r="NIN21" s="2866"/>
      <c r="NIO21" s="2827"/>
      <c r="NIP21" s="2867"/>
      <c r="NIQ21" s="2866"/>
      <c r="NIR21" s="2827"/>
      <c r="NIS21" s="2867"/>
      <c r="NIT21" s="2866"/>
      <c r="NIU21" s="2827"/>
      <c r="NIV21" s="2867"/>
      <c r="NIW21" s="2866"/>
      <c r="NIX21" s="2827"/>
      <c r="NIY21" s="2867"/>
      <c r="NIZ21" s="2866"/>
      <c r="NJA21" s="2827"/>
      <c r="NJB21" s="2867"/>
      <c r="NJC21" s="2866"/>
      <c r="NJD21" s="2827"/>
      <c r="NJE21" s="2867"/>
      <c r="NJF21" s="2866"/>
      <c r="NJG21" s="2827"/>
      <c r="NJH21" s="2867"/>
      <c r="NJI21" s="2866"/>
      <c r="NJJ21" s="2827"/>
      <c r="NJK21" s="2867"/>
      <c r="NJL21" s="2866"/>
      <c r="NJM21" s="2827"/>
      <c r="NJN21" s="2867"/>
      <c r="NJO21" s="2866"/>
      <c r="NJP21" s="2827"/>
      <c r="NJQ21" s="2867"/>
      <c r="NJR21" s="2866"/>
      <c r="NJS21" s="2827"/>
      <c r="NJT21" s="2867"/>
      <c r="NJU21" s="2866"/>
      <c r="NJV21" s="2827"/>
      <c r="NJW21" s="2867"/>
      <c r="NJX21" s="2866"/>
      <c r="NJY21" s="2827"/>
      <c r="NJZ21" s="2867"/>
      <c r="NKA21" s="2866"/>
      <c r="NKB21" s="2827"/>
      <c r="NKC21" s="2867"/>
      <c r="NKD21" s="2866"/>
      <c r="NKE21" s="2827"/>
      <c r="NKF21" s="2867"/>
      <c r="NKG21" s="2866"/>
      <c r="NKH21" s="2827"/>
      <c r="NKI21" s="2867"/>
      <c r="NKJ21" s="2866"/>
      <c r="NKK21" s="2827"/>
      <c r="NKL21" s="2867"/>
      <c r="NKM21" s="2866"/>
      <c r="NKN21" s="2827"/>
      <c r="NKO21" s="2867"/>
      <c r="NKP21" s="2866"/>
      <c r="NKQ21" s="2827"/>
      <c r="NKR21" s="2867"/>
      <c r="NKS21" s="2866"/>
      <c r="NKT21" s="2827"/>
      <c r="NKU21" s="2867"/>
      <c r="NKV21" s="2866"/>
      <c r="NKW21" s="2827"/>
      <c r="NKX21" s="2867"/>
      <c r="NKY21" s="2866"/>
      <c r="NKZ21" s="2827"/>
      <c r="NLA21" s="2867"/>
      <c r="NLB21" s="2866"/>
      <c r="NLC21" s="2827"/>
      <c r="NLD21" s="2867"/>
      <c r="NLE21" s="2866"/>
      <c r="NLF21" s="2827"/>
      <c r="NLG21" s="2867"/>
      <c r="NLH21" s="2866"/>
      <c r="NLI21" s="2827"/>
      <c r="NLJ21" s="2867"/>
      <c r="NLK21" s="2866"/>
      <c r="NLL21" s="2827"/>
      <c r="NLM21" s="2867"/>
      <c r="NLN21" s="2866"/>
      <c r="NLO21" s="2827"/>
      <c r="NLP21" s="2867"/>
      <c r="NLQ21" s="2866"/>
      <c r="NLR21" s="2827"/>
      <c r="NLS21" s="2867"/>
      <c r="NLT21" s="2866"/>
      <c r="NLU21" s="2827"/>
      <c r="NLV21" s="2867"/>
      <c r="NLW21" s="2866"/>
      <c r="NLX21" s="2827"/>
      <c r="NLY21" s="2867"/>
      <c r="NLZ21" s="2866"/>
      <c r="NMA21" s="2827"/>
      <c r="NMB21" s="2867"/>
      <c r="NMC21" s="2866"/>
      <c r="NMD21" s="2827"/>
      <c r="NME21" s="2867"/>
      <c r="NMF21" s="2866"/>
      <c r="NMG21" s="2827"/>
      <c r="NMH21" s="2867"/>
      <c r="NMI21" s="2866"/>
      <c r="NMJ21" s="2827"/>
      <c r="NMK21" s="2867"/>
      <c r="NML21" s="2866"/>
      <c r="NMM21" s="2827"/>
      <c r="NMN21" s="2867"/>
      <c r="NMO21" s="2866"/>
      <c r="NMP21" s="2827"/>
      <c r="NMQ21" s="2867"/>
      <c r="NMR21" s="2866"/>
      <c r="NMS21" s="2827"/>
      <c r="NMT21" s="2867"/>
      <c r="NMU21" s="2866"/>
      <c r="NMV21" s="2827"/>
      <c r="NMW21" s="2867"/>
      <c r="NMX21" s="2866"/>
      <c r="NMY21" s="2827"/>
      <c r="NMZ21" s="2867"/>
      <c r="NNA21" s="2866"/>
      <c r="NNB21" s="2827"/>
      <c r="NNC21" s="2867"/>
      <c r="NND21" s="2866"/>
      <c r="NNE21" s="2827"/>
      <c r="NNF21" s="2867"/>
      <c r="NNG21" s="2866"/>
      <c r="NNH21" s="2827"/>
      <c r="NNI21" s="2867"/>
      <c r="NNJ21" s="2866"/>
      <c r="NNK21" s="2827"/>
      <c r="NNL21" s="2867"/>
      <c r="NNM21" s="2866"/>
      <c r="NNN21" s="2827"/>
      <c r="NNO21" s="2867"/>
      <c r="NNP21" s="2866"/>
      <c r="NNQ21" s="2827"/>
      <c r="NNR21" s="2867"/>
      <c r="NNS21" s="2866"/>
      <c r="NNT21" s="2827"/>
      <c r="NNU21" s="2867"/>
      <c r="NNV21" s="2866"/>
      <c r="NNW21" s="2827"/>
      <c r="NNX21" s="2867"/>
      <c r="NNY21" s="2866"/>
      <c r="NNZ21" s="2827"/>
      <c r="NOA21" s="2867"/>
      <c r="NOB21" s="2866"/>
      <c r="NOC21" s="2827"/>
      <c r="NOD21" s="2867"/>
      <c r="NOE21" s="2866"/>
      <c r="NOF21" s="2827"/>
      <c r="NOG21" s="2867"/>
      <c r="NOH21" s="2866"/>
      <c r="NOI21" s="2827"/>
      <c r="NOJ21" s="2867"/>
      <c r="NOK21" s="2866"/>
      <c r="NOL21" s="2827"/>
      <c r="NOM21" s="2867"/>
      <c r="NON21" s="2866"/>
      <c r="NOO21" s="2827"/>
      <c r="NOP21" s="2867"/>
      <c r="NOQ21" s="2866"/>
      <c r="NOR21" s="2827"/>
      <c r="NOS21" s="2867"/>
      <c r="NOT21" s="2866"/>
      <c r="NOU21" s="2827"/>
      <c r="NOV21" s="2867"/>
      <c r="NOW21" s="2866"/>
      <c r="NOX21" s="2827"/>
      <c r="NOY21" s="2867"/>
      <c r="NOZ21" s="2866"/>
      <c r="NPA21" s="2827"/>
      <c r="NPB21" s="2867"/>
      <c r="NPC21" s="2866"/>
      <c r="NPD21" s="2827"/>
      <c r="NPE21" s="2867"/>
      <c r="NPF21" s="2866"/>
      <c r="NPG21" s="2827"/>
      <c r="NPH21" s="2867"/>
      <c r="NPI21" s="2866"/>
      <c r="NPJ21" s="2827"/>
      <c r="NPK21" s="2867"/>
      <c r="NPL21" s="2866"/>
      <c r="NPM21" s="2827"/>
      <c r="NPN21" s="2867"/>
      <c r="NPO21" s="2866"/>
      <c r="NPP21" s="2827"/>
      <c r="NPQ21" s="2867"/>
      <c r="NPR21" s="2866"/>
      <c r="NPS21" s="2827"/>
      <c r="NPT21" s="2867"/>
      <c r="NPU21" s="2866"/>
      <c r="NPV21" s="2827"/>
      <c r="NPW21" s="2867"/>
      <c r="NPX21" s="2866"/>
      <c r="NPY21" s="2827"/>
      <c r="NPZ21" s="2867"/>
      <c r="NQA21" s="2866"/>
      <c r="NQB21" s="2827"/>
      <c r="NQC21" s="2867"/>
      <c r="NQD21" s="2866"/>
      <c r="NQE21" s="2827"/>
      <c r="NQF21" s="2867"/>
      <c r="NQG21" s="2866"/>
      <c r="NQH21" s="2827"/>
      <c r="NQI21" s="2867"/>
      <c r="NQJ21" s="2866"/>
      <c r="NQK21" s="2827"/>
      <c r="NQL21" s="2867"/>
      <c r="NQM21" s="2866"/>
      <c r="NQN21" s="2827"/>
      <c r="NQO21" s="2867"/>
      <c r="NQP21" s="2866"/>
      <c r="NQQ21" s="2827"/>
      <c r="NQR21" s="2867"/>
      <c r="NQS21" s="2866"/>
      <c r="NQT21" s="2827"/>
      <c r="NQU21" s="2867"/>
      <c r="NQV21" s="2866"/>
      <c r="NQW21" s="2827"/>
      <c r="NQX21" s="2867"/>
      <c r="NQY21" s="2866"/>
      <c r="NQZ21" s="2827"/>
      <c r="NRA21" s="2867"/>
      <c r="NRB21" s="2866"/>
      <c r="NRC21" s="2827"/>
      <c r="NRD21" s="2867"/>
      <c r="NRE21" s="2866"/>
      <c r="NRF21" s="2827"/>
      <c r="NRG21" s="2867"/>
      <c r="NRH21" s="2866"/>
      <c r="NRI21" s="2827"/>
      <c r="NRJ21" s="2867"/>
      <c r="NRK21" s="2866"/>
      <c r="NRL21" s="2827"/>
      <c r="NRM21" s="2867"/>
      <c r="NRN21" s="2866"/>
      <c r="NRO21" s="2827"/>
      <c r="NRP21" s="2867"/>
      <c r="NRQ21" s="2866"/>
      <c r="NRR21" s="2827"/>
      <c r="NRS21" s="2867"/>
      <c r="NRT21" s="2866"/>
      <c r="NRU21" s="2827"/>
      <c r="NRV21" s="2867"/>
      <c r="NRW21" s="2866"/>
      <c r="NRX21" s="2827"/>
      <c r="NRY21" s="2867"/>
      <c r="NRZ21" s="2866"/>
      <c r="NSA21" s="2827"/>
      <c r="NSB21" s="2867"/>
      <c r="NSC21" s="2866"/>
      <c r="NSD21" s="2827"/>
      <c r="NSE21" s="2867"/>
      <c r="NSF21" s="2866"/>
      <c r="NSG21" s="2827"/>
      <c r="NSH21" s="2867"/>
      <c r="NSI21" s="2866"/>
      <c r="NSJ21" s="2827"/>
      <c r="NSK21" s="2867"/>
      <c r="NSL21" s="2866"/>
      <c r="NSM21" s="2827"/>
      <c r="NSN21" s="2867"/>
      <c r="NSO21" s="2866"/>
      <c r="NSP21" s="2827"/>
      <c r="NSQ21" s="2867"/>
      <c r="NSR21" s="2866"/>
      <c r="NSS21" s="2827"/>
      <c r="NST21" s="2867"/>
      <c r="NSU21" s="2866"/>
      <c r="NSV21" s="2827"/>
      <c r="NSW21" s="2867"/>
      <c r="NSX21" s="2866"/>
      <c r="NSY21" s="2827"/>
      <c r="NSZ21" s="2867"/>
      <c r="NTA21" s="2866"/>
      <c r="NTB21" s="2827"/>
      <c r="NTC21" s="2867"/>
      <c r="NTD21" s="2866"/>
      <c r="NTE21" s="2827"/>
      <c r="NTF21" s="2867"/>
      <c r="NTG21" s="2866"/>
      <c r="NTH21" s="2827"/>
      <c r="NTI21" s="2867"/>
      <c r="NTJ21" s="2866"/>
      <c r="NTK21" s="2827"/>
      <c r="NTL21" s="2867"/>
      <c r="NTM21" s="2866"/>
      <c r="NTN21" s="2827"/>
      <c r="NTO21" s="2867"/>
      <c r="NTP21" s="2866"/>
      <c r="NTQ21" s="2827"/>
      <c r="NTR21" s="2867"/>
      <c r="NTS21" s="2866"/>
      <c r="NTT21" s="2827"/>
      <c r="NTU21" s="2867"/>
      <c r="NTV21" s="2866"/>
      <c r="NTW21" s="2827"/>
      <c r="NTX21" s="2867"/>
      <c r="NTY21" s="2866"/>
      <c r="NTZ21" s="2827"/>
      <c r="NUA21" s="2867"/>
      <c r="NUB21" s="2866"/>
      <c r="NUC21" s="2827"/>
      <c r="NUD21" s="2867"/>
      <c r="NUE21" s="2866"/>
      <c r="NUF21" s="2827"/>
      <c r="NUG21" s="2867"/>
      <c r="NUH21" s="2866"/>
      <c r="NUI21" s="2827"/>
      <c r="NUJ21" s="2867"/>
      <c r="NUK21" s="2866"/>
      <c r="NUL21" s="2827"/>
      <c r="NUM21" s="2867"/>
      <c r="NUN21" s="2866"/>
      <c r="NUO21" s="2827"/>
      <c r="NUP21" s="2867"/>
      <c r="NUQ21" s="2866"/>
      <c r="NUR21" s="2827"/>
      <c r="NUS21" s="2867"/>
      <c r="NUT21" s="2866"/>
      <c r="NUU21" s="2827"/>
      <c r="NUV21" s="2867"/>
      <c r="NUW21" s="2866"/>
      <c r="NUX21" s="2827"/>
      <c r="NUY21" s="2867"/>
      <c r="NUZ21" s="2866"/>
      <c r="NVA21" s="2827"/>
      <c r="NVB21" s="2867"/>
      <c r="NVC21" s="2866"/>
      <c r="NVD21" s="2827"/>
      <c r="NVE21" s="2867"/>
      <c r="NVF21" s="2866"/>
      <c r="NVG21" s="2827"/>
      <c r="NVH21" s="2867"/>
      <c r="NVI21" s="2866"/>
      <c r="NVJ21" s="2827"/>
      <c r="NVK21" s="2867"/>
      <c r="NVL21" s="2866"/>
      <c r="NVM21" s="2827"/>
      <c r="NVN21" s="2867"/>
      <c r="NVO21" s="2866"/>
      <c r="NVP21" s="2827"/>
      <c r="NVQ21" s="2867"/>
      <c r="NVR21" s="2866"/>
      <c r="NVS21" s="2827"/>
      <c r="NVT21" s="2867"/>
      <c r="NVU21" s="2866"/>
      <c r="NVV21" s="2827"/>
      <c r="NVW21" s="2867"/>
      <c r="NVX21" s="2866"/>
      <c r="NVY21" s="2827"/>
      <c r="NVZ21" s="2867"/>
      <c r="NWA21" s="2866"/>
      <c r="NWB21" s="2827"/>
      <c r="NWC21" s="2867"/>
      <c r="NWD21" s="2866"/>
      <c r="NWE21" s="2827"/>
      <c r="NWF21" s="2867"/>
      <c r="NWG21" s="2866"/>
      <c r="NWH21" s="2827"/>
      <c r="NWI21" s="2867"/>
      <c r="NWJ21" s="2866"/>
      <c r="NWK21" s="2827"/>
      <c r="NWL21" s="2867"/>
      <c r="NWM21" s="2866"/>
      <c r="NWN21" s="2827"/>
      <c r="NWO21" s="2867"/>
      <c r="NWP21" s="2866"/>
      <c r="NWQ21" s="2827"/>
      <c r="NWR21" s="2867"/>
      <c r="NWS21" s="2866"/>
      <c r="NWT21" s="2827"/>
      <c r="NWU21" s="2867"/>
      <c r="NWV21" s="2866"/>
      <c r="NWW21" s="2827"/>
      <c r="NWX21" s="2867"/>
      <c r="NWY21" s="2866"/>
      <c r="NWZ21" s="2827"/>
      <c r="NXA21" s="2867"/>
      <c r="NXB21" s="2866"/>
      <c r="NXC21" s="2827"/>
      <c r="NXD21" s="2867"/>
      <c r="NXE21" s="2866"/>
      <c r="NXF21" s="2827"/>
      <c r="NXG21" s="2867"/>
      <c r="NXH21" s="2866"/>
      <c r="NXI21" s="2827"/>
      <c r="NXJ21" s="2867"/>
      <c r="NXK21" s="2866"/>
      <c r="NXL21" s="2827"/>
      <c r="NXM21" s="2867"/>
      <c r="NXN21" s="2866"/>
      <c r="NXO21" s="2827"/>
      <c r="NXP21" s="2867"/>
      <c r="NXQ21" s="2866"/>
      <c r="NXR21" s="2827"/>
      <c r="NXS21" s="2867"/>
      <c r="NXT21" s="2866"/>
      <c r="NXU21" s="2827"/>
      <c r="NXV21" s="2867"/>
      <c r="NXW21" s="2866"/>
      <c r="NXX21" s="2827"/>
      <c r="NXY21" s="2867"/>
      <c r="NXZ21" s="2866"/>
      <c r="NYA21" s="2827"/>
      <c r="NYB21" s="2867"/>
      <c r="NYC21" s="2866"/>
      <c r="NYD21" s="2827"/>
      <c r="NYE21" s="2867"/>
      <c r="NYF21" s="2866"/>
      <c r="NYG21" s="2827"/>
      <c r="NYH21" s="2867"/>
      <c r="NYI21" s="2866"/>
      <c r="NYJ21" s="2827"/>
      <c r="NYK21" s="2867"/>
      <c r="NYL21" s="2866"/>
      <c r="NYM21" s="2827"/>
      <c r="NYN21" s="2867"/>
      <c r="NYO21" s="2866"/>
      <c r="NYP21" s="2827"/>
      <c r="NYQ21" s="2867"/>
      <c r="NYR21" s="2866"/>
      <c r="NYS21" s="2827"/>
      <c r="NYT21" s="2867"/>
      <c r="NYU21" s="2866"/>
      <c r="NYV21" s="2827"/>
      <c r="NYW21" s="2867"/>
      <c r="NYX21" s="2866"/>
      <c r="NYY21" s="2827"/>
      <c r="NYZ21" s="2867"/>
      <c r="NZA21" s="2866"/>
      <c r="NZB21" s="2827"/>
      <c r="NZC21" s="2867"/>
      <c r="NZD21" s="2866"/>
      <c r="NZE21" s="2827"/>
      <c r="NZF21" s="2867"/>
      <c r="NZG21" s="2866"/>
      <c r="NZH21" s="2827"/>
      <c r="NZI21" s="2867"/>
      <c r="NZJ21" s="2866"/>
      <c r="NZK21" s="2827"/>
      <c r="NZL21" s="2867"/>
      <c r="NZM21" s="2866"/>
      <c r="NZN21" s="2827"/>
      <c r="NZO21" s="2867"/>
      <c r="NZP21" s="2866"/>
      <c r="NZQ21" s="2827"/>
      <c r="NZR21" s="2867"/>
      <c r="NZS21" s="2866"/>
      <c r="NZT21" s="2827"/>
      <c r="NZU21" s="2867"/>
      <c r="NZV21" s="2866"/>
      <c r="NZW21" s="2827"/>
      <c r="NZX21" s="2867"/>
      <c r="NZY21" s="2866"/>
      <c r="NZZ21" s="2827"/>
      <c r="OAA21" s="2867"/>
      <c r="OAB21" s="2866"/>
      <c r="OAC21" s="2827"/>
      <c r="OAD21" s="2867"/>
      <c r="OAE21" s="2866"/>
      <c r="OAF21" s="2827"/>
      <c r="OAG21" s="2867"/>
      <c r="OAH21" s="2866"/>
      <c r="OAI21" s="2827"/>
      <c r="OAJ21" s="2867"/>
      <c r="OAK21" s="2866"/>
      <c r="OAL21" s="2827"/>
      <c r="OAM21" s="2867"/>
      <c r="OAN21" s="2866"/>
      <c r="OAO21" s="2827"/>
      <c r="OAP21" s="2867"/>
      <c r="OAQ21" s="2866"/>
      <c r="OAR21" s="2827"/>
      <c r="OAS21" s="2867"/>
      <c r="OAT21" s="2866"/>
      <c r="OAU21" s="2827"/>
      <c r="OAV21" s="2867"/>
      <c r="OAW21" s="2866"/>
      <c r="OAX21" s="2827"/>
      <c r="OAY21" s="2867"/>
      <c r="OAZ21" s="2866"/>
      <c r="OBA21" s="2827"/>
      <c r="OBB21" s="2867"/>
      <c r="OBC21" s="2866"/>
      <c r="OBD21" s="2827"/>
      <c r="OBE21" s="2867"/>
      <c r="OBF21" s="2866"/>
      <c r="OBG21" s="2827"/>
      <c r="OBH21" s="2867"/>
      <c r="OBI21" s="2866"/>
      <c r="OBJ21" s="2827"/>
      <c r="OBK21" s="2867"/>
      <c r="OBL21" s="2866"/>
      <c r="OBM21" s="2827"/>
      <c r="OBN21" s="2867"/>
      <c r="OBO21" s="2866"/>
      <c r="OBP21" s="2827"/>
      <c r="OBQ21" s="2867"/>
      <c r="OBR21" s="2866"/>
      <c r="OBS21" s="2827"/>
      <c r="OBT21" s="2867"/>
      <c r="OBU21" s="2866"/>
      <c r="OBV21" s="2827"/>
      <c r="OBW21" s="2867"/>
      <c r="OBX21" s="2866"/>
      <c r="OBY21" s="2827"/>
      <c r="OBZ21" s="2867"/>
      <c r="OCA21" s="2866"/>
      <c r="OCB21" s="2827"/>
      <c r="OCC21" s="2867"/>
      <c r="OCD21" s="2866"/>
      <c r="OCE21" s="2827"/>
      <c r="OCF21" s="2867"/>
      <c r="OCG21" s="2866"/>
      <c r="OCH21" s="2827"/>
      <c r="OCI21" s="2867"/>
      <c r="OCJ21" s="2866"/>
      <c r="OCK21" s="2827"/>
      <c r="OCL21" s="2867"/>
      <c r="OCM21" s="2866"/>
      <c r="OCN21" s="2827"/>
      <c r="OCO21" s="2867"/>
      <c r="OCP21" s="2866"/>
      <c r="OCQ21" s="2827"/>
      <c r="OCR21" s="2867"/>
      <c r="OCS21" s="2866"/>
      <c r="OCT21" s="2827"/>
      <c r="OCU21" s="2867"/>
      <c r="OCV21" s="2866"/>
      <c r="OCW21" s="2827"/>
      <c r="OCX21" s="2867"/>
      <c r="OCY21" s="2866"/>
      <c r="OCZ21" s="2827"/>
      <c r="ODA21" s="2867"/>
      <c r="ODB21" s="2866"/>
      <c r="ODC21" s="2827"/>
      <c r="ODD21" s="2867"/>
      <c r="ODE21" s="2866"/>
      <c r="ODF21" s="2827"/>
      <c r="ODG21" s="2867"/>
      <c r="ODH21" s="2866"/>
      <c r="ODI21" s="2827"/>
      <c r="ODJ21" s="2867"/>
      <c r="ODK21" s="2866"/>
      <c r="ODL21" s="2827"/>
      <c r="ODM21" s="2867"/>
      <c r="ODN21" s="2866"/>
      <c r="ODO21" s="2827"/>
      <c r="ODP21" s="2867"/>
      <c r="ODQ21" s="2866"/>
      <c r="ODR21" s="2827"/>
      <c r="ODS21" s="2867"/>
      <c r="ODT21" s="2866"/>
      <c r="ODU21" s="2827"/>
      <c r="ODV21" s="2867"/>
      <c r="ODW21" s="2866"/>
      <c r="ODX21" s="2827"/>
      <c r="ODY21" s="2867"/>
      <c r="ODZ21" s="2866"/>
      <c r="OEA21" s="2827"/>
      <c r="OEB21" s="2867"/>
      <c r="OEC21" s="2866"/>
      <c r="OED21" s="2827"/>
      <c r="OEE21" s="2867"/>
      <c r="OEF21" s="2866"/>
      <c r="OEG21" s="2827"/>
      <c r="OEH21" s="2867"/>
      <c r="OEI21" s="2866"/>
      <c r="OEJ21" s="2827"/>
      <c r="OEK21" s="2867"/>
      <c r="OEL21" s="2866"/>
      <c r="OEM21" s="2827"/>
      <c r="OEN21" s="2867"/>
      <c r="OEO21" s="2866"/>
      <c r="OEP21" s="2827"/>
      <c r="OEQ21" s="2867"/>
      <c r="OER21" s="2866"/>
      <c r="OES21" s="2827"/>
      <c r="OET21" s="2867"/>
      <c r="OEU21" s="2866"/>
      <c r="OEV21" s="2827"/>
      <c r="OEW21" s="2867"/>
      <c r="OEX21" s="2866"/>
      <c r="OEY21" s="2827"/>
      <c r="OEZ21" s="2867"/>
      <c r="OFA21" s="2866"/>
      <c r="OFB21" s="2827"/>
      <c r="OFC21" s="2867"/>
      <c r="OFD21" s="2866"/>
      <c r="OFE21" s="2827"/>
      <c r="OFF21" s="2867"/>
      <c r="OFG21" s="2866"/>
      <c r="OFH21" s="2827"/>
      <c r="OFI21" s="2867"/>
      <c r="OFJ21" s="2866"/>
      <c r="OFK21" s="2827"/>
      <c r="OFL21" s="2867"/>
      <c r="OFM21" s="2866"/>
      <c r="OFN21" s="2827"/>
      <c r="OFO21" s="2867"/>
      <c r="OFP21" s="2866"/>
      <c r="OFQ21" s="2827"/>
      <c r="OFR21" s="2867"/>
      <c r="OFS21" s="2866"/>
      <c r="OFT21" s="2827"/>
      <c r="OFU21" s="2867"/>
      <c r="OFV21" s="2866"/>
      <c r="OFW21" s="2827"/>
      <c r="OFX21" s="2867"/>
      <c r="OFY21" s="2866"/>
      <c r="OFZ21" s="2827"/>
      <c r="OGA21" s="2867"/>
      <c r="OGB21" s="2866"/>
      <c r="OGC21" s="2827"/>
      <c r="OGD21" s="2867"/>
      <c r="OGE21" s="2866"/>
      <c r="OGF21" s="2827"/>
      <c r="OGG21" s="2867"/>
      <c r="OGH21" s="2866"/>
      <c r="OGI21" s="2827"/>
      <c r="OGJ21" s="2867"/>
      <c r="OGK21" s="2866"/>
      <c r="OGL21" s="2827"/>
      <c r="OGM21" s="2867"/>
      <c r="OGN21" s="2866"/>
      <c r="OGO21" s="2827"/>
      <c r="OGP21" s="2867"/>
      <c r="OGQ21" s="2866"/>
      <c r="OGR21" s="2827"/>
      <c r="OGS21" s="2867"/>
      <c r="OGT21" s="2866"/>
      <c r="OGU21" s="2827"/>
      <c r="OGV21" s="2867"/>
      <c r="OGW21" s="2866"/>
      <c r="OGX21" s="2827"/>
      <c r="OGY21" s="2867"/>
      <c r="OGZ21" s="2866"/>
      <c r="OHA21" s="2827"/>
      <c r="OHB21" s="2867"/>
      <c r="OHC21" s="2866"/>
      <c r="OHD21" s="2827"/>
      <c r="OHE21" s="2867"/>
      <c r="OHF21" s="2866"/>
      <c r="OHG21" s="2827"/>
      <c r="OHH21" s="2867"/>
      <c r="OHI21" s="2866"/>
      <c r="OHJ21" s="2827"/>
      <c r="OHK21" s="2867"/>
      <c r="OHL21" s="2866"/>
      <c r="OHM21" s="2827"/>
      <c r="OHN21" s="2867"/>
      <c r="OHO21" s="2866"/>
      <c r="OHP21" s="2827"/>
      <c r="OHQ21" s="2867"/>
      <c r="OHR21" s="2866"/>
      <c r="OHS21" s="2827"/>
      <c r="OHT21" s="2867"/>
      <c r="OHU21" s="2866"/>
      <c r="OHV21" s="2827"/>
      <c r="OHW21" s="2867"/>
      <c r="OHX21" s="2866"/>
      <c r="OHY21" s="2827"/>
      <c r="OHZ21" s="2867"/>
      <c r="OIA21" s="2866"/>
      <c r="OIB21" s="2827"/>
      <c r="OIC21" s="2867"/>
      <c r="OID21" s="2866"/>
      <c r="OIE21" s="2827"/>
      <c r="OIF21" s="2867"/>
      <c r="OIG21" s="2866"/>
      <c r="OIH21" s="2827"/>
      <c r="OII21" s="2867"/>
      <c r="OIJ21" s="2866"/>
      <c r="OIK21" s="2827"/>
      <c r="OIL21" s="2867"/>
      <c r="OIM21" s="2866"/>
      <c r="OIN21" s="2827"/>
      <c r="OIO21" s="2867"/>
      <c r="OIP21" s="2866"/>
      <c r="OIQ21" s="2827"/>
      <c r="OIR21" s="2867"/>
      <c r="OIS21" s="2866"/>
      <c r="OIT21" s="2827"/>
      <c r="OIU21" s="2867"/>
      <c r="OIV21" s="2866"/>
      <c r="OIW21" s="2827"/>
      <c r="OIX21" s="2867"/>
      <c r="OIY21" s="2866"/>
      <c r="OIZ21" s="2827"/>
      <c r="OJA21" s="2867"/>
      <c r="OJB21" s="2866"/>
      <c r="OJC21" s="2827"/>
      <c r="OJD21" s="2867"/>
      <c r="OJE21" s="2866"/>
      <c r="OJF21" s="2827"/>
      <c r="OJG21" s="2867"/>
      <c r="OJH21" s="2866"/>
      <c r="OJI21" s="2827"/>
      <c r="OJJ21" s="2867"/>
      <c r="OJK21" s="2866"/>
      <c r="OJL21" s="2827"/>
      <c r="OJM21" s="2867"/>
      <c r="OJN21" s="2866"/>
      <c r="OJO21" s="2827"/>
      <c r="OJP21" s="2867"/>
      <c r="OJQ21" s="2866"/>
      <c r="OJR21" s="2827"/>
      <c r="OJS21" s="2867"/>
      <c r="OJT21" s="2866"/>
      <c r="OJU21" s="2827"/>
      <c r="OJV21" s="2867"/>
      <c r="OJW21" s="2866"/>
      <c r="OJX21" s="2827"/>
      <c r="OJY21" s="2867"/>
      <c r="OJZ21" s="2866"/>
      <c r="OKA21" s="2827"/>
      <c r="OKB21" s="2867"/>
      <c r="OKC21" s="2866"/>
      <c r="OKD21" s="2827"/>
      <c r="OKE21" s="2867"/>
      <c r="OKF21" s="2866"/>
      <c r="OKG21" s="2827"/>
      <c r="OKH21" s="2867"/>
      <c r="OKI21" s="2866"/>
      <c r="OKJ21" s="2827"/>
      <c r="OKK21" s="2867"/>
      <c r="OKL21" s="2866"/>
      <c r="OKM21" s="2827"/>
      <c r="OKN21" s="2867"/>
      <c r="OKO21" s="2866"/>
      <c r="OKP21" s="2827"/>
      <c r="OKQ21" s="2867"/>
      <c r="OKR21" s="2866"/>
      <c r="OKS21" s="2827"/>
      <c r="OKT21" s="2867"/>
      <c r="OKU21" s="2866"/>
      <c r="OKV21" s="2827"/>
      <c r="OKW21" s="2867"/>
      <c r="OKX21" s="2866"/>
      <c r="OKY21" s="2827"/>
      <c r="OKZ21" s="2867"/>
      <c r="OLA21" s="2866"/>
      <c r="OLB21" s="2827"/>
      <c r="OLC21" s="2867"/>
      <c r="OLD21" s="2866"/>
      <c r="OLE21" s="2827"/>
      <c r="OLF21" s="2867"/>
      <c r="OLG21" s="2866"/>
      <c r="OLH21" s="2827"/>
      <c r="OLI21" s="2867"/>
      <c r="OLJ21" s="2866"/>
      <c r="OLK21" s="2827"/>
      <c r="OLL21" s="2867"/>
      <c r="OLM21" s="2866"/>
      <c r="OLN21" s="2827"/>
      <c r="OLO21" s="2867"/>
      <c r="OLP21" s="2866"/>
      <c r="OLQ21" s="2827"/>
      <c r="OLR21" s="2867"/>
      <c r="OLS21" s="2866"/>
      <c r="OLT21" s="2827"/>
      <c r="OLU21" s="2867"/>
      <c r="OLV21" s="2866"/>
      <c r="OLW21" s="2827"/>
      <c r="OLX21" s="2867"/>
      <c r="OLY21" s="2866"/>
      <c r="OLZ21" s="2827"/>
      <c r="OMA21" s="2867"/>
      <c r="OMB21" s="2866"/>
      <c r="OMC21" s="2827"/>
      <c r="OMD21" s="2867"/>
      <c r="OME21" s="2866"/>
      <c r="OMF21" s="2827"/>
      <c r="OMG21" s="2867"/>
      <c r="OMH21" s="2866"/>
      <c r="OMI21" s="2827"/>
      <c r="OMJ21" s="2867"/>
      <c r="OMK21" s="2866"/>
      <c r="OML21" s="2827"/>
      <c r="OMM21" s="2867"/>
      <c r="OMN21" s="2866"/>
      <c r="OMO21" s="2827"/>
      <c r="OMP21" s="2867"/>
      <c r="OMQ21" s="2866"/>
      <c r="OMR21" s="2827"/>
      <c r="OMS21" s="2867"/>
      <c r="OMT21" s="2866"/>
      <c r="OMU21" s="2827"/>
      <c r="OMV21" s="2867"/>
      <c r="OMW21" s="2866"/>
      <c r="OMX21" s="2827"/>
      <c r="OMY21" s="2867"/>
      <c r="OMZ21" s="2866"/>
      <c r="ONA21" s="2827"/>
      <c r="ONB21" s="2867"/>
      <c r="ONC21" s="2866"/>
      <c r="OND21" s="2827"/>
      <c r="ONE21" s="2867"/>
      <c r="ONF21" s="2866"/>
      <c r="ONG21" s="2827"/>
      <c r="ONH21" s="2867"/>
      <c r="ONI21" s="2866"/>
      <c r="ONJ21" s="2827"/>
      <c r="ONK21" s="2867"/>
      <c r="ONL21" s="2866"/>
      <c r="ONM21" s="2827"/>
      <c r="ONN21" s="2867"/>
      <c r="ONO21" s="2866"/>
      <c r="ONP21" s="2827"/>
      <c r="ONQ21" s="2867"/>
      <c r="ONR21" s="2866"/>
      <c r="ONS21" s="2827"/>
      <c r="ONT21" s="2867"/>
      <c r="ONU21" s="2866"/>
      <c r="ONV21" s="2827"/>
      <c r="ONW21" s="2867"/>
      <c r="ONX21" s="2866"/>
      <c r="ONY21" s="2827"/>
      <c r="ONZ21" s="2867"/>
      <c r="OOA21" s="2866"/>
      <c r="OOB21" s="2827"/>
      <c r="OOC21" s="2867"/>
      <c r="OOD21" s="2866"/>
      <c r="OOE21" s="2827"/>
      <c r="OOF21" s="2867"/>
      <c r="OOG21" s="2866"/>
      <c r="OOH21" s="2827"/>
      <c r="OOI21" s="2867"/>
      <c r="OOJ21" s="2866"/>
      <c r="OOK21" s="2827"/>
      <c r="OOL21" s="2867"/>
      <c r="OOM21" s="2866"/>
      <c r="OON21" s="2827"/>
      <c r="OOO21" s="2867"/>
      <c r="OOP21" s="2866"/>
      <c r="OOQ21" s="2827"/>
      <c r="OOR21" s="2867"/>
      <c r="OOS21" s="2866"/>
      <c r="OOT21" s="2827"/>
      <c r="OOU21" s="2867"/>
      <c r="OOV21" s="2866"/>
      <c r="OOW21" s="2827"/>
      <c r="OOX21" s="2867"/>
      <c r="OOY21" s="2866"/>
      <c r="OOZ21" s="2827"/>
      <c r="OPA21" s="2867"/>
      <c r="OPB21" s="2866"/>
      <c r="OPC21" s="2827"/>
      <c r="OPD21" s="2867"/>
      <c r="OPE21" s="2866"/>
      <c r="OPF21" s="2827"/>
      <c r="OPG21" s="2867"/>
      <c r="OPH21" s="2866"/>
      <c r="OPI21" s="2827"/>
      <c r="OPJ21" s="2867"/>
      <c r="OPK21" s="2866"/>
      <c r="OPL21" s="2827"/>
      <c r="OPM21" s="2867"/>
      <c r="OPN21" s="2866"/>
      <c r="OPO21" s="2827"/>
      <c r="OPP21" s="2867"/>
      <c r="OPQ21" s="2866"/>
      <c r="OPR21" s="2827"/>
      <c r="OPS21" s="2867"/>
      <c r="OPT21" s="2866"/>
      <c r="OPU21" s="2827"/>
      <c r="OPV21" s="2867"/>
      <c r="OPW21" s="2866"/>
      <c r="OPX21" s="2827"/>
      <c r="OPY21" s="2867"/>
      <c r="OPZ21" s="2866"/>
      <c r="OQA21" s="2827"/>
      <c r="OQB21" s="2867"/>
      <c r="OQC21" s="2866"/>
      <c r="OQD21" s="2827"/>
      <c r="OQE21" s="2867"/>
      <c r="OQF21" s="2866"/>
      <c r="OQG21" s="2827"/>
      <c r="OQH21" s="2867"/>
      <c r="OQI21" s="2866"/>
      <c r="OQJ21" s="2827"/>
      <c r="OQK21" s="2867"/>
      <c r="OQL21" s="2866"/>
      <c r="OQM21" s="2827"/>
      <c r="OQN21" s="2867"/>
      <c r="OQO21" s="2866"/>
      <c r="OQP21" s="2827"/>
      <c r="OQQ21" s="2867"/>
      <c r="OQR21" s="2866"/>
      <c r="OQS21" s="2827"/>
      <c r="OQT21" s="2867"/>
      <c r="OQU21" s="2866"/>
      <c r="OQV21" s="2827"/>
      <c r="OQW21" s="2867"/>
      <c r="OQX21" s="2866"/>
      <c r="OQY21" s="2827"/>
      <c r="OQZ21" s="2867"/>
      <c r="ORA21" s="2866"/>
      <c r="ORB21" s="2827"/>
      <c r="ORC21" s="2867"/>
      <c r="ORD21" s="2866"/>
      <c r="ORE21" s="2827"/>
      <c r="ORF21" s="2867"/>
      <c r="ORG21" s="2866"/>
      <c r="ORH21" s="2827"/>
      <c r="ORI21" s="2867"/>
      <c r="ORJ21" s="2866"/>
      <c r="ORK21" s="2827"/>
      <c r="ORL21" s="2867"/>
      <c r="ORM21" s="2866"/>
      <c r="ORN21" s="2827"/>
      <c r="ORO21" s="2867"/>
      <c r="ORP21" s="2866"/>
      <c r="ORQ21" s="2827"/>
      <c r="ORR21" s="2867"/>
      <c r="ORS21" s="2866"/>
      <c r="ORT21" s="2827"/>
      <c r="ORU21" s="2867"/>
      <c r="ORV21" s="2866"/>
      <c r="ORW21" s="2827"/>
      <c r="ORX21" s="2867"/>
      <c r="ORY21" s="2866"/>
      <c r="ORZ21" s="2827"/>
      <c r="OSA21" s="2867"/>
      <c r="OSB21" s="2866"/>
      <c r="OSC21" s="2827"/>
      <c r="OSD21" s="2867"/>
      <c r="OSE21" s="2866"/>
      <c r="OSF21" s="2827"/>
      <c r="OSG21" s="2867"/>
      <c r="OSH21" s="2866"/>
      <c r="OSI21" s="2827"/>
      <c r="OSJ21" s="2867"/>
      <c r="OSK21" s="2866"/>
      <c r="OSL21" s="2827"/>
      <c r="OSM21" s="2867"/>
      <c r="OSN21" s="2866"/>
      <c r="OSO21" s="2827"/>
      <c r="OSP21" s="2867"/>
      <c r="OSQ21" s="2866"/>
      <c r="OSR21" s="2827"/>
      <c r="OSS21" s="2867"/>
      <c r="OST21" s="2866"/>
      <c r="OSU21" s="2827"/>
      <c r="OSV21" s="2867"/>
      <c r="OSW21" s="2866"/>
      <c r="OSX21" s="2827"/>
      <c r="OSY21" s="2867"/>
      <c r="OSZ21" s="2866"/>
      <c r="OTA21" s="2827"/>
      <c r="OTB21" s="2867"/>
      <c r="OTC21" s="2866"/>
      <c r="OTD21" s="2827"/>
      <c r="OTE21" s="2867"/>
      <c r="OTF21" s="2866"/>
      <c r="OTG21" s="2827"/>
      <c r="OTH21" s="2867"/>
      <c r="OTI21" s="2866"/>
      <c r="OTJ21" s="2827"/>
      <c r="OTK21" s="2867"/>
      <c r="OTL21" s="2866"/>
      <c r="OTM21" s="2827"/>
      <c r="OTN21" s="2867"/>
      <c r="OTO21" s="2866"/>
      <c r="OTP21" s="2827"/>
      <c r="OTQ21" s="2867"/>
      <c r="OTR21" s="2866"/>
      <c r="OTS21" s="2827"/>
      <c r="OTT21" s="2867"/>
      <c r="OTU21" s="2866"/>
      <c r="OTV21" s="2827"/>
      <c r="OTW21" s="2867"/>
      <c r="OTX21" s="2866"/>
      <c r="OTY21" s="2827"/>
      <c r="OTZ21" s="2867"/>
      <c r="OUA21" s="2866"/>
      <c r="OUB21" s="2827"/>
      <c r="OUC21" s="2867"/>
      <c r="OUD21" s="2866"/>
      <c r="OUE21" s="2827"/>
      <c r="OUF21" s="2867"/>
      <c r="OUG21" s="2866"/>
      <c r="OUH21" s="2827"/>
      <c r="OUI21" s="2867"/>
      <c r="OUJ21" s="2866"/>
      <c r="OUK21" s="2827"/>
      <c r="OUL21" s="2867"/>
      <c r="OUM21" s="2866"/>
      <c r="OUN21" s="2827"/>
      <c r="OUO21" s="2867"/>
      <c r="OUP21" s="2866"/>
      <c r="OUQ21" s="2827"/>
      <c r="OUR21" s="2867"/>
      <c r="OUS21" s="2866"/>
      <c r="OUT21" s="2827"/>
      <c r="OUU21" s="2867"/>
      <c r="OUV21" s="2866"/>
      <c r="OUW21" s="2827"/>
      <c r="OUX21" s="2867"/>
      <c r="OUY21" s="2866"/>
      <c r="OUZ21" s="2827"/>
      <c r="OVA21" s="2867"/>
      <c r="OVB21" s="2866"/>
      <c r="OVC21" s="2827"/>
      <c r="OVD21" s="2867"/>
      <c r="OVE21" s="2866"/>
      <c r="OVF21" s="2827"/>
      <c r="OVG21" s="2867"/>
      <c r="OVH21" s="2866"/>
      <c r="OVI21" s="2827"/>
      <c r="OVJ21" s="2867"/>
      <c r="OVK21" s="2866"/>
      <c r="OVL21" s="2827"/>
      <c r="OVM21" s="2867"/>
      <c r="OVN21" s="2866"/>
      <c r="OVO21" s="2827"/>
      <c r="OVP21" s="2867"/>
      <c r="OVQ21" s="2866"/>
      <c r="OVR21" s="2827"/>
      <c r="OVS21" s="2867"/>
      <c r="OVT21" s="2866"/>
      <c r="OVU21" s="2827"/>
      <c r="OVV21" s="2867"/>
      <c r="OVW21" s="2866"/>
      <c r="OVX21" s="2827"/>
      <c r="OVY21" s="2867"/>
      <c r="OVZ21" s="2866"/>
      <c r="OWA21" s="2827"/>
      <c r="OWB21" s="2867"/>
      <c r="OWC21" s="2866"/>
      <c r="OWD21" s="2827"/>
      <c r="OWE21" s="2867"/>
      <c r="OWF21" s="2866"/>
      <c r="OWG21" s="2827"/>
      <c r="OWH21" s="2867"/>
      <c r="OWI21" s="2866"/>
      <c r="OWJ21" s="2827"/>
      <c r="OWK21" s="2867"/>
      <c r="OWL21" s="2866"/>
      <c r="OWM21" s="2827"/>
      <c r="OWN21" s="2867"/>
      <c r="OWO21" s="2866"/>
      <c r="OWP21" s="2827"/>
      <c r="OWQ21" s="2867"/>
      <c r="OWR21" s="2866"/>
      <c r="OWS21" s="2827"/>
      <c r="OWT21" s="2867"/>
      <c r="OWU21" s="2866"/>
      <c r="OWV21" s="2827"/>
      <c r="OWW21" s="2867"/>
      <c r="OWX21" s="2866"/>
      <c r="OWY21" s="2827"/>
      <c r="OWZ21" s="2867"/>
      <c r="OXA21" s="2866"/>
      <c r="OXB21" s="2827"/>
      <c r="OXC21" s="2867"/>
      <c r="OXD21" s="2866"/>
      <c r="OXE21" s="2827"/>
      <c r="OXF21" s="2867"/>
      <c r="OXG21" s="2866"/>
      <c r="OXH21" s="2827"/>
      <c r="OXI21" s="2867"/>
      <c r="OXJ21" s="2866"/>
      <c r="OXK21" s="2827"/>
      <c r="OXL21" s="2867"/>
      <c r="OXM21" s="2866"/>
      <c r="OXN21" s="2827"/>
      <c r="OXO21" s="2867"/>
      <c r="OXP21" s="2866"/>
      <c r="OXQ21" s="2827"/>
      <c r="OXR21" s="2867"/>
      <c r="OXS21" s="2866"/>
      <c r="OXT21" s="2827"/>
      <c r="OXU21" s="2867"/>
      <c r="OXV21" s="2866"/>
      <c r="OXW21" s="2827"/>
      <c r="OXX21" s="2867"/>
      <c r="OXY21" s="2866"/>
      <c r="OXZ21" s="2827"/>
      <c r="OYA21" s="2867"/>
      <c r="OYB21" s="2866"/>
      <c r="OYC21" s="2827"/>
      <c r="OYD21" s="2867"/>
      <c r="OYE21" s="2866"/>
      <c r="OYF21" s="2827"/>
      <c r="OYG21" s="2867"/>
      <c r="OYH21" s="2866"/>
      <c r="OYI21" s="2827"/>
      <c r="OYJ21" s="2867"/>
      <c r="OYK21" s="2866"/>
      <c r="OYL21" s="2827"/>
      <c r="OYM21" s="2867"/>
      <c r="OYN21" s="2866"/>
      <c r="OYO21" s="2827"/>
      <c r="OYP21" s="2867"/>
      <c r="OYQ21" s="2866"/>
      <c r="OYR21" s="2827"/>
      <c r="OYS21" s="2867"/>
      <c r="OYT21" s="2866"/>
      <c r="OYU21" s="2827"/>
      <c r="OYV21" s="2867"/>
      <c r="OYW21" s="2866"/>
      <c r="OYX21" s="2827"/>
      <c r="OYY21" s="2867"/>
      <c r="OYZ21" s="2866"/>
      <c r="OZA21" s="2827"/>
      <c r="OZB21" s="2867"/>
      <c r="OZC21" s="2866"/>
      <c r="OZD21" s="2827"/>
      <c r="OZE21" s="2867"/>
      <c r="OZF21" s="2866"/>
      <c r="OZG21" s="2827"/>
      <c r="OZH21" s="2867"/>
      <c r="OZI21" s="2866"/>
      <c r="OZJ21" s="2827"/>
      <c r="OZK21" s="2867"/>
      <c r="OZL21" s="2866"/>
      <c r="OZM21" s="2827"/>
      <c r="OZN21" s="2867"/>
      <c r="OZO21" s="2866"/>
      <c r="OZP21" s="2827"/>
      <c r="OZQ21" s="2867"/>
      <c r="OZR21" s="2866"/>
      <c r="OZS21" s="2827"/>
      <c r="OZT21" s="2867"/>
      <c r="OZU21" s="2866"/>
      <c r="OZV21" s="2827"/>
      <c r="OZW21" s="2867"/>
      <c r="OZX21" s="2866"/>
      <c r="OZY21" s="2827"/>
      <c r="OZZ21" s="2867"/>
      <c r="PAA21" s="2866"/>
      <c r="PAB21" s="2827"/>
      <c r="PAC21" s="2867"/>
      <c r="PAD21" s="2866"/>
      <c r="PAE21" s="2827"/>
      <c r="PAF21" s="2867"/>
      <c r="PAG21" s="2866"/>
      <c r="PAH21" s="2827"/>
      <c r="PAI21" s="2867"/>
      <c r="PAJ21" s="2866"/>
      <c r="PAK21" s="2827"/>
      <c r="PAL21" s="2867"/>
      <c r="PAM21" s="2866"/>
      <c r="PAN21" s="2827"/>
      <c r="PAO21" s="2867"/>
      <c r="PAP21" s="2866"/>
      <c r="PAQ21" s="2827"/>
      <c r="PAR21" s="2867"/>
      <c r="PAS21" s="2866"/>
      <c r="PAT21" s="2827"/>
      <c r="PAU21" s="2867"/>
      <c r="PAV21" s="2866"/>
      <c r="PAW21" s="2827"/>
      <c r="PAX21" s="2867"/>
      <c r="PAY21" s="2866"/>
      <c r="PAZ21" s="2827"/>
      <c r="PBA21" s="2867"/>
      <c r="PBB21" s="2866"/>
      <c r="PBC21" s="2827"/>
      <c r="PBD21" s="2867"/>
      <c r="PBE21" s="2866"/>
      <c r="PBF21" s="2827"/>
      <c r="PBG21" s="2867"/>
      <c r="PBH21" s="2866"/>
      <c r="PBI21" s="2827"/>
      <c r="PBJ21" s="2867"/>
      <c r="PBK21" s="2866"/>
      <c r="PBL21" s="2827"/>
      <c r="PBM21" s="2867"/>
      <c r="PBN21" s="2866"/>
      <c r="PBO21" s="2827"/>
      <c r="PBP21" s="2867"/>
      <c r="PBQ21" s="2866"/>
      <c r="PBR21" s="2827"/>
      <c r="PBS21" s="2867"/>
      <c r="PBT21" s="2866"/>
      <c r="PBU21" s="2827"/>
      <c r="PBV21" s="2867"/>
      <c r="PBW21" s="2866"/>
      <c r="PBX21" s="2827"/>
      <c r="PBY21" s="2867"/>
      <c r="PBZ21" s="2866"/>
      <c r="PCA21" s="2827"/>
      <c r="PCB21" s="2867"/>
      <c r="PCC21" s="2866"/>
      <c r="PCD21" s="2827"/>
      <c r="PCE21" s="2867"/>
      <c r="PCF21" s="2866"/>
      <c r="PCG21" s="2827"/>
      <c r="PCH21" s="2867"/>
      <c r="PCI21" s="2866"/>
      <c r="PCJ21" s="2827"/>
      <c r="PCK21" s="2867"/>
      <c r="PCL21" s="2866"/>
      <c r="PCM21" s="2827"/>
      <c r="PCN21" s="2867"/>
      <c r="PCO21" s="2866"/>
      <c r="PCP21" s="2827"/>
      <c r="PCQ21" s="2867"/>
      <c r="PCR21" s="2866"/>
      <c r="PCS21" s="2827"/>
      <c r="PCT21" s="2867"/>
      <c r="PCU21" s="2866"/>
      <c r="PCV21" s="2827"/>
      <c r="PCW21" s="2867"/>
      <c r="PCX21" s="2866"/>
      <c r="PCY21" s="2827"/>
      <c r="PCZ21" s="2867"/>
      <c r="PDA21" s="2866"/>
      <c r="PDB21" s="2827"/>
      <c r="PDC21" s="2867"/>
      <c r="PDD21" s="2866"/>
      <c r="PDE21" s="2827"/>
      <c r="PDF21" s="2867"/>
      <c r="PDG21" s="2866"/>
      <c r="PDH21" s="2827"/>
      <c r="PDI21" s="2867"/>
      <c r="PDJ21" s="2866"/>
      <c r="PDK21" s="2827"/>
      <c r="PDL21" s="2867"/>
      <c r="PDM21" s="2866"/>
      <c r="PDN21" s="2827"/>
      <c r="PDO21" s="2867"/>
      <c r="PDP21" s="2866"/>
      <c r="PDQ21" s="2827"/>
      <c r="PDR21" s="2867"/>
      <c r="PDS21" s="2866"/>
      <c r="PDT21" s="2827"/>
      <c r="PDU21" s="2867"/>
      <c r="PDV21" s="2866"/>
      <c r="PDW21" s="2827"/>
      <c r="PDX21" s="2867"/>
      <c r="PDY21" s="2866"/>
      <c r="PDZ21" s="2827"/>
      <c r="PEA21" s="2867"/>
      <c r="PEB21" s="2866"/>
      <c r="PEC21" s="2827"/>
      <c r="PED21" s="2867"/>
      <c r="PEE21" s="2866"/>
      <c r="PEF21" s="2827"/>
      <c r="PEG21" s="2867"/>
      <c r="PEH21" s="2866"/>
      <c r="PEI21" s="2827"/>
      <c r="PEJ21" s="2867"/>
      <c r="PEK21" s="2866"/>
      <c r="PEL21" s="2827"/>
      <c r="PEM21" s="2867"/>
      <c r="PEN21" s="2866"/>
      <c r="PEO21" s="2827"/>
      <c r="PEP21" s="2867"/>
      <c r="PEQ21" s="2866"/>
      <c r="PER21" s="2827"/>
      <c r="PES21" s="2867"/>
      <c r="PET21" s="2866"/>
      <c r="PEU21" s="2827"/>
      <c r="PEV21" s="2867"/>
      <c r="PEW21" s="2866"/>
      <c r="PEX21" s="2827"/>
      <c r="PEY21" s="2867"/>
      <c r="PEZ21" s="2866"/>
      <c r="PFA21" s="2827"/>
      <c r="PFB21" s="2867"/>
      <c r="PFC21" s="2866"/>
      <c r="PFD21" s="2827"/>
      <c r="PFE21" s="2867"/>
      <c r="PFF21" s="2866"/>
      <c r="PFG21" s="2827"/>
      <c r="PFH21" s="2867"/>
      <c r="PFI21" s="2866"/>
      <c r="PFJ21" s="2827"/>
      <c r="PFK21" s="2867"/>
      <c r="PFL21" s="2866"/>
      <c r="PFM21" s="2827"/>
      <c r="PFN21" s="2867"/>
      <c r="PFO21" s="2866"/>
      <c r="PFP21" s="2827"/>
      <c r="PFQ21" s="2867"/>
      <c r="PFR21" s="2866"/>
      <c r="PFS21" s="2827"/>
      <c r="PFT21" s="2867"/>
      <c r="PFU21" s="2866"/>
      <c r="PFV21" s="2827"/>
      <c r="PFW21" s="2867"/>
      <c r="PFX21" s="2866"/>
      <c r="PFY21" s="2827"/>
      <c r="PFZ21" s="2867"/>
      <c r="PGA21" s="2866"/>
      <c r="PGB21" s="2827"/>
      <c r="PGC21" s="2867"/>
      <c r="PGD21" s="2866"/>
      <c r="PGE21" s="2827"/>
      <c r="PGF21" s="2867"/>
      <c r="PGG21" s="2866"/>
      <c r="PGH21" s="2827"/>
      <c r="PGI21" s="2867"/>
      <c r="PGJ21" s="2866"/>
      <c r="PGK21" s="2827"/>
      <c r="PGL21" s="2867"/>
      <c r="PGM21" s="2866"/>
      <c r="PGN21" s="2827"/>
      <c r="PGO21" s="2867"/>
      <c r="PGP21" s="2866"/>
      <c r="PGQ21" s="2827"/>
      <c r="PGR21" s="2867"/>
      <c r="PGS21" s="2866"/>
      <c r="PGT21" s="2827"/>
      <c r="PGU21" s="2867"/>
      <c r="PGV21" s="2866"/>
      <c r="PGW21" s="2827"/>
      <c r="PGX21" s="2867"/>
      <c r="PGY21" s="2866"/>
      <c r="PGZ21" s="2827"/>
      <c r="PHA21" s="2867"/>
      <c r="PHB21" s="2866"/>
      <c r="PHC21" s="2827"/>
      <c r="PHD21" s="2867"/>
      <c r="PHE21" s="2866"/>
      <c r="PHF21" s="2827"/>
      <c r="PHG21" s="2867"/>
      <c r="PHH21" s="2866"/>
      <c r="PHI21" s="2827"/>
      <c r="PHJ21" s="2867"/>
      <c r="PHK21" s="2866"/>
      <c r="PHL21" s="2827"/>
      <c r="PHM21" s="2867"/>
      <c r="PHN21" s="2866"/>
      <c r="PHO21" s="2827"/>
      <c r="PHP21" s="2867"/>
      <c r="PHQ21" s="2866"/>
      <c r="PHR21" s="2827"/>
      <c r="PHS21" s="2867"/>
      <c r="PHT21" s="2866"/>
      <c r="PHU21" s="2827"/>
      <c r="PHV21" s="2867"/>
      <c r="PHW21" s="2866"/>
      <c r="PHX21" s="2827"/>
      <c r="PHY21" s="2867"/>
      <c r="PHZ21" s="2866"/>
      <c r="PIA21" s="2827"/>
      <c r="PIB21" s="2867"/>
      <c r="PIC21" s="2866"/>
      <c r="PID21" s="2827"/>
      <c r="PIE21" s="2867"/>
      <c r="PIF21" s="2866"/>
      <c r="PIG21" s="2827"/>
      <c r="PIH21" s="2867"/>
      <c r="PII21" s="2866"/>
      <c r="PIJ21" s="2827"/>
      <c r="PIK21" s="2867"/>
      <c r="PIL21" s="2866"/>
      <c r="PIM21" s="2827"/>
      <c r="PIN21" s="2867"/>
      <c r="PIO21" s="2866"/>
      <c r="PIP21" s="2827"/>
      <c r="PIQ21" s="2867"/>
      <c r="PIR21" s="2866"/>
      <c r="PIS21" s="2827"/>
      <c r="PIT21" s="2867"/>
      <c r="PIU21" s="2866"/>
      <c r="PIV21" s="2827"/>
      <c r="PIW21" s="2867"/>
      <c r="PIX21" s="2866"/>
      <c r="PIY21" s="2827"/>
      <c r="PIZ21" s="2867"/>
      <c r="PJA21" s="2866"/>
      <c r="PJB21" s="2827"/>
      <c r="PJC21" s="2867"/>
      <c r="PJD21" s="2866"/>
      <c r="PJE21" s="2827"/>
      <c r="PJF21" s="2867"/>
      <c r="PJG21" s="2866"/>
      <c r="PJH21" s="2827"/>
      <c r="PJI21" s="2867"/>
      <c r="PJJ21" s="2866"/>
      <c r="PJK21" s="2827"/>
      <c r="PJL21" s="2867"/>
      <c r="PJM21" s="2866"/>
      <c r="PJN21" s="2827"/>
      <c r="PJO21" s="2867"/>
      <c r="PJP21" s="2866"/>
      <c r="PJQ21" s="2827"/>
      <c r="PJR21" s="2867"/>
      <c r="PJS21" s="2866"/>
      <c r="PJT21" s="2827"/>
      <c r="PJU21" s="2867"/>
      <c r="PJV21" s="2866"/>
      <c r="PJW21" s="2827"/>
      <c r="PJX21" s="2867"/>
      <c r="PJY21" s="2866"/>
      <c r="PJZ21" s="2827"/>
      <c r="PKA21" s="2867"/>
      <c r="PKB21" s="2866"/>
      <c r="PKC21" s="2827"/>
      <c r="PKD21" s="2867"/>
      <c r="PKE21" s="2866"/>
      <c r="PKF21" s="2827"/>
      <c r="PKG21" s="2867"/>
      <c r="PKH21" s="2866"/>
      <c r="PKI21" s="2827"/>
      <c r="PKJ21" s="2867"/>
      <c r="PKK21" s="2866"/>
      <c r="PKL21" s="2827"/>
      <c r="PKM21" s="2867"/>
      <c r="PKN21" s="2866"/>
      <c r="PKO21" s="2827"/>
      <c r="PKP21" s="2867"/>
      <c r="PKQ21" s="2866"/>
      <c r="PKR21" s="2827"/>
      <c r="PKS21" s="2867"/>
      <c r="PKT21" s="2866"/>
      <c r="PKU21" s="2827"/>
      <c r="PKV21" s="2867"/>
      <c r="PKW21" s="2866"/>
      <c r="PKX21" s="2827"/>
      <c r="PKY21" s="2867"/>
      <c r="PKZ21" s="2866"/>
      <c r="PLA21" s="2827"/>
      <c r="PLB21" s="2867"/>
      <c r="PLC21" s="2866"/>
      <c r="PLD21" s="2827"/>
      <c r="PLE21" s="2867"/>
      <c r="PLF21" s="2866"/>
      <c r="PLG21" s="2827"/>
      <c r="PLH21" s="2867"/>
      <c r="PLI21" s="2866"/>
      <c r="PLJ21" s="2827"/>
      <c r="PLK21" s="2867"/>
      <c r="PLL21" s="2866"/>
      <c r="PLM21" s="2827"/>
      <c r="PLN21" s="2867"/>
      <c r="PLO21" s="2866"/>
      <c r="PLP21" s="2827"/>
      <c r="PLQ21" s="2867"/>
      <c r="PLR21" s="2866"/>
      <c r="PLS21" s="2827"/>
      <c r="PLT21" s="2867"/>
      <c r="PLU21" s="2866"/>
      <c r="PLV21" s="2827"/>
      <c r="PLW21" s="2867"/>
      <c r="PLX21" s="2866"/>
      <c r="PLY21" s="2827"/>
      <c r="PLZ21" s="2867"/>
      <c r="PMA21" s="2866"/>
      <c r="PMB21" s="2827"/>
      <c r="PMC21" s="2867"/>
      <c r="PMD21" s="2866"/>
      <c r="PME21" s="2827"/>
      <c r="PMF21" s="2867"/>
      <c r="PMG21" s="2866"/>
      <c r="PMH21" s="2827"/>
      <c r="PMI21" s="2867"/>
      <c r="PMJ21" s="2866"/>
      <c r="PMK21" s="2827"/>
      <c r="PML21" s="2867"/>
      <c r="PMM21" s="2866"/>
      <c r="PMN21" s="2827"/>
      <c r="PMO21" s="2867"/>
      <c r="PMP21" s="2866"/>
      <c r="PMQ21" s="2827"/>
      <c r="PMR21" s="2867"/>
      <c r="PMS21" s="2866"/>
      <c r="PMT21" s="2827"/>
      <c r="PMU21" s="2867"/>
      <c r="PMV21" s="2866"/>
      <c r="PMW21" s="2827"/>
      <c r="PMX21" s="2867"/>
      <c r="PMY21" s="2866"/>
      <c r="PMZ21" s="2827"/>
      <c r="PNA21" s="2867"/>
      <c r="PNB21" s="2866"/>
      <c r="PNC21" s="2827"/>
      <c r="PND21" s="2867"/>
      <c r="PNE21" s="2866"/>
      <c r="PNF21" s="2827"/>
      <c r="PNG21" s="2867"/>
      <c r="PNH21" s="2866"/>
      <c r="PNI21" s="2827"/>
      <c r="PNJ21" s="2867"/>
      <c r="PNK21" s="2866"/>
      <c r="PNL21" s="2827"/>
      <c r="PNM21" s="2867"/>
      <c r="PNN21" s="2866"/>
      <c r="PNO21" s="2827"/>
      <c r="PNP21" s="2867"/>
      <c r="PNQ21" s="2866"/>
      <c r="PNR21" s="2827"/>
      <c r="PNS21" s="2867"/>
      <c r="PNT21" s="2866"/>
      <c r="PNU21" s="2827"/>
      <c r="PNV21" s="2867"/>
      <c r="PNW21" s="2866"/>
      <c r="PNX21" s="2827"/>
      <c r="PNY21" s="2867"/>
      <c r="PNZ21" s="2866"/>
      <c r="POA21" s="2827"/>
      <c r="POB21" s="2867"/>
      <c r="POC21" s="2866"/>
      <c r="POD21" s="2827"/>
      <c r="POE21" s="2867"/>
      <c r="POF21" s="2866"/>
      <c r="POG21" s="2827"/>
      <c r="POH21" s="2867"/>
      <c r="POI21" s="2866"/>
      <c r="POJ21" s="2827"/>
      <c r="POK21" s="2867"/>
      <c r="POL21" s="2866"/>
      <c r="POM21" s="2827"/>
      <c r="PON21" s="2867"/>
      <c r="POO21" s="2866"/>
      <c r="POP21" s="2827"/>
      <c r="POQ21" s="2867"/>
      <c r="POR21" s="2866"/>
      <c r="POS21" s="2827"/>
      <c r="POT21" s="2867"/>
      <c r="POU21" s="2866"/>
      <c r="POV21" s="2827"/>
      <c r="POW21" s="2867"/>
      <c r="POX21" s="2866"/>
      <c r="POY21" s="2827"/>
      <c r="POZ21" s="2867"/>
      <c r="PPA21" s="2866"/>
      <c r="PPB21" s="2827"/>
      <c r="PPC21" s="2867"/>
      <c r="PPD21" s="2866"/>
      <c r="PPE21" s="2827"/>
      <c r="PPF21" s="2867"/>
      <c r="PPG21" s="2866"/>
      <c r="PPH21" s="2827"/>
      <c r="PPI21" s="2867"/>
      <c r="PPJ21" s="2866"/>
      <c r="PPK21" s="2827"/>
      <c r="PPL21" s="2867"/>
      <c r="PPM21" s="2866"/>
      <c r="PPN21" s="2827"/>
      <c r="PPO21" s="2867"/>
      <c r="PPP21" s="2866"/>
      <c r="PPQ21" s="2827"/>
      <c r="PPR21" s="2867"/>
      <c r="PPS21" s="2866"/>
      <c r="PPT21" s="2827"/>
      <c r="PPU21" s="2867"/>
      <c r="PPV21" s="2866"/>
      <c r="PPW21" s="2827"/>
      <c r="PPX21" s="2867"/>
      <c r="PPY21" s="2866"/>
      <c r="PPZ21" s="2827"/>
      <c r="PQA21" s="2867"/>
      <c r="PQB21" s="2866"/>
      <c r="PQC21" s="2827"/>
      <c r="PQD21" s="2867"/>
      <c r="PQE21" s="2866"/>
      <c r="PQF21" s="2827"/>
      <c r="PQG21" s="2867"/>
      <c r="PQH21" s="2866"/>
      <c r="PQI21" s="2827"/>
      <c r="PQJ21" s="2867"/>
      <c r="PQK21" s="2866"/>
      <c r="PQL21" s="2827"/>
      <c r="PQM21" s="2867"/>
      <c r="PQN21" s="2866"/>
      <c r="PQO21" s="2827"/>
      <c r="PQP21" s="2867"/>
      <c r="PQQ21" s="2866"/>
      <c r="PQR21" s="2827"/>
      <c r="PQS21" s="2867"/>
      <c r="PQT21" s="2866"/>
      <c r="PQU21" s="2827"/>
      <c r="PQV21" s="2867"/>
      <c r="PQW21" s="2866"/>
      <c r="PQX21" s="2827"/>
      <c r="PQY21" s="2867"/>
      <c r="PQZ21" s="2866"/>
      <c r="PRA21" s="2827"/>
      <c r="PRB21" s="2867"/>
      <c r="PRC21" s="2866"/>
      <c r="PRD21" s="2827"/>
      <c r="PRE21" s="2867"/>
      <c r="PRF21" s="2866"/>
      <c r="PRG21" s="2827"/>
      <c r="PRH21" s="2867"/>
      <c r="PRI21" s="2866"/>
      <c r="PRJ21" s="2827"/>
      <c r="PRK21" s="2867"/>
      <c r="PRL21" s="2866"/>
      <c r="PRM21" s="2827"/>
      <c r="PRN21" s="2867"/>
      <c r="PRO21" s="2866"/>
      <c r="PRP21" s="2827"/>
      <c r="PRQ21" s="2867"/>
      <c r="PRR21" s="2866"/>
      <c r="PRS21" s="2827"/>
      <c r="PRT21" s="2867"/>
      <c r="PRU21" s="2866"/>
      <c r="PRV21" s="2827"/>
      <c r="PRW21" s="2867"/>
      <c r="PRX21" s="2866"/>
      <c r="PRY21" s="2827"/>
      <c r="PRZ21" s="2867"/>
      <c r="PSA21" s="2866"/>
      <c r="PSB21" s="2827"/>
      <c r="PSC21" s="2867"/>
      <c r="PSD21" s="2866"/>
      <c r="PSE21" s="2827"/>
      <c r="PSF21" s="2867"/>
      <c r="PSG21" s="2866"/>
      <c r="PSH21" s="2827"/>
      <c r="PSI21" s="2867"/>
      <c r="PSJ21" s="2866"/>
      <c r="PSK21" s="2827"/>
      <c r="PSL21" s="2867"/>
      <c r="PSM21" s="2866"/>
      <c r="PSN21" s="2827"/>
      <c r="PSO21" s="2867"/>
      <c r="PSP21" s="2866"/>
      <c r="PSQ21" s="2827"/>
      <c r="PSR21" s="2867"/>
      <c r="PSS21" s="2866"/>
      <c r="PST21" s="2827"/>
      <c r="PSU21" s="2867"/>
      <c r="PSV21" s="2866"/>
      <c r="PSW21" s="2827"/>
      <c r="PSX21" s="2867"/>
      <c r="PSY21" s="2866"/>
      <c r="PSZ21" s="2827"/>
      <c r="PTA21" s="2867"/>
      <c r="PTB21" s="2866"/>
      <c r="PTC21" s="2827"/>
      <c r="PTD21" s="2867"/>
      <c r="PTE21" s="2866"/>
      <c r="PTF21" s="2827"/>
      <c r="PTG21" s="2867"/>
      <c r="PTH21" s="2866"/>
      <c r="PTI21" s="2827"/>
      <c r="PTJ21" s="2867"/>
      <c r="PTK21" s="2866"/>
      <c r="PTL21" s="2827"/>
      <c r="PTM21" s="2867"/>
      <c r="PTN21" s="2866"/>
      <c r="PTO21" s="2827"/>
      <c r="PTP21" s="2867"/>
      <c r="PTQ21" s="2866"/>
      <c r="PTR21" s="2827"/>
      <c r="PTS21" s="2867"/>
      <c r="PTT21" s="2866"/>
      <c r="PTU21" s="2827"/>
      <c r="PTV21" s="2867"/>
      <c r="PTW21" s="2866"/>
      <c r="PTX21" s="2827"/>
      <c r="PTY21" s="2867"/>
      <c r="PTZ21" s="2866"/>
      <c r="PUA21" s="2827"/>
      <c r="PUB21" s="2867"/>
      <c r="PUC21" s="2866"/>
      <c r="PUD21" s="2827"/>
      <c r="PUE21" s="2867"/>
      <c r="PUF21" s="2866"/>
      <c r="PUG21" s="2827"/>
      <c r="PUH21" s="2867"/>
      <c r="PUI21" s="2866"/>
      <c r="PUJ21" s="2827"/>
      <c r="PUK21" s="2867"/>
      <c r="PUL21" s="2866"/>
      <c r="PUM21" s="2827"/>
      <c r="PUN21" s="2867"/>
      <c r="PUO21" s="2866"/>
      <c r="PUP21" s="2827"/>
      <c r="PUQ21" s="2867"/>
      <c r="PUR21" s="2866"/>
      <c r="PUS21" s="2827"/>
      <c r="PUT21" s="2867"/>
      <c r="PUU21" s="2866"/>
      <c r="PUV21" s="2827"/>
      <c r="PUW21" s="2867"/>
      <c r="PUX21" s="2866"/>
      <c r="PUY21" s="2827"/>
      <c r="PUZ21" s="2867"/>
      <c r="PVA21" s="2866"/>
      <c r="PVB21" s="2827"/>
      <c r="PVC21" s="2867"/>
      <c r="PVD21" s="2866"/>
      <c r="PVE21" s="2827"/>
      <c r="PVF21" s="2867"/>
      <c r="PVG21" s="2866"/>
      <c r="PVH21" s="2827"/>
      <c r="PVI21" s="2867"/>
      <c r="PVJ21" s="2866"/>
      <c r="PVK21" s="2827"/>
      <c r="PVL21" s="2867"/>
      <c r="PVM21" s="2866"/>
      <c r="PVN21" s="2827"/>
      <c r="PVO21" s="2867"/>
      <c r="PVP21" s="2866"/>
      <c r="PVQ21" s="2827"/>
      <c r="PVR21" s="2867"/>
      <c r="PVS21" s="2866"/>
      <c r="PVT21" s="2827"/>
      <c r="PVU21" s="2867"/>
      <c r="PVV21" s="2866"/>
      <c r="PVW21" s="2827"/>
      <c r="PVX21" s="2867"/>
      <c r="PVY21" s="2866"/>
      <c r="PVZ21" s="2827"/>
      <c r="PWA21" s="2867"/>
      <c r="PWB21" s="2866"/>
      <c r="PWC21" s="2827"/>
      <c r="PWD21" s="2867"/>
      <c r="PWE21" s="2866"/>
      <c r="PWF21" s="2827"/>
      <c r="PWG21" s="2867"/>
      <c r="PWH21" s="2866"/>
      <c r="PWI21" s="2827"/>
      <c r="PWJ21" s="2867"/>
      <c r="PWK21" s="2866"/>
      <c r="PWL21" s="2827"/>
      <c r="PWM21" s="2867"/>
      <c r="PWN21" s="2866"/>
      <c r="PWO21" s="2827"/>
      <c r="PWP21" s="2867"/>
      <c r="PWQ21" s="2866"/>
      <c r="PWR21" s="2827"/>
      <c r="PWS21" s="2867"/>
      <c r="PWT21" s="2866"/>
      <c r="PWU21" s="2827"/>
      <c r="PWV21" s="2867"/>
      <c r="PWW21" s="2866"/>
      <c r="PWX21" s="2827"/>
      <c r="PWY21" s="2867"/>
      <c r="PWZ21" s="2866"/>
      <c r="PXA21" s="2827"/>
      <c r="PXB21" s="2867"/>
      <c r="PXC21" s="2866"/>
      <c r="PXD21" s="2827"/>
      <c r="PXE21" s="2867"/>
      <c r="PXF21" s="2866"/>
      <c r="PXG21" s="2827"/>
      <c r="PXH21" s="2867"/>
      <c r="PXI21" s="2866"/>
      <c r="PXJ21" s="2827"/>
      <c r="PXK21" s="2867"/>
      <c r="PXL21" s="2866"/>
      <c r="PXM21" s="2827"/>
      <c r="PXN21" s="2867"/>
      <c r="PXO21" s="2866"/>
      <c r="PXP21" s="2827"/>
      <c r="PXQ21" s="2867"/>
      <c r="PXR21" s="2866"/>
      <c r="PXS21" s="2827"/>
      <c r="PXT21" s="2867"/>
      <c r="PXU21" s="2866"/>
      <c r="PXV21" s="2827"/>
      <c r="PXW21" s="2867"/>
      <c r="PXX21" s="2866"/>
      <c r="PXY21" s="2827"/>
      <c r="PXZ21" s="2867"/>
      <c r="PYA21" s="2866"/>
      <c r="PYB21" s="2827"/>
      <c r="PYC21" s="2867"/>
      <c r="PYD21" s="2866"/>
      <c r="PYE21" s="2827"/>
      <c r="PYF21" s="2867"/>
      <c r="PYG21" s="2866"/>
      <c r="PYH21" s="2827"/>
      <c r="PYI21" s="2867"/>
      <c r="PYJ21" s="2866"/>
      <c r="PYK21" s="2827"/>
      <c r="PYL21" s="2867"/>
      <c r="PYM21" s="2866"/>
      <c r="PYN21" s="2827"/>
      <c r="PYO21" s="2867"/>
      <c r="PYP21" s="2866"/>
      <c r="PYQ21" s="2827"/>
      <c r="PYR21" s="2867"/>
      <c r="PYS21" s="2866"/>
      <c r="PYT21" s="2827"/>
      <c r="PYU21" s="2867"/>
      <c r="PYV21" s="2866"/>
      <c r="PYW21" s="2827"/>
      <c r="PYX21" s="2867"/>
      <c r="PYY21" s="2866"/>
      <c r="PYZ21" s="2827"/>
      <c r="PZA21" s="2867"/>
      <c r="PZB21" s="2866"/>
      <c r="PZC21" s="2827"/>
      <c r="PZD21" s="2867"/>
      <c r="PZE21" s="2866"/>
      <c r="PZF21" s="2827"/>
      <c r="PZG21" s="2867"/>
      <c r="PZH21" s="2866"/>
      <c r="PZI21" s="2827"/>
      <c r="PZJ21" s="2867"/>
      <c r="PZK21" s="2866"/>
      <c r="PZL21" s="2827"/>
      <c r="PZM21" s="2867"/>
      <c r="PZN21" s="2866"/>
      <c r="PZO21" s="2827"/>
      <c r="PZP21" s="2867"/>
      <c r="PZQ21" s="2866"/>
      <c r="PZR21" s="2827"/>
      <c r="PZS21" s="2867"/>
      <c r="PZT21" s="2866"/>
      <c r="PZU21" s="2827"/>
      <c r="PZV21" s="2867"/>
      <c r="PZW21" s="2866"/>
      <c r="PZX21" s="2827"/>
      <c r="PZY21" s="2867"/>
      <c r="PZZ21" s="2866"/>
      <c r="QAA21" s="2827"/>
      <c r="QAB21" s="2867"/>
      <c r="QAC21" s="2866"/>
      <c r="QAD21" s="2827"/>
      <c r="QAE21" s="2867"/>
      <c r="QAF21" s="2866"/>
      <c r="QAG21" s="2827"/>
      <c r="QAH21" s="2867"/>
      <c r="QAI21" s="2866"/>
      <c r="QAJ21" s="2827"/>
      <c r="QAK21" s="2867"/>
      <c r="QAL21" s="2866"/>
      <c r="QAM21" s="2827"/>
      <c r="QAN21" s="2867"/>
      <c r="QAO21" s="2866"/>
      <c r="QAP21" s="2827"/>
      <c r="QAQ21" s="2867"/>
      <c r="QAR21" s="2866"/>
      <c r="QAS21" s="2827"/>
      <c r="QAT21" s="2867"/>
      <c r="QAU21" s="2866"/>
      <c r="QAV21" s="2827"/>
      <c r="QAW21" s="2867"/>
      <c r="QAX21" s="2866"/>
      <c r="QAY21" s="2827"/>
      <c r="QAZ21" s="2867"/>
      <c r="QBA21" s="2866"/>
      <c r="QBB21" s="2827"/>
      <c r="QBC21" s="2867"/>
      <c r="QBD21" s="2866"/>
      <c r="QBE21" s="2827"/>
      <c r="QBF21" s="2867"/>
      <c r="QBG21" s="2866"/>
      <c r="QBH21" s="2827"/>
      <c r="QBI21" s="2867"/>
      <c r="QBJ21" s="2866"/>
      <c r="QBK21" s="2827"/>
      <c r="QBL21" s="2867"/>
      <c r="QBM21" s="2866"/>
      <c r="QBN21" s="2827"/>
      <c r="QBO21" s="2867"/>
      <c r="QBP21" s="2866"/>
      <c r="QBQ21" s="2827"/>
      <c r="QBR21" s="2867"/>
      <c r="QBS21" s="2866"/>
      <c r="QBT21" s="2827"/>
      <c r="QBU21" s="2867"/>
      <c r="QBV21" s="2866"/>
      <c r="QBW21" s="2827"/>
      <c r="QBX21" s="2867"/>
      <c r="QBY21" s="2866"/>
      <c r="QBZ21" s="2827"/>
      <c r="QCA21" s="2867"/>
      <c r="QCB21" s="2866"/>
      <c r="QCC21" s="2827"/>
      <c r="QCD21" s="2867"/>
      <c r="QCE21" s="2866"/>
      <c r="QCF21" s="2827"/>
      <c r="QCG21" s="2867"/>
      <c r="QCH21" s="2866"/>
      <c r="QCI21" s="2827"/>
      <c r="QCJ21" s="2867"/>
      <c r="QCK21" s="2866"/>
      <c r="QCL21" s="2827"/>
      <c r="QCM21" s="2867"/>
      <c r="QCN21" s="2866"/>
      <c r="QCO21" s="2827"/>
      <c r="QCP21" s="2867"/>
      <c r="QCQ21" s="2866"/>
      <c r="QCR21" s="2827"/>
      <c r="QCS21" s="2867"/>
      <c r="QCT21" s="2866"/>
      <c r="QCU21" s="2827"/>
      <c r="QCV21" s="2867"/>
      <c r="QCW21" s="2866"/>
      <c r="QCX21" s="2827"/>
      <c r="QCY21" s="2867"/>
      <c r="QCZ21" s="2866"/>
      <c r="QDA21" s="2827"/>
      <c r="QDB21" s="2867"/>
      <c r="QDC21" s="2866"/>
      <c r="QDD21" s="2827"/>
      <c r="QDE21" s="2867"/>
      <c r="QDF21" s="2866"/>
      <c r="QDG21" s="2827"/>
      <c r="QDH21" s="2867"/>
      <c r="QDI21" s="2866"/>
      <c r="QDJ21" s="2827"/>
      <c r="QDK21" s="2867"/>
      <c r="QDL21" s="2866"/>
      <c r="QDM21" s="2827"/>
      <c r="QDN21" s="2867"/>
      <c r="QDO21" s="2866"/>
      <c r="QDP21" s="2827"/>
      <c r="QDQ21" s="2867"/>
      <c r="QDR21" s="2866"/>
      <c r="QDS21" s="2827"/>
      <c r="QDT21" s="2867"/>
      <c r="QDU21" s="2866"/>
      <c r="QDV21" s="2827"/>
      <c r="QDW21" s="2867"/>
      <c r="QDX21" s="2866"/>
      <c r="QDY21" s="2827"/>
      <c r="QDZ21" s="2867"/>
      <c r="QEA21" s="2866"/>
      <c r="QEB21" s="2827"/>
      <c r="QEC21" s="2867"/>
      <c r="QED21" s="2866"/>
      <c r="QEE21" s="2827"/>
      <c r="QEF21" s="2867"/>
      <c r="QEG21" s="2866"/>
      <c r="QEH21" s="2827"/>
      <c r="QEI21" s="2867"/>
      <c r="QEJ21" s="2866"/>
      <c r="QEK21" s="2827"/>
      <c r="QEL21" s="2867"/>
      <c r="QEM21" s="2866"/>
      <c r="QEN21" s="2827"/>
      <c r="QEO21" s="2867"/>
      <c r="QEP21" s="2866"/>
      <c r="QEQ21" s="2827"/>
      <c r="QER21" s="2867"/>
      <c r="QES21" s="2866"/>
      <c r="QET21" s="2827"/>
      <c r="QEU21" s="2867"/>
      <c r="QEV21" s="2866"/>
      <c r="QEW21" s="2827"/>
      <c r="QEX21" s="2867"/>
      <c r="QEY21" s="2866"/>
      <c r="QEZ21" s="2827"/>
      <c r="QFA21" s="2867"/>
      <c r="QFB21" s="2866"/>
      <c r="QFC21" s="2827"/>
      <c r="QFD21" s="2867"/>
      <c r="QFE21" s="2866"/>
      <c r="QFF21" s="2827"/>
      <c r="QFG21" s="2867"/>
      <c r="QFH21" s="2866"/>
      <c r="QFI21" s="2827"/>
      <c r="QFJ21" s="2867"/>
      <c r="QFK21" s="2866"/>
      <c r="QFL21" s="2827"/>
      <c r="QFM21" s="2867"/>
      <c r="QFN21" s="2866"/>
      <c r="QFO21" s="2827"/>
      <c r="QFP21" s="2867"/>
      <c r="QFQ21" s="2866"/>
      <c r="QFR21" s="2827"/>
      <c r="QFS21" s="2867"/>
      <c r="QFT21" s="2866"/>
      <c r="QFU21" s="2827"/>
      <c r="QFV21" s="2867"/>
      <c r="QFW21" s="2866"/>
      <c r="QFX21" s="2827"/>
      <c r="QFY21" s="2867"/>
      <c r="QFZ21" s="2866"/>
      <c r="QGA21" s="2827"/>
      <c r="QGB21" s="2867"/>
      <c r="QGC21" s="2866"/>
      <c r="QGD21" s="2827"/>
      <c r="QGE21" s="2867"/>
      <c r="QGF21" s="2866"/>
      <c r="QGG21" s="2827"/>
      <c r="QGH21" s="2867"/>
      <c r="QGI21" s="2866"/>
      <c r="QGJ21" s="2827"/>
      <c r="QGK21" s="2867"/>
      <c r="QGL21" s="2866"/>
      <c r="QGM21" s="2827"/>
      <c r="QGN21" s="2867"/>
      <c r="QGO21" s="2866"/>
      <c r="QGP21" s="2827"/>
      <c r="QGQ21" s="2867"/>
      <c r="QGR21" s="2866"/>
      <c r="QGS21" s="2827"/>
      <c r="QGT21" s="2867"/>
      <c r="QGU21" s="2866"/>
      <c r="QGV21" s="2827"/>
      <c r="QGW21" s="2867"/>
      <c r="QGX21" s="2866"/>
      <c r="QGY21" s="2827"/>
      <c r="QGZ21" s="2867"/>
      <c r="QHA21" s="2866"/>
      <c r="QHB21" s="2827"/>
      <c r="QHC21" s="2867"/>
      <c r="QHD21" s="2866"/>
      <c r="QHE21" s="2827"/>
      <c r="QHF21" s="2867"/>
      <c r="QHG21" s="2866"/>
      <c r="QHH21" s="2827"/>
      <c r="QHI21" s="2867"/>
      <c r="QHJ21" s="2866"/>
      <c r="QHK21" s="2827"/>
      <c r="QHL21" s="2867"/>
      <c r="QHM21" s="2866"/>
      <c r="QHN21" s="2827"/>
      <c r="QHO21" s="2867"/>
      <c r="QHP21" s="2866"/>
      <c r="QHQ21" s="2827"/>
      <c r="QHR21" s="2867"/>
      <c r="QHS21" s="2866"/>
      <c r="QHT21" s="2827"/>
      <c r="QHU21" s="2867"/>
      <c r="QHV21" s="2866"/>
      <c r="QHW21" s="2827"/>
      <c r="QHX21" s="2867"/>
      <c r="QHY21" s="2866"/>
      <c r="QHZ21" s="2827"/>
      <c r="QIA21" s="2867"/>
      <c r="QIB21" s="2866"/>
      <c r="QIC21" s="2827"/>
      <c r="QID21" s="2867"/>
      <c r="QIE21" s="2866"/>
      <c r="QIF21" s="2827"/>
      <c r="QIG21" s="2867"/>
      <c r="QIH21" s="2866"/>
      <c r="QII21" s="2827"/>
      <c r="QIJ21" s="2867"/>
      <c r="QIK21" s="2866"/>
      <c r="QIL21" s="2827"/>
      <c r="QIM21" s="2867"/>
      <c r="QIN21" s="2866"/>
      <c r="QIO21" s="2827"/>
      <c r="QIP21" s="2867"/>
      <c r="QIQ21" s="2866"/>
      <c r="QIR21" s="2827"/>
      <c r="QIS21" s="2867"/>
      <c r="QIT21" s="2866"/>
      <c r="QIU21" s="2827"/>
      <c r="QIV21" s="2867"/>
      <c r="QIW21" s="2866"/>
      <c r="QIX21" s="2827"/>
      <c r="QIY21" s="2867"/>
      <c r="QIZ21" s="2866"/>
      <c r="QJA21" s="2827"/>
      <c r="QJB21" s="2867"/>
      <c r="QJC21" s="2866"/>
      <c r="QJD21" s="2827"/>
      <c r="QJE21" s="2867"/>
      <c r="QJF21" s="2866"/>
      <c r="QJG21" s="2827"/>
      <c r="QJH21" s="2867"/>
      <c r="QJI21" s="2866"/>
      <c r="QJJ21" s="2827"/>
      <c r="QJK21" s="2867"/>
      <c r="QJL21" s="2866"/>
      <c r="QJM21" s="2827"/>
      <c r="QJN21" s="2867"/>
      <c r="QJO21" s="2866"/>
      <c r="QJP21" s="2827"/>
      <c r="QJQ21" s="2867"/>
      <c r="QJR21" s="2866"/>
      <c r="QJS21" s="2827"/>
      <c r="QJT21" s="2867"/>
      <c r="QJU21" s="2866"/>
      <c r="QJV21" s="2827"/>
      <c r="QJW21" s="2867"/>
      <c r="QJX21" s="2866"/>
      <c r="QJY21" s="2827"/>
      <c r="QJZ21" s="2867"/>
      <c r="QKA21" s="2866"/>
      <c r="QKB21" s="2827"/>
      <c r="QKC21" s="2867"/>
      <c r="QKD21" s="2866"/>
      <c r="QKE21" s="2827"/>
      <c r="QKF21" s="2867"/>
      <c r="QKG21" s="2866"/>
      <c r="QKH21" s="2827"/>
      <c r="QKI21" s="2867"/>
      <c r="QKJ21" s="2866"/>
      <c r="QKK21" s="2827"/>
      <c r="QKL21" s="2867"/>
      <c r="QKM21" s="2866"/>
      <c r="QKN21" s="2827"/>
      <c r="QKO21" s="2867"/>
      <c r="QKP21" s="2866"/>
      <c r="QKQ21" s="2827"/>
      <c r="QKR21" s="2867"/>
      <c r="QKS21" s="2866"/>
      <c r="QKT21" s="2827"/>
      <c r="QKU21" s="2867"/>
      <c r="QKV21" s="2866"/>
      <c r="QKW21" s="2827"/>
      <c r="QKX21" s="2867"/>
      <c r="QKY21" s="2866"/>
      <c r="QKZ21" s="2827"/>
      <c r="QLA21" s="2867"/>
      <c r="QLB21" s="2866"/>
      <c r="QLC21" s="2827"/>
      <c r="QLD21" s="2867"/>
      <c r="QLE21" s="2866"/>
      <c r="QLF21" s="2827"/>
      <c r="QLG21" s="2867"/>
      <c r="QLH21" s="2866"/>
      <c r="QLI21" s="2827"/>
      <c r="QLJ21" s="2867"/>
      <c r="QLK21" s="2866"/>
      <c r="QLL21" s="2827"/>
      <c r="QLM21" s="2867"/>
      <c r="QLN21" s="2866"/>
      <c r="QLO21" s="2827"/>
      <c r="QLP21" s="2867"/>
      <c r="QLQ21" s="2866"/>
      <c r="QLR21" s="2827"/>
      <c r="QLS21" s="2867"/>
      <c r="QLT21" s="2866"/>
      <c r="QLU21" s="2827"/>
      <c r="QLV21" s="2867"/>
      <c r="QLW21" s="2866"/>
      <c r="QLX21" s="2827"/>
      <c r="QLY21" s="2867"/>
      <c r="QLZ21" s="2866"/>
      <c r="QMA21" s="2827"/>
      <c r="QMB21" s="2867"/>
      <c r="QMC21" s="2866"/>
      <c r="QMD21" s="2827"/>
      <c r="QME21" s="2867"/>
      <c r="QMF21" s="2866"/>
      <c r="QMG21" s="2827"/>
      <c r="QMH21" s="2867"/>
      <c r="QMI21" s="2866"/>
      <c r="QMJ21" s="2827"/>
      <c r="QMK21" s="2867"/>
      <c r="QML21" s="2866"/>
      <c r="QMM21" s="2827"/>
      <c r="QMN21" s="2867"/>
      <c r="QMO21" s="2866"/>
      <c r="QMP21" s="2827"/>
      <c r="QMQ21" s="2867"/>
      <c r="QMR21" s="2866"/>
      <c r="QMS21" s="2827"/>
      <c r="QMT21" s="2867"/>
      <c r="QMU21" s="2866"/>
      <c r="QMV21" s="2827"/>
      <c r="QMW21" s="2867"/>
      <c r="QMX21" s="2866"/>
      <c r="QMY21" s="2827"/>
      <c r="QMZ21" s="2867"/>
      <c r="QNA21" s="2866"/>
      <c r="QNB21" s="2827"/>
      <c r="QNC21" s="2867"/>
      <c r="QND21" s="2866"/>
      <c r="QNE21" s="2827"/>
      <c r="QNF21" s="2867"/>
      <c r="QNG21" s="2866"/>
      <c r="QNH21" s="2827"/>
      <c r="QNI21" s="2867"/>
      <c r="QNJ21" s="2866"/>
      <c r="QNK21" s="2827"/>
      <c r="QNL21" s="2867"/>
      <c r="QNM21" s="2866"/>
      <c r="QNN21" s="2827"/>
      <c r="QNO21" s="2867"/>
      <c r="QNP21" s="2866"/>
      <c r="QNQ21" s="2827"/>
      <c r="QNR21" s="2867"/>
      <c r="QNS21" s="2866"/>
      <c r="QNT21" s="2827"/>
      <c r="QNU21" s="2867"/>
      <c r="QNV21" s="2866"/>
      <c r="QNW21" s="2827"/>
      <c r="QNX21" s="2867"/>
      <c r="QNY21" s="2866"/>
      <c r="QNZ21" s="2827"/>
      <c r="QOA21" s="2867"/>
      <c r="QOB21" s="2866"/>
      <c r="QOC21" s="2827"/>
      <c r="QOD21" s="2867"/>
      <c r="QOE21" s="2866"/>
      <c r="QOF21" s="2827"/>
      <c r="QOG21" s="2867"/>
      <c r="QOH21" s="2866"/>
      <c r="QOI21" s="2827"/>
      <c r="QOJ21" s="2867"/>
      <c r="QOK21" s="2866"/>
      <c r="QOL21" s="2827"/>
      <c r="QOM21" s="2867"/>
      <c r="QON21" s="2866"/>
      <c r="QOO21" s="2827"/>
      <c r="QOP21" s="2867"/>
      <c r="QOQ21" s="2866"/>
      <c r="QOR21" s="2827"/>
      <c r="QOS21" s="2867"/>
      <c r="QOT21" s="2866"/>
      <c r="QOU21" s="2827"/>
      <c r="QOV21" s="2867"/>
      <c r="QOW21" s="2866"/>
      <c r="QOX21" s="2827"/>
      <c r="QOY21" s="2867"/>
      <c r="QOZ21" s="2866"/>
      <c r="QPA21" s="2827"/>
      <c r="QPB21" s="2867"/>
      <c r="QPC21" s="2866"/>
      <c r="QPD21" s="2827"/>
      <c r="QPE21" s="2867"/>
      <c r="QPF21" s="2866"/>
      <c r="QPG21" s="2827"/>
      <c r="QPH21" s="2867"/>
      <c r="QPI21" s="2866"/>
      <c r="QPJ21" s="2827"/>
      <c r="QPK21" s="2867"/>
      <c r="QPL21" s="2866"/>
      <c r="QPM21" s="2827"/>
      <c r="QPN21" s="2867"/>
      <c r="QPO21" s="2866"/>
      <c r="QPP21" s="2827"/>
      <c r="QPQ21" s="2867"/>
      <c r="QPR21" s="2866"/>
      <c r="QPS21" s="2827"/>
      <c r="QPT21" s="2867"/>
      <c r="QPU21" s="2866"/>
      <c r="QPV21" s="2827"/>
      <c r="QPW21" s="2867"/>
      <c r="QPX21" s="2866"/>
      <c r="QPY21" s="2827"/>
      <c r="QPZ21" s="2867"/>
      <c r="QQA21" s="2866"/>
      <c r="QQB21" s="2827"/>
      <c r="QQC21" s="2867"/>
      <c r="QQD21" s="2866"/>
      <c r="QQE21" s="2827"/>
      <c r="QQF21" s="2867"/>
      <c r="QQG21" s="2866"/>
      <c r="QQH21" s="2827"/>
      <c r="QQI21" s="2867"/>
      <c r="QQJ21" s="2866"/>
      <c r="QQK21" s="2827"/>
      <c r="QQL21" s="2867"/>
      <c r="QQM21" s="2866"/>
      <c r="QQN21" s="2827"/>
      <c r="QQO21" s="2867"/>
      <c r="QQP21" s="2866"/>
      <c r="QQQ21" s="2827"/>
      <c r="QQR21" s="2867"/>
      <c r="QQS21" s="2866"/>
      <c r="QQT21" s="2827"/>
      <c r="QQU21" s="2867"/>
      <c r="QQV21" s="2866"/>
      <c r="QQW21" s="2827"/>
      <c r="QQX21" s="2867"/>
      <c r="QQY21" s="2866"/>
      <c r="QQZ21" s="2827"/>
      <c r="QRA21" s="2867"/>
      <c r="QRB21" s="2866"/>
      <c r="QRC21" s="2827"/>
      <c r="QRD21" s="2867"/>
      <c r="QRE21" s="2866"/>
      <c r="QRF21" s="2827"/>
      <c r="QRG21" s="2867"/>
      <c r="QRH21" s="2866"/>
      <c r="QRI21" s="2827"/>
      <c r="QRJ21" s="2867"/>
      <c r="QRK21" s="2866"/>
      <c r="QRL21" s="2827"/>
      <c r="QRM21" s="2867"/>
      <c r="QRN21" s="2866"/>
      <c r="QRO21" s="2827"/>
      <c r="QRP21" s="2867"/>
      <c r="QRQ21" s="2866"/>
      <c r="QRR21" s="2827"/>
      <c r="QRS21" s="2867"/>
      <c r="QRT21" s="2866"/>
      <c r="QRU21" s="2827"/>
      <c r="QRV21" s="2867"/>
      <c r="QRW21" s="2866"/>
      <c r="QRX21" s="2827"/>
      <c r="QRY21" s="2867"/>
      <c r="QRZ21" s="2866"/>
      <c r="QSA21" s="2827"/>
      <c r="QSB21" s="2867"/>
      <c r="QSC21" s="2866"/>
      <c r="QSD21" s="2827"/>
      <c r="QSE21" s="2867"/>
      <c r="QSF21" s="2866"/>
      <c r="QSG21" s="2827"/>
      <c r="QSH21" s="2867"/>
      <c r="QSI21" s="2866"/>
      <c r="QSJ21" s="2827"/>
      <c r="QSK21" s="2867"/>
      <c r="QSL21" s="2866"/>
      <c r="QSM21" s="2827"/>
      <c r="QSN21" s="2867"/>
      <c r="QSO21" s="2866"/>
      <c r="QSP21" s="2827"/>
      <c r="QSQ21" s="2867"/>
      <c r="QSR21" s="2866"/>
      <c r="QSS21" s="2827"/>
      <c r="QST21" s="2867"/>
      <c r="QSU21" s="2866"/>
      <c r="QSV21" s="2827"/>
      <c r="QSW21" s="2867"/>
      <c r="QSX21" s="2866"/>
      <c r="QSY21" s="2827"/>
      <c r="QSZ21" s="2867"/>
      <c r="QTA21" s="2866"/>
      <c r="QTB21" s="2827"/>
      <c r="QTC21" s="2867"/>
      <c r="QTD21" s="2866"/>
      <c r="QTE21" s="2827"/>
      <c r="QTF21" s="2867"/>
      <c r="QTG21" s="2866"/>
      <c r="QTH21" s="2827"/>
      <c r="QTI21" s="2867"/>
      <c r="QTJ21" s="2866"/>
      <c r="QTK21" s="2827"/>
      <c r="QTL21" s="2867"/>
      <c r="QTM21" s="2866"/>
      <c r="QTN21" s="2827"/>
      <c r="QTO21" s="2867"/>
      <c r="QTP21" s="2866"/>
      <c r="QTQ21" s="2827"/>
      <c r="QTR21" s="2867"/>
      <c r="QTS21" s="2866"/>
      <c r="QTT21" s="2827"/>
      <c r="QTU21" s="2867"/>
      <c r="QTV21" s="2866"/>
      <c r="QTW21" s="2827"/>
      <c r="QTX21" s="2867"/>
      <c r="QTY21" s="2866"/>
      <c r="QTZ21" s="2827"/>
      <c r="QUA21" s="2867"/>
      <c r="QUB21" s="2866"/>
      <c r="QUC21" s="2827"/>
      <c r="QUD21" s="2867"/>
      <c r="QUE21" s="2866"/>
      <c r="QUF21" s="2827"/>
      <c r="QUG21" s="2867"/>
      <c r="QUH21" s="2866"/>
      <c r="QUI21" s="2827"/>
      <c r="QUJ21" s="2867"/>
      <c r="QUK21" s="2866"/>
      <c r="QUL21" s="2827"/>
      <c r="QUM21" s="2867"/>
      <c r="QUN21" s="2866"/>
      <c r="QUO21" s="2827"/>
      <c r="QUP21" s="2867"/>
      <c r="QUQ21" s="2866"/>
      <c r="QUR21" s="2827"/>
      <c r="QUS21" s="2867"/>
      <c r="QUT21" s="2866"/>
      <c r="QUU21" s="2827"/>
      <c r="QUV21" s="2867"/>
      <c r="QUW21" s="2866"/>
      <c r="QUX21" s="2827"/>
      <c r="QUY21" s="2867"/>
      <c r="QUZ21" s="2866"/>
      <c r="QVA21" s="2827"/>
      <c r="QVB21" s="2867"/>
      <c r="QVC21" s="2866"/>
      <c r="QVD21" s="2827"/>
      <c r="QVE21" s="2867"/>
      <c r="QVF21" s="2866"/>
      <c r="QVG21" s="2827"/>
      <c r="QVH21" s="2867"/>
      <c r="QVI21" s="2866"/>
      <c r="QVJ21" s="2827"/>
      <c r="QVK21" s="2867"/>
      <c r="QVL21" s="2866"/>
      <c r="QVM21" s="2827"/>
      <c r="QVN21" s="2867"/>
      <c r="QVO21" s="2866"/>
      <c r="QVP21" s="2827"/>
      <c r="QVQ21" s="2867"/>
      <c r="QVR21" s="2866"/>
      <c r="QVS21" s="2827"/>
      <c r="QVT21" s="2867"/>
      <c r="QVU21" s="2866"/>
      <c r="QVV21" s="2827"/>
      <c r="QVW21" s="2867"/>
      <c r="QVX21" s="2866"/>
      <c r="QVY21" s="2827"/>
      <c r="QVZ21" s="2867"/>
      <c r="QWA21" s="2866"/>
      <c r="QWB21" s="2827"/>
      <c r="QWC21" s="2867"/>
      <c r="QWD21" s="2866"/>
      <c r="QWE21" s="2827"/>
      <c r="QWF21" s="2867"/>
      <c r="QWG21" s="2866"/>
      <c r="QWH21" s="2827"/>
      <c r="QWI21" s="2867"/>
      <c r="QWJ21" s="2866"/>
      <c r="QWK21" s="2827"/>
      <c r="QWL21" s="2867"/>
      <c r="QWM21" s="2866"/>
      <c r="QWN21" s="2827"/>
      <c r="QWO21" s="2867"/>
      <c r="QWP21" s="2866"/>
      <c r="QWQ21" s="2827"/>
      <c r="QWR21" s="2867"/>
      <c r="QWS21" s="2866"/>
      <c r="QWT21" s="2827"/>
      <c r="QWU21" s="2867"/>
      <c r="QWV21" s="2866"/>
      <c r="QWW21" s="2827"/>
      <c r="QWX21" s="2867"/>
      <c r="QWY21" s="2866"/>
      <c r="QWZ21" s="2827"/>
      <c r="QXA21" s="2867"/>
      <c r="QXB21" s="2866"/>
      <c r="QXC21" s="2827"/>
      <c r="QXD21" s="2867"/>
      <c r="QXE21" s="2866"/>
      <c r="QXF21" s="2827"/>
      <c r="QXG21" s="2867"/>
      <c r="QXH21" s="2866"/>
      <c r="QXI21" s="2827"/>
      <c r="QXJ21" s="2867"/>
      <c r="QXK21" s="2866"/>
      <c r="QXL21" s="2827"/>
      <c r="QXM21" s="2867"/>
      <c r="QXN21" s="2866"/>
      <c r="QXO21" s="2827"/>
      <c r="QXP21" s="2867"/>
      <c r="QXQ21" s="2866"/>
      <c r="QXR21" s="2827"/>
      <c r="QXS21" s="2867"/>
      <c r="QXT21" s="2866"/>
      <c r="QXU21" s="2827"/>
      <c r="QXV21" s="2867"/>
      <c r="QXW21" s="2866"/>
      <c r="QXX21" s="2827"/>
      <c r="QXY21" s="2867"/>
      <c r="QXZ21" s="2866"/>
      <c r="QYA21" s="2827"/>
      <c r="QYB21" s="2867"/>
      <c r="QYC21" s="2866"/>
      <c r="QYD21" s="2827"/>
      <c r="QYE21" s="2867"/>
      <c r="QYF21" s="2866"/>
      <c r="QYG21" s="2827"/>
      <c r="QYH21" s="2867"/>
      <c r="QYI21" s="2866"/>
      <c r="QYJ21" s="2827"/>
      <c r="QYK21" s="2867"/>
      <c r="QYL21" s="2866"/>
      <c r="QYM21" s="2827"/>
      <c r="QYN21" s="2867"/>
      <c r="QYO21" s="2866"/>
      <c r="QYP21" s="2827"/>
      <c r="QYQ21" s="2867"/>
      <c r="QYR21" s="2866"/>
      <c r="QYS21" s="2827"/>
      <c r="QYT21" s="2867"/>
      <c r="QYU21" s="2866"/>
      <c r="QYV21" s="2827"/>
      <c r="QYW21" s="2867"/>
      <c r="QYX21" s="2866"/>
      <c r="QYY21" s="2827"/>
      <c r="QYZ21" s="2867"/>
      <c r="QZA21" s="2866"/>
      <c r="QZB21" s="2827"/>
      <c r="QZC21" s="2867"/>
      <c r="QZD21" s="2866"/>
      <c r="QZE21" s="2827"/>
      <c r="QZF21" s="2867"/>
      <c r="QZG21" s="2866"/>
      <c r="QZH21" s="2827"/>
      <c r="QZI21" s="2867"/>
      <c r="QZJ21" s="2866"/>
      <c r="QZK21" s="2827"/>
      <c r="QZL21" s="2867"/>
      <c r="QZM21" s="2866"/>
      <c r="QZN21" s="2827"/>
      <c r="QZO21" s="2867"/>
      <c r="QZP21" s="2866"/>
      <c r="QZQ21" s="2827"/>
      <c r="QZR21" s="2867"/>
      <c r="QZS21" s="2866"/>
      <c r="QZT21" s="2827"/>
      <c r="QZU21" s="2867"/>
      <c r="QZV21" s="2866"/>
      <c r="QZW21" s="2827"/>
      <c r="QZX21" s="2867"/>
      <c r="QZY21" s="2866"/>
      <c r="QZZ21" s="2827"/>
      <c r="RAA21" s="2867"/>
      <c r="RAB21" s="2866"/>
      <c r="RAC21" s="2827"/>
      <c r="RAD21" s="2867"/>
      <c r="RAE21" s="2866"/>
      <c r="RAF21" s="2827"/>
      <c r="RAG21" s="2867"/>
      <c r="RAH21" s="2866"/>
      <c r="RAI21" s="2827"/>
      <c r="RAJ21" s="2867"/>
      <c r="RAK21" s="2866"/>
      <c r="RAL21" s="2827"/>
      <c r="RAM21" s="2867"/>
      <c r="RAN21" s="2866"/>
      <c r="RAO21" s="2827"/>
      <c r="RAP21" s="2867"/>
      <c r="RAQ21" s="2866"/>
      <c r="RAR21" s="2827"/>
      <c r="RAS21" s="2867"/>
      <c r="RAT21" s="2866"/>
      <c r="RAU21" s="2827"/>
      <c r="RAV21" s="2867"/>
      <c r="RAW21" s="2866"/>
      <c r="RAX21" s="2827"/>
      <c r="RAY21" s="2867"/>
      <c r="RAZ21" s="2866"/>
      <c r="RBA21" s="2827"/>
      <c r="RBB21" s="2867"/>
      <c r="RBC21" s="2866"/>
      <c r="RBD21" s="2827"/>
      <c r="RBE21" s="2867"/>
      <c r="RBF21" s="2866"/>
      <c r="RBG21" s="2827"/>
      <c r="RBH21" s="2867"/>
      <c r="RBI21" s="2866"/>
      <c r="RBJ21" s="2827"/>
      <c r="RBK21" s="2867"/>
      <c r="RBL21" s="2866"/>
      <c r="RBM21" s="2827"/>
      <c r="RBN21" s="2867"/>
      <c r="RBO21" s="2866"/>
      <c r="RBP21" s="2827"/>
      <c r="RBQ21" s="2867"/>
      <c r="RBR21" s="2866"/>
      <c r="RBS21" s="2827"/>
      <c r="RBT21" s="2867"/>
      <c r="RBU21" s="2866"/>
      <c r="RBV21" s="2827"/>
      <c r="RBW21" s="2867"/>
      <c r="RBX21" s="2866"/>
      <c r="RBY21" s="2827"/>
      <c r="RBZ21" s="2867"/>
      <c r="RCA21" s="2866"/>
      <c r="RCB21" s="2827"/>
      <c r="RCC21" s="2867"/>
      <c r="RCD21" s="2866"/>
      <c r="RCE21" s="2827"/>
      <c r="RCF21" s="2867"/>
      <c r="RCG21" s="2866"/>
      <c r="RCH21" s="2827"/>
      <c r="RCI21" s="2867"/>
      <c r="RCJ21" s="2866"/>
      <c r="RCK21" s="2827"/>
      <c r="RCL21" s="2867"/>
      <c r="RCM21" s="2866"/>
      <c r="RCN21" s="2827"/>
      <c r="RCO21" s="2867"/>
      <c r="RCP21" s="2866"/>
      <c r="RCQ21" s="2827"/>
      <c r="RCR21" s="2867"/>
      <c r="RCS21" s="2866"/>
      <c r="RCT21" s="2827"/>
      <c r="RCU21" s="2867"/>
      <c r="RCV21" s="2866"/>
      <c r="RCW21" s="2827"/>
      <c r="RCX21" s="2867"/>
      <c r="RCY21" s="2866"/>
      <c r="RCZ21" s="2827"/>
      <c r="RDA21" s="2867"/>
      <c r="RDB21" s="2866"/>
      <c r="RDC21" s="2827"/>
      <c r="RDD21" s="2867"/>
      <c r="RDE21" s="2866"/>
      <c r="RDF21" s="2827"/>
      <c r="RDG21" s="2867"/>
      <c r="RDH21" s="2866"/>
      <c r="RDI21" s="2827"/>
      <c r="RDJ21" s="2867"/>
      <c r="RDK21" s="2866"/>
      <c r="RDL21" s="2827"/>
      <c r="RDM21" s="2867"/>
      <c r="RDN21" s="2866"/>
      <c r="RDO21" s="2827"/>
      <c r="RDP21" s="2867"/>
      <c r="RDQ21" s="2866"/>
      <c r="RDR21" s="2827"/>
      <c r="RDS21" s="2867"/>
      <c r="RDT21" s="2866"/>
      <c r="RDU21" s="2827"/>
      <c r="RDV21" s="2867"/>
      <c r="RDW21" s="2866"/>
      <c r="RDX21" s="2827"/>
      <c r="RDY21" s="2867"/>
      <c r="RDZ21" s="2866"/>
      <c r="REA21" s="2827"/>
      <c r="REB21" s="2867"/>
      <c r="REC21" s="2866"/>
      <c r="RED21" s="2827"/>
      <c r="REE21" s="2867"/>
      <c r="REF21" s="2866"/>
      <c r="REG21" s="2827"/>
      <c r="REH21" s="2867"/>
      <c r="REI21" s="2866"/>
      <c r="REJ21" s="2827"/>
      <c r="REK21" s="2867"/>
      <c r="REL21" s="2866"/>
      <c r="REM21" s="2827"/>
      <c r="REN21" s="2867"/>
      <c r="REO21" s="2866"/>
      <c r="REP21" s="2827"/>
      <c r="REQ21" s="2867"/>
      <c r="RER21" s="2866"/>
      <c r="RES21" s="2827"/>
      <c r="RET21" s="2867"/>
      <c r="REU21" s="2866"/>
      <c r="REV21" s="2827"/>
      <c r="REW21" s="2867"/>
      <c r="REX21" s="2866"/>
      <c r="REY21" s="2827"/>
      <c r="REZ21" s="2867"/>
      <c r="RFA21" s="2866"/>
      <c r="RFB21" s="2827"/>
      <c r="RFC21" s="2867"/>
      <c r="RFD21" s="2866"/>
      <c r="RFE21" s="2827"/>
      <c r="RFF21" s="2867"/>
      <c r="RFG21" s="2866"/>
      <c r="RFH21" s="2827"/>
      <c r="RFI21" s="2867"/>
      <c r="RFJ21" s="2866"/>
      <c r="RFK21" s="2827"/>
      <c r="RFL21" s="2867"/>
      <c r="RFM21" s="2866"/>
      <c r="RFN21" s="2827"/>
      <c r="RFO21" s="2867"/>
      <c r="RFP21" s="2866"/>
      <c r="RFQ21" s="2827"/>
      <c r="RFR21" s="2867"/>
      <c r="RFS21" s="2866"/>
      <c r="RFT21" s="2827"/>
      <c r="RFU21" s="2867"/>
      <c r="RFV21" s="2866"/>
      <c r="RFW21" s="2827"/>
      <c r="RFX21" s="2867"/>
      <c r="RFY21" s="2866"/>
      <c r="RFZ21" s="2827"/>
      <c r="RGA21" s="2867"/>
      <c r="RGB21" s="2866"/>
      <c r="RGC21" s="2827"/>
      <c r="RGD21" s="2867"/>
      <c r="RGE21" s="2866"/>
      <c r="RGF21" s="2827"/>
      <c r="RGG21" s="2867"/>
      <c r="RGH21" s="2866"/>
      <c r="RGI21" s="2827"/>
      <c r="RGJ21" s="2867"/>
      <c r="RGK21" s="2866"/>
      <c r="RGL21" s="2827"/>
      <c r="RGM21" s="2867"/>
      <c r="RGN21" s="2866"/>
      <c r="RGO21" s="2827"/>
      <c r="RGP21" s="2867"/>
      <c r="RGQ21" s="2866"/>
      <c r="RGR21" s="2827"/>
      <c r="RGS21" s="2867"/>
      <c r="RGT21" s="2866"/>
      <c r="RGU21" s="2827"/>
      <c r="RGV21" s="2867"/>
      <c r="RGW21" s="2866"/>
      <c r="RGX21" s="2827"/>
      <c r="RGY21" s="2867"/>
      <c r="RGZ21" s="2866"/>
      <c r="RHA21" s="2827"/>
      <c r="RHB21" s="2867"/>
      <c r="RHC21" s="2866"/>
      <c r="RHD21" s="2827"/>
      <c r="RHE21" s="2867"/>
      <c r="RHF21" s="2866"/>
      <c r="RHG21" s="2827"/>
      <c r="RHH21" s="2867"/>
      <c r="RHI21" s="2866"/>
      <c r="RHJ21" s="2827"/>
      <c r="RHK21" s="2867"/>
      <c r="RHL21" s="2866"/>
      <c r="RHM21" s="2827"/>
      <c r="RHN21" s="2867"/>
      <c r="RHO21" s="2866"/>
      <c r="RHP21" s="2827"/>
      <c r="RHQ21" s="2867"/>
      <c r="RHR21" s="2866"/>
      <c r="RHS21" s="2827"/>
      <c r="RHT21" s="2867"/>
      <c r="RHU21" s="2866"/>
      <c r="RHV21" s="2827"/>
      <c r="RHW21" s="2867"/>
      <c r="RHX21" s="2866"/>
      <c r="RHY21" s="2827"/>
      <c r="RHZ21" s="2867"/>
      <c r="RIA21" s="2866"/>
      <c r="RIB21" s="2827"/>
      <c r="RIC21" s="2867"/>
      <c r="RID21" s="2866"/>
      <c r="RIE21" s="2827"/>
      <c r="RIF21" s="2867"/>
      <c r="RIG21" s="2866"/>
      <c r="RIH21" s="2827"/>
      <c r="RII21" s="2867"/>
      <c r="RIJ21" s="2866"/>
      <c r="RIK21" s="2827"/>
      <c r="RIL21" s="2867"/>
      <c r="RIM21" s="2866"/>
      <c r="RIN21" s="2827"/>
      <c r="RIO21" s="2867"/>
      <c r="RIP21" s="2866"/>
      <c r="RIQ21" s="2827"/>
      <c r="RIR21" s="2867"/>
      <c r="RIS21" s="2866"/>
      <c r="RIT21" s="2827"/>
      <c r="RIU21" s="2867"/>
      <c r="RIV21" s="2866"/>
      <c r="RIW21" s="2827"/>
      <c r="RIX21" s="2867"/>
      <c r="RIY21" s="2866"/>
      <c r="RIZ21" s="2827"/>
      <c r="RJA21" s="2867"/>
      <c r="RJB21" s="2866"/>
      <c r="RJC21" s="2827"/>
      <c r="RJD21" s="2867"/>
      <c r="RJE21" s="2866"/>
      <c r="RJF21" s="2827"/>
      <c r="RJG21" s="2867"/>
      <c r="RJH21" s="2866"/>
      <c r="RJI21" s="2827"/>
      <c r="RJJ21" s="2867"/>
      <c r="RJK21" s="2866"/>
      <c r="RJL21" s="2827"/>
      <c r="RJM21" s="2867"/>
      <c r="RJN21" s="2866"/>
      <c r="RJO21" s="2827"/>
      <c r="RJP21" s="2867"/>
      <c r="RJQ21" s="2866"/>
      <c r="RJR21" s="2827"/>
      <c r="RJS21" s="2867"/>
      <c r="RJT21" s="2866"/>
      <c r="RJU21" s="2827"/>
      <c r="RJV21" s="2867"/>
      <c r="RJW21" s="2866"/>
      <c r="RJX21" s="2827"/>
      <c r="RJY21" s="2867"/>
      <c r="RJZ21" s="2866"/>
      <c r="RKA21" s="2827"/>
      <c r="RKB21" s="2867"/>
      <c r="RKC21" s="2866"/>
      <c r="RKD21" s="2827"/>
      <c r="RKE21" s="2867"/>
      <c r="RKF21" s="2866"/>
      <c r="RKG21" s="2827"/>
      <c r="RKH21" s="2867"/>
      <c r="RKI21" s="2866"/>
      <c r="RKJ21" s="2827"/>
      <c r="RKK21" s="2867"/>
      <c r="RKL21" s="2866"/>
      <c r="RKM21" s="2827"/>
      <c r="RKN21" s="2867"/>
      <c r="RKO21" s="2866"/>
      <c r="RKP21" s="2827"/>
      <c r="RKQ21" s="2867"/>
      <c r="RKR21" s="2866"/>
      <c r="RKS21" s="2827"/>
      <c r="RKT21" s="2867"/>
      <c r="RKU21" s="2866"/>
      <c r="RKV21" s="2827"/>
      <c r="RKW21" s="2867"/>
      <c r="RKX21" s="2866"/>
      <c r="RKY21" s="2827"/>
      <c r="RKZ21" s="2867"/>
      <c r="RLA21" s="2866"/>
      <c r="RLB21" s="2827"/>
      <c r="RLC21" s="2867"/>
      <c r="RLD21" s="2866"/>
      <c r="RLE21" s="2827"/>
      <c r="RLF21" s="2867"/>
      <c r="RLG21" s="2866"/>
      <c r="RLH21" s="2827"/>
      <c r="RLI21" s="2867"/>
      <c r="RLJ21" s="2866"/>
      <c r="RLK21" s="2827"/>
      <c r="RLL21" s="2867"/>
      <c r="RLM21" s="2866"/>
      <c r="RLN21" s="2827"/>
      <c r="RLO21" s="2867"/>
      <c r="RLP21" s="2866"/>
      <c r="RLQ21" s="2827"/>
      <c r="RLR21" s="2867"/>
      <c r="RLS21" s="2866"/>
      <c r="RLT21" s="2827"/>
      <c r="RLU21" s="2867"/>
      <c r="RLV21" s="2866"/>
      <c r="RLW21" s="2827"/>
      <c r="RLX21" s="2867"/>
      <c r="RLY21" s="2866"/>
      <c r="RLZ21" s="2827"/>
      <c r="RMA21" s="2867"/>
      <c r="RMB21" s="2866"/>
      <c r="RMC21" s="2827"/>
      <c r="RMD21" s="2867"/>
      <c r="RME21" s="2866"/>
      <c r="RMF21" s="2827"/>
      <c r="RMG21" s="2867"/>
      <c r="RMH21" s="2866"/>
      <c r="RMI21" s="2827"/>
      <c r="RMJ21" s="2867"/>
      <c r="RMK21" s="2866"/>
      <c r="RML21" s="2827"/>
      <c r="RMM21" s="2867"/>
      <c r="RMN21" s="2866"/>
      <c r="RMO21" s="2827"/>
      <c r="RMP21" s="2867"/>
      <c r="RMQ21" s="2866"/>
      <c r="RMR21" s="2827"/>
      <c r="RMS21" s="2867"/>
      <c r="RMT21" s="2866"/>
      <c r="RMU21" s="2827"/>
      <c r="RMV21" s="2867"/>
      <c r="RMW21" s="2866"/>
      <c r="RMX21" s="2827"/>
      <c r="RMY21" s="2867"/>
      <c r="RMZ21" s="2866"/>
      <c r="RNA21" s="2827"/>
      <c r="RNB21" s="2867"/>
      <c r="RNC21" s="2866"/>
      <c r="RND21" s="2827"/>
      <c r="RNE21" s="2867"/>
      <c r="RNF21" s="2866"/>
      <c r="RNG21" s="2827"/>
      <c r="RNH21" s="2867"/>
      <c r="RNI21" s="2866"/>
      <c r="RNJ21" s="2827"/>
      <c r="RNK21" s="2867"/>
      <c r="RNL21" s="2866"/>
      <c r="RNM21" s="2827"/>
      <c r="RNN21" s="2867"/>
      <c r="RNO21" s="2866"/>
      <c r="RNP21" s="2827"/>
      <c r="RNQ21" s="2867"/>
      <c r="RNR21" s="2866"/>
      <c r="RNS21" s="2827"/>
      <c r="RNT21" s="2867"/>
      <c r="RNU21" s="2866"/>
      <c r="RNV21" s="2827"/>
      <c r="RNW21" s="2867"/>
      <c r="RNX21" s="2866"/>
      <c r="RNY21" s="2827"/>
      <c r="RNZ21" s="2867"/>
      <c r="ROA21" s="2866"/>
      <c r="ROB21" s="2827"/>
      <c r="ROC21" s="2867"/>
      <c r="ROD21" s="2866"/>
      <c r="ROE21" s="2827"/>
      <c r="ROF21" s="2867"/>
      <c r="ROG21" s="2866"/>
      <c r="ROH21" s="2827"/>
      <c r="ROI21" s="2867"/>
      <c r="ROJ21" s="2866"/>
      <c r="ROK21" s="2827"/>
      <c r="ROL21" s="2867"/>
      <c r="ROM21" s="2866"/>
      <c r="RON21" s="2827"/>
      <c r="ROO21" s="2867"/>
      <c r="ROP21" s="2866"/>
      <c r="ROQ21" s="2827"/>
      <c r="ROR21" s="2867"/>
      <c r="ROS21" s="2866"/>
      <c r="ROT21" s="2827"/>
      <c r="ROU21" s="2867"/>
      <c r="ROV21" s="2866"/>
      <c r="ROW21" s="2827"/>
      <c r="ROX21" s="2867"/>
      <c r="ROY21" s="2866"/>
      <c r="ROZ21" s="2827"/>
      <c r="RPA21" s="2867"/>
      <c r="RPB21" s="2866"/>
      <c r="RPC21" s="2827"/>
      <c r="RPD21" s="2867"/>
      <c r="RPE21" s="2866"/>
      <c r="RPF21" s="2827"/>
      <c r="RPG21" s="2867"/>
      <c r="RPH21" s="2866"/>
      <c r="RPI21" s="2827"/>
      <c r="RPJ21" s="2867"/>
      <c r="RPK21" s="2866"/>
      <c r="RPL21" s="2827"/>
      <c r="RPM21" s="2867"/>
      <c r="RPN21" s="2866"/>
      <c r="RPO21" s="2827"/>
      <c r="RPP21" s="2867"/>
      <c r="RPQ21" s="2866"/>
      <c r="RPR21" s="2827"/>
      <c r="RPS21" s="2867"/>
      <c r="RPT21" s="2866"/>
      <c r="RPU21" s="2827"/>
      <c r="RPV21" s="2867"/>
      <c r="RPW21" s="2866"/>
      <c r="RPX21" s="2827"/>
      <c r="RPY21" s="2867"/>
      <c r="RPZ21" s="2866"/>
      <c r="RQA21" s="2827"/>
      <c r="RQB21" s="2867"/>
      <c r="RQC21" s="2866"/>
      <c r="RQD21" s="2827"/>
      <c r="RQE21" s="2867"/>
      <c r="RQF21" s="2866"/>
      <c r="RQG21" s="2827"/>
      <c r="RQH21" s="2867"/>
      <c r="RQI21" s="2866"/>
      <c r="RQJ21" s="2827"/>
      <c r="RQK21" s="2867"/>
      <c r="RQL21" s="2866"/>
      <c r="RQM21" s="2827"/>
      <c r="RQN21" s="2867"/>
      <c r="RQO21" s="2866"/>
      <c r="RQP21" s="2827"/>
      <c r="RQQ21" s="2867"/>
      <c r="RQR21" s="2866"/>
      <c r="RQS21" s="2827"/>
      <c r="RQT21" s="2867"/>
      <c r="RQU21" s="2866"/>
      <c r="RQV21" s="2827"/>
      <c r="RQW21" s="2867"/>
      <c r="RQX21" s="2866"/>
      <c r="RQY21" s="2827"/>
      <c r="RQZ21" s="2867"/>
      <c r="RRA21" s="2866"/>
      <c r="RRB21" s="2827"/>
      <c r="RRC21" s="2867"/>
      <c r="RRD21" s="2866"/>
      <c r="RRE21" s="2827"/>
      <c r="RRF21" s="2867"/>
      <c r="RRG21" s="2866"/>
      <c r="RRH21" s="2827"/>
      <c r="RRI21" s="2867"/>
      <c r="RRJ21" s="2866"/>
      <c r="RRK21" s="2827"/>
      <c r="RRL21" s="2867"/>
      <c r="RRM21" s="2866"/>
      <c r="RRN21" s="2827"/>
      <c r="RRO21" s="2867"/>
      <c r="RRP21" s="2866"/>
      <c r="RRQ21" s="2827"/>
      <c r="RRR21" s="2867"/>
      <c r="RRS21" s="2866"/>
      <c r="RRT21" s="2827"/>
      <c r="RRU21" s="2867"/>
      <c r="RRV21" s="2866"/>
      <c r="RRW21" s="2827"/>
      <c r="RRX21" s="2867"/>
      <c r="RRY21" s="2866"/>
      <c r="RRZ21" s="2827"/>
      <c r="RSA21" s="2867"/>
      <c r="RSB21" s="2866"/>
      <c r="RSC21" s="2827"/>
      <c r="RSD21" s="2867"/>
      <c r="RSE21" s="2866"/>
      <c r="RSF21" s="2827"/>
      <c r="RSG21" s="2867"/>
      <c r="RSH21" s="2866"/>
      <c r="RSI21" s="2827"/>
      <c r="RSJ21" s="2867"/>
      <c r="RSK21" s="2866"/>
      <c r="RSL21" s="2827"/>
      <c r="RSM21" s="2867"/>
      <c r="RSN21" s="2866"/>
      <c r="RSO21" s="2827"/>
      <c r="RSP21" s="2867"/>
      <c r="RSQ21" s="2866"/>
      <c r="RSR21" s="2827"/>
      <c r="RSS21" s="2867"/>
      <c r="RST21" s="2866"/>
      <c r="RSU21" s="2827"/>
      <c r="RSV21" s="2867"/>
      <c r="RSW21" s="2866"/>
      <c r="RSX21" s="2827"/>
      <c r="RSY21" s="2867"/>
      <c r="RSZ21" s="2866"/>
      <c r="RTA21" s="2827"/>
      <c r="RTB21" s="2867"/>
      <c r="RTC21" s="2866"/>
      <c r="RTD21" s="2827"/>
      <c r="RTE21" s="2867"/>
      <c r="RTF21" s="2866"/>
      <c r="RTG21" s="2827"/>
      <c r="RTH21" s="2867"/>
      <c r="RTI21" s="2866"/>
      <c r="RTJ21" s="2827"/>
      <c r="RTK21" s="2867"/>
      <c r="RTL21" s="2866"/>
      <c r="RTM21" s="2827"/>
      <c r="RTN21" s="2867"/>
      <c r="RTO21" s="2866"/>
      <c r="RTP21" s="2827"/>
      <c r="RTQ21" s="2867"/>
      <c r="RTR21" s="2866"/>
      <c r="RTS21" s="2827"/>
      <c r="RTT21" s="2867"/>
      <c r="RTU21" s="2866"/>
      <c r="RTV21" s="2827"/>
      <c r="RTW21" s="2867"/>
      <c r="RTX21" s="2866"/>
      <c r="RTY21" s="2827"/>
      <c r="RTZ21" s="2867"/>
      <c r="RUA21" s="2866"/>
      <c r="RUB21" s="2827"/>
      <c r="RUC21" s="2867"/>
      <c r="RUD21" s="2866"/>
      <c r="RUE21" s="2827"/>
      <c r="RUF21" s="2867"/>
      <c r="RUG21" s="2866"/>
      <c r="RUH21" s="2827"/>
      <c r="RUI21" s="2867"/>
      <c r="RUJ21" s="2866"/>
      <c r="RUK21" s="2827"/>
      <c r="RUL21" s="2867"/>
      <c r="RUM21" s="2866"/>
      <c r="RUN21" s="2827"/>
      <c r="RUO21" s="2867"/>
      <c r="RUP21" s="2866"/>
      <c r="RUQ21" s="2827"/>
      <c r="RUR21" s="2867"/>
      <c r="RUS21" s="2866"/>
      <c r="RUT21" s="2827"/>
      <c r="RUU21" s="2867"/>
      <c r="RUV21" s="2866"/>
      <c r="RUW21" s="2827"/>
      <c r="RUX21" s="2867"/>
      <c r="RUY21" s="2866"/>
      <c r="RUZ21" s="2827"/>
      <c r="RVA21" s="2867"/>
      <c r="RVB21" s="2866"/>
      <c r="RVC21" s="2827"/>
      <c r="RVD21" s="2867"/>
      <c r="RVE21" s="2866"/>
      <c r="RVF21" s="2827"/>
      <c r="RVG21" s="2867"/>
      <c r="RVH21" s="2866"/>
      <c r="RVI21" s="2827"/>
      <c r="RVJ21" s="2867"/>
      <c r="RVK21" s="2866"/>
      <c r="RVL21" s="2827"/>
      <c r="RVM21" s="2867"/>
      <c r="RVN21" s="2866"/>
      <c r="RVO21" s="2827"/>
      <c r="RVP21" s="2867"/>
      <c r="RVQ21" s="2866"/>
      <c r="RVR21" s="2827"/>
      <c r="RVS21" s="2867"/>
      <c r="RVT21" s="2866"/>
      <c r="RVU21" s="2827"/>
      <c r="RVV21" s="2867"/>
      <c r="RVW21" s="2866"/>
      <c r="RVX21" s="2827"/>
      <c r="RVY21" s="2867"/>
      <c r="RVZ21" s="2866"/>
      <c r="RWA21" s="2827"/>
      <c r="RWB21" s="2867"/>
      <c r="RWC21" s="2866"/>
      <c r="RWD21" s="2827"/>
      <c r="RWE21" s="2867"/>
      <c r="RWF21" s="2866"/>
      <c r="RWG21" s="2827"/>
      <c r="RWH21" s="2867"/>
      <c r="RWI21" s="2866"/>
      <c r="RWJ21" s="2827"/>
      <c r="RWK21" s="2867"/>
      <c r="RWL21" s="2866"/>
      <c r="RWM21" s="2827"/>
      <c r="RWN21" s="2867"/>
      <c r="RWO21" s="2866"/>
      <c r="RWP21" s="2827"/>
      <c r="RWQ21" s="2867"/>
      <c r="RWR21" s="2866"/>
      <c r="RWS21" s="2827"/>
      <c r="RWT21" s="2867"/>
      <c r="RWU21" s="2866"/>
      <c r="RWV21" s="2827"/>
      <c r="RWW21" s="2867"/>
      <c r="RWX21" s="2866"/>
      <c r="RWY21" s="2827"/>
      <c r="RWZ21" s="2867"/>
      <c r="RXA21" s="2866"/>
      <c r="RXB21" s="2827"/>
      <c r="RXC21" s="2867"/>
      <c r="RXD21" s="2866"/>
      <c r="RXE21" s="2827"/>
      <c r="RXF21" s="2867"/>
      <c r="RXG21" s="2866"/>
      <c r="RXH21" s="2827"/>
      <c r="RXI21" s="2867"/>
      <c r="RXJ21" s="2866"/>
      <c r="RXK21" s="2827"/>
      <c r="RXL21" s="2867"/>
      <c r="RXM21" s="2866"/>
      <c r="RXN21" s="2827"/>
      <c r="RXO21" s="2867"/>
      <c r="RXP21" s="2866"/>
      <c r="RXQ21" s="2827"/>
      <c r="RXR21" s="2867"/>
      <c r="RXS21" s="2866"/>
      <c r="RXT21" s="2827"/>
      <c r="RXU21" s="2867"/>
      <c r="RXV21" s="2866"/>
      <c r="RXW21" s="2827"/>
      <c r="RXX21" s="2867"/>
      <c r="RXY21" s="2866"/>
      <c r="RXZ21" s="2827"/>
      <c r="RYA21" s="2867"/>
      <c r="RYB21" s="2866"/>
      <c r="RYC21" s="2827"/>
      <c r="RYD21" s="2867"/>
      <c r="RYE21" s="2866"/>
      <c r="RYF21" s="2827"/>
      <c r="RYG21" s="2867"/>
      <c r="RYH21" s="2866"/>
      <c r="RYI21" s="2827"/>
      <c r="RYJ21" s="2867"/>
      <c r="RYK21" s="2866"/>
      <c r="RYL21" s="2827"/>
      <c r="RYM21" s="2867"/>
      <c r="RYN21" s="2866"/>
      <c r="RYO21" s="2827"/>
      <c r="RYP21" s="2867"/>
      <c r="RYQ21" s="2866"/>
      <c r="RYR21" s="2827"/>
      <c r="RYS21" s="2867"/>
      <c r="RYT21" s="2866"/>
      <c r="RYU21" s="2827"/>
      <c r="RYV21" s="2867"/>
      <c r="RYW21" s="2866"/>
      <c r="RYX21" s="2827"/>
      <c r="RYY21" s="2867"/>
      <c r="RYZ21" s="2866"/>
      <c r="RZA21" s="2827"/>
      <c r="RZB21" s="2867"/>
      <c r="RZC21" s="2866"/>
      <c r="RZD21" s="2827"/>
      <c r="RZE21" s="2867"/>
      <c r="RZF21" s="2866"/>
      <c r="RZG21" s="2827"/>
      <c r="RZH21" s="2867"/>
      <c r="RZI21" s="2866"/>
      <c r="RZJ21" s="2827"/>
      <c r="RZK21" s="2867"/>
      <c r="RZL21" s="2866"/>
      <c r="RZM21" s="2827"/>
      <c r="RZN21" s="2867"/>
      <c r="RZO21" s="2866"/>
      <c r="RZP21" s="2827"/>
      <c r="RZQ21" s="2867"/>
      <c r="RZR21" s="2866"/>
      <c r="RZS21" s="2827"/>
      <c r="RZT21" s="2867"/>
      <c r="RZU21" s="2866"/>
      <c r="RZV21" s="2827"/>
      <c r="RZW21" s="2867"/>
      <c r="RZX21" s="2866"/>
      <c r="RZY21" s="2827"/>
      <c r="RZZ21" s="2867"/>
      <c r="SAA21" s="2866"/>
      <c r="SAB21" s="2827"/>
      <c r="SAC21" s="2867"/>
      <c r="SAD21" s="2866"/>
      <c r="SAE21" s="2827"/>
      <c r="SAF21" s="2867"/>
      <c r="SAG21" s="2866"/>
      <c r="SAH21" s="2827"/>
      <c r="SAI21" s="2867"/>
      <c r="SAJ21" s="2866"/>
      <c r="SAK21" s="2827"/>
      <c r="SAL21" s="2867"/>
      <c r="SAM21" s="2866"/>
      <c r="SAN21" s="2827"/>
      <c r="SAO21" s="2867"/>
      <c r="SAP21" s="2866"/>
      <c r="SAQ21" s="2827"/>
      <c r="SAR21" s="2867"/>
      <c r="SAS21" s="2866"/>
      <c r="SAT21" s="2827"/>
      <c r="SAU21" s="2867"/>
      <c r="SAV21" s="2866"/>
      <c r="SAW21" s="2827"/>
      <c r="SAX21" s="2867"/>
      <c r="SAY21" s="2866"/>
      <c r="SAZ21" s="2827"/>
      <c r="SBA21" s="2867"/>
      <c r="SBB21" s="2866"/>
      <c r="SBC21" s="2827"/>
      <c r="SBD21" s="2867"/>
      <c r="SBE21" s="2866"/>
      <c r="SBF21" s="2827"/>
      <c r="SBG21" s="2867"/>
      <c r="SBH21" s="2866"/>
      <c r="SBI21" s="2827"/>
      <c r="SBJ21" s="2867"/>
      <c r="SBK21" s="2866"/>
      <c r="SBL21" s="2827"/>
      <c r="SBM21" s="2867"/>
      <c r="SBN21" s="2866"/>
      <c r="SBO21" s="2827"/>
      <c r="SBP21" s="2867"/>
      <c r="SBQ21" s="2866"/>
      <c r="SBR21" s="2827"/>
      <c r="SBS21" s="2867"/>
      <c r="SBT21" s="2866"/>
      <c r="SBU21" s="2827"/>
      <c r="SBV21" s="2867"/>
      <c r="SBW21" s="2866"/>
      <c r="SBX21" s="2827"/>
      <c r="SBY21" s="2867"/>
      <c r="SBZ21" s="2866"/>
      <c r="SCA21" s="2827"/>
      <c r="SCB21" s="2867"/>
      <c r="SCC21" s="2866"/>
      <c r="SCD21" s="2827"/>
      <c r="SCE21" s="2867"/>
      <c r="SCF21" s="2866"/>
      <c r="SCG21" s="2827"/>
      <c r="SCH21" s="2867"/>
      <c r="SCI21" s="2866"/>
      <c r="SCJ21" s="2827"/>
      <c r="SCK21" s="2867"/>
      <c r="SCL21" s="2866"/>
      <c r="SCM21" s="2827"/>
      <c r="SCN21" s="2867"/>
      <c r="SCO21" s="2866"/>
      <c r="SCP21" s="2827"/>
      <c r="SCQ21" s="2867"/>
      <c r="SCR21" s="2866"/>
      <c r="SCS21" s="2827"/>
      <c r="SCT21" s="2867"/>
      <c r="SCU21" s="2866"/>
      <c r="SCV21" s="2827"/>
      <c r="SCW21" s="2867"/>
      <c r="SCX21" s="2866"/>
      <c r="SCY21" s="2827"/>
      <c r="SCZ21" s="2867"/>
      <c r="SDA21" s="2866"/>
      <c r="SDB21" s="2827"/>
      <c r="SDC21" s="2867"/>
      <c r="SDD21" s="2866"/>
      <c r="SDE21" s="2827"/>
      <c r="SDF21" s="2867"/>
      <c r="SDG21" s="2866"/>
      <c r="SDH21" s="2827"/>
      <c r="SDI21" s="2867"/>
      <c r="SDJ21" s="2866"/>
      <c r="SDK21" s="2827"/>
      <c r="SDL21" s="2867"/>
      <c r="SDM21" s="2866"/>
      <c r="SDN21" s="2827"/>
      <c r="SDO21" s="2867"/>
      <c r="SDP21" s="2866"/>
      <c r="SDQ21" s="2827"/>
      <c r="SDR21" s="2867"/>
      <c r="SDS21" s="2866"/>
      <c r="SDT21" s="2827"/>
      <c r="SDU21" s="2867"/>
      <c r="SDV21" s="2866"/>
      <c r="SDW21" s="2827"/>
      <c r="SDX21" s="2867"/>
      <c r="SDY21" s="2866"/>
      <c r="SDZ21" s="2827"/>
      <c r="SEA21" s="2867"/>
      <c r="SEB21" s="2866"/>
      <c r="SEC21" s="2827"/>
      <c r="SED21" s="2867"/>
      <c r="SEE21" s="2866"/>
      <c r="SEF21" s="2827"/>
      <c r="SEG21" s="2867"/>
      <c r="SEH21" s="2866"/>
      <c r="SEI21" s="2827"/>
      <c r="SEJ21" s="2867"/>
      <c r="SEK21" s="2866"/>
      <c r="SEL21" s="2827"/>
      <c r="SEM21" s="2867"/>
      <c r="SEN21" s="2866"/>
      <c r="SEO21" s="2827"/>
      <c r="SEP21" s="2867"/>
      <c r="SEQ21" s="2866"/>
      <c r="SER21" s="2827"/>
      <c r="SES21" s="2867"/>
      <c r="SET21" s="2866"/>
      <c r="SEU21" s="2827"/>
      <c r="SEV21" s="2867"/>
      <c r="SEW21" s="2866"/>
      <c r="SEX21" s="2827"/>
      <c r="SEY21" s="2867"/>
      <c r="SEZ21" s="2866"/>
      <c r="SFA21" s="2827"/>
      <c r="SFB21" s="2867"/>
      <c r="SFC21" s="2866"/>
      <c r="SFD21" s="2827"/>
      <c r="SFE21" s="2867"/>
      <c r="SFF21" s="2866"/>
      <c r="SFG21" s="2827"/>
      <c r="SFH21" s="2867"/>
      <c r="SFI21" s="2866"/>
      <c r="SFJ21" s="2827"/>
      <c r="SFK21" s="2867"/>
      <c r="SFL21" s="2866"/>
      <c r="SFM21" s="2827"/>
      <c r="SFN21" s="2867"/>
      <c r="SFO21" s="2866"/>
      <c r="SFP21" s="2827"/>
      <c r="SFQ21" s="2867"/>
      <c r="SFR21" s="2866"/>
      <c r="SFS21" s="2827"/>
      <c r="SFT21" s="2867"/>
      <c r="SFU21" s="2866"/>
      <c r="SFV21" s="2827"/>
      <c r="SFW21" s="2867"/>
      <c r="SFX21" s="2866"/>
      <c r="SFY21" s="2827"/>
      <c r="SFZ21" s="2867"/>
      <c r="SGA21" s="2866"/>
      <c r="SGB21" s="2827"/>
      <c r="SGC21" s="2867"/>
      <c r="SGD21" s="2866"/>
      <c r="SGE21" s="2827"/>
      <c r="SGF21" s="2867"/>
      <c r="SGG21" s="2866"/>
      <c r="SGH21" s="2827"/>
      <c r="SGI21" s="2867"/>
      <c r="SGJ21" s="2866"/>
      <c r="SGK21" s="2827"/>
      <c r="SGL21" s="2867"/>
      <c r="SGM21" s="2866"/>
      <c r="SGN21" s="2827"/>
      <c r="SGO21" s="2867"/>
      <c r="SGP21" s="2866"/>
      <c r="SGQ21" s="2827"/>
      <c r="SGR21" s="2867"/>
      <c r="SGS21" s="2866"/>
      <c r="SGT21" s="2827"/>
      <c r="SGU21" s="2867"/>
      <c r="SGV21" s="2866"/>
      <c r="SGW21" s="2827"/>
      <c r="SGX21" s="2867"/>
      <c r="SGY21" s="2866"/>
      <c r="SGZ21" s="2827"/>
      <c r="SHA21" s="2867"/>
      <c r="SHB21" s="2866"/>
      <c r="SHC21" s="2827"/>
      <c r="SHD21" s="2867"/>
      <c r="SHE21" s="2866"/>
      <c r="SHF21" s="2827"/>
      <c r="SHG21" s="2867"/>
      <c r="SHH21" s="2866"/>
      <c r="SHI21" s="2827"/>
      <c r="SHJ21" s="2867"/>
      <c r="SHK21" s="2866"/>
      <c r="SHL21" s="2827"/>
      <c r="SHM21" s="2867"/>
      <c r="SHN21" s="2866"/>
      <c r="SHO21" s="2827"/>
      <c r="SHP21" s="2867"/>
      <c r="SHQ21" s="2866"/>
      <c r="SHR21" s="2827"/>
      <c r="SHS21" s="2867"/>
      <c r="SHT21" s="2866"/>
      <c r="SHU21" s="2827"/>
      <c r="SHV21" s="2867"/>
      <c r="SHW21" s="2866"/>
      <c r="SHX21" s="2827"/>
      <c r="SHY21" s="2867"/>
      <c r="SHZ21" s="2866"/>
      <c r="SIA21" s="2827"/>
      <c r="SIB21" s="2867"/>
      <c r="SIC21" s="2866"/>
      <c r="SID21" s="2827"/>
      <c r="SIE21" s="2867"/>
      <c r="SIF21" s="2866"/>
      <c r="SIG21" s="2827"/>
      <c r="SIH21" s="2867"/>
      <c r="SII21" s="2866"/>
      <c r="SIJ21" s="2827"/>
      <c r="SIK21" s="2867"/>
      <c r="SIL21" s="2866"/>
      <c r="SIM21" s="2827"/>
      <c r="SIN21" s="2867"/>
      <c r="SIO21" s="2866"/>
      <c r="SIP21" s="2827"/>
      <c r="SIQ21" s="2867"/>
      <c r="SIR21" s="2866"/>
      <c r="SIS21" s="2827"/>
      <c r="SIT21" s="2867"/>
      <c r="SIU21" s="2866"/>
      <c r="SIV21" s="2827"/>
      <c r="SIW21" s="2867"/>
      <c r="SIX21" s="2866"/>
      <c r="SIY21" s="2827"/>
      <c r="SIZ21" s="2867"/>
      <c r="SJA21" s="2866"/>
      <c r="SJB21" s="2827"/>
      <c r="SJC21" s="2867"/>
      <c r="SJD21" s="2866"/>
      <c r="SJE21" s="2827"/>
      <c r="SJF21" s="2867"/>
      <c r="SJG21" s="2866"/>
      <c r="SJH21" s="2827"/>
      <c r="SJI21" s="2867"/>
      <c r="SJJ21" s="2866"/>
      <c r="SJK21" s="2827"/>
      <c r="SJL21" s="2867"/>
      <c r="SJM21" s="2866"/>
      <c r="SJN21" s="2827"/>
      <c r="SJO21" s="2867"/>
      <c r="SJP21" s="2866"/>
      <c r="SJQ21" s="2827"/>
      <c r="SJR21" s="2867"/>
      <c r="SJS21" s="2866"/>
      <c r="SJT21" s="2827"/>
      <c r="SJU21" s="2867"/>
      <c r="SJV21" s="2866"/>
      <c r="SJW21" s="2827"/>
      <c r="SJX21" s="2867"/>
      <c r="SJY21" s="2866"/>
      <c r="SJZ21" s="2827"/>
      <c r="SKA21" s="2867"/>
      <c r="SKB21" s="2866"/>
      <c r="SKC21" s="2827"/>
      <c r="SKD21" s="2867"/>
      <c r="SKE21" s="2866"/>
      <c r="SKF21" s="2827"/>
      <c r="SKG21" s="2867"/>
      <c r="SKH21" s="2866"/>
      <c r="SKI21" s="2827"/>
      <c r="SKJ21" s="2867"/>
      <c r="SKK21" s="2866"/>
      <c r="SKL21" s="2827"/>
      <c r="SKM21" s="2867"/>
      <c r="SKN21" s="2866"/>
      <c r="SKO21" s="2827"/>
      <c r="SKP21" s="2867"/>
      <c r="SKQ21" s="2866"/>
      <c r="SKR21" s="2827"/>
      <c r="SKS21" s="2867"/>
      <c r="SKT21" s="2866"/>
      <c r="SKU21" s="2827"/>
      <c r="SKV21" s="2867"/>
      <c r="SKW21" s="2866"/>
      <c r="SKX21" s="2827"/>
      <c r="SKY21" s="2867"/>
      <c r="SKZ21" s="2866"/>
      <c r="SLA21" s="2827"/>
      <c r="SLB21" s="2867"/>
      <c r="SLC21" s="2866"/>
      <c r="SLD21" s="2827"/>
      <c r="SLE21" s="2867"/>
      <c r="SLF21" s="2866"/>
      <c r="SLG21" s="2827"/>
      <c r="SLH21" s="2867"/>
      <c r="SLI21" s="2866"/>
      <c r="SLJ21" s="2827"/>
      <c r="SLK21" s="2867"/>
      <c r="SLL21" s="2866"/>
      <c r="SLM21" s="2827"/>
      <c r="SLN21" s="2867"/>
      <c r="SLO21" s="2866"/>
      <c r="SLP21" s="2827"/>
      <c r="SLQ21" s="2867"/>
      <c r="SLR21" s="2866"/>
      <c r="SLS21" s="2827"/>
      <c r="SLT21" s="2867"/>
      <c r="SLU21" s="2866"/>
      <c r="SLV21" s="2827"/>
      <c r="SLW21" s="2867"/>
      <c r="SLX21" s="2866"/>
      <c r="SLY21" s="2827"/>
      <c r="SLZ21" s="2867"/>
      <c r="SMA21" s="2866"/>
      <c r="SMB21" s="2827"/>
      <c r="SMC21" s="2867"/>
      <c r="SMD21" s="2866"/>
      <c r="SME21" s="2827"/>
      <c r="SMF21" s="2867"/>
      <c r="SMG21" s="2866"/>
      <c r="SMH21" s="2827"/>
      <c r="SMI21" s="2867"/>
      <c r="SMJ21" s="2866"/>
      <c r="SMK21" s="2827"/>
      <c r="SML21" s="2867"/>
      <c r="SMM21" s="2866"/>
      <c r="SMN21" s="2827"/>
      <c r="SMO21" s="2867"/>
      <c r="SMP21" s="2866"/>
      <c r="SMQ21" s="2827"/>
      <c r="SMR21" s="2867"/>
      <c r="SMS21" s="2866"/>
      <c r="SMT21" s="2827"/>
      <c r="SMU21" s="2867"/>
      <c r="SMV21" s="2866"/>
      <c r="SMW21" s="2827"/>
      <c r="SMX21" s="2867"/>
      <c r="SMY21" s="2866"/>
      <c r="SMZ21" s="2827"/>
      <c r="SNA21" s="2867"/>
      <c r="SNB21" s="2866"/>
      <c r="SNC21" s="2827"/>
      <c r="SND21" s="2867"/>
      <c r="SNE21" s="2866"/>
      <c r="SNF21" s="2827"/>
      <c r="SNG21" s="2867"/>
      <c r="SNH21" s="2866"/>
      <c r="SNI21" s="2827"/>
      <c r="SNJ21" s="2867"/>
      <c r="SNK21" s="2866"/>
      <c r="SNL21" s="2827"/>
      <c r="SNM21" s="2867"/>
      <c r="SNN21" s="2866"/>
      <c r="SNO21" s="2827"/>
      <c r="SNP21" s="2867"/>
      <c r="SNQ21" s="2866"/>
      <c r="SNR21" s="2827"/>
      <c r="SNS21" s="2867"/>
      <c r="SNT21" s="2866"/>
      <c r="SNU21" s="2827"/>
      <c r="SNV21" s="2867"/>
      <c r="SNW21" s="2866"/>
      <c r="SNX21" s="2827"/>
      <c r="SNY21" s="2867"/>
      <c r="SNZ21" s="2866"/>
      <c r="SOA21" s="2827"/>
      <c r="SOB21" s="2867"/>
      <c r="SOC21" s="2866"/>
      <c r="SOD21" s="2827"/>
      <c r="SOE21" s="2867"/>
      <c r="SOF21" s="2866"/>
      <c r="SOG21" s="2827"/>
      <c r="SOH21" s="2867"/>
      <c r="SOI21" s="2866"/>
      <c r="SOJ21" s="2827"/>
      <c r="SOK21" s="2867"/>
      <c r="SOL21" s="2866"/>
      <c r="SOM21" s="2827"/>
      <c r="SON21" s="2867"/>
      <c r="SOO21" s="2866"/>
      <c r="SOP21" s="2827"/>
      <c r="SOQ21" s="2867"/>
      <c r="SOR21" s="2866"/>
      <c r="SOS21" s="2827"/>
      <c r="SOT21" s="2867"/>
      <c r="SOU21" s="2866"/>
      <c r="SOV21" s="2827"/>
      <c r="SOW21" s="2867"/>
      <c r="SOX21" s="2866"/>
      <c r="SOY21" s="2827"/>
      <c r="SOZ21" s="2867"/>
      <c r="SPA21" s="2866"/>
      <c r="SPB21" s="2827"/>
      <c r="SPC21" s="2867"/>
      <c r="SPD21" s="2866"/>
      <c r="SPE21" s="2827"/>
      <c r="SPF21" s="2867"/>
      <c r="SPG21" s="2866"/>
      <c r="SPH21" s="2827"/>
      <c r="SPI21" s="2867"/>
      <c r="SPJ21" s="2866"/>
      <c r="SPK21" s="2827"/>
      <c r="SPL21" s="2867"/>
      <c r="SPM21" s="2866"/>
      <c r="SPN21" s="2827"/>
      <c r="SPO21" s="2867"/>
      <c r="SPP21" s="2866"/>
      <c r="SPQ21" s="2827"/>
      <c r="SPR21" s="2867"/>
      <c r="SPS21" s="2866"/>
      <c r="SPT21" s="2827"/>
      <c r="SPU21" s="2867"/>
      <c r="SPV21" s="2866"/>
      <c r="SPW21" s="2827"/>
      <c r="SPX21" s="2867"/>
      <c r="SPY21" s="2866"/>
      <c r="SPZ21" s="2827"/>
      <c r="SQA21" s="2867"/>
      <c r="SQB21" s="2866"/>
      <c r="SQC21" s="2827"/>
      <c r="SQD21" s="2867"/>
      <c r="SQE21" s="2866"/>
      <c r="SQF21" s="2827"/>
      <c r="SQG21" s="2867"/>
      <c r="SQH21" s="2866"/>
      <c r="SQI21" s="2827"/>
      <c r="SQJ21" s="2867"/>
      <c r="SQK21" s="2866"/>
      <c r="SQL21" s="2827"/>
      <c r="SQM21" s="2867"/>
      <c r="SQN21" s="2866"/>
      <c r="SQO21" s="2827"/>
      <c r="SQP21" s="2867"/>
      <c r="SQQ21" s="2866"/>
      <c r="SQR21" s="2827"/>
      <c r="SQS21" s="2867"/>
      <c r="SQT21" s="2866"/>
      <c r="SQU21" s="2827"/>
      <c r="SQV21" s="2867"/>
      <c r="SQW21" s="2866"/>
      <c r="SQX21" s="2827"/>
      <c r="SQY21" s="2867"/>
      <c r="SQZ21" s="2866"/>
      <c r="SRA21" s="2827"/>
      <c r="SRB21" s="2867"/>
      <c r="SRC21" s="2866"/>
      <c r="SRD21" s="2827"/>
      <c r="SRE21" s="2867"/>
      <c r="SRF21" s="2866"/>
      <c r="SRG21" s="2827"/>
      <c r="SRH21" s="2867"/>
      <c r="SRI21" s="2866"/>
      <c r="SRJ21" s="2827"/>
      <c r="SRK21" s="2867"/>
      <c r="SRL21" s="2866"/>
      <c r="SRM21" s="2827"/>
      <c r="SRN21" s="2867"/>
      <c r="SRO21" s="2866"/>
      <c r="SRP21" s="2827"/>
      <c r="SRQ21" s="2867"/>
      <c r="SRR21" s="2866"/>
      <c r="SRS21" s="2827"/>
      <c r="SRT21" s="2867"/>
      <c r="SRU21" s="2866"/>
      <c r="SRV21" s="2827"/>
      <c r="SRW21" s="2867"/>
      <c r="SRX21" s="2866"/>
      <c r="SRY21" s="2827"/>
      <c r="SRZ21" s="2867"/>
      <c r="SSA21" s="2866"/>
      <c r="SSB21" s="2827"/>
      <c r="SSC21" s="2867"/>
      <c r="SSD21" s="2866"/>
      <c r="SSE21" s="2827"/>
      <c r="SSF21" s="2867"/>
      <c r="SSG21" s="2866"/>
      <c r="SSH21" s="2827"/>
      <c r="SSI21" s="2867"/>
      <c r="SSJ21" s="2866"/>
      <c r="SSK21" s="2827"/>
      <c r="SSL21" s="2867"/>
      <c r="SSM21" s="2866"/>
      <c r="SSN21" s="2827"/>
      <c r="SSO21" s="2867"/>
      <c r="SSP21" s="2866"/>
      <c r="SSQ21" s="2827"/>
      <c r="SSR21" s="2867"/>
      <c r="SSS21" s="2866"/>
      <c r="SST21" s="2827"/>
      <c r="SSU21" s="2867"/>
      <c r="SSV21" s="2866"/>
      <c r="SSW21" s="2827"/>
      <c r="SSX21" s="2867"/>
      <c r="SSY21" s="2866"/>
      <c r="SSZ21" s="2827"/>
      <c r="STA21" s="2867"/>
      <c r="STB21" s="2866"/>
      <c r="STC21" s="2827"/>
      <c r="STD21" s="2867"/>
      <c r="STE21" s="2866"/>
      <c r="STF21" s="2827"/>
      <c r="STG21" s="2867"/>
      <c r="STH21" s="2866"/>
      <c r="STI21" s="2827"/>
      <c r="STJ21" s="2867"/>
      <c r="STK21" s="2866"/>
      <c r="STL21" s="2827"/>
      <c r="STM21" s="2867"/>
      <c r="STN21" s="2866"/>
      <c r="STO21" s="2827"/>
      <c r="STP21" s="2867"/>
      <c r="STQ21" s="2866"/>
      <c r="STR21" s="2827"/>
      <c r="STS21" s="2867"/>
      <c r="STT21" s="2866"/>
      <c r="STU21" s="2827"/>
      <c r="STV21" s="2867"/>
      <c r="STW21" s="2866"/>
      <c r="STX21" s="2827"/>
      <c r="STY21" s="2867"/>
      <c r="STZ21" s="2866"/>
      <c r="SUA21" s="2827"/>
      <c r="SUB21" s="2867"/>
      <c r="SUC21" s="2866"/>
      <c r="SUD21" s="2827"/>
      <c r="SUE21" s="2867"/>
      <c r="SUF21" s="2866"/>
      <c r="SUG21" s="2827"/>
      <c r="SUH21" s="2867"/>
      <c r="SUI21" s="2866"/>
      <c r="SUJ21" s="2827"/>
      <c r="SUK21" s="2867"/>
      <c r="SUL21" s="2866"/>
      <c r="SUM21" s="2827"/>
      <c r="SUN21" s="2867"/>
      <c r="SUO21" s="2866"/>
      <c r="SUP21" s="2827"/>
      <c r="SUQ21" s="2867"/>
      <c r="SUR21" s="2866"/>
      <c r="SUS21" s="2827"/>
      <c r="SUT21" s="2867"/>
      <c r="SUU21" s="2866"/>
      <c r="SUV21" s="2827"/>
      <c r="SUW21" s="2867"/>
      <c r="SUX21" s="2866"/>
      <c r="SUY21" s="2827"/>
      <c r="SUZ21" s="2867"/>
      <c r="SVA21" s="2866"/>
      <c r="SVB21" s="2827"/>
      <c r="SVC21" s="2867"/>
      <c r="SVD21" s="2866"/>
      <c r="SVE21" s="2827"/>
      <c r="SVF21" s="2867"/>
      <c r="SVG21" s="2866"/>
      <c r="SVH21" s="2827"/>
      <c r="SVI21" s="2867"/>
      <c r="SVJ21" s="2866"/>
      <c r="SVK21" s="2827"/>
      <c r="SVL21" s="2867"/>
      <c r="SVM21" s="2866"/>
      <c r="SVN21" s="2827"/>
      <c r="SVO21" s="2867"/>
      <c r="SVP21" s="2866"/>
      <c r="SVQ21" s="2827"/>
      <c r="SVR21" s="2867"/>
      <c r="SVS21" s="2866"/>
      <c r="SVT21" s="2827"/>
      <c r="SVU21" s="2867"/>
      <c r="SVV21" s="2866"/>
      <c r="SVW21" s="2827"/>
      <c r="SVX21" s="2867"/>
      <c r="SVY21" s="2866"/>
      <c r="SVZ21" s="2827"/>
      <c r="SWA21" s="2867"/>
      <c r="SWB21" s="2866"/>
      <c r="SWC21" s="2827"/>
      <c r="SWD21" s="2867"/>
      <c r="SWE21" s="2866"/>
      <c r="SWF21" s="2827"/>
      <c r="SWG21" s="2867"/>
      <c r="SWH21" s="2866"/>
      <c r="SWI21" s="2827"/>
      <c r="SWJ21" s="2867"/>
      <c r="SWK21" s="2866"/>
      <c r="SWL21" s="2827"/>
      <c r="SWM21" s="2867"/>
      <c r="SWN21" s="2866"/>
      <c r="SWO21" s="2827"/>
      <c r="SWP21" s="2867"/>
      <c r="SWQ21" s="2866"/>
      <c r="SWR21" s="2827"/>
      <c r="SWS21" s="2867"/>
      <c r="SWT21" s="2866"/>
      <c r="SWU21" s="2827"/>
      <c r="SWV21" s="2867"/>
      <c r="SWW21" s="2866"/>
      <c r="SWX21" s="2827"/>
      <c r="SWY21" s="2867"/>
      <c r="SWZ21" s="2866"/>
      <c r="SXA21" s="2827"/>
      <c r="SXB21" s="2867"/>
      <c r="SXC21" s="2866"/>
      <c r="SXD21" s="2827"/>
      <c r="SXE21" s="2867"/>
      <c r="SXF21" s="2866"/>
      <c r="SXG21" s="2827"/>
      <c r="SXH21" s="2867"/>
      <c r="SXI21" s="2866"/>
      <c r="SXJ21" s="2827"/>
      <c r="SXK21" s="2867"/>
      <c r="SXL21" s="2866"/>
      <c r="SXM21" s="2827"/>
      <c r="SXN21" s="2867"/>
      <c r="SXO21" s="2866"/>
      <c r="SXP21" s="2827"/>
      <c r="SXQ21" s="2867"/>
      <c r="SXR21" s="2866"/>
      <c r="SXS21" s="2827"/>
      <c r="SXT21" s="2867"/>
      <c r="SXU21" s="2866"/>
      <c r="SXV21" s="2827"/>
      <c r="SXW21" s="2867"/>
      <c r="SXX21" s="2866"/>
      <c r="SXY21" s="2827"/>
      <c r="SXZ21" s="2867"/>
      <c r="SYA21" s="2866"/>
      <c r="SYB21" s="2827"/>
      <c r="SYC21" s="2867"/>
      <c r="SYD21" s="2866"/>
      <c r="SYE21" s="2827"/>
      <c r="SYF21" s="2867"/>
      <c r="SYG21" s="2866"/>
      <c r="SYH21" s="2827"/>
      <c r="SYI21" s="2867"/>
      <c r="SYJ21" s="2866"/>
      <c r="SYK21" s="2827"/>
      <c r="SYL21" s="2867"/>
      <c r="SYM21" s="2866"/>
      <c r="SYN21" s="2827"/>
      <c r="SYO21" s="2867"/>
      <c r="SYP21" s="2866"/>
      <c r="SYQ21" s="2827"/>
      <c r="SYR21" s="2867"/>
      <c r="SYS21" s="2866"/>
      <c r="SYT21" s="2827"/>
      <c r="SYU21" s="2867"/>
      <c r="SYV21" s="2866"/>
      <c r="SYW21" s="2827"/>
      <c r="SYX21" s="2867"/>
      <c r="SYY21" s="2866"/>
      <c r="SYZ21" s="2827"/>
      <c r="SZA21" s="2867"/>
      <c r="SZB21" s="2866"/>
      <c r="SZC21" s="2827"/>
      <c r="SZD21" s="2867"/>
      <c r="SZE21" s="2866"/>
      <c r="SZF21" s="2827"/>
      <c r="SZG21" s="2867"/>
      <c r="SZH21" s="2866"/>
      <c r="SZI21" s="2827"/>
      <c r="SZJ21" s="2867"/>
      <c r="SZK21" s="2866"/>
      <c r="SZL21" s="2827"/>
      <c r="SZM21" s="2867"/>
      <c r="SZN21" s="2866"/>
      <c r="SZO21" s="2827"/>
      <c r="SZP21" s="2867"/>
      <c r="SZQ21" s="2866"/>
      <c r="SZR21" s="2827"/>
      <c r="SZS21" s="2867"/>
      <c r="SZT21" s="2866"/>
      <c r="SZU21" s="2827"/>
      <c r="SZV21" s="2867"/>
      <c r="SZW21" s="2866"/>
      <c r="SZX21" s="2827"/>
      <c r="SZY21" s="2867"/>
      <c r="SZZ21" s="2866"/>
      <c r="TAA21" s="2827"/>
      <c r="TAB21" s="2867"/>
      <c r="TAC21" s="2866"/>
      <c r="TAD21" s="2827"/>
      <c r="TAE21" s="2867"/>
      <c r="TAF21" s="2866"/>
      <c r="TAG21" s="2827"/>
      <c r="TAH21" s="2867"/>
      <c r="TAI21" s="2866"/>
      <c r="TAJ21" s="2827"/>
      <c r="TAK21" s="2867"/>
      <c r="TAL21" s="2866"/>
      <c r="TAM21" s="2827"/>
      <c r="TAN21" s="2867"/>
      <c r="TAO21" s="2866"/>
      <c r="TAP21" s="2827"/>
      <c r="TAQ21" s="2867"/>
      <c r="TAR21" s="2866"/>
      <c r="TAS21" s="2827"/>
      <c r="TAT21" s="2867"/>
      <c r="TAU21" s="2866"/>
      <c r="TAV21" s="2827"/>
      <c r="TAW21" s="2867"/>
      <c r="TAX21" s="2866"/>
      <c r="TAY21" s="2827"/>
      <c r="TAZ21" s="2867"/>
      <c r="TBA21" s="2866"/>
      <c r="TBB21" s="2827"/>
      <c r="TBC21" s="2867"/>
      <c r="TBD21" s="2866"/>
      <c r="TBE21" s="2827"/>
      <c r="TBF21" s="2867"/>
      <c r="TBG21" s="2866"/>
      <c r="TBH21" s="2827"/>
      <c r="TBI21" s="2867"/>
      <c r="TBJ21" s="2866"/>
      <c r="TBK21" s="2827"/>
      <c r="TBL21" s="2867"/>
      <c r="TBM21" s="2866"/>
      <c r="TBN21" s="2827"/>
      <c r="TBO21" s="2867"/>
      <c r="TBP21" s="2866"/>
      <c r="TBQ21" s="2827"/>
      <c r="TBR21" s="2867"/>
      <c r="TBS21" s="2866"/>
      <c r="TBT21" s="2827"/>
      <c r="TBU21" s="2867"/>
      <c r="TBV21" s="2866"/>
      <c r="TBW21" s="2827"/>
      <c r="TBX21" s="2867"/>
      <c r="TBY21" s="2866"/>
      <c r="TBZ21" s="2827"/>
      <c r="TCA21" s="2867"/>
      <c r="TCB21" s="2866"/>
      <c r="TCC21" s="2827"/>
      <c r="TCD21" s="2867"/>
      <c r="TCE21" s="2866"/>
      <c r="TCF21" s="2827"/>
      <c r="TCG21" s="2867"/>
      <c r="TCH21" s="2866"/>
      <c r="TCI21" s="2827"/>
      <c r="TCJ21" s="2867"/>
      <c r="TCK21" s="2866"/>
      <c r="TCL21" s="2827"/>
      <c r="TCM21" s="2867"/>
      <c r="TCN21" s="2866"/>
      <c r="TCO21" s="2827"/>
      <c r="TCP21" s="2867"/>
      <c r="TCQ21" s="2866"/>
      <c r="TCR21" s="2827"/>
      <c r="TCS21" s="2867"/>
      <c r="TCT21" s="2866"/>
      <c r="TCU21" s="2827"/>
      <c r="TCV21" s="2867"/>
      <c r="TCW21" s="2866"/>
      <c r="TCX21" s="2827"/>
      <c r="TCY21" s="2867"/>
      <c r="TCZ21" s="2866"/>
      <c r="TDA21" s="2827"/>
      <c r="TDB21" s="2867"/>
      <c r="TDC21" s="2866"/>
      <c r="TDD21" s="2827"/>
      <c r="TDE21" s="2867"/>
      <c r="TDF21" s="2866"/>
      <c r="TDG21" s="2827"/>
      <c r="TDH21" s="2867"/>
      <c r="TDI21" s="2866"/>
      <c r="TDJ21" s="2827"/>
      <c r="TDK21" s="2867"/>
      <c r="TDL21" s="2866"/>
      <c r="TDM21" s="2827"/>
      <c r="TDN21" s="2867"/>
      <c r="TDO21" s="2866"/>
      <c r="TDP21" s="2827"/>
      <c r="TDQ21" s="2867"/>
      <c r="TDR21" s="2866"/>
      <c r="TDS21" s="2827"/>
      <c r="TDT21" s="2867"/>
      <c r="TDU21" s="2866"/>
      <c r="TDV21" s="2827"/>
      <c r="TDW21" s="2867"/>
      <c r="TDX21" s="2866"/>
      <c r="TDY21" s="2827"/>
      <c r="TDZ21" s="2867"/>
      <c r="TEA21" s="2866"/>
      <c r="TEB21" s="2827"/>
      <c r="TEC21" s="2867"/>
      <c r="TED21" s="2866"/>
      <c r="TEE21" s="2827"/>
      <c r="TEF21" s="2867"/>
      <c r="TEG21" s="2866"/>
      <c r="TEH21" s="2827"/>
      <c r="TEI21" s="2867"/>
      <c r="TEJ21" s="2866"/>
      <c r="TEK21" s="2827"/>
      <c r="TEL21" s="2867"/>
      <c r="TEM21" s="2866"/>
      <c r="TEN21" s="2827"/>
      <c r="TEO21" s="2867"/>
      <c r="TEP21" s="2866"/>
      <c r="TEQ21" s="2827"/>
      <c r="TER21" s="2867"/>
      <c r="TES21" s="2866"/>
      <c r="TET21" s="2827"/>
      <c r="TEU21" s="2867"/>
      <c r="TEV21" s="2866"/>
      <c r="TEW21" s="2827"/>
      <c r="TEX21" s="2867"/>
      <c r="TEY21" s="2866"/>
      <c r="TEZ21" s="2827"/>
      <c r="TFA21" s="2867"/>
      <c r="TFB21" s="2866"/>
      <c r="TFC21" s="2827"/>
      <c r="TFD21" s="2867"/>
      <c r="TFE21" s="2866"/>
      <c r="TFF21" s="2827"/>
      <c r="TFG21" s="2867"/>
      <c r="TFH21" s="2866"/>
      <c r="TFI21" s="2827"/>
      <c r="TFJ21" s="2867"/>
      <c r="TFK21" s="2866"/>
      <c r="TFL21" s="2827"/>
      <c r="TFM21" s="2867"/>
      <c r="TFN21" s="2866"/>
      <c r="TFO21" s="2827"/>
      <c r="TFP21" s="2867"/>
      <c r="TFQ21" s="2866"/>
      <c r="TFR21" s="2827"/>
      <c r="TFS21" s="2867"/>
      <c r="TFT21" s="2866"/>
      <c r="TFU21" s="2827"/>
      <c r="TFV21" s="2867"/>
      <c r="TFW21" s="2866"/>
      <c r="TFX21" s="2827"/>
      <c r="TFY21" s="2867"/>
      <c r="TFZ21" s="2866"/>
      <c r="TGA21" s="2827"/>
      <c r="TGB21" s="2867"/>
      <c r="TGC21" s="2866"/>
      <c r="TGD21" s="2827"/>
      <c r="TGE21" s="2867"/>
      <c r="TGF21" s="2866"/>
      <c r="TGG21" s="2827"/>
      <c r="TGH21" s="2867"/>
      <c r="TGI21" s="2866"/>
      <c r="TGJ21" s="2827"/>
      <c r="TGK21" s="2867"/>
      <c r="TGL21" s="2866"/>
      <c r="TGM21" s="2827"/>
      <c r="TGN21" s="2867"/>
      <c r="TGO21" s="2866"/>
      <c r="TGP21" s="2827"/>
      <c r="TGQ21" s="2867"/>
      <c r="TGR21" s="2866"/>
      <c r="TGS21" s="2827"/>
      <c r="TGT21" s="2867"/>
      <c r="TGU21" s="2866"/>
      <c r="TGV21" s="2827"/>
      <c r="TGW21" s="2867"/>
      <c r="TGX21" s="2866"/>
      <c r="TGY21" s="2827"/>
      <c r="TGZ21" s="2867"/>
      <c r="THA21" s="2866"/>
      <c r="THB21" s="2827"/>
      <c r="THC21" s="2867"/>
      <c r="THD21" s="2866"/>
      <c r="THE21" s="2827"/>
      <c r="THF21" s="2867"/>
      <c r="THG21" s="2866"/>
      <c r="THH21" s="2827"/>
      <c r="THI21" s="2867"/>
      <c r="THJ21" s="2866"/>
      <c r="THK21" s="2827"/>
      <c r="THL21" s="2867"/>
      <c r="THM21" s="2866"/>
      <c r="THN21" s="2827"/>
      <c r="THO21" s="2867"/>
      <c r="THP21" s="2866"/>
      <c r="THQ21" s="2827"/>
      <c r="THR21" s="2867"/>
      <c r="THS21" s="2866"/>
      <c r="THT21" s="2827"/>
      <c r="THU21" s="2867"/>
      <c r="THV21" s="2866"/>
      <c r="THW21" s="2827"/>
      <c r="THX21" s="2867"/>
      <c r="THY21" s="2866"/>
      <c r="THZ21" s="2827"/>
      <c r="TIA21" s="2867"/>
      <c r="TIB21" s="2866"/>
      <c r="TIC21" s="2827"/>
      <c r="TID21" s="2867"/>
      <c r="TIE21" s="2866"/>
      <c r="TIF21" s="2827"/>
      <c r="TIG21" s="2867"/>
      <c r="TIH21" s="2866"/>
      <c r="TII21" s="2827"/>
      <c r="TIJ21" s="2867"/>
      <c r="TIK21" s="2866"/>
      <c r="TIL21" s="2827"/>
      <c r="TIM21" s="2867"/>
      <c r="TIN21" s="2866"/>
      <c r="TIO21" s="2827"/>
      <c r="TIP21" s="2867"/>
      <c r="TIQ21" s="2866"/>
      <c r="TIR21" s="2827"/>
      <c r="TIS21" s="2867"/>
      <c r="TIT21" s="2866"/>
      <c r="TIU21" s="2827"/>
      <c r="TIV21" s="2867"/>
      <c r="TIW21" s="2866"/>
      <c r="TIX21" s="2827"/>
      <c r="TIY21" s="2867"/>
      <c r="TIZ21" s="2866"/>
      <c r="TJA21" s="2827"/>
      <c r="TJB21" s="2867"/>
      <c r="TJC21" s="2866"/>
      <c r="TJD21" s="2827"/>
      <c r="TJE21" s="2867"/>
      <c r="TJF21" s="2866"/>
      <c r="TJG21" s="2827"/>
      <c r="TJH21" s="2867"/>
      <c r="TJI21" s="2866"/>
      <c r="TJJ21" s="2827"/>
      <c r="TJK21" s="2867"/>
      <c r="TJL21" s="2866"/>
      <c r="TJM21" s="2827"/>
      <c r="TJN21" s="2867"/>
      <c r="TJO21" s="2866"/>
      <c r="TJP21" s="2827"/>
      <c r="TJQ21" s="2867"/>
      <c r="TJR21" s="2866"/>
      <c r="TJS21" s="2827"/>
      <c r="TJT21" s="2867"/>
      <c r="TJU21" s="2866"/>
      <c r="TJV21" s="2827"/>
      <c r="TJW21" s="2867"/>
      <c r="TJX21" s="2866"/>
      <c r="TJY21" s="2827"/>
      <c r="TJZ21" s="2867"/>
      <c r="TKA21" s="2866"/>
      <c r="TKB21" s="2827"/>
      <c r="TKC21" s="2867"/>
      <c r="TKD21" s="2866"/>
      <c r="TKE21" s="2827"/>
      <c r="TKF21" s="2867"/>
      <c r="TKG21" s="2866"/>
      <c r="TKH21" s="2827"/>
      <c r="TKI21" s="2867"/>
      <c r="TKJ21" s="2866"/>
      <c r="TKK21" s="2827"/>
      <c r="TKL21" s="2867"/>
      <c r="TKM21" s="2866"/>
      <c r="TKN21" s="2827"/>
      <c r="TKO21" s="2867"/>
      <c r="TKP21" s="2866"/>
      <c r="TKQ21" s="2827"/>
      <c r="TKR21" s="2867"/>
      <c r="TKS21" s="2866"/>
      <c r="TKT21" s="2827"/>
      <c r="TKU21" s="2867"/>
      <c r="TKV21" s="2866"/>
      <c r="TKW21" s="2827"/>
      <c r="TKX21" s="2867"/>
      <c r="TKY21" s="2866"/>
      <c r="TKZ21" s="2827"/>
      <c r="TLA21" s="2867"/>
      <c r="TLB21" s="2866"/>
      <c r="TLC21" s="2827"/>
      <c r="TLD21" s="2867"/>
      <c r="TLE21" s="2866"/>
      <c r="TLF21" s="2827"/>
      <c r="TLG21" s="2867"/>
      <c r="TLH21" s="2866"/>
      <c r="TLI21" s="2827"/>
      <c r="TLJ21" s="2867"/>
      <c r="TLK21" s="2866"/>
      <c r="TLL21" s="2827"/>
      <c r="TLM21" s="2867"/>
      <c r="TLN21" s="2866"/>
      <c r="TLO21" s="2827"/>
      <c r="TLP21" s="2867"/>
      <c r="TLQ21" s="2866"/>
      <c r="TLR21" s="2827"/>
      <c r="TLS21" s="2867"/>
      <c r="TLT21" s="2866"/>
      <c r="TLU21" s="2827"/>
      <c r="TLV21" s="2867"/>
      <c r="TLW21" s="2866"/>
      <c r="TLX21" s="2827"/>
      <c r="TLY21" s="2867"/>
      <c r="TLZ21" s="2866"/>
      <c r="TMA21" s="2827"/>
      <c r="TMB21" s="2867"/>
      <c r="TMC21" s="2866"/>
      <c r="TMD21" s="2827"/>
      <c r="TME21" s="2867"/>
      <c r="TMF21" s="2866"/>
      <c r="TMG21" s="2827"/>
      <c r="TMH21" s="2867"/>
      <c r="TMI21" s="2866"/>
      <c r="TMJ21" s="2827"/>
      <c r="TMK21" s="2867"/>
      <c r="TML21" s="2866"/>
      <c r="TMM21" s="2827"/>
      <c r="TMN21" s="2867"/>
      <c r="TMO21" s="2866"/>
      <c r="TMP21" s="2827"/>
      <c r="TMQ21" s="2867"/>
      <c r="TMR21" s="2866"/>
      <c r="TMS21" s="2827"/>
      <c r="TMT21" s="2867"/>
      <c r="TMU21" s="2866"/>
      <c r="TMV21" s="2827"/>
      <c r="TMW21" s="2867"/>
      <c r="TMX21" s="2866"/>
      <c r="TMY21" s="2827"/>
      <c r="TMZ21" s="2867"/>
      <c r="TNA21" s="2866"/>
      <c r="TNB21" s="2827"/>
      <c r="TNC21" s="2867"/>
      <c r="TND21" s="2866"/>
      <c r="TNE21" s="2827"/>
      <c r="TNF21" s="2867"/>
      <c r="TNG21" s="2866"/>
      <c r="TNH21" s="2827"/>
      <c r="TNI21" s="2867"/>
      <c r="TNJ21" s="2866"/>
      <c r="TNK21" s="2827"/>
      <c r="TNL21" s="2867"/>
      <c r="TNM21" s="2866"/>
      <c r="TNN21" s="2827"/>
      <c r="TNO21" s="2867"/>
      <c r="TNP21" s="2866"/>
      <c r="TNQ21" s="2827"/>
      <c r="TNR21" s="2867"/>
      <c r="TNS21" s="2866"/>
      <c r="TNT21" s="2827"/>
      <c r="TNU21" s="2867"/>
      <c r="TNV21" s="2866"/>
      <c r="TNW21" s="2827"/>
      <c r="TNX21" s="2867"/>
      <c r="TNY21" s="2866"/>
      <c r="TNZ21" s="2827"/>
      <c r="TOA21" s="2867"/>
      <c r="TOB21" s="2866"/>
      <c r="TOC21" s="2827"/>
      <c r="TOD21" s="2867"/>
      <c r="TOE21" s="2866"/>
      <c r="TOF21" s="2827"/>
      <c r="TOG21" s="2867"/>
      <c r="TOH21" s="2866"/>
      <c r="TOI21" s="2827"/>
      <c r="TOJ21" s="2867"/>
      <c r="TOK21" s="2866"/>
      <c r="TOL21" s="2827"/>
      <c r="TOM21" s="2867"/>
      <c r="TON21" s="2866"/>
      <c r="TOO21" s="2827"/>
      <c r="TOP21" s="2867"/>
      <c r="TOQ21" s="2866"/>
      <c r="TOR21" s="2827"/>
      <c r="TOS21" s="2867"/>
      <c r="TOT21" s="2866"/>
      <c r="TOU21" s="2827"/>
      <c r="TOV21" s="2867"/>
      <c r="TOW21" s="2866"/>
      <c r="TOX21" s="2827"/>
      <c r="TOY21" s="2867"/>
      <c r="TOZ21" s="2866"/>
      <c r="TPA21" s="2827"/>
      <c r="TPB21" s="2867"/>
      <c r="TPC21" s="2866"/>
      <c r="TPD21" s="2827"/>
      <c r="TPE21" s="2867"/>
      <c r="TPF21" s="2866"/>
      <c r="TPG21" s="2827"/>
      <c r="TPH21" s="2867"/>
      <c r="TPI21" s="2866"/>
      <c r="TPJ21" s="2827"/>
      <c r="TPK21" s="2867"/>
      <c r="TPL21" s="2866"/>
      <c r="TPM21" s="2827"/>
      <c r="TPN21" s="2867"/>
      <c r="TPO21" s="2866"/>
      <c r="TPP21" s="2827"/>
      <c r="TPQ21" s="2867"/>
      <c r="TPR21" s="2866"/>
      <c r="TPS21" s="2827"/>
      <c r="TPT21" s="2867"/>
      <c r="TPU21" s="2866"/>
      <c r="TPV21" s="2827"/>
      <c r="TPW21" s="2867"/>
      <c r="TPX21" s="2866"/>
      <c r="TPY21" s="2827"/>
      <c r="TPZ21" s="2867"/>
      <c r="TQA21" s="2866"/>
      <c r="TQB21" s="2827"/>
      <c r="TQC21" s="2867"/>
      <c r="TQD21" s="2866"/>
      <c r="TQE21" s="2827"/>
      <c r="TQF21" s="2867"/>
      <c r="TQG21" s="2866"/>
      <c r="TQH21" s="2827"/>
      <c r="TQI21" s="2867"/>
      <c r="TQJ21" s="2866"/>
      <c r="TQK21" s="2827"/>
      <c r="TQL21" s="2867"/>
      <c r="TQM21" s="2866"/>
      <c r="TQN21" s="2827"/>
      <c r="TQO21" s="2867"/>
      <c r="TQP21" s="2866"/>
      <c r="TQQ21" s="2827"/>
      <c r="TQR21" s="2867"/>
      <c r="TQS21" s="2866"/>
      <c r="TQT21" s="2827"/>
      <c r="TQU21" s="2867"/>
      <c r="TQV21" s="2866"/>
      <c r="TQW21" s="2827"/>
      <c r="TQX21" s="2867"/>
      <c r="TQY21" s="2866"/>
      <c r="TQZ21" s="2827"/>
      <c r="TRA21" s="2867"/>
      <c r="TRB21" s="2866"/>
      <c r="TRC21" s="2827"/>
      <c r="TRD21" s="2867"/>
      <c r="TRE21" s="2866"/>
      <c r="TRF21" s="2827"/>
      <c r="TRG21" s="2867"/>
      <c r="TRH21" s="2866"/>
      <c r="TRI21" s="2827"/>
      <c r="TRJ21" s="2867"/>
      <c r="TRK21" s="2866"/>
      <c r="TRL21" s="2827"/>
      <c r="TRM21" s="2867"/>
      <c r="TRN21" s="2866"/>
      <c r="TRO21" s="2827"/>
      <c r="TRP21" s="2867"/>
      <c r="TRQ21" s="2866"/>
      <c r="TRR21" s="2827"/>
      <c r="TRS21" s="2867"/>
      <c r="TRT21" s="2866"/>
      <c r="TRU21" s="2827"/>
      <c r="TRV21" s="2867"/>
      <c r="TRW21" s="2866"/>
      <c r="TRX21" s="2827"/>
      <c r="TRY21" s="2867"/>
      <c r="TRZ21" s="2866"/>
      <c r="TSA21" s="2827"/>
      <c r="TSB21" s="2867"/>
      <c r="TSC21" s="2866"/>
      <c r="TSD21" s="2827"/>
      <c r="TSE21" s="2867"/>
      <c r="TSF21" s="2866"/>
      <c r="TSG21" s="2827"/>
      <c r="TSH21" s="2867"/>
      <c r="TSI21" s="2866"/>
      <c r="TSJ21" s="2827"/>
      <c r="TSK21" s="2867"/>
      <c r="TSL21" s="2866"/>
      <c r="TSM21" s="2827"/>
      <c r="TSN21" s="2867"/>
      <c r="TSO21" s="2866"/>
      <c r="TSP21" s="2827"/>
      <c r="TSQ21" s="2867"/>
      <c r="TSR21" s="2866"/>
      <c r="TSS21" s="2827"/>
      <c r="TST21" s="2867"/>
      <c r="TSU21" s="2866"/>
      <c r="TSV21" s="2827"/>
      <c r="TSW21" s="2867"/>
      <c r="TSX21" s="2866"/>
      <c r="TSY21" s="2827"/>
      <c r="TSZ21" s="2867"/>
      <c r="TTA21" s="2866"/>
      <c r="TTB21" s="2827"/>
      <c r="TTC21" s="2867"/>
      <c r="TTD21" s="2866"/>
      <c r="TTE21" s="2827"/>
      <c r="TTF21" s="2867"/>
      <c r="TTG21" s="2866"/>
      <c r="TTH21" s="2827"/>
      <c r="TTI21" s="2867"/>
      <c r="TTJ21" s="2866"/>
      <c r="TTK21" s="2827"/>
      <c r="TTL21" s="2867"/>
      <c r="TTM21" s="2866"/>
      <c r="TTN21" s="2827"/>
      <c r="TTO21" s="2867"/>
      <c r="TTP21" s="2866"/>
      <c r="TTQ21" s="2827"/>
      <c r="TTR21" s="2867"/>
      <c r="TTS21" s="2866"/>
      <c r="TTT21" s="2827"/>
      <c r="TTU21" s="2867"/>
      <c r="TTV21" s="2866"/>
      <c r="TTW21" s="2827"/>
      <c r="TTX21" s="2867"/>
      <c r="TTY21" s="2866"/>
      <c r="TTZ21" s="2827"/>
      <c r="TUA21" s="2867"/>
      <c r="TUB21" s="2866"/>
      <c r="TUC21" s="2827"/>
      <c r="TUD21" s="2867"/>
      <c r="TUE21" s="2866"/>
      <c r="TUF21" s="2827"/>
      <c r="TUG21" s="2867"/>
      <c r="TUH21" s="2866"/>
      <c r="TUI21" s="2827"/>
      <c r="TUJ21" s="2867"/>
      <c r="TUK21" s="2866"/>
      <c r="TUL21" s="2827"/>
      <c r="TUM21" s="2867"/>
      <c r="TUN21" s="2866"/>
      <c r="TUO21" s="2827"/>
      <c r="TUP21" s="2867"/>
      <c r="TUQ21" s="2866"/>
      <c r="TUR21" s="2827"/>
      <c r="TUS21" s="2867"/>
      <c r="TUT21" s="2866"/>
      <c r="TUU21" s="2827"/>
      <c r="TUV21" s="2867"/>
      <c r="TUW21" s="2866"/>
      <c r="TUX21" s="2827"/>
      <c r="TUY21" s="2867"/>
      <c r="TUZ21" s="2866"/>
      <c r="TVA21" s="2827"/>
      <c r="TVB21" s="2867"/>
      <c r="TVC21" s="2866"/>
      <c r="TVD21" s="2827"/>
      <c r="TVE21" s="2867"/>
      <c r="TVF21" s="2866"/>
      <c r="TVG21" s="2827"/>
      <c r="TVH21" s="2867"/>
      <c r="TVI21" s="2866"/>
      <c r="TVJ21" s="2827"/>
      <c r="TVK21" s="2867"/>
      <c r="TVL21" s="2866"/>
      <c r="TVM21" s="2827"/>
      <c r="TVN21" s="2867"/>
      <c r="TVO21" s="2866"/>
      <c r="TVP21" s="2827"/>
      <c r="TVQ21" s="2867"/>
      <c r="TVR21" s="2866"/>
      <c r="TVS21" s="2827"/>
      <c r="TVT21" s="2867"/>
      <c r="TVU21" s="2866"/>
      <c r="TVV21" s="2827"/>
      <c r="TVW21" s="2867"/>
      <c r="TVX21" s="2866"/>
      <c r="TVY21" s="2827"/>
      <c r="TVZ21" s="2867"/>
      <c r="TWA21" s="2866"/>
      <c r="TWB21" s="2827"/>
      <c r="TWC21" s="2867"/>
      <c r="TWD21" s="2866"/>
      <c r="TWE21" s="2827"/>
      <c r="TWF21" s="2867"/>
      <c r="TWG21" s="2866"/>
      <c r="TWH21" s="2827"/>
      <c r="TWI21" s="2867"/>
      <c r="TWJ21" s="2866"/>
      <c r="TWK21" s="2827"/>
      <c r="TWL21" s="2867"/>
      <c r="TWM21" s="2866"/>
      <c r="TWN21" s="2827"/>
      <c r="TWO21" s="2867"/>
      <c r="TWP21" s="2866"/>
      <c r="TWQ21" s="2827"/>
      <c r="TWR21" s="2867"/>
      <c r="TWS21" s="2866"/>
      <c r="TWT21" s="2827"/>
      <c r="TWU21" s="2867"/>
      <c r="TWV21" s="2866"/>
      <c r="TWW21" s="2827"/>
      <c r="TWX21" s="2867"/>
      <c r="TWY21" s="2866"/>
      <c r="TWZ21" s="2827"/>
      <c r="TXA21" s="2867"/>
      <c r="TXB21" s="2866"/>
      <c r="TXC21" s="2827"/>
      <c r="TXD21" s="2867"/>
      <c r="TXE21" s="2866"/>
      <c r="TXF21" s="2827"/>
      <c r="TXG21" s="2867"/>
      <c r="TXH21" s="2866"/>
      <c r="TXI21" s="2827"/>
      <c r="TXJ21" s="2867"/>
      <c r="TXK21" s="2866"/>
      <c r="TXL21" s="2827"/>
      <c r="TXM21" s="2867"/>
      <c r="TXN21" s="2866"/>
      <c r="TXO21" s="2827"/>
      <c r="TXP21" s="2867"/>
      <c r="TXQ21" s="2866"/>
      <c r="TXR21" s="2827"/>
      <c r="TXS21" s="2867"/>
      <c r="TXT21" s="2866"/>
      <c r="TXU21" s="2827"/>
      <c r="TXV21" s="2867"/>
      <c r="TXW21" s="2866"/>
      <c r="TXX21" s="2827"/>
      <c r="TXY21" s="2867"/>
      <c r="TXZ21" s="2866"/>
      <c r="TYA21" s="2827"/>
      <c r="TYB21" s="2867"/>
      <c r="TYC21" s="2866"/>
      <c r="TYD21" s="2827"/>
      <c r="TYE21" s="2867"/>
      <c r="TYF21" s="2866"/>
      <c r="TYG21" s="2827"/>
      <c r="TYH21" s="2867"/>
      <c r="TYI21" s="2866"/>
      <c r="TYJ21" s="2827"/>
      <c r="TYK21" s="2867"/>
      <c r="TYL21" s="2866"/>
      <c r="TYM21" s="2827"/>
      <c r="TYN21" s="2867"/>
      <c r="TYO21" s="2866"/>
      <c r="TYP21" s="2827"/>
      <c r="TYQ21" s="2867"/>
      <c r="TYR21" s="2866"/>
      <c r="TYS21" s="2827"/>
      <c r="TYT21" s="2867"/>
      <c r="TYU21" s="2866"/>
      <c r="TYV21" s="2827"/>
      <c r="TYW21" s="2867"/>
      <c r="TYX21" s="2866"/>
      <c r="TYY21" s="2827"/>
      <c r="TYZ21" s="2867"/>
      <c r="TZA21" s="2866"/>
      <c r="TZB21" s="2827"/>
      <c r="TZC21" s="2867"/>
      <c r="TZD21" s="2866"/>
      <c r="TZE21" s="2827"/>
      <c r="TZF21" s="2867"/>
      <c r="TZG21" s="2866"/>
      <c r="TZH21" s="2827"/>
      <c r="TZI21" s="2867"/>
      <c r="TZJ21" s="2866"/>
      <c r="TZK21" s="2827"/>
      <c r="TZL21" s="2867"/>
      <c r="TZM21" s="2866"/>
      <c r="TZN21" s="2827"/>
      <c r="TZO21" s="2867"/>
      <c r="TZP21" s="2866"/>
      <c r="TZQ21" s="2827"/>
      <c r="TZR21" s="2867"/>
      <c r="TZS21" s="2866"/>
      <c r="TZT21" s="2827"/>
      <c r="TZU21" s="2867"/>
      <c r="TZV21" s="2866"/>
      <c r="TZW21" s="2827"/>
      <c r="TZX21" s="2867"/>
      <c r="TZY21" s="2866"/>
      <c r="TZZ21" s="2827"/>
      <c r="UAA21" s="2867"/>
      <c r="UAB21" s="2866"/>
      <c r="UAC21" s="2827"/>
      <c r="UAD21" s="2867"/>
      <c r="UAE21" s="2866"/>
      <c r="UAF21" s="2827"/>
      <c r="UAG21" s="2867"/>
      <c r="UAH21" s="2866"/>
      <c r="UAI21" s="2827"/>
      <c r="UAJ21" s="2867"/>
      <c r="UAK21" s="2866"/>
      <c r="UAL21" s="2827"/>
      <c r="UAM21" s="2867"/>
      <c r="UAN21" s="2866"/>
      <c r="UAO21" s="2827"/>
      <c r="UAP21" s="2867"/>
      <c r="UAQ21" s="2866"/>
      <c r="UAR21" s="2827"/>
      <c r="UAS21" s="2867"/>
      <c r="UAT21" s="2866"/>
      <c r="UAU21" s="2827"/>
      <c r="UAV21" s="2867"/>
      <c r="UAW21" s="2866"/>
      <c r="UAX21" s="2827"/>
      <c r="UAY21" s="2867"/>
      <c r="UAZ21" s="2866"/>
      <c r="UBA21" s="2827"/>
      <c r="UBB21" s="2867"/>
      <c r="UBC21" s="2866"/>
      <c r="UBD21" s="2827"/>
      <c r="UBE21" s="2867"/>
      <c r="UBF21" s="2866"/>
      <c r="UBG21" s="2827"/>
      <c r="UBH21" s="2867"/>
      <c r="UBI21" s="2866"/>
      <c r="UBJ21" s="2827"/>
      <c r="UBK21" s="2867"/>
      <c r="UBL21" s="2866"/>
      <c r="UBM21" s="2827"/>
      <c r="UBN21" s="2867"/>
      <c r="UBO21" s="2866"/>
      <c r="UBP21" s="2827"/>
      <c r="UBQ21" s="2867"/>
      <c r="UBR21" s="2866"/>
      <c r="UBS21" s="2827"/>
      <c r="UBT21" s="2867"/>
      <c r="UBU21" s="2866"/>
      <c r="UBV21" s="2827"/>
      <c r="UBW21" s="2867"/>
      <c r="UBX21" s="2866"/>
      <c r="UBY21" s="2827"/>
      <c r="UBZ21" s="2867"/>
      <c r="UCA21" s="2866"/>
      <c r="UCB21" s="2827"/>
      <c r="UCC21" s="2867"/>
      <c r="UCD21" s="2866"/>
      <c r="UCE21" s="2827"/>
      <c r="UCF21" s="2867"/>
      <c r="UCG21" s="2866"/>
      <c r="UCH21" s="2827"/>
      <c r="UCI21" s="2867"/>
      <c r="UCJ21" s="2866"/>
      <c r="UCK21" s="2827"/>
      <c r="UCL21" s="2867"/>
      <c r="UCM21" s="2866"/>
      <c r="UCN21" s="2827"/>
      <c r="UCO21" s="2867"/>
      <c r="UCP21" s="2866"/>
      <c r="UCQ21" s="2827"/>
      <c r="UCR21" s="2867"/>
      <c r="UCS21" s="2866"/>
      <c r="UCT21" s="2827"/>
      <c r="UCU21" s="2867"/>
      <c r="UCV21" s="2866"/>
      <c r="UCW21" s="2827"/>
      <c r="UCX21" s="2867"/>
      <c r="UCY21" s="2866"/>
      <c r="UCZ21" s="2827"/>
      <c r="UDA21" s="2867"/>
      <c r="UDB21" s="2866"/>
      <c r="UDC21" s="2827"/>
      <c r="UDD21" s="2867"/>
      <c r="UDE21" s="2866"/>
      <c r="UDF21" s="2827"/>
      <c r="UDG21" s="2867"/>
      <c r="UDH21" s="2866"/>
      <c r="UDI21" s="2827"/>
      <c r="UDJ21" s="2867"/>
      <c r="UDK21" s="2866"/>
      <c r="UDL21" s="2827"/>
      <c r="UDM21" s="2867"/>
      <c r="UDN21" s="2866"/>
      <c r="UDO21" s="2827"/>
      <c r="UDP21" s="2867"/>
      <c r="UDQ21" s="2866"/>
      <c r="UDR21" s="2827"/>
      <c r="UDS21" s="2867"/>
      <c r="UDT21" s="2866"/>
      <c r="UDU21" s="2827"/>
      <c r="UDV21" s="2867"/>
      <c r="UDW21" s="2866"/>
      <c r="UDX21" s="2827"/>
      <c r="UDY21" s="2867"/>
      <c r="UDZ21" s="2866"/>
      <c r="UEA21" s="2827"/>
      <c r="UEB21" s="2867"/>
      <c r="UEC21" s="2866"/>
      <c r="UED21" s="2827"/>
      <c r="UEE21" s="2867"/>
      <c r="UEF21" s="2866"/>
      <c r="UEG21" s="2827"/>
      <c r="UEH21" s="2867"/>
      <c r="UEI21" s="2866"/>
      <c r="UEJ21" s="2827"/>
      <c r="UEK21" s="2867"/>
      <c r="UEL21" s="2866"/>
      <c r="UEM21" s="2827"/>
      <c r="UEN21" s="2867"/>
      <c r="UEO21" s="2866"/>
      <c r="UEP21" s="2827"/>
      <c r="UEQ21" s="2867"/>
      <c r="UER21" s="2866"/>
      <c r="UES21" s="2827"/>
      <c r="UET21" s="2867"/>
      <c r="UEU21" s="2866"/>
      <c r="UEV21" s="2827"/>
      <c r="UEW21" s="2867"/>
      <c r="UEX21" s="2866"/>
      <c r="UEY21" s="2827"/>
      <c r="UEZ21" s="2867"/>
      <c r="UFA21" s="2866"/>
      <c r="UFB21" s="2827"/>
      <c r="UFC21" s="2867"/>
      <c r="UFD21" s="2866"/>
      <c r="UFE21" s="2827"/>
      <c r="UFF21" s="2867"/>
      <c r="UFG21" s="2866"/>
      <c r="UFH21" s="2827"/>
      <c r="UFI21" s="2867"/>
      <c r="UFJ21" s="2866"/>
      <c r="UFK21" s="2827"/>
      <c r="UFL21" s="2867"/>
      <c r="UFM21" s="2866"/>
      <c r="UFN21" s="2827"/>
      <c r="UFO21" s="2867"/>
      <c r="UFP21" s="2866"/>
      <c r="UFQ21" s="2827"/>
      <c r="UFR21" s="2867"/>
      <c r="UFS21" s="2866"/>
      <c r="UFT21" s="2827"/>
      <c r="UFU21" s="2867"/>
      <c r="UFV21" s="2866"/>
      <c r="UFW21" s="2827"/>
      <c r="UFX21" s="2867"/>
      <c r="UFY21" s="2866"/>
      <c r="UFZ21" s="2827"/>
      <c r="UGA21" s="2867"/>
      <c r="UGB21" s="2866"/>
      <c r="UGC21" s="2827"/>
      <c r="UGD21" s="2867"/>
      <c r="UGE21" s="2866"/>
      <c r="UGF21" s="2827"/>
      <c r="UGG21" s="2867"/>
      <c r="UGH21" s="2866"/>
      <c r="UGI21" s="2827"/>
      <c r="UGJ21" s="2867"/>
      <c r="UGK21" s="2866"/>
      <c r="UGL21" s="2827"/>
      <c r="UGM21" s="2867"/>
      <c r="UGN21" s="2866"/>
      <c r="UGO21" s="2827"/>
      <c r="UGP21" s="2867"/>
      <c r="UGQ21" s="2866"/>
      <c r="UGR21" s="2827"/>
      <c r="UGS21" s="2867"/>
      <c r="UGT21" s="2866"/>
      <c r="UGU21" s="2827"/>
      <c r="UGV21" s="2867"/>
      <c r="UGW21" s="2866"/>
      <c r="UGX21" s="2827"/>
      <c r="UGY21" s="2867"/>
      <c r="UGZ21" s="2866"/>
      <c r="UHA21" s="2827"/>
      <c r="UHB21" s="2867"/>
      <c r="UHC21" s="2866"/>
      <c r="UHD21" s="2827"/>
      <c r="UHE21" s="2867"/>
      <c r="UHF21" s="2866"/>
      <c r="UHG21" s="2827"/>
      <c r="UHH21" s="2867"/>
      <c r="UHI21" s="2866"/>
      <c r="UHJ21" s="2827"/>
      <c r="UHK21" s="2867"/>
      <c r="UHL21" s="2866"/>
      <c r="UHM21" s="2827"/>
      <c r="UHN21" s="2867"/>
      <c r="UHO21" s="2866"/>
      <c r="UHP21" s="2827"/>
      <c r="UHQ21" s="2867"/>
      <c r="UHR21" s="2866"/>
      <c r="UHS21" s="2827"/>
      <c r="UHT21" s="2867"/>
      <c r="UHU21" s="2866"/>
      <c r="UHV21" s="2827"/>
      <c r="UHW21" s="2867"/>
      <c r="UHX21" s="2866"/>
      <c r="UHY21" s="2827"/>
      <c r="UHZ21" s="2867"/>
      <c r="UIA21" s="2866"/>
      <c r="UIB21" s="2827"/>
      <c r="UIC21" s="2867"/>
      <c r="UID21" s="2866"/>
      <c r="UIE21" s="2827"/>
      <c r="UIF21" s="2867"/>
      <c r="UIG21" s="2866"/>
      <c r="UIH21" s="2827"/>
      <c r="UII21" s="2867"/>
      <c r="UIJ21" s="2866"/>
      <c r="UIK21" s="2827"/>
      <c r="UIL21" s="2867"/>
      <c r="UIM21" s="2866"/>
      <c r="UIN21" s="2827"/>
      <c r="UIO21" s="2867"/>
      <c r="UIP21" s="2866"/>
      <c r="UIQ21" s="2827"/>
      <c r="UIR21" s="2867"/>
      <c r="UIS21" s="2866"/>
      <c r="UIT21" s="2827"/>
      <c r="UIU21" s="2867"/>
      <c r="UIV21" s="2866"/>
      <c r="UIW21" s="2827"/>
      <c r="UIX21" s="2867"/>
      <c r="UIY21" s="2866"/>
      <c r="UIZ21" s="2827"/>
      <c r="UJA21" s="2867"/>
      <c r="UJB21" s="2866"/>
      <c r="UJC21" s="2827"/>
      <c r="UJD21" s="2867"/>
      <c r="UJE21" s="2866"/>
      <c r="UJF21" s="2827"/>
      <c r="UJG21" s="2867"/>
      <c r="UJH21" s="2866"/>
      <c r="UJI21" s="2827"/>
      <c r="UJJ21" s="2867"/>
      <c r="UJK21" s="2866"/>
      <c r="UJL21" s="2827"/>
      <c r="UJM21" s="2867"/>
      <c r="UJN21" s="2866"/>
      <c r="UJO21" s="2827"/>
      <c r="UJP21" s="2867"/>
      <c r="UJQ21" s="2866"/>
      <c r="UJR21" s="2827"/>
      <c r="UJS21" s="2867"/>
      <c r="UJT21" s="2866"/>
      <c r="UJU21" s="2827"/>
      <c r="UJV21" s="2867"/>
      <c r="UJW21" s="2866"/>
      <c r="UJX21" s="2827"/>
      <c r="UJY21" s="2867"/>
      <c r="UJZ21" s="2866"/>
      <c r="UKA21" s="2827"/>
      <c r="UKB21" s="2867"/>
      <c r="UKC21" s="2866"/>
      <c r="UKD21" s="2827"/>
      <c r="UKE21" s="2867"/>
      <c r="UKF21" s="2866"/>
      <c r="UKG21" s="2827"/>
      <c r="UKH21" s="2867"/>
      <c r="UKI21" s="2866"/>
      <c r="UKJ21" s="2827"/>
      <c r="UKK21" s="2867"/>
      <c r="UKL21" s="2866"/>
      <c r="UKM21" s="2827"/>
      <c r="UKN21" s="2867"/>
      <c r="UKO21" s="2866"/>
      <c r="UKP21" s="2827"/>
      <c r="UKQ21" s="2867"/>
      <c r="UKR21" s="2866"/>
      <c r="UKS21" s="2827"/>
      <c r="UKT21" s="2867"/>
      <c r="UKU21" s="2866"/>
      <c r="UKV21" s="2827"/>
      <c r="UKW21" s="2867"/>
      <c r="UKX21" s="2866"/>
      <c r="UKY21" s="2827"/>
      <c r="UKZ21" s="2867"/>
      <c r="ULA21" s="2866"/>
      <c r="ULB21" s="2827"/>
      <c r="ULC21" s="2867"/>
      <c r="ULD21" s="2866"/>
      <c r="ULE21" s="2827"/>
      <c r="ULF21" s="2867"/>
      <c r="ULG21" s="2866"/>
      <c r="ULH21" s="2827"/>
      <c r="ULI21" s="2867"/>
      <c r="ULJ21" s="2866"/>
      <c r="ULK21" s="2827"/>
      <c r="ULL21" s="2867"/>
      <c r="ULM21" s="2866"/>
      <c r="ULN21" s="2827"/>
      <c r="ULO21" s="2867"/>
      <c r="ULP21" s="2866"/>
      <c r="ULQ21" s="2827"/>
      <c r="ULR21" s="2867"/>
      <c r="ULS21" s="2866"/>
      <c r="ULT21" s="2827"/>
      <c r="ULU21" s="2867"/>
      <c r="ULV21" s="2866"/>
      <c r="ULW21" s="2827"/>
      <c r="ULX21" s="2867"/>
      <c r="ULY21" s="2866"/>
      <c r="ULZ21" s="2827"/>
      <c r="UMA21" s="2867"/>
      <c r="UMB21" s="2866"/>
      <c r="UMC21" s="2827"/>
      <c r="UMD21" s="2867"/>
      <c r="UME21" s="2866"/>
      <c r="UMF21" s="2827"/>
      <c r="UMG21" s="2867"/>
      <c r="UMH21" s="2866"/>
      <c r="UMI21" s="2827"/>
      <c r="UMJ21" s="2867"/>
      <c r="UMK21" s="2866"/>
      <c r="UML21" s="2827"/>
      <c r="UMM21" s="2867"/>
      <c r="UMN21" s="2866"/>
      <c r="UMO21" s="2827"/>
      <c r="UMP21" s="2867"/>
      <c r="UMQ21" s="2866"/>
      <c r="UMR21" s="2827"/>
      <c r="UMS21" s="2867"/>
      <c r="UMT21" s="2866"/>
      <c r="UMU21" s="2827"/>
      <c r="UMV21" s="2867"/>
      <c r="UMW21" s="2866"/>
      <c r="UMX21" s="2827"/>
      <c r="UMY21" s="2867"/>
      <c r="UMZ21" s="2866"/>
      <c r="UNA21" s="2827"/>
      <c r="UNB21" s="2867"/>
      <c r="UNC21" s="2866"/>
      <c r="UND21" s="2827"/>
      <c r="UNE21" s="2867"/>
      <c r="UNF21" s="2866"/>
      <c r="UNG21" s="2827"/>
      <c r="UNH21" s="2867"/>
      <c r="UNI21" s="2866"/>
      <c r="UNJ21" s="2827"/>
      <c r="UNK21" s="2867"/>
      <c r="UNL21" s="2866"/>
      <c r="UNM21" s="2827"/>
      <c r="UNN21" s="2867"/>
      <c r="UNO21" s="2866"/>
      <c r="UNP21" s="2827"/>
      <c r="UNQ21" s="2867"/>
      <c r="UNR21" s="2866"/>
      <c r="UNS21" s="2827"/>
      <c r="UNT21" s="2867"/>
      <c r="UNU21" s="2866"/>
      <c r="UNV21" s="2827"/>
      <c r="UNW21" s="2867"/>
      <c r="UNX21" s="2866"/>
      <c r="UNY21" s="2827"/>
      <c r="UNZ21" s="2867"/>
      <c r="UOA21" s="2866"/>
      <c r="UOB21" s="2827"/>
      <c r="UOC21" s="2867"/>
      <c r="UOD21" s="2866"/>
      <c r="UOE21" s="2827"/>
      <c r="UOF21" s="2867"/>
      <c r="UOG21" s="2866"/>
      <c r="UOH21" s="2827"/>
      <c r="UOI21" s="2867"/>
      <c r="UOJ21" s="2866"/>
      <c r="UOK21" s="2827"/>
      <c r="UOL21" s="2867"/>
      <c r="UOM21" s="2866"/>
      <c r="UON21" s="2827"/>
      <c r="UOO21" s="2867"/>
      <c r="UOP21" s="2866"/>
      <c r="UOQ21" s="2827"/>
      <c r="UOR21" s="2867"/>
      <c r="UOS21" s="2866"/>
      <c r="UOT21" s="2827"/>
      <c r="UOU21" s="2867"/>
      <c r="UOV21" s="2866"/>
      <c r="UOW21" s="2827"/>
      <c r="UOX21" s="2867"/>
      <c r="UOY21" s="2866"/>
      <c r="UOZ21" s="2827"/>
      <c r="UPA21" s="2867"/>
      <c r="UPB21" s="2866"/>
      <c r="UPC21" s="2827"/>
      <c r="UPD21" s="2867"/>
      <c r="UPE21" s="2866"/>
      <c r="UPF21" s="2827"/>
      <c r="UPG21" s="2867"/>
      <c r="UPH21" s="2866"/>
      <c r="UPI21" s="2827"/>
      <c r="UPJ21" s="2867"/>
      <c r="UPK21" s="2866"/>
      <c r="UPL21" s="2827"/>
      <c r="UPM21" s="2867"/>
      <c r="UPN21" s="2866"/>
      <c r="UPO21" s="2827"/>
      <c r="UPP21" s="2867"/>
      <c r="UPQ21" s="2866"/>
      <c r="UPR21" s="2827"/>
      <c r="UPS21" s="2867"/>
      <c r="UPT21" s="2866"/>
      <c r="UPU21" s="2827"/>
      <c r="UPV21" s="2867"/>
      <c r="UPW21" s="2866"/>
      <c r="UPX21" s="2827"/>
      <c r="UPY21" s="2867"/>
      <c r="UPZ21" s="2866"/>
      <c r="UQA21" s="2827"/>
      <c r="UQB21" s="2867"/>
      <c r="UQC21" s="2866"/>
      <c r="UQD21" s="2827"/>
      <c r="UQE21" s="2867"/>
      <c r="UQF21" s="2866"/>
      <c r="UQG21" s="2827"/>
      <c r="UQH21" s="2867"/>
      <c r="UQI21" s="2866"/>
      <c r="UQJ21" s="2827"/>
      <c r="UQK21" s="2867"/>
      <c r="UQL21" s="2866"/>
      <c r="UQM21" s="2827"/>
      <c r="UQN21" s="2867"/>
      <c r="UQO21" s="2866"/>
      <c r="UQP21" s="2827"/>
      <c r="UQQ21" s="2867"/>
      <c r="UQR21" s="2866"/>
      <c r="UQS21" s="2827"/>
      <c r="UQT21" s="2867"/>
      <c r="UQU21" s="2866"/>
      <c r="UQV21" s="2827"/>
      <c r="UQW21" s="2867"/>
      <c r="UQX21" s="2866"/>
      <c r="UQY21" s="2827"/>
      <c r="UQZ21" s="2867"/>
      <c r="URA21" s="2866"/>
      <c r="URB21" s="2827"/>
      <c r="URC21" s="2867"/>
      <c r="URD21" s="2866"/>
      <c r="URE21" s="2827"/>
      <c r="URF21" s="2867"/>
      <c r="URG21" s="2866"/>
      <c r="URH21" s="2827"/>
      <c r="URI21" s="2867"/>
      <c r="URJ21" s="2866"/>
      <c r="URK21" s="2827"/>
      <c r="URL21" s="2867"/>
      <c r="URM21" s="2866"/>
      <c r="URN21" s="2827"/>
      <c r="URO21" s="2867"/>
      <c r="URP21" s="2866"/>
      <c r="URQ21" s="2827"/>
      <c r="URR21" s="2867"/>
      <c r="URS21" s="2866"/>
      <c r="URT21" s="2827"/>
      <c r="URU21" s="2867"/>
      <c r="URV21" s="2866"/>
      <c r="URW21" s="2827"/>
      <c r="URX21" s="2867"/>
      <c r="URY21" s="2866"/>
      <c r="URZ21" s="2827"/>
      <c r="USA21" s="2867"/>
      <c r="USB21" s="2866"/>
      <c r="USC21" s="2827"/>
      <c r="USD21" s="2867"/>
      <c r="USE21" s="2866"/>
      <c r="USF21" s="2827"/>
      <c r="USG21" s="2867"/>
      <c r="USH21" s="2866"/>
      <c r="USI21" s="2827"/>
      <c r="USJ21" s="2867"/>
      <c r="USK21" s="2866"/>
      <c r="USL21" s="2827"/>
      <c r="USM21" s="2867"/>
      <c r="USN21" s="2866"/>
      <c r="USO21" s="2827"/>
      <c r="USP21" s="2867"/>
      <c r="USQ21" s="2866"/>
      <c r="USR21" s="2827"/>
      <c r="USS21" s="2867"/>
      <c r="UST21" s="2866"/>
      <c r="USU21" s="2827"/>
      <c r="USV21" s="2867"/>
      <c r="USW21" s="2866"/>
      <c r="USX21" s="2827"/>
      <c r="USY21" s="2867"/>
      <c r="USZ21" s="2866"/>
      <c r="UTA21" s="2827"/>
      <c r="UTB21" s="2867"/>
      <c r="UTC21" s="2866"/>
      <c r="UTD21" s="2827"/>
      <c r="UTE21" s="2867"/>
      <c r="UTF21" s="2866"/>
      <c r="UTG21" s="2827"/>
      <c r="UTH21" s="2867"/>
      <c r="UTI21" s="2866"/>
      <c r="UTJ21" s="2827"/>
      <c r="UTK21" s="2867"/>
      <c r="UTL21" s="2866"/>
      <c r="UTM21" s="2827"/>
      <c r="UTN21" s="2867"/>
      <c r="UTO21" s="2866"/>
      <c r="UTP21" s="2827"/>
      <c r="UTQ21" s="2867"/>
      <c r="UTR21" s="2866"/>
      <c r="UTS21" s="2827"/>
      <c r="UTT21" s="2867"/>
      <c r="UTU21" s="2866"/>
      <c r="UTV21" s="2827"/>
      <c r="UTW21" s="2867"/>
      <c r="UTX21" s="2866"/>
      <c r="UTY21" s="2827"/>
      <c r="UTZ21" s="2867"/>
      <c r="UUA21" s="2866"/>
      <c r="UUB21" s="2827"/>
      <c r="UUC21" s="2867"/>
      <c r="UUD21" s="2866"/>
      <c r="UUE21" s="2827"/>
      <c r="UUF21" s="2867"/>
      <c r="UUG21" s="2866"/>
      <c r="UUH21" s="2827"/>
      <c r="UUI21" s="2867"/>
      <c r="UUJ21" s="2866"/>
      <c r="UUK21" s="2827"/>
      <c r="UUL21" s="2867"/>
      <c r="UUM21" s="2866"/>
      <c r="UUN21" s="2827"/>
      <c r="UUO21" s="2867"/>
      <c r="UUP21" s="2866"/>
      <c r="UUQ21" s="2827"/>
      <c r="UUR21" s="2867"/>
      <c r="UUS21" s="2866"/>
      <c r="UUT21" s="2827"/>
      <c r="UUU21" s="2867"/>
      <c r="UUV21" s="2866"/>
      <c r="UUW21" s="2827"/>
      <c r="UUX21" s="2867"/>
      <c r="UUY21" s="2866"/>
      <c r="UUZ21" s="2827"/>
      <c r="UVA21" s="2867"/>
      <c r="UVB21" s="2866"/>
      <c r="UVC21" s="2827"/>
      <c r="UVD21" s="2867"/>
      <c r="UVE21" s="2866"/>
      <c r="UVF21" s="2827"/>
      <c r="UVG21" s="2867"/>
      <c r="UVH21" s="2866"/>
      <c r="UVI21" s="2827"/>
      <c r="UVJ21" s="2867"/>
      <c r="UVK21" s="2866"/>
      <c r="UVL21" s="2827"/>
      <c r="UVM21" s="2867"/>
      <c r="UVN21" s="2866"/>
      <c r="UVO21" s="2827"/>
      <c r="UVP21" s="2867"/>
      <c r="UVQ21" s="2866"/>
      <c r="UVR21" s="2827"/>
      <c r="UVS21" s="2867"/>
      <c r="UVT21" s="2866"/>
      <c r="UVU21" s="2827"/>
      <c r="UVV21" s="2867"/>
      <c r="UVW21" s="2866"/>
      <c r="UVX21" s="2827"/>
      <c r="UVY21" s="2867"/>
      <c r="UVZ21" s="2866"/>
      <c r="UWA21" s="2827"/>
      <c r="UWB21" s="2867"/>
      <c r="UWC21" s="2866"/>
      <c r="UWD21" s="2827"/>
      <c r="UWE21" s="2867"/>
      <c r="UWF21" s="2866"/>
      <c r="UWG21" s="2827"/>
      <c r="UWH21" s="2867"/>
      <c r="UWI21" s="2866"/>
      <c r="UWJ21" s="2827"/>
      <c r="UWK21" s="2867"/>
      <c r="UWL21" s="2866"/>
      <c r="UWM21" s="2827"/>
      <c r="UWN21" s="2867"/>
      <c r="UWO21" s="2866"/>
      <c r="UWP21" s="2827"/>
      <c r="UWQ21" s="2867"/>
      <c r="UWR21" s="2866"/>
      <c r="UWS21" s="2827"/>
      <c r="UWT21" s="2867"/>
      <c r="UWU21" s="2866"/>
      <c r="UWV21" s="2827"/>
      <c r="UWW21" s="2867"/>
      <c r="UWX21" s="2866"/>
      <c r="UWY21" s="2827"/>
      <c r="UWZ21" s="2867"/>
      <c r="UXA21" s="2866"/>
      <c r="UXB21" s="2827"/>
      <c r="UXC21" s="2867"/>
      <c r="UXD21" s="2866"/>
      <c r="UXE21" s="2827"/>
      <c r="UXF21" s="2867"/>
      <c r="UXG21" s="2866"/>
      <c r="UXH21" s="2827"/>
      <c r="UXI21" s="2867"/>
      <c r="UXJ21" s="2866"/>
      <c r="UXK21" s="2827"/>
      <c r="UXL21" s="2867"/>
      <c r="UXM21" s="2866"/>
      <c r="UXN21" s="2827"/>
      <c r="UXO21" s="2867"/>
      <c r="UXP21" s="2866"/>
      <c r="UXQ21" s="2827"/>
      <c r="UXR21" s="2867"/>
      <c r="UXS21" s="2866"/>
      <c r="UXT21" s="2827"/>
      <c r="UXU21" s="2867"/>
      <c r="UXV21" s="2866"/>
      <c r="UXW21" s="2827"/>
      <c r="UXX21" s="2867"/>
      <c r="UXY21" s="2866"/>
      <c r="UXZ21" s="2827"/>
      <c r="UYA21" s="2867"/>
      <c r="UYB21" s="2866"/>
      <c r="UYC21" s="2827"/>
      <c r="UYD21" s="2867"/>
      <c r="UYE21" s="2866"/>
      <c r="UYF21" s="2827"/>
      <c r="UYG21" s="2867"/>
      <c r="UYH21" s="2866"/>
      <c r="UYI21" s="2827"/>
      <c r="UYJ21" s="2867"/>
      <c r="UYK21" s="2866"/>
      <c r="UYL21" s="2827"/>
      <c r="UYM21" s="2867"/>
      <c r="UYN21" s="2866"/>
      <c r="UYO21" s="2827"/>
      <c r="UYP21" s="2867"/>
      <c r="UYQ21" s="2866"/>
      <c r="UYR21" s="2827"/>
      <c r="UYS21" s="2867"/>
      <c r="UYT21" s="2866"/>
      <c r="UYU21" s="2827"/>
      <c r="UYV21" s="2867"/>
      <c r="UYW21" s="2866"/>
      <c r="UYX21" s="2827"/>
      <c r="UYY21" s="2867"/>
      <c r="UYZ21" s="2866"/>
      <c r="UZA21" s="2827"/>
      <c r="UZB21" s="2867"/>
      <c r="UZC21" s="2866"/>
      <c r="UZD21" s="2827"/>
      <c r="UZE21" s="2867"/>
      <c r="UZF21" s="2866"/>
      <c r="UZG21" s="2827"/>
      <c r="UZH21" s="2867"/>
      <c r="UZI21" s="2866"/>
      <c r="UZJ21" s="2827"/>
      <c r="UZK21" s="2867"/>
      <c r="UZL21" s="2866"/>
      <c r="UZM21" s="2827"/>
      <c r="UZN21" s="2867"/>
      <c r="UZO21" s="2866"/>
      <c r="UZP21" s="2827"/>
      <c r="UZQ21" s="2867"/>
      <c r="UZR21" s="2866"/>
      <c r="UZS21" s="2827"/>
      <c r="UZT21" s="2867"/>
      <c r="UZU21" s="2866"/>
      <c r="UZV21" s="2827"/>
      <c r="UZW21" s="2867"/>
      <c r="UZX21" s="2866"/>
      <c r="UZY21" s="2827"/>
      <c r="UZZ21" s="2867"/>
      <c r="VAA21" s="2866"/>
      <c r="VAB21" s="2827"/>
      <c r="VAC21" s="2867"/>
      <c r="VAD21" s="2866"/>
      <c r="VAE21" s="2827"/>
      <c r="VAF21" s="2867"/>
      <c r="VAG21" s="2866"/>
      <c r="VAH21" s="2827"/>
      <c r="VAI21" s="2867"/>
      <c r="VAJ21" s="2866"/>
      <c r="VAK21" s="2827"/>
      <c r="VAL21" s="2867"/>
      <c r="VAM21" s="2866"/>
      <c r="VAN21" s="2827"/>
      <c r="VAO21" s="2867"/>
      <c r="VAP21" s="2866"/>
      <c r="VAQ21" s="2827"/>
      <c r="VAR21" s="2867"/>
      <c r="VAS21" s="2866"/>
      <c r="VAT21" s="2827"/>
      <c r="VAU21" s="2867"/>
      <c r="VAV21" s="2866"/>
      <c r="VAW21" s="2827"/>
      <c r="VAX21" s="2867"/>
      <c r="VAY21" s="2866"/>
      <c r="VAZ21" s="2827"/>
      <c r="VBA21" s="2867"/>
      <c r="VBB21" s="2866"/>
      <c r="VBC21" s="2827"/>
      <c r="VBD21" s="2867"/>
      <c r="VBE21" s="2866"/>
      <c r="VBF21" s="2827"/>
      <c r="VBG21" s="2867"/>
      <c r="VBH21" s="2866"/>
      <c r="VBI21" s="2827"/>
      <c r="VBJ21" s="2867"/>
      <c r="VBK21" s="2866"/>
      <c r="VBL21" s="2827"/>
      <c r="VBM21" s="2867"/>
      <c r="VBN21" s="2866"/>
      <c r="VBO21" s="2827"/>
      <c r="VBP21" s="2867"/>
      <c r="VBQ21" s="2866"/>
      <c r="VBR21" s="2827"/>
      <c r="VBS21" s="2867"/>
      <c r="VBT21" s="2866"/>
      <c r="VBU21" s="2827"/>
      <c r="VBV21" s="2867"/>
      <c r="VBW21" s="2866"/>
      <c r="VBX21" s="2827"/>
      <c r="VBY21" s="2867"/>
      <c r="VBZ21" s="2866"/>
      <c r="VCA21" s="2827"/>
      <c r="VCB21" s="2867"/>
      <c r="VCC21" s="2866"/>
      <c r="VCD21" s="2827"/>
      <c r="VCE21" s="2867"/>
      <c r="VCF21" s="2866"/>
      <c r="VCG21" s="2827"/>
      <c r="VCH21" s="2867"/>
      <c r="VCI21" s="2866"/>
      <c r="VCJ21" s="2827"/>
      <c r="VCK21" s="2867"/>
      <c r="VCL21" s="2866"/>
      <c r="VCM21" s="2827"/>
      <c r="VCN21" s="2867"/>
      <c r="VCO21" s="2866"/>
      <c r="VCP21" s="2827"/>
      <c r="VCQ21" s="2867"/>
      <c r="VCR21" s="2866"/>
      <c r="VCS21" s="2827"/>
      <c r="VCT21" s="2867"/>
      <c r="VCU21" s="2866"/>
      <c r="VCV21" s="2827"/>
      <c r="VCW21" s="2867"/>
      <c r="VCX21" s="2866"/>
      <c r="VCY21" s="2827"/>
      <c r="VCZ21" s="2867"/>
      <c r="VDA21" s="2866"/>
      <c r="VDB21" s="2827"/>
      <c r="VDC21" s="2867"/>
      <c r="VDD21" s="2866"/>
      <c r="VDE21" s="2827"/>
      <c r="VDF21" s="2867"/>
      <c r="VDG21" s="2866"/>
      <c r="VDH21" s="2827"/>
      <c r="VDI21" s="2867"/>
      <c r="VDJ21" s="2866"/>
      <c r="VDK21" s="2827"/>
      <c r="VDL21" s="2867"/>
      <c r="VDM21" s="2866"/>
      <c r="VDN21" s="2827"/>
      <c r="VDO21" s="2867"/>
      <c r="VDP21" s="2866"/>
      <c r="VDQ21" s="2827"/>
      <c r="VDR21" s="2867"/>
      <c r="VDS21" s="2866"/>
      <c r="VDT21" s="2827"/>
      <c r="VDU21" s="2867"/>
      <c r="VDV21" s="2866"/>
      <c r="VDW21" s="2827"/>
      <c r="VDX21" s="2867"/>
      <c r="VDY21" s="2866"/>
      <c r="VDZ21" s="2827"/>
      <c r="VEA21" s="2867"/>
      <c r="VEB21" s="2866"/>
      <c r="VEC21" s="2827"/>
      <c r="VED21" s="2867"/>
      <c r="VEE21" s="2866"/>
      <c r="VEF21" s="2827"/>
      <c r="VEG21" s="2867"/>
      <c r="VEH21" s="2866"/>
      <c r="VEI21" s="2827"/>
      <c r="VEJ21" s="2867"/>
      <c r="VEK21" s="2866"/>
      <c r="VEL21" s="2827"/>
      <c r="VEM21" s="2867"/>
      <c r="VEN21" s="2866"/>
      <c r="VEO21" s="2827"/>
      <c r="VEP21" s="2867"/>
      <c r="VEQ21" s="2866"/>
      <c r="VER21" s="2827"/>
      <c r="VES21" s="2867"/>
      <c r="VET21" s="2866"/>
      <c r="VEU21" s="2827"/>
      <c r="VEV21" s="2867"/>
      <c r="VEW21" s="2866"/>
      <c r="VEX21" s="2827"/>
      <c r="VEY21" s="2867"/>
      <c r="VEZ21" s="2866"/>
      <c r="VFA21" s="2827"/>
      <c r="VFB21" s="2867"/>
      <c r="VFC21" s="2866"/>
      <c r="VFD21" s="2827"/>
      <c r="VFE21" s="2867"/>
      <c r="VFF21" s="2866"/>
      <c r="VFG21" s="2827"/>
      <c r="VFH21" s="2867"/>
      <c r="VFI21" s="2866"/>
      <c r="VFJ21" s="2827"/>
      <c r="VFK21" s="2867"/>
      <c r="VFL21" s="2866"/>
      <c r="VFM21" s="2827"/>
      <c r="VFN21" s="2867"/>
      <c r="VFO21" s="2866"/>
      <c r="VFP21" s="2827"/>
      <c r="VFQ21" s="2867"/>
      <c r="VFR21" s="2866"/>
      <c r="VFS21" s="2827"/>
      <c r="VFT21" s="2867"/>
      <c r="VFU21" s="2866"/>
      <c r="VFV21" s="2827"/>
      <c r="VFW21" s="2867"/>
      <c r="VFX21" s="2866"/>
      <c r="VFY21" s="2827"/>
      <c r="VFZ21" s="2867"/>
      <c r="VGA21" s="2866"/>
      <c r="VGB21" s="2827"/>
      <c r="VGC21" s="2867"/>
      <c r="VGD21" s="2866"/>
      <c r="VGE21" s="2827"/>
      <c r="VGF21" s="2867"/>
      <c r="VGG21" s="2866"/>
      <c r="VGH21" s="2827"/>
      <c r="VGI21" s="2867"/>
      <c r="VGJ21" s="2866"/>
      <c r="VGK21" s="2827"/>
      <c r="VGL21" s="2867"/>
      <c r="VGM21" s="2866"/>
      <c r="VGN21" s="2827"/>
      <c r="VGO21" s="2867"/>
      <c r="VGP21" s="2866"/>
      <c r="VGQ21" s="2827"/>
      <c r="VGR21" s="2867"/>
      <c r="VGS21" s="2866"/>
      <c r="VGT21" s="2827"/>
      <c r="VGU21" s="2867"/>
      <c r="VGV21" s="2866"/>
      <c r="VGW21" s="2827"/>
      <c r="VGX21" s="2867"/>
      <c r="VGY21" s="2866"/>
      <c r="VGZ21" s="2827"/>
      <c r="VHA21" s="2867"/>
      <c r="VHB21" s="2866"/>
      <c r="VHC21" s="2827"/>
      <c r="VHD21" s="2867"/>
      <c r="VHE21" s="2866"/>
      <c r="VHF21" s="2827"/>
      <c r="VHG21" s="2867"/>
      <c r="VHH21" s="2866"/>
      <c r="VHI21" s="2827"/>
      <c r="VHJ21" s="2867"/>
      <c r="VHK21" s="2866"/>
      <c r="VHL21" s="2827"/>
      <c r="VHM21" s="2867"/>
      <c r="VHN21" s="2866"/>
      <c r="VHO21" s="2827"/>
      <c r="VHP21" s="2867"/>
      <c r="VHQ21" s="2866"/>
      <c r="VHR21" s="2827"/>
      <c r="VHS21" s="2867"/>
      <c r="VHT21" s="2866"/>
      <c r="VHU21" s="2827"/>
      <c r="VHV21" s="2867"/>
      <c r="VHW21" s="2866"/>
      <c r="VHX21" s="2827"/>
      <c r="VHY21" s="2867"/>
      <c r="VHZ21" s="2866"/>
      <c r="VIA21" s="2827"/>
      <c r="VIB21" s="2867"/>
      <c r="VIC21" s="2866"/>
      <c r="VID21" s="2827"/>
      <c r="VIE21" s="2867"/>
      <c r="VIF21" s="2866"/>
      <c r="VIG21" s="2827"/>
      <c r="VIH21" s="2867"/>
      <c r="VII21" s="2866"/>
      <c r="VIJ21" s="2827"/>
      <c r="VIK21" s="2867"/>
      <c r="VIL21" s="2866"/>
      <c r="VIM21" s="2827"/>
      <c r="VIN21" s="2867"/>
      <c r="VIO21" s="2866"/>
      <c r="VIP21" s="2827"/>
      <c r="VIQ21" s="2867"/>
      <c r="VIR21" s="2866"/>
      <c r="VIS21" s="2827"/>
      <c r="VIT21" s="2867"/>
      <c r="VIU21" s="2866"/>
      <c r="VIV21" s="2827"/>
      <c r="VIW21" s="2867"/>
      <c r="VIX21" s="2866"/>
      <c r="VIY21" s="2827"/>
      <c r="VIZ21" s="2867"/>
      <c r="VJA21" s="2866"/>
      <c r="VJB21" s="2827"/>
      <c r="VJC21" s="2867"/>
      <c r="VJD21" s="2866"/>
      <c r="VJE21" s="2827"/>
      <c r="VJF21" s="2867"/>
      <c r="VJG21" s="2866"/>
      <c r="VJH21" s="2827"/>
      <c r="VJI21" s="2867"/>
      <c r="VJJ21" s="2866"/>
      <c r="VJK21" s="2827"/>
      <c r="VJL21" s="2867"/>
      <c r="VJM21" s="2866"/>
      <c r="VJN21" s="2827"/>
      <c r="VJO21" s="2867"/>
      <c r="VJP21" s="2866"/>
      <c r="VJQ21" s="2827"/>
      <c r="VJR21" s="2867"/>
      <c r="VJS21" s="2866"/>
      <c r="VJT21" s="2827"/>
      <c r="VJU21" s="2867"/>
      <c r="VJV21" s="2866"/>
      <c r="VJW21" s="2827"/>
      <c r="VJX21" s="2867"/>
      <c r="VJY21" s="2866"/>
      <c r="VJZ21" s="2827"/>
      <c r="VKA21" s="2867"/>
      <c r="VKB21" s="2866"/>
      <c r="VKC21" s="2827"/>
      <c r="VKD21" s="2867"/>
      <c r="VKE21" s="2866"/>
      <c r="VKF21" s="2827"/>
      <c r="VKG21" s="2867"/>
      <c r="VKH21" s="2866"/>
      <c r="VKI21" s="2827"/>
      <c r="VKJ21" s="2867"/>
      <c r="VKK21" s="2866"/>
      <c r="VKL21" s="2827"/>
      <c r="VKM21" s="2867"/>
      <c r="VKN21" s="2866"/>
      <c r="VKO21" s="2827"/>
      <c r="VKP21" s="2867"/>
      <c r="VKQ21" s="2866"/>
      <c r="VKR21" s="2827"/>
      <c r="VKS21" s="2867"/>
      <c r="VKT21" s="2866"/>
      <c r="VKU21" s="2827"/>
      <c r="VKV21" s="2867"/>
      <c r="VKW21" s="2866"/>
      <c r="VKX21" s="2827"/>
      <c r="VKY21" s="2867"/>
      <c r="VKZ21" s="2866"/>
      <c r="VLA21" s="2827"/>
      <c r="VLB21" s="2867"/>
      <c r="VLC21" s="2866"/>
      <c r="VLD21" s="2827"/>
      <c r="VLE21" s="2867"/>
      <c r="VLF21" s="2866"/>
      <c r="VLG21" s="2827"/>
      <c r="VLH21" s="2867"/>
      <c r="VLI21" s="2866"/>
      <c r="VLJ21" s="2827"/>
      <c r="VLK21" s="2867"/>
      <c r="VLL21" s="2866"/>
      <c r="VLM21" s="2827"/>
      <c r="VLN21" s="2867"/>
      <c r="VLO21" s="2866"/>
      <c r="VLP21" s="2827"/>
      <c r="VLQ21" s="2867"/>
      <c r="VLR21" s="2866"/>
      <c r="VLS21" s="2827"/>
      <c r="VLT21" s="2867"/>
      <c r="VLU21" s="2866"/>
      <c r="VLV21" s="2827"/>
      <c r="VLW21" s="2867"/>
      <c r="VLX21" s="2866"/>
      <c r="VLY21" s="2827"/>
      <c r="VLZ21" s="2867"/>
      <c r="VMA21" s="2866"/>
      <c r="VMB21" s="2827"/>
      <c r="VMC21" s="2867"/>
      <c r="VMD21" s="2866"/>
      <c r="VME21" s="2827"/>
      <c r="VMF21" s="2867"/>
      <c r="VMG21" s="2866"/>
      <c r="VMH21" s="2827"/>
      <c r="VMI21" s="2867"/>
      <c r="VMJ21" s="2866"/>
      <c r="VMK21" s="2827"/>
      <c r="VML21" s="2867"/>
      <c r="VMM21" s="2866"/>
      <c r="VMN21" s="2827"/>
      <c r="VMO21" s="2867"/>
      <c r="VMP21" s="2866"/>
      <c r="VMQ21" s="2827"/>
      <c r="VMR21" s="2867"/>
      <c r="VMS21" s="2866"/>
      <c r="VMT21" s="2827"/>
      <c r="VMU21" s="2867"/>
      <c r="VMV21" s="2866"/>
      <c r="VMW21" s="2827"/>
      <c r="VMX21" s="2867"/>
      <c r="VMY21" s="2866"/>
      <c r="VMZ21" s="2827"/>
      <c r="VNA21" s="2867"/>
      <c r="VNB21" s="2866"/>
      <c r="VNC21" s="2827"/>
      <c r="VND21" s="2867"/>
      <c r="VNE21" s="2866"/>
      <c r="VNF21" s="2827"/>
      <c r="VNG21" s="2867"/>
      <c r="VNH21" s="2866"/>
      <c r="VNI21" s="2827"/>
      <c r="VNJ21" s="2867"/>
      <c r="VNK21" s="2866"/>
      <c r="VNL21" s="2827"/>
      <c r="VNM21" s="2867"/>
      <c r="VNN21" s="2866"/>
      <c r="VNO21" s="2827"/>
      <c r="VNP21" s="2867"/>
      <c r="VNQ21" s="2866"/>
      <c r="VNR21" s="2827"/>
      <c r="VNS21" s="2867"/>
      <c r="VNT21" s="2866"/>
      <c r="VNU21" s="2827"/>
      <c r="VNV21" s="2867"/>
      <c r="VNW21" s="2866"/>
      <c r="VNX21" s="2827"/>
      <c r="VNY21" s="2867"/>
      <c r="VNZ21" s="2866"/>
      <c r="VOA21" s="2827"/>
      <c r="VOB21" s="2867"/>
      <c r="VOC21" s="2866"/>
      <c r="VOD21" s="2827"/>
      <c r="VOE21" s="2867"/>
      <c r="VOF21" s="2866"/>
      <c r="VOG21" s="2827"/>
      <c r="VOH21" s="2867"/>
      <c r="VOI21" s="2866"/>
      <c r="VOJ21" s="2827"/>
      <c r="VOK21" s="2867"/>
      <c r="VOL21" s="2866"/>
      <c r="VOM21" s="2827"/>
      <c r="VON21" s="2867"/>
      <c r="VOO21" s="2866"/>
      <c r="VOP21" s="2827"/>
      <c r="VOQ21" s="2867"/>
      <c r="VOR21" s="2866"/>
      <c r="VOS21" s="2827"/>
      <c r="VOT21" s="2867"/>
      <c r="VOU21" s="2866"/>
      <c r="VOV21" s="2827"/>
      <c r="VOW21" s="2867"/>
      <c r="VOX21" s="2866"/>
      <c r="VOY21" s="2827"/>
      <c r="VOZ21" s="2867"/>
      <c r="VPA21" s="2866"/>
      <c r="VPB21" s="2827"/>
      <c r="VPC21" s="2867"/>
      <c r="VPD21" s="2866"/>
      <c r="VPE21" s="2827"/>
      <c r="VPF21" s="2867"/>
      <c r="VPG21" s="2866"/>
      <c r="VPH21" s="2827"/>
      <c r="VPI21" s="2867"/>
      <c r="VPJ21" s="2866"/>
      <c r="VPK21" s="2827"/>
      <c r="VPL21" s="2867"/>
      <c r="VPM21" s="2866"/>
      <c r="VPN21" s="2827"/>
      <c r="VPO21" s="2867"/>
      <c r="VPP21" s="2866"/>
      <c r="VPQ21" s="2827"/>
      <c r="VPR21" s="2867"/>
      <c r="VPS21" s="2866"/>
      <c r="VPT21" s="2827"/>
      <c r="VPU21" s="2867"/>
      <c r="VPV21" s="2866"/>
      <c r="VPW21" s="2827"/>
      <c r="VPX21" s="2867"/>
      <c r="VPY21" s="2866"/>
      <c r="VPZ21" s="2827"/>
      <c r="VQA21" s="2867"/>
      <c r="VQB21" s="2866"/>
      <c r="VQC21" s="2827"/>
      <c r="VQD21" s="2867"/>
      <c r="VQE21" s="2866"/>
      <c r="VQF21" s="2827"/>
      <c r="VQG21" s="2867"/>
      <c r="VQH21" s="2866"/>
      <c r="VQI21" s="2827"/>
      <c r="VQJ21" s="2867"/>
      <c r="VQK21" s="2866"/>
      <c r="VQL21" s="2827"/>
      <c r="VQM21" s="2867"/>
      <c r="VQN21" s="2866"/>
      <c r="VQO21" s="2827"/>
      <c r="VQP21" s="2867"/>
      <c r="VQQ21" s="2866"/>
      <c r="VQR21" s="2827"/>
      <c r="VQS21" s="2867"/>
      <c r="VQT21" s="2866"/>
      <c r="VQU21" s="2827"/>
      <c r="VQV21" s="2867"/>
      <c r="VQW21" s="2866"/>
      <c r="VQX21" s="2827"/>
      <c r="VQY21" s="2867"/>
      <c r="VQZ21" s="2866"/>
      <c r="VRA21" s="2827"/>
      <c r="VRB21" s="2867"/>
      <c r="VRC21" s="2866"/>
      <c r="VRD21" s="2827"/>
      <c r="VRE21" s="2867"/>
      <c r="VRF21" s="2866"/>
      <c r="VRG21" s="2827"/>
      <c r="VRH21" s="2867"/>
      <c r="VRI21" s="2866"/>
      <c r="VRJ21" s="2827"/>
      <c r="VRK21" s="2867"/>
      <c r="VRL21" s="2866"/>
      <c r="VRM21" s="2827"/>
      <c r="VRN21" s="2867"/>
      <c r="VRO21" s="2866"/>
      <c r="VRP21" s="2827"/>
      <c r="VRQ21" s="2867"/>
      <c r="VRR21" s="2866"/>
      <c r="VRS21" s="2827"/>
      <c r="VRT21" s="2867"/>
      <c r="VRU21" s="2866"/>
      <c r="VRV21" s="2827"/>
      <c r="VRW21" s="2867"/>
      <c r="VRX21" s="2866"/>
      <c r="VRY21" s="2827"/>
      <c r="VRZ21" s="2867"/>
      <c r="VSA21" s="2866"/>
      <c r="VSB21" s="2827"/>
      <c r="VSC21" s="2867"/>
      <c r="VSD21" s="2866"/>
      <c r="VSE21" s="2827"/>
      <c r="VSF21" s="2867"/>
      <c r="VSG21" s="2866"/>
      <c r="VSH21" s="2827"/>
      <c r="VSI21" s="2867"/>
      <c r="VSJ21" s="2866"/>
      <c r="VSK21" s="2827"/>
      <c r="VSL21" s="2867"/>
      <c r="VSM21" s="2866"/>
      <c r="VSN21" s="2827"/>
      <c r="VSO21" s="2867"/>
      <c r="VSP21" s="2866"/>
      <c r="VSQ21" s="2827"/>
      <c r="VSR21" s="2867"/>
      <c r="VSS21" s="2866"/>
      <c r="VST21" s="2827"/>
      <c r="VSU21" s="2867"/>
      <c r="VSV21" s="2866"/>
      <c r="VSW21" s="2827"/>
      <c r="VSX21" s="2867"/>
      <c r="VSY21" s="2866"/>
      <c r="VSZ21" s="2827"/>
      <c r="VTA21" s="2867"/>
      <c r="VTB21" s="2866"/>
      <c r="VTC21" s="2827"/>
      <c r="VTD21" s="2867"/>
      <c r="VTE21" s="2866"/>
      <c r="VTF21" s="2827"/>
      <c r="VTG21" s="2867"/>
      <c r="VTH21" s="2866"/>
      <c r="VTI21" s="2827"/>
      <c r="VTJ21" s="2867"/>
      <c r="VTK21" s="2866"/>
      <c r="VTL21" s="2827"/>
      <c r="VTM21" s="2867"/>
      <c r="VTN21" s="2866"/>
      <c r="VTO21" s="2827"/>
      <c r="VTP21" s="2867"/>
      <c r="VTQ21" s="2866"/>
      <c r="VTR21" s="2827"/>
      <c r="VTS21" s="2867"/>
      <c r="VTT21" s="2866"/>
      <c r="VTU21" s="2827"/>
      <c r="VTV21" s="2867"/>
      <c r="VTW21" s="2866"/>
      <c r="VTX21" s="2827"/>
      <c r="VTY21" s="2867"/>
      <c r="VTZ21" s="2866"/>
      <c r="VUA21" s="2827"/>
      <c r="VUB21" s="2867"/>
      <c r="VUC21" s="2866"/>
      <c r="VUD21" s="2827"/>
      <c r="VUE21" s="2867"/>
      <c r="VUF21" s="2866"/>
      <c r="VUG21" s="2827"/>
      <c r="VUH21" s="2867"/>
      <c r="VUI21" s="2866"/>
      <c r="VUJ21" s="2827"/>
      <c r="VUK21" s="2867"/>
      <c r="VUL21" s="2866"/>
      <c r="VUM21" s="2827"/>
      <c r="VUN21" s="2867"/>
      <c r="VUO21" s="2866"/>
      <c r="VUP21" s="2827"/>
      <c r="VUQ21" s="2867"/>
      <c r="VUR21" s="2866"/>
      <c r="VUS21" s="2827"/>
      <c r="VUT21" s="2867"/>
      <c r="VUU21" s="2866"/>
      <c r="VUV21" s="2827"/>
      <c r="VUW21" s="2867"/>
      <c r="VUX21" s="2866"/>
      <c r="VUY21" s="2827"/>
      <c r="VUZ21" s="2867"/>
      <c r="VVA21" s="2866"/>
      <c r="VVB21" s="2827"/>
      <c r="VVC21" s="2867"/>
      <c r="VVD21" s="2866"/>
      <c r="VVE21" s="2827"/>
      <c r="VVF21" s="2867"/>
      <c r="VVG21" s="2866"/>
      <c r="VVH21" s="2827"/>
      <c r="VVI21" s="2867"/>
      <c r="VVJ21" s="2866"/>
      <c r="VVK21" s="2827"/>
      <c r="VVL21" s="2867"/>
      <c r="VVM21" s="2866"/>
      <c r="VVN21" s="2827"/>
      <c r="VVO21" s="2867"/>
      <c r="VVP21" s="2866"/>
      <c r="VVQ21" s="2827"/>
      <c r="VVR21" s="2867"/>
      <c r="VVS21" s="2866"/>
      <c r="VVT21" s="2827"/>
      <c r="VVU21" s="2867"/>
      <c r="VVV21" s="2866"/>
      <c r="VVW21" s="2827"/>
      <c r="VVX21" s="2867"/>
      <c r="VVY21" s="2866"/>
      <c r="VVZ21" s="2827"/>
      <c r="VWA21" s="2867"/>
      <c r="VWB21" s="2866"/>
      <c r="VWC21" s="2827"/>
      <c r="VWD21" s="2867"/>
      <c r="VWE21" s="2866"/>
      <c r="VWF21" s="2827"/>
      <c r="VWG21" s="2867"/>
      <c r="VWH21" s="2866"/>
      <c r="VWI21" s="2827"/>
      <c r="VWJ21" s="2867"/>
      <c r="VWK21" s="2866"/>
      <c r="VWL21" s="2827"/>
      <c r="VWM21" s="2867"/>
      <c r="VWN21" s="2866"/>
      <c r="VWO21" s="2827"/>
      <c r="VWP21" s="2867"/>
      <c r="VWQ21" s="2866"/>
      <c r="VWR21" s="2827"/>
      <c r="VWS21" s="2867"/>
      <c r="VWT21" s="2866"/>
      <c r="VWU21" s="2827"/>
      <c r="VWV21" s="2867"/>
      <c r="VWW21" s="2866"/>
      <c r="VWX21" s="2827"/>
      <c r="VWY21" s="2867"/>
      <c r="VWZ21" s="2866"/>
      <c r="VXA21" s="2827"/>
      <c r="VXB21" s="2867"/>
      <c r="VXC21" s="2866"/>
      <c r="VXD21" s="2827"/>
      <c r="VXE21" s="2867"/>
      <c r="VXF21" s="2866"/>
      <c r="VXG21" s="2827"/>
      <c r="VXH21" s="2867"/>
      <c r="VXI21" s="2866"/>
      <c r="VXJ21" s="2827"/>
      <c r="VXK21" s="2867"/>
      <c r="VXL21" s="2866"/>
      <c r="VXM21" s="2827"/>
      <c r="VXN21" s="2867"/>
      <c r="VXO21" s="2866"/>
      <c r="VXP21" s="2827"/>
      <c r="VXQ21" s="2867"/>
      <c r="VXR21" s="2866"/>
      <c r="VXS21" s="2827"/>
      <c r="VXT21" s="2867"/>
      <c r="VXU21" s="2866"/>
      <c r="VXV21" s="2827"/>
      <c r="VXW21" s="2867"/>
      <c r="VXX21" s="2866"/>
      <c r="VXY21" s="2827"/>
      <c r="VXZ21" s="2867"/>
      <c r="VYA21" s="2866"/>
      <c r="VYB21" s="2827"/>
      <c r="VYC21" s="2867"/>
      <c r="VYD21" s="2866"/>
      <c r="VYE21" s="2827"/>
      <c r="VYF21" s="2867"/>
      <c r="VYG21" s="2866"/>
      <c r="VYH21" s="2827"/>
      <c r="VYI21" s="2867"/>
      <c r="VYJ21" s="2866"/>
      <c r="VYK21" s="2827"/>
      <c r="VYL21" s="2867"/>
      <c r="VYM21" s="2866"/>
      <c r="VYN21" s="2827"/>
      <c r="VYO21" s="2867"/>
      <c r="VYP21" s="2866"/>
      <c r="VYQ21" s="2827"/>
      <c r="VYR21" s="2867"/>
      <c r="VYS21" s="2866"/>
      <c r="VYT21" s="2827"/>
      <c r="VYU21" s="2867"/>
      <c r="VYV21" s="2866"/>
      <c r="VYW21" s="2827"/>
      <c r="VYX21" s="2867"/>
      <c r="VYY21" s="2866"/>
      <c r="VYZ21" s="2827"/>
      <c r="VZA21" s="2867"/>
      <c r="VZB21" s="2866"/>
      <c r="VZC21" s="2827"/>
      <c r="VZD21" s="2867"/>
      <c r="VZE21" s="2866"/>
      <c r="VZF21" s="2827"/>
      <c r="VZG21" s="2867"/>
      <c r="VZH21" s="2866"/>
      <c r="VZI21" s="2827"/>
      <c r="VZJ21" s="2867"/>
      <c r="VZK21" s="2866"/>
      <c r="VZL21" s="2827"/>
      <c r="VZM21" s="2867"/>
      <c r="VZN21" s="2866"/>
      <c r="VZO21" s="2827"/>
      <c r="VZP21" s="2867"/>
      <c r="VZQ21" s="2866"/>
      <c r="VZR21" s="2827"/>
      <c r="VZS21" s="2867"/>
      <c r="VZT21" s="2866"/>
      <c r="VZU21" s="2827"/>
      <c r="VZV21" s="2867"/>
      <c r="VZW21" s="2866"/>
      <c r="VZX21" s="2827"/>
      <c r="VZY21" s="2867"/>
      <c r="VZZ21" s="2866"/>
      <c r="WAA21" s="2827"/>
      <c r="WAB21" s="2867"/>
      <c r="WAC21" s="2866"/>
      <c r="WAD21" s="2827"/>
      <c r="WAE21" s="2867"/>
      <c r="WAF21" s="2866"/>
      <c r="WAG21" s="2827"/>
      <c r="WAH21" s="2867"/>
      <c r="WAI21" s="2866"/>
      <c r="WAJ21" s="2827"/>
      <c r="WAK21" s="2867"/>
      <c r="WAL21" s="2866"/>
      <c r="WAM21" s="2827"/>
      <c r="WAN21" s="2867"/>
      <c r="WAO21" s="2866"/>
      <c r="WAP21" s="2827"/>
      <c r="WAQ21" s="2867"/>
      <c r="WAR21" s="2866"/>
      <c r="WAS21" s="2827"/>
      <c r="WAT21" s="2867"/>
      <c r="WAU21" s="2866"/>
      <c r="WAV21" s="2827"/>
      <c r="WAW21" s="2867"/>
      <c r="WAX21" s="2866"/>
      <c r="WAY21" s="2827"/>
      <c r="WAZ21" s="2867"/>
      <c r="WBA21" s="2866"/>
      <c r="WBB21" s="2827"/>
      <c r="WBC21" s="2867"/>
      <c r="WBD21" s="2866"/>
      <c r="WBE21" s="2827"/>
      <c r="WBF21" s="2867"/>
      <c r="WBG21" s="2866"/>
      <c r="WBH21" s="2827"/>
      <c r="WBI21" s="2867"/>
      <c r="WBJ21" s="2866"/>
      <c r="WBK21" s="2827"/>
      <c r="WBL21" s="2867"/>
      <c r="WBM21" s="2866"/>
      <c r="WBN21" s="2827"/>
      <c r="WBO21" s="2867"/>
      <c r="WBP21" s="2866"/>
      <c r="WBQ21" s="2827"/>
      <c r="WBR21" s="2867"/>
      <c r="WBS21" s="2866"/>
      <c r="WBT21" s="2827"/>
      <c r="WBU21" s="2867"/>
      <c r="WBV21" s="2866"/>
      <c r="WBW21" s="2827"/>
      <c r="WBX21" s="2867"/>
      <c r="WBY21" s="2866"/>
      <c r="WBZ21" s="2827"/>
      <c r="WCA21" s="2867"/>
      <c r="WCB21" s="2866"/>
      <c r="WCC21" s="2827"/>
      <c r="WCD21" s="2867"/>
      <c r="WCE21" s="2866"/>
      <c r="WCF21" s="2827"/>
      <c r="WCG21" s="2867"/>
      <c r="WCH21" s="2866"/>
      <c r="WCI21" s="2827"/>
      <c r="WCJ21" s="2867"/>
      <c r="WCK21" s="2866"/>
      <c r="WCL21" s="2827"/>
      <c r="WCM21" s="2867"/>
      <c r="WCN21" s="2866"/>
      <c r="WCO21" s="2827"/>
      <c r="WCP21" s="2867"/>
      <c r="WCQ21" s="2866"/>
      <c r="WCR21" s="2827"/>
      <c r="WCS21" s="2867"/>
      <c r="WCT21" s="2866"/>
      <c r="WCU21" s="2827"/>
      <c r="WCV21" s="2867"/>
      <c r="WCW21" s="2866"/>
      <c r="WCX21" s="2827"/>
      <c r="WCY21" s="2867"/>
      <c r="WCZ21" s="2866"/>
      <c r="WDA21" s="2827"/>
      <c r="WDB21" s="2867"/>
      <c r="WDC21" s="2866"/>
      <c r="WDD21" s="2827"/>
      <c r="WDE21" s="2867"/>
      <c r="WDF21" s="2866"/>
      <c r="WDG21" s="2827"/>
      <c r="WDH21" s="2867"/>
      <c r="WDI21" s="2866"/>
      <c r="WDJ21" s="2827"/>
      <c r="WDK21" s="2867"/>
      <c r="WDL21" s="2866"/>
      <c r="WDM21" s="2827"/>
      <c r="WDN21" s="2867"/>
      <c r="WDO21" s="2866"/>
      <c r="WDP21" s="2827"/>
      <c r="WDQ21" s="2867"/>
      <c r="WDR21" s="2866"/>
      <c r="WDS21" s="2827"/>
      <c r="WDT21" s="2867"/>
      <c r="WDU21" s="2866"/>
      <c r="WDV21" s="2827"/>
      <c r="WDW21" s="2867"/>
      <c r="WDX21" s="2866"/>
      <c r="WDY21" s="2827"/>
      <c r="WDZ21" s="2867"/>
      <c r="WEA21" s="2866"/>
      <c r="WEB21" s="2827"/>
      <c r="WEC21" s="2867"/>
      <c r="WED21" s="2866"/>
      <c r="WEE21" s="2827"/>
      <c r="WEF21" s="2867"/>
      <c r="WEG21" s="2866"/>
      <c r="WEH21" s="2827"/>
      <c r="WEI21" s="2867"/>
      <c r="WEJ21" s="2866"/>
      <c r="WEK21" s="2827"/>
      <c r="WEL21" s="2867"/>
      <c r="WEM21" s="2866"/>
      <c r="WEN21" s="2827"/>
      <c r="WEO21" s="2867"/>
      <c r="WEP21" s="2866"/>
      <c r="WEQ21" s="2827"/>
      <c r="WER21" s="2867"/>
      <c r="WES21" s="2866"/>
      <c r="WET21" s="2827"/>
      <c r="WEU21" s="2867"/>
      <c r="WEV21" s="2866"/>
      <c r="WEW21" s="2827"/>
      <c r="WEX21" s="2867"/>
      <c r="WEY21" s="2866"/>
      <c r="WEZ21" s="2827"/>
      <c r="WFA21" s="2867"/>
      <c r="WFB21" s="2866"/>
      <c r="WFC21" s="2827"/>
      <c r="WFD21" s="2867"/>
      <c r="WFE21" s="2866"/>
      <c r="WFF21" s="2827"/>
      <c r="WFG21" s="2867"/>
      <c r="WFH21" s="2866"/>
      <c r="WFI21" s="2827"/>
      <c r="WFJ21" s="2867"/>
      <c r="WFK21" s="2866"/>
      <c r="WFL21" s="2827"/>
      <c r="WFM21" s="2867"/>
      <c r="WFN21" s="2866"/>
      <c r="WFO21" s="2827"/>
      <c r="WFP21" s="2867"/>
      <c r="WFQ21" s="2866"/>
      <c r="WFR21" s="2827"/>
      <c r="WFS21" s="2867"/>
      <c r="WFT21" s="2866"/>
      <c r="WFU21" s="2827"/>
      <c r="WFV21" s="2867"/>
      <c r="WFW21" s="2866"/>
      <c r="WFX21" s="2827"/>
      <c r="WFY21" s="2867"/>
      <c r="WFZ21" s="2866"/>
      <c r="WGA21" s="2827"/>
      <c r="WGB21" s="2867"/>
      <c r="WGC21" s="2866"/>
      <c r="WGD21" s="2827"/>
      <c r="WGE21" s="2867"/>
      <c r="WGF21" s="2866"/>
      <c r="WGG21" s="2827"/>
      <c r="WGH21" s="2867"/>
      <c r="WGI21" s="2866"/>
      <c r="WGJ21" s="2827"/>
      <c r="WGK21" s="2867"/>
      <c r="WGL21" s="2866"/>
      <c r="WGM21" s="2827"/>
      <c r="WGN21" s="2867"/>
      <c r="WGO21" s="2866"/>
      <c r="WGP21" s="2827"/>
      <c r="WGQ21" s="2867"/>
      <c r="WGR21" s="2866"/>
      <c r="WGS21" s="2827"/>
      <c r="WGT21" s="2867"/>
      <c r="WGU21" s="2866"/>
      <c r="WGV21" s="2827"/>
      <c r="WGW21" s="2867"/>
      <c r="WGX21" s="2866"/>
      <c r="WGY21" s="2827"/>
      <c r="WGZ21" s="2867"/>
      <c r="WHA21" s="2866"/>
      <c r="WHB21" s="2827"/>
      <c r="WHC21" s="2867"/>
      <c r="WHD21" s="2866"/>
      <c r="WHE21" s="2827"/>
      <c r="WHF21" s="2867"/>
      <c r="WHG21" s="2866"/>
      <c r="WHH21" s="2827"/>
      <c r="WHI21" s="2867"/>
      <c r="WHJ21" s="2866"/>
      <c r="WHK21" s="2827"/>
      <c r="WHL21" s="2867"/>
      <c r="WHM21" s="2866"/>
      <c r="WHN21" s="2827"/>
      <c r="WHO21" s="2867"/>
      <c r="WHP21" s="2866"/>
      <c r="WHQ21" s="2827"/>
      <c r="WHR21" s="2867"/>
      <c r="WHS21" s="2866"/>
      <c r="WHT21" s="2827"/>
      <c r="WHU21" s="2867"/>
      <c r="WHV21" s="2866"/>
      <c r="WHW21" s="2827"/>
      <c r="WHX21" s="2867"/>
      <c r="WHY21" s="2866"/>
      <c r="WHZ21" s="2827"/>
      <c r="WIA21" s="2867"/>
      <c r="WIB21" s="2866"/>
      <c r="WIC21" s="2827"/>
      <c r="WID21" s="2867"/>
      <c r="WIE21" s="2866"/>
      <c r="WIF21" s="2827"/>
      <c r="WIG21" s="2867"/>
      <c r="WIH21" s="2866"/>
      <c r="WII21" s="2827"/>
      <c r="WIJ21" s="2867"/>
      <c r="WIK21" s="2866"/>
      <c r="WIL21" s="2827"/>
      <c r="WIM21" s="2867"/>
      <c r="WIN21" s="2866"/>
      <c r="WIO21" s="2827"/>
      <c r="WIP21" s="2867"/>
      <c r="WIQ21" s="2866"/>
      <c r="WIR21" s="2827"/>
      <c r="WIS21" s="2867"/>
      <c r="WIT21" s="2866"/>
      <c r="WIU21" s="2827"/>
      <c r="WIV21" s="2867"/>
      <c r="WIW21" s="2866"/>
      <c r="WIX21" s="2827"/>
      <c r="WIY21" s="2867"/>
      <c r="WIZ21" s="2866"/>
      <c r="WJA21" s="2827"/>
      <c r="WJB21" s="2867"/>
      <c r="WJC21" s="2866"/>
      <c r="WJD21" s="2827"/>
      <c r="WJE21" s="2867"/>
      <c r="WJF21" s="2866"/>
      <c r="WJG21" s="2827"/>
      <c r="WJH21" s="2867"/>
      <c r="WJI21" s="2866"/>
      <c r="WJJ21" s="2827"/>
      <c r="WJK21" s="2867"/>
      <c r="WJL21" s="2866"/>
      <c r="WJM21" s="2827"/>
      <c r="WJN21" s="2867"/>
      <c r="WJO21" s="2866"/>
      <c r="WJP21" s="2827"/>
      <c r="WJQ21" s="2867"/>
      <c r="WJR21" s="2866"/>
      <c r="WJS21" s="2827"/>
      <c r="WJT21" s="2867"/>
      <c r="WJU21" s="2866"/>
      <c r="WJV21" s="2827"/>
      <c r="WJW21" s="2867"/>
      <c r="WJX21" s="2866"/>
      <c r="WJY21" s="2827"/>
      <c r="WJZ21" s="2867"/>
      <c r="WKA21" s="2866"/>
      <c r="WKB21" s="2827"/>
      <c r="WKC21" s="2867"/>
      <c r="WKD21" s="2866"/>
      <c r="WKE21" s="2827"/>
      <c r="WKF21" s="2867"/>
      <c r="WKG21" s="2866"/>
      <c r="WKH21" s="2827"/>
      <c r="WKI21" s="2867"/>
      <c r="WKJ21" s="2866"/>
      <c r="WKK21" s="2827"/>
      <c r="WKL21" s="2867"/>
      <c r="WKM21" s="2866"/>
      <c r="WKN21" s="2827"/>
      <c r="WKO21" s="2867"/>
      <c r="WKP21" s="2866"/>
      <c r="WKQ21" s="2827"/>
      <c r="WKR21" s="2867"/>
      <c r="WKS21" s="2866"/>
      <c r="WKT21" s="2827"/>
      <c r="WKU21" s="2867"/>
      <c r="WKV21" s="2866"/>
      <c r="WKW21" s="2827"/>
      <c r="WKX21" s="2867"/>
      <c r="WKY21" s="2866"/>
      <c r="WKZ21" s="2827"/>
      <c r="WLA21" s="2867"/>
      <c r="WLB21" s="2866"/>
      <c r="WLC21" s="2827"/>
      <c r="WLD21" s="2867"/>
      <c r="WLE21" s="2866"/>
      <c r="WLF21" s="2827"/>
      <c r="WLG21" s="2867"/>
      <c r="WLH21" s="2866"/>
      <c r="WLI21" s="2827"/>
      <c r="WLJ21" s="2867"/>
      <c r="WLK21" s="2866"/>
      <c r="WLL21" s="2827"/>
      <c r="WLM21" s="2867"/>
      <c r="WLN21" s="2866"/>
      <c r="WLO21" s="2827"/>
      <c r="WLP21" s="2867"/>
      <c r="WLQ21" s="2866"/>
      <c r="WLR21" s="2827"/>
      <c r="WLS21" s="2867"/>
      <c r="WLT21" s="2866"/>
      <c r="WLU21" s="2827"/>
      <c r="WLV21" s="2867"/>
      <c r="WLW21" s="2866"/>
      <c r="WLX21" s="2827"/>
      <c r="WLY21" s="2867"/>
      <c r="WLZ21" s="2866"/>
      <c r="WMA21" s="2827"/>
      <c r="WMB21" s="2867"/>
      <c r="WMC21" s="2866"/>
      <c r="WMD21" s="2827"/>
      <c r="WME21" s="2867"/>
      <c r="WMF21" s="2866"/>
      <c r="WMG21" s="2827"/>
      <c r="WMH21" s="2867"/>
      <c r="WMI21" s="2866"/>
      <c r="WMJ21" s="2827"/>
      <c r="WMK21" s="2867"/>
      <c r="WML21" s="2866"/>
      <c r="WMM21" s="2827"/>
      <c r="WMN21" s="2867"/>
      <c r="WMO21" s="2866"/>
      <c r="WMP21" s="2827"/>
      <c r="WMQ21" s="2867"/>
      <c r="WMR21" s="2866"/>
      <c r="WMS21" s="2827"/>
      <c r="WMT21" s="2867"/>
      <c r="WMU21" s="2866"/>
      <c r="WMV21" s="2827"/>
      <c r="WMW21" s="2867"/>
      <c r="WMX21" s="2866"/>
      <c r="WMY21" s="2827"/>
      <c r="WMZ21" s="2867"/>
      <c r="WNA21" s="2866"/>
      <c r="WNB21" s="2827"/>
      <c r="WNC21" s="2867"/>
      <c r="WND21" s="2866"/>
      <c r="WNE21" s="2827"/>
      <c r="WNF21" s="2867"/>
      <c r="WNG21" s="2866"/>
      <c r="WNH21" s="2827"/>
      <c r="WNI21" s="2867"/>
      <c r="WNJ21" s="2866"/>
      <c r="WNK21" s="2827"/>
      <c r="WNL21" s="2867"/>
      <c r="WNM21" s="2866"/>
      <c r="WNN21" s="2827"/>
      <c r="WNO21" s="2867"/>
      <c r="WNP21" s="2866"/>
      <c r="WNQ21" s="2827"/>
      <c r="WNR21" s="2867"/>
      <c r="WNS21" s="2866"/>
      <c r="WNT21" s="2827"/>
      <c r="WNU21" s="2867"/>
      <c r="WNV21" s="2866"/>
      <c r="WNW21" s="2827"/>
      <c r="WNX21" s="2867"/>
      <c r="WNY21" s="2866"/>
      <c r="WNZ21" s="2827"/>
      <c r="WOA21" s="2867"/>
      <c r="WOB21" s="2866"/>
      <c r="WOC21" s="2827"/>
      <c r="WOD21" s="2867"/>
      <c r="WOE21" s="2866"/>
      <c r="WOF21" s="2827"/>
      <c r="WOG21" s="2867"/>
      <c r="WOH21" s="2866"/>
      <c r="WOI21" s="2827"/>
      <c r="WOJ21" s="2867"/>
      <c r="WOK21" s="2866"/>
      <c r="WOL21" s="2827"/>
      <c r="WOM21" s="2867"/>
      <c r="WON21" s="2866"/>
      <c r="WOO21" s="2827"/>
      <c r="WOP21" s="2867"/>
      <c r="WOQ21" s="2866"/>
      <c r="WOR21" s="2827"/>
      <c r="WOS21" s="2867"/>
      <c r="WOT21" s="2866"/>
      <c r="WOU21" s="2827"/>
      <c r="WOV21" s="2867"/>
      <c r="WOW21" s="2866"/>
      <c r="WOX21" s="2827"/>
      <c r="WOY21" s="2867"/>
      <c r="WOZ21" s="2866"/>
      <c r="WPA21" s="2827"/>
      <c r="WPB21" s="2867"/>
      <c r="WPC21" s="2866"/>
      <c r="WPD21" s="2827"/>
      <c r="WPE21" s="2867"/>
      <c r="WPF21" s="2866"/>
      <c r="WPG21" s="2827"/>
      <c r="WPH21" s="2867"/>
      <c r="WPI21" s="2866"/>
      <c r="WPJ21" s="2827"/>
      <c r="WPK21" s="2867"/>
      <c r="WPL21" s="2866"/>
      <c r="WPM21" s="2827"/>
      <c r="WPN21" s="2867"/>
      <c r="WPO21" s="2866"/>
      <c r="WPP21" s="2827"/>
      <c r="WPQ21" s="2867"/>
      <c r="WPR21" s="2866"/>
      <c r="WPS21" s="2827"/>
      <c r="WPT21" s="2867"/>
      <c r="WPU21" s="2866"/>
      <c r="WPV21" s="2827"/>
      <c r="WPW21" s="2867"/>
      <c r="WPX21" s="2866"/>
      <c r="WPY21" s="2827"/>
      <c r="WPZ21" s="2867"/>
      <c r="WQA21" s="2866"/>
      <c r="WQB21" s="2827"/>
      <c r="WQC21" s="2867"/>
      <c r="WQD21" s="2866"/>
      <c r="WQE21" s="2827"/>
      <c r="WQF21" s="2867"/>
      <c r="WQG21" s="2866"/>
      <c r="WQH21" s="2827"/>
      <c r="WQI21" s="2867"/>
      <c r="WQJ21" s="2866"/>
      <c r="WQK21" s="2827"/>
      <c r="WQL21" s="2867"/>
      <c r="WQM21" s="2866"/>
      <c r="WQN21" s="2827"/>
      <c r="WQO21" s="2867"/>
      <c r="WQP21" s="2866"/>
      <c r="WQQ21" s="2827"/>
      <c r="WQR21" s="2867"/>
      <c r="WQS21" s="2866"/>
      <c r="WQT21" s="2827"/>
      <c r="WQU21" s="2867"/>
      <c r="WQV21" s="2866"/>
      <c r="WQW21" s="2827"/>
      <c r="WQX21" s="2867"/>
      <c r="WQY21" s="2866"/>
      <c r="WQZ21" s="2827"/>
      <c r="WRA21" s="2867"/>
      <c r="WRB21" s="2866"/>
      <c r="WRC21" s="2827"/>
      <c r="WRD21" s="2867"/>
      <c r="WRE21" s="2866"/>
      <c r="WRF21" s="2827"/>
      <c r="WRG21" s="2867"/>
      <c r="WRH21" s="2866"/>
      <c r="WRI21" s="2827"/>
      <c r="WRJ21" s="2867"/>
      <c r="WRK21" s="2866"/>
      <c r="WRL21" s="2827"/>
      <c r="WRM21" s="2867"/>
      <c r="WRN21" s="2866"/>
      <c r="WRO21" s="2827"/>
      <c r="WRP21" s="2867"/>
      <c r="WRQ21" s="2866"/>
      <c r="WRR21" s="2827"/>
      <c r="WRS21" s="2867"/>
      <c r="WRT21" s="2866"/>
      <c r="WRU21" s="2827"/>
      <c r="WRV21" s="2867"/>
      <c r="WRW21" s="2866"/>
      <c r="WRX21" s="2827"/>
      <c r="WRY21" s="2867"/>
      <c r="WRZ21" s="2866"/>
      <c r="WSA21" s="2827"/>
      <c r="WSB21" s="2867"/>
      <c r="WSC21" s="2866"/>
      <c r="WSD21" s="2827"/>
      <c r="WSE21" s="2867"/>
      <c r="WSF21" s="2866"/>
      <c r="WSG21" s="2827"/>
      <c r="WSH21" s="2867"/>
      <c r="WSI21" s="2866"/>
      <c r="WSJ21" s="2827"/>
      <c r="WSK21" s="2867"/>
      <c r="WSL21" s="2866"/>
      <c r="WSM21" s="2827"/>
      <c r="WSN21" s="2867"/>
      <c r="WSO21" s="2866"/>
      <c r="WSP21" s="2827"/>
      <c r="WSQ21" s="2867"/>
      <c r="WSR21" s="2866"/>
      <c r="WSS21" s="2827"/>
      <c r="WST21" s="2867"/>
      <c r="WSU21" s="2866"/>
      <c r="WSV21" s="2827"/>
      <c r="WSW21" s="2867"/>
      <c r="WSX21" s="2866"/>
      <c r="WSY21" s="2827"/>
      <c r="WSZ21" s="2867"/>
      <c r="WTA21" s="2866"/>
      <c r="WTB21" s="2827"/>
      <c r="WTC21" s="2867"/>
      <c r="WTD21" s="2866"/>
      <c r="WTE21" s="2827"/>
      <c r="WTF21" s="2867"/>
      <c r="WTG21" s="2866"/>
      <c r="WTH21" s="2827"/>
      <c r="WTI21" s="2867"/>
      <c r="WTJ21" s="2866"/>
      <c r="WTK21" s="2827"/>
      <c r="WTL21" s="2867"/>
      <c r="WTM21" s="2866"/>
      <c r="WTN21" s="2827"/>
      <c r="WTO21" s="2867"/>
      <c r="WTP21" s="2866"/>
      <c r="WTQ21" s="2827"/>
      <c r="WTR21" s="2867"/>
      <c r="WTS21" s="2866"/>
      <c r="WTT21" s="2827"/>
      <c r="WTU21" s="2867"/>
      <c r="WTV21" s="2866"/>
      <c r="WTW21" s="2827"/>
      <c r="WTX21" s="2867"/>
      <c r="WTY21" s="2866"/>
      <c r="WTZ21" s="2827"/>
      <c r="WUA21" s="2867"/>
      <c r="WUB21" s="2866"/>
      <c r="WUC21" s="2827"/>
      <c r="WUD21" s="2867"/>
      <c r="WUE21" s="2866"/>
      <c r="WUF21" s="2827"/>
      <c r="WUG21" s="2867"/>
      <c r="WUH21" s="2866"/>
      <c r="WUI21" s="2827"/>
      <c r="WUJ21" s="2867"/>
      <c r="WUK21" s="2866"/>
      <c r="WUL21" s="2827"/>
      <c r="WUM21" s="2867"/>
      <c r="WUN21" s="2866"/>
      <c r="WUO21" s="2827"/>
      <c r="WUP21" s="2867"/>
      <c r="WUQ21" s="2866"/>
      <c r="WUR21" s="2827"/>
      <c r="WUS21" s="2867"/>
      <c r="WUT21" s="2866"/>
      <c r="WUU21" s="2827"/>
      <c r="WUV21" s="2867"/>
      <c r="WUW21" s="2866"/>
      <c r="WUX21" s="2827"/>
      <c r="WUY21" s="2867"/>
      <c r="WUZ21" s="2866"/>
      <c r="WVA21" s="2827"/>
      <c r="WVB21" s="2867"/>
      <c r="WVC21" s="2866"/>
      <c r="WVD21" s="2827"/>
      <c r="WVE21" s="2867"/>
      <c r="WVF21" s="2866"/>
      <c r="WVG21" s="2827"/>
      <c r="WVH21" s="2867"/>
      <c r="WVI21" s="2866"/>
      <c r="WVJ21" s="2827"/>
      <c r="WVK21" s="2867"/>
      <c r="WVL21" s="2866"/>
      <c r="WVM21" s="2827"/>
      <c r="WVN21" s="2867"/>
      <c r="WVO21" s="2866"/>
      <c r="WVP21" s="2827"/>
      <c r="WVQ21" s="2867"/>
      <c r="WVR21" s="2866"/>
      <c r="WVS21" s="2827"/>
      <c r="WVT21" s="2867"/>
      <c r="WVU21" s="2866"/>
      <c r="WVV21" s="2827"/>
      <c r="WVW21" s="2867"/>
      <c r="WVX21" s="2866"/>
      <c r="WVY21" s="2827"/>
      <c r="WVZ21" s="2867"/>
      <c r="WWA21" s="2866"/>
      <c r="WWB21" s="2827"/>
      <c r="WWC21" s="2867"/>
      <c r="WWD21" s="2866"/>
      <c r="WWE21" s="2827"/>
      <c r="WWF21" s="2867"/>
      <c r="WWG21" s="2866"/>
      <c r="WWH21" s="2827"/>
      <c r="WWI21" s="2867"/>
      <c r="WWJ21" s="2866"/>
      <c r="WWK21" s="2827"/>
      <c r="WWL21" s="2867"/>
      <c r="WWM21" s="2866"/>
      <c r="WWN21" s="2827"/>
      <c r="WWO21" s="2867"/>
      <c r="WWP21" s="2866"/>
      <c r="WWQ21" s="2827"/>
      <c r="WWR21" s="2867"/>
      <c r="WWS21" s="2866"/>
      <c r="WWT21" s="2827"/>
      <c r="WWU21" s="2867"/>
      <c r="WWV21" s="2866"/>
      <c r="WWW21" s="2827"/>
      <c r="WWX21" s="2867"/>
      <c r="WWY21" s="2866"/>
      <c r="WWZ21" s="2827"/>
      <c r="WXA21" s="2867"/>
      <c r="WXB21" s="2866"/>
      <c r="WXC21" s="2827"/>
      <c r="WXD21" s="2867"/>
      <c r="WXE21" s="2866"/>
      <c r="WXF21" s="2827"/>
      <c r="WXG21" s="2867"/>
      <c r="WXH21" s="2866"/>
      <c r="WXI21" s="2827"/>
      <c r="WXJ21" s="2867"/>
      <c r="WXK21" s="2866"/>
      <c r="WXL21" s="2827"/>
      <c r="WXM21" s="2867"/>
      <c r="WXN21" s="2866"/>
      <c r="WXO21" s="2827"/>
      <c r="WXP21" s="2867"/>
      <c r="WXQ21" s="2866"/>
      <c r="WXR21" s="2827"/>
      <c r="WXS21" s="2867"/>
      <c r="WXT21" s="2866"/>
      <c r="WXU21" s="2827"/>
      <c r="WXV21" s="2867"/>
      <c r="WXW21" s="2866"/>
      <c r="WXX21" s="2827"/>
      <c r="WXY21" s="2867"/>
      <c r="WXZ21" s="2866"/>
      <c r="WYA21" s="2827"/>
      <c r="WYB21" s="2867"/>
      <c r="WYC21" s="2866"/>
      <c r="WYD21" s="2827"/>
      <c r="WYE21" s="2867"/>
      <c r="WYF21" s="2866"/>
      <c r="WYG21" s="2827"/>
      <c r="WYH21" s="2867"/>
      <c r="WYI21" s="2866"/>
      <c r="WYJ21" s="2827"/>
      <c r="WYK21" s="2867"/>
      <c r="WYL21" s="2866"/>
      <c r="WYM21" s="2827"/>
      <c r="WYN21" s="2867"/>
      <c r="WYO21" s="2866"/>
      <c r="WYP21" s="2827"/>
      <c r="WYQ21" s="2867"/>
      <c r="WYR21" s="2866"/>
      <c r="WYS21" s="2827"/>
      <c r="WYT21" s="2867"/>
      <c r="WYU21" s="2866"/>
      <c r="WYV21" s="2827"/>
      <c r="WYW21" s="2867"/>
      <c r="WYX21" s="2866"/>
      <c r="WYY21" s="2827"/>
      <c r="WYZ21" s="2867"/>
      <c r="WZA21" s="2866"/>
      <c r="WZB21" s="2827"/>
      <c r="WZC21" s="2867"/>
      <c r="WZD21" s="2866"/>
      <c r="WZE21" s="2827"/>
      <c r="WZF21" s="2867"/>
      <c r="WZG21" s="2866"/>
      <c r="WZH21" s="2827"/>
      <c r="WZI21" s="2867"/>
      <c r="WZJ21" s="2866"/>
      <c r="WZK21" s="2827"/>
      <c r="WZL21" s="2867"/>
      <c r="WZM21" s="2866"/>
      <c r="WZN21" s="2827"/>
      <c r="WZO21" s="2867"/>
      <c r="WZP21" s="2866"/>
      <c r="WZQ21" s="2827"/>
      <c r="WZR21" s="2867"/>
      <c r="WZS21" s="2866"/>
      <c r="WZT21" s="2827"/>
      <c r="WZU21" s="2867"/>
      <c r="WZV21" s="2866"/>
      <c r="WZW21" s="2827"/>
      <c r="WZX21" s="2867"/>
      <c r="WZY21" s="2866"/>
      <c r="WZZ21" s="2827"/>
      <c r="XAA21" s="2867"/>
      <c r="XAB21" s="2866"/>
      <c r="XAC21" s="2827"/>
      <c r="XAD21" s="2867"/>
      <c r="XAE21" s="2866"/>
      <c r="XAF21" s="2827"/>
      <c r="XAG21" s="2867"/>
      <c r="XAH21" s="2866"/>
      <c r="XAI21" s="2827"/>
      <c r="XAJ21" s="2867"/>
      <c r="XAK21" s="2866"/>
      <c r="XAL21" s="2827"/>
      <c r="XAM21" s="2867"/>
      <c r="XAN21" s="2866"/>
      <c r="XAO21" s="2827"/>
      <c r="XAP21" s="2867"/>
      <c r="XAQ21" s="2866"/>
      <c r="XAR21" s="2827"/>
      <c r="XAS21" s="2867"/>
      <c r="XAT21" s="2866"/>
      <c r="XAU21" s="2827"/>
      <c r="XAV21" s="2867"/>
      <c r="XAW21" s="2866"/>
      <c r="XAX21" s="2827"/>
      <c r="XAY21" s="2867"/>
      <c r="XAZ21" s="2866"/>
      <c r="XBA21" s="2827"/>
      <c r="XBB21" s="2867"/>
      <c r="XBC21" s="2866"/>
      <c r="XBD21" s="2827"/>
      <c r="XBE21" s="2867"/>
      <c r="XBF21" s="2866"/>
      <c r="XBG21" s="2827"/>
      <c r="XBH21" s="2867"/>
      <c r="XBI21" s="2866"/>
      <c r="XBJ21" s="2827"/>
      <c r="XBK21" s="2867"/>
      <c r="XBL21" s="2866"/>
      <c r="XBM21" s="2827"/>
      <c r="XBN21" s="2867"/>
      <c r="XBO21" s="2866"/>
      <c r="XBP21" s="2827"/>
      <c r="XBQ21" s="2867"/>
      <c r="XBR21" s="2866"/>
      <c r="XBS21" s="2827"/>
      <c r="XBT21" s="2867"/>
      <c r="XBU21" s="2866"/>
      <c r="XBV21" s="2827"/>
      <c r="XBW21" s="2867"/>
      <c r="XBX21" s="2866"/>
      <c r="XBY21" s="2827"/>
      <c r="XBZ21" s="2867"/>
      <c r="XCA21" s="2866"/>
      <c r="XCB21" s="2827"/>
      <c r="XCC21" s="2867"/>
      <c r="XCD21" s="2866"/>
      <c r="XCE21" s="2827"/>
      <c r="XCF21" s="2867"/>
      <c r="XCG21" s="2866"/>
      <c r="XCH21" s="2827"/>
      <c r="XCI21" s="2867"/>
      <c r="XCJ21" s="2866"/>
      <c r="XCK21" s="2827"/>
      <c r="XCL21" s="2867"/>
      <c r="XCM21" s="2866"/>
      <c r="XCN21" s="2827"/>
      <c r="XCO21" s="2867"/>
      <c r="XCP21" s="2866"/>
      <c r="XCQ21" s="2827"/>
      <c r="XCR21" s="2867"/>
      <c r="XCS21" s="2866"/>
      <c r="XCT21" s="2827"/>
      <c r="XCU21" s="2867"/>
      <c r="XCV21" s="2866"/>
      <c r="XCW21" s="2827"/>
      <c r="XCX21" s="2867"/>
      <c r="XCY21" s="2866"/>
      <c r="XCZ21" s="2827"/>
      <c r="XDA21" s="2867"/>
      <c r="XDB21" s="2866"/>
      <c r="XDC21" s="2827"/>
      <c r="XDD21" s="2867"/>
      <c r="XDE21" s="2866"/>
      <c r="XDF21" s="2827"/>
      <c r="XDG21" s="2867"/>
      <c r="XDH21" s="2866"/>
      <c r="XDI21" s="2827"/>
      <c r="XDJ21" s="2867"/>
      <c r="XDK21" s="2866"/>
      <c r="XDL21" s="2827"/>
      <c r="XDM21" s="2867"/>
      <c r="XDN21" s="2866"/>
      <c r="XDO21" s="2827"/>
      <c r="XDP21" s="2867"/>
      <c r="XDQ21" s="2866"/>
      <c r="XDR21" s="2827"/>
      <c r="XDS21" s="2867"/>
      <c r="XDT21" s="2866"/>
      <c r="XDU21" s="2827"/>
      <c r="XDV21" s="2867"/>
      <c r="XDW21" s="2866"/>
      <c r="XDX21" s="2827"/>
      <c r="XDY21" s="2867"/>
      <c r="XDZ21" s="2866"/>
      <c r="XEA21" s="2827"/>
      <c r="XEB21" s="2867"/>
      <c r="XEC21" s="2866"/>
      <c r="XED21" s="2827"/>
      <c r="XEE21" s="2867"/>
      <c r="XEF21" s="2866"/>
      <c r="XEG21" s="2827"/>
      <c r="XEH21" s="2867"/>
      <c r="XEI21" s="2866"/>
      <c r="XEJ21" s="2827"/>
      <c r="XEK21" s="2867"/>
      <c r="XEL21" s="2866"/>
      <c r="XEM21" s="2827"/>
      <c r="XEN21" s="2867"/>
      <c r="XEO21" s="2866"/>
      <c r="XEP21" s="2827"/>
      <c r="XEQ21" s="2867"/>
      <c r="XER21" s="2866"/>
      <c r="XES21" s="2827"/>
      <c r="XET21" s="2867"/>
      <c r="XEU21" s="2866"/>
      <c r="XEV21" s="2827"/>
      <c r="XEW21" s="2867"/>
      <c r="XEX21" s="2866"/>
      <c r="XEY21" s="2827"/>
      <c r="XEZ21" s="2867"/>
      <c r="XFA21" s="2866"/>
      <c r="XFB21" s="2827"/>
      <c r="XFC21" s="2867"/>
      <c r="XFD21" s="1853"/>
    </row>
    <row r="22" spans="1:16384" s="1851" customFormat="1" ht="30" customHeight="1" x14ac:dyDescent="0.3">
      <c r="A22" s="2824" t="s">
        <v>2558</v>
      </c>
      <c r="B22" s="2825"/>
      <c r="C22" s="2826"/>
      <c r="D22" s="1852"/>
      <c r="E22" s="1852"/>
      <c r="F22" s="1852"/>
      <c r="G22" s="1852"/>
      <c r="H22" s="1852"/>
      <c r="I22" s="1852"/>
      <c r="J22" s="1852"/>
      <c r="K22" s="1852"/>
      <c r="L22" s="1852"/>
      <c r="M22" s="1852"/>
      <c r="N22" s="1852"/>
      <c r="O22" s="1852"/>
      <c r="P22" s="1852"/>
      <c r="Q22" s="1852"/>
      <c r="T22" s="1852"/>
      <c r="W22" s="1852"/>
      <c r="Z22" s="1852"/>
      <c r="AC22" s="1852"/>
      <c r="AF22" s="1852"/>
      <c r="AI22" s="1852"/>
      <c r="AL22" s="1852"/>
      <c r="AO22" s="1852"/>
      <c r="AR22" s="1852"/>
      <c r="AU22" s="1852"/>
      <c r="AX22" s="1852"/>
      <c r="BA22" s="1852"/>
      <c r="BD22" s="1852"/>
      <c r="BG22" s="1852"/>
      <c r="BJ22" s="1852"/>
      <c r="BM22" s="1852"/>
      <c r="BP22" s="1852"/>
      <c r="BS22" s="1852"/>
      <c r="BV22" s="1852"/>
      <c r="BY22" s="1852"/>
      <c r="CB22" s="1852"/>
      <c r="CE22" s="1852"/>
      <c r="CH22" s="1852"/>
      <c r="CK22" s="1852"/>
      <c r="CN22" s="1852"/>
      <c r="CQ22" s="1852"/>
      <c r="CT22" s="1852"/>
      <c r="CW22" s="1852"/>
      <c r="CZ22" s="1852"/>
      <c r="DC22" s="1852"/>
      <c r="DF22" s="1852"/>
      <c r="DI22" s="1852"/>
      <c r="DL22" s="1852"/>
      <c r="DO22" s="1852"/>
      <c r="DR22" s="1852"/>
      <c r="DU22" s="1852"/>
      <c r="DX22" s="1852"/>
      <c r="EA22" s="1852"/>
      <c r="ED22" s="1852"/>
      <c r="EG22" s="1852"/>
      <c r="EJ22" s="1852"/>
      <c r="EM22" s="1852"/>
      <c r="EP22" s="1852"/>
      <c r="ES22" s="1852"/>
      <c r="EV22" s="1852"/>
      <c r="EY22" s="1852"/>
      <c r="FB22" s="1852"/>
      <c r="FE22" s="1852"/>
      <c r="FH22" s="1852"/>
      <c r="FK22" s="1852"/>
      <c r="FN22" s="1852"/>
      <c r="FQ22" s="1852"/>
      <c r="FT22" s="1852"/>
      <c r="FW22" s="1852"/>
      <c r="FZ22" s="1852"/>
      <c r="GC22" s="1852"/>
      <c r="GF22" s="1852"/>
      <c r="GI22" s="1852"/>
      <c r="GL22" s="1852"/>
      <c r="GO22" s="1852"/>
      <c r="GR22" s="1852"/>
      <c r="GU22" s="1852"/>
      <c r="GX22" s="1852"/>
      <c r="HA22" s="1852"/>
      <c r="HD22" s="1852"/>
      <c r="HG22" s="1852"/>
      <c r="HJ22" s="1852"/>
      <c r="HM22" s="1852"/>
      <c r="HP22" s="1852"/>
      <c r="HS22" s="1852"/>
      <c r="HV22" s="1852"/>
      <c r="HY22" s="1852"/>
      <c r="IB22" s="1852"/>
      <c r="IE22" s="1852"/>
      <c r="IH22" s="1852"/>
      <c r="IK22" s="1852"/>
      <c r="IN22" s="1852"/>
      <c r="IQ22" s="1852"/>
      <c r="IT22" s="1852"/>
      <c r="IW22" s="1852"/>
      <c r="IZ22" s="1852"/>
      <c r="JC22" s="1852"/>
      <c r="JF22" s="1852"/>
      <c r="JI22" s="1852"/>
      <c r="JL22" s="1852"/>
      <c r="JO22" s="1852"/>
      <c r="JR22" s="1852"/>
      <c r="JU22" s="1852"/>
      <c r="JX22" s="1852"/>
      <c r="KA22" s="1852"/>
      <c r="KD22" s="1852"/>
      <c r="KG22" s="1852"/>
      <c r="KJ22" s="1852"/>
      <c r="KM22" s="1852"/>
      <c r="KP22" s="1852"/>
      <c r="KS22" s="1852"/>
      <c r="KV22" s="1852"/>
      <c r="KY22" s="1852"/>
      <c r="LB22" s="1852"/>
      <c r="LE22" s="1852"/>
      <c r="LH22" s="1852"/>
      <c r="LK22" s="1852"/>
      <c r="LN22" s="1852"/>
      <c r="LQ22" s="1852"/>
      <c r="LT22" s="1852"/>
      <c r="LW22" s="1852"/>
      <c r="LZ22" s="1852"/>
      <c r="MC22" s="1852"/>
      <c r="MF22" s="1852"/>
      <c r="MI22" s="1852"/>
      <c r="ML22" s="1852"/>
      <c r="MO22" s="1852"/>
      <c r="MR22" s="1852"/>
      <c r="MU22" s="1852"/>
      <c r="MX22" s="1852"/>
      <c r="NA22" s="1852"/>
      <c r="ND22" s="1852"/>
      <c r="NG22" s="1852"/>
      <c r="NJ22" s="1852"/>
      <c r="NM22" s="1852"/>
      <c r="NP22" s="1852"/>
      <c r="NS22" s="1852"/>
      <c r="NV22" s="1852"/>
      <c r="NY22" s="1852"/>
      <c r="OB22" s="1852"/>
      <c r="OE22" s="1852"/>
      <c r="OH22" s="1852"/>
      <c r="OK22" s="1852"/>
      <c r="ON22" s="1852"/>
      <c r="OQ22" s="1852"/>
      <c r="OT22" s="1852"/>
      <c r="OW22" s="1852"/>
      <c r="OZ22" s="1852"/>
      <c r="PC22" s="1852"/>
      <c r="PF22" s="1852"/>
      <c r="PI22" s="1852"/>
      <c r="PL22" s="1852"/>
      <c r="PO22" s="1852"/>
      <c r="PR22" s="1852"/>
      <c r="PU22" s="1852"/>
      <c r="PX22" s="1852"/>
      <c r="QA22" s="1852"/>
      <c r="QD22" s="1852"/>
      <c r="QG22" s="1852"/>
      <c r="QJ22" s="1852"/>
      <c r="QM22" s="1852"/>
      <c r="QP22" s="1852"/>
      <c r="QS22" s="1852"/>
      <c r="QV22" s="1852"/>
      <c r="QY22" s="1852"/>
      <c r="RB22" s="1852"/>
      <c r="RE22" s="1852"/>
      <c r="RH22" s="1852"/>
      <c r="RK22" s="1852"/>
      <c r="RN22" s="1852"/>
      <c r="RQ22" s="1852"/>
      <c r="RT22" s="1852"/>
      <c r="RW22" s="1852"/>
      <c r="RZ22" s="1852"/>
      <c r="SC22" s="1852"/>
      <c r="SF22" s="1852"/>
      <c r="SI22" s="1852"/>
      <c r="SL22" s="1852"/>
      <c r="SO22" s="1852"/>
      <c r="SR22" s="1852"/>
      <c r="SU22" s="1852"/>
      <c r="SX22" s="1852"/>
      <c r="TA22" s="1852"/>
      <c r="TD22" s="1852"/>
      <c r="TG22" s="1852"/>
      <c r="TJ22" s="1852"/>
      <c r="TM22" s="1852"/>
      <c r="TP22" s="1852"/>
      <c r="TS22" s="1852"/>
      <c r="TV22" s="1852"/>
      <c r="TY22" s="1852"/>
      <c r="UB22" s="1852"/>
      <c r="UE22" s="1852"/>
      <c r="UH22" s="1852"/>
      <c r="UK22" s="1852"/>
      <c r="UN22" s="1852"/>
      <c r="UQ22" s="1852"/>
      <c r="UT22" s="1852"/>
      <c r="UW22" s="1852"/>
      <c r="UZ22" s="1852"/>
      <c r="VC22" s="1852"/>
      <c r="VF22" s="1852"/>
      <c r="VI22" s="1852"/>
      <c r="VL22" s="1852"/>
      <c r="VO22" s="1852"/>
      <c r="VR22" s="1852"/>
      <c r="VU22" s="1852"/>
      <c r="VX22" s="1852"/>
      <c r="WA22" s="1852"/>
      <c r="WD22" s="1852"/>
      <c r="WG22" s="1852"/>
      <c r="WJ22" s="1852"/>
      <c r="WM22" s="1852"/>
      <c r="WP22" s="1852"/>
      <c r="WS22" s="1852"/>
      <c r="WV22" s="1852"/>
      <c r="WY22" s="1852"/>
      <c r="XB22" s="1852"/>
      <c r="XE22" s="1852"/>
      <c r="XH22" s="1852"/>
      <c r="XK22" s="1852"/>
      <c r="XN22" s="1852"/>
      <c r="XQ22" s="1852"/>
      <c r="XT22" s="1852"/>
      <c r="XW22" s="1852"/>
      <c r="XZ22" s="1852"/>
      <c r="YC22" s="1852"/>
      <c r="YF22" s="1852"/>
      <c r="YI22" s="1852"/>
      <c r="YL22" s="1852"/>
      <c r="YO22" s="1852"/>
      <c r="YR22" s="1852"/>
      <c r="YU22" s="1852"/>
      <c r="YX22" s="1852"/>
      <c r="ZA22" s="1852"/>
      <c r="ZD22" s="1852"/>
      <c r="ZG22" s="1852"/>
      <c r="ZJ22" s="1852"/>
      <c r="ZM22" s="1852"/>
      <c r="ZP22" s="1852"/>
      <c r="ZS22" s="1852"/>
      <c r="ZV22" s="1852"/>
      <c r="ZY22" s="1852"/>
      <c r="AAB22" s="1852"/>
      <c r="AAE22" s="1852"/>
      <c r="AAH22" s="1852"/>
      <c r="AAK22" s="1852"/>
      <c r="AAN22" s="1852"/>
      <c r="AAQ22" s="1852"/>
      <c r="AAT22" s="1852"/>
      <c r="AAW22" s="1852"/>
      <c r="AAZ22" s="1852"/>
      <c r="ABC22" s="1852"/>
      <c r="ABF22" s="1852"/>
      <c r="ABI22" s="1852"/>
      <c r="ABL22" s="1852"/>
      <c r="ABO22" s="1852"/>
      <c r="ABR22" s="1852"/>
      <c r="ABU22" s="1852"/>
      <c r="ABX22" s="1852"/>
      <c r="ACA22" s="1852"/>
      <c r="ACD22" s="1852"/>
      <c r="ACG22" s="1852"/>
      <c r="ACJ22" s="1852"/>
      <c r="ACM22" s="1852"/>
      <c r="ACP22" s="1852"/>
      <c r="ACS22" s="1852"/>
      <c r="ACV22" s="1852"/>
      <c r="ACY22" s="1852"/>
      <c r="ADB22" s="1852"/>
      <c r="ADE22" s="1852"/>
      <c r="ADH22" s="1852"/>
      <c r="ADK22" s="1852"/>
      <c r="ADN22" s="1852"/>
      <c r="ADQ22" s="1852"/>
      <c r="ADT22" s="1852"/>
      <c r="ADW22" s="1852"/>
      <c r="ADZ22" s="1852"/>
      <c r="AEC22" s="1852"/>
      <c r="AEF22" s="1852"/>
      <c r="AEI22" s="1852"/>
      <c r="AEL22" s="1852"/>
      <c r="AEO22" s="1852"/>
      <c r="AER22" s="1852"/>
      <c r="AEU22" s="1852"/>
      <c r="AEX22" s="1852"/>
      <c r="AFA22" s="1852"/>
      <c r="AFD22" s="1852"/>
      <c r="AFG22" s="1852"/>
      <c r="AFJ22" s="1852"/>
      <c r="AFM22" s="1852"/>
      <c r="AFP22" s="1852"/>
      <c r="AFS22" s="1852"/>
      <c r="AFV22" s="1852"/>
      <c r="AFY22" s="1852"/>
      <c r="AGB22" s="1852"/>
      <c r="AGE22" s="1852"/>
      <c r="AGH22" s="1852"/>
      <c r="AGK22" s="1852"/>
      <c r="AGN22" s="1852"/>
      <c r="AGQ22" s="1852"/>
      <c r="AGT22" s="1852"/>
      <c r="AGW22" s="1852"/>
      <c r="AGZ22" s="1852"/>
      <c r="AHC22" s="1852"/>
      <c r="AHF22" s="1852"/>
      <c r="AHI22" s="1852"/>
      <c r="AHL22" s="1852"/>
      <c r="AHO22" s="1852"/>
      <c r="AHR22" s="1852"/>
      <c r="AHU22" s="1852"/>
      <c r="AHX22" s="1852"/>
      <c r="AIA22" s="1852"/>
      <c r="AID22" s="1852"/>
      <c r="AIG22" s="1852"/>
      <c r="AIJ22" s="1852"/>
      <c r="AIM22" s="1852"/>
      <c r="AIP22" s="1852"/>
      <c r="AIS22" s="1852"/>
      <c r="AIV22" s="1852"/>
      <c r="AIY22" s="1852"/>
      <c r="AJB22" s="1852"/>
      <c r="AJE22" s="1852"/>
      <c r="AJH22" s="1852"/>
      <c r="AJK22" s="1852"/>
      <c r="AJN22" s="1852"/>
      <c r="AJQ22" s="1852"/>
      <c r="AJT22" s="1852"/>
      <c r="AJW22" s="1852"/>
      <c r="AJZ22" s="1852"/>
      <c r="AKC22" s="1852"/>
      <c r="AKF22" s="1852"/>
      <c r="AKI22" s="1852"/>
      <c r="AKL22" s="1852"/>
      <c r="AKO22" s="1852"/>
      <c r="AKR22" s="1852"/>
      <c r="AKU22" s="1852"/>
      <c r="AKX22" s="1852"/>
      <c r="ALA22" s="1852"/>
      <c r="ALD22" s="1852"/>
      <c r="ALG22" s="1852"/>
      <c r="ALJ22" s="1852"/>
      <c r="ALM22" s="1852"/>
      <c r="ALP22" s="1852"/>
      <c r="ALS22" s="1852"/>
      <c r="ALV22" s="1852"/>
      <c r="ALY22" s="1852"/>
      <c r="AMB22" s="1852"/>
      <c r="AME22" s="1852"/>
      <c r="AMH22" s="1852"/>
      <c r="AMK22" s="1852"/>
      <c r="AMN22" s="1852"/>
      <c r="AMQ22" s="1852"/>
      <c r="AMT22" s="1852"/>
      <c r="AMW22" s="1852"/>
      <c r="AMZ22" s="1852"/>
      <c r="ANC22" s="1852"/>
      <c r="ANF22" s="1852"/>
      <c r="ANI22" s="1852"/>
      <c r="ANL22" s="1852"/>
      <c r="ANO22" s="1852"/>
      <c r="ANR22" s="1852"/>
      <c r="ANU22" s="1852"/>
      <c r="ANX22" s="1852"/>
      <c r="AOA22" s="1852"/>
      <c r="AOD22" s="1852"/>
      <c r="AOG22" s="1852"/>
      <c r="AOJ22" s="1852"/>
      <c r="AOM22" s="1852"/>
      <c r="AOP22" s="1852"/>
      <c r="AOS22" s="1852"/>
      <c r="AOV22" s="1852"/>
      <c r="AOY22" s="1852"/>
      <c r="APB22" s="1852"/>
      <c r="APE22" s="1852"/>
      <c r="APH22" s="1852"/>
      <c r="APK22" s="1852"/>
      <c r="APN22" s="1852"/>
      <c r="APQ22" s="1852"/>
      <c r="APT22" s="1852"/>
      <c r="APW22" s="1852"/>
      <c r="APZ22" s="1852"/>
      <c r="AQC22" s="1852"/>
      <c r="AQF22" s="1852"/>
      <c r="AQI22" s="1852"/>
      <c r="AQL22" s="1852"/>
      <c r="AQO22" s="1852"/>
      <c r="AQR22" s="1852"/>
      <c r="AQU22" s="1852"/>
      <c r="AQX22" s="1852"/>
      <c r="ARA22" s="1852"/>
      <c r="ARD22" s="1852"/>
      <c r="ARG22" s="1852"/>
      <c r="ARJ22" s="1852"/>
      <c r="ARM22" s="1852"/>
      <c r="ARP22" s="1852"/>
      <c r="ARS22" s="1852"/>
      <c r="ARV22" s="1852"/>
      <c r="ARY22" s="1852"/>
      <c r="ASB22" s="1852"/>
      <c r="ASE22" s="1852"/>
      <c r="ASH22" s="1852"/>
      <c r="ASK22" s="1852"/>
      <c r="ASN22" s="1852"/>
      <c r="ASQ22" s="1852"/>
      <c r="AST22" s="1852"/>
      <c r="ASW22" s="1852"/>
      <c r="ASZ22" s="1852"/>
      <c r="ATC22" s="1852"/>
      <c r="ATF22" s="1852"/>
      <c r="ATI22" s="1852"/>
      <c r="ATL22" s="1852"/>
      <c r="ATO22" s="1852"/>
      <c r="ATR22" s="1852"/>
      <c r="ATU22" s="1852"/>
      <c r="ATX22" s="1852"/>
      <c r="AUA22" s="1852"/>
      <c r="AUD22" s="1852"/>
      <c r="AUG22" s="1852"/>
      <c r="AUJ22" s="1852"/>
      <c r="AUM22" s="1852"/>
      <c r="AUP22" s="1852"/>
      <c r="AUS22" s="1852"/>
      <c r="AUV22" s="1852"/>
      <c r="AUY22" s="1852"/>
      <c r="AVB22" s="1852"/>
      <c r="AVE22" s="1852"/>
      <c r="AVH22" s="1852"/>
      <c r="AVK22" s="1852"/>
      <c r="AVN22" s="1852"/>
      <c r="AVQ22" s="1852"/>
      <c r="AVT22" s="1852"/>
      <c r="AVW22" s="1852"/>
      <c r="AVZ22" s="1852"/>
      <c r="AWC22" s="1852"/>
      <c r="AWF22" s="1852"/>
      <c r="AWI22" s="1852"/>
      <c r="AWL22" s="1852"/>
      <c r="AWO22" s="1852"/>
      <c r="AWR22" s="1852"/>
      <c r="AWU22" s="1852"/>
      <c r="AWX22" s="1852"/>
      <c r="AXA22" s="1852"/>
      <c r="AXD22" s="1852"/>
      <c r="AXG22" s="1852"/>
      <c r="AXJ22" s="1852"/>
      <c r="AXM22" s="1852"/>
      <c r="AXP22" s="1852"/>
      <c r="AXS22" s="1852"/>
      <c r="AXV22" s="1852"/>
      <c r="AXY22" s="1852"/>
      <c r="AYB22" s="1852"/>
      <c r="AYE22" s="1852"/>
      <c r="AYH22" s="1852"/>
      <c r="AYK22" s="1852"/>
      <c r="AYN22" s="1852"/>
      <c r="AYQ22" s="1852"/>
      <c r="AYT22" s="1852"/>
      <c r="AYW22" s="1852"/>
      <c r="AYZ22" s="1852"/>
      <c r="AZC22" s="1852"/>
      <c r="AZF22" s="1852"/>
      <c r="AZI22" s="1852"/>
      <c r="AZL22" s="1852"/>
      <c r="AZO22" s="1852"/>
      <c r="AZR22" s="1852"/>
      <c r="AZU22" s="1852"/>
      <c r="AZX22" s="1852"/>
      <c r="BAA22" s="1852"/>
      <c r="BAD22" s="1852"/>
      <c r="BAG22" s="1852"/>
      <c r="BAJ22" s="1852"/>
      <c r="BAM22" s="1852"/>
      <c r="BAP22" s="1852"/>
      <c r="BAS22" s="1852"/>
      <c r="BAV22" s="1852"/>
      <c r="BAY22" s="1852"/>
      <c r="BBB22" s="1852"/>
      <c r="BBE22" s="1852"/>
      <c r="BBH22" s="1852"/>
      <c r="BBK22" s="1852"/>
      <c r="BBN22" s="1852"/>
      <c r="BBQ22" s="1852"/>
      <c r="BBT22" s="1852"/>
      <c r="BBW22" s="1852"/>
      <c r="BBZ22" s="1852"/>
      <c r="BCC22" s="1852"/>
      <c r="BCF22" s="1852"/>
      <c r="BCI22" s="1852"/>
      <c r="BCL22" s="1852"/>
      <c r="BCO22" s="1852"/>
      <c r="BCR22" s="1852"/>
      <c r="BCU22" s="1852"/>
      <c r="BCX22" s="1852"/>
      <c r="BDA22" s="1852"/>
      <c r="BDD22" s="1852"/>
      <c r="BDG22" s="1852"/>
      <c r="BDJ22" s="1852"/>
      <c r="BDM22" s="1852"/>
      <c r="BDP22" s="1852"/>
      <c r="BDS22" s="1852"/>
      <c r="BDV22" s="1852"/>
      <c r="BDY22" s="1852"/>
      <c r="BEB22" s="1852"/>
      <c r="BEE22" s="1852"/>
      <c r="BEH22" s="1852"/>
      <c r="BEK22" s="1852"/>
      <c r="BEN22" s="1852"/>
      <c r="BEQ22" s="1852"/>
      <c r="BET22" s="1852"/>
      <c r="BEW22" s="1852"/>
      <c r="BEZ22" s="1852"/>
      <c r="BFC22" s="1852"/>
      <c r="BFF22" s="1852"/>
      <c r="BFI22" s="1852"/>
      <c r="BFL22" s="1852"/>
      <c r="BFO22" s="1852"/>
      <c r="BFR22" s="1852"/>
      <c r="BFU22" s="1852"/>
      <c r="BFX22" s="1852"/>
      <c r="BGA22" s="1852"/>
      <c r="BGD22" s="1852"/>
      <c r="BGG22" s="1852"/>
      <c r="BGJ22" s="1852"/>
      <c r="BGM22" s="1852"/>
      <c r="BGP22" s="1852"/>
      <c r="BGS22" s="1852"/>
      <c r="BGV22" s="1852"/>
      <c r="BGY22" s="1852"/>
      <c r="BHB22" s="1852"/>
      <c r="BHE22" s="1852"/>
      <c r="BHH22" s="1852"/>
      <c r="BHK22" s="1852"/>
      <c r="BHN22" s="1852"/>
      <c r="BHQ22" s="1852"/>
      <c r="BHT22" s="1852"/>
      <c r="BHW22" s="1852"/>
      <c r="BHZ22" s="1852"/>
      <c r="BIC22" s="1852"/>
      <c r="BIF22" s="1852"/>
      <c r="BII22" s="1852"/>
      <c r="BIL22" s="1852"/>
      <c r="BIO22" s="1852"/>
      <c r="BIR22" s="1852"/>
      <c r="BIU22" s="1852"/>
      <c r="BIX22" s="1852"/>
      <c r="BJA22" s="1852"/>
      <c r="BJD22" s="1852"/>
      <c r="BJG22" s="1852"/>
      <c r="BJJ22" s="1852"/>
      <c r="BJM22" s="1852"/>
      <c r="BJP22" s="1852"/>
      <c r="BJS22" s="1852"/>
      <c r="BJV22" s="1852"/>
      <c r="BJY22" s="1852"/>
      <c r="BKB22" s="1852"/>
      <c r="BKE22" s="1852"/>
      <c r="BKH22" s="1852"/>
      <c r="BKK22" s="1852"/>
      <c r="BKN22" s="1852"/>
      <c r="BKQ22" s="1852"/>
      <c r="BKT22" s="1852"/>
      <c r="BKW22" s="1852"/>
      <c r="BKZ22" s="1852"/>
      <c r="BLC22" s="1852"/>
      <c r="BLF22" s="1852"/>
      <c r="BLI22" s="1852"/>
      <c r="BLL22" s="1852"/>
      <c r="BLO22" s="1852"/>
      <c r="BLR22" s="1852"/>
      <c r="BLU22" s="1852"/>
      <c r="BLX22" s="1852"/>
      <c r="BMA22" s="1852"/>
      <c r="BMD22" s="1852"/>
      <c r="BMG22" s="1852"/>
      <c r="BMJ22" s="1852"/>
      <c r="BMM22" s="1852"/>
      <c r="BMP22" s="1852"/>
      <c r="BMS22" s="1852"/>
      <c r="BMV22" s="1852"/>
      <c r="BMY22" s="1852"/>
      <c r="BNB22" s="1852"/>
      <c r="BNE22" s="1852"/>
      <c r="BNH22" s="1852"/>
      <c r="BNK22" s="1852"/>
      <c r="BNN22" s="1852"/>
      <c r="BNQ22" s="1852"/>
      <c r="BNT22" s="1852"/>
      <c r="BNW22" s="1852"/>
      <c r="BNZ22" s="1852"/>
      <c r="BOC22" s="1852"/>
      <c r="BOF22" s="1852"/>
      <c r="BOI22" s="1852"/>
      <c r="BOL22" s="1852"/>
      <c r="BOO22" s="1852"/>
      <c r="BOR22" s="1852"/>
      <c r="BOU22" s="1852"/>
      <c r="BOX22" s="1852"/>
      <c r="BPA22" s="1852"/>
      <c r="BPD22" s="1852"/>
      <c r="BPG22" s="1852"/>
      <c r="BPJ22" s="1852"/>
      <c r="BPM22" s="1852"/>
      <c r="BPP22" s="1852"/>
      <c r="BPS22" s="1852"/>
      <c r="BPV22" s="1852"/>
      <c r="BPY22" s="1852"/>
      <c r="BQB22" s="1852"/>
      <c r="BQE22" s="1852"/>
      <c r="BQH22" s="1852"/>
      <c r="BQK22" s="1852"/>
      <c r="BQN22" s="1852"/>
      <c r="BQQ22" s="1852"/>
      <c r="BQT22" s="1852"/>
      <c r="BQW22" s="1852"/>
      <c r="BQZ22" s="1852"/>
      <c r="BRC22" s="1852"/>
      <c r="BRF22" s="1852"/>
      <c r="BRI22" s="1852"/>
      <c r="BRL22" s="1852"/>
      <c r="BRO22" s="1852"/>
      <c r="BRR22" s="1852"/>
      <c r="BRU22" s="1852"/>
      <c r="BRX22" s="1852"/>
      <c r="BSA22" s="1852"/>
      <c r="BSD22" s="1852"/>
      <c r="BSG22" s="1852"/>
      <c r="BSJ22" s="1852"/>
      <c r="BSM22" s="1852"/>
      <c r="BSP22" s="1852"/>
      <c r="BSS22" s="1852"/>
      <c r="BSV22" s="1852"/>
      <c r="BSY22" s="1852"/>
      <c r="BTB22" s="1852"/>
      <c r="BTE22" s="1852"/>
      <c r="BTH22" s="1852"/>
      <c r="BTK22" s="1852"/>
      <c r="BTN22" s="1852"/>
      <c r="BTQ22" s="1852"/>
      <c r="BTT22" s="1852"/>
      <c r="BTW22" s="1852"/>
      <c r="BTZ22" s="1852"/>
      <c r="BUC22" s="1852"/>
      <c r="BUF22" s="1852"/>
      <c r="BUI22" s="1852"/>
      <c r="BUL22" s="1852"/>
      <c r="BUO22" s="1852"/>
      <c r="BUR22" s="1852"/>
      <c r="BUU22" s="1852"/>
      <c r="BUX22" s="1852"/>
      <c r="BVA22" s="1852"/>
      <c r="BVD22" s="1852"/>
      <c r="BVG22" s="1852"/>
      <c r="BVJ22" s="1852"/>
      <c r="BVM22" s="1852"/>
      <c r="BVP22" s="1852"/>
      <c r="BVS22" s="1852"/>
      <c r="BVV22" s="1852"/>
      <c r="BVY22" s="1852"/>
      <c r="BWB22" s="1852"/>
      <c r="BWE22" s="1852"/>
      <c r="BWH22" s="1852"/>
      <c r="BWK22" s="1852"/>
      <c r="BWN22" s="1852"/>
      <c r="BWQ22" s="1852"/>
      <c r="BWT22" s="1852"/>
      <c r="BWW22" s="1852"/>
      <c r="BWZ22" s="1852"/>
      <c r="BXC22" s="1852"/>
      <c r="BXF22" s="1852"/>
      <c r="BXI22" s="1852"/>
      <c r="BXL22" s="1852"/>
      <c r="BXO22" s="1852"/>
      <c r="BXR22" s="1852"/>
      <c r="BXU22" s="1852"/>
      <c r="BXX22" s="1852"/>
      <c r="BYA22" s="1852"/>
      <c r="BYD22" s="1852"/>
      <c r="BYG22" s="1852"/>
      <c r="BYJ22" s="1852"/>
      <c r="BYM22" s="1852"/>
      <c r="BYP22" s="1852"/>
      <c r="BYS22" s="1852"/>
      <c r="BYV22" s="1852"/>
      <c r="BYY22" s="1852"/>
      <c r="BZB22" s="1852"/>
      <c r="BZE22" s="1852"/>
      <c r="BZH22" s="1852"/>
      <c r="BZK22" s="1852"/>
      <c r="BZN22" s="1852"/>
      <c r="BZQ22" s="1852"/>
      <c r="BZT22" s="1852"/>
      <c r="BZW22" s="1852"/>
      <c r="BZZ22" s="1852"/>
      <c r="CAC22" s="1852"/>
      <c r="CAF22" s="1852"/>
      <c r="CAI22" s="1852"/>
      <c r="CAL22" s="1852"/>
      <c r="CAO22" s="1852"/>
      <c r="CAR22" s="1852"/>
      <c r="CAU22" s="1852"/>
      <c r="CAX22" s="1852"/>
      <c r="CBA22" s="1852"/>
      <c r="CBD22" s="1852"/>
      <c r="CBG22" s="1852"/>
      <c r="CBJ22" s="1852"/>
      <c r="CBM22" s="1852"/>
      <c r="CBP22" s="1852"/>
      <c r="CBS22" s="1852"/>
      <c r="CBV22" s="1852"/>
      <c r="CBY22" s="1852"/>
      <c r="CCB22" s="1852"/>
      <c r="CCE22" s="1852"/>
      <c r="CCH22" s="1852"/>
      <c r="CCK22" s="1852"/>
      <c r="CCN22" s="1852"/>
      <c r="CCQ22" s="1852"/>
      <c r="CCT22" s="1852"/>
      <c r="CCW22" s="1852"/>
      <c r="CCZ22" s="1852"/>
      <c r="CDC22" s="1852"/>
      <c r="CDF22" s="1852"/>
      <c r="CDI22" s="1852"/>
      <c r="CDL22" s="1852"/>
      <c r="CDO22" s="1852"/>
      <c r="CDR22" s="1852"/>
      <c r="CDU22" s="1852"/>
      <c r="CDX22" s="1852"/>
      <c r="CEA22" s="1852"/>
      <c r="CED22" s="1852"/>
      <c r="CEG22" s="1852"/>
      <c r="CEJ22" s="1852"/>
      <c r="CEM22" s="1852"/>
      <c r="CEP22" s="1852"/>
      <c r="CES22" s="1852"/>
      <c r="CEV22" s="1852"/>
      <c r="CEY22" s="1852"/>
      <c r="CFB22" s="1852"/>
      <c r="CFE22" s="1852"/>
      <c r="CFH22" s="1852"/>
      <c r="CFK22" s="1852"/>
      <c r="CFN22" s="1852"/>
      <c r="CFQ22" s="1852"/>
      <c r="CFT22" s="1852"/>
      <c r="CFW22" s="1852"/>
      <c r="CFZ22" s="1852"/>
      <c r="CGC22" s="1852"/>
      <c r="CGF22" s="1852"/>
      <c r="CGI22" s="1852"/>
      <c r="CGL22" s="1852"/>
      <c r="CGO22" s="1852"/>
      <c r="CGR22" s="1852"/>
      <c r="CGU22" s="1852"/>
      <c r="CGX22" s="1852"/>
      <c r="CHA22" s="1852"/>
      <c r="CHD22" s="1852"/>
      <c r="CHG22" s="1852"/>
      <c r="CHJ22" s="1852"/>
      <c r="CHM22" s="1852"/>
      <c r="CHP22" s="1852"/>
      <c r="CHS22" s="1852"/>
      <c r="CHV22" s="1852"/>
      <c r="CHY22" s="1852"/>
      <c r="CIB22" s="1852"/>
      <c r="CIE22" s="1852"/>
      <c r="CIH22" s="1852"/>
      <c r="CIK22" s="1852"/>
      <c r="CIN22" s="1852"/>
      <c r="CIQ22" s="1852"/>
      <c r="CIT22" s="1852"/>
      <c r="CIW22" s="1852"/>
      <c r="CIZ22" s="1852"/>
      <c r="CJC22" s="1852"/>
      <c r="CJF22" s="1852"/>
      <c r="CJI22" s="1852"/>
      <c r="CJL22" s="1852"/>
      <c r="CJO22" s="1852"/>
      <c r="CJR22" s="1852"/>
      <c r="CJU22" s="1852"/>
      <c r="CJX22" s="1852"/>
      <c r="CKA22" s="1852"/>
      <c r="CKD22" s="1852"/>
      <c r="CKG22" s="1852"/>
      <c r="CKJ22" s="1852"/>
      <c r="CKM22" s="1852"/>
      <c r="CKP22" s="1852"/>
      <c r="CKS22" s="1852"/>
      <c r="CKV22" s="1852"/>
      <c r="CKY22" s="1852"/>
      <c r="CLB22" s="1852"/>
      <c r="CLE22" s="1852"/>
      <c r="CLH22" s="1852"/>
      <c r="CLK22" s="1852"/>
      <c r="CLN22" s="1852"/>
      <c r="CLQ22" s="1852"/>
      <c r="CLT22" s="1852"/>
      <c r="CLW22" s="1852"/>
      <c r="CLZ22" s="1852"/>
      <c r="CMC22" s="1852"/>
      <c r="CMF22" s="1852"/>
      <c r="CMI22" s="1852"/>
      <c r="CML22" s="1852"/>
      <c r="CMO22" s="1852"/>
      <c r="CMR22" s="1852"/>
      <c r="CMU22" s="1852"/>
      <c r="CMX22" s="1852"/>
      <c r="CNA22" s="1852"/>
      <c r="CND22" s="1852"/>
      <c r="CNG22" s="1852"/>
      <c r="CNJ22" s="1852"/>
      <c r="CNM22" s="1852"/>
      <c r="CNP22" s="1852"/>
      <c r="CNS22" s="1852"/>
      <c r="CNV22" s="1852"/>
      <c r="CNY22" s="1852"/>
      <c r="COB22" s="1852"/>
      <c r="COE22" s="1852"/>
      <c r="COH22" s="1852"/>
      <c r="COK22" s="1852"/>
      <c r="CON22" s="1852"/>
      <c r="COQ22" s="1852"/>
      <c r="COT22" s="1852"/>
      <c r="COW22" s="1852"/>
      <c r="COZ22" s="1852"/>
      <c r="CPC22" s="1852"/>
      <c r="CPF22" s="1852"/>
      <c r="CPI22" s="1852"/>
      <c r="CPL22" s="1852"/>
      <c r="CPO22" s="1852"/>
      <c r="CPR22" s="1852"/>
      <c r="CPU22" s="1852"/>
      <c r="CPX22" s="1852"/>
      <c r="CQA22" s="1852"/>
      <c r="CQD22" s="1852"/>
      <c r="CQG22" s="1852"/>
      <c r="CQJ22" s="1852"/>
      <c r="CQM22" s="1852"/>
      <c r="CQP22" s="1852"/>
      <c r="CQS22" s="1852"/>
      <c r="CQV22" s="1852"/>
      <c r="CQY22" s="1852"/>
      <c r="CRB22" s="1852"/>
      <c r="CRE22" s="1852"/>
      <c r="CRH22" s="1852"/>
      <c r="CRK22" s="1852"/>
      <c r="CRN22" s="1852"/>
      <c r="CRQ22" s="1852"/>
      <c r="CRT22" s="1852"/>
      <c r="CRW22" s="1852"/>
      <c r="CRZ22" s="1852"/>
      <c r="CSC22" s="1852"/>
      <c r="CSF22" s="1852"/>
      <c r="CSI22" s="1852"/>
      <c r="CSL22" s="1852"/>
      <c r="CSO22" s="1852"/>
      <c r="CSR22" s="1852"/>
      <c r="CSU22" s="1852"/>
      <c r="CSX22" s="1852"/>
      <c r="CTA22" s="1852"/>
      <c r="CTD22" s="1852"/>
      <c r="CTG22" s="1852"/>
      <c r="CTJ22" s="1852"/>
      <c r="CTM22" s="1852"/>
      <c r="CTP22" s="1852"/>
      <c r="CTS22" s="1852"/>
      <c r="CTV22" s="1852"/>
      <c r="CTY22" s="1852"/>
      <c r="CUB22" s="1852"/>
      <c r="CUE22" s="1852"/>
      <c r="CUH22" s="1852"/>
      <c r="CUK22" s="1852"/>
      <c r="CUN22" s="1852"/>
      <c r="CUQ22" s="1852"/>
      <c r="CUT22" s="1852"/>
      <c r="CUW22" s="1852"/>
      <c r="CUZ22" s="1852"/>
      <c r="CVC22" s="1852"/>
      <c r="CVF22" s="1852"/>
      <c r="CVI22" s="1852"/>
      <c r="CVL22" s="1852"/>
      <c r="CVO22" s="1852"/>
      <c r="CVR22" s="1852"/>
      <c r="CVU22" s="1852"/>
      <c r="CVX22" s="1852"/>
      <c r="CWA22" s="1852"/>
      <c r="CWD22" s="1852"/>
      <c r="CWG22" s="1852"/>
      <c r="CWJ22" s="1852"/>
      <c r="CWM22" s="1852"/>
      <c r="CWP22" s="1852"/>
      <c r="CWS22" s="1852"/>
      <c r="CWV22" s="1852"/>
      <c r="CWY22" s="1852"/>
      <c r="CXB22" s="1852"/>
      <c r="CXE22" s="1852"/>
      <c r="CXH22" s="1852"/>
      <c r="CXK22" s="1852"/>
      <c r="CXN22" s="1852"/>
      <c r="CXQ22" s="1852"/>
      <c r="CXT22" s="1852"/>
      <c r="CXW22" s="1852"/>
      <c r="CXZ22" s="1852"/>
      <c r="CYC22" s="1852"/>
      <c r="CYF22" s="1852"/>
      <c r="CYI22" s="1852"/>
      <c r="CYL22" s="1852"/>
      <c r="CYO22" s="1852"/>
      <c r="CYR22" s="1852"/>
      <c r="CYU22" s="1852"/>
      <c r="CYX22" s="1852"/>
      <c r="CZA22" s="1852"/>
      <c r="CZD22" s="1852"/>
      <c r="CZG22" s="1852"/>
      <c r="CZJ22" s="1852"/>
      <c r="CZM22" s="1852"/>
      <c r="CZP22" s="1852"/>
      <c r="CZS22" s="1852"/>
      <c r="CZV22" s="1852"/>
      <c r="CZY22" s="1852"/>
      <c r="DAB22" s="1852"/>
      <c r="DAE22" s="1852"/>
      <c r="DAH22" s="1852"/>
      <c r="DAK22" s="1852"/>
      <c r="DAN22" s="1852"/>
      <c r="DAQ22" s="1852"/>
      <c r="DAT22" s="1852"/>
      <c r="DAW22" s="1852"/>
      <c r="DAZ22" s="1852"/>
      <c r="DBC22" s="1852"/>
      <c r="DBF22" s="1852"/>
      <c r="DBI22" s="1852"/>
      <c r="DBL22" s="1852"/>
      <c r="DBO22" s="1852"/>
      <c r="DBR22" s="1852"/>
      <c r="DBU22" s="1852"/>
      <c r="DBX22" s="1852"/>
      <c r="DCA22" s="1852"/>
      <c r="DCD22" s="1852"/>
      <c r="DCG22" s="1852"/>
      <c r="DCJ22" s="1852"/>
      <c r="DCM22" s="1852"/>
      <c r="DCP22" s="1852"/>
      <c r="DCS22" s="1852"/>
      <c r="DCV22" s="1852"/>
      <c r="DCY22" s="1852"/>
      <c r="DDB22" s="1852"/>
      <c r="DDE22" s="1852"/>
      <c r="DDH22" s="1852"/>
      <c r="DDK22" s="1852"/>
      <c r="DDN22" s="1852"/>
      <c r="DDQ22" s="1852"/>
      <c r="DDT22" s="1852"/>
      <c r="DDW22" s="1852"/>
      <c r="DDZ22" s="1852"/>
      <c r="DEC22" s="1852"/>
      <c r="DEF22" s="1852"/>
      <c r="DEI22" s="1852"/>
      <c r="DEL22" s="1852"/>
      <c r="DEO22" s="1852"/>
      <c r="DER22" s="1852"/>
      <c r="DEU22" s="1852"/>
      <c r="DEX22" s="1852"/>
      <c r="DFA22" s="1852"/>
      <c r="DFD22" s="1852"/>
      <c r="DFG22" s="1852"/>
      <c r="DFJ22" s="1852"/>
      <c r="DFM22" s="1852"/>
      <c r="DFP22" s="1852"/>
      <c r="DFS22" s="1852"/>
      <c r="DFV22" s="1852"/>
      <c r="DFY22" s="1852"/>
      <c r="DGB22" s="1852"/>
      <c r="DGE22" s="1852"/>
      <c r="DGH22" s="1852"/>
      <c r="DGK22" s="1852"/>
      <c r="DGN22" s="1852"/>
      <c r="DGQ22" s="1852"/>
      <c r="DGT22" s="1852"/>
      <c r="DGW22" s="1852"/>
      <c r="DGZ22" s="1852"/>
      <c r="DHC22" s="1852"/>
      <c r="DHF22" s="1852"/>
      <c r="DHI22" s="1852"/>
      <c r="DHL22" s="1852"/>
      <c r="DHO22" s="1852"/>
      <c r="DHR22" s="1852"/>
      <c r="DHU22" s="1852"/>
      <c r="DHX22" s="1852"/>
      <c r="DIA22" s="1852"/>
      <c r="DID22" s="1852"/>
      <c r="DIG22" s="1852"/>
      <c r="DIJ22" s="1852"/>
      <c r="DIM22" s="1852"/>
      <c r="DIP22" s="1852"/>
      <c r="DIS22" s="1852"/>
      <c r="DIV22" s="1852"/>
      <c r="DIY22" s="1852"/>
      <c r="DJB22" s="1852"/>
      <c r="DJE22" s="1852"/>
      <c r="DJH22" s="1852"/>
      <c r="DJK22" s="1852"/>
      <c r="DJN22" s="1852"/>
      <c r="DJQ22" s="1852"/>
      <c r="DJT22" s="1852"/>
      <c r="DJW22" s="1852"/>
      <c r="DJZ22" s="1852"/>
      <c r="DKC22" s="1852"/>
      <c r="DKF22" s="1852"/>
      <c r="DKI22" s="1852"/>
      <c r="DKL22" s="1852"/>
      <c r="DKO22" s="1852"/>
      <c r="DKR22" s="1852"/>
      <c r="DKU22" s="1852"/>
      <c r="DKX22" s="1852"/>
      <c r="DLA22" s="1852"/>
      <c r="DLD22" s="1852"/>
      <c r="DLG22" s="1852"/>
      <c r="DLJ22" s="1852"/>
      <c r="DLM22" s="1852"/>
      <c r="DLP22" s="1852"/>
      <c r="DLS22" s="1852"/>
      <c r="DLV22" s="1852"/>
      <c r="DLY22" s="1852"/>
      <c r="DMB22" s="1852"/>
      <c r="DME22" s="1852"/>
      <c r="DMH22" s="1852"/>
      <c r="DMK22" s="1852"/>
      <c r="DMN22" s="1852"/>
      <c r="DMQ22" s="1852"/>
      <c r="DMT22" s="1852"/>
      <c r="DMW22" s="1852"/>
      <c r="DMZ22" s="1852"/>
      <c r="DNC22" s="1852"/>
      <c r="DNF22" s="1852"/>
      <c r="DNI22" s="1852"/>
      <c r="DNL22" s="1852"/>
      <c r="DNO22" s="1852"/>
      <c r="DNR22" s="1852"/>
      <c r="DNU22" s="1852"/>
      <c r="DNX22" s="1852"/>
      <c r="DOA22" s="1852"/>
      <c r="DOD22" s="1852"/>
      <c r="DOG22" s="1852"/>
      <c r="DOJ22" s="1852"/>
      <c r="DOM22" s="1852"/>
      <c r="DOP22" s="1852"/>
      <c r="DOS22" s="1852"/>
      <c r="DOV22" s="1852"/>
      <c r="DOY22" s="1852"/>
      <c r="DPB22" s="1852"/>
      <c r="DPE22" s="1852"/>
      <c r="DPH22" s="1852"/>
      <c r="DPK22" s="1852"/>
      <c r="DPN22" s="1852"/>
      <c r="DPQ22" s="1852"/>
      <c r="DPT22" s="1852"/>
      <c r="DPW22" s="1852"/>
      <c r="DPZ22" s="1852"/>
      <c r="DQC22" s="1852"/>
      <c r="DQF22" s="1852"/>
      <c r="DQI22" s="1852"/>
      <c r="DQL22" s="1852"/>
      <c r="DQO22" s="1852"/>
      <c r="DQR22" s="1852"/>
      <c r="DQU22" s="1852"/>
      <c r="DQX22" s="1852"/>
      <c r="DRA22" s="1852"/>
      <c r="DRD22" s="1852"/>
      <c r="DRG22" s="1852"/>
      <c r="DRJ22" s="1852"/>
      <c r="DRM22" s="1852"/>
      <c r="DRP22" s="1852"/>
      <c r="DRS22" s="1852"/>
      <c r="DRV22" s="1852"/>
      <c r="DRY22" s="1852"/>
      <c r="DSB22" s="1852"/>
      <c r="DSE22" s="1852"/>
      <c r="DSH22" s="1852"/>
      <c r="DSK22" s="1852"/>
      <c r="DSN22" s="1852"/>
      <c r="DSQ22" s="1852"/>
      <c r="DST22" s="1852"/>
      <c r="DSW22" s="1852"/>
      <c r="DSZ22" s="1852"/>
      <c r="DTC22" s="1852"/>
      <c r="DTF22" s="1852"/>
      <c r="DTI22" s="1852"/>
      <c r="DTL22" s="1852"/>
      <c r="DTO22" s="1852"/>
      <c r="DTR22" s="1852"/>
      <c r="DTU22" s="1852"/>
      <c r="DTX22" s="1852"/>
      <c r="DUA22" s="1852"/>
      <c r="DUD22" s="1852"/>
      <c r="DUG22" s="1852"/>
      <c r="DUJ22" s="1852"/>
      <c r="DUM22" s="1852"/>
      <c r="DUP22" s="1852"/>
      <c r="DUS22" s="1852"/>
      <c r="DUV22" s="1852"/>
      <c r="DUY22" s="1852"/>
      <c r="DVB22" s="1852"/>
      <c r="DVE22" s="1852"/>
      <c r="DVH22" s="1852"/>
      <c r="DVK22" s="1852"/>
      <c r="DVN22" s="1852"/>
      <c r="DVQ22" s="1852"/>
      <c r="DVT22" s="1852"/>
      <c r="DVW22" s="1852"/>
      <c r="DVZ22" s="1852"/>
      <c r="DWC22" s="1852"/>
      <c r="DWF22" s="1852"/>
      <c r="DWI22" s="1852"/>
      <c r="DWL22" s="1852"/>
      <c r="DWO22" s="1852"/>
      <c r="DWR22" s="1852"/>
      <c r="DWU22" s="1852"/>
      <c r="DWX22" s="1852"/>
      <c r="DXA22" s="1852"/>
      <c r="DXD22" s="1852"/>
      <c r="DXG22" s="1852"/>
      <c r="DXJ22" s="1852"/>
      <c r="DXM22" s="1852"/>
      <c r="DXP22" s="1852"/>
      <c r="DXS22" s="1852"/>
      <c r="DXV22" s="1852"/>
      <c r="DXY22" s="1852"/>
      <c r="DYB22" s="1852"/>
      <c r="DYE22" s="1852"/>
      <c r="DYH22" s="1852"/>
      <c r="DYK22" s="1852"/>
      <c r="DYN22" s="1852"/>
      <c r="DYQ22" s="1852"/>
      <c r="DYT22" s="1852"/>
      <c r="DYW22" s="1852"/>
      <c r="DYZ22" s="1852"/>
      <c r="DZC22" s="1852"/>
      <c r="DZF22" s="1852"/>
      <c r="DZI22" s="1852"/>
      <c r="DZL22" s="1852"/>
      <c r="DZO22" s="1852"/>
      <c r="DZR22" s="1852"/>
      <c r="DZU22" s="1852"/>
      <c r="DZX22" s="1852"/>
      <c r="EAA22" s="1852"/>
      <c r="EAD22" s="1852"/>
      <c r="EAG22" s="1852"/>
      <c r="EAJ22" s="1852"/>
      <c r="EAM22" s="1852"/>
      <c r="EAP22" s="1852"/>
      <c r="EAS22" s="1852"/>
      <c r="EAV22" s="1852"/>
      <c r="EAY22" s="1852"/>
      <c r="EBB22" s="1852"/>
      <c r="EBE22" s="1852"/>
      <c r="EBH22" s="1852"/>
      <c r="EBK22" s="1852"/>
      <c r="EBN22" s="1852"/>
      <c r="EBQ22" s="1852"/>
      <c r="EBT22" s="1852"/>
      <c r="EBW22" s="1852"/>
      <c r="EBZ22" s="1852"/>
      <c r="ECC22" s="1852"/>
      <c r="ECF22" s="1852"/>
      <c r="ECI22" s="1852"/>
      <c r="ECL22" s="1852"/>
      <c r="ECO22" s="1852"/>
      <c r="ECR22" s="1852"/>
      <c r="ECU22" s="1852"/>
      <c r="ECX22" s="1852"/>
      <c r="EDA22" s="1852"/>
      <c r="EDD22" s="1852"/>
      <c r="EDG22" s="1852"/>
      <c r="EDJ22" s="1852"/>
      <c r="EDM22" s="1852"/>
      <c r="EDP22" s="1852"/>
      <c r="EDS22" s="1852"/>
      <c r="EDV22" s="1852"/>
      <c r="EDY22" s="1852"/>
      <c r="EEB22" s="1852"/>
      <c r="EEE22" s="1852"/>
      <c r="EEH22" s="1852"/>
      <c r="EEK22" s="1852"/>
      <c r="EEN22" s="1852"/>
      <c r="EEQ22" s="1852"/>
      <c r="EET22" s="1852"/>
      <c r="EEW22" s="1852"/>
      <c r="EEZ22" s="1852"/>
      <c r="EFC22" s="1852"/>
      <c r="EFF22" s="1852"/>
      <c r="EFI22" s="1852"/>
      <c r="EFL22" s="1852"/>
      <c r="EFO22" s="1852"/>
      <c r="EFR22" s="1852"/>
      <c r="EFU22" s="1852"/>
      <c r="EFX22" s="1852"/>
      <c r="EGA22" s="1852"/>
      <c r="EGD22" s="1852"/>
      <c r="EGG22" s="1852"/>
      <c r="EGJ22" s="1852"/>
      <c r="EGM22" s="1852"/>
      <c r="EGP22" s="1852"/>
      <c r="EGS22" s="1852"/>
      <c r="EGV22" s="1852"/>
      <c r="EGY22" s="1852"/>
      <c r="EHB22" s="1852"/>
      <c r="EHE22" s="1852"/>
      <c r="EHH22" s="1852"/>
      <c r="EHK22" s="1852"/>
      <c r="EHN22" s="1852"/>
      <c r="EHQ22" s="1852"/>
      <c r="EHT22" s="1852"/>
      <c r="EHW22" s="1852"/>
      <c r="EHZ22" s="1852"/>
      <c r="EIC22" s="1852"/>
      <c r="EIF22" s="1852"/>
      <c r="EII22" s="1852"/>
      <c r="EIL22" s="1852"/>
      <c r="EIO22" s="1852"/>
      <c r="EIR22" s="1852"/>
      <c r="EIU22" s="1852"/>
      <c r="EIX22" s="1852"/>
      <c r="EJA22" s="1852"/>
      <c r="EJD22" s="1852"/>
      <c r="EJG22" s="1852"/>
      <c r="EJJ22" s="1852"/>
      <c r="EJM22" s="1852"/>
      <c r="EJP22" s="1852"/>
      <c r="EJS22" s="1852"/>
      <c r="EJV22" s="1852"/>
      <c r="EJY22" s="1852"/>
      <c r="EKB22" s="1852"/>
      <c r="EKE22" s="1852"/>
      <c r="EKH22" s="1852"/>
      <c r="EKK22" s="1852"/>
      <c r="EKN22" s="1852"/>
      <c r="EKQ22" s="1852"/>
      <c r="EKT22" s="1852"/>
      <c r="EKW22" s="1852"/>
      <c r="EKZ22" s="1852"/>
      <c r="ELC22" s="1852"/>
      <c r="ELF22" s="1852"/>
      <c r="ELI22" s="1852"/>
      <c r="ELL22" s="1852"/>
      <c r="ELO22" s="1852"/>
      <c r="ELR22" s="1852"/>
      <c r="ELU22" s="1852"/>
      <c r="ELX22" s="1852"/>
      <c r="EMA22" s="1852"/>
      <c r="EMD22" s="1852"/>
      <c r="EMG22" s="1852"/>
      <c r="EMJ22" s="1852"/>
      <c r="EMM22" s="1852"/>
      <c r="EMP22" s="1852"/>
      <c r="EMS22" s="1852"/>
      <c r="EMV22" s="1852"/>
      <c r="EMY22" s="1852"/>
      <c r="ENB22" s="1852"/>
      <c r="ENE22" s="1852"/>
      <c r="ENH22" s="1852"/>
      <c r="ENK22" s="1852"/>
      <c r="ENN22" s="1852"/>
      <c r="ENQ22" s="1852"/>
      <c r="ENT22" s="1852"/>
      <c r="ENW22" s="1852"/>
      <c r="ENZ22" s="1852"/>
      <c r="EOC22" s="1852"/>
      <c r="EOF22" s="1852"/>
      <c r="EOI22" s="1852"/>
      <c r="EOL22" s="1852"/>
      <c r="EOO22" s="1852"/>
      <c r="EOR22" s="1852"/>
      <c r="EOU22" s="1852"/>
      <c r="EOX22" s="1852"/>
      <c r="EPA22" s="1852"/>
      <c r="EPD22" s="1852"/>
      <c r="EPG22" s="1852"/>
      <c r="EPJ22" s="1852"/>
      <c r="EPM22" s="1852"/>
      <c r="EPP22" s="1852"/>
      <c r="EPS22" s="1852"/>
      <c r="EPV22" s="1852"/>
      <c r="EPY22" s="1852"/>
      <c r="EQB22" s="1852"/>
      <c r="EQE22" s="1852"/>
      <c r="EQH22" s="1852"/>
      <c r="EQK22" s="1852"/>
      <c r="EQN22" s="1852"/>
      <c r="EQQ22" s="1852"/>
      <c r="EQT22" s="1852"/>
      <c r="EQW22" s="1852"/>
      <c r="EQZ22" s="1852"/>
      <c r="ERC22" s="1852"/>
      <c r="ERF22" s="1852"/>
      <c r="ERI22" s="1852"/>
      <c r="ERL22" s="1852"/>
      <c r="ERO22" s="1852"/>
      <c r="ERR22" s="1852"/>
      <c r="ERU22" s="1852"/>
      <c r="ERX22" s="1852"/>
      <c r="ESA22" s="1852"/>
      <c r="ESD22" s="1852"/>
      <c r="ESG22" s="1852"/>
      <c r="ESJ22" s="1852"/>
      <c r="ESM22" s="1852"/>
      <c r="ESP22" s="1852"/>
      <c r="ESS22" s="1852"/>
      <c r="ESV22" s="1852"/>
      <c r="ESY22" s="1852"/>
      <c r="ETB22" s="1852"/>
      <c r="ETE22" s="1852"/>
      <c r="ETH22" s="1852"/>
      <c r="ETK22" s="1852"/>
      <c r="ETN22" s="1852"/>
      <c r="ETQ22" s="1852"/>
      <c r="ETT22" s="1852"/>
      <c r="ETW22" s="1852"/>
      <c r="ETZ22" s="1852"/>
      <c r="EUC22" s="1852"/>
      <c r="EUF22" s="1852"/>
      <c r="EUI22" s="1852"/>
      <c r="EUL22" s="1852"/>
      <c r="EUO22" s="1852"/>
      <c r="EUR22" s="1852"/>
      <c r="EUU22" s="1852"/>
      <c r="EUX22" s="1852"/>
      <c r="EVA22" s="1852"/>
      <c r="EVD22" s="1852"/>
      <c r="EVG22" s="1852"/>
      <c r="EVJ22" s="1852"/>
      <c r="EVM22" s="1852"/>
      <c r="EVP22" s="1852"/>
      <c r="EVS22" s="1852"/>
      <c r="EVV22" s="1852"/>
      <c r="EVY22" s="1852"/>
      <c r="EWB22" s="1852"/>
      <c r="EWE22" s="1852"/>
      <c r="EWH22" s="1852"/>
      <c r="EWK22" s="1852"/>
      <c r="EWN22" s="1852"/>
      <c r="EWQ22" s="1852"/>
      <c r="EWT22" s="1852"/>
      <c r="EWW22" s="1852"/>
      <c r="EWZ22" s="1852"/>
      <c r="EXC22" s="1852"/>
      <c r="EXF22" s="1852"/>
      <c r="EXI22" s="1852"/>
      <c r="EXL22" s="1852"/>
      <c r="EXO22" s="1852"/>
      <c r="EXR22" s="1852"/>
      <c r="EXU22" s="1852"/>
      <c r="EXX22" s="1852"/>
      <c r="EYA22" s="1852"/>
      <c r="EYD22" s="1852"/>
      <c r="EYG22" s="1852"/>
      <c r="EYJ22" s="1852"/>
      <c r="EYM22" s="1852"/>
      <c r="EYP22" s="1852"/>
      <c r="EYS22" s="1852"/>
      <c r="EYV22" s="1852"/>
      <c r="EYY22" s="1852"/>
      <c r="EZB22" s="1852"/>
      <c r="EZE22" s="1852"/>
      <c r="EZH22" s="1852"/>
      <c r="EZK22" s="1852"/>
      <c r="EZN22" s="1852"/>
      <c r="EZQ22" s="1852"/>
      <c r="EZT22" s="1852"/>
      <c r="EZW22" s="1852"/>
      <c r="EZZ22" s="1852"/>
      <c r="FAC22" s="1852"/>
      <c r="FAF22" s="1852"/>
      <c r="FAI22" s="1852"/>
      <c r="FAL22" s="1852"/>
      <c r="FAO22" s="1852"/>
      <c r="FAR22" s="1852"/>
      <c r="FAU22" s="1852"/>
      <c r="FAX22" s="1852"/>
      <c r="FBA22" s="1852"/>
      <c r="FBD22" s="1852"/>
      <c r="FBG22" s="1852"/>
      <c r="FBJ22" s="1852"/>
      <c r="FBM22" s="1852"/>
      <c r="FBP22" s="1852"/>
      <c r="FBS22" s="1852"/>
      <c r="FBV22" s="1852"/>
      <c r="FBY22" s="1852"/>
      <c r="FCB22" s="1852"/>
      <c r="FCE22" s="1852"/>
      <c r="FCH22" s="1852"/>
      <c r="FCK22" s="1852"/>
      <c r="FCN22" s="1852"/>
      <c r="FCQ22" s="1852"/>
      <c r="FCT22" s="1852"/>
      <c r="FCW22" s="1852"/>
      <c r="FCZ22" s="1852"/>
      <c r="FDC22" s="1852"/>
      <c r="FDF22" s="1852"/>
      <c r="FDI22" s="1852"/>
      <c r="FDL22" s="1852"/>
      <c r="FDO22" s="1852"/>
      <c r="FDR22" s="1852"/>
      <c r="FDU22" s="1852"/>
      <c r="FDX22" s="1852"/>
      <c r="FEA22" s="1852"/>
      <c r="FED22" s="1852"/>
      <c r="FEG22" s="1852"/>
      <c r="FEJ22" s="1852"/>
      <c r="FEM22" s="1852"/>
      <c r="FEP22" s="1852"/>
      <c r="FES22" s="1852"/>
      <c r="FEV22" s="1852"/>
      <c r="FEY22" s="1852"/>
      <c r="FFB22" s="1852"/>
      <c r="FFE22" s="1852"/>
      <c r="FFH22" s="1852"/>
      <c r="FFK22" s="1852"/>
      <c r="FFN22" s="1852"/>
      <c r="FFQ22" s="1852"/>
      <c r="FFT22" s="1852"/>
      <c r="FFW22" s="1852"/>
      <c r="FFZ22" s="1852"/>
      <c r="FGC22" s="1852"/>
      <c r="FGF22" s="1852"/>
      <c r="FGI22" s="1852"/>
      <c r="FGL22" s="1852"/>
      <c r="FGO22" s="1852"/>
      <c r="FGR22" s="1852"/>
      <c r="FGU22" s="1852"/>
      <c r="FGX22" s="1852"/>
      <c r="FHA22" s="1852"/>
      <c r="FHD22" s="1852"/>
      <c r="FHG22" s="1852"/>
      <c r="FHJ22" s="1852"/>
      <c r="FHM22" s="1852"/>
      <c r="FHP22" s="1852"/>
      <c r="FHS22" s="1852"/>
      <c r="FHV22" s="1852"/>
      <c r="FHY22" s="1852"/>
      <c r="FIB22" s="1852"/>
      <c r="FIE22" s="1852"/>
      <c r="FIH22" s="1852"/>
      <c r="FIK22" s="1852"/>
      <c r="FIN22" s="1852"/>
      <c r="FIQ22" s="1852"/>
      <c r="FIT22" s="1852"/>
      <c r="FIW22" s="1852"/>
      <c r="FIZ22" s="1852"/>
      <c r="FJC22" s="1852"/>
      <c r="FJF22" s="1852"/>
      <c r="FJI22" s="1852"/>
      <c r="FJL22" s="1852"/>
      <c r="FJO22" s="1852"/>
      <c r="FJR22" s="1852"/>
      <c r="FJU22" s="1852"/>
      <c r="FJX22" s="1852"/>
      <c r="FKA22" s="1852"/>
      <c r="FKD22" s="1852"/>
      <c r="FKG22" s="1852"/>
      <c r="FKJ22" s="1852"/>
      <c r="FKM22" s="1852"/>
      <c r="FKP22" s="1852"/>
      <c r="FKS22" s="1852"/>
      <c r="FKV22" s="1852"/>
      <c r="FKY22" s="1852"/>
      <c r="FLB22" s="1852"/>
      <c r="FLE22" s="1852"/>
      <c r="FLH22" s="1852"/>
      <c r="FLK22" s="1852"/>
      <c r="FLN22" s="1852"/>
      <c r="FLQ22" s="1852"/>
      <c r="FLT22" s="1852"/>
      <c r="FLW22" s="1852"/>
      <c r="FLZ22" s="1852"/>
      <c r="FMC22" s="1852"/>
      <c r="FMF22" s="1852"/>
      <c r="FMI22" s="1852"/>
      <c r="FML22" s="1852"/>
      <c r="FMO22" s="1852"/>
      <c r="FMR22" s="1852"/>
      <c r="FMU22" s="1852"/>
      <c r="FMX22" s="1852"/>
      <c r="FNA22" s="1852"/>
      <c r="FND22" s="1852"/>
      <c r="FNG22" s="1852"/>
      <c r="FNJ22" s="1852"/>
      <c r="FNM22" s="1852"/>
      <c r="FNP22" s="1852"/>
      <c r="FNS22" s="1852"/>
      <c r="FNV22" s="1852"/>
      <c r="FNY22" s="1852"/>
      <c r="FOB22" s="1852"/>
      <c r="FOE22" s="1852"/>
      <c r="FOH22" s="1852"/>
      <c r="FOK22" s="1852"/>
      <c r="FON22" s="1852"/>
      <c r="FOQ22" s="1852"/>
      <c r="FOT22" s="1852"/>
      <c r="FOW22" s="1852"/>
      <c r="FOZ22" s="1852"/>
      <c r="FPC22" s="1852"/>
      <c r="FPF22" s="1852"/>
      <c r="FPI22" s="1852"/>
      <c r="FPL22" s="1852"/>
      <c r="FPO22" s="1852"/>
      <c r="FPR22" s="1852"/>
      <c r="FPU22" s="1852"/>
      <c r="FPX22" s="1852"/>
      <c r="FQA22" s="1852"/>
      <c r="FQD22" s="1852"/>
      <c r="FQG22" s="1852"/>
      <c r="FQJ22" s="1852"/>
      <c r="FQM22" s="1852"/>
      <c r="FQP22" s="1852"/>
      <c r="FQS22" s="1852"/>
      <c r="FQV22" s="1852"/>
      <c r="FQY22" s="1852"/>
      <c r="FRB22" s="1852"/>
      <c r="FRE22" s="1852"/>
      <c r="FRH22" s="1852"/>
      <c r="FRK22" s="1852"/>
      <c r="FRN22" s="1852"/>
      <c r="FRQ22" s="1852"/>
      <c r="FRT22" s="1852"/>
      <c r="FRW22" s="1852"/>
      <c r="FRZ22" s="1852"/>
      <c r="FSC22" s="1852"/>
      <c r="FSF22" s="1852"/>
      <c r="FSI22" s="1852"/>
      <c r="FSL22" s="1852"/>
      <c r="FSO22" s="1852"/>
      <c r="FSR22" s="1852"/>
      <c r="FSU22" s="1852"/>
      <c r="FSX22" s="1852"/>
      <c r="FTA22" s="1852"/>
      <c r="FTD22" s="1852"/>
      <c r="FTG22" s="1852"/>
      <c r="FTJ22" s="1852"/>
      <c r="FTM22" s="1852"/>
      <c r="FTP22" s="1852"/>
      <c r="FTS22" s="1852"/>
      <c r="FTV22" s="1852"/>
      <c r="FTY22" s="1852"/>
      <c r="FUB22" s="1852"/>
      <c r="FUE22" s="1852"/>
      <c r="FUH22" s="1852"/>
      <c r="FUK22" s="1852"/>
      <c r="FUN22" s="1852"/>
      <c r="FUQ22" s="1852"/>
      <c r="FUT22" s="1852"/>
      <c r="FUW22" s="1852"/>
      <c r="FUZ22" s="1852"/>
      <c r="FVC22" s="1852"/>
      <c r="FVF22" s="1852"/>
      <c r="FVI22" s="1852"/>
      <c r="FVL22" s="1852"/>
      <c r="FVO22" s="1852"/>
      <c r="FVR22" s="1852"/>
      <c r="FVU22" s="1852"/>
      <c r="FVX22" s="1852"/>
      <c r="FWA22" s="1852"/>
      <c r="FWD22" s="1852"/>
      <c r="FWG22" s="1852"/>
      <c r="FWJ22" s="1852"/>
      <c r="FWM22" s="1852"/>
      <c r="FWP22" s="1852"/>
      <c r="FWS22" s="1852"/>
      <c r="FWV22" s="1852"/>
      <c r="FWY22" s="1852"/>
      <c r="FXB22" s="1852"/>
      <c r="FXE22" s="1852"/>
      <c r="FXH22" s="1852"/>
      <c r="FXK22" s="1852"/>
      <c r="FXN22" s="1852"/>
      <c r="FXQ22" s="1852"/>
      <c r="FXT22" s="1852"/>
      <c r="FXW22" s="1852"/>
      <c r="FXZ22" s="1852"/>
      <c r="FYC22" s="1852"/>
      <c r="FYF22" s="1852"/>
      <c r="FYI22" s="1852"/>
      <c r="FYL22" s="1852"/>
      <c r="FYO22" s="1852"/>
      <c r="FYR22" s="1852"/>
      <c r="FYU22" s="1852"/>
      <c r="FYX22" s="1852"/>
      <c r="FZA22" s="1852"/>
      <c r="FZD22" s="1852"/>
      <c r="FZG22" s="1852"/>
      <c r="FZJ22" s="1852"/>
      <c r="FZM22" s="1852"/>
      <c r="FZP22" s="1852"/>
      <c r="FZS22" s="1852"/>
      <c r="FZV22" s="1852"/>
      <c r="FZY22" s="1852"/>
      <c r="GAB22" s="1852"/>
      <c r="GAE22" s="1852"/>
      <c r="GAH22" s="1852"/>
      <c r="GAK22" s="1852"/>
      <c r="GAN22" s="1852"/>
      <c r="GAQ22" s="1852"/>
      <c r="GAT22" s="1852"/>
      <c r="GAW22" s="1852"/>
      <c r="GAZ22" s="1852"/>
      <c r="GBC22" s="1852"/>
      <c r="GBF22" s="1852"/>
      <c r="GBI22" s="1852"/>
      <c r="GBL22" s="1852"/>
      <c r="GBO22" s="1852"/>
      <c r="GBR22" s="1852"/>
      <c r="GBU22" s="1852"/>
      <c r="GBX22" s="1852"/>
      <c r="GCA22" s="1852"/>
      <c r="GCD22" s="1852"/>
      <c r="GCG22" s="1852"/>
      <c r="GCJ22" s="1852"/>
      <c r="GCM22" s="1852"/>
      <c r="GCP22" s="1852"/>
      <c r="GCS22" s="1852"/>
      <c r="GCV22" s="1852"/>
      <c r="GCY22" s="1852"/>
      <c r="GDB22" s="1852"/>
      <c r="GDE22" s="1852"/>
      <c r="GDH22" s="1852"/>
      <c r="GDK22" s="1852"/>
      <c r="GDN22" s="1852"/>
      <c r="GDQ22" s="1852"/>
      <c r="GDT22" s="1852"/>
      <c r="GDW22" s="1852"/>
      <c r="GDZ22" s="1852"/>
      <c r="GEC22" s="1852"/>
      <c r="GEF22" s="1852"/>
      <c r="GEI22" s="1852"/>
      <c r="GEL22" s="1852"/>
      <c r="GEO22" s="1852"/>
      <c r="GER22" s="1852"/>
      <c r="GEU22" s="1852"/>
      <c r="GEX22" s="1852"/>
      <c r="GFA22" s="1852"/>
      <c r="GFD22" s="1852"/>
      <c r="GFG22" s="1852"/>
      <c r="GFJ22" s="1852"/>
      <c r="GFM22" s="1852"/>
      <c r="GFP22" s="1852"/>
      <c r="GFS22" s="1852"/>
      <c r="GFV22" s="1852"/>
      <c r="GFY22" s="1852"/>
      <c r="GGB22" s="1852"/>
      <c r="GGE22" s="1852"/>
      <c r="GGH22" s="1852"/>
      <c r="GGK22" s="1852"/>
      <c r="GGN22" s="1852"/>
      <c r="GGQ22" s="1852"/>
      <c r="GGT22" s="1852"/>
      <c r="GGW22" s="1852"/>
      <c r="GGZ22" s="1852"/>
      <c r="GHC22" s="1852"/>
      <c r="GHF22" s="1852"/>
      <c r="GHI22" s="1852"/>
      <c r="GHL22" s="1852"/>
      <c r="GHO22" s="1852"/>
      <c r="GHR22" s="1852"/>
      <c r="GHU22" s="1852"/>
      <c r="GHX22" s="1852"/>
      <c r="GIA22" s="1852"/>
      <c r="GID22" s="1852"/>
      <c r="GIG22" s="1852"/>
      <c r="GIJ22" s="1852"/>
      <c r="GIM22" s="1852"/>
      <c r="GIP22" s="1852"/>
      <c r="GIS22" s="1852"/>
      <c r="GIV22" s="1852"/>
      <c r="GIY22" s="1852"/>
      <c r="GJB22" s="1852"/>
      <c r="GJE22" s="1852"/>
      <c r="GJH22" s="1852"/>
      <c r="GJK22" s="1852"/>
      <c r="GJN22" s="1852"/>
      <c r="GJQ22" s="1852"/>
      <c r="GJT22" s="1852"/>
      <c r="GJW22" s="1852"/>
      <c r="GJZ22" s="1852"/>
      <c r="GKC22" s="1852"/>
      <c r="GKF22" s="1852"/>
      <c r="GKI22" s="1852"/>
      <c r="GKL22" s="1852"/>
      <c r="GKO22" s="1852"/>
      <c r="GKR22" s="1852"/>
      <c r="GKU22" s="1852"/>
      <c r="GKX22" s="1852"/>
      <c r="GLA22" s="1852"/>
      <c r="GLD22" s="1852"/>
      <c r="GLG22" s="1852"/>
      <c r="GLJ22" s="1852"/>
      <c r="GLM22" s="1852"/>
      <c r="GLP22" s="1852"/>
      <c r="GLS22" s="1852"/>
      <c r="GLV22" s="1852"/>
      <c r="GLY22" s="1852"/>
      <c r="GMB22" s="1852"/>
      <c r="GME22" s="1852"/>
      <c r="GMH22" s="1852"/>
      <c r="GMK22" s="1852"/>
      <c r="GMN22" s="1852"/>
      <c r="GMQ22" s="1852"/>
      <c r="GMT22" s="1852"/>
      <c r="GMW22" s="1852"/>
      <c r="GMZ22" s="1852"/>
      <c r="GNC22" s="1852"/>
      <c r="GNF22" s="1852"/>
      <c r="GNI22" s="1852"/>
      <c r="GNL22" s="1852"/>
      <c r="GNO22" s="1852"/>
      <c r="GNR22" s="1852"/>
      <c r="GNU22" s="1852"/>
      <c r="GNX22" s="1852"/>
      <c r="GOA22" s="1852"/>
      <c r="GOD22" s="1852"/>
      <c r="GOG22" s="1852"/>
      <c r="GOJ22" s="1852"/>
      <c r="GOM22" s="1852"/>
      <c r="GOP22" s="1852"/>
      <c r="GOS22" s="1852"/>
      <c r="GOV22" s="1852"/>
      <c r="GOY22" s="1852"/>
      <c r="GPB22" s="1852"/>
      <c r="GPE22" s="1852"/>
      <c r="GPH22" s="1852"/>
      <c r="GPK22" s="1852"/>
      <c r="GPN22" s="1852"/>
      <c r="GPQ22" s="1852"/>
      <c r="GPT22" s="1852"/>
      <c r="GPW22" s="1852"/>
      <c r="GPZ22" s="1852"/>
      <c r="GQC22" s="1852"/>
      <c r="GQF22" s="1852"/>
      <c r="GQI22" s="1852"/>
      <c r="GQL22" s="1852"/>
      <c r="GQO22" s="1852"/>
      <c r="GQR22" s="1852"/>
      <c r="GQU22" s="1852"/>
      <c r="GQX22" s="1852"/>
      <c r="GRA22" s="1852"/>
      <c r="GRD22" s="1852"/>
      <c r="GRG22" s="1852"/>
      <c r="GRJ22" s="1852"/>
      <c r="GRM22" s="1852"/>
      <c r="GRP22" s="1852"/>
      <c r="GRS22" s="1852"/>
      <c r="GRV22" s="1852"/>
      <c r="GRY22" s="1852"/>
      <c r="GSB22" s="1852"/>
      <c r="GSE22" s="1852"/>
      <c r="GSH22" s="1852"/>
      <c r="GSK22" s="1852"/>
      <c r="GSN22" s="1852"/>
      <c r="GSQ22" s="1852"/>
      <c r="GST22" s="1852"/>
      <c r="GSW22" s="1852"/>
      <c r="GSZ22" s="1852"/>
      <c r="GTC22" s="1852"/>
      <c r="GTF22" s="1852"/>
      <c r="GTI22" s="1852"/>
      <c r="GTL22" s="1852"/>
      <c r="GTO22" s="1852"/>
      <c r="GTR22" s="1852"/>
      <c r="GTU22" s="1852"/>
      <c r="GTX22" s="1852"/>
      <c r="GUA22" s="1852"/>
      <c r="GUD22" s="1852"/>
      <c r="GUG22" s="1852"/>
      <c r="GUJ22" s="1852"/>
      <c r="GUM22" s="1852"/>
      <c r="GUP22" s="1852"/>
      <c r="GUS22" s="1852"/>
      <c r="GUV22" s="1852"/>
      <c r="GUY22" s="1852"/>
      <c r="GVB22" s="1852"/>
      <c r="GVE22" s="1852"/>
      <c r="GVH22" s="1852"/>
      <c r="GVK22" s="1852"/>
      <c r="GVN22" s="1852"/>
      <c r="GVQ22" s="1852"/>
      <c r="GVT22" s="1852"/>
      <c r="GVW22" s="1852"/>
      <c r="GVZ22" s="1852"/>
      <c r="GWC22" s="1852"/>
      <c r="GWF22" s="1852"/>
      <c r="GWI22" s="1852"/>
      <c r="GWL22" s="1852"/>
      <c r="GWO22" s="1852"/>
      <c r="GWR22" s="1852"/>
      <c r="GWU22" s="1852"/>
      <c r="GWX22" s="1852"/>
      <c r="GXA22" s="1852"/>
      <c r="GXD22" s="1852"/>
      <c r="GXG22" s="1852"/>
      <c r="GXJ22" s="1852"/>
      <c r="GXM22" s="1852"/>
      <c r="GXP22" s="1852"/>
      <c r="GXS22" s="1852"/>
      <c r="GXV22" s="1852"/>
      <c r="GXY22" s="1852"/>
      <c r="GYB22" s="1852"/>
      <c r="GYE22" s="1852"/>
      <c r="GYH22" s="1852"/>
      <c r="GYK22" s="1852"/>
      <c r="GYN22" s="1852"/>
      <c r="GYQ22" s="1852"/>
      <c r="GYT22" s="1852"/>
      <c r="GYW22" s="1852"/>
      <c r="GYZ22" s="1852"/>
      <c r="GZC22" s="1852"/>
      <c r="GZF22" s="1852"/>
      <c r="GZI22" s="1852"/>
      <c r="GZL22" s="1852"/>
      <c r="GZO22" s="1852"/>
      <c r="GZR22" s="1852"/>
      <c r="GZU22" s="1852"/>
      <c r="GZX22" s="1852"/>
      <c r="HAA22" s="1852"/>
      <c r="HAD22" s="1852"/>
      <c r="HAG22" s="1852"/>
      <c r="HAJ22" s="1852"/>
      <c r="HAM22" s="1852"/>
      <c r="HAP22" s="1852"/>
      <c r="HAS22" s="1852"/>
      <c r="HAV22" s="1852"/>
      <c r="HAY22" s="1852"/>
      <c r="HBB22" s="1852"/>
      <c r="HBE22" s="1852"/>
      <c r="HBH22" s="1852"/>
      <c r="HBK22" s="1852"/>
      <c r="HBN22" s="1852"/>
      <c r="HBQ22" s="1852"/>
      <c r="HBT22" s="1852"/>
      <c r="HBW22" s="1852"/>
      <c r="HBZ22" s="1852"/>
      <c r="HCC22" s="1852"/>
      <c r="HCF22" s="1852"/>
      <c r="HCI22" s="1852"/>
      <c r="HCL22" s="1852"/>
      <c r="HCO22" s="1852"/>
      <c r="HCR22" s="1852"/>
      <c r="HCU22" s="1852"/>
      <c r="HCX22" s="1852"/>
      <c r="HDA22" s="1852"/>
      <c r="HDD22" s="1852"/>
      <c r="HDG22" s="1852"/>
      <c r="HDJ22" s="1852"/>
      <c r="HDM22" s="1852"/>
      <c r="HDP22" s="1852"/>
      <c r="HDS22" s="1852"/>
      <c r="HDV22" s="1852"/>
      <c r="HDY22" s="1852"/>
      <c r="HEB22" s="1852"/>
      <c r="HEE22" s="1852"/>
      <c r="HEH22" s="1852"/>
      <c r="HEK22" s="1852"/>
      <c r="HEN22" s="1852"/>
      <c r="HEQ22" s="1852"/>
      <c r="HET22" s="1852"/>
      <c r="HEW22" s="1852"/>
      <c r="HEZ22" s="1852"/>
      <c r="HFC22" s="1852"/>
      <c r="HFF22" s="1852"/>
      <c r="HFI22" s="1852"/>
      <c r="HFL22" s="1852"/>
      <c r="HFO22" s="1852"/>
      <c r="HFR22" s="1852"/>
      <c r="HFU22" s="1852"/>
      <c r="HFX22" s="1852"/>
      <c r="HGA22" s="1852"/>
      <c r="HGD22" s="1852"/>
      <c r="HGG22" s="1852"/>
      <c r="HGJ22" s="1852"/>
      <c r="HGM22" s="1852"/>
      <c r="HGP22" s="1852"/>
      <c r="HGS22" s="1852"/>
      <c r="HGV22" s="1852"/>
      <c r="HGY22" s="1852"/>
      <c r="HHB22" s="1852"/>
      <c r="HHE22" s="1852"/>
      <c r="HHH22" s="1852"/>
      <c r="HHK22" s="1852"/>
      <c r="HHN22" s="1852"/>
      <c r="HHQ22" s="1852"/>
      <c r="HHT22" s="1852"/>
      <c r="HHW22" s="1852"/>
      <c r="HHZ22" s="1852"/>
      <c r="HIC22" s="1852"/>
      <c r="HIF22" s="1852"/>
      <c r="HII22" s="1852"/>
      <c r="HIL22" s="1852"/>
      <c r="HIO22" s="1852"/>
      <c r="HIR22" s="1852"/>
      <c r="HIU22" s="1852"/>
      <c r="HIX22" s="1852"/>
      <c r="HJA22" s="1852"/>
      <c r="HJD22" s="1852"/>
      <c r="HJG22" s="1852"/>
      <c r="HJJ22" s="1852"/>
      <c r="HJM22" s="1852"/>
      <c r="HJP22" s="1852"/>
      <c r="HJS22" s="1852"/>
      <c r="HJV22" s="1852"/>
      <c r="HJY22" s="1852"/>
      <c r="HKB22" s="1852"/>
      <c r="HKE22" s="1852"/>
      <c r="HKH22" s="1852"/>
      <c r="HKK22" s="1852"/>
      <c r="HKN22" s="1852"/>
      <c r="HKQ22" s="1852"/>
      <c r="HKT22" s="1852"/>
      <c r="HKW22" s="1852"/>
      <c r="HKZ22" s="1852"/>
      <c r="HLC22" s="1852"/>
      <c r="HLF22" s="1852"/>
      <c r="HLI22" s="1852"/>
      <c r="HLL22" s="1852"/>
      <c r="HLO22" s="1852"/>
      <c r="HLR22" s="1852"/>
      <c r="HLU22" s="1852"/>
      <c r="HLX22" s="1852"/>
      <c r="HMA22" s="1852"/>
      <c r="HMD22" s="1852"/>
      <c r="HMG22" s="1852"/>
      <c r="HMJ22" s="1852"/>
      <c r="HMM22" s="1852"/>
      <c r="HMP22" s="1852"/>
      <c r="HMS22" s="1852"/>
      <c r="HMV22" s="1852"/>
      <c r="HMY22" s="1852"/>
      <c r="HNB22" s="1852"/>
      <c r="HNE22" s="1852"/>
      <c r="HNH22" s="1852"/>
      <c r="HNK22" s="1852"/>
      <c r="HNN22" s="1852"/>
      <c r="HNQ22" s="1852"/>
      <c r="HNT22" s="1852"/>
      <c r="HNW22" s="1852"/>
      <c r="HNZ22" s="1852"/>
      <c r="HOC22" s="1852"/>
      <c r="HOF22" s="1852"/>
      <c r="HOI22" s="1852"/>
      <c r="HOL22" s="1852"/>
      <c r="HOO22" s="1852"/>
      <c r="HOR22" s="1852"/>
      <c r="HOU22" s="1852"/>
      <c r="HOX22" s="1852"/>
      <c r="HPA22" s="1852"/>
      <c r="HPD22" s="1852"/>
      <c r="HPG22" s="1852"/>
      <c r="HPJ22" s="1852"/>
      <c r="HPM22" s="1852"/>
      <c r="HPP22" s="1852"/>
      <c r="HPS22" s="1852"/>
      <c r="HPV22" s="1852"/>
      <c r="HPY22" s="1852"/>
      <c r="HQB22" s="1852"/>
      <c r="HQE22" s="1852"/>
      <c r="HQH22" s="1852"/>
      <c r="HQK22" s="1852"/>
      <c r="HQN22" s="1852"/>
      <c r="HQQ22" s="1852"/>
      <c r="HQT22" s="1852"/>
      <c r="HQW22" s="1852"/>
      <c r="HQZ22" s="1852"/>
      <c r="HRC22" s="1852"/>
      <c r="HRF22" s="1852"/>
      <c r="HRI22" s="1852"/>
      <c r="HRL22" s="1852"/>
      <c r="HRO22" s="1852"/>
      <c r="HRR22" s="1852"/>
      <c r="HRU22" s="1852"/>
      <c r="HRX22" s="1852"/>
      <c r="HSA22" s="1852"/>
      <c r="HSD22" s="1852"/>
      <c r="HSG22" s="1852"/>
      <c r="HSJ22" s="1852"/>
      <c r="HSM22" s="1852"/>
      <c r="HSP22" s="1852"/>
      <c r="HSS22" s="1852"/>
      <c r="HSV22" s="1852"/>
      <c r="HSY22" s="1852"/>
      <c r="HTB22" s="1852"/>
      <c r="HTE22" s="1852"/>
      <c r="HTH22" s="1852"/>
      <c r="HTK22" s="1852"/>
      <c r="HTN22" s="1852"/>
      <c r="HTQ22" s="1852"/>
      <c r="HTT22" s="1852"/>
      <c r="HTW22" s="1852"/>
      <c r="HTZ22" s="1852"/>
      <c r="HUC22" s="1852"/>
      <c r="HUF22" s="1852"/>
      <c r="HUI22" s="1852"/>
      <c r="HUL22" s="1852"/>
      <c r="HUO22" s="1852"/>
      <c r="HUR22" s="1852"/>
      <c r="HUU22" s="1852"/>
      <c r="HUX22" s="1852"/>
      <c r="HVA22" s="1852"/>
      <c r="HVD22" s="1852"/>
      <c r="HVG22" s="1852"/>
      <c r="HVJ22" s="1852"/>
      <c r="HVM22" s="1852"/>
      <c r="HVP22" s="1852"/>
      <c r="HVS22" s="1852"/>
      <c r="HVV22" s="1852"/>
      <c r="HVY22" s="1852"/>
      <c r="HWB22" s="1852"/>
      <c r="HWE22" s="1852"/>
      <c r="HWH22" s="1852"/>
      <c r="HWK22" s="1852"/>
      <c r="HWN22" s="1852"/>
      <c r="HWQ22" s="1852"/>
      <c r="HWT22" s="1852"/>
      <c r="HWW22" s="1852"/>
      <c r="HWZ22" s="1852"/>
      <c r="HXC22" s="1852"/>
      <c r="HXF22" s="1852"/>
      <c r="HXI22" s="1852"/>
      <c r="HXL22" s="1852"/>
      <c r="HXO22" s="1852"/>
      <c r="HXR22" s="1852"/>
      <c r="HXU22" s="1852"/>
      <c r="HXX22" s="1852"/>
      <c r="HYA22" s="1852"/>
      <c r="HYD22" s="1852"/>
      <c r="HYG22" s="1852"/>
      <c r="HYJ22" s="1852"/>
      <c r="HYM22" s="1852"/>
      <c r="HYP22" s="1852"/>
      <c r="HYS22" s="1852"/>
      <c r="HYV22" s="1852"/>
      <c r="HYY22" s="1852"/>
      <c r="HZB22" s="1852"/>
      <c r="HZE22" s="1852"/>
      <c r="HZH22" s="1852"/>
      <c r="HZK22" s="1852"/>
      <c r="HZN22" s="1852"/>
      <c r="HZQ22" s="1852"/>
      <c r="HZT22" s="1852"/>
      <c r="HZW22" s="1852"/>
      <c r="HZZ22" s="1852"/>
      <c r="IAC22" s="1852"/>
      <c r="IAF22" s="1852"/>
      <c r="IAI22" s="1852"/>
      <c r="IAL22" s="1852"/>
      <c r="IAO22" s="1852"/>
      <c r="IAR22" s="1852"/>
      <c r="IAU22" s="1852"/>
      <c r="IAX22" s="1852"/>
      <c r="IBA22" s="1852"/>
      <c r="IBD22" s="1852"/>
      <c r="IBG22" s="1852"/>
      <c r="IBJ22" s="1852"/>
      <c r="IBM22" s="1852"/>
      <c r="IBP22" s="1852"/>
      <c r="IBS22" s="1852"/>
      <c r="IBV22" s="1852"/>
      <c r="IBY22" s="1852"/>
      <c r="ICB22" s="1852"/>
      <c r="ICE22" s="1852"/>
      <c r="ICH22" s="1852"/>
      <c r="ICK22" s="1852"/>
      <c r="ICN22" s="1852"/>
      <c r="ICQ22" s="1852"/>
      <c r="ICT22" s="1852"/>
      <c r="ICW22" s="1852"/>
      <c r="ICZ22" s="1852"/>
      <c r="IDC22" s="1852"/>
      <c r="IDF22" s="1852"/>
      <c r="IDI22" s="1852"/>
      <c r="IDL22" s="1852"/>
      <c r="IDO22" s="1852"/>
      <c r="IDR22" s="1852"/>
      <c r="IDU22" s="1852"/>
      <c r="IDX22" s="1852"/>
      <c r="IEA22" s="1852"/>
      <c r="IED22" s="1852"/>
      <c r="IEG22" s="1852"/>
      <c r="IEJ22" s="1852"/>
      <c r="IEM22" s="1852"/>
      <c r="IEP22" s="1852"/>
      <c r="IES22" s="1852"/>
      <c r="IEV22" s="1852"/>
      <c r="IEY22" s="1852"/>
      <c r="IFB22" s="1852"/>
      <c r="IFE22" s="1852"/>
      <c r="IFH22" s="1852"/>
      <c r="IFK22" s="1852"/>
      <c r="IFN22" s="1852"/>
      <c r="IFQ22" s="1852"/>
      <c r="IFT22" s="1852"/>
      <c r="IFW22" s="1852"/>
      <c r="IFZ22" s="1852"/>
      <c r="IGC22" s="1852"/>
      <c r="IGF22" s="1852"/>
      <c r="IGI22" s="1852"/>
      <c r="IGL22" s="1852"/>
      <c r="IGO22" s="1852"/>
      <c r="IGR22" s="1852"/>
      <c r="IGU22" s="1852"/>
      <c r="IGX22" s="1852"/>
      <c r="IHA22" s="1852"/>
      <c r="IHD22" s="1852"/>
      <c r="IHG22" s="1852"/>
      <c r="IHJ22" s="1852"/>
      <c r="IHM22" s="1852"/>
      <c r="IHP22" s="1852"/>
      <c r="IHS22" s="1852"/>
      <c r="IHV22" s="1852"/>
      <c r="IHY22" s="1852"/>
      <c r="IIB22" s="1852"/>
      <c r="IIE22" s="1852"/>
      <c r="IIH22" s="1852"/>
      <c r="IIK22" s="1852"/>
      <c r="IIN22" s="1852"/>
      <c r="IIQ22" s="1852"/>
      <c r="IIT22" s="1852"/>
      <c r="IIW22" s="1852"/>
      <c r="IIZ22" s="1852"/>
      <c r="IJC22" s="1852"/>
      <c r="IJF22" s="1852"/>
      <c r="IJI22" s="1852"/>
      <c r="IJL22" s="1852"/>
      <c r="IJO22" s="1852"/>
      <c r="IJR22" s="1852"/>
      <c r="IJU22" s="1852"/>
      <c r="IJX22" s="1852"/>
      <c r="IKA22" s="1852"/>
      <c r="IKD22" s="1852"/>
      <c r="IKG22" s="1852"/>
      <c r="IKJ22" s="1852"/>
      <c r="IKM22" s="1852"/>
      <c r="IKP22" s="1852"/>
      <c r="IKS22" s="1852"/>
      <c r="IKV22" s="1852"/>
      <c r="IKY22" s="1852"/>
      <c r="ILB22" s="1852"/>
      <c r="ILE22" s="1852"/>
      <c r="ILH22" s="1852"/>
      <c r="ILK22" s="1852"/>
      <c r="ILN22" s="1852"/>
      <c r="ILQ22" s="1852"/>
      <c r="ILT22" s="1852"/>
      <c r="ILW22" s="1852"/>
      <c r="ILZ22" s="1852"/>
      <c r="IMC22" s="1852"/>
      <c r="IMF22" s="1852"/>
      <c r="IMI22" s="1852"/>
      <c r="IML22" s="1852"/>
      <c r="IMO22" s="1852"/>
      <c r="IMR22" s="1852"/>
      <c r="IMU22" s="1852"/>
      <c r="IMX22" s="1852"/>
      <c r="INA22" s="1852"/>
      <c r="IND22" s="1852"/>
      <c r="ING22" s="1852"/>
      <c r="INJ22" s="1852"/>
      <c r="INM22" s="1852"/>
      <c r="INP22" s="1852"/>
      <c r="INS22" s="1852"/>
      <c r="INV22" s="1852"/>
      <c r="INY22" s="1852"/>
      <c r="IOB22" s="1852"/>
      <c r="IOE22" s="1852"/>
      <c r="IOH22" s="1852"/>
      <c r="IOK22" s="1852"/>
      <c r="ION22" s="1852"/>
      <c r="IOQ22" s="1852"/>
      <c r="IOT22" s="1852"/>
      <c r="IOW22" s="1852"/>
      <c r="IOZ22" s="1852"/>
      <c r="IPC22" s="1852"/>
      <c r="IPF22" s="1852"/>
      <c r="IPI22" s="1852"/>
      <c r="IPL22" s="1852"/>
      <c r="IPO22" s="1852"/>
      <c r="IPR22" s="1852"/>
      <c r="IPU22" s="1852"/>
      <c r="IPX22" s="1852"/>
      <c r="IQA22" s="1852"/>
      <c r="IQD22" s="1852"/>
      <c r="IQG22" s="1852"/>
      <c r="IQJ22" s="1852"/>
      <c r="IQM22" s="1852"/>
      <c r="IQP22" s="1852"/>
      <c r="IQS22" s="1852"/>
      <c r="IQV22" s="1852"/>
      <c r="IQY22" s="1852"/>
      <c r="IRB22" s="1852"/>
      <c r="IRE22" s="1852"/>
      <c r="IRH22" s="1852"/>
      <c r="IRK22" s="1852"/>
      <c r="IRN22" s="1852"/>
      <c r="IRQ22" s="1852"/>
      <c r="IRT22" s="1852"/>
      <c r="IRW22" s="1852"/>
      <c r="IRZ22" s="1852"/>
      <c r="ISC22" s="1852"/>
      <c r="ISF22" s="1852"/>
      <c r="ISI22" s="1852"/>
      <c r="ISL22" s="1852"/>
      <c r="ISO22" s="1852"/>
      <c r="ISR22" s="1852"/>
      <c r="ISU22" s="1852"/>
      <c r="ISX22" s="1852"/>
      <c r="ITA22" s="1852"/>
      <c r="ITD22" s="1852"/>
      <c r="ITG22" s="1852"/>
      <c r="ITJ22" s="1852"/>
      <c r="ITM22" s="1852"/>
      <c r="ITP22" s="1852"/>
      <c r="ITS22" s="1852"/>
      <c r="ITV22" s="1852"/>
      <c r="ITY22" s="1852"/>
      <c r="IUB22" s="1852"/>
      <c r="IUE22" s="1852"/>
      <c r="IUH22" s="1852"/>
      <c r="IUK22" s="1852"/>
      <c r="IUN22" s="1852"/>
      <c r="IUQ22" s="1852"/>
      <c r="IUT22" s="1852"/>
      <c r="IUW22" s="1852"/>
      <c r="IUZ22" s="1852"/>
      <c r="IVC22" s="1852"/>
      <c r="IVF22" s="1852"/>
      <c r="IVI22" s="1852"/>
      <c r="IVL22" s="1852"/>
      <c r="IVO22" s="1852"/>
      <c r="IVR22" s="1852"/>
      <c r="IVU22" s="1852"/>
      <c r="IVX22" s="1852"/>
      <c r="IWA22" s="1852"/>
      <c r="IWD22" s="1852"/>
      <c r="IWG22" s="1852"/>
      <c r="IWJ22" s="1852"/>
      <c r="IWM22" s="1852"/>
      <c r="IWP22" s="1852"/>
      <c r="IWS22" s="1852"/>
      <c r="IWV22" s="1852"/>
      <c r="IWY22" s="1852"/>
      <c r="IXB22" s="1852"/>
      <c r="IXE22" s="1852"/>
      <c r="IXH22" s="1852"/>
      <c r="IXK22" s="1852"/>
      <c r="IXN22" s="1852"/>
      <c r="IXQ22" s="1852"/>
      <c r="IXT22" s="1852"/>
      <c r="IXW22" s="1852"/>
      <c r="IXZ22" s="1852"/>
      <c r="IYC22" s="1852"/>
      <c r="IYF22" s="1852"/>
      <c r="IYI22" s="1852"/>
      <c r="IYL22" s="1852"/>
      <c r="IYO22" s="1852"/>
      <c r="IYR22" s="1852"/>
      <c r="IYU22" s="1852"/>
      <c r="IYX22" s="1852"/>
      <c r="IZA22" s="1852"/>
      <c r="IZD22" s="1852"/>
      <c r="IZG22" s="1852"/>
      <c r="IZJ22" s="1852"/>
      <c r="IZM22" s="1852"/>
      <c r="IZP22" s="1852"/>
      <c r="IZS22" s="1852"/>
      <c r="IZV22" s="1852"/>
      <c r="IZY22" s="1852"/>
      <c r="JAB22" s="1852"/>
      <c r="JAE22" s="1852"/>
      <c r="JAH22" s="1852"/>
      <c r="JAK22" s="1852"/>
      <c r="JAN22" s="1852"/>
      <c r="JAQ22" s="1852"/>
      <c r="JAT22" s="1852"/>
      <c r="JAW22" s="1852"/>
      <c r="JAZ22" s="1852"/>
      <c r="JBC22" s="1852"/>
      <c r="JBF22" s="1852"/>
      <c r="JBI22" s="1852"/>
      <c r="JBL22" s="1852"/>
      <c r="JBO22" s="1852"/>
      <c r="JBR22" s="1852"/>
      <c r="JBU22" s="1852"/>
      <c r="JBX22" s="1852"/>
      <c r="JCA22" s="1852"/>
      <c r="JCD22" s="1852"/>
      <c r="JCG22" s="1852"/>
      <c r="JCJ22" s="1852"/>
      <c r="JCM22" s="1852"/>
      <c r="JCP22" s="1852"/>
      <c r="JCS22" s="1852"/>
      <c r="JCV22" s="1852"/>
      <c r="JCY22" s="1852"/>
      <c r="JDB22" s="1852"/>
      <c r="JDE22" s="1852"/>
      <c r="JDH22" s="1852"/>
      <c r="JDK22" s="1852"/>
      <c r="JDN22" s="1852"/>
      <c r="JDQ22" s="1852"/>
      <c r="JDT22" s="1852"/>
      <c r="JDW22" s="1852"/>
      <c r="JDZ22" s="1852"/>
      <c r="JEC22" s="1852"/>
      <c r="JEF22" s="1852"/>
      <c r="JEI22" s="1852"/>
      <c r="JEL22" s="1852"/>
      <c r="JEO22" s="1852"/>
      <c r="JER22" s="1852"/>
      <c r="JEU22" s="1852"/>
      <c r="JEX22" s="1852"/>
      <c r="JFA22" s="1852"/>
      <c r="JFD22" s="1852"/>
      <c r="JFG22" s="1852"/>
      <c r="JFJ22" s="1852"/>
      <c r="JFM22" s="1852"/>
      <c r="JFP22" s="1852"/>
      <c r="JFS22" s="1852"/>
      <c r="JFV22" s="1852"/>
      <c r="JFY22" s="1852"/>
      <c r="JGB22" s="1852"/>
      <c r="JGE22" s="1852"/>
      <c r="JGH22" s="1852"/>
      <c r="JGK22" s="1852"/>
      <c r="JGN22" s="1852"/>
      <c r="JGQ22" s="1852"/>
      <c r="JGT22" s="1852"/>
      <c r="JGW22" s="1852"/>
      <c r="JGZ22" s="1852"/>
      <c r="JHC22" s="1852"/>
      <c r="JHF22" s="1852"/>
      <c r="JHI22" s="1852"/>
      <c r="JHL22" s="1852"/>
      <c r="JHO22" s="1852"/>
      <c r="JHR22" s="1852"/>
      <c r="JHU22" s="1852"/>
      <c r="JHX22" s="1852"/>
      <c r="JIA22" s="1852"/>
      <c r="JID22" s="1852"/>
      <c r="JIG22" s="1852"/>
      <c r="JIJ22" s="1852"/>
      <c r="JIM22" s="1852"/>
      <c r="JIP22" s="1852"/>
      <c r="JIS22" s="1852"/>
      <c r="JIV22" s="1852"/>
      <c r="JIY22" s="1852"/>
      <c r="JJB22" s="1852"/>
      <c r="JJE22" s="1852"/>
      <c r="JJH22" s="1852"/>
      <c r="JJK22" s="1852"/>
      <c r="JJN22" s="1852"/>
      <c r="JJQ22" s="1852"/>
      <c r="JJT22" s="1852"/>
      <c r="JJW22" s="1852"/>
      <c r="JJZ22" s="1852"/>
      <c r="JKC22" s="1852"/>
      <c r="JKF22" s="1852"/>
      <c r="JKI22" s="1852"/>
      <c r="JKL22" s="1852"/>
      <c r="JKO22" s="1852"/>
      <c r="JKR22" s="1852"/>
      <c r="JKU22" s="1852"/>
      <c r="JKX22" s="1852"/>
      <c r="JLA22" s="1852"/>
      <c r="JLD22" s="1852"/>
      <c r="JLG22" s="1852"/>
      <c r="JLJ22" s="1852"/>
      <c r="JLM22" s="1852"/>
      <c r="JLP22" s="1852"/>
      <c r="JLS22" s="1852"/>
      <c r="JLV22" s="1852"/>
      <c r="JLY22" s="1852"/>
      <c r="JMB22" s="1852"/>
      <c r="JME22" s="1852"/>
      <c r="JMH22" s="1852"/>
      <c r="JMK22" s="1852"/>
      <c r="JMN22" s="1852"/>
      <c r="JMQ22" s="1852"/>
      <c r="JMT22" s="1852"/>
      <c r="JMW22" s="1852"/>
      <c r="JMZ22" s="1852"/>
      <c r="JNC22" s="1852"/>
      <c r="JNF22" s="1852"/>
      <c r="JNI22" s="1852"/>
      <c r="JNL22" s="1852"/>
      <c r="JNO22" s="1852"/>
      <c r="JNR22" s="1852"/>
      <c r="JNU22" s="1852"/>
      <c r="JNX22" s="1852"/>
      <c r="JOA22" s="1852"/>
      <c r="JOD22" s="1852"/>
      <c r="JOG22" s="1852"/>
      <c r="JOJ22" s="1852"/>
      <c r="JOM22" s="1852"/>
      <c r="JOP22" s="1852"/>
      <c r="JOS22" s="1852"/>
      <c r="JOV22" s="1852"/>
      <c r="JOY22" s="1852"/>
      <c r="JPB22" s="1852"/>
      <c r="JPE22" s="1852"/>
      <c r="JPH22" s="1852"/>
      <c r="JPK22" s="1852"/>
      <c r="JPN22" s="1852"/>
      <c r="JPQ22" s="1852"/>
      <c r="JPT22" s="1852"/>
      <c r="JPW22" s="1852"/>
      <c r="JPZ22" s="1852"/>
      <c r="JQC22" s="1852"/>
      <c r="JQF22" s="1852"/>
      <c r="JQI22" s="1852"/>
      <c r="JQL22" s="1852"/>
      <c r="JQO22" s="1852"/>
      <c r="JQR22" s="1852"/>
      <c r="JQU22" s="1852"/>
      <c r="JQX22" s="1852"/>
      <c r="JRA22" s="1852"/>
      <c r="JRD22" s="1852"/>
      <c r="JRG22" s="1852"/>
      <c r="JRJ22" s="1852"/>
      <c r="JRM22" s="1852"/>
      <c r="JRP22" s="1852"/>
      <c r="JRS22" s="1852"/>
      <c r="JRV22" s="1852"/>
      <c r="JRY22" s="1852"/>
      <c r="JSB22" s="1852"/>
      <c r="JSE22" s="1852"/>
      <c r="JSH22" s="1852"/>
      <c r="JSK22" s="1852"/>
      <c r="JSN22" s="1852"/>
      <c r="JSQ22" s="1852"/>
      <c r="JST22" s="1852"/>
      <c r="JSW22" s="1852"/>
      <c r="JSZ22" s="1852"/>
      <c r="JTC22" s="1852"/>
      <c r="JTF22" s="1852"/>
      <c r="JTI22" s="1852"/>
      <c r="JTL22" s="1852"/>
      <c r="JTO22" s="1852"/>
      <c r="JTR22" s="1852"/>
      <c r="JTU22" s="1852"/>
      <c r="JTX22" s="1852"/>
      <c r="JUA22" s="1852"/>
      <c r="JUD22" s="1852"/>
      <c r="JUG22" s="1852"/>
      <c r="JUJ22" s="1852"/>
      <c r="JUM22" s="1852"/>
      <c r="JUP22" s="1852"/>
      <c r="JUS22" s="1852"/>
      <c r="JUV22" s="1852"/>
      <c r="JUY22" s="1852"/>
      <c r="JVB22" s="1852"/>
      <c r="JVE22" s="1852"/>
      <c r="JVH22" s="1852"/>
      <c r="JVK22" s="1852"/>
      <c r="JVN22" s="1852"/>
      <c r="JVQ22" s="1852"/>
      <c r="JVT22" s="1852"/>
      <c r="JVW22" s="1852"/>
      <c r="JVZ22" s="1852"/>
      <c r="JWC22" s="1852"/>
      <c r="JWF22" s="1852"/>
      <c r="JWI22" s="1852"/>
      <c r="JWL22" s="1852"/>
      <c r="JWO22" s="1852"/>
      <c r="JWR22" s="1852"/>
      <c r="JWU22" s="1852"/>
      <c r="JWX22" s="1852"/>
      <c r="JXA22" s="1852"/>
      <c r="JXD22" s="1852"/>
      <c r="JXG22" s="1852"/>
      <c r="JXJ22" s="1852"/>
      <c r="JXM22" s="1852"/>
      <c r="JXP22" s="1852"/>
      <c r="JXS22" s="1852"/>
      <c r="JXV22" s="1852"/>
      <c r="JXY22" s="1852"/>
      <c r="JYB22" s="1852"/>
      <c r="JYE22" s="1852"/>
      <c r="JYH22" s="1852"/>
      <c r="JYK22" s="1852"/>
      <c r="JYN22" s="1852"/>
      <c r="JYQ22" s="1852"/>
      <c r="JYT22" s="1852"/>
      <c r="JYW22" s="1852"/>
      <c r="JYZ22" s="1852"/>
      <c r="JZC22" s="1852"/>
      <c r="JZF22" s="1852"/>
      <c r="JZI22" s="1852"/>
      <c r="JZL22" s="1852"/>
      <c r="JZO22" s="1852"/>
      <c r="JZR22" s="1852"/>
      <c r="JZU22" s="1852"/>
      <c r="JZX22" s="1852"/>
      <c r="KAA22" s="1852"/>
      <c r="KAD22" s="1852"/>
      <c r="KAG22" s="1852"/>
      <c r="KAJ22" s="1852"/>
      <c r="KAM22" s="1852"/>
      <c r="KAP22" s="1852"/>
      <c r="KAS22" s="1852"/>
      <c r="KAV22" s="1852"/>
      <c r="KAY22" s="1852"/>
      <c r="KBB22" s="1852"/>
      <c r="KBE22" s="1852"/>
      <c r="KBH22" s="1852"/>
      <c r="KBK22" s="1852"/>
      <c r="KBN22" s="1852"/>
      <c r="KBQ22" s="1852"/>
      <c r="KBT22" s="1852"/>
      <c r="KBW22" s="1852"/>
      <c r="KBZ22" s="1852"/>
      <c r="KCC22" s="1852"/>
      <c r="KCF22" s="1852"/>
      <c r="KCI22" s="1852"/>
      <c r="KCL22" s="1852"/>
      <c r="KCO22" s="1852"/>
      <c r="KCR22" s="1852"/>
      <c r="KCU22" s="1852"/>
      <c r="KCX22" s="1852"/>
      <c r="KDA22" s="1852"/>
      <c r="KDD22" s="1852"/>
      <c r="KDG22" s="1852"/>
      <c r="KDJ22" s="1852"/>
      <c r="KDM22" s="1852"/>
      <c r="KDP22" s="1852"/>
      <c r="KDS22" s="1852"/>
      <c r="KDV22" s="1852"/>
      <c r="KDY22" s="1852"/>
      <c r="KEB22" s="1852"/>
      <c r="KEE22" s="1852"/>
      <c r="KEH22" s="1852"/>
      <c r="KEK22" s="1852"/>
      <c r="KEN22" s="1852"/>
      <c r="KEQ22" s="1852"/>
      <c r="KET22" s="1852"/>
      <c r="KEW22" s="1852"/>
      <c r="KEZ22" s="1852"/>
      <c r="KFC22" s="1852"/>
      <c r="KFF22" s="1852"/>
      <c r="KFI22" s="1852"/>
      <c r="KFL22" s="1852"/>
      <c r="KFO22" s="1852"/>
      <c r="KFR22" s="1852"/>
      <c r="KFU22" s="1852"/>
      <c r="KFX22" s="1852"/>
      <c r="KGA22" s="1852"/>
      <c r="KGD22" s="1852"/>
      <c r="KGG22" s="1852"/>
      <c r="KGJ22" s="1852"/>
      <c r="KGM22" s="1852"/>
      <c r="KGP22" s="1852"/>
      <c r="KGS22" s="1852"/>
      <c r="KGV22" s="1852"/>
      <c r="KGY22" s="1852"/>
      <c r="KHB22" s="1852"/>
      <c r="KHE22" s="1852"/>
      <c r="KHH22" s="1852"/>
      <c r="KHK22" s="1852"/>
      <c r="KHN22" s="1852"/>
      <c r="KHQ22" s="1852"/>
      <c r="KHT22" s="1852"/>
      <c r="KHW22" s="1852"/>
      <c r="KHZ22" s="1852"/>
      <c r="KIC22" s="1852"/>
      <c r="KIF22" s="1852"/>
      <c r="KII22" s="1852"/>
      <c r="KIL22" s="1852"/>
      <c r="KIO22" s="1852"/>
      <c r="KIR22" s="1852"/>
      <c r="KIU22" s="1852"/>
      <c r="KIX22" s="1852"/>
      <c r="KJA22" s="1852"/>
      <c r="KJD22" s="1852"/>
      <c r="KJG22" s="1852"/>
      <c r="KJJ22" s="1852"/>
      <c r="KJM22" s="1852"/>
      <c r="KJP22" s="1852"/>
      <c r="KJS22" s="1852"/>
      <c r="KJV22" s="1852"/>
      <c r="KJY22" s="1852"/>
      <c r="KKB22" s="1852"/>
      <c r="KKE22" s="1852"/>
      <c r="KKH22" s="1852"/>
      <c r="KKK22" s="1852"/>
      <c r="KKN22" s="1852"/>
      <c r="KKQ22" s="1852"/>
      <c r="KKT22" s="1852"/>
      <c r="KKW22" s="1852"/>
      <c r="KKZ22" s="1852"/>
      <c r="KLC22" s="1852"/>
      <c r="KLF22" s="1852"/>
      <c r="KLI22" s="1852"/>
      <c r="KLL22" s="1852"/>
      <c r="KLO22" s="1852"/>
      <c r="KLR22" s="1852"/>
      <c r="KLU22" s="1852"/>
      <c r="KLX22" s="1852"/>
      <c r="KMA22" s="1852"/>
      <c r="KMD22" s="1852"/>
      <c r="KMG22" s="1852"/>
      <c r="KMJ22" s="1852"/>
      <c r="KMM22" s="1852"/>
      <c r="KMP22" s="1852"/>
      <c r="KMS22" s="1852"/>
      <c r="KMV22" s="1852"/>
      <c r="KMY22" s="1852"/>
      <c r="KNB22" s="1852"/>
      <c r="KNE22" s="1852"/>
      <c r="KNH22" s="1852"/>
      <c r="KNK22" s="1852"/>
      <c r="KNN22" s="1852"/>
      <c r="KNQ22" s="1852"/>
      <c r="KNT22" s="1852"/>
      <c r="KNW22" s="1852"/>
      <c r="KNZ22" s="1852"/>
      <c r="KOC22" s="1852"/>
      <c r="KOF22" s="1852"/>
      <c r="KOI22" s="1852"/>
      <c r="KOL22" s="1852"/>
      <c r="KOO22" s="1852"/>
      <c r="KOR22" s="1852"/>
      <c r="KOU22" s="1852"/>
      <c r="KOX22" s="1852"/>
      <c r="KPA22" s="1852"/>
      <c r="KPD22" s="1852"/>
      <c r="KPG22" s="1852"/>
      <c r="KPJ22" s="1852"/>
      <c r="KPM22" s="1852"/>
      <c r="KPP22" s="1852"/>
      <c r="KPS22" s="1852"/>
      <c r="KPV22" s="1852"/>
      <c r="KPY22" s="1852"/>
      <c r="KQB22" s="1852"/>
      <c r="KQE22" s="1852"/>
      <c r="KQH22" s="1852"/>
      <c r="KQK22" s="1852"/>
      <c r="KQN22" s="1852"/>
      <c r="KQQ22" s="1852"/>
      <c r="KQT22" s="1852"/>
      <c r="KQW22" s="1852"/>
      <c r="KQZ22" s="1852"/>
      <c r="KRC22" s="1852"/>
      <c r="KRF22" s="1852"/>
      <c r="KRI22" s="1852"/>
      <c r="KRL22" s="1852"/>
      <c r="KRO22" s="1852"/>
      <c r="KRR22" s="1852"/>
      <c r="KRU22" s="1852"/>
      <c r="KRX22" s="1852"/>
      <c r="KSA22" s="1852"/>
      <c r="KSD22" s="1852"/>
      <c r="KSG22" s="1852"/>
      <c r="KSJ22" s="1852"/>
      <c r="KSM22" s="1852"/>
      <c r="KSP22" s="1852"/>
      <c r="KSS22" s="1852"/>
      <c r="KSV22" s="1852"/>
      <c r="KSY22" s="1852"/>
      <c r="KTB22" s="1852"/>
      <c r="KTE22" s="1852"/>
      <c r="KTH22" s="1852"/>
      <c r="KTK22" s="1852"/>
      <c r="KTN22" s="1852"/>
      <c r="KTQ22" s="1852"/>
      <c r="KTT22" s="1852"/>
      <c r="KTW22" s="1852"/>
      <c r="KTZ22" s="1852"/>
      <c r="KUC22" s="1852"/>
      <c r="KUF22" s="1852"/>
      <c r="KUI22" s="1852"/>
      <c r="KUL22" s="1852"/>
      <c r="KUO22" s="1852"/>
      <c r="KUR22" s="1852"/>
      <c r="KUU22" s="1852"/>
      <c r="KUX22" s="1852"/>
      <c r="KVA22" s="1852"/>
      <c r="KVD22" s="1852"/>
      <c r="KVG22" s="1852"/>
      <c r="KVJ22" s="1852"/>
      <c r="KVM22" s="1852"/>
      <c r="KVP22" s="1852"/>
      <c r="KVS22" s="1852"/>
      <c r="KVV22" s="1852"/>
      <c r="KVY22" s="1852"/>
      <c r="KWB22" s="1852"/>
      <c r="KWE22" s="1852"/>
      <c r="KWH22" s="1852"/>
      <c r="KWK22" s="1852"/>
      <c r="KWN22" s="1852"/>
      <c r="KWQ22" s="1852"/>
      <c r="KWT22" s="1852"/>
      <c r="KWW22" s="1852"/>
      <c r="KWZ22" s="1852"/>
      <c r="KXC22" s="1852"/>
      <c r="KXF22" s="1852"/>
      <c r="KXI22" s="1852"/>
      <c r="KXL22" s="1852"/>
      <c r="KXO22" s="1852"/>
      <c r="KXR22" s="1852"/>
      <c r="KXU22" s="1852"/>
      <c r="KXX22" s="1852"/>
      <c r="KYA22" s="1852"/>
      <c r="KYD22" s="1852"/>
      <c r="KYG22" s="1852"/>
      <c r="KYJ22" s="1852"/>
      <c r="KYM22" s="1852"/>
      <c r="KYP22" s="1852"/>
      <c r="KYS22" s="1852"/>
      <c r="KYV22" s="1852"/>
      <c r="KYY22" s="1852"/>
      <c r="KZB22" s="1852"/>
      <c r="KZE22" s="1852"/>
      <c r="KZH22" s="1852"/>
      <c r="KZK22" s="1852"/>
      <c r="KZN22" s="1852"/>
      <c r="KZQ22" s="1852"/>
      <c r="KZT22" s="1852"/>
      <c r="KZW22" s="1852"/>
      <c r="KZZ22" s="1852"/>
      <c r="LAC22" s="1852"/>
      <c r="LAF22" s="1852"/>
      <c r="LAI22" s="1852"/>
      <c r="LAL22" s="1852"/>
      <c r="LAO22" s="1852"/>
      <c r="LAR22" s="1852"/>
      <c r="LAU22" s="1852"/>
      <c r="LAX22" s="1852"/>
      <c r="LBA22" s="1852"/>
      <c r="LBD22" s="1852"/>
      <c r="LBG22" s="1852"/>
      <c r="LBJ22" s="1852"/>
      <c r="LBM22" s="1852"/>
      <c r="LBP22" s="1852"/>
      <c r="LBS22" s="1852"/>
      <c r="LBV22" s="1852"/>
      <c r="LBY22" s="1852"/>
      <c r="LCB22" s="1852"/>
      <c r="LCE22" s="1852"/>
      <c r="LCH22" s="1852"/>
      <c r="LCK22" s="1852"/>
      <c r="LCN22" s="1852"/>
      <c r="LCQ22" s="1852"/>
      <c r="LCT22" s="1852"/>
      <c r="LCW22" s="1852"/>
      <c r="LCZ22" s="1852"/>
      <c r="LDC22" s="1852"/>
      <c r="LDF22" s="1852"/>
      <c r="LDI22" s="1852"/>
      <c r="LDL22" s="1852"/>
      <c r="LDO22" s="1852"/>
      <c r="LDR22" s="1852"/>
      <c r="LDU22" s="1852"/>
      <c r="LDX22" s="1852"/>
      <c r="LEA22" s="1852"/>
      <c r="LED22" s="1852"/>
      <c r="LEG22" s="1852"/>
      <c r="LEJ22" s="1852"/>
      <c r="LEM22" s="1852"/>
      <c r="LEP22" s="1852"/>
      <c r="LES22" s="1852"/>
      <c r="LEV22" s="1852"/>
      <c r="LEY22" s="1852"/>
      <c r="LFB22" s="1852"/>
      <c r="LFE22" s="1852"/>
      <c r="LFH22" s="1852"/>
      <c r="LFK22" s="1852"/>
      <c r="LFN22" s="1852"/>
      <c r="LFQ22" s="1852"/>
      <c r="LFT22" s="1852"/>
      <c r="LFW22" s="1852"/>
      <c r="LFZ22" s="1852"/>
      <c r="LGC22" s="1852"/>
      <c r="LGF22" s="1852"/>
      <c r="LGI22" s="1852"/>
      <c r="LGL22" s="1852"/>
      <c r="LGO22" s="1852"/>
      <c r="LGR22" s="1852"/>
      <c r="LGU22" s="1852"/>
      <c r="LGX22" s="1852"/>
      <c r="LHA22" s="1852"/>
      <c r="LHD22" s="1852"/>
      <c r="LHG22" s="1852"/>
      <c r="LHJ22" s="1852"/>
      <c r="LHM22" s="1852"/>
      <c r="LHP22" s="1852"/>
      <c r="LHS22" s="1852"/>
      <c r="LHV22" s="1852"/>
      <c r="LHY22" s="1852"/>
      <c r="LIB22" s="1852"/>
      <c r="LIE22" s="1852"/>
      <c r="LIH22" s="1852"/>
      <c r="LIK22" s="1852"/>
      <c r="LIN22" s="1852"/>
      <c r="LIQ22" s="1852"/>
      <c r="LIT22" s="1852"/>
      <c r="LIW22" s="1852"/>
      <c r="LIZ22" s="1852"/>
      <c r="LJC22" s="1852"/>
      <c r="LJF22" s="1852"/>
      <c r="LJI22" s="1852"/>
      <c r="LJL22" s="1852"/>
      <c r="LJO22" s="1852"/>
      <c r="LJR22" s="1852"/>
      <c r="LJU22" s="1852"/>
      <c r="LJX22" s="1852"/>
      <c r="LKA22" s="1852"/>
      <c r="LKD22" s="1852"/>
      <c r="LKG22" s="1852"/>
      <c r="LKJ22" s="1852"/>
      <c r="LKM22" s="1852"/>
      <c r="LKP22" s="1852"/>
      <c r="LKS22" s="1852"/>
      <c r="LKV22" s="1852"/>
      <c r="LKY22" s="1852"/>
      <c r="LLB22" s="1852"/>
      <c r="LLE22" s="1852"/>
      <c r="LLH22" s="1852"/>
      <c r="LLK22" s="1852"/>
      <c r="LLN22" s="1852"/>
      <c r="LLQ22" s="1852"/>
      <c r="LLT22" s="1852"/>
      <c r="LLW22" s="1852"/>
      <c r="LLZ22" s="1852"/>
      <c r="LMC22" s="1852"/>
      <c r="LMF22" s="1852"/>
      <c r="LMI22" s="1852"/>
      <c r="LML22" s="1852"/>
      <c r="LMO22" s="1852"/>
      <c r="LMR22" s="1852"/>
      <c r="LMU22" s="1852"/>
      <c r="LMX22" s="1852"/>
      <c r="LNA22" s="1852"/>
      <c r="LND22" s="1852"/>
      <c r="LNG22" s="1852"/>
      <c r="LNJ22" s="1852"/>
      <c r="LNM22" s="1852"/>
      <c r="LNP22" s="1852"/>
      <c r="LNS22" s="1852"/>
      <c r="LNV22" s="1852"/>
      <c r="LNY22" s="1852"/>
      <c r="LOB22" s="1852"/>
      <c r="LOE22" s="1852"/>
      <c r="LOH22" s="1852"/>
      <c r="LOK22" s="1852"/>
      <c r="LON22" s="1852"/>
      <c r="LOQ22" s="1852"/>
      <c r="LOT22" s="1852"/>
      <c r="LOW22" s="1852"/>
      <c r="LOZ22" s="1852"/>
      <c r="LPC22" s="1852"/>
      <c r="LPF22" s="1852"/>
      <c r="LPI22" s="1852"/>
      <c r="LPL22" s="1852"/>
      <c r="LPO22" s="1852"/>
      <c r="LPR22" s="1852"/>
      <c r="LPU22" s="1852"/>
      <c r="LPX22" s="1852"/>
      <c r="LQA22" s="1852"/>
      <c r="LQD22" s="1852"/>
      <c r="LQG22" s="1852"/>
      <c r="LQJ22" s="1852"/>
      <c r="LQM22" s="1852"/>
      <c r="LQP22" s="1852"/>
      <c r="LQS22" s="1852"/>
      <c r="LQV22" s="1852"/>
      <c r="LQY22" s="1852"/>
      <c r="LRB22" s="1852"/>
      <c r="LRE22" s="1852"/>
      <c r="LRH22" s="1852"/>
      <c r="LRK22" s="1852"/>
      <c r="LRN22" s="1852"/>
      <c r="LRQ22" s="1852"/>
      <c r="LRT22" s="1852"/>
      <c r="LRW22" s="1852"/>
      <c r="LRZ22" s="1852"/>
      <c r="LSC22" s="1852"/>
      <c r="LSF22" s="1852"/>
      <c r="LSI22" s="1852"/>
      <c r="LSL22" s="1852"/>
      <c r="LSO22" s="1852"/>
      <c r="LSR22" s="1852"/>
      <c r="LSU22" s="1852"/>
      <c r="LSX22" s="1852"/>
      <c r="LTA22" s="1852"/>
      <c r="LTD22" s="1852"/>
      <c r="LTG22" s="1852"/>
      <c r="LTJ22" s="1852"/>
      <c r="LTM22" s="1852"/>
      <c r="LTP22" s="1852"/>
      <c r="LTS22" s="1852"/>
      <c r="LTV22" s="1852"/>
      <c r="LTY22" s="1852"/>
      <c r="LUB22" s="1852"/>
      <c r="LUE22" s="1852"/>
      <c r="LUH22" s="1852"/>
      <c r="LUK22" s="1852"/>
      <c r="LUN22" s="1852"/>
      <c r="LUQ22" s="1852"/>
      <c r="LUT22" s="1852"/>
      <c r="LUW22" s="1852"/>
      <c r="LUZ22" s="1852"/>
      <c r="LVC22" s="1852"/>
      <c r="LVF22" s="1852"/>
      <c r="LVI22" s="1852"/>
      <c r="LVL22" s="1852"/>
      <c r="LVO22" s="1852"/>
      <c r="LVR22" s="1852"/>
      <c r="LVU22" s="1852"/>
      <c r="LVX22" s="1852"/>
      <c r="LWA22" s="1852"/>
      <c r="LWD22" s="1852"/>
      <c r="LWG22" s="1852"/>
      <c r="LWJ22" s="1852"/>
      <c r="LWM22" s="1852"/>
      <c r="LWP22" s="1852"/>
      <c r="LWS22" s="1852"/>
      <c r="LWV22" s="1852"/>
      <c r="LWY22" s="1852"/>
      <c r="LXB22" s="1852"/>
      <c r="LXE22" s="1852"/>
      <c r="LXH22" s="1852"/>
      <c r="LXK22" s="1852"/>
      <c r="LXN22" s="1852"/>
      <c r="LXQ22" s="1852"/>
      <c r="LXT22" s="1852"/>
      <c r="LXW22" s="1852"/>
      <c r="LXZ22" s="1852"/>
      <c r="LYC22" s="1852"/>
      <c r="LYF22" s="1852"/>
      <c r="LYI22" s="1852"/>
      <c r="LYL22" s="1852"/>
      <c r="LYO22" s="1852"/>
      <c r="LYR22" s="1852"/>
      <c r="LYU22" s="1852"/>
      <c r="LYX22" s="1852"/>
      <c r="LZA22" s="1852"/>
      <c r="LZD22" s="1852"/>
      <c r="LZG22" s="1852"/>
      <c r="LZJ22" s="1852"/>
      <c r="LZM22" s="1852"/>
      <c r="LZP22" s="1852"/>
      <c r="LZS22" s="1852"/>
      <c r="LZV22" s="1852"/>
      <c r="LZY22" s="1852"/>
      <c r="MAB22" s="1852"/>
      <c r="MAE22" s="1852"/>
      <c r="MAH22" s="1852"/>
      <c r="MAK22" s="1852"/>
      <c r="MAN22" s="1852"/>
      <c r="MAQ22" s="1852"/>
      <c r="MAT22" s="1852"/>
      <c r="MAW22" s="1852"/>
      <c r="MAZ22" s="1852"/>
      <c r="MBC22" s="1852"/>
      <c r="MBF22" s="1852"/>
      <c r="MBI22" s="1852"/>
      <c r="MBL22" s="1852"/>
      <c r="MBO22" s="1852"/>
      <c r="MBR22" s="1852"/>
      <c r="MBU22" s="1852"/>
      <c r="MBX22" s="1852"/>
      <c r="MCA22" s="1852"/>
      <c r="MCD22" s="1852"/>
      <c r="MCG22" s="1852"/>
      <c r="MCJ22" s="1852"/>
      <c r="MCM22" s="1852"/>
      <c r="MCP22" s="1852"/>
      <c r="MCS22" s="1852"/>
      <c r="MCV22" s="1852"/>
      <c r="MCY22" s="1852"/>
      <c r="MDB22" s="1852"/>
      <c r="MDE22" s="1852"/>
      <c r="MDH22" s="1852"/>
      <c r="MDK22" s="1852"/>
      <c r="MDN22" s="1852"/>
      <c r="MDQ22" s="1852"/>
      <c r="MDT22" s="1852"/>
      <c r="MDW22" s="1852"/>
      <c r="MDZ22" s="1852"/>
      <c r="MEC22" s="1852"/>
      <c r="MEF22" s="1852"/>
      <c r="MEI22" s="1852"/>
      <c r="MEL22" s="1852"/>
      <c r="MEO22" s="1852"/>
      <c r="MER22" s="1852"/>
      <c r="MEU22" s="1852"/>
      <c r="MEX22" s="1852"/>
      <c r="MFA22" s="1852"/>
      <c r="MFD22" s="1852"/>
      <c r="MFG22" s="1852"/>
      <c r="MFJ22" s="1852"/>
      <c r="MFM22" s="1852"/>
      <c r="MFP22" s="1852"/>
      <c r="MFS22" s="1852"/>
      <c r="MFV22" s="1852"/>
      <c r="MFY22" s="1852"/>
      <c r="MGB22" s="1852"/>
      <c r="MGE22" s="1852"/>
      <c r="MGH22" s="1852"/>
      <c r="MGK22" s="1852"/>
      <c r="MGN22" s="1852"/>
      <c r="MGQ22" s="1852"/>
      <c r="MGT22" s="1852"/>
      <c r="MGW22" s="1852"/>
      <c r="MGZ22" s="1852"/>
      <c r="MHC22" s="1852"/>
      <c r="MHF22" s="1852"/>
      <c r="MHI22" s="1852"/>
      <c r="MHL22" s="1852"/>
      <c r="MHO22" s="1852"/>
      <c r="MHR22" s="1852"/>
      <c r="MHU22" s="1852"/>
      <c r="MHX22" s="1852"/>
      <c r="MIA22" s="1852"/>
      <c r="MID22" s="1852"/>
      <c r="MIG22" s="1852"/>
      <c r="MIJ22" s="1852"/>
      <c r="MIM22" s="1852"/>
      <c r="MIP22" s="1852"/>
      <c r="MIS22" s="1852"/>
      <c r="MIV22" s="1852"/>
      <c r="MIY22" s="1852"/>
      <c r="MJB22" s="1852"/>
      <c r="MJE22" s="1852"/>
      <c r="MJH22" s="1852"/>
      <c r="MJK22" s="1852"/>
      <c r="MJN22" s="1852"/>
      <c r="MJQ22" s="1852"/>
      <c r="MJT22" s="1852"/>
      <c r="MJW22" s="1852"/>
      <c r="MJZ22" s="1852"/>
      <c r="MKC22" s="1852"/>
      <c r="MKF22" s="1852"/>
      <c r="MKI22" s="1852"/>
      <c r="MKL22" s="1852"/>
      <c r="MKO22" s="1852"/>
      <c r="MKR22" s="1852"/>
      <c r="MKU22" s="1852"/>
      <c r="MKX22" s="1852"/>
      <c r="MLA22" s="1852"/>
      <c r="MLD22" s="1852"/>
      <c r="MLG22" s="1852"/>
      <c r="MLJ22" s="1852"/>
      <c r="MLM22" s="1852"/>
      <c r="MLP22" s="1852"/>
      <c r="MLS22" s="1852"/>
      <c r="MLV22" s="1852"/>
      <c r="MLY22" s="1852"/>
      <c r="MMB22" s="1852"/>
      <c r="MME22" s="1852"/>
      <c r="MMH22" s="1852"/>
      <c r="MMK22" s="1852"/>
      <c r="MMN22" s="1852"/>
      <c r="MMQ22" s="1852"/>
      <c r="MMT22" s="1852"/>
      <c r="MMW22" s="1852"/>
      <c r="MMZ22" s="1852"/>
      <c r="MNC22" s="1852"/>
      <c r="MNF22" s="1852"/>
      <c r="MNI22" s="1852"/>
      <c r="MNL22" s="1852"/>
      <c r="MNO22" s="1852"/>
      <c r="MNR22" s="1852"/>
      <c r="MNU22" s="1852"/>
      <c r="MNX22" s="1852"/>
      <c r="MOA22" s="1852"/>
      <c r="MOD22" s="1852"/>
      <c r="MOG22" s="1852"/>
      <c r="MOJ22" s="1852"/>
      <c r="MOM22" s="1852"/>
      <c r="MOP22" s="1852"/>
      <c r="MOS22" s="1852"/>
      <c r="MOV22" s="1852"/>
      <c r="MOY22" s="1852"/>
      <c r="MPB22" s="1852"/>
      <c r="MPE22" s="1852"/>
      <c r="MPH22" s="1852"/>
      <c r="MPK22" s="1852"/>
      <c r="MPN22" s="1852"/>
      <c r="MPQ22" s="1852"/>
      <c r="MPT22" s="1852"/>
      <c r="MPW22" s="1852"/>
      <c r="MPZ22" s="1852"/>
      <c r="MQC22" s="1852"/>
      <c r="MQF22" s="1852"/>
      <c r="MQI22" s="1852"/>
      <c r="MQL22" s="1852"/>
      <c r="MQO22" s="1852"/>
      <c r="MQR22" s="1852"/>
      <c r="MQU22" s="1852"/>
      <c r="MQX22" s="1852"/>
      <c r="MRA22" s="1852"/>
      <c r="MRD22" s="1852"/>
      <c r="MRG22" s="1852"/>
      <c r="MRJ22" s="1852"/>
      <c r="MRM22" s="1852"/>
      <c r="MRP22" s="1852"/>
      <c r="MRS22" s="1852"/>
      <c r="MRV22" s="1852"/>
      <c r="MRY22" s="1852"/>
      <c r="MSB22" s="1852"/>
      <c r="MSE22" s="1852"/>
      <c r="MSH22" s="1852"/>
      <c r="MSK22" s="1852"/>
      <c r="MSN22" s="1852"/>
      <c r="MSQ22" s="1852"/>
      <c r="MST22" s="1852"/>
      <c r="MSW22" s="1852"/>
      <c r="MSZ22" s="1852"/>
      <c r="MTC22" s="1852"/>
      <c r="MTF22" s="1852"/>
      <c r="MTI22" s="1852"/>
      <c r="MTL22" s="1852"/>
      <c r="MTO22" s="1852"/>
      <c r="MTR22" s="1852"/>
      <c r="MTU22" s="1852"/>
      <c r="MTX22" s="1852"/>
      <c r="MUA22" s="1852"/>
      <c r="MUD22" s="1852"/>
      <c r="MUG22" s="1852"/>
      <c r="MUJ22" s="1852"/>
      <c r="MUM22" s="1852"/>
      <c r="MUP22" s="1852"/>
      <c r="MUS22" s="1852"/>
      <c r="MUV22" s="1852"/>
      <c r="MUY22" s="1852"/>
      <c r="MVB22" s="1852"/>
      <c r="MVE22" s="1852"/>
      <c r="MVH22" s="1852"/>
      <c r="MVK22" s="1852"/>
      <c r="MVN22" s="1852"/>
      <c r="MVQ22" s="1852"/>
      <c r="MVT22" s="1852"/>
      <c r="MVW22" s="1852"/>
      <c r="MVZ22" s="1852"/>
      <c r="MWC22" s="1852"/>
      <c r="MWF22" s="1852"/>
      <c r="MWI22" s="1852"/>
      <c r="MWL22" s="1852"/>
      <c r="MWO22" s="1852"/>
      <c r="MWR22" s="1852"/>
      <c r="MWU22" s="1852"/>
      <c r="MWX22" s="1852"/>
      <c r="MXA22" s="1852"/>
      <c r="MXD22" s="1852"/>
      <c r="MXG22" s="1852"/>
      <c r="MXJ22" s="1852"/>
      <c r="MXM22" s="1852"/>
      <c r="MXP22" s="1852"/>
      <c r="MXS22" s="1852"/>
      <c r="MXV22" s="1852"/>
      <c r="MXY22" s="1852"/>
      <c r="MYB22" s="1852"/>
      <c r="MYE22" s="1852"/>
      <c r="MYH22" s="1852"/>
      <c r="MYK22" s="1852"/>
      <c r="MYN22" s="1852"/>
      <c r="MYQ22" s="1852"/>
      <c r="MYT22" s="1852"/>
      <c r="MYW22" s="1852"/>
      <c r="MYZ22" s="1852"/>
      <c r="MZC22" s="1852"/>
      <c r="MZF22" s="1852"/>
      <c r="MZI22" s="1852"/>
      <c r="MZL22" s="1852"/>
      <c r="MZO22" s="1852"/>
      <c r="MZR22" s="1852"/>
      <c r="MZU22" s="1852"/>
      <c r="MZX22" s="1852"/>
      <c r="NAA22" s="1852"/>
      <c r="NAD22" s="1852"/>
      <c r="NAG22" s="1852"/>
      <c r="NAJ22" s="1852"/>
      <c r="NAM22" s="1852"/>
      <c r="NAP22" s="1852"/>
      <c r="NAS22" s="1852"/>
      <c r="NAV22" s="1852"/>
      <c r="NAY22" s="1852"/>
      <c r="NBB22" s="1852"/>
      <c r="NBE22" s="1852"/>
      <c r="NBH22" s="1852"/>
      <c r="NBK22" s="1852"/>
      <c r="NBN22" s="1852"/>
      <c r="NBQ22" s="1852"/>
      <c r="NBT22" s="1852"/>
      <c r="NBW22" s="1852"/>
      <c r="NBZ22" s="1852"/>
      <c r="NCC22" s="1852"/>
      <c r="NCF22" s="1852"/>
      <c r="NCI22" s="1852"/>
      <c r="NCL22" s="1852"/>
      <c r="NCO22" s="1852"/>
      <c r="NCR22" s="1852"/>
      <c r="NCU22" s="1852"/>
      <c r="NCX22" s="1852"/>
      <c r="NDA22" s="1852"/>
      <c r="NDD22" s="1852"/>
      <c r="NDG22" s="1852"/>
      <c r="NDJ22" s="1852"/>
      <c r="NDM22" s="1852"/>
      <c r="NDP22" s="1852"/>
      <c r="NDS22" s="1852"/>
      <c r="NDV22" s="1852"/>
      <c r="NDY22" s="1852"/>
      <c r="NEB22" s="1852"/>
      <c r="NEE22" s="1852"/>
      <c r="NEH22" s="1852"/>
      <c r="NEK22" s="1852"/>
      <c r="NEN22" s="1852"/>
      <c r="NEQ22" s="1852"/>
      <c r="NET22" s="1852"/>
      <c r="NEW22" s="1852"/>
      <c r="NEZ22" s="1852"/>
      <c r="NFC22" s="1852"/>
      <c r="NFF22" s="1852"/>
      <c r="NFI22" s="1852"/>
      <c r="NFL22" s="1852"/>
      <c r="NFO22" s="1852"/>
      <c r="NFR22" s="1852"/>
      <c r="NFU22" s="1852"/>
      <c r="NFX22" s="1852"/>
      <c r="NGA22" s="1852"/>
      <c r="NGD22" s="1852"/>
      <c r="NGG22" s="1852"/>
      <c r="NGJ22" s="1852"/>
      <c r="NGM22" s="1852"/>
      <c r="NGP22" s="1852"/>
      <c r="NGS22" s="1852"/>
      <c r="NGV22" s="1852"/>
      <c r="NGY22" s="1852"/>
      <c r="NHB22" s="1852"/>
      <c r="NHE22" s="1852"/>
      <c r="NHH22" s="1852"/>
      <c r="NHK22" s="1852"/>
      <c r="NHN22" s="1852"/>
      <c r="NHQ22" s="1852"/>
      <c r="NHT22" s="1852"/>
      <c r="NHW22" s="1852"/>
      <c r="NHZ22" s="1852"/>
      <c r="NIC22" s="1852"/>
      <c r="NIF22" s="1852"/>
      <c r="NII22" s="1852"/>
      <c r="NIL22" s="1852"/>
      <c r="NIO22" s="1852"/>
      <c r="NIR22" s="1852"/>
      <c r="NIU22" s="1852"/>
      <c r="NIX22" s="1852"/>
      <c r="NJA22" s="1852"/>
      <c r="NJD22" s="1852"/>
      <c r="NJG22" s="1852"/>
      <c r="NJJ22" s="1852"/>
      <c r="NJM22" s="1852"/>
      <c r="NJP22" s="1852"/>
      <c r="NJS22" s="1852"/>
      <c r="NJV22" s="1852"/>
      <c r="NJY22" s="1852"/>
      <c r="NKB22" s="1852"/>
      <c r="NKE22" s="1852"/>
      <c r="NKH22" s="1852"/>
      <c r="NKK22" s="1852"/>
      <c r="NKN22" s="1852"/>
      <c r="NKQ22" s="1852"/>
      <c r="NKT22" s="1852"/>
      <c r="NKW22" s="1852"/>
      <c r="NKZ22" s="1852"/>
      <c r="NLC22" s="1852"/>
      <c r="NLF22" s="1852"/>
      <c r="NLI22" s="1852"/>
      <c r="NLL22" s="1852"/>
      <c r="NLO22" s="1852"/>
      <c r="NLR22" s="1852"/>
      <c r="NLU22" s="1852"/>
      <c r="NLX22" s="1852"/>
      <c r="NMA22" s="1852"/>
      <c r="NMD22" s="1852"/>
      <c r="NMG22" s="1852"/>
      <c r="NMJ22" s="1852"/>
      <c r="NMM22" s="1852"/>
      <c r="NMP22" s="1852"/>
      <c r="NMS22" s="1852"/>
      <c r="NMV22" s="1852"/>
      <c r="NMY22" s="1852"/>
      <c r="NNB22" s="1852"/>
      <c r="NNE22" s="1852"/>
      <c r="NNH22" s="1852"/>
      <c r="NNK22" s="1852"/>
      <c r="NNN22" s="1852"/>
      <c r="NNQ22" s="1852"/>
      <c r="NNT22" s="1852"/>
      <c r="NNW22" s="1852"/>
      <c r="NNZ22" s="1852"/>
      <c r="NOC22" s="1852"/>
      <c r="NOF22" s="1852"/>
      <c r="NOI22" s="1852"/>
      <c r="NOL22" s="1852"/>
      <c r="NOO22" s="1852"/>
      <c r="NOR22" s="1852"/>
      <c r="NOU22" s="1852"/>
      <c r="NOX22" s="1852"/>
      <c r="NPA22" s="1852"/>
      <c r="NPD22" s="1852"/>
      <c r="NPG22" s="1852"/>
      <c r="NPJ22" s="1852"/>
      <c r="NPM22" s="1852"/>
      <c r="NPP22" s="1852"/>
      <c r="NPS22" s="1852"/>
      <c r="NPV22" s="1852"/>
      <c r="NPY22" s="1852"/>
      <c r="NQB22" s="1852"/>
      <c r="NQE22" s="1852"/>
      <c r="NQH22" s="1852"/>
      <c r="NQK22" s="1852"/>
      <c r="NQN22" s="1852"/>
      <c r="NQQ22" s="1852"/>
      <c r="NQT22" s="1852"/>
      <c r="NQW22" s="1852"/>
      <c r="NQZ22" s="1852"/>
      <c r="NRC22" s="1852"/>
      <c r="NRF22" s="1852"/>
      <c r="NRI22" s="1852"/>
      <c r="NRL22" s="1852"/>
      <c r="NRO22" s="1852"/>
      <c r="NRR22" s="1852"/>
      <c r="NRU22" s="1852"/>
      <c r="NRX22" s="1852"/>
      <c r="NSA22" s="1852"/>
      <c r="NSD22" s="1852"/>
      <c r="NSG22" s="1852"/>
      <c r="NSJ22" s="1852"/>
      <c r="NSM22" s="1852"/>
      <c r="NSP22" s="1852"/>
      <c r="NSS22" s="1852"/>
      <c r="NSV22" s="1852"/>
      <c r="NSY22" s="1852"/>
      <c r="NTB22" s="1852"/>
      <c r="NTE22" s="1852"/>
      <c r="NTH22" s="1852"/>
      <c r="NTK22" s="1852"/>
      <c r="NTN22" s="1852"/>
      <c r="NTQ22" s="1852"/>
      <c r="NTT22" s="1852"/>
      <c r="NTW22" s="1852"/>
      <c r="NTZ22" s="1852"/>
      <c r="NUC22" s="1852"/>
      <c r="NUF22" s="1852"/>
      <c r="NUI22" s="1852"/>
      <c r="NUL22" s="1852"/>
      <c r="NUO22" s="1852"/>
      <c r="NUR22" s="1852"/>
      <c r="NUU22" s="1852"/>
      <c r="NUX22" s="1852"/>
      <c r="NVA22" s="1852"/>
      <c r="NVD22" s="1852"/>
      <c r="NVG22" s="1852"/>
      <c r="NVJ22" s="1852"/>
      <c r="NVM22" s="1852"/>
      <c r="NVP22" s="1852"/>
      <c r="NVS22" s="1852"/>
      <c r="NVV22" s="1852"/>
      <c r="NVY22" s="1852"/>
      <c r="NWB22" s="1852"/>
      <c r="NWE22" s="1852"/>
      <c r="NWH22" s="1852"/>
      <c r="NWK22" s="1852"/>
      <c r="NWN22" s="1852"/>
      <c r="NWQ22" s="1852"/>
      <c r="NWT22" s="1852"/>
      <c r="NWW22" s="1852"/>
      <c r="NWZ22" s="1852"/>
      <c r="NXC22" s="1852"/>
      <c r="NXF22" s="1852"/>
      <c r="NXI22" s="1852"/>
      <c r="NXL22" s="1852"/>
      <c r="NXO22" s="1852"/>
      <c r="NXR22" s="1852"/>
      <c r="NXU22" s="1852"/>
      <c r="NXX22" s="1852"/>
      <c r="NYA22" s="1852"/>
      <c r="NYD22" s="1852"/>
      <c r="NYG22" s="1852"/>
      <c r="NYJ22" s="1852"/>
      <c r="NYM22" s="1852"/>
      <c r="NYP22" s="1852"/>
      <c r="NYS22" s="1852"/>
      <c r="NYV22" s="1852"/>
      <c r="NYY22" s="1852"/>
      <c r="NZB22" s="1852"/>
      <c r="NZE22" s="1852"/>
      <c r="NZH22" s="1852"/>
      <c r="NZK22" s="1852"/>
      <c r="NZN22" s="1852"/>
      <c r="NZQ22" s="1852"/>
      <c r="NZT22" s="1852"/>
      <c r="NZW22" s="1852"/>
      <c r="NZZ22" s="1852"/>
      <c r="OAC22" s="1852"/>
      <c r="OAF22" s="1852"/>
      <c r="OAI22" s="1852"/>
      <c r="OAL22" s="1852"/>
      <c r="OAO22" s="1852"/>
      <c r="OAR22" s="1852"/>
      <c r="OAU22" s="1852"/>
      <c r="OAX22" s="1852"/>
      <c r="OBA22" s="1852"/>
      <c r="OBD22" s="1852"/>
      <c r="OBG22" s="1852"/>
      <c r="OBJ22" s="1852"/>
      <c r="OBM22" s="1852"/>
      <c r="OBP22" s="1852"/>
      <c r="OBS22" s="1852"/>
      <c r="OBV22" s="1852"/>
      <c r="OBY22" s="1852"/>
      <c r="OCB22" s="1852"/>
      <c r="OCE22" s="1852"/>
      <c r="OCH22" s="1852"/>
      <c r="OCK22" s="1852"/>
      <c r="OCN22" s="1852"/>
      <c r="OCQ22" s="1852"/>
      <c r="OCT22" s="1852"/>
      <c r="OCW22" s="1852"/>
      <c r="OCZ22" s="1852"/>
      <c r="ODC22" s="1852"/>
      <c r="ODF22" s="1852"/>
      <c r="ODI22" s="1852"/>
      <c r="ODL22" s="1852"/>
      <c r="ODO22" s="1852"/>
      <c r="ODR22" s="1852"/>
      <c r="ODU22" s="1852"/>
      <c r="ODX22" s="1852"/>
      <c r="OEA22" s="1852"/>
      <c r="OED22" s="1852"/>
      <c r="OEG22" s="1852"/>
      <c r="OEJ22" s="1852"/>
      <c r="OEM22" s="1852"/>
      <c r="OEP22" s="1852"/>
      <c r="OES22" s="1852"/>
      <c r="OEV22" s="1852"/>
      <c r="OEY22" s="1852"/>
      <c r="OFB22" s="1852"/>
      <c r="OFE22" s="1852"/>
      <c r="OFH22" s="1852"/>
      <c r="OFK22" s="1852"/>
      <c r="OFN22" s="1852"/>
      <c r="OFQ22" s="1852"/>
      <c r="OFT22" s="1852"/>
      <c r="OFW22" s="1852"/>
      <c r="OFZ22" s="1852"/>
      <c r="OGC22" s="1852"/>
      <c r="OGF22" s="1852"/>
      <c r="OGI22" s="1852"/>
      <c r="OGL22" s="1852"/>
      <c r="OGO22" s="1852"/>
      <c r="OGR22" s="1852"/>
      <c r="OGU22" s="1852"/>
      <c r="OGX22" s="1852"/>
      <c r="OHA22" s="1852"/>
      <c r="OHD22" s="1852"/>
      <c r="OHG22" s="1852"/>
      <c r="OHJ22" s="1852"/>
      <c r="OHM22" s="1852"/>
      <c r="OHP22" s="1852"/>
      <c r="OHS22" s="1852"/>
      <c r="OHV22" s="1852"/>
      <c r="OHY22" s="1852"/>
      <c r="OIB22" s="1852"/>
      <c r="OIE22" s="1852"/>
      <c r="OIH22" s="1852"/>
      <c r="OIK22" s="1852"/>
      <c r="OIN22" s="1852"/>
      <c r="OIQ22" s="1852"/>
      <c r="OIT22" s="1852"/>
      <c r="OIW22" s="1852"/>
      <c r="OIZ22" s="1852"/>
      <c r="OJC22" s="1852"/>
      <c r="OJF22" s="1852"/>
      <c r="OJI22" s="1852"/>
      <c r="OJL22" s="1852"/>
      <c r="OJO22" s="1852"/>
      <c r="OJR22" s="1852"/>
      <c r="OJU22" s="1852"/>
      <c r="OJX22" s="1852"/>
      <c r="OKA22" s="1852"/>
      <c r="OKD22" s="1852"/>
      <c r="OKG22" s="1852"/>
      <c r="OKJ22" s="1852"/>
      <c r="OKM22" s="1852"/>
      <c r="OKP22" s="1852"/>
      <c r="OKS22" s="1852"/>
      <c r="OKV22" s="1852"/>
      <c r="OKY22" s="1852"/>
      <c r="OLB22" s="1852"/>
      <c r="OLE22" s="1852"/>
      <c r="OLH22" s="1852"/>
      <c r="OLK22" s="1852"/>
      <c r="OLN22" s="1852"/>
      <c r="OLQ22" s="1852"/>
      <c r="OLT22" s="1852"/>
      <c r="OLW22" s="1852"/>
      <c r="OLZ22" s="1852"/>
      <c r="OMC22" s="1852"/>
      <c r="OMF22" s="1852"/>
      <c r="OMI22" s="1852"/>
      <c r="OML22" s="1852"/>
      <c r="OMO22" s="1852"/>
      <c r="OMR22" s="1852"/>
      <c r="OMU22" s="1852"/>
      <c r="OMX22" s="1852"/>
      <c r="ONA22" s="1852"/>
      <c r="OND22" s="1852"/>
      <c r="ONG22" s="1852"/>
      <c r="ONJ22" s="1852"/>
      <c r="ONM22" s="1852"/>
      <c r="ONP22" s="1852"/>
      <c r="ONS22" s="1852"/>
      <c r="ONV22" s="1852"/>
      <c r="ONY22" s="1852"/>
      <c r="OOB22" s="1852"/>
      <c r="OOE22" s="1852"/>
      <c r="OOH22" s="1852"/>
      <c r="OOK22" s="1852"/>
      <c r="OON22" s="1852"/>
      <c r="OOQ22" s="1852"/>
      <c r="OOT22" s="1852"/>
      <c r="OOW22" s="1852"/>
      <c r="OOZ22" s="1852"/>
      <c r="OPC22" s="1852"/>
      <c r="OPF22" s="1852"/>
      <c r="OPI22" s="1852"/>
      <c r="OPL22" s="1852"/>
      <c r="OPO22" s="1852"/>
      <c r="OPR22" s="1852"/>
      <c r="OPU22" s="1852"/>
      <c r="OPX22" s="1852"/>
      <c r="OQA22" s="1852"/>
      <c r="OQD22" s="1852"/>
      <c r="OQG22" s="1852"/>
      <c r="OQJ22" s="1852"/>
      <c r="OQM22" s="1852"/>
      <c r="OQP22" s="1852"/>
      <c r="OQS22" s="1852"/>
      <c r="OQV22" s="1852"/>
      <c r="OQY22" s="1852"/>
      <c r="ORB22" s="1852"/>
      <c r="ORE22" s="1852"/>
      <c r="ORH22" s="1852"/>
      <c r="ORK22" s="1852"/>
      <c r="ORN22" s="1852"/>
      <c r="ORQ22" s="1852"/>
      <c r="ORT22" s="1852"/>
      <c r="ORW22" s="1852"/>
      <c r="ORZ22" s="1852"/>
      <c r="OSC22" s="1852"/>
      <c r="OSF22" s="1852"/>
      <c r="OSI22" s="1852"/>
      <c r="OSL22" s="1852"/>
      <c r="OSO22" s="1852"/>
      <c r="OSR22" s="1852"/>
      <c r="OSU22" s="1852"/>
      <c r="OSX22" s="1852"/>
      <c r="OTA22" s="1852"/>
      <c r="OTD22" s="1852"/>
      <c r="OTG22" s="1852"/>
      <c r="OTJ22" s="1852"/>
      <c r="OTM22" s="1852"/>
      <c r="OTP22" s="1852"/>
      <c r="OTS22" s="1852"/>
      <c r="OTV22" s="1852"/>
      <c r="OTY22" s="1852"/>
      <c r="OUB22" s="1852"/>
      <c r="OUE22" s="1852"/>
      <c r="OUH22" s="1852"/>
      <c r="OUK22" s="1852"/>
      <c r="OUN22" s="1852"/>
      <c r="OUQ22" s="1852"/>
      <c r="OUT22" s="1852"/>
      <c r="OUW22" s="1852"/>
      <c r="OUZ22" s="1852"/>
      <c r="OVC22" s="1852"/>
      <c r="OVF22" s="1852"/>
      <c r="OVI22" s="1852"/>
      <c r="OVL22" s="1852"/>
      <c r="OVO22" s="1852"/>
      <c r="OVR22" s="1852"/>
      <c r="OVU22" s="1852"/>
      <c r="OVX22" s="1852"/>
      <c r="OWA22" s="1852"/>
      <c r="OWD22" s="1852"/>
      <c r="OWG22" s="1852"/>
      <c r="OWJ22" s="1852"/>
      <c r="OWM22" s="1852"/>
      <c r="OWP22" s="1852"/>
      <c r="OWS22" s="1852"/>
      <c r="OWV22" s="1852"/>
      <c r="OWY22" s="1852"/>
      <c r="OXB22" s="1852"/>
      <c r="OXE22" s="1852"/>
      <c r="OXH22" s="1852"/>
      <c r="OXK22" s="1852"/>
      <c r="OXN22" s="1852"/>
      <c r="OXQ22" s="1852"/>
      <c r="OXT22" s="1852"/>
      <c r="OXW22" s="1852"/>
      <c r="OXZ22" s="1852"/>
      <c r="OYC22" s="1852"/>
      <c r="OYF22" s="1852"/>
      <c r="OYI22" s="1852"/>
      <c r="OYL22" s="1852"/>
      <c r="OYO22" s="1852"/>
      <c r="OYR22" s="1852"/>
      <c r="OYU22" s="1852"/>
      <c r="OYX22" s="1852"/>
      <c r="OZA22" s="1852"/>
      <c r="OZD22" s="1852"/>
      <c r="OZG22" s="1852"/>
      <c r="OZJ22" s="1852"/>
      <c r="OZM22" s="1852"/>
      <c r="OZP22" s="1852"/>
      <c r="OZS22" s="1852"/>
      <c r="OZV22" s="1852"/>
      <c r="OZY22" s="1852"/>
      <c r="PAB22" s="1852"/>
      <c r="PAE22" s="1852"/>
      <c r="PAH22" s="1852"/>
      <c r="PAK22" s="1852"/>
      <c r="PAN22" s="1852"/>
      <c r="PAQ22" s="1852"/>
      <c r="PAT22" s="1852"/>
      <c r="PAW22" s="1852"/>
      <c r="PAZ22" s="1852"/>
      <c r="PBC22" s="1852"/>
      <c r="PBF22" s="1852"/>
      <c r="PBI22" s="1852"/>
      <c r="PBL22" s="1852"/>
      <c r="PBO22" s="1852"/>
      <c r="PBR22" s="1852"/>
      <c r="PBU22" s="1852"/>
      <c r="PBX22" s="1852"/>
      <c r="PCA22" s="1852"/>
      <c r="PCD22" s="1852"/>
      <c r="PCG22" s="1852"/>
      <c r="PCJ22" s="1852"/>
      <c r="PCM22" s="1852"/>
      <c r="PCP22" s="1852"/>
      <c r="PCS22" s="1852"/>
      <c r="PCV22" s="1852"/>
      <c r="PCY22" s="1852"/>
      <c r="PDB22" s="1852"/>
      <c r="PDE22" s="1852"/>
      <c r="PDH22" s="1852"/>
      <c r="PDK22" s="1852"/>
      <c r="PDN22" s="1852"/>
      <c r="PDQ22" s="1852"/>
      <c r="PDT22" s="1852"/>
      <c r="PDW22" s="1852"/>
      <c r="PDZ22" s="1852"/>
      <c r="PEC22" s="1852"/>
      <c r="PEF22" s="1852"/>
      <c r="PEI22" s="1852"/>
      <c r="PEL22" s="1852"/>
      <c r="PEO22" s="1852"/>
      <c r="PER22" s="1852"/>
      <c r="PEU22" s="1852"/>
      <c r="PEX22" s="1852"/>
      <c r="PFA22" s="1852"/>
      <c r="PFD22" s="1852"/>
      <c r="PFG22" s="1852"/>
      <c r="PFJ22" s="1852"/>
      <c r="PFM22" s="1852"/>
      <c r="PFP22" s="1852"/>
      <c r="PFS22" s="1852"/>
      <c r="PFV22" s="1852"/>
      <c r="PFY22" s="1852"/>
      <c r="PGB22" s="1852"/>
      <c r="PGE22" s="1852"/>
      <c r="PGH22" s="1852"/>
      <c r="PGK22" s="1852"/>
      <c r="PGN22" s="1852"/>
      <c r="PGQ22" s="1852"/>
      <c r="PGT22" s="1852"/>
      <c r="PGW22" s="1852"/>
      <c r="PGZ22" s="1852"/>
      <c r="PHC22" s="1852"/>
      <c r="PHF22" s="1852"/>
      <c r="PHI22" s="1852"/>
      <c r="PHL22" s="1852"/>
      <c r="PHO22" s="1852"/>
      <c r="PHR22" s="1852"/>
      <c r="PHU22" s="1852"/>
      <c r="PHX22" s="1852"/>
      <c r="PIA22" s="1852"/>
      <c r="PID22" s="1852"/>
      <c r="PIG22" s="1852"/>
      <c r="PIJ22" s="1852"/>
      <c r="PIM22" s="1852"/>
      <c r="PIP22" s="1852"/>
      <c r="PIS22" s="1852"/>
      <c r="PIV22" s="1852"/>
      <c r="PIY22" s="1852"/>
      <c r="PJB22" s="1852"/>
      <c r="PJE22" s="1852"/>
      <c r="PJH22" s="1852"/>
      <c r="PJK22" s="1852"/>
      <c r="PJN22" s="1852"/>
      <c r="PJQ22" s="1852"/>
      <c r="PJT22" s="1852"/>
      <c r="PJW22" s="1852"/>
      <c r="PJZ22" s="1852"/>
      <c r="PKC22" s="1852"/>
      <c r="PKF22" s="1852"/>
      <c r="PKI22" s="1852"/>
      <c r="PKL22" s="1852"/>
      <c r="PKO22" s="1852"/>
      <c r="PKR22" s="1852"/>
      <c r="PKU22" s="1852"/>
      <c r="PKX22" s="1852"/>
      <c r="PLA22" s="1852"/>
      <c r="PLD22" s="1852"/>
      <c r="PLG22" s="1852"/>
      <c r="PLJ22" s="1852"/>
      <c r="PLM22" s="1852"/>
      <c r="PLP22" s="1852"/>
      <c r="PLS22" s="1852"/>
      <c r="PLV22" s="1852"/>
      <c r="PLY22" s="1852"/>
      <c r="PMB22" s="1852"/>
      <c r="PME22" s="1852"/>
      <c r="PMH22" s="1852"/>
      <c r="PMK22" s="1852"/>
      <c r="PMN22" s="1852"/>
      <c r="PMQ22" s="1852"/>
      <c r="PMT22" s="1852"/>
      <c r="PMW22" s="1852"/>
      <c r="PMZ22" s="1852"/>
      <c r="PNC22" s="1852"/>
      <c r="PNF22" s="1852"/>
      <c r="PNI22" s="1852"/>
      <c r="PNL22" s="1852"/>
      <c r="PNO22" s="1852"/>
      <c r="PNR22" s="1852"/>
      <c r="PNU22" s="1852"/>
      <c r="PNX22" s="1852"/>
      <c r="POA22" s="1852"/>
      <c r="POD22" s="1852"/>
      <c r="POG22" s="1852"/>
      <c r="POJ22" s="1852"/>
      <c r="POM22" s="1852"/>
      <c r="POP22" s="1852"/>
      <c r="POS22" s="1852"/>
      <c r="POV22" s="1852"/>
      <c r="POY22" s="1852"/>
      <c r="PPB22" s="1852"/>
      <c r="PPE22" s="1852"/>
      <c r="PPH22" s="1852"/>
      <c r="PPK22" s="1852"/>
      <c r="PPN22" s="1852"/>
      <c r="PPQ22" s="1852"/>
      <c r="PPT22" s="1852"/>
      <c r="PPW22" s="1852"/>
      <c r="PPZ22" s="1852"/>
      <c r="PQC22" s="1852"/>
      <c r="PQF22" s="1852"/>
      <c r="PQI22" s="1852"/>
      <c r="PQL22" s="1852"/>
      <c r="PQO22" s="1852"/>
      <c r="PQR22" s="1852"/>
      <c r="PQU22" s="1852"/>
      <c r="PQX22" s="1852"/>
      <c r="PRA22" s="1852"/>
      <c r="PRD22" s="1852"/>
      <c r="PRG22" s="1852"/>
      <c r="PRJ22" s="1852"/>
      <c r="PRM22" s="1852"/>
      <c r="PRP22" s="1852"/>
      <c r="PRS22" s="1852"/>
      <c r="PRV22" s="1852"/>
      <c r="PRY22" s="1852"/>
      <c r="PSB22" s="1852"/>
      <c r="PSE22" s="1852"/>
      <c r="PSH22" s="1852"/>
      <c r="PSK22" s="1852"/>
      <c r="PSN22" s="1852"/>
      <c r="PSQ22" s="1852"/>
      <c r="PST22" s="1852"/>
      <c r="PSW22" s="1852"/>
      <c r="PSZ22" s="1852"/>
      <c r="PTC22" s="1852"/>
      <c r="PTF22" s="1852"/>
      <c r="PTI22" s="1852"/>
      <c r="PTL22" s="1852"/>
      <c r="PTO22" s="1852"/>
      <c r="PTR22" s="1852"/>
      <c r="PTU22" s="1852"/>
      <c r="PTX22" s="1852"/>
      <c r="PUA22" s="1852"/>
      <c r="PUD22" s="1852"/>
      <c r="PUG22" s="1852"/>
      <c r="PUJ22" s="1852"/>
      <c r="PUM22" s="1852"/>
      <c r="PUP22" s="1852"/>
      <c r="PUS22" s="1852"/>
      <c r="PUV22" s="1852"/>
      <c r="PUY22" s="1852"/>
      <c r="PVB22" s="1852"/>
      <c r="PVE22" s="1852"/>
      <c r="PVH22" s="1852"/>
      <c r="PVK22" s="1852"/>
      <c r="PVN22" s="1852"/>
      <c r="PVQ22" s="1852"/>
      <c r="PVT22" s="1852"/>
      <c r="PVW22" s="1852"/>
      <c r="PVZ22" s="1852"/>
      <c r="PWC22" s="1852"/>
      <c r="PWF22" s="1852"/>
      <c r="PWI22" s="1852"/>
      <c r="PWL22" s="1852"/>
      <c r="PWO22" s="1852"/>
      <c r="PWR22" s="1852"/>
      <c r="PWU22" s="1852"/>
      <c r="PWX22" s="1852"/>
      <c r="PXA22" s="1852"/>
      <c r="PXD22" s="1852"/>
      <c r="PXG22" s="1852"/>
      <c r="PXJ22" s="1852"/>
      <c r="PXM22" s="1852"/>
      <c r="PXP22" s="1852"/>
      <c r="PXS22" s="1852"/>
      <c r="PXV22" s="1852"/>
      <c r="PXY22" s="1852"/>
      <c r="PYB22" s="1852"/>
      <c r="PYE22" s="1852"/>
      <c r="PYH22" s="1852"/>
      <c r="PYK22" s="1852"/>
      <c r="PYN22" s="1852"/>
      <c r="PYQ22" s="1852"/>
      <c r="PYT22" s="1852"/>
      <c r="PYW22" s="1852"/>
      <c r="PYZ22" s="1852"/>
      <c r="PZC22" s="1852"/>
      <c r="PZF22" s="1852"/>
      <c r="PZI22" s="1852"/>
      <c r="PZL22" s="1852"/>
      <c r="PZO22" s="1852"/>
      <c r="PZR22" s="1852"/>
      <c r="PZU22" s="1852"/>
      <c r="PZX22" s="1852"/>
      <c r="QAA22" s="1852"/>
      <c r="QAD22" s="1852"/>
      <c r="QAG22" s="1852"/>
      <c r="QAJ22" s="1852"/>
      <c r="QAM22" s="1852"/>
      <c r="QAP22" s="1852"/>
      <c r="QAS22" s="1852"/>
      <c r="QAV22" s="1852"/>
      <c r="QAY22" s="1852"/>
      <c r="QBB22" s="1852"/>
      <c r="QBE22" s="1852"/>
      <c r="QBH22" s="1852"/>
      <c r="QBK22" s="1852"/>
      <c r="QBN22" s="1852"/>
      <c r="QBQ22" s="1852"/>
      <c r="QBT22" s="1852"/>
      <c r="QBW22" s="1852"/>
      <c r="QBZ22" s="1852"/>
      <c r="QCC22" s="1852"/>
      <c r="QCF22" s="1852"/>
      <c r="QCI22" s="1852"/>
      <c r="QCL22" s="1852"/>
      <c r="QCO22" s="1852"/>
      <c r="QCR22" s="1852"/>
      <c r="QCU22" s="1852"/>
      <c r="QCX22" s="1852"/>
      <c r="QDA22" s="1852"/>
      <c r="QDD22" s="1852"/>
      <c r="QDG22" s="1852"/>
      <c r="QDJ22" s="1852"/>
      <c r="QDM22" s="1852"/>
      <c r="QDP22" s="1852"/>
      <c r="QDS22" s="1852"/>
      <c r="QDV22" s="1852"/>
      <c r="QDY22" s="1852"/>
      <c r="QEB22" s="1852"/>
      <c r="QEE22" s="1852"/>
      <c r="QEH22" s="1852"/>
      <c r="QEK22" s="1852"/>
      <c r="QEN22" s="1852"/>
      <c r="QEQ22" s="1852"/>
      <c r="QET22" s="1852"/>
      <c r="QEW22" s="1852"/>
      <c r="QEZ22" s="1852"/>
      <c r="QFC22" s="1852"/>
      <c r="QFF22" s="1852"/>
      <c r="QFI22" s="1852"/>
      <c r="QFL22" s="1852"/>
      <c r="QFO22" s="1852"/>
      <c r="QFR22" s="1852"/>
      <c r="QFU22" s="1852"/>
      <c r="QFX22" s="1852"/>
      <c r="QGA22" s="1852"/>
      <c r="QGD22" s="1852"/>
      <c r="QGG22" s="1852"/>
      <c r="QGJ22" s="1852"/>
      <c r="QGM22" s="1852"/>
      <c r="QGP22" s="1852"/>
      <c r="QGS22" s="1852"/>
      <c r="QGV22" s="1852"/>
      <c r="QGY22" s="1852"/>
      <c r="QHB22" s="1852"/>
      <c r="QHE22" s="1852"/>
      <c r="QHH22" s="1852"/>
      <c r="QHK22" s="1852"/>
      <c r="QHN22" s="1852"/>
      <c r="QHQ22" s="1852"/>
      <c r="QHT22" s="1852"/>
      <c r="QHW22" s="1852"/>
      <c r="QHZ22" s="1852"/>
      <c r="QIC22" s="1852"/>
      <c r="QIF22" s="1852"/>
      <c r="QII22" s="1852"/>
      <c r="QIL22" s="1852"/>
      <c r="QIO22" s="1852"/>
      <c r="QIR22" s="1852"/>
      <c r="QIU22" s="1852"/>
      <c r="QIX22" s="1852"/>
      <c r="QJA22" s="1852"/>
      <c r="QJD22" s="1852"/>
      <c r="QJG22" s="1852"/>
      <c r="QJJ22" s="1852"/>
      <c r="QJM22" s="1852"/>
      <c r="QJP22" s="1852"/>
      <c r="QJS22" s="1852"/>
      <c r="QJV22" s="1852"/>
      <c r="QJY22" s="1852"/>
      <c r="QKB22" s="1852"/>
      <c r="QKE22" s="1852"/>
      <c r="QKH22" s="1852"/>
      <c r="QKK22" s="1852"/>
      <c r="QKN22" s="1852"/>
      <c r="QKQ22" s="1852"/>
      <c r="QKT22" s="1852"/>
      <c r="QKW22" s="1852"/>
      <c r="QKZ22" s="1852"/>
      <c r="QLC22" s="1852"/>
      <c r="QLF22" s="1852"/>
      <c r="QLI22" s="1852"/>
      <c r="QLL22" s="1852"/>
      <c r="QLO22" s="1852"/>
      <c r="QLR22" s="1852"/>
      <c r="QLU22" s="1852"/>
      <c r="QLX22" s="1852"/>
      <c r="QMA22" s="1852"/>
      <c r="QMD22" s="1852"/>
      <c r="QMG22" s="1852"/>
      <c r="QMJ22" s="1852"/>
      <c r="QMM22" s="1852"/>
      <c r="QMP22" s="1852"/>
      <c r="QMS22" s="1852"/>
      <c r="QMV22" s="1852"/>
      <c r="QMY22" s="1852"/>
      <c r="QNB22" s="1852"/>
      <c r="QNE22" s="1852"/>
      <c r="QNH22" s="1852"/>
      <c r="QNK22" s="1852"/>
      <c r="QNN22" s="1852"/>
      <c r="QNQ22" s="1852"/>
      <c r="QNT22" s="1852"/>
      <c r="QNW22" s="1852"/>
      <c r="QNZ22" s="1852"/>
      <c r="QOC22" s="1852"/>
      <c r="QOF22" s="1852"/>
      <c r="QOI22" s="1852"/>
      <c r="QOL22" s="1852"/>
      <c r="QOO22" s="1852"/>
      <c r="QOR22" s="1852"/>
      <c r="QOU22" s="1852"/>
      <c r="QOX22" s="1852"/>
      <c r="QPA22" s="1852"/>
      <c r="QPD22" s="1852"/>
      <c r="QPG22" s="1852"/>
      <c r="QPJ22" s="1852"/>
      <c r="QPM22" s="1852"/>
      <c r="QPP22" s="1852"/>
      <c r="QPS22" s="1852"/>
      <c r="QPV22" s="1852"/>
      <c r="QPY22" s="1852"/>
      <c r="QQB22" s="1852"/>
      <c r="QQE22" s="1852"/>
      <c r="QQH22" s="1852"/>
      <c r="QQK22" s="1852"/>
      <c r="QQN22" s="1852"/>
      <c r="QQQ22" s="1852"/>
      <c r="QQT22" s="1852"/>
      <c r="QQW22" s="1852"/>
      <c r="QQZ22" s="1852"/>
      <c r="QRC22" s="1852"/>
      <c r="QRF22" s="1852"/>
      <c r="QRI22" s="1852"/>
      <c r="QRL22" s="1852"/>
      <c r="QRO22" s="1852"/>
      <c r="QRR22" s="1852"/>
      <c r="QRU22" s="1852"/>
      <c r="QRX22" s="1852"/>
      <c r="QSA22" s="1852"/>
      <c r="QSD22" s="1852"/>
      <c r="QSG22" s="1852"/>
      <c r="QSJ22" s="1852"/>
      <c r="QSM22" s="1852"/>
      <c r="QSP22" s="1852"/>
      <c r="QSS22" s="1852"/>
      <c r="QSV22" s="1852"/>
      <c r="QSY22" s="1852"/>
      <c r="QTB22" s="1852"/>
      <c r="QTE22" s="1852"/>
      <c r="QTH22" s="1852"/>
      <c r="QTK22" s="1852"/>
      <c r="QTN22" s="1852"/>
      <c r="QTQ22" s="1852"/>
      <c r="QTT22" s="1852"/>
      <c r="QTW22" s="1852"/>
      <c r="QTZ22" s="1852"/>
      <c r="QUC22" s="1852"/>
      <c r="QUF22" s="1852"/>
      <c r="QUI22" s="1852"/>
      <c r="QUL22" s="1852"/>
      <c r="QUO22" s="1852"/>
      <c r="QUR22" s="1852"/>
      <c r="QUU22" s="1852"/>
      <c r="QUX22" s="1852"/>
      <c r="QVA22" s="1852"/>
      <c r="QVD22" s="1852"/>
      <c r="QVG22" s="1852"/>
      <c r="QVJ22" s="1852"/>
      <c r="QVM22" s="1852"/>
      <c r="QVP22" s="1852"/>
      <c r="QVS22" s="1852"/>
      <c r="QVV22" s="1852"/>
      <c r="QVY22" s="1852"/>
      <c r="QWB22" s="1852"/>
      <c r="QWE22" s="1852"/>
      <c r="QWH22" s="1852"/>
      <c r="QWK22" s="1852"/>
      <c r="QWN22" s="1852"/>
      <c r="QWQ22" s="1852"/>
      <c r="QWT22" s="1852"/>
      <c r="QWW22" s="1852"/>
      <c r="QWZ22" s="1852"/>
      <c r="QXC22" s="1852"/>
      <c r="QXF22" s="1852"/>
      <c r="QXI22" s="1852"/>
      <c r="QXL22" s="1852"/>
      <c r="QXO22" s="1852"/>
      <c r="QXR22" s="1852"/>
      <c r="QXU22" s="1852"/>
      <c r="QXX22" s="1852"/>
      <c r="QYA22" s="1852"/>
      <c r="QYD22" s="1852"/>
      <c r="QYG22" s="1852"/>
      <c r="QYJ22" s="1852"/>
      <c r="QYM22" s="1852"/>
      <c r="QYP22" s="1852"/>
      <c r="QYS22" s="1852"/>
      <c r="QYV22" s="1852"/>
      <c r="QYY22" s="1852"/>
      <c r="QZB22" s="1852"/>
      <c r="QZE22" s="1852"/>
      <c r="QZH22" s="1852"/>
      <c r="QZK22" s="1852"/>
      <c r="QZN22" s="1852"/>
      <c r="QZQ22" s="1852"/>
      <c r="QZT22" s="1852"/>
      <c r="QZW22" s="1852"/>
      <c r="QZZ22" s="1852"/>
      <c r="RAC22" s="1852"/>
      <c r="RAF22" s="1852"/>
      <c r="RAI22" s="1852"/>
      <c r="RAL22" s="1852"/>
      <c r="RAO22" s="1852"/>
      <c r="RAR22" s="1852"/>
      <c r="RAU22" s="1852"/>
      <c r="RAX22" s="1852"/>
      <c r="RBA22" s="1852"/>
      <c r="RBD22" s="1852"/>
      <c r="RBG22" s="1852"/>
      <c r="RBJ22" s="1852"/>
      <c r="RBM22" s="1852"/>
      <c r="RBP22" s="1852"/>
      <c r="RBS22" s="1852"/>
      <c r="RBV22" s="1852"/>
      <c r="RBY22" s="1852"/>
      <c r="RCB22" s="1852"/>
      <c r="RCE22" s="1852"/>
      <c r="RCH22" s="1852"/>
      <c r="RCK22" s="1852"/>
      <c r="RCN22" s="1852"/>
      <c r="RCQ22" s="1852"/>
      <c r="RCT22" s="1852"/>
      <c r="RCW22" s="1852"/>
      <c r="RCZ22" s="1852"/>
      <c r="RDC22" s="1852"/>
      <c r="RDF22" s="1852"/>
      <c r="RDI22" s="1852"/>
      <c r="RDL22" s="1852"/>
      <c r="RDO22" s="1852"/>
      <c r="RDR22" s="1852"/>
      <c r="RDU22" s="1852"/>
      <c r="RDX22" s="1852"/>
      <c r="REA22" s="1852"/>
      <c r="RED22" s="1852"/>
      <c r="REG22" s="1852"/>
      <c r="REJ22" s="1852"/>
      <c r="REM22" s="1852"/>
      <c r="REP22" s="1852"/>
      <c r="RES22" s="1852"/>
      <c r="REV22" s="1852"/>
      <c r="REY22" s="1852"/>
      <c r="RFB22" s="1852"/>
      <c r="RFE22" s="1852"/>
      <c r="RFH22" s="1852"/>
      <c r="RFK22" s="1852"/>
      <c r="RFN22" s="1852"/>
      <c r="RFQ22" s="1852"/>
      <c r="RFT22" s="1852"/>
      <c r="RFW22" s="1852"/>
      <c r="RFZ22" s="1852"/>
      <c r="RGC22" s="1852"/>
      <c r="RGF22" s="1852"/>
      <c r="RGI22" s="1852"/>
      <c r="RGL22" s="1852"/>
      <c r="RGO22" s="1852"/>
      <c r="RGR22" s="1852"/>
      <c r="RGU22" s="1852"/>
      <c r="RGX22" s="1852"/>
      <c r="RHA22" s="1852"/>
      <c r="RHD22" s="1852"/>
      <c r="RHG22" s="1852"/>
      <c r="RHJ22" s="1852"/>
      <c r="RHM22" s="1852"/>
      <c r="RHP22" s="1852"/>
      <c r="RHS22" s="1852"/>
      <c r="RHV22" s="1852"/>
      <c r="RHY22" s="1852"/>
      <c r="RIB22" s="1852"/>
      <c r="RIE22" s="1852"/>
      <c r="RIH22" s="1852"/>
      <c r="RIK22" s="1852"/>
      <c r="RIN22" s="1852"/>
      <c r="RIQ22" s="1852"/>
      <c r="RIT22" s="1852"/>
      <c r="RIW22" s="1852"/>
      <c r="RIZ22" s="1852"/>
      <c r="RJC22" s="1852"/>
      <c r="RJF22" s="1852"/>
      <c r="RJI22" s="1852"/>
      <c r="RJL22" s="1852"/>
      <c r="RJO22" s="1852"/>
      <c r="RJR22" s="1852"/>
      <c r="RJU22" s="1852"/>
      <c r="RJX22" s="1852"/>
      <c r="RKA22" s="1852"/>
      <c r="RKD22" s="1852"/>
      <c r="RKG22" s="1852"/>
      <c r="RKJ22" s="1852"/>
      <c r="RKM22" s="1852"/>
      <c r="RKP22" s="1852"/>
      <c r="RKS22" s="1852"/>
      <c r="RKV22" s="1852"/>
      <c r="RKY22" s="1852"/>
      <c r="RLB22" s="1852"/>
      <c r="RLE22" s="1852"/>
      <c r="RLH22" s="1852"/>
      <c r="RLK22" s="1852"/>
      <c r="RLN22" s="1852"/>
      <c r="RLQ22" s="1852"/>
      <c r="RLT22" s="1852"/>
      <c r="RLW22" s="1852"/>
      <c r="RLZ22" s="1852"/>
      <c r="RMC22" s="1852"/>
      <c r="RMF22" s="1852"/>
      <c r="RMI22" s="1852"/>
      <c r="RML22" s="1852"/>
      <c r="RMO22" s="1852"/>
      <c r="RMR22" s="1852"/>
      <c r="RMU22" s="1852"/>
      <c r="RMX22" s="1852"/>
      <c r="RNA22" s="1852"/>
      <c r="RND22" s="1852"/>
      <c r="RNG22" s="1852"/>
      <c r="RNJ22" s="1852"/>
      <c r="RNM22" s="1852"/>
      <c r="RNP22" s="1852"/>
      <c r="RNS22" s="1852"/>
      <c r="RNV22" s="1852"/>
      <c r="RNY22" s="1852"/>
      <c r="ROB22" s="1852"/>
      <c r="ROE22" s="1852"/>
      <c r="ROH22" s="1852"/>
      <c r="ROK22" s="1852"/>
      <c r="RON22" s="1852"/>
      <c r="ROQ22" s="1852"/>
      <c r="ROT22" s="1852"/>
      <c r="ROW22" s="1852"/>
      <c r="ROZ22" s="1852"/>
      <c r="RPC22" s="1852"/>
      <c r="RPF22" s="1852"/>
      <c r="RPI22" s="1852"/>
      <c r="RPL22" s="1852"/>
      <c r="RPO22" s="1852"/>
      <c r="RPR22" s="1852"/>
      <c r="RPU22" s="1852"/>
      <c r="RPX22" s="1852"/>
      <c r="RQA22" s="1852"/>
      <c r="RQD22" s="1852"/>
      <c r="RQG22" s="1852"/>
      <c r="RQJ22" s="1852"/>
      <c r="RQM22" s="1852"/>
      <c r="RQP22" s="1852"/>
      <c r="RQS22" s="1852"/>
      <c r="RQV22" s="1852"/>
      <c r="RQY22" s="1852"/>
      <c r="RRB22" s="1852"/>
      <c r="RRE22" s="1852"/>
      <c r="RRH22" s="1852"/>
      <c r="RRK22" s="1852"/>
      <c r="RRN22" s="1852"/>
      <c r="RRQ22" s="1852"/>
      <c r="RRT22" s="1852"/>
      <c r="RRW22" s="1852"/>
      <c r="RRZ22" s="1852"/>
      <c r="RSC22" s="1852"/>
      <c r="RSF22" s="1852"/>
      <c r="RSI22" s="1852"/>
      <c r="RSL22" s="1852"/>
      <c r="RSO22" s="1852"/>
      <c r="RSR22" s="1852"/>
      <c r="RSU22" s="1852"/>
      <c r="RSX22" s="1852"/>
      <c r="RTA22" s="1852"/>
      <c r="RTD22" s="1852"/>
      <c r="RTG22" s="1852"/>
      <c r="RTJ22" s="1852"/>
      <c r="RTM22" s="1852"/>
      <c r="RTP22" s="1852"/>
      <c r="RTS22" s="1852"/>
      <c r="RTV22" s="1852"/>
      <c r="RTY22" s="1852"/>
      <c r="RUB22" s="1852"/>
      <c r="RUE22" s="1852"/>
      <c r="RUH22" s="1852"/>
      <c r="RUK22" s="1852"/>
      <c r="RUN22" s="1852"/>
      <c r="RUQ22" s="1852"/>
      <c r="RUT22" s="1852"/>
      <c r="RUW22" s="1852"/>
      <c r="RUZ22" s="1852"/>
      <c r="RVC22" s="1852"/>
      <c r="RVF22" s="1852"/>
      <c r="RVI22" s="1852"/>
      <c r="RVL22" s="1852"/>
      <c r="RVO22" s="1852"/>
      <c r="RVR22" s="1852"/>
      <c r="RVU22" s="1852"/>
      <c r="RVX22" s="1852"/>
      <c r="RWA22" s="1852"/>
      <c r="RWD22" s="1852"/>
      <c r="RWG22" s="1852"/>
      <c r="RWJ22" s="1852"/>
      <c r="RWM22" s="1852"/>
      <c r="RWP22" s="1852"/>
      <c r="RWS22" s="1852"/>
      <c r="RWV22" s="1852"/>
      <c r="RWY22" s="1852"/>
      <c r="RXB22" s="1852"/>
      <c r="RXE22" s="1852"/>
      <c r="RXH22" s="1852"/>
      <c r="RXK22" s="1852"/>
      <c r="RXN22" s="1852"/>
      <c r="RXQ22" s="1852"/>
      <c r="RXT22" s="1852"/>
      <c r="RXW22" s="1852"/>
      <c r="RXZ22" s="1852"/>
      <c r="RYC22" s="1852"/>
      <c r="RYF22" s="1852"/>
      <c r="RYI22" s="1852"/>
      <c r="RYL22" s="1852"/>
      <c r="RYO22" s="1852"/>
      <c r="RYR22" s="1852"/>
      <c r="RYU22" s="1852"/>
      <c r="RYX22" s="1852"/>
      <c r="RZA22" s="1852"/>
      <c r="RZD22" s="1852"/>
      <c r="RZG22" s="1852"/>
      <c r="RZJ22" s="1852"/>
      <c r="RZM22" s="1852"/>
      <c r="RZP22" s="1852"/>
      <c r="RZS22" s="1852"/>
      <c r="RZV22" s="1852"/>
      <c r="RZY22" s="1852"/>
      <c r="SAB22" s="1852"/>
      <c r="SAE22" s="1852"/>
      <c r="SAH22" s="1852"/>
      <c r="SAK22" s="1852"/>
      <c r="SAN22" s="1852"/>
      <c r="SAQ22" s="1852"/>
      <c r="SAT22" s="1852"/>
      <c r="SAW22" s="1852"/>
      <c r="SAZ22" s="1852"/>
      <c r="SBC22" s="1852"/>
      <c r="SBF22" s="1852"/>
      <c r="SBI22" s="1852"/>
      <c r="SBL22" s="1852"/>
      <c r="SBO22" s="1852"/>
      <c r="SBR22" s="1852"/>
      <c r="SBU22" s="1852"/>
      <c r="SBX22" s="1852"/>
      <c r="SCA22" s="1852"/>
      <c r="SCD22" s="1852"/>
      <c r="SCG22" s="1852"/>
      <c r="SCJ22" s="1852"/>
      <c r="SCM22" s="1852"/>
      <c r="SCP22" s="1852"/>
      <c r="SCS22" s="1852"/>
      <c r="SCV22" s="1852"/>
      <c r="SCY22" s="1852"/>
      <c r="SDB22" s="1852"/>
      <c r="SDE22" s="1852"/>
      <c r="SDH22" s="1852"/>
      <c r="SDK22" s="1852"/>
      <c r="SDN22" s="1852"/>
      <c r="SDQ22" s="1852"/>
      <c r="SDT22" s="1852"/>
      <c r="SDW22" s="1852"/>
      <c r="SDZ22" s="1852"/>
      <c r="SEC22" s="1852"/>
      <c r="SEF22" s="1852"/>
      <c r="SEI22" s="1852"/>
      <c r="SEL22" s="1852"/>
      <c r="SEO22" s="1852"/>
      <c r="SER22" s="1852"/>
      <c r="SEU22" s="1852"/>
      <c r="SEX22" s="1852"/>
      <c r="SFA22" s="1852"/>
      <c r="SFD22" s="1852"/>
      <c r="SFG22" s="1852"/>
      <c r="SFJ22" s="1852"/>
      <c r="SFM22" s="1852"/>
      <c r="SFP22" s="1852"/>
      <c r="SFS22" s="1852"/>
      <c r="SFV22" s="1852"/>
      <c r="SFY22" s="1852"/>
      <c r="SGB22" s="1852"/>
      <c r="SGE22" s="1852"/>
      <c r="SGH22" s="1852"/>
      <c r="SGK22" s="1852"/>
      <c r="SGN22" s="1852"/>
      <c r="SGQ22" s="1852"/>
      <c r="SGT22" s="1852"/>
      <c r="SGW22" s="1852"/>
      <c r="SGZ22" s="1852"/>
      <c r="SHC22" s="1852"/>
      <c r="SHF22" s="1852"/>
      <c r="SHI22" s="1852"/>
      <c r="SHL22" s="1852"/>
      <c r="SHO22" s="1852"/>
      <c r="SHR22" s="1852"/>
      <c r="SHU22" s="1852"/>
      <c r="SHX22" s="1852"/>
      <c r="SIA22" s="1852"/>
      <c r="SID22" s="1852"/>
      <c r="SIG22" s="1852"/>
      <c r="SIJ22" s="1852"/>
      <c r="SIM22" s="1852"/>
      <c r="SIP22" s="1852"/>
      <c r="SIS22" s="1852"/>
      <c r="SIV22" s="1852"/>
      <c r="SIY22" s="1852"/>
      <c r="SJB22" s="1852"/>
      <c r="SJE22" s="1852"/>
      <c r="SJH22" s="1852"/>
      <c r="SJK22" s="1852"/>
      <c r="SJN22" s="1852"/>
      <c r="SJQ22" s="1852"/>
      <c r="SJT22" s="1852"/>
      <c r="SJW22" s="1852"/>
      <c r="SJZ22" s="1852"/>
      <c r="SKC22" s="1852"/>
      <c r="SKF22" s="1852"/>
      <c r="SKI22" s="1852"/>
      <c r="SKL22" s="1852"/>
      <c r="SKO22" s="1852"/>
      <c r="SKR22" s="1852"/>
      <c r="SKU22" s="1852"/>
      <c r="SKX22" s="1852"/>
      <c r="SLA22" s="1852"/>
      <c r="SLD22" s="1852"/>
      <c r="SLG22" s="1852"/>
      <c r="SLJ22" s="1852"/>
      <c r="SLM22" s="1852"/>
      <c r="SLP22" s="1852"/>
      <c r="SLS22" s="1852"/>
      <c r="SLV22" s="1852"/>
      <c r="SLY22" s="1852"/>
      <c r="SMB22" s="1852"/>
      <c r="SME22" s="1852"/>
      <c r="SMH22" s="1852"/>
      <c r="SMK22" s="1852"/>
      <c r="SMN22" s="1852"/>
      <c r="SMQ22" s="1852"/>
      <c r="SMT22" s="1852"/>
      <c r="SMW22" s="1852"/>
      <c r="SMZ22" s="1852"/>
      <c r="SNC22" s="1852"/>
      <c r="SNF22" s="1852"/>
      <c r="SNI22" s="1852"/>
      <c r="SNL22" s="1852"/>
      <c r="SNO22" s="1852"/>
      <c r="SNR22" s="1852"/>
      <c r="SNU22" s="1852"/>
      <c r="SNX22" s="1852"/>
      <c r="SOA22" s="1852"/>
      <c r="SOD22" s="1852"/>
      <c r="SOG22" s="1852"/>
      <c r="SOJ22" s="1852"/>
      <c r="SOM22" s="1852"/>
      <c r="SOP22" s="1852"/>
      <c r="SOS22" s="1852"/>
      <c r="SOV22" s="1852"/>
      <c r="SOY22" s="1852"/>
      <c r="SPB22" s="1852"/>
      <c r="SPE22" s="1852"/>
      <c r="SPH22" s="1852"/>
      <c r="SPK22" s="1852"/>
      <c r="SPN22" s="1852"/>
      <c r="SPQ22" s="1852"/>
      <c r="SPT22" s="1852"/>
      <c r="SPW22" s="1852"/>
      <c r="SPZ22" s="1852"/>
      <c r="SQC22" s="1852"/>
      <c r="SQF22" s="1852"/>
      <c r="SQI22" s="1852"/>
      <c r="SQL22" s="1852"/>
      <c r="SQO22" s="1852"/>
      <c r="SQR22" s="1852"/>
      <c r="SQU22" s="1852"/>
      <c r="SQX22" s="1852"/>
      <c r="SRA22" s="1852"/>
      <c r="SRD22" s="1852"/>
      <c r="SRG22" s="1852"/>
      <c r="SRJ22" s="1852"/>
      <c r="SRM22" s="1852"/>
      <c r="SRP22" s="1852"/>
      <c r="SRS22" s="1852"/>
      <c r="SRV22" s="1852"/>
      <c r="SRY22" s="1852"/>
      <c r="SSB22" s="1852"/>
      <c r="SSE22" s="1852"/>
      <c r="SSH22" s="1852"/>
      <c r="SSK22" s="1852"/>
      <c r="SSN22" s="1852"/>
      <c r="SSQ22" s="1852"/>
      <c r="SST22" s="1852"/>
      <c r="SSW22" s="1852"/>
      <c r="SSZ22" s="1852"/>
      <c r="STC22" s="1852"/>
      <c r="STF22" s="1852"/>
      <c r="STI22" s="1852"/>
      <c r="STL22" s="1852"/>
      <c r="STO22" s="1852"/>
      <c r="STR22" s="1852"/>
      <c r="STU22" s="1852"/>
      <c r="STX22" s="1852"/>
      <c r="SUA22" s="1852"/>
      <c r="SUD22" s="1852"/>
      <c r="SUG22" s="1852"/>
      <c r="SUJ22" s="1852"/>
      <c r="SUM22" s="1852"/>
      <c r="SUP22" s="1852"/>
      <c r="SUS22" s="1852"/>
      <c r="SUV22" s="1852"/>
      <c r="SUY22" s="1852"/>
      <c r="SVB22" s="1852"/>
      <c r="SVE22" s="1852"/>
      <c r="SVH22" s="1852"/>
      <c r="SVK22" s="1852"/>
      <c r="SVN22" s="1852"/>
      <c r="SVQ22" s="1852"/>
      <c r="SVT22" s="1852"/>
      <c r="SVW22" s="1852"/>
      <c r="SVZ22" s="1852"/>
      <c r="SWC22" s="1852"/>
      <c r="SWF22" s="1852"/>
      <c r="SWI22" s="1852"/>
      <c r="SWL22" s="1852"/>
      <c r="SWO22" s="1852"/>
      <c r="SWR22" s="1852"/>
      <c r="SWU22" s="1852"/>
      <c r="SWX22" s="1852"/>
      <c r="SXA22" s="1852"/>
      <c r="SXD22" s="1852"/>
      <c r="SXG22" s="1852"/>
      <c r="SXJ22" s="1852"/>
      <c r="SXM22" s="1852"/>
      <c r="SXP22" s="1852"/>
      <c r="SXS22" s="1852"/>
      <c r="SXV22" s="1852"/>
      <c r="SXY22" s="1852"/>
      <c r="SYB22" s="1852"/>
      <c r="SYE22" s="1852"/>
      <c r="SYH22" s="1852"/>
      <c r="SYK22" s="1852"/>
      <c r="SYN22" s="1852"/>
      <c r="SYQ22" s="1852"/>
      <c r="SYT22" s="1852"/>
      <c r="SYW22" s="1852"/>
      <c r="SYZ22" s="1852"/>
      <c r="SZC22" s="1852"/>
      <c r="SZF22" s="1852"/>
      <c r="SZI22" s="1852"/>
      <c r="SZL22" s="1852"/>
      <c r="SZO22" s="1852"/>
      <c r="SZR22" s="1852"/>
      <c r="SZU22" s="1852"/>
      <c r="SZX22" s="1852"/>
      <c r="TAA22" s="1852"/>
      <c r="TAD22" s="1852"/>
      <c r="TAG22" s="1852"/>
      <c r="TAJ22" s="1852"/>
      <c r="TAM22" s="1852"/>
      <c r="TAP22" s="1852"/>
      <c r="TAS22" s="1852"/>
      <c r="TAV22" s="1852"/>
      <c r="TAY22" s="1852"/>
      <c r="TBB22" s="1852"/>
      <c r="TBE22" s="1852"/>
      <c r="TBH22" s="1852"/>
      <c r="TBK22" s="1852"/>
      <c r="TBN22" s="1852"/>
      <c r="TBQ22" s="1852"/>
      <c r="TBT22" s="1852"/>
      <c r="TBW22" s="1852"/>
      <c r="TBZ22" s="1852"/>
      <c r="TCC22" s="1852"/>
      <c r="TCF22" s="1852"/>
      <c r="TCI22" s="1852"/>
      <c r="TCL22" s="1852"/>
      <c r="TCO22" s="1852"/>
      <c r="TCR22" s="1852"/>
      <c r="TCU22" s="1852"/>
      <c r="TCX22" s="1852"/>
      <c r="TDA22" s="1852"/>
      <c r="TDD22" s="1852"/>
      <c r="TDG22" s="1852"/>
      <c r="TDJ22" s="1852"/>
      <c r="TDM22" s="1852"/>
      <c r="TDP22" s="1852"/>
      <c r="TDS22" s="1852"/>
      <c r="TDV22" s="1852"/>
      <c r="TDY22" s="1852"/>
      <c r="TEB22" s="1852"/>
      <c r="TEE22" s="1852"/>
      <c r="TEH22" s="1852"/>
      <c r="TEK22" s="1852"/>
      <c r="TEN22" s="1852"/>
      <c r="TEQ22" s="1852"/>
      <c r="TET22" s="1852"/>
      <c r="TEW22" s="1852"/>
      <c r="TEZ22" s="1852"/>
      <c r="TFC22" s="1852"/>
      <c r="TFF22" s="1852"/>
      <c r="TFI22" s="1852"/>
      <c r="TFL22" s="1852"/>
      <c r="TFO22" s="1852"/>
      <c r="TFR22" s="1852"/>
      <c r="TFU22" s="1852"/>
      <c r="TFX22" s="1852"/>
      <c r="TGA22" s="1852"/>
      <c r="TGD22" s="1852"/>
      <c r="TGG22" s="1852"/>
      <c r="TGJ22" s="1852"/>
      <c r="TGM22" s="1852"/>
      <c r="TGP22" s="1852"/>
      <c r="TGS22" s="1852"/>
      <c r="TGV22" s="1852"/>
      <c r="TGY22" s="1852"/>
      <c r="THB22" s="1852"/>
      <c r="THE22" s="1852"/>
      <c r="THH22" s="1852"/>
      <c r="THK22" s="1852"/>
      <c r="THN22" s="1852"/>
      <c r="THQ22" s="1852"/>
      <c r="THT22" s="1852"/>
      <c r="THW22" s="1852"/>
      <c r="THZ22" s="1852"/>
      <c r="TIC22" s="1852"/>
      <c r="TIF22" s="1852"/>
      <c r="TII22" s="1852"/>
      <c r="TIL22" s="1852"/>
      <c r="TIO22" s="1852"/>
      <c r="TIR22" s="1852"/>
      <c r="TIU22" s="1852"/>
      <c r="TIX22" s="1852"/>
      <c r="TJA22" s="1852"/>
      <c r="TJD22" s="1852"/>
      <c r="TJG22" s="1852"/>
      <c r="TJJ22" s="1852"/>
      <c r="TJM22" s="1852"/>
      <c r="TJP22" s="1852"/>
      <c r="TJS22" s="1852"/>
      <c r="TJV22" s="1852"/>
      <c r="TJY22" s="1852"/>
      <c r="TKB22" s="1852"/>
      <c r="TKE22" s="1852"/>
      <c r="TKH22" s="1852"/>
      <c r="TKK22" s="1852"/>
      <c r="TKN22" s="1852"/>
      <c r="TKQ22" s="1852"/>
      <c r="TKT22" s="1852"/>
      <c r="TKW22" s="1852"/>
      <c r="TKZ22" s="1852"/>
      <c r="TLC22" s="1852"/>
      <c r="TLF22" s="1852"/>
      <c r="TLI22" s="1852"/>
      <c r="TLL22" s="1852"/>
      <c r="TLO22" s="1852"/>
      <c r="TLR22" s="1852"/>
      <c r="TLU22" s="1852"/>
      <c r="TLX22" s="1852"/>
      <c r="TMA22" s="1852"/>
      <c r="TMD22" s="1852"/>
      <c r="TMG22" s="1852"/>
      <c r="TMJ22" s="1852"/>
      <c r="TMM22" s="1852"/>
      <c r="TMP22" s="1852"/>
      <c r="TMS22" s="1852"/>
      <c r="TMV22" s="1852"/>
      <c r="TMY22" s="1852"/>
      <c r="TNB22" s="1852"/>
      <c r="TNE22" s="1852"/>
      <c r="TNH22" s="1852"/>
      <c r="TNK22" s="1852"/>
      <c r="TNN22" s="1852"/>
      <c r="TNQ22" s="1852"/>
      <c r="TNT22" s="1852"/>
      <c r="TNW22" s="1852"/>
      <c r="TNZ22" s="1852"/>
      <c r="TOC22" s="1852"/>
      <c r="TOF22" s="1852"/>
      <c r="TOI22" s="1852"/>
      <c r="TOL22" s="1852"/>
      <c r="TOO22" s="1852"/>
      <c r="TOR22" s="1852"/>
      <c r="TOU22" s="1852"/>
      <c r="TOX22" s="1852"/>
      <c r="TPA22" s="1852"/>
      <c r="TPD22" s="1852"/>
      <c r="TPG22" s="1852"/>
      <c r="TPJ22" s="1852"/>
      <c r="TPM22" s="1852"/>
      <c r="TPP22" s="1852"/>
      <c r="TPS22" s="1852"/>
      <c r="TPV22" s="1852"/>
      <c r="TPY22" s="1852"/>
      <c r="TQB22" s="1852"/>
      <c r="TQE22" s="1852"/>
      <c r="TQH22" s="1852"/>
      <c r="TQK22" s="1852"/>
      <c r="TQN22" s="1852"/>
      <c r="TQQ22" s="1852"/>
      <c r="TQT22" s="1852"/>
      <c r="TQW22" s="1852"/>
      <c r="TQZ22" s="1852"/>
      <c r="TRC22" s="1852"/>
      <c r="TRF22" s="1852"/>
      <c r="TRI22" s="1852"/>
      <c r="TRL22" s="1852"/>
      <c r="TRO22" s="1852"/>
      <c r="TRR22" s="1852"/>
      <c r="TRU22" s="1852"/>
      <c r="TRX22" s="1852"/>
      <c r="TSA22" s="1852"/>
      <c r="TSD22" s="1852"/>
      <c r="TSG22" s="1852"/>
      <c r="TSJ22" s="1852"/>
      <c r="TSM22" s="1852"/>
      <c r="TSP22" s="1852"/>
      <c r="TSS22" s="1852"/>
      <c r="TSV22" s="1852"/>
      <c r="TSY22" s="1852"/>
      <c r="TTB22" s="1852"/>
      <c r="TTE22" s="1852"/>
      <c r="TTH22" s="1852"/>
      <c r="TTK22" s="1852"/>
      <c r="TTN22" s="1852"/>
      <c r="TTQ22" s="1852"/>
      <c r="TTT22" s="1852"/>
      <c r="TTW22" s="1852"/>
      <c r="TTZ22" s="1852"/>
      <c r="TUC22" s="1852"/>
      <c r="TUF22" s="1852"/>
      <c r="TUI22" s="1852"/>
      <c r="TUL22" s="1852"/>
      <c r="TUO22" s="1852"/>
      <c r="TUR22" s="1852"/>
      <c r="TUU22" s="1852"/>
      <c r="TUX22" s="1852"/>
      <c r="TVA22" s="1852"/>
      <c r="TVD22" s="1852"/>
      <c r="TVG22" s="1852"/>
      <c r="TVJ22" s="1852"/>
      <c r="TVM22" s="1852"/>
      <c r="TVP22" s="1852"/>
      <c r="TVS22" s="1852"/>
      <c r="TVV22" s="1852"/>
      <c r="TVY22" s="1852"/>
      <c r="TWB22" s="1852"/>
      <c r="TWE22" s="1852"/>
      <c r="TWH22" s="1852"/>
      <c r="TWK22" s="1852"/>
      <c r="TWN22" s="1852"/>
      <c r="TWQ22" s="1852"/>
      <c r="TWT22" s="1852"/>
      <c r="TWW22" s="1852"/>
      <c r="TWZ22" s="1852"/>
      <c r="TXC22" s="1852"/>
      <c r="TXF22" s="1852"/>
      <c r="TXI22" s="1852"/>
      <c r="TXL22" s="1852"/>
      <c r="TXO22" s="1852"/>
      <c r="TXR22" s="1852"/>
      <c r="TXU22" s="1852"/>
      <c r="TXX22" s="1852"/>
      <c r="TYA22" s="1852"/>
      <c r="TYD22" s="1852"/>
      <c r="TYG22" s="1852"/>
      <c r="TYJ22" s="1852"/>
      <c r="TYM22" s="1852"/>
      <c r="TYP22" s="1852"/>
      <c r="TYS22" s="1852"/>
      <c r="TYV22" s="1852"/>
      <c r="TYY22" s="1852"/>
      <c r="TZB22" s="1852"/>
      <c r="TZE22" s="1852"/>
      <c r="TZH22" s="1852"/>
      <c r="TZK22" s="1852"/>
      <c r="TZN22" s="1852"/>
      <c r="TZQ22" s="1852"/>
      <c r="TZT22" s="1852"/>
      <c r="TZW22" s="1852"/>
      <c r="TZZ22" s="1852"/>
      <c r="UAC22" s="1852"/>
      <c r="UAF22" s="1852"/>
      <c r="UAI22" s="1852"/>
      <c r="UAL22" s="1852"/>
      <c r="UAO22" s="1852"/>
      <c r="UAR22" s="1852"/>
      <c r="UAU22" s="1852"/>
      <c r="UAX22" s="1852"/>
      <c r="UBA22" s="1852"/>
      <c r="UBD22" s="1852"/>
      <c r="UBG22" s="1852"/>
      <c r="UBJ22" s="1852"/>
      <c r="UBM22" s="1852"/>
      <c r="UBP22" s="1852"/>
      <c r="UBS22" s="1852"/>
      <c r="UBV22" s="1852"/>
      <c r="UBY22" s="1852"/>
      <c r="UCB22" s="1852"/>
      <c r="UCE22" s="1852"/>
      <c r="UCH22" s="1852"/>
      <c r="UCK22" s="1852"/>
      <c r="UCN22" s="1852"/>
      <c r="UCQ22" s="1852"/>
      <c r="UCT22" s="1852"/>
      <c r="UCW22" s="1852"/>
      <c r="UCZ22" s="1852"/>
      <c r="UDC22" s="1852"/>
      <c r="UDF22" s="1852"/>
      <c r="UDI22" s="1852"/>
      <c r="UDL22" s="1852"/>
      <c r="UDO22" s="1852"/>
      <c r="UDR22" s="1852"/>
      <c r="UDU22" s="1852"/>
      <c r="UDX22" s="1852"/>
      <c r="UEA22" s="1852"/>
      <c r="UED22" s="1852"/>
      <c r="UEG22" s="1852"/>
      <c r="UEJ22" s="1852"/>
      <c r="UEM22" s="1852"/>
      <c r="UEP22" s="1852"/>
      <c r="UES22" s="1852"/>
      <c r="UEV22" s="1852"/>
      <c r="UEY22" s="1852"/>
      <c r="UFB22" s="1852"/>
      <c r="UFE22" s="1852"/>
      <c r="UFH22" s="1852"/>
      <c r="UFK22" s="1852"/>
      <c r="UFN22" s="1852"/>
      <c r="UFQ22" s="1852"/>
      <c r="UFT22" s="1852"/>
      <c r="UFW22" s="1852"/>
      <c r="UFZ22" s="1852"/>
      <c r="UGC22" s="1852"/>
      <c r="UGF22" s="1852"/>
      <c r="UGI22" s="1852"/>
      <c r="UGL22" s="1852"/>
      <c r="UGO22" s="1852"/>
      <c r="UGR22" s="1852"/>
      <c r="UGU22" s="1852"/>
      <c r="UGX22" s="1852"/>
      <c r="UHA22" s="1852"/>
      <c r="UHD22" s="1852"/>
      <c r="UHG22" s="1852"/>
      <c r="UHJ22" s="1852"/>
      <c r="UHM22" s="1852"/>
      <c r="UHP22" s="1852"/>
      <c r="UHS22" s="1852"/>
      <c r="UHV22" s="1852"/>
      <c r="UHY22" s="1852"/>
      <c r="UIB22" s="1852"/>
      <c r="UIE22" s="1852"/>
      <c r="UIH22" s="1852"/>
      <c r="UIK22" s="1852"/>
      <c r="UIN22" s="1852"/>
      <c r="UIQ22" s="1852"/>
      <c r="UIT22" s="1852"/>
      <c r="UIW22" s="1852"/>
      <c r="UIZ22" s="1852"/>
      <c r="UJC22" s="1852"/>
      <c r="UJF22" s="1852"/>
      <c r="UJI22" s="1852"/>
      <c r="UJL22" s="1852"/>
      <c r="UJO22" s="1852"/>
      <c r="UJR22" s="1852"/>
      <c r="UJU22" s="1852"/>
      <c r="UJX22" s="1852"/>
      <c r="UKA22" s="1852"/>
      <c r="UKD22" s="1852"/>
      <c r="UKG22" s="1852"/>
      <c r="UKJ22" s="1852"/>
      <c r="UKM22" s="1852"/>
      <c r="UKP22" s="1852"/>
      <c r="UKS22" s="1852"/>
      <c r="UKV22" s="1852"/>
      <c r="UKY22" s="1852"/>
      <c r="ULB22" s="1852"/>
      <c r="ULE22" s="1852"/>
      <c r="ULH22" s="1852"/>
      <c r="ULK22" s="1852"/>
      <c r="ULN22" s="1852"/>
      <c r="ULQ22" s="1852"/>
      <c r="ULT22" s="1852"/>
      <c r="ULW22" s="1852"/>
      <c r="ULZ22" s="1852"/>
      <c r="UMC22" s="1852"/>
      <c r="UMF22" s="1852"/>
      <c r="UMI22" s="1852"/>
      <c r="UML22" s="1852"/>
      <c r="UMO22" s="1852"/>
      <c r="UMR22" s="1852"/>
      <c r="UMU22" s="1852"/>
      <c r="UMX22" s="1852"/>
      <c r="UNA22" s="1852"/>
      <c r="UND22" s="1852"/>
      <c r="UNG22" s="1852"/>
      <c r="UNJ22" s="1852"/>
      <c r="UNM22" s="1852"/>
      <c r="UNP22" s="1852"/>
      <c r="UNS22" s="1852"/>
      <c r="UNV22" s="1852"/>
      <c r="UNY22" s="1852"/>
      <c r="UOB22" s="1852"/>
      <c r="UOE22" s="1852"/>
      <c r="UOH22" s="1852"/>
      <c r="UOK22" s="1852"/>
      <c r="UON22" s="1852"/>
      <c r="UOQ22" s="1852"/>
      <c r="UOT22" s="1852"/>
      <c r="UOW22" s="1852"/>
      <c r="UOZ22" s="1852"/>
      <c r="UPC22" s="1852"/>
      <c r="UPF22" s="1852"/>
      <c r="UPI22" s="1852"/>
      <c r="UPL22" s="1852"/>
      <c r="UPO22" s="1852"/>
      <c r="UPR22" s="1852"/>
      <c r="UPU22" s="1852"/>
      <c r="UPX22" s="1852"/>
      <c r="UQA22" s="1852"/>
      <c r="UQD22" s="1852"/>
      <c r="UQG22" s="1852"/>
      <c r="UQJ22" s="1852"/>
      <c r="UQM22" s="1852"/>
      <c r="UQP22" s="1852"/>
      <c r="UQS22" s="1852"/>
      <c r="UQV22" s="1852"/>
      <c r="UQY22" s="1852"/>
      <c r="URB22" s="1852"/>
      <c r="URE22" s="1852"/>
      <c r="URH22" s="1852"/>
      <c r="URK22" s="1852"/>
      <c r="URN22" s="1852"/>
      <c r="URQ22" s="1852"/>
      <c r="URT22" s="1852"/>
      <c r="URW22" s="1852"/>
      <c r="URZ22" s="1852"/>
      <c r="USC22" s="1852"/>
      <c r="USF22" s="1852"/>
      <c r="USI22" s="1852"/>
      <c r="USL22" s="1852"/>
      <c r="USO22" s="1852"/>
      <c r="USR22" s="1852"/>
      <c r="USU22" s="1852"/>
      <c r="USX22" s="1852"/>
      <c r="UTA22" s="1852"/>
      <c r="UTD22" s="1852"/>
      <c r="UTG22" s="1852"/>
      <c r="UTJ22" s="1852"/>
      <c r="UTM22" s="1852"/>
      <c r="UTP22" s="1852"/>
      <c r="UTS22" s="1852"/>
      <c r="UTV22" s="1852"/>
      <c r="UTY22" s="1852"/>
      <c r="UUB22" s="1852"/>
      <c r="UUE22" s="1852"/>
      <c r="UUH22" s="1852"/>
      <c r="UUK22" s="1852"/>
      <c r="UUN22" s="1852"/>
      <c r="UUQ22" s="1852"/>
      <c r="UUT22" s="1852"/>
      <c r="UUW22" s="1852"/>
      <c r="UUZ22" s="1852"/>
      <c r="UVC22" s="1852"/>
      <c r="UVF22" s="1852"/>
      <c r="UVI22" s="1852"/>
      <c r="UVL22" s="1852"/>
      <c r="UVO22" s="1852"/>
      <c r="UVR22" s="1852"/>
      <c r="UVU22" s="1852"/>
      <c r="UVX22" s="1852"/>
      <c r="UWA22" s="1852"/>
      <c r="UWD22" s="1852"/>
      <c r="UWG22" s="1852"/>
      <c r="UWJ22" s="1852"/>
      <c r="UWM22" s="1852"/>
      <c r="UWP22" s="1852"/>
      <c r="UWS22" s="1852"/>
      <c r="UWV22" s="1852"/>
      <c r="UWY22" s="1852"/>
      <c r="UXB22" s="1852"/>
      <c r="UXE22" s="1852"/>
      <c r="UXH22" s="1852"/>
      <c r="UXK22" s="1852"/>
      <c r="UXN22" s="1852"/>
      <c r="UXQ22" s="1852"/>
      <c r="UXT22" s="1852"/>
      <c r="UXW22" s="1852"/>
      <c r="UXZ22" s="1852"/>
      <c r="UYC22" s="1852"/>
      <c r="UYF22" s="1852"/>
      <c r="UYI22" s="1852"/>
      <c r="UYL22" s="1852"/>
      <c r="UYO22" s="1852"/>
      <c r="UYR22" s="1852"/>
      <c r="UYU22" s="1852"/>
      <c r="UYX22" s="1852"/>
      <c r="UZA22" s="1852"/>
      <c r="UZD22" s="1852"/>
      <c r="UZG22" s="1852"/>
      <c r="UZJ22" s="1852"/>
      <c r="UZM22" s="1852"/>
      <c r="UZP22" s="1852"/>
      <c r="UZS22" s="1852"/>
      <c r="UZV22" s="1852"/>
      <c r="UZY22" s="1852"/>
      <c r="VAB22" s="1852"/>
      <c r="VAE22" s="1852"/>
      <c r="VAH22" s="1852"/>
      <c r="VAK22" s="1852"/>
      <c r="VAN22" s="1852"/>
      <c r="VAQ22" s="1852"/>
      <c r="VAT22" s="1852"/>
      <c r="VAW22" s="1852"/>
      <c r="VAZ22" s="1852"/>
      <c r="VBC22" s="1852"/>
      <c r="VBF22" s="1852"/>
      <c r="VBI22" s="1852"/>
      <c r="VBL22" s="1852"/>
      <c r="VBO22" s="1852"/>
      <c r="VBR22" s="1852"/>
      <c r="VBU22" s="1852"/>
      <c r="VBX22" s="1852"/>
      <c r="VCA22" s="1852"/>
      <c r="VCD22" s="1852"/>
      <c r="VCG22" s="1852"/>
      <c r="VCJ22" s="1852"/>
      <c r="VCM22" s="1852"/>
      <c r="VCP22" s="1852"/>
      <c r="VCS22" s="1852"/>
      <c r="VCV22" s="1852"/>
      <c r="VCY22" s="1852"/>
      <c r="VDB22" s="1852"/>
      <c r="VDE22" s="1852"/>
      <c r="VDH22" s="1852"/>
      <c r="VDK22" s="1852"/>
      <c r="VDN22" s="1852"/>
      <c r="VDQ22" s="1852"/>
      <c r="VDT22" s="1852"/>
      <c r="VDW22" s="1852"/>
      <c r="VDZ22" s="1852"/>
      <c r="VEC22" s="1852"/>
      <c r="VEF22" s="1852"/>
      <c r="VEI22" s="1852"/>
      <c r="VEL22" s="1852"/>
      <c r="VEO22" s="1852"/>
      <c r="VER22" s="1852"/>
      <c r="VEU22" s="1852"/>
      <c r="VEX22" s="1852"/>
      <c r="VFA22" s="1852"/>
      <c r="VFD22" s="1852"/>
      <c r="VFG22" s="1852"/>
      <c r="VFJ22" s="1852"/>
      <c r="VFM22" s="1852"/>
      <c r="VFP22" s="1852"/>
      <c r="VFS22" s="1852"/>
      <c r="VFV22" s="1852"/>
      <c r="VFY22" s="1852"/>
      <c r="VGB22" s="1852"/>
      <c r="VGE22" s="1852"/>
      <c r="VGH22" s="1852"/>
      <c r="VGK22" s="1852"/>
      <c r="VGN22" s="1852"/>
      <c r="VGQ22" s="1852"/>
      <c r="VGT22" s="1852"/>
      <c r="VGW22" s="1852"/>
      <c r="VGZ22" s="1852"/>
      <c r="VHC22" s="1852"/>
      <c r="VHF22" s="1852"/>
      <c r="VHI22" s="1852"/>
      <c r="VHL22" s="1852"/>
      <c r="VHO22" s="1852"/>
      <c r="VHR22" s="1852"/>
      <c r="VHU22" s="1852"/>
      <c r="VHX22" s="1852"/>
      <c r="VIA22" s="1852"/>
      <c r="VID22" s="1852"/>
      <c r="VIG22" s="1852"/>
      <c r="VIJ22" s="1852"/>
      <c r="VIM22" s="1852"/>
      <c r="VIP22" s="1852"/>
      <c r="VIS22" s="1852"/>
      <c r="VIV22" s="1852"/>
      <c r="VIY22" s="1852"/>
      <c r="VJB22" s="1852"/>
      <c r="VJE22" s="1852"/>
      <c r="VJH22" s="1852"/>
      <c r="VJK22" s="1852"/>
      <c r="VJN22" s="1852"/>
      <c r="VJQ22" s="1852"/>
      <c r="VJT22" s="1852"/>
      <c r="VJW22" s="1852"/>
      <c r="VJZ22" s="1852"/>
      <c r="VKC22" s="1852"/>
      <c r="VKF22" s="1852"/>
      <c r="VKI22" s="1852"/>
      <c r="VKL22" s="1852"/>
      <c r="VKO22" s="1852"/>
      <c r="VKR22" s="1852"/>
      <c r="VKU22" s="1852"/>
      <c r="VKX22" s="1852"/>
      <c r="VLA22" s="1852"/>
      <c r="VLD22" s="1852"/>
      <c r="VLG22" s="1852"/>
      <c r="VLJ22" s="1852"/>
      <c r="VLM22" s="1852"/>
      <c r="VLP22" s="1852"/>
      <c r="VLS22" s="1852"/>
      <c r="VLV22" s="1852"/>
      <c r="VLY22" s="1852"/>
      <c r="VMB22" s="1852"/>
      <c r="VME22" s="1852"/>
      <c r="VMH22" s="1852"/>
      <c r="VMK22" s="1852"/>
      <c r="VMN22" s="1852"/>
      <c r="VMQ22" s="1852"/>
      <c r="VMT22" s="1852"/>
      <c r="VMW22" s="1852"/>
      <c r="VMZ22" s="1852"/>
      <c r="VNC22" s="1852"/>
      <c r="VNF22" s="1852"/>
      <c r="VNI22" s="1852"/>
      <c r="VNL22" s="1852"/>
      <c r="VNO22" s="1852"/>
      <c r="VNR22" s="1852"/>
      <c r="VNU22" s="1852"/>
      <c r="VNX22" s="1852"/>
      <c r="VOA22" s="1852"/>
      <c r="VOD22" s="1852"/>
      <c r="VOG22" s="1852"/>
      <c r="VOJ22" s="1852"/>
      <c r="VOM22" s="1852"/>
      <c r="VOP22" s="1852"/>
      <c r="VOS22" s="1852"/>
      <c r="VOV22" s="1852"/>
      <c r="VOY22" s="1852"/>
      <c r="VPB22" s="1852"/>
      <c r="VPE22" s="1852"/>
      <c r="VPH22" s="1852"/>
      <c r="VPK22" s="1852"/>
      <c r="VPN22" s="1852"/>
      <c r="VPQ22" s="1852"/>
      <c r="VPT22" s="1852"/>
      <c r="VPW22" s="1852"/>
      <c r="VPZ22" s="1852"/>
      <c r="VQC22" s="1852"/>
      <c r="VQF22" s="1852"/>
      <c r="VQI22" s="1852"/>
      <c r="VQL22" s="1852"/>
      <c r="VQO22" s="1852"/>
      <c r="VQR22" s="1852"/>
      <c r="VQU22" s="1852"/>
      <c r="VQX22" s="1852"/>
      <c r="VRA22" s="1852"/>
      <c r="VRD22" s="1852"/>
      <c r="VRG22" s="1852"/>
      <c r="VRJ22" s="1852"/>
      <c r="VRM22" s="1852"/>
      <c r="VRP22" s="1852"/>
      <c r="VRS22" s="1852"/>
      <c r="VRV22" s="1852"/>
      <c r="VRY22" s="1852"/>
      <c r="VSB22" s="1852"/>
      <c r="VSE22" s="1852"/>
      <c r="VSH22" s="1852"/>
      <c r="VSK22" s="1852"/>
      <c r="VSN22" s="1852"/>
      <c r="VSQ22" s="1852"/>
      <c r="VST22" s="1852"/>
      <c r="VSW22" s="1852"/>
      <c r="VSZ22" s="1852"/>
      <c r="VTC22" s="1852"/>
      <c r="VTF22" s="1852"/>
      <c r="VTI22" s="1852"/>
      <c r="VTL22" s="1852"/>
      <c r="VTO22" s="1852"/>
      <c r="VTR22" s="1852"/>
      <c r="VTU22" s="1852"/>
      <c r="VTX22" s="1852"/>
      <c r="VUA22" s="1852"/>
      <c r="VUD22" s="1852"/>
      <c r="VUG22" s="1852"/>
      <c r="VUJ22" s="1852"/>
      <c r="VUM22" s="1852"/>
      <c r="VUP22" s="1852"/>
      <c r="VUS22" s="1852"/>
      <c r="VUV22" s="1852"/>
      <c r="VUY22" s="1852"/>
      <c r="VVB22" s="1852"/>
      <c r="VVE22" s="1852"/>
      <c r="VVH22" s="1852"/>
      <c r="VVK22" s="1852"/>
      <c r="VVN22" s="1852"/>
      <c r="VVQ22" s="1852"/>
      <c r="VVT22" s="1852"/>
      <c r="VVW22" s="1852"/>
      <c r="VVZ22" s="1852"/>
      <c r="VWC22" s="1852"/>
      <c r="VWF22" s="1852"/>
      <c r="VWI22" s="1852"/>
      <c r="VWL22" s="1852"/>
      <c r="VWO22" s="1852"/>
      <c r="VWR22" s="1852"/>
      <c r="VWU22" s="1852"/>
      <c r="VWX22" s="1852"/>
      <c r="VXA22" s="1852"/>
      <c r="VXD22" s="1852"/>
      <c r="VXG22" s="1852"/>
      <c r="VXJ22" s="1852"/>
      <c r="VXM22" s="1852"/>
      <c r="VXP22" s="1852"/>
      <c r="VXS22" s="1852"/>
      <c r="VXV22" s="1852"/>
      <c r="VXY22" s="1852"/>
      <c r="VYB22" s="1852"/>
      <c r="VYE22" s="1852"/>
      <c r="VYH22" s="1852"/>
      <c r="VYK22" s="1852"/>
      <c r="VYN22" s="1852"/>
      <c r="VYQ22" s="1852"/>
      <c r="VYT22" s="1852"/>
      <c r="VYW22" s="1852"/>
      <c r="VYZ22" s="1852"/>
      <c r="VZC22" s="1852"/>
      <c r="VZF22" s="1852"/>
      <c r="VZI22" s="1852"/>
      <c r="VZL22" s="1852"/>
      <c r="VZO22" s="1852"/>
      <c r="VZR22" s="1852"/>
      <c r="VZU22" s="1852"/>
      <c r="VZX22" s="1852"/>
      <c r="WAA22" s="1852"/>
      <c r="WAD22" s="1852"/>
      <c r="WAG22" s="1852"/>
      <c r="WAJ22" s="1852"/>
      <c r="WAM22" s="1852"/>
      <c r="WAP22" s="1852"/>
      <c r="WAS22" s="1852"/>
      <c r="WAV22" s="1852"/>
      <c r="WAY22" s="1852"/>
      <c r="WBB22" s="1852"/>
      <c r="WBE22" s="1852"/>
      <c r="WBH22" s="1852"/>
      <c r="WBK22" s="1852"/>
      <c r="WBN22" s="1852"/>
      <c r="WBQ22" s="1852"/>
      <c r="WBT22" s="1852"/>
      <c r="WBW22" s="1852"/>
      <c r="WBZ22" s="1852"/>
      <c r="WCC22" s="1852"/>
      <c r="WCF22" s="1852"/>
      <c r="WCI22" s="1852"/>
      <c r="WCL22" s="1852"/>
      <c r="WCO22" s="1852"/>
      <c r="WCR22" s="1852"/>
      <c r="WCU22" s="1852"/>
      <c r="WCX22" s="1852"/>
      <c r="WDA22" s="1852"/>
      <c r="WDD22" s="1852"/>
      <c r="WDG22" s="1852"/>
      <c r="WDJ22" s="1852"/>
      <c r="WDM22" s="1852"/>
      <c r="WDP22" s="1852"/>
      <c r="WDS22" s="1852"/>
      <c r="WDV22" s="1852"/>
      <c r="WDY22" s="1852"/>
      <c r="WEB22" s="1852"/>
      <c r="WEE22" s="1852"/>
      <c r="WEH22" s="1852"/>
      <c r="WEK22" s="1852"/>
      <c r="WEN22" s="1852"/>
      <c r="WEQ22" s="1852"/>
      <c r="WET22" s="1852"/>
      <c r="WEW22" s="1852"/>
      <c r="WEZ22" s="1852"/>
      <c r="WFC22" s="1852"/>
      <c r="WFF22" s="1852"/>
      <c r="WFI22" s="1852"/>
      <c r="WFL22" s="1852"/>
      <c r="WFO22" s="1852"/>
      <c r="WFR22" s="1852"/>
      <c r="WFU22" s="1852"/>
      <c r="WFX22" s="1852"/>
      <c r="WGA22" s="1852"/>
      <c r="WGD22" s="1852"/>
      <c r="WGG22" s="1852"/>
      <c r="WGJ22" s="1852"/>
      <c r="WGM22" s="1852"/>
      <c r="WGP22" s="1852"/>
      <c r="WGS22" s="1852"/>
      <c r="WGV22" s="1852"/>
      <c r="WGY22" s="1852"/>
      <c r="WHB22" s="1852"/>
      <c r="WHE22" s="1852"/>
      <c r="WHH22" s="1852"/>
      <c r="WHK22" s="1852"/>
      <c r="WHN22" s="1852"/>
      <c r="WHQ22" s="1852"/>
      <c r="WHT22" s="1852"/>
      <c r="WHW22" s="1852"/>
      <c r="WHZ22" s="1852"/>
      <c r="WIC22" s="1852"/>
      <c r="WIF22" s="1852"/>
      <c r="WII22" s="1852"/>
      <c r="WIL22" s="1852"/>
      <c r="WIO22" s="1852"/>
      <c r="WIR22" s="1852"/>
      <c r="WIU22" s="1852"/>
      <c r="WIX22" s="1852"/>
      <c r="WJA22" s="1852"/>
      <c r="WJD22" s="1852"/>
      <c r="WJG22" s="1852"/>
      <c r="WJJ22" s="1852"/>
      <c r="WJM22" s="1852"/>
      <c r="WJP22" s="1852"/>
      <c r="WJS22" s="1852"/>
      <c r="WJV22" s="1852"/>
      <c r="WJY22" s="1852"/>
      <c r="WKB22" s="1852"/>
      <c r="WKE22" s="1852"/>
      <c r="WKH22" s="1852"/>
      <c r="WKK22" s="1852"/>
      <c r="WKN22" s="1852"/>
      <c r="WKQ22" s="1852"/>
      <c r="WKT22" s="1852"/>
      <c r="WKW22" s="1852"/>
      <c r="WKZ22" s="1852"/>
      <c r="WLC22" s="1852"/>
      <c r="WLF22" s="1852"/>
      <c r="WLI22" s="1852"/>
      <c r="WLL22" s="1852"/>
      <c r="WLO22" s="1852"/>
      <c r="WLR22" s="1852"/>
      <c r="WLU22" s="1852"/>
      <c r="WLX22" s="1852"/>
      <c r="WMA22" s="1852"/>
      <c r="WMD22" s="1852"/>
      <c r="WMG22" s="1852"/>
      <c r="WMJ22" s="1852"/>
      <c r="WMM22" s="1852"/>
      <c r="WMP22" s="1852"/>
      <c r="WMS22" s="1852"/>
      <c r="WMV22" s="1852"/>
      <c r="WMY22" s="1852"/>
      <c r="WNB22" s="1852"/>
      <c r="WNE22" s="1852"/>
      <c r="WNH22" s="1852"/>
      <c r="WNK22" s="1852"/>
      <c r="WNN22" s="1852"/>
      <c r="WNQ22" s="1852"/>
      <c r="WNT22" s="1852"/>
      <c r="WNW22" s="1852"/>
      <c r="WNZ22" s="1852"/>
      <c r="WOC22" s="1852"/>
      <c r="WOF22" s="1852"/>
      <c r="WOI22" s="1852"/>
      <c r="WOL22" s="1852"/>
      <c r="WOO22" s="1852"/>
      <c r="WOR22" s="1852"/>
      <c r="WOU22" s="1852"/>
      <c r="WOX22" s="1852"/>
      <c r="WPA22" s="1852"/>
      <c r="WPD22" s="1852"/>
      <c r="WPG22" s="1852"/>
      <c r="WPJ22" s="1852"/>
      <c r="WPM22" s="1852"/>
      <c r="WPP22" s="1852"/>
      <c r="WPS22" s="1852"/>
      <c r="WPV22" s="1852"/>
      <c r="WPY22" s="1852"/>
      <c r="WQB22" s="1852"/>
      <c r="WQE22" s="1852"/>
      <c r="WQH22" s="1852"/>
      <c r="WQK22" s="1852"/>
      <c r="WQN22" s="1852"/>
      <c r="WQQ22" s="1852"/>
      <c r="WQT22" s="1852"/>
      <c r="WQW22" s="1852"/>
      <c r="WQZ22" s="1852"/>
      <c r="WRC22" s="1852"/>
      <c r="WRF22" s="1852"/>
      <c r="WRI22" s="1852"/>
      <c r="WRL22" s="1852"/>
      <c r="WRO22" s="1852"/>
      <c r="WRR22" s="1852"/>
      <c r="WRU22" s="1852"/>
      <c r="WRX22" s="1852"/>
      <c r="WSA22" s="1852"/>
      <c r="WSD22" s="1852"/>
      <c r="WSG22" s="1852"/>
      <c r="WSJ22" s="1852"/>
      <c r="WSM22" s="1852"/>
      <c r="WSP22" s="1852"/>
      <c r="WSS22" s="1852"/>
      <c r="WSV22" s="1852"/>
      <c r="WSY22" s="1852"/>
      <c r="WTB22" s="1852"/>
      <c r="WTE22" s="1852"/>
      <c r="WTH22" s="1852"/>
      <c r="WTK22" s="1852"/>
      <c r="WTN22" s="1852"/>
      <c r="WTQ22" s="1852"/>
      <c r="WTT22" s="1852"/>
      <c r="WTW22" s="1852"/>
      <c r="WTZ22" s="1852"/>
      <c r="WUC22" s="1852"/>
      <c r="WUF22" s="1852"/>
      <c r="WUI22" s="1852"/>
      <c r="WUL22" s="1852"/>
      <c r="WUO22" s="1852"/>
      <c r="WUR22" s="1852"/>
      <c r="WUU22" s="1852"/>
      <c r="WUX22" s="1852"/>
      <c r="WVA22" s="1852"/>
      <c r="WVD22" s="1852"/>
      <c r="WVG22" s="1852"/>
      <c r="WVJ22" s="1852"/>
      <c r="WVM22" s="1852"/>
      <c r="WVP22" s="1852"/>
      <c r="WVS22" s="1852"/>
      <c r="WVV22" s="1852"/>
      <c r="WVY22" s="1852"/>
      <c r="WWB22" s="1852"/>
      <c r="WWE22" s="1852"/>
      <c r="WWH22" s="1852"/>
      <c r="WWK22" s="1852"/>
      <c r="WWN22" s="1852"/>
      <c r="WWQ22" s="1852"/>
      <c r="WWT22" s="1852"/>
      <c r="WWW22" s="1852"/>
      <c r="WWZ22" s="1852"/>
      <c r="WXC22" s="1852"/>
      <c r="WXF22" s="1852"/>
      <c r="WXI22" s="1852"/>
      <c r="WXL22" s="1852"/>
      <c r="WXO22" s="1852"/>
      <c r="WXR22" s="1852"/>
      <c r="WXU22" s="1852"/>
      <c r="WXX22" s="1852"/>
      <c r="WYA22" s="1852"/>
      <c r="WYD22" s="1852"/>
      <c r="WYG22" s="1852"/>
      <c r="WYJ22" s="1852"/>
      <c r="WYM22" s="1852"/>
      <c r="WYP22" s="1852"/>
      <c r="WYS22" s="1852"/>
      <c r="WYV22" s="1852"/>
      <c r="WYY22" s="1852"/>
      <c r="WZB22" s="1852"/>
      <c r="WZE22" s="1852"/>
      <c r="WZH22" s="1852"/>
      <c r="WZK22" s="1852"/>
      <c r="WZN22" s="1852"/>
      <c r="WZQ22" s="1852"/>
      <c r="WZT22" s="1852"/>
      <c r="WZW22" s="1852"/>
      <c r="WZZ22" s="1852"/>
      <c r="XAC22" s="1852"/>
      <c r="XAF22" s="1852"/>
      <c r="XAI22" s="1852"/>
      <c r="XAL22" s="1852"/>
      <c r="XAO22" s="1852"/>
      <c r="XAR22" s="1852"/>
      <c r="XAU22" s="1852"/>
      <c r="XAX22" s="1852"/>
      <c r="XBA22" s="1852"/>
      <c r="XBD22" s="1852"/>
      <c r="XBG22" s="1852"/>
      <c r="XBJ22" s="1852"/>
      <c r="XBM22" s="1852"/>
      <c r="XBP22" s="1852"/>
      <c r="XBS22" s="1852"/>
      <c r="XBV22" s="1852"/>
      <c r="XBY22" s="1852"/>
      <c r="XCB22" s="1852"/>
      <c r="XCE22" s="1852"/>
      <c r="XCH22" s="1852"/>
      <c r="XCK22" s="1852"/>
      <c r="XCN22" s="1852"/>
      <c r="XCQ22" s="1852"/>
      <c r="XCT22" s="1852"/>
      <c r="XCW22" s="1852"/>
      <c r="XCZ22" s="1852"/>
      <c r="XDC22" s="1852"/>
      <c r="XDF22" s="1852"/>
      <c r="XDI22" s="1852"/>
      <c r="XDL22" s="1852"/>
      <c r="XDO22" s="1852"/>
      <c r="XDR22" s="1852"/>
      <c r="XDU22" s="1852"/>
      <c r="XDX22" s="1852"/>
      <c r="XEA22" s="1852"/>
      <c r="XED22" s="1852"/>
      <c r="XEG22" s="1852"/>
      <c r="XEJ22" s="1852"/>
      <c r="XEM22" s="1852"/>
      <c r="XEP22" s="1852"/>
      <c r="XES22" s="1852"/>
      <c r="XEV22" s="1852"/>
      <c r="XEY22" s="1852"/>
      <c r="XFB22" s="1852"/>
    </row>
    <row r="23" spans="1:16384" s="1851" customFormat="1" x14ac:dyDescent="0.3">
      <c r="A23" s="2824" t="s">
        <v>2559</v>
      </c>
      <c r="B23" s="2825"/>
      <c r="C23" s="2826"/>
      <c r="D23" s="1852"/>
      <c r="E23" s="1852"/>
      <c r="F23" s="1852"/>
      <c r="G23" s="1852"/>
      <c r="H23" s="1852"/>
      <c r="I23" s="1852"/>
      <c r="J23" s="1852"/>
      <c r="K23" s="1852"/>
      <c r="L23" s="1852"/>
      <c r="M23" s="1852"/>
      <c r="N23" s="1852"/>
      <c r="O23" s="1852"/>
      <c r="P23" s="1852"/>
      <c r="Q23" s="1852"/>
      <c r="T23" s="1852"/>
      <c r="W23" s="1852"/>
      <c r="Z23" s="1852"/>
      <c r="AC23" s="1852"/>
      <c r="AF23" s="1852"/>
      <c r="AI23" s="1852"/>
      <c r="AL23" s="1852"/>
      <c r="AO23" s="1852"/>
      <c r="AR23" s="1852"/>
      <c r="AU23" s="1852"/>
      <c r="AX23" s="1852"/>
      <c r="BA23" s="1852"/>
      <c r="BD23" s="1852"/>
      <c r="BG23" s="1852"/>
      <c r="BJ23" s="1852"/>
      <c r="BM23" s="1852"/>
      <c r="BP23" s="1852"/>
      <c r="BS23" s="1852"/>
      <c r="BV23" s="1852"/>
      <c r="BY23" s="1852"/>
      <c r="CB23" s="1852"/>
      <c r="CE23" s="1852"/>
      <c r="CH23" s="1852"/>
      <c r="CK23" s="1852"/>
      <c r="CN23" s="1852"/>
      <c r="CQ23" s="1852"/>
      <c r="CT23" s="1852"/>
      <c r="CW23" s="1852"/>
      <c r="CZ23" s="1852"/>
      <c r="DC23" s="1852"/>
      <c r="DF23" s="1852"/>
      <c r="DI23" s="1852"/>
      <c r="DL23" s="1852"/>
      <c r="DO23" s="1852"/>
      <c r="DR23" s="1852"/>
      <c r="DU23" s="1852"/>
      <c r="DX23" s="1852"/>
      <c r="EA23" s="1852"/>
      <c r="ED23" s="1852"/>
      <c r="EG23" s="1852"/>
      <c r="EJ23" s="1852"/>
      <c r="EM23" s="1852"/>
      <c r="EP23" s="1852"/>
      <c r="ES23" s="1852"/>
      <c r="EV23" s="1852"/>
      <c r="EY23" s="1852"/>
      <c r="FB23" s="1852"/>
      <c r="FE23" s="1852"/>
      <c r="FH23" s="1852"/>
      <c r="FK23" s="1852"/>
      <c r="FN23" s="1852"/>
      <c r="FQ23" s="1852"/>
      <c r="FT23" s="1852"/>
      <c r="FW23" s="1852"/>
      <c r="FZ23" s="1852"/>
      <c r="GC23" s="1852"/>
      <c r="GF23" s="1852"/>
      <c r="GI23" s="1852"/>
      <c r="GL23" s="1852"/>
      <c r="GO23" s="1852"/>
      <c r="GR23" s="1852"/>
      <c r="GU23" s="1852"/>
      <c r="GX23" s="1852"/>
      <c r="HA23" s="1852"/>
      <c r="HD23" s="1852"/>
      <c r="HG23" s="1852"/>
      <c r="HJ23" s="1852"/>
      <c r="HM23" s="1852"/>
      <c r="HP23" s="1852"/>
      <c r="HS23" s="1852"/>
      <c r="HV23" s="1852"/>
      <c r="HY23" s="1852"/>
      <c r="IB23" s="1852"/>
      <c r="IE23" s="1852"/>
      <c r="IH23" s="1852"/>
      <c r="IK23" s="1852"/>
      <c r="IN23" s="1852"/>
      <c r="IQ23" s="1852"/>
      <c r="IT23" s="1852"/>
      <c r="IW23" s="1852"/>
      <c r="IZ23" s="1852"/>
      <c r="JC23" s="1852"/>
      <c r="JF23" s="1852"/>
      <c r="JI23" s="1852"/>
      <c r="JL23" s="1852"/>
      <c r="JO23" s="1852"/>
      <c r="JR23" s="1852"/>
      <c r="JU23" s="1852"/>
      <c r="JX23" s="1852"/>
      <c r="KA23" s="1852"/>
      <c r="KD23" s="1852"/>
      <c r="KG23" s="1852"/>
      <c r="KJ23" s="1852"/>
      <c r="KM23" s="1852"/>
      <c r="KP23" s="1852"/>
      <c r="KS23" s="1852"/>
      <c r="KV23" s="1852"/>
      <c r="KY23" s="1852"/>
      <c r="LB23" s="1852"/>
      <c r="LE23" s="1852"/>
      <c r="LH23" s="1852"/>
      <c r="LK23" s="1852"/>
      <c r="LN23" s="1852"/>
      <c r="LQ23" s="1852"/>
      <c r="LT23" s="1852"/>
      <c r="LW23" s="1852"/>
      <c r="LZ23" s="1852"/>
      <c r="MC23" s="1852"/>
      <c r="MF23" s="1852"/>
      <c r="MI23" s="1852"/>
      <c r="ML23" s="1852"/>
      <c r="MO23" s="1852"/>
      <c r="MR23" s="1852"/>
      <c r="MU23" s="1852"/>
      <c r="MX23" s="1852"/>
      <c r="NA23" s="1852"/>
      <c r="ND23" s="1852"/>
      <c r="NG23" s="1852"/>
      <c r="NJ23" s="1852"/>
      <c r="NM23" s="1852"/>
      <c r="NP23" s="1852"/>
      <c r="NS23" s="1852"/>
      <c r="NV23" s="1852"/>
      <c r="NY23" s="1852"/>
      <c r="OB23" s="1852"/>
      <c r="OE23" s="1852"/>
      <c r="OH23" s="1852"/>
      <c r="OK23" s="1852"/>
      <c r="ON23" s="1852"/>
      <c r="OQ23" s="1852"/>
      <c r="OT23" s="1852"/>
      <c r="OW23" s="1852"/>
      <c r="OZ23" s="1852"/>
      <c r="PC23" s="1852"/>
      <c r="PF23" s="1852"/>
      <c r="PI23" s="1852"/>
      <c r="PL23" s="1852"/>
      <c r="PO23" s="1852"/>
      <c r="PR23" s="1852"/>
      <c r="PU23" s="1852"/>
      <c r="PX23" s="1852"/>
      <c r="QA23" s="1852"/>
      <c r="QD23" s="1852"/>
      <c r="QG23" s="1852"/>
      <c r="QJ23" s="1852"/>
      <c r="QM23" s="1852"/>
      <c r="QP23" s="1852"/>
      <c r="QS23" s="1852"/>
      <c r="QV23" s="1852"/>
      <c r="QY23" s="1852"/>
      <c r="RB23" s="1852"/>
      <c r="RE23" s="1852"/>
      <c r="RH23" s="1852"/>
      <c r="RK23" s="1852"/>
      <c r="RN23" s="1852"/>
      <c r="RQ23" s="1852"/>
      <c r="RT23" s="1852"/>
      <c r="RW23" s="1852"/>
      <c r="RZ23" s="1852"/>
      <c r="SC23" s="1852"/>
      <c r="SF23" s="1852"/>
      <c r="SI23" s="1852"/>
      <c r="SL23" s="1852"/>
      <c r="SO23" s="1852"/>
      <c r="SR23" s="1852"/>
      <c r="SU23" s="1852"/>
      <c r="SX23" s="1852"/>
      <c r="TA23" s="1852"/>
      <c r="TD23" s="1852"/>
      <c r="TG23" s="1852"/>
      <c r="TJ23" s="1852"/>
      <c r="TM23" s="1852"/>
      <c r="TP23" s="1852"/>
      <c r="TS23" s="1852"/>
      <c r="TV23" s="1852"/>
      <c r="TY23" s="1852"/>
      <c r="UB23" s="1852"/>
      <c r="UE23" s="1852"/>
      <c r="UH23" s="1852"/>
      <c r="UK23" s="1852"/>
      <c r="UN23" s="1852"/>
      <c r="UQ23" s="1852"/>
      <c r="UT23" s="1852"/>
      <c r="UW23" s="1852"/>
      <c r="UZ23" s="1852"/>
      <c r="VC23" s="1852"/>
      <c r="VF23" s="1852"/>
      <c r="VI23" s="1852"/>
      <c r="VL23" s="1852"/>
      <c r="VO23" s="1852"/>
      <c r="VR23" s="1852"/>
      <c r="VU23" s="1852"/>
      <c r="VX23" s="1852"/>
      <c r="WA23" s="1852"/>
      <c r="WD23" s="1852"/>
      <c r="WG23" s="1852"/>
      <c r="WJ23" s="1852"/>
      <c r="WM23" s="1852"/>
      <c r="WP23" s="1852"/>
      <c r="WS23" s="1852"/>
      <c r="WV23" s="1852"/>
      <c r="WY23" s="1852"/>
      <c r="XB23" s="1852"/>
      <c r="XE23" s="1852"/>
      <c r="XH23" s="1852"/>
      <c r="XK23" s="1852"/>
      <c r="XN23" s="1852"/>
      <c r="XQ23" s="1852"/>
      <c r="XT23" s="1852"/>
      <c r="XW23" s="1852"/>
      <c r="XZ23" s="1852"/>
      <c r="YC23" s="1852"/>
      <c r="YF23" s="1852"/>
      <c r="YI23" s="1852"/>
      <c r="YL23" s="1852"/>
      <c r="YO23" s="1852"/>
      <c r="YR23" s="1852"/>
      <c r="YU23" s="1852"/>
      <c r="YX23" s="1852"/>
      <c r="ZA23" s="1852"/>
      <c r="ZD23" s="1852"/>
      <c r="ZG23" s="1852"/>
      <c r="ZJ23" s="1852"/>
      <c r="ZM23" s="1852"/>
      <c r="ZP23" s="1852"/>
      <c r="ZS23" s="1852"/>
      <c r="ZV23" s="1852"/>
      <c r="ZY23" s="1852"/>
      <c r="AAB23" s="1852"/>
      <c r="AAE23" s="1852"/>
      <c r="AAH23" s="1852"/>
      <c r="AAK23" s="1852"/>
      <c r="AAN23" s="1852"/>
      <c r="AAQ23" s="1852"/>
      <c r="AAT23" s="1852"/>
      <c r="AAW23" s="1852"/>
      <c r="AAZ23" s="1852"/>
      <c r="ABC23" s="1852"/>
      <c r="ABF23" s="1852"/>
      <c r="ABI23" s="1852"/>
      <c r="ABL23" s="1852"/>
      <c r="ABO23" s="1852"/>
      <c r="ABR23" s="1852"/>
      <c r="ABU23" s="1852"/>
      <c r="ABX23" s="1852"/>
      <c r="ACA23" s="1852"/>
      <c r="ACD23" s="1852"/>
      <c r="ACG23" s="1852"/>
      <c r="ACJ23" s="1852"/>
      <c r="ACM23" s="1852"/>
      <c r="ACP23" s="1852"/>
      <c r="ACS23" s="1852"/>
      <c r="ACV23" s="1852"/>
      <c r="ACY23" s="1852"/>
      <c r="ADB23" s="1852"/>
      <c r="ADE23" s="1852"/>
      <c r="ADH23" s="1852"/>
      <c r="ADK23" s="1852"/>
      <c r="ADN23" s="1852"/>
      <c r="ADQ23" s="1852"/>
      <c r="ADT23" s="1852"/>
      <c r="ADW23" s="1852"/>
      <c r="ADZ23" s="1852"/>
      <c r="AEC23" s="1852"/>
      <c r="AEF23" s="1852"/>
      <c r="AEI23" s="1852"/>
      <c r="AEL23" s="1852"/>
      <c r="AEO23" s="1852"/>
      <c r="AER23" s="1852"/>
      <c r="AEU23" s="1852"/>
      <c r="AEX23" s="1852"/>
      <c r="AFA23" s="1852"/>
      <c r="AFD23" s="1852"/>
      <c r="AFG23" s="1852"/>
      <c r="AFJ23" s="1852"/>
      <c r="AFM23" s="1852"/>
      <c r="AFP23" s="1852"/>
      <c r="AFS23" s="1852"/>
      <c r="AFV23" s="1852"/>
      <c r="AFY23" s="1852"/>
      <c r="AGB23" s="1852"/>
      <c r="AGE23" s="1852"/>
      <c r="AGH23" s="1852"/>
      <c r="AGK23" s="1852"/>
      <c r="AGN23" s="1852"/>
      <c r="AGQ23" s="1852"/>
      <c r="AGT23" s="1852"/>
      <c r="AGW23" s="1852"/>
      <c r="AGZ23" s="1852"/>
      <c r="AHC23" s="1852"/>
      <c r="AHF23" s="1852"/>
      <c r="AHI23" s="1852"/>
      <c r="AHL23" s="1852"/>
      <c r="AHO23" s="1852"/>
      <c r="AHR23" s="1852"/>
      <c r="AHU23" s="1852"/>
      <c r="AHX23" s="1852"/>
      <c r="AIA23" s="1852"/>
      <c r="AID23" s="1852"/>
      <c r="AIG23" s="1852"/>
      <c r="AIJ23" s="1852"/>
      <c r="AIM23" s="1852"/>
      <c r="AIP23" s="1852"/>
      <c r="AIS23" s="1852"/>
      <c r="AIV23" s="1852"/>
      <c r="AIY23" s="1852"/>
      <c r="AJB23" s="1852"/>
      <c r="AJE23" s="1852"/>
      <c r="AJH23" s="1852"/>
      <c r="AJK23" s="1852"/>
      <c r="AJN23" s="1852"/>
      <c r="AJQ23" s="1852"/>
      <c r="AJT23" s="1852"/>
      <c r="AJW23" s="1852"/>
      <c r="AJZ23" s="1852"/>
      <c r="AKC23" s="1852"/>
      <c r="AKF23" s="1852"/>
      <c r="AKI23" s="1852"/>
      <c r="AKL23" s="1852"/>
      <c r="AKO23" s="1852"/>
      <c r="AKR23" s="1852"/>
      <c r="AKU23" s="1852"/>
      <c r="AKX23" s="1852"/>
      <c r="ALA23" s="1852"/>
      <c r="ALD23" s="1852"/>
      <c r="ALG23" s="1852"/>
      <c r="ALJ23" s="1852"/>
      <c r="ALM23" s="1852"/>
      <c r="ALP23" s="1852"/>
      <c r="ALS23" s="1852"/>
      <c r="ALV23" s="1852"/>
      <c r="ALY23" s="1852"/>
      <c r="AMB23" s="1852"/>
      <c r="AME23" s="1852"/>
      <c r="AMH23" s="1852"/>
      <c r="AMK23" s="1852"/>
      <c r="AMN23" s="1852"/>
      <c r="AMQ23" s="1852"/>
      <c r="AMT23" s="1852"/>
      <c r="AMW23" s="1852"/>
      <c r="AMZ23" s="1852"/>
      <c r="ANC23" s="1852"/>
      <c r="ANF23" s="1852"/>
      <c r="ANI23" s="1852"/>
      <c r="ANL23" s="1852"/>
      <c r="ANO23" s="1852"/>
      <c r="ANR23" s="1852"/>
      <c r="ANU23" s="1852"/>
      <c r="ANX23" s="1852"/>
      <c r="AOA23" s="1852"/>
      <c r="AOD23" s="1852"/>
      <c r="AOG23" s="1852"/>
      <c r="AOJ23" s="1852"/>
      <c r="AOM23" s="1852"/>
      <c r="AOP23" s="1852"/>
      <c r="AOS23" s="1852"/>
      <c r="AOV23" s="1852"/>
      <c r="AOY23" s="1852"/>
      <c r="APB23" s="1852"/>
      <c r="APE23" s="1852"/>
      <c r="APH23" s="1852"/>
      <c r="APK23" s="1852"/>
      <c r="APN23" s="1852"/>
      <c r="APQ23" s="1852"/>
      <c r="APT23" s="1852"/>
      <c r="APW23" s="1852"/>
      <c r="APZ23" s="1852"/>
      <c r="AQC23" s="1852"/>
      <c r="AQF23" s="1852"/>
      <c r="AQI23" s="1852"/>
      <c r="AQL23" s="1852"/>
      <c r="AQO23" s="1852"/>
      <c r="AQR23" s="1852"/>
      <c r="AQU23" s="1852"/>
      <c r="AQX23" s="1852"/>
      <c r="ARA23" s="1852"/>
      <c r="ARD23" s="1852"/>
      <c r="ARG23" s="1852"/>
      <c r="ARJ23" s="1852"/>
      <c r="ARM23" s="1852"/>
      <c r="ARP23" s="1852"/>
      <c r="ARS23" s="1852"/>
      <c r="ARV23" s="1852"/>
      <c r="ARY23" s="1852"/>
      <c r="ASB23" s="1852"/>
      <c r="ASE23" s="1852"/>
      <c r="ASH23" s="1852"/>
      <c r="ASK23" s="1852"/>
      <c r="ASN23" s="1852"/>
      <c r="ASQ23" s="1852"/>
      <c r="AST23" s="1852"/>
      <c r="ASW23" s="1852"/>
      <c r="ASZ23" s="1852"/>
      <c r="ATC23" s="1852"/>
      <c r="ATF23" s="1852"/>
      <c r="ATI23" s="1852"/>
      <c r="ATL23" s="1852"/>
      <c r="ATO23" s="1852"/>
      <c r="ATR23" s="1852"/>
      <c r="ATU23" s="1852"/>
      <c r="ATX23" s="1852"/>
      <c r="AUA23" s="1852"/>
      <c r="AUD23" s="1852"/>
      <c r="AUG23" s="1852"/>
      <c r="AUJ23" s="1852"/>
      <c r="AUM23" s="1852"/>
      <c r="AUP23" s="1852"/>
      <c r="AUS23" s="1852"/>
      <c r="AUV23" s="1852"/>
      <c r="AUY23" s="1852"/>
      <c r="AVB23" s="1852"/>
      <c r="AVE23" s="1852"/>
      <c r="AVH23" s="1852"/>
      <c r="AVK23" s="1852"/>
      <c r="AVN23" s="1852"/>
      <c r="AVQ23" s="1852"/>
      <c r="AVT23" s="1852"/>
      <c r="AVW23" s="1852"/>
      <c r="AVZ23" s="1852"/>
      <c r="AWC23" s="1852"/>
      <c r="AWF23" s="1852"/>
      <c r="AWI23" s="1852"/>
      <c r="AWL23" s="1852"/>
      <c r="AWO23" s="1852"/>
      <c r="AWR23" s="1852"/>
      <c r="AWU23" s="1852"/>
      <c r="AWX23" s="1852"/>
      <c r="AXA23" s="1852"/>
      <c r="AXD23" s="1852"/>
      <c r="AXG23" s="1852"/>
      <c r="AXJ23" s="1852"/>
      <c r="AXM23" s="1852"/>
      <c r="AXP23" s="1852"/>
      <c r="AXS23" s="1852"/>
      <c r="AXV23" s="1852"/>
      <c r="AXY23" s="1852"/>
      <c r="AYB23" s="1852"/>
      <c r="AYE23" s="1852"/>
      <c r="AYH23" s="1852"/>
      <c r="AYK23" s="1852"/>
      <c r="AYN23" s="1852"/>
      <c r="AYQ23" s="1852"/>
      <c r="AYT23" s="1852"/>
      <c r="AYW23" s="1852"/>
      <c r="AYZ23" s="1852"/>
      <c r="AZC23" s="1852"/>
      <c r="AZF23" s="1852"/>
      <c r="AZI23" s="1852"/>
      <c r="AZL23" s="1852"/>
      <c r="AZO23" s="1852"/>
      <c r="AZR23" s="1852"/>
      <c r="AZU23" s="1852"/>
      <c r="AZX23" s="1852"/>
      <c r="BAA23" s="1852"/>
      <c r="BAD23" s="1852"/>
      <c r="BAG23" s="1852"/>
      <c r="BAJ23" s="1852"/>
      <c r="BAM23" s="1852"/>
      <c r="BAP23" s="1852"/>
      <c r="BAS23" s="1852"/>
      <c r="BAV23" s="1852"/>
      <c r="BAY23" s="1852"/>
      <c r="BBB23" s="1852"/>
      <c r="BBE23" s="1852"/>
      <c r="BBH23" s="1852"/>
      <c r="BBK23" s="1852"/>
      <c r="BBN23" s="1852"/>
      <c r="BBQ23" s="1852"/>
      <c r="BBT23" s="1852"/>
      <c r="BBW23" s="1852"/>
      <c r="BBZ23" s="1852"/>
      <c r="BCC23" s="1852"/>
      <c r="BCF23" s="1852"/>
      <c r="BCI23" s="1852"/>
      <c r="BCL23" s="1852"/>
      <c r="BCO23" s="1852"/>
      <c r="BCR23" s="1852"/>
      <c r="BCU23" s="1852"/>
      <c r="BCX23" s="1852"/>
      <c r="BDA23" s="1852"/>
      <c r="BDD23" s="1852"/>
      <c r="BDG23" s="1852"/>
      <c r="BDJ23" s="1852"/>
      <c r="BDM23" s="1852"/>
      <c r="BDP23" s="1852"/>
      <c r="BDS23" s="1852"/>
      <c r="BDV23" s="1852"/>
      <c r="BDY23" s="1852"/>
      <c r="BEB23" s="1852"/>
      <c r="BEE23" s="1852"/>
      <c r="BEH23" s="1852"/>
      <c r="BEK23" s="1852"/>
      <c r="BEN23" s="1852"/>
      <c r="BEQ23" s="1852"/>
      <c r="BET23" s="1852"/>
      <c r="BEW23" s="1852"/>
      <c r="BEZ23" s="1852"/>
      <c r="BFC23" s="1852"/>
      <c r="BFF23" s="1852"/>
      <c r="BFI23" s="1852"/>
      <c r="BFL23" s="1852"/>
      <c r="BFO23" s="1852"/>
      <c r="BFR23" s="1852"/>
      <c r="BFU23" s="1852"/>
      <c r="BFX23" s="1852"/>
      <c r="BGA23" s="1852"/>
      <c r="BGD23" s="1852"/>
      <c r="BGG23" s="1852"/>
      <c r="BGJ23" s="1852"/>
      <c r="BGM23" s="1852"/>
      <c r="BGP23" s="1852"/>
      <c r="BGS23" s="1852"/>
      <c r="BGV23" s="1852"/>
      <c r="BGY23" s="1852"/>
      <c r="BHB23" s="1852"/>
      <c r="BHE23" s="1852"/>
      <c r="BHH23" s="1852"/>
      <c r="BHK23" s="1852"/>
      <c r="BHN23" s="1852"/>
      <c r="BHQ23" s="1852"/>
      <c r="BHT23" s="1852"/>
      <c r="BHW23" s="1852"/>
      <c r="BHZ23" s="1852"/>
      <c r="BIC23" s="1852"/>
      <c r="BIF23" s="1852"/>
      <c r="BII23" s="1852"/>
      <c r="BIL23" s="1852"/>
      <c r="BIO23" s="1852"/>
      <c r="BIR23" s="1852"/>
      <c r="BIU23" s="1852"/>
      <c r="BIX23" s="1852"/>
      <c r="BJA23" s="1852"/>
      <c r="BJD23" s="1852"/>
      <c r="BJG23" s="1852"/>
      <c r="BJJ23" s="1852"/>
      <c r="BJM23" s="1852"/>
      <c r="BJP23" s="1852"/>
      <c r="BJS23" s="1852"/>
      <c r="BJV23" s="1852"/>
      <c r="BJY23" s="1852"/>
      <c r="BKB23" s="1852"/>
      <c r="BKE23" s="1852"/>
      <c r="BKH23" s="1852"/>
      <c r="BKK23" s="1852"/>
      <c r="BKN23" s="1852"/>
      <c r="BKQ23" s="1852"/>
      <c r="BKT23" s="1852"/>
      <c r="BKW23" s="1852"/>
      <c r="BKZ23" s="1852"/>
      <c r="BLC23" s="1852"/>
      <c r="BLF23" s="1852"/>
      <c r="BLI23" s="1852"/>
      <c r="BLL23" s="1852"/>
      <c r="BLO23" s="1852"/>
      <c r="BLR23" s="1852"/>
      <c r="BLU23" s="1852"/>
      <c r="BLX23" s="1852"/>
      <c r="BMA23" s="1852"/>
      <c r="BMD23" s="1852"/>
      <c r="BMG23" s="1852"/>
      <c r="BMJ23" s="1852"/>
      <c r="BMM23" s="1852"/>
      <c r="BMP23" s="1852"/>
      <c r="BMS23" s="1852"/>
      <c r="BMV23" s="1852"/>
      <c r="BMY23" s="1852"/>
      <c r="BNB23" s="1852"/>
      <c r="BNE23" s="1852"/>
      <c r="BNH23" s="1852"/>
      <c r="BNK23" s="1852"/>
      <c r="BNN23" s="1852"/>
      <c r="BNQ23" s="1852"/>
      <c r="BNT23" s="1852"/>
      <c r="BNW23" s="1852"/>
      <c r="BNZ23" s="1852"/>
      <c r="BOC23" s="1852"/>
      <c r="BOF23" s="1852"/>
      <c r="BOI23" s="1852"/>
      <c r="BOL23" s="1852"/>
      <c r="BOO23" s="1852"/>
      <c r="BOR23" s="1852"/>
      <c r="BOU23" s="1852"/>
      <c r="BOX23" s="1852"/>
      <c r="BPA23" s="1852"/>
      <c r="BPD23" s="1852"/>
      <c r="BPG23" s="1852"/>
      <c r="BPJ23" s="1852"/>
      <c r="BPM23" s="1852"/>
      <c r="BPP23" s="1852"/>
      <c r="BPS23" s="1852"/>
      <c r="BPV23" s="1852"/>
      <c r="BPY23" s="1852"/>
      <c r="BQB23" s="1852"/>
      <c r="BQE23" s="1852"/>
      <c r="BQH23" s="1852"/>
      <c r="BQK23" s="1852"/>
      <c r="BQN23" s="1852"/>
      <c r="BQQ23" s="1852"/>
      <c r="BQT23" s="1852"/>
      <c r="BQW23" s="1852"/>
      <c r="BQZ23" s="1852"/>
      <c r="BRC23" s="1852"/>
      <c r="BRF23" s="1852"/>
      <c r="BRI23" s="1852"/>
      <c r="BRL23" s="1852"/>
      <c r="BRO23" s="1852"/>
      <c r="BRR23" s="1852"/>
      <c r="BRU23" s="1852"/>
      <c r="BRX23" s="1852"/>
      <c r="BSA23" s="1852"/>
      <c r="BSD23" s="1852"/>
      <c r="BSG23" s="1852"/>
      <c r="BSJ23" s="1852"/>
      <c r="BSM23" s="1852"/>
      <c r="BSP23" s="1852"/>
      <c r="BSS23" s="1852"/>
      <c r="BSV23" s="1852"/>
      <c r="BSY23" s="1852"/>
      <c r="BTB23" s="1852"/>
      <c r="BTE23" s="1852"/>
      <c r="BTH23" s="1852"/>
      <c r="BTK23" s="1852"/>
      <c r="BTN23" s="1852"/>
      <c r="BTQ23" s="1852"/>
      <c r="BTT23" s="1852"/>
      <c r="BTW23" s="1852"/>
      <c r="BTZ23" s="1852"/>
      <c r="BUC23" s="1852"/>
      <c r="BUF23" s="1852"/>
      <c r="BUI23" s="1852"/>
      <c r="BUL23" s="1852"/>
      <c r="BUO23" s="1852"/>
      <c r="BUR23" s="1852"/>
      <c r="BUU23" s="1852"/>
      <c r="BUX23" s="1852"/>
      <c r="BVA23" s="1852"/>
      <c r="BVD23" s="1852"/>
      <c r="BVG23" s="1852"/>
      <c r="BVJ23" s="1852"/>
      <c r="BVM23" s="1852"/>
      <c r="BVP23" s="1852"/>
      <c r="BVS23" s="1852"/>
      <c r="BVV23" s="1852"/>
      <c r="BVY23" s="1852"/>
      <c r="BWB23" s="1852"/>
      <c r="BWE23" s="1852"/>
      <c r="BWH23" s="1852"/>
      <c r="BWK23" s="1852"/>
      <c r="BWN23" s="1852"/>
      <c r="BWQ23" s="1852"/>
      <c r="BWT23" s="1852"/>
      <c r="BWW23" s="1852"/>
      <c r="BWZ23" s="1852"/>
      <c r="BXC23" s="1852"/>
      <c r="BXF23" s="1852"/>
      <c r="BXI23" s="1852"/>
      <c r="BXL23" s="1852"/>
      <c r="BXO23" s="1852"/>
      <c r="BXR23" s="1852"/>
      <c r="BXU23" s="1852"/>
      <c r="BXX23" s="1852"/>
      <c r="BYA23" s="1852"/>
      <c r="BYD23" s="1852"/>
      <c r="BYG23" s="1852"/>
      <c r="BYJ23" s="1852"/>
      <c r="BYM23" s="1852"/>
      <c r="BYP23" s="1852"/>
      <c r="BYS23" s="1852"/>
      <c r="BYV23" s="1852"/>
      <c r="BYY23" s="1852"/>
      <c r="BZB23" s="1852"/>
      <c r="BZE23" s="1852"/>
      <c r="BZH23" s="1852"/>
      <c r="BZK23" s="1852"/>
      <c r="BZN23" s="1852"/>
      <c r="BZQ23" s="1852"/>
      <c r="BZT23" s="1852"/>
      <c r="BZW23" s="1852"/>
      <c r="BZZ23" s="1852"/>
      <c r="CAC23" s="1852"/>
      <c r="CAF23" s="1852"/>
      <c r="CAI23" s="1852"/>
      <c r="CAL23" s="1852"/>
      <c r="CAO23" s="1852"/>
      <c r="CAR23" s="1852"/>
      <c r="CAU23" s="1852"/>
      <c r="CAX23" s="1852"/>
      <c r="CBA23" s="1852"/>
      <c r="CBD23" s="1852"/>
      <c r="CBG23" s="1852"/>
      <c r="CBJ23" s="1852"/>
      <c r="CBM23" s="1852"/>
      <c r="CBP23" s="1852"/>
      <c r="CBS23" s="1852"/>
      <c r="CBV23" s="1852"/>
      <c r="CBY23" s="1852"/>
      <c r="CCB23" s="1852"/>
      <c r="CCE23" s="1852"/>
      <c r="CCH23" s="1852"/>
      <c r="CCK23" s="1852"/>
      <c r="CCN23" s="1852"/>
      <c r="CCQ23" s="1852"/>
      <c r="CCT23" s="1852"/>
      <c r="CCW23" s="1852"/>
      <c r="CCZ23" s="1852"/>
      <c r="CDC23" s="1852"/>
      <c r="CDF23" s="1852"/>
      <c r="CDI23" s="1852"/>
      <c r="CDL23" s="1852"/>
      <c r="CDO23" s="1852"/>
      <c r="CDR23" s="1852"/>
      <c r="CDU23" s="1852"/>
      <c r="CDX23" s="1852"/>
      <c r="CEA23" s="1852"/>
      <c r="CED23" s="1852"/>
      <c r="CEG23" s="1852"/>
      <c r="CEJ23" s="1852"/>
      <c r="CEM23" s="1852"/>
      <c r="CEP23" s="1852"/>
      <c r="CES23" s="1852"/>
      <c r="CEV23" s="1852"/>
      <c r="CEY23" s="1852"/>
      <c r="CFB23" s="1852"/>
      <c r="CFE23" s="1852"/>
      <c r="CFH23" s="1852"/>
      <c r="CFK23" s="1852"/>
      <c r="CFN23" s="1852"/>
      <c r="CFQ23" s="1852"/>
      <c r="CFT23" s="1852"/>
      <c r="CFW23" s="1852"/>
      <c r="CFZ23" s="1852"/>
      <c r="CGC23" s="1852"/>
      <c r="CGF23" s="1852"/>
      <c r="CGI23" s="1852"/>
      <c r="CGL23" s="1852"/>
      <c r="CGO23" s="1852"/>
      <c r="CGR23" s="1852"/>
      <c r="CGU23" s="1852"/>
      <c r="CGX23" s="1852"/>
      <c r="CHA23" s="1852"/>
      <c r="CHD23" s="1852"/>
      <c r="CHG23" s="1852"/>
      <c r="CHJ23" s="1852"/>
      <c r="CHM23" s="1852"/>
      <c r="CHP23" s="1852"/>
      <c r="CHS23" s="1852"/>
      <c r="CHV23" s="1852"/>
      <c r="CHY23" s="1852"/>
      <c r="CIB23" s="1852"/>
      <c r="CIE23" s="1852"/>
      <c r="CIH23" s="1852"/>
      <c r="CIK23" s="1852"/>
      <c r="CIN23" s="1852"/>
      <c r="CIQ23" s="1852"/>
      <c r="CIT23" s="1852"/>
      <c r="CIW23" s="1852"/>
      <c r="CIZ23" s="1852"/>
      <c r="CJC23" s="1852"/>
      <c r="CJF23" s="1852"/>
      <c r="CJI23" s="1852"/>
      <c r="CJL23" s="1852"/>
      <c r="CJO23" s="1852"/>
      <c r="CJR23" s="1852"/>
      <c r="CJU23" s="1852"/>
      <c r="CJX23" s="1852"/>
      <c r="CKA23" s="1852"/>
      <c r="CKD23" s="1852"/>
      <c r="CKG23" s="1852"/>
      <c r="CKJ23" s="1852"/>
      <c r="CKM23" s="1852"/>
      <c r="CKP23" s="1852"/>
      <c r="CKS23" s="1852"/>
      <c r="CKV23" s="1852"/>
      <c r="CKY23" s="1852"/>
      <c r="CLB23" s="1852"/>
      <c r="CLE23" s="1852"/>
      <c r="CLH23" s="1852"/>
      <c r="CLK23" s="1852"/>
      <c r="CLN23" s="1852"/>
      <c r="CLQ23" s="1852"/>
      <c r="CLT23" s="1852"/>
      <c r="CLW23" s="1852"/>
      <c r="CLZ23" s="1852"/>
      <c r="CMC23" s="1852"/>
      <c r="CMF23" s="1852"/>
      <c r="CMI23" s="1852"/>
      <c r="CML23" s="1852"/>
      <c r="CMO23" s="1852"/>
      <c r="CMR23" s="1852"/>
      <c r="CMU23" s="1852"/>
      <c r="CMX23" s="1852"/>
      <c r="CNA23" s="1852"/>
      <c r="CND23" s="1852"/>
      <c r="CNG23" s="1852"/>
      <c r="CNJ23" s="1852"/>
      <c r="CNM23" s="1852"/>
      <c r="CNP23" s="1852"/>
      <c r="CNS23" s="1852"/>
      <c r="CNV23" s="1852"/>
      <c r="CNY23" s="1852"/>
      <c r="COB23" s="1852"/>
      <c r="COE23" s="1852"/>
      <c r="COH23" s="1852"/>
      <c r="COK23" s="1852"/>
      <c r="CON23" s="1852"/>
      <c r="COQ23" s="1852"/>
      <c r="COT23" s="1852"/>
      <c r="COW23" s="1852"/>
      <c r="COZ23" s="1852"/>
      <c r="CPC23" s="1852"/>
      <c r="CPF23" s="1852"/>
      <c r="CPI23" s="1852"/>
      <c r="CPL23" s="1852"/>
      <c r="CPO23" s="1852"/>
      <c r="CPR23" s="1852"/>
      <c r="CPU23" s="1852"/>
      <c r="CPX23" s="1852"/>
      <c r="CQA23" s="1852"/>
      <c r="CQD23" s="1852"/>
      <c r="CQG23" s="1852"/>
      <c r="CQJ23" s="1852"/>
      <c r="CQM23" s="1852"/>
      <c r="CQP23" s="1852"/>
      <c r="CQS23" s="1852"/>
      <c r="CQV23" s="1852"/>
      <c r="CQY23" s="1852"/>
      <c r="CRB23" s="1852"/>
      <c r="CRE23" s="1852"/>
      <c r="CRH23" s="1852"/>
      <c r="CRK23" s="1852"/>
      <c r="CRN23" s="1852"/>
      <c r="CRQ23" s="1852"/>
      <c r="CRT23" s="1852"/>
      <c r="CRW23" s="1852"/>
      <c r="CRZ23" s="1852"/>
      <c r="CSC23" s="1852"/>
      <c r="CSF23" s="1852"/>
      <c r="CSI23" s="1852"/>
      <c r="CSL23" s="1852"/>
      <c r="CSO23" s="1852"/>
      <c r="CSR23" s="1852"/>
      <c r="CSU23" s="1852"/>
      <c r="CSX23" s="1852"/>
      <c r="CTA23" s="1852"/>
      <c r="CTD23" s="1852"/>
      <c r="CTG23" s="1852"/>
      <c r="CTJ23" s="1852"/>
      <c r="CTM23" s="1852"/>
      <c r="CTP23" s="1852"/>
      <c r="CTS23" s="1852"/>
      <c r="CTV23" s="1852"/>
      <c r="CTY23" s="1852"/>
      <c r="CUB23" s="1852"/>
      <c r="CUE23" s="1852"/>
      <c r="CUH23" s="1852"/>
      <c r="CUK23" s="1852"/>
      <c r="CUN23" s="1852"/>
      <c r="CUQ23" s="1852"/>
      <c r="CUT23" s="1852"/>
      <c r="CUW23" s="1852"/>
      <c r="CUZ23" s="1852"/>
      <c r="CVC23" s="1852"/>
      <c r="CVF23" s="1852"/>
      <c r="CVI23" s="1852"/>
      <c r="CVL23" s="1852"/>
      <c r="CVO23" s="1852"/>
      <c r="CVR23" s="1852"/>
      <c r="CVU23" s="1852"/>
      <c r="CVX23" s="1852"/>
      <c r="CWA23" s="1852"/>
      <c r="CWD23" s="1852"/>
      <c r="CWG23" s="1852"/>
      <c r="CWJ23" s="1852"/>
      <c r="CWM23" s="1852"/>
      <c r="CWP23" s="1852"/>
      <c r="CWS23" s="1852"/>
      <c r="CWV23" s="1852"/>
      <c r="CWY23" s="1852"/>
      <c r="CXB23" s="1852"/>
      <c r="CXE23" s="1852"/>
      <c r="CXH23" s="1852"/>
      <c r="CXK23" s="1852"/>
      <c r="CXN23" s="1852"/>
      <c r="CXQ23" s="1852"/>
      <c r="CXT23" s="1852"/>
      <c r="CXW23" s="1852"/>
      <c r="CXZ23" s="1852"/>
      <c r="CYC23" s="1852"/>
      <c r="CYF23" s="1852"/>
      <c r="CYI23" s="1852"/>
      <c r="CYL23" s="1852"/>
      <c r="CYO23" s="1852"/>
      <c r="CYR23" s="1852"/>
      <c r="CYU23" s="1852"/>
      <c r="CYX23" s="1852"/>
      <c r="CZA23" s="1852"/>
      <c r="CZD23" s="1852"/>
      <c r="CZG23" s="1852"/>
      <c r="CZJ23" s="1852"/>
      <c r="CZM23" s="1852"/>
      <c r="CZP23" s="1852"/>
      <c r="CZS23" s="1852"/>
      <c r="CZV23" s="1852"/>
      <c r="CZY23" s="1852"/>
      <c r="DAB23" s="1852"/>
      <c r="DAE23" s="1852"/>
      <c r="DAH23" s="1852"/>
      <c r="DAK23" s="1852"/>
      <c r="DAN23" s="1852"/>
      <c r="DAQ23" s="1852"/>
      <c r="DAT23" s="1852"/>
      <c r="DAW23" s="1852"/>
      <c r="DAZ23" s="1852"/>
      <c r="DBC23" s="1852"/>
      <c r="DBF23" s="1852"/>
      <c r="DBI23" s="1852"/>
      <c r="DBL23" s="1852"/>
      <c r="DBO23" s="1852"/>
      <c r="DBR23" s="1852"/>
      <c r="DBU23" s="1852"/>
      <c r="DBX23" s="1852"/>
      <c r="DCA23" s="1852"/>
      <c r="DCD23" s="1852"/>
      <c r="DCG23" s="1852"/>
      <c r="DCJ23" s="1852"/>
      <c r="DCM23" s="1852"/>
      <c r="DCP23" s="1852"/>
      <c r="DCS23" s="1852"/>
      <c r="DCV23" s="1852"/>
      <c r="DCY23" s="1852"/>
      <c r="DDB23" s="1852"/>
      <c r="DDE23" s="1852"/>
      <c r="DDH23" s="1852"/>
      <c r="DDK23" s="1852"/>
      <c r="DDN23" s="1852"/>
      <c r="DDQ23" s="1852"/>
      <c r="DDT23" s="1852"/>
      <c r="DDW23" s="1852"/>
      <c r="DDZ23" s="1852"/>
      <c r="DEC23" s="1852"/>
      <c r="DEF23" s="1852"/>
      <c r="DEI23" s="1852"/>
      <c r="DEL23" s="1852"/>
      <c r="DEO23" s="1852"/>
      <c r="DER23" s="1852"/>
      <c r="DEU23" s="1852"/>
      <c r="DEX23" s="1852"/>
      <c r="DFA23" s="1852"/>
      <c r="DFD23" s="1852"/>
      <c r="DFG23" s="1852"/>
      <c r="DFJ23" s="1852"/>
      <c r="DFM23" s="1852"/>
      <c r="DFP23" s="1852"/>
      <c r="DFS23" s="1852"/>
      <c r="DFV23" s="1852"/>
      <c r="DFY23" s="1852"/>
      <c r="DGB23" s="1852"/>
      <c r="DGE23" s="1852"/>
      <c r="DGH23" s="1852"/>
      <c r="DGK23" s="1852"/>
      <c r="DGN23" s="1852"/>
      <c r="DGQ23" s="1852"/>
      <c r="DGT23" s="1852"/>
      <c r="DGW23" s="1852"/>
      <c r="DGZ23" s="1852"/>
      <c r="DHC23" s="1852"/>
      <c r="DHF23" s="1852"/>
      <c r="DHI23" s="1852"/>
      <c r="DHL23" s="1852"/>
      <c r="DHO23" s="1852"/>
      <c r="DHR23" s="1852"/>
      <c r="DHU23" s="1852"/>
      <c r="DHX23" s="1852"/>
      <c r="DIA23" s="1852"/>
      <c r="DID23" s="1852"/>
      <c r="DIG23" s="1852"/>
      <c r="DIJ23" s="1852"/>
      <c r="DIM23" s="1852"/>
      <c r="DIP23" s="1852"/>
      <c r="DIS23" s="1852"/>
      <c r="DIV23" s="1852"/>
      <c r="DIY23" s="1852"/>
      <c r="DJB23" s="1852"/>
      <c r="DJE23" s="1852"/>
      <c r="DJH23" s="1852"/>
      <c r="DJK23" s="1852"/>
      <c r="DJN23" s="1852"/>
      <c r="DJQ23" s="1852"/>
      <c r="DJT23" s="1852"/>
      <c r="DJW23" s="1852"/>
      <c r="DJZ23" s="1852"/>
      <c r="DKC23" s="1852"/>
      <c r="DKF23" s="1852"/>
      <c r="DKI23" s="1852"/>
      <c r="DKL23" s="1852"/>
      <c r="DKO23" s="1852"/>
      <c r="DKR23" s="1852"/>
      <c r="DKU23" s="1852"/>
      <c r="DKX23" s="1852"/>
      <c r="DLA23" s="1852"/>
      <c r="DLD23" s="1852"/>
      <c r="DLG23" s="1852"/>
      <c r="DLJ23" s="1852"/>
      <c r="DLM23" s="1852"/>
      <c r="DLP23" s="1852"/>
      <c r="DLS23" s="1852"/>
      <c r="DLV23" s="1852"/>
      <c r="DLY23" s="1852"/>
      <c r="DMB23" s="1852"/>
      <c r="DME23" s="1852"/>
      <c r="DMH23" s="1852"/>
      <c r="DMK23" s="1852"/>
      <c r="DMN23" s="1852"/>
      <c r="DMQ23" s="1852"/>
      <c r="DMT23" s="1852"/>
      <c r="DMW23" s="1852"/>
      <c r="DMZ23" s="1852"/>
      <c r="DNC23" s="1852"/>
      <c r="DNF23" s="1852"/>
      <c r="DNI23" s="1852"/>
      <c r="DNL23" s="1852"/>
      <c r="DNO23" s="1852"/>
      <c r="DNR23" s="1852"/>
      <c r="DNU23" s="1852"/>
      <c r="DNX23" s="1852"/>
      <c r="DOA23" s="1852"/>
      <c r="DOD23" s="1852"/>
      <c r="DOG23" s="1852"/>
      <c r="DOJ23" s="1852"/>
      <c r="DOM23" s="1852"/>
      <c r="DOP23" s="1852"/>
      <c r="DOS23" s="1852"/>
      <c r="DOV23" s="1852"/>
      <c r="DOY23" s="1852"/>
      <c r="DPB23" s="1852"/>
      <c r="DPE23" s="1852"/>
      <c r="DPH23" s="1852"/>
      <c r="DPK23" s="1852"/>
      <c r="DPN23" s="1852"/>
      <c r="DPQ23" s="1852"/>
      <c r="DPT23" s="1852"/>
      <c r="DPW23" s="1852"/>
      <c r="DPZ23" s="1852"/>
      <c r="DQC23" s="1852"/>
      <c r="DQF23" s="1852"/>
      <c r="DQI23" s="1852"/>
      <c r="DQL23" s="1852"/>
      <c r="DQO23" s="1852"/>
      <c r="DQR23" s="1852"/>
      <c r="DQU23" s="1852"/>
      <c r="DQX23" s="1852"/>
      <c r="DRA23" s="1852"/>
      <c r="DRD23" s="1852"/>
      <c r="DRG23" s="1852"/>
      <c r="DRJ23" s="1852"/>
      <c r="DRM23" s="1852"/>
      <c r="DRP23" s="1852"/>
      <c r="DRS23" s="1852"/>
      <c r="DRV23" s="1852"/>
      <c r="DRY23" s="1852"/>
      <c r="DSB23" s="1852"/>
      <c r="DSE23" s="1852"/>
      <c r="DSH23" s="1852"/>
      <c r="DSK23" s="1852"/>
      <c r="DSN23" s="1852"/>
      <c r="DSQ23" s="1852"/>
      <c r="DST23" s="1852"/>
      <c r="DSW23" s="1852"/>
      <c r="DSZ23" s="1852"/>
      <c r="DTC23" s="1852"/>
      <c r="DTF23" s="1852"/>
      <c r="DTI23" s="1852"/>
      <c r="DTL23" s="1852"/>
      <c r="DTO23" s="1852"/>
      <c r="DTR23" s="1852"/>
      <c r="DTU23" s="1852"/>
      <c r="DTX23" s="1852"/>
      <c r="DUA23" s="1852"/>
      <c r="DUD23" s="1852"/>
      <c r="DUG23" s="1852"/>
      <c r="DUJ23" s="1852"/>
      <c r="DUM23" s="1852"/>
      <c r="DUP23" s="1852"/>
      <c r="DUS23" s="1852"/>
      <c r="DUV23" s="1852"/>
      <c r="DUY23" s="1852"/>
      <c r="DVB23" s="1852"/>
      <c r="DVE23" s="1852"/>
      <c r="DVH23" s="1852"/>
      <c r="DVK23" s="1852"/>
      <c r="DVN23" s="1852"/>
      <c r="DVQ23" s="1852"/>
      <c r="DVT23" s="1852"/>
      <c r="DVW23" s="1852"/>
      <c r="DVZ23" s="1852"/>
      <c r="DWC23" s="1852"/>
      <c r="DWF23" s="1852"/>
      <c r="DWI23" s="1852"/>
      <c r="DWL23" s="1852"/>
      <c r="DWO23" s="1852"/>
      <c r="DWR23" s="1852"/>
      <c r="DWU23" s="1852"/>
      <c r="DWX23" s="1852"/>
      <c r="DXA23" s="1852"/>
      <c r="DXD23" s="1852"/>
      <c r="DXG23" s="1852"/>
      <c r="DXJ23" s="1852"/>
      <c r="DXM23" s="1852"/>
      <c r="DXP23" s="1852"/>
      <c r="DXS23" s="1852"/>
      <c r="DXV23" s="1852"/>
      <c r="DXY23" s="1852"/>
      <c r="DYB23" s="1852"/>
      <c r="DYE23" s="1852"/>
      <c r="DYH23" s="1852"/>
      <c r="DYK23" s="1852"/>
      <c r="DYN23" s="1852"/>
      <c r="DYQ23" s="1852"/>
      <c r="DYT23" s="1852"/>
      <c r="DYW23" s="1852"/>
      <c r="DYZ23" s="1852"/>
      <c r="DZC23" s="1852"/>
      <c r="DZF23" s="1852"/>
      <c r="DZI23" s="1852"/>
      <c r="DZL23" s="1852"/>
      <c r="DZO23" s="1852"/>
      <c r="DZR23" s="1852"/>
      <c r="DZU23" s="1852"/>
      <c r="DZX23" s="1852"/>
      <c r="EAA23" s="1852"/>
      <c r="EAD23" s="1852"/>
      <c r="EAG23" s="1852"/>
      <c r="EAJ23" s="1852"/>
      <c r="EAM23" s="1852"/>
      <c r="EAP23" s="1852"/>
      <c r="EAS23" s="1852"/>
      <c r="EAV23" s="1852"/>
      <c r="EAY23" s="1852"/>
      <c r="EBB23" s="1852"/>
      <c r="EBE23" s="1852"/>
      <c r="EBH23" s="1852"/>
      <c r="EBK23" s="1852"/>
      <c r="EBN23" s="1852"/>
      <c r="EBQ23" s="1852"/>
      <c r="EBT23" s="1852"/>
      <c r="EBW23" s="1852"/>
      <c r="EBZ23" s="1852"/>
      <c r="ECC23" s="1852"/>
      <c r="ECF23" s="1852"/>
      <c r="ECI23" s="1852"/>
      <c r="ECL23" s="1852"/>
      <c r="ECO23" s="1852"/>
      <c r="ECR23" s="1852"/>
      <c r="ECU23" s="1852"/>
      <c r="ECX23" s="1852"/>
      <c r="EDA23" s="1852"/>
      <c r="EDD23" s="1852"/>
      <c r="EDG23" s="1852"/>
      <c r="EDJ23" s="1852"/>
      <c r="EDM23" s="1852"/>
      <c r="EDP23" s="1852"/>
      <c r="EDS23" s="1852"/>
      <c r="EDV23" s="1852"/>
      <c r="EDY23" s="1852"/>
      <c r="EEB23" s="1852"/>
      <c r="EEE23" s="1852"/>
      <c r="EEH23" s="1852"/>
      <c r="EEK23" s="1852"/>
      <c r="EEN23" s="1852"/>
      <c r="EEQ23" s="1852"/>
      <c r="EET23" s="1852"/>
      <c r="EEW23" s="1852"/>
      <c r="EEZ23" s="1852"/>
      <c r="EFC23" s="1852"/>
      <c r="EFF23" s="1852"/>
      <c r="EFI23" s="1852"/>
      <c r="EFL23" s="1852"/>
      <c r="EFO23" s="1852"/>
      <c r="EFR23" s="1852"/>
      <c r="EFU23" s="1852"/>
      <c r="EFX23" s="1852"/>
      <c r="EGA23" s="1852"/>
      <c r="EGD23" s="1852"/>
      <c r="EGG23" s="1852"/>
      <c r="EGJ23" s="1852"/>
      <c r="EGM23" s="1852"/>
      <c r="EGP23" s="1852"/>
      <c r="EGS23" s="1852"/>
      <c r="EGV23" s="1852"/>
      <c r="EGY23" s="1852"/>
      <c r="EHB23" s="1852"/>
      <c r="EHE23" s="1852"/>
      <c r="EHH23" s="1852"/>
      <c r="EHK23" s="1852"/>
      <c r="EHN23" s="1852"/>
      <c r="EHQ23" s="1852"/>
      <c r="EHT23" s="1852"/>
      <c r="EHW23" s="1852"/>
      <c r="EHZ23" s="1852"/>
      <c r="EIC23" s="1852"/>
      <c r="EIF23" s="1852"/>
      <c r="EII23" s="1852"/>
      <c r="EIL23" s="1852"/>
      <c r="EIO23" s="1852"/>
      <c r="EIR23" s="1852"/>
      <c r="EIU23" s="1852"/>
      <c r="EIX23" s="1852"/>
      <c r="EJA23" s="1852"/>
      <c r="EJD23" s="1852"/>
      <c r="EJG23" s="1852"/>
      <c r="EJJ23" s="1852"/>
      <c r="EJM23" s="1852"/>
      <c r="EJP23" s="1852"/>
      <c r="EJS23" s="1852"/>
      <c r="EJV23" s="1852"/>
      <c r="EJY23" s="1852"/>
      <c r="EKB23" s="1852"/>
      <c r="EKE23" s="1852"/>
      <c r="EKH23" s="1852"/>
      <c r="EKK23" s="1852"/>
      <c r="EKN23" s="1852"/>
      <c r="EKQ23" s="1852"/>
      <c r="EKT23" s="1852"/>
      <c r="EKW23" s="1852"/>
      <c r="EKZ23" s="1852"/>
      <c r="ELC23" s="1852"/>
      <c r="ELF23" s="1852"/>
      <c r="ELI23" s="1852"/>
      <c r="ELL23" s="1852"/>
      <c r="ELO23" s="1852"/>
      <c r="ELR23" s="1852"/>
      <c r="ELU23" s="1852"/>
      <c r="ELX23" s="1852"/>
      <c r="EMA23" s="1852"/>
      <c r="EMD23" s="1852"/>
      <c r="EMG23" s="1852"/>
      <c r="EMJ23" s="1852"/>
      <c r="EMM23" s="1852"/>
      <c r="EMP23" s="1852"/>
      <c r="EMS23" s="1852"/>
      <c r="EMV23" s="1852"/>
      <c r="EMY23" s="1852"/>
      <c r="ENB23" s="1852"/>
      <c r="ENE23" s="1852"/>
      <c r="ENH23" s="1852"/>
      <c r="ENK23" s="1852"/>
      <c r="ENN23" s="1852"/>
      <c r="ENQ23" s="1852"/>
      <c r="ENT23" s="1852"/>
      <c r="ENW23" s="1852"/>
      <c r="ENZ23" s="1852"/>
      <c r="EOC23" s="1852"/>
      <c r="EOF23" s="1852"/>
      <c r="EOI23" s="1852"/>
      <c r="EOL23" s="1852"/>
      <c r="EOO23" s="1852"/>
      <c r="EOR23" s="1852"/>
      <c r="EOU23" s="1852"/>
      <c r="EOX23" s="1852"/>
      <c r="EPA23" s="1852"/>
      <c r="EPD23" s="1852"/>
      <c r="EPG23" s="1852"/>
      <c r="EPJ23" s="1852"/>
      <c r="EPM23" s="1852"/>
      <c r="EPP23" s="1852"/>
      <c r="EPS23" s="1852"/>
      <c r="EPV23" s="1852"/>
      <c r="EPY23" s="1852"/>
      <c r="EQB23" s="1852"/>
      <c r="EQE23" s="1852"/>
      <c r="EQH23" s="1852"/>
      <c r="EQK23" s="1852"/>
      <c r="EQN23" s="1852"/>
      <c r="EQQ23" s="1852"/>
      <c r="EQT23" s="1852"/>
      <c r="EQW23" s="1852"/>
      <c r="EQZ23" s="1852"/>
      <c r="ERC23" s="1852"/>
      <c r="ERF23" s="1852"/>
      <c r="ERI23" s="1852"/>
      <c r="ERL23" s="1852"/>
      <c r="ERO23" s="1852"/>
      <c r="ERR23" s="1852"/>
      <c r="ERU23" s="1852"/>
      <c r="ERX23" s="1852"/>
      <c r="ESA23" s="1852"/>
      <c r="ESD23" s="1852"/>
      <c r="ESG23" s="1852"/>
      <c r="ESJ23" s="1852"/>
      <c r="ESM23" s="1852"/>
      <c r="ESP23" s="1852"/>
      <c r="ESS23" s="1852"/>
      <c r="ESV23" s="1852"/>
      <c r="ESY23" s="1852"/>
      <c r="ETB23" s="1852"/>
      <c r="ETE23" s="1852"/>
      <c r="ETH23" s="1852"/>
      <c r="ETK23" s="1852"/>
      <c r="ETN23" s="1852"/>
      <c r="ETQ23" s="1852"/>
      <c r="ETT23" s="1852"/>
      <c r="ETW23" s="1852"/>
      <c r="ETZ23" s="1852"/>
      <c r="EUC23" s="1852"/>
      <c r="EUF23" s="1852"/>
      <c r="EUI23" s="1852"/>
      <c r="EUL23" s="1852"/>
      <c r="EUO23" s="1852"/>
      <c r="EUR23" s="1852"/>
      <c r="EUU23" s="1852"/>
      <c r="EUX23" s="1852"/>
      <c r="EVA23" s="1852"/>
      <c r="EVD23" s="1852"/>
      <c r="EVG23" s="1852"/>
      <c r="EVJ23" s="1852"/>
      <c r="EVM23" s="1852"/>
      <c r="EVP23" s="1852"/>
      <c r="EVS23" s="1852"/>
      <c r="EVV23" s="1852"/>
      <c r="EVY23" s="1852"/>
      <c r="EWB23" s="1852"/>
      <c r="EWE23" s="1852"/>
      <c r="EWH23" s="1852"/>
      <c r="EWK23" s="1852"/>
      <c r="EWN23" s="1852"/>
      <c r="EWQ23" s="1852"/>
      <c r="EWT23" s="1852"/>
      <c r="EWW23" s="1852"/>
      <c r="EWZ23" s="1852"/>
      <c r="EXC23" s="1852"/>
      <c r="EXF23" s="1852"/>
      <c r="EXI23" s="1852"/>
      <c r="EXL23" s="1852"/>
      <c r="EXO23" s="1852"/>
      <c r="EXR23" s="1852"/>
      <c r="EXU23" s="1852"/>
      <c r="EXX23" s="1852"/>
      <c r="EYA23" s="1852"/>
      <c r="EYD23" s="1852"/>
      <c r="EYG23" s="1852"/>
      <c r="EYJ23" s="1852"/>
      <c r="EYM23" s="1852"/>
      <c r="EYP23" s="1852"/>
      <c r="EYS23" s="1852"/>
      <c r="EYV23" s="1852"/>
      <c r="EYY23" s="1852"/>
      <c r="EZB23" s="1852"/>
      <c r="EZE23" s="1852"/>
      <c r="EZH23" s="1852"/>
      <c r="EZK23" s="1852"/>
      <c r="EZN23" s="1852"/>
      <c r="EZQ23" s="1852"/>
      <c r="EZT23" s="1852"/>
      <c r="EZW23" s="1852"/>
      <c r="EZZ23" s="1852"/>
      <c r="FAC23" s="1852"/>
      <c r="FAF23" s="1852"/>
      <c r="FAI23" s="1852"/>
      <c r="FAL23" s="1852"/>
      <c r="FAO23" s="1852"/>
      <c r="FAR23" s="1852"/>
      <c r="FAU23" s="1852"/>
      <c r="FAX23" s="1852"/>
      <c r="FBA23" s="1852"/>
      <c r="FBD23" s="1852"/>
      <c r="FBG23" s="1852"/>
      <c r="FBJ23" s="1852"/>
      <c r="FBM23" s="1852"/>
      <c r="FBP23" s="1852"/>
      <c r="FBS23" s="1852"/>
      <c r="FBV23" s="1852"/>
      <c r="FBY23" s="1852"/>
      <c r="FCB23" s="1852"/>
      <c r="FCE23" s="1852"/>
      <c r="FCH23" s="1852"/>
      <c r="FCK23" s="1852"/>
      <c r="FCN23" s="1852"/>
      <c r="FCQ23" s="1852"/>
      <c r="FCT23" s="1852"/>
      <c r="FCW23" s="1852"/>
      <c r="FCZ23" s="1852"/>
      <c r="FDC23" s="1852"/>
      <c r="FDF23" s="1852"/>
      <c r="FDI23" s="1852"/>
      <c r="FDL23" s="1852"/>
      <c r="FDO23" s="1852"/>
      <c r="FDR23" s="1852"/>
      <c r="FDU23" s="1852"/>
      <c r="FDX23" s="1852"/>
      <c r="FEA23" s="1852"/>
      <c r="FED23" s="1852"/>
      <c r="FEG23" s="1852"/>
      <c r="FEJ23" s="1852"/>
      <c r="FEM23" s="1852"/>
      <c r="FEP23" s="1852"/>
      <c r="FES23" s="1852"/>
      <c r="FEV23" s="1852"/>
      <c r="FEY23" s="1852"/>
      <c r="FFB23" s="1852"/>
      <c r="FFE23" s="1852"/>
      <c r="FFH23" s="1852"/>
      <c r="FFK23" s="1852"/>
      <c r="FFN23" s="1852"/>
      <c r="FFQ23" s="1852"/>
      <c r="FFT23" s="1852"/>
      <c r="FFW23" s="1852"/>
      <c r="FFZ23" s="1852"/>
      <c r="FGC23" s="1852"/>
      <c r="FGF23" s="1852"/>
      <c r="FGI23" s="1852"/>
      <c r="FGL23" s="1852"/>
      <c r="FGO23" s="1852"/>
      <c r="FGR23" s="1852"/>
      <c r="FGU23" s="1852"/>
      <c r="FGX23" s="1852"/>
      <c r="FHA23" s="1852"/>
      <c r="FHD23" s="1852"/>
      <c r="FHG23" s="1852"/>
      <c r="FHJ23" s="1852"/>
      <c r="FHM23" s="1852"/>
      <c r="FHP23" s="1852"/>
      <c r="FHS23" s="1852"/>
      <c r="FHV23" s="1852"/>
      <c r="FHY23" s="1852"/>
      <c r="FIB23" s="1852"/>
      <c r="FIE23" s="1852"/>
      <c r="FIH23" s="1852"/>
      <c r="FIK23" s="1852"/>
      <c r="FIN23" s="1852"/>
      <c r="FIQ23" s="1852"/>
      <c r="FIT23" s="1852"/>
      <c r="FIW23" s="1852"/>
      <c r="FIZ23" s="1852"/>
      <c r="FJC23" s="1852"/>
      <c r="FJF23" s="1852"/>
      <c r="FJI23" s="1852"/>
      <c r="FJL23" s="1852"/>
      <c r="FJO23" s="1852"/>
      <c r="FJR23" s="1852"/>
      <c r="FJU23" s="1852"/>
      <c r="FJX23" s="1852"/>
      <c r="FKA23" s="1852"/>
      <c r="FKD23" s="1852"/>
      <c r="FKG23" s="1852"/>
      <c r="FKJ23" s="1852"/>
      <c r="FKM23" s="1852"/>
      <c r="FKP23" s="1852"/>
      <c r="FKS23" s="1852"/>
      <c r="FKV23" s="1852"/>
      <c r="FKY23" s="1852"/>
      <c r="FLB23" s="1852"/>
      <c r="FLE23" s="1852"/>
      <c r="FLH23" s="1852"/>
      <c r="FLK23" s="1852"/>
      <c r="FLN23" s="1852"/>
      <c r="FLQ23" s="1852"/>
      <c r="FLT23" s="1852"/>
      <c r="FLW23" s="1852"/>
      <c r="FLZ23" s="1852"/>
      <c r="FMC23" s="1852"/>
      <c r="FMF23" s="1852"/>
      <c r="FMI23" s="1852"/>
      <c r="FML23" s="1852"/>
      <c r="FMO23" s="1852"/>
      <c r="FMR23" s="1852"/>
      <c r="FMU23" s="1852"/>
      <c r="FMX23" s="1852"/>
      <c r="FNA23" s="1852"/>
      <c r="FND23" s="1852"/>
      <c r="FNG23" s="1852"/>
      <c r="FNJ23" s="1852"/>
      <c r="FNM23" s="1852"/>
      <c r="FNP23" s="1852"/>
      <c r="FNS23" s="1852"/>
      <c r="FNV23" s="1852"/>
      <c r="FNY23" s="1852"/>
      <c r="FOB23" s="1852"/>
      <c r="FOE23" s="1852"/>
      <c r="FOH23" s="1852"/>
      <c r="FOK23" s="1852"/>
      <c r="FON23" s="1852"/>
      <c r="FOQ23" s="1852"/>
      <c r="FOT23" s="1852"/>
      <c r="FOW23" s="1852"/>
      <c r="FOZ23" s="1852"/>
      <c r="FPC23" s="1852"/>
      <c r="FPF23" s="1852"/>
      <c r="FPI23" s="1852"/>
      <c r="FPL23" s="1852"/>
      <c r="FPO23" s="1852"/>
      <c r="FPR23" s="1852"/>
      <c r="FPU23" s="1852"/>
      <c r="FPX23" s="1852"/>
      <c r="FQA23" s="1852"/>
      <c r="FQD23" s="1852"/>
      <c r="FQG23" s="1852"/>
      <c r="FQJ23" s="1852"/>
      <c r="FQM23" s="1852"/>
      <c r="FQP23" s="1852"/>
      <c r="FQS23" s="1852"/>
      <c r="FQV23" s="1852"/>
      <c r="FQY23" s="1852"/>
      <c r="FRB23" s="1852"/>
      <c r="FRE23" s="1852"/>
      <c r="FRH23" s="1852"/>
      <c r="FRK23" s="1852"/>
      <c r="FRN23" s="1852"/>
      <c r="FRQ23" s="1852"/>
      <c r="FRT23" s="1852"/>
      <c r="FRW23" s="1852"/>
      <c r="FRZ23" s="1852"/>
      <c r="FSC23" s="1852"/>
      <c r="FSF23" s="1852"/>
      <c r="FSI23" s="1852"/>
      <c r="FSL23" s="1852"/>
      <c r="FSO23" s="1852"/>
      <c r="FSR23" s="1852"/>
      <c r="FSU23" s="1852"/>
      <c r="FSX23" s="1852"/>
      <c r="FTA23" s="1852"/>
      <c r="FTD23" s="1852"/>
      <c r="FTG23" s="1852"/>
      <c r="FTJ23" s="1852"/>
      <c r="FTM23" s="1852"/>
      <c r="FTP23" s="1852"/>
      <c r="FTS23" s="1852"/>
      <c r="FTV23" s="1852"/>
      <c r="FTY23" s="1852"/>
      <c r="FUB23" s="1852"/>
      <c r="FUE23" s="1852"/>
      <c r="FUH23" s="1852"/>
      <c r="FUK23" s="1852"/>
      <c r="FUN23" s="1852"/>
      <c r="FUQ23" s="1852"/>
      <c r="FUT23" s="1852"/>
      <c r="FUW23" s="1852"/>
      <c r="FUZ23" s="1852"/>
      <c r="FVC23" s="1852"/>
      <c r="FVF23" s="1852"/>
      <c r="FVI23" s="1852"/>
      <c r="FVL23" s="1852"/>
      <c r="FVO23" s="1852"/>
      <c r="FVR23" s="1852"/>
      <c r="FVU23" s="1852"/>
      <c r="FVX23" s="1852"/>
      <c r="FWA23" s="1852"/>
      <c r="FWD23" s="1852"/>
      <c r="FWG23" s="1852"/>
      <c r="FWJ23" s="1852"/>
      <c r="FWM23" s="1852"/>
      <c r="FWP23" s="1852"/>
      <c r="FWS23" s="1852"/>
      <c r="FWV23" s="1852"/>
      <c r="FWY23" s="1852"/>
      <c r="FXB23" s="1852"/>
      <c r="FXE23" s="1852"/>
      <c r="FXH23" s="1852"/>
      <c r="FXK23" s="1852"/>
      <c r="FXN23" s="1852"/>
      <c r="FXQ23" s="1852"/>
      <c r="FXT23" s="1852"/>
      <c r="FXW23" s="1852"/>
      <c r="FXZ23" s="1852"/>
      <c r="FYC23" s="1852"/>
      <c r="FYF23" s="1852"/>
      <c r="FYI23" s="1852"/>
      <c r="FYL23" s="1852"/>
      <c r="FYO23" s="1852"/>
      <c r="FYR23" s="1852"/>
      <c r="FYU23" s="1852"/>
      <c r="FYX23" s="1852"/>
      <c r="FZA23" s="1852"/>
      <c r="FZD23" s="1852"/>
      <c r="FZG23" s="1852"/>
      <c r="FZJ23" s="1852"/>
      <c r="FZM23" s="1852"/>
      <c r="FZP23" s="1852"/>
      <c r="FZS23" s="1852"/>
      <c r="FZV23" s="1852"/>
      <c r="FZY23" s="1852"/>
      <c r="GAB23" s="1852"/>
      <c r="GAE23" s="1852"/>
      <c r="GAH23" s="1852"/>
      <c r="GAK23" s="1852"/>
      <c r="GAN23" s="1852"/>
      <c r="GAQ23" s="1852"/>
      <c r="GAT23" s="1852"/>
      <c r="GAW23" s="1852"/>
      <c r="GAZ23" s="1852"/>
      <c r="GBC23" s="1852"/>
      <c r="GBF23" s="1852"/>
      <c r="GBI23" s="1852"/>
      <c r="GBL23" s="1852"/>
      <c r="GBO23" s="1852"/>
      <c r="GBR23" s="1852"/>
      <c r="GBU23" s="1852"/>
      <c r="GBX23" s="1852"/>
      <c r="GCA23" s="1852"/>
      <c r="GCD23" s="1852"/>
      <c r="GCG23" s="1852"/>
      <c r="GCJ23" s="1852"/>
      <c r="GCM23" s="1852"/>
      <c r="GCP23" s="1852"/>
      <c r="GCS23" s="1852"/>
      <c r="GCV23" s="1852"/>
      <c r="GCY23" s="1852"/>
      <c r="GDB23" s="1852"/>
      <c r="GDE23" s="1852"/>
      <c r="GDH23" s="1852"/>
      <c r="GDK23" s="1852"/>
      <c r="GDN23" s="1852"/>
      <c r="GDQ23" s="1852"/>
      <c r="GDT23" s="1852"/>
      <c r="GDW23" s="1852"/>
      <c r="GDZ23" s="1852"/>
      <c r="GEC23" s="1852"/>
      <c r="GEF23" s="1852"/>
      <c r="GEI23" s="1852"/>
      <c r="GEL23" s="1852"/>
      <c r="GEO23" s="1852"/>
      <c r="GER23" s="1852"/>
      <c r="GEU23" s="1852"/>
      <c r="GEX23" s="1852"/>
      <c r="GFA23" s="1852"/>
      <c r="GFD23" s="1852"/>
      <c r="GFG23" s="1852"/>
      <c r="GFJ23" s="1852"/>
      <c r="GFM23" s="1852"/>
      <c r="GFP23" s="1852"/>
      <c r="GFS23" s="1852"/>
      <c r="GFV23" s="1852"/>
      <c r="GFY23" s="1852"/>
      <c r="GGB23" s="1852"/>
      <c r="GGE23" s="1852"/>
      <c r="GGH23" s="1852"/>
      <c r="GGK23" s="1852"/>
      <c r="GGN23" s="1852"/>
      <c r="GGQ23" s="1852"/>
      <c r="GGT23" s="1852"/>
      <c r="GGW23" s="1852"/>
      <c r="GGZ23" s="1852"/>
      <c r="GHC23" s="1852"/>
      <c r="GHF23" s="1852"/>
      <c r="GHI23" s="1852"/>
      <c r="GHL23" s="1852"/>
      <c r="GHO23" s="1852"/>
      <c r="GHR23" s="1852"/>
      <c r="GHU23" s="1852"/>
      <c r="GHX23" s="1852"/>
      <c r="GIA23" s="1852"/>
      <c r="GID23" s="1852"/>
      <c r="GIG23" s="1852"/>
      <c r="GIJ23" s="1852"/>
      <c r="GIM23" s="1852"/>
      <c r="GIP23" s="1852"/>
      <c r="GIS23" s="1852"/>
      <c r="GIV23" s="1852"/>
      <c r="GIY23" s="1852"/>
      <c r="GJB23" s="1852"/>
      <c r="GJE23" s="1852"/>
      <c r="GJH23" s="1852"/>
      <c r="GJK23" s="1852"/>
      <c r="GJN23" s="1852"/>
      <c r="GJQ23" s="1852"/>
      <c r="GJT23" s="1852"/>
      <c r="GJW23" s="1852"/>
      <c r="GJZ23" s="1852"/>
      <c r="GKC23" s="1852"/>
      <c r="GKF23" s="1852"/>
      <c r="GKI23" s="1852"/>
      <c r="GKL23" s="1852"/>
      <c r="GKO23" s="1852"/>
      <c r="GKR23" s="1852"/>
      <c r="GKU23" s="1852"/>
      <c r="GKX23" s="1852"/>
      <c r="GLA23" s="1852"/>
      <c r="GLD23" s="1852"/>
      <c r="GLG23" s="1852"/>
      <c r="GLJ23" s="1852"/>
      <c r="GLM23" s="1852"/>
      <c r="GLP23" s="1852"/>
      <c r="GLS23" s="1852"/>
      <c r="GLV23" s="1852"/>
      <c r="GLY23" s="1852"/>
      <c r="GMB23" s="1852"/>
      <c r="GME23" s="1852"/>
      <c r="GMH23" s="1852"/>
      <c r="GMK23" s="1852"/>
      <c r="GMN23" s="1852"/>
      <c r="GMQ23" s="1852"/>
      <c r="GMT23" s="1852"/>
      <c r="GMW23" s="1852"/>
      <c r="GMZ23" s="1852"/>
      <c r="GNC23" s="1852"/>
      <c r="GNF23" s="1852"/>
      <c r="GNI23" s="1852"/>
      <c r="GNL23" s="1852"/>
      <c r="GNO23" s="1852"/>
      <c r="GNR23" s="1852"/>
      <c r="GNU23" s="1852"/>
      <c r="GNX23" s="1852"/>
      <c r="GOA23" s="1852"/>
      <c r="GOD23" s="1852"/>
      <c r="GOG23" s="1852"/>
      <c r="GOJ23" s="1852"/>
      <c r="GOM23" s="1852"/>
      <c r="GOP23" s="1852"/>
      <c r="GOS23" s="1852"/>
      <c r="GOV23" s="1852"/>
      <c r="GOY23" s="1852"/>
      <c r="GPB23" s="1852"/>
      <c r="GPE23" s="1852"/>
      <c r="GPH23" s="1852"/>
      <c r="GPK23" s="1852"/>
      <c r="GPN23" s="1852"/>
      <c r="GPQ23" s="1852"/>
      <c r="GPT23" s="1852"/>
      <c r="GPW23" s="1852"/>
      <c r="GPZ23" s="1852"/>
      <c r="GQC23" s="1852"/>
      <c r="GQF23" s="1852"/>
      <c r="GQI23" s="1852"/>
      <c r="GQL23" s="1852"/>
      <c r="GQO23" s="1852"/>
      <c r="GQR23" s="1852"/>
      <c r="GQU23" s="1852"/>
      <c r="GQX23" s="1852"/>
      <c r="GRA23" s="1852"/>
      <c r="GRD23" s="1852"/>
      <c r="GRG23" s="1852"/>
      <c r="GRJ23" s="1852"/>
      <c r="GRM23" s="1852"/>
      <c r="GRP23" s="1852"/>
      <c r="GRS23" s="1852"/>
      <c r="GRV23" s="1852"/>
      <c r="GRY23" s="1852"/>
      <c r="GSB23" s="1852"/>
      <c r="GSE23" s="1852"/>
      <c r="GSH23" s="1852"/>
      <c r="GSK23" s="1852"/>
      <c r="GSN23" s="1852"/>
      <c r="GSQ23" s="1852"/>
      <c r="GST23" s="1852"/>
      <c r="GSW23" s="1852"/>
      <c r="GSZ23" s="1852"/>
      <c r="GTC23" s="1852"/>
      <c r="GTF23" s="1852"/>
      <c r="GTI23" s="1852"/>
      <c r="GTL23" s="1852"/>
      <c r="GTO23" s="1852"/>
      <c r="GTR23" s="1852"/>
      <c r="GTU23" s="1852"/>
      <c r="GTX23" s="1852"/>
      <c r="GUA23" s="1852"/>
      <c r="GUD23" s="1852"/>
      <c r="GUG23" s="1852"/>
      <c r="GUJ23" s="1852"/>
      <c r="GUM23" s="1852"/>
      <c r="GUP23" s="1852"/>
      <c r="GUS23" s="1852"/>
      <c r="GUV23" s="1852"/>
      <c r="GUY23" s="1852"/>
      <c r="GVB23" s="1852"/>
      <c r="GVE23" s="1852"/>
      <c r="GVH23" s="1852"/>
      <c r="GVK23" s="1852"/>
      <c r="GVN23" s="1852"/>
      <c r="GVQ23" s="1852"/>
      <c r="GVT23" s="1852"/>
      <c r="GVW23" s="1852"/>
      <c r="GVZ23" s="1852"/>
      <c r="GWC23" s="1852"/>
      <c r="GWF23" s="1852"/>
      <c r="GWI23" s="1852"/>
      <c r="GWL23" s="1852"/>
      <c r="GWO23" s="1852"/>
      <c r="GWR23" s="1852"/>
      <c r="GWU23" s="1852"/>
      <c r="GWX23" s="1852"/>
      <c r="GXA23" s="1852"/>
      <c r="GXD23" s="1852"/>
      <c r="GXG23" s="1852"/>
      <c r="GXJ23" s="1852"/>
      <c r="GXM23" s="1852"/>
      <c r="GXP23" s="1852"/>
      <c r="GXS23" s="1852"/>
      <c r="GXV23" s="1852"/>
      <c r="GXY23" s="1852"/>
      <c r="GYB23" s="1852"/>
      <c r="GYE23" s="1852"/>
      <c r="GYH23" s="1852"/>
      <c r="GYK23" s="1852"/>
      <c r="GYN23" s="1852"/>
      <c r="GYQ23" s="1852"/>
      <c r="GYT23" s="1852"/>
      <c r="GYW23" s="1852"/>
      <c r="GYZ23" s="1852"/>
      <c r="GZC23" s="1852"/>
      <c r="GZF23" s="1852"/>
      <c r="GZI23" s="1852"/>
      <c r="GZL23" s="1852"/>
      <c r="GZO23" s="1852"/>
      <c r="GZR23" s="1852"/>
      <c r="GZU23" s="1852"/>
      <c r="GZX23" s="1852"/>
      <c r="HAA23" s="1852"/>
      <c r="HAD23" s="1852"/>
      <c r="HAG23" s="1852"/>
      <c r="HAJ23" s="1852"/>
      <c r="HAM23" s="1852"/>
      <c r="HAP23" s="1852"/>
      <c r="HAS23" s="1852"/>
      <c r="HAV23" s="1852"/>
      <c r="HAY23" s="1852"/>
      <c r="HBB23" s="1852"/>
      <c r="HBE23" s="1852"/>
      <c r="HBH23" s="1852"/>
      <c r="HBK23" s="1852"/>
      <c r="HBN23" s="1852"/>
      <c r="HBQ23" s="1852"/>
      <c r="HBT23" s="1852"/>
      <c r="HBW23" s="1852"/>
      <c r="HBZ23" s="1852"/>
      <c r="HCC23" s="1852"/>
      <c r="HCF23" s="1852"/>
      <c r="HCI23" s="1852"/>
      <c r="HCL23" s="1852"/>
      <c r="HCO23" s="1852"/>
      <c r="HCR23" s="1852"/>
      <c r="HCU23" s="1852"/>
      <c r="HCX23" s="1852"/>
      <c r="HDA23" s="1852"/>
      <c r="HDD23" s="1852"/>
      <c r="HDG23" s="1852"/>
      <c r="HDJ23" s="1852"/>
      <c r="HDM23" s="1852"/>
      <c r="HDP23" s="1852"/>
      <c r="HDS23" s="1852"/>
      <c r="HDV23" s="1852"/>
      <c r="HDY23" s="1852"/>
      <c r="HEB23" s="1852"/>
      <c r="HEE23" s="1852"/>
      <c r="HEH23" s="1852"/>
      <c r="HEK23" s="1852"/>
      <c r="HEN23" s="1852"/>
      <c r="HEQ23" s="1852"/>
      <c r="HET23" s="1852"/>
      <c r="HEW23" s="1852"/>
      <c r="HEZ23" s="1852"/>
      <c r="HFC23" s="1852"/>
      <c r="HFF23" s="1852"/>
      <c r="HFI23" s="1852"/>
      <c r="HFL23" s="1852"/>
      <c r="HFO23" s="1852"/>
      <c r="HFR23" s="1852"/>
      <c r="HFU23" s="1852"/>
      <c r="HFX23" s="1852"/>
      <c r="HGA23" s="1852"/>
      <c r="HGD23" s="1852"/>
      <c r="HGG23" s="1852"/>
      <c r="HGJ23" s="1852"/>
      <c r="HGM23" s="1852"/>
      <c r="HGP23" s="1852"/>
      <c r="HGS23" s="1852"/>
      <c r="HGV23" s="1852"/>
      <c r="HGY23" s="1852"/>
      <c r="HHB23" s="1852"/>
      <c r="HHE23" s="1852"/>
      <c r="HHH23" s="1852"/>
      <c r="HHK23" s="1852"/>
      <c r="HHN23" s="1852"/>
      <c r="HHQ23" s="1852"/>
      <c r="HHT23" s="1852"/>
      <c r="HHW23" s="1852"/>
      <c r="HHZ23" s="1852"/>
      <c r="HIC23" s="1852"/>
      <c r="HIF23" s="1852"/>
      <c r="HII23" s="1852"/>
      <c r="HIL23" s="1852"/>
      <c r="HIO23" s="1852"/>
      <c r="HIR23" s="1852"/>
      <c r="HIU23" s="1852"/>
      <c r="HIX23" s="1852"/>
      <c r="HJA23" s="1852"/>
      <c r="HJD23" s="1852"/>
      <c r="HJG23" s="1852"/>
      <c r="HJJ23" s="1852"/>
      <c r="HJM23" s="1852"/>
      <c r="HJP23" s="1852"/>
      <c r="HJS23" s="1852"/>
      <c r="HJV23" s="1852"/>
      <c r="HJY23" s="1852"/>
      <c r="HKB23" s="1852"/>
      <c r="HKE23" s="1852"/>
      <c r="HKH23" s="1852"/>
      <c r="HKK23" s="1852"/>
      <c r="HKN23" s="1852"/>
      <c r="HKQ23" s="1852"/>
      <c r="HKT23" s="1852"/>
      <c r="HKW23" s="1852"/>
      <c r="HKZ23" s="1852"/>
      <c r="HLC23" s="1852"/>
      <c r="HLF23" s="1852"/>
      <c r="HLI23" s="1852"/>
      <c r="HLL23" s="1852"/>
      <c r="HLO23" s="1852"/>
      <c r="HLR23" s="1852"/>
      <c r="HLU23" s="1852"/>
      <c r="HLX23" s="1852"/>
      <c r="HMA23" s="1852"/>
      <c r="HMD23" s="1852"/>
      <c r="HMG23" s="1852"/>
      <c r="HMJ23" s="1852"/>
      <c r="HMM23" s="1852"/>
      <c r="HMP23" s="1852"/>
      <c r="HMS23" s="1852"/>
      <c r="HMV23" s="1852"/>
      <c r="HMY23" s="1852"/>
      <c r="HNB23" s="1852"/>
      <c r="HNE23" s="1852"/>
      <c r="HNH23" s="1852"/>
      <c r="HNK23" s="1852"/>
      <c r="HNN23" s="1852"/>
      <c r="HNQ23" s="1852"/>
      <c r="HNT23" s="1852"/>
      <c r="HNW23" s="1852"/>
      <c r="HNZ23" s="1852"/>
      <c r="HOC23" s="1852"/>
      <c r="HOF23" s="1852"/>
      <c r="HOI23" s="1852"/>
      <c r="HOL23" s="1852"/>
      <c r="HOO23" s="1852"/>
      <c r="HOR23" s="1852"/>
      <c r="HOU23" s="1852"/>
      <c r="HOX23" s="1852"/>
      <c r="HPA23" s="1852"/>
      <c r="HPD23" s="1852"/>
      <c r="HPG23" s="1852"/>
      <c r="HPJ23" s="1852"/>
      <c r="HPM23" s="1852"/>
      <c r="HPP23" s="1852"/>
      <c r="HPS23" s="1852"/>
      <c r="HPV23" s="1852"/>
      <c r="HPY23" s="1852"/>
      <c r="HQB23" s="1852"/>
      <c r="HQE23" s="1852"/>
      <c r="HQH23" s="1852"/>
      <c r="HQK23" s="1852"/>
      <c r="HQN23" s="1852"/>
      <c r="HQQ23" s="1852"/>
      <c r="HQT23" s="1852"/>
      <c r="HQW23" s="1852"/>
      <c r="HQZ23" s="1852"/>
      <c r="HRC23" s="1852"/>
      <c r="HRF23" s="1852"/>
      <c r="HRI23" s="1852"/>
      <c r="HRL23" s="1852"/>
      <c r="HRO23" s="1852"/>
      <c r="HRR23" s="1852"/>
      <c r="HRU23" s="1852"/>
      <c r="HRX23" s="1852"/>
      <c r="HSA23" s="1852"/>
      <c r="HSD23" s="1852"/>
      <c r="HSG23" s="1852"/>
      <c r="HSJ23" s="1852"/>
      <c r="HSM23" s="1852"/>
      <c r="HSP23" s="1852"/>
      <c r="HSS23" s="1852"/>
      <c r="HSV23" s="1852"/>
      <c r="HSY23" s="1852"/>
      <c r="HTB23" s="1852"/>
      <c r="HTE23" s="1852"/>
      <c r="HTH23" s="1852"/>
      <c r="HTK23" s="1852"/>
      <c r="HTN23" s="1852"/>
      <c r="HTQ23" s="1852"/>
      <c r="HTT23" s="1852"/>
      <c r="HTW23" s="1852"/>
      <c r="HTZ23" s="1852"/>
      <c r="HUC23" s="1852"/>
      <c r="HUF23" s="1852"/>
      <c r="HUI23" s="1852"/>
      <c r="HUL23" s="1852"/>
      <c r="HUO23" s="1852"/>
      <c r="HUR23" s="1852"/>
      <c r="HUU23" s="1852"/>
      <c r="HUX23" s="1852"/>
      <c r="HVA23" s="1852"/>
      <c r="HVD23" s="1852"/>
      <c r="HVG23" s="1852"/>
      <c r="HVJ23" s="1852"/>
      <c r="HVM23" s="1852"/>
      <c r="HVP23" s="1852"/>
      <c r="HVS23" s="1852"/>
      <c r="HVV23" s="1852"/>
      <c r="HVY23" s="1852"/>
      <c r="HWB23" s="1852"/>
      <c r="HWE23" s="1852"/>
      <c r="HWH23" s="1852"/>
      <c r="HWK23" s="1852"/>
      <c r="HWN23" s="1852"/>
      <c r="HWQ23" s="1852"/>
      <c r="HWT23" s="1852"/>
      <c r="HWW23" s="1852"/>
      <c r="HWZ23" s="1852"/>
      <c r="HXC23" s="1852"/>
      <c r="HXF23" s="1852"/>
      <c r="HXI23" s="1852"/>
      <c r="HXL23" s="1852"/>
      <c r="HXO23" s="1852"/>
      <c r="HXR23" s="1852"/>
      <c r="HXU23" s="1852"/>
      <c r="HXX23" s="1852"/>
      <c r="HYA23" s="1852"/>
      <c r="HYD23" s="1852"/>
      <c r="HYG23" s="1852"/>
      <c r="HYJ23" s="1852"/>
      <c r="HYM23" s="1852"/>
      <c r="HYP23" s="1852"/>
      <c r="HYS23" s="1852"/>
      <c r="HYV23" s="1852"/>
      <c r="HYY23" s="1852"/>
      <c r="HZB23" s="1852"/>
      <c r="HZE23" s="1852"/>
      <c r="HZH23" s="1852"/>
      <c r="HZK23" s="1852"/>
      <c r="HZN23" s="1852"/>
      <c r="HZQ23" s="1852"/>
      <c r="HZT23" s="1852"/>
      <c r="HZW23" s="1852"/>
      <c r="HZZ23" s="1852"/>
      <c r="IAC23" s="1852"/>
      <c r="IAF23" s="1852"/>
      <c r="IAI23" s="1852"/>
      <c r="IAL23" s="1852"/>
      <c r="IAO23" s="1852"/>
      <c r="IAR23" s="1852"/>
      <c r="IAU23" s="1852"/>
      <c r="IAX23" s="1852"/>
      <c r="IBA23" s="1852"/>
      <c r="IBD23" s="1852"/>
      <c r="IBG23" s="1852"/>
      <c r="IBJ23" s="1852"/>
      <c r="IBM23" s="1852"/>
      <c r="IBP23" s="1852"/>
      <c r="IBS23" s="1852"/>
      <c r="IBV23" s="1852"/>
      <c r="IBY23" s="1852"/>
      <c r="ICB23" s="1852"/>
      <c r="ICE23" s="1852"/>
      <c r="ICH23" s="1852"/>
      <c r="ICK23" s="1852"/>
      <c r="ICN23" s="1852"/>
      <c r="ICQ23" s="1852"/>
      <c r="ICT23" s="1852"/>
      <c r="ICW23" s="1852"/>
      <c r="ICZ23" s="1852"/>
      <c r="IDC23" s="1852"/>
      <c r="IDF23" s="1852"/>
      <c r="IDI23" s="1852"/>
      <c r="IDL23" s="1852"/>
      <c r="IDO23" s="1852"/>
      <c r="IDR23" s="1852"/>
      <c r="IDU23" s="1852"/>
      <c r="IDX23" s="1852"/>
      <c r="IEA23" s="1852"/>
      <c r="IED23" s="1852"/>
      <c r="IEG23" s="1852"/>
      <c r="IEJ23" s="1852"/>
      <c r="IEM23" s="1852"/>
      <c r="IEP23" s="1852"/>
      <c r="IES23" s="1852"/>
      <c r="IEV23" s="1852"/>
      <c r="IEY23" s="1852"/>
      <c r="IFB23" s="1852"/>
      <c r="IFE23" s="1852"/>
      <c r="IFH23" s="1852"/>
      <c r="IFK23" s="1852"/>
      <c r="IFN23" s="1852"/>
      <c r="IFQ23" s="1852"/>
      <c r="IFT23" s="1852"/>
      <c r="IFW23" s="1852"/>
      <c r="IFZ23" s="1852"/>
      <c r="IGC23" s="1852"/>
      <c r="IGF23" s="1852"/>
      <c r="IGI23" s="1852"/>
      <c r="IGL23" s="1852"/>
      <c r="IGO23" s="1852"/>
      <c r="IGR23" s="1852"/>
      <c r="IGU23" s="1852"/>
      <c r="IGX23" s="1852"/>
      <c r="IHA23" s="1852"/>
      <c r="IHD23" s="1852"/>
      <c r="IHG23" s="1852"/>
      <c r="IHJ23" s="1852"/>
      <c r="IHM23" s="1852"/>
      <c r="IHP23" s="1852"/>
      <c r="IHS23" s="1852"/>
      <c r="IHV23" s="1852"/>
      <c r="IHY23" s="1852"/>
      <c r="IIB23" s="1852"/>
      <c r="IIE23" s="1852"/>
      <c r="IIH23" s="1852"/>
      <c r="IIK23" s="1852"/>
      <c r="IIN23" s="1852"/>
      <c r="IIQ23" s="1852"/>
      <c r="IIT23" s="1852"/>
      <c r="IIW23" s="1852"/>
      <c r="IIZ23" s="1852"/>
      <c r="IJC23" s="1852"/>
      <c r="IJF23" s="1852"/>
      <c r="IJI23" s="1852"/>
      <c r="IJL23" s="1852"/>
      <c r="IJO23" s="1852"/>
      <c r="IJR23" s="1852"/>
      <c r="IJU23" s="1852"/>
      <c r="IJX23" s="1852"/>
      <c r="IKA23" s="1852"/>
      <c r="IKD23" s="1852"/>
      <c r="IKG23" s="1852"/>
      <c r="IKJ23" s="1852"/>
      <c r="IKM23" s="1852"/>
      <c r="IKP23" s="1852"/>
      <c r="IKS23" s="1852"/>
      <c r="IKV23" s="1852"/>
      <c r="IKY23" s="1852"/>
      <c r="ILB23" s="1852"/>
      <c r="ILE23" s="1852"/>
      <c r="ILH23" s="1852"/>
      <c r="ILK23" s="1852"/>
      <c r="ILN23" s="1852"/>
      <c r="ILQ23" s="1852"/>
      <c r="ILT23" s="1852"/>
      <c r="ILW23" s="1852"/>
      <c r="ILZ23" s="1852"/>
      <c r="IMC23" s="1852"/>
      <c r="IMF23" s="1852"/>
      <c r="IMI23" s="1852"/>
      <c r="IML23" s="1852"/>
      <c r="IMO23" s="1852"/>
      <c r="IMR23" s="1852"/>
      <c r="IMU23" s="1852"/>
      <c r="IMX23" s="1852"/>
      <c r="INA23" s="1852"/>
      <c r="IND23" s="1852"/>
      <c r="ING23" s="1852"/>
      <c r="INJ23" s="1852"/>
      <c r="INM23" s="1852"/>
      <c r="INP23" s="1852"/>
      <c r="INS23" s="1852"/>
      <c r="INV23" s="1852"/>
      <c r="INY23" s="1852"/>
      <c r="IOB23" s="1852"/>
      <c r="IOE23" s="1852"/>
      <c r="IOH23" s="1852"/>
      <c r="IOK23" s="1852"/>
      <c r="ION23" s="1852"/>
      <c r="IOQ23" s="1852"/>
      <c r="IOT23" s="1852"/>
      <c r="IOW23" s="1852"/>
      <c r="IOZ23" s="1852"/>
      <c r="IPC23" s="1852"/>
      <c r="IPF23" s="1852"/>
      <c r="IPI23" s="1852"/>
      <c r="IPL23" s="1852"/>
      <c r="IPO23" s="1852"/>
      <c r="IPR23" s="1852"/>
      <c r="IPU23" s="1852"/>
      <c r="IPX23" s="1852"/>
      <c r="IQA23" s="1852"/>
      <c r="IQD23" s="1852"/>
      <c r="IQG23" s="1852"/>
      <c r="IQJ23" s="1852"/>
      <c r="IQM23" s="1852"/>
      <c r="IQP23" s="1852"/>
      <c r="IQS23" s="1852"/>
      <c r="IQV23" s="1852"/>
      <c r="IQY23" s="1852"/>
      <c r="IRB23" s="1852"/>
      <c r="IRE23" s="1852"/>
      <c r="IRH23" s="1852"/>
      <c r="IRK23" s="1852"/>
      <c r="IRN23" s="1852"/>
      <c r="IRQ23" s="1852"/>
      <c r="IRT23" s="1852"/>
      <c r="IRW23" s="1852"/>
      <c r="IRZ23" s="1852"/>
      <c r="ISC23" s="1852"/>
      <c r="ISF23" s="1852"/>
      <c r="ISI23" s="1852"/>
      <c r="ISL23" s="1852"/>
      <c r="ISO23" s="1852"/>
      <c r="ISR23" s="1852"/>
      <c r="ISU23" s="1852"/>
      <c r="ISX23" s="1852"/>
      <c r="ITA23" s="1852"/>
      <c r="ITD23" s="1852"/>
      <c r="ITG23" s="1852"/>
      <c r="ITJ23" s="1852"/>
      <c r="ITM23" s="1852"/>
      <c r="ITP23" s="1852"/>
      <c r="ITS23" s="1852"/>
      <c r="ITV23" s="1852"/>
      <c r="ITY23" s="1852"/>
      <c r="IUB23" s="1852"/>
      <c r="IUE23" s="1852"/>
      <c r="IUH23" s="1852"/>
      <c r="IUK23" s="1852"/>
      <c r="IUN23" s="1852"/>
      <c r="IUQ23" s="1852"/>
      <c r="IUT23" s="1852"/>
      <c r="IUW23" s="1852"/>
      <c r="IUZ23" s="1852"/>
      <c r="IVC23" s="1852"/>
      <c r="IVF23" s="1852"/>
      <c r="IVI23" s="1852"/>
      <c r="IVL23" s="1852"/>
      <c r="IVO23" s="1852"/>
      <c r="IVR23" s="1852"/>
      <c r="IVU23" s="1852"/>
      <c r="IVX23" s="1852"/>
      <c r="IWA23" s="1852"/>
      <c r="IWD23" s="1852"/>
      <c r="IWG23" s="1852"/>
      <c r="IWJ23" s="1852"/>
      <c r="IWM23" s="1852"/>
      <c r="IWP23" s="1852"/>
      <c r="IWS23" s="1852"/>
      <c r="IWV23" s="1852"/>
      <c r="IWY23" s="1852"/>
      <c r="IXB23" s="1852"/>
      <c r="IXE23" s="1852"/>
      <c r="IXH23" s="1852"/>
      <c r="IXK23" s="1852"/>
      <c r="IXN23" s="1852"/>
      <c r="IXQ23" s="1852"/>
      <c r="IXT23" s="1852"/>
      <c r="IXW23" s="1852"/>
      <c r="IXZ23" s="1852"/>
      <c r="IYC23" s="1852"/>
      <c r="IYF23" s="1852"/>
      <c r="IYI23" s="1852"/>
      <c r="IYL23" s="1852"/>
      <c r="IYO23" s="1852"/>
      <c r="IYR23" s="1852"/>
      <c r="IYU23" s="1852"/>
      <c r="IYX23" s="1852"/>
      <c r="IZA23" s="1852"/>
      <c r="IZD23" s="1852"/>
      <c r="IZG23" s="1852"/>
      <c r="IZJ23" s="1852"/>
      <c r="IZM23" s="1852"/>
      <c r="IZP23" s="1852"/>
      <c r="IZS23" s="1852"/>
      <c r="IZV23" s="1852"/>
      <c r="IZY23" s="1852"/>
      <c r="JAB23" s="1852"/>
      <c r="JAE23" s="1852"/>
      <c r="JAH23" s="1852"/>
      <c r="JAK23" s="1852"/>
      <c r="JAN23" s="1852"/>
      <c r="JAQ23" s="1852"/>
      <c r="JAT23" s="1852"/>
      <c r="JAW23" s="1852"/>
      <c r="JAZ23" s="1852"/>
      <c r="JBC23" s="1852"/>
      <c r="JBF23" s="1852"/>
      <c r="JBI23" s="1852"/>
      <c r="JBL23" s="1852"/>
      <c r="JBO23" s="1852"/>
      <c r="JBR23" s="1852"/>
      <c r="JBU23" s="1852"/>
      <c r="JBX23" s="1852"/>
      <c r="JCA23" s="1852"/>
      <c r="JCD23" s="1852"/>
      <c r="JCG23" s="1852"/>
      <c r="JCJ23" s="1852"/>
      <c r="JCM23" s="1852"/>
      <c r="JCP23" s="1852"/>
      <c r="JCS23" s="1852"/>
      <c r="JCV23" s="1852"/>
      <c r="JCY23" s="1852"/>
      <c r="JDB23" s="1852"/>
      <c r="JDE23" s="1852"/>
      <c r="JDH23" s="1852"/>
      <c r="JDK23" s="1852"/>
      <c r="JDN23" s="1852"/>
      <c r="JDQ23" s="1852"/>
      <c r="JDT23" s="1852"/>
      <c r="JDW23" s="1852"/>
      <c r="JDZ23" s="1852"/>
      <c r="JEC23" s="1852"/>
      <c r="JEF23" s="1852"/>
      <c r="JEI23" s="1852"/>
      <c r="JEL23" s="1852"/>
      <c r="JEO23" s="1852"/>
      <c r="JER23" s="1852"/>
      <c r="JEU23" s="1852"/>
      <c r="JEX23" s="1852"/>
      <c r="JFA23" s="1852"/>
      <c r="JFD23" s="1852"/>
      <c r="JFG23" s="1852"/>
      <c r="JFJ23" s="1852"/>
      <c r="JFM23" s="1852"/>
      <c r="JFP23" s="1852"/>
      <c r="JFS23" s="1852"/>
      <c r="JFV23" s="1852"/>
      <c r="JFY23" s="1852"/>
      <c r="JGB23" s="1852"/>
      <c r="JGE23" s="1852"/>
      <c r="JGH23" s="1852"/>
      <c r="JGK23" s="1852"/>
      <c r="JGN23" s="1852"/>
      <c r="JGQ23" s="1852"/>
      <c r="JGT23" s="1852"/>
      <c r="JGW23" s="1852"/>
      <c r="JGZ23" s="1852"/>
      <c r="JHC23" s="1852"/>
      <c r="JHF23" s="1852"/>
      <c r="JHI23" s="1852"/>
      <c r="JHL23" s="1852"/>
      <c r="JHO23" s="1852"/>
      <c r="JHR23" s="1852"/>
      <c r="JHU23" s="1852"/>
      <c r="JHX23" s="1852"/>
      <c r="JIA23" s="1852"/>
      <c r="JID23" s="1852"/>
      <c r="JIG23" s="1852"/>
      <c r="JIJ23" s="1852"/>
      <c r="JIM23" s="1852"/>
      <c r="JIP23" s="1852"/>
      <c r="JIS23" s="1852"/>
      <c r="JIV23" s="1852"/>
      <c r="JIY23" s="1852"/>
      <c r="JJB23" s="1852"/>
      <c r="JJE23" s="1852"/>
      <c r="JJH23" s="1852"/>
      <c r="JJK23" s="1852"/>
      <c r="JJN23" s="1852"/>
      <c r="JJQ23" s="1852"/>
      <c r="JJT23" s="1852"/>
      <c r="JJW23" s="1852"/>
      <c r="JJZ23" s="1852"/>
      <c r="JKC23" s="1852"/>
      <c r="JKF23" s="1852"/>
      <c r="JKI23" s="1852"/>
      <c r="JKL23" s="1852"/>
      <c r="JKO23" s="1852"/>
      <c r="JKR23" s="1852"/>
      <c r="JKU23" s="1852"/>
      <c r="JKX23" s="1852"/>
      <c r="JLA23" s="1852"/>
      <c r="JLD23" s="1852"/>
      <c r="JLG23" s="1852"/>
      <c r="JLJ23" s="1852"/>
      <c r="JLM23" s="1852"/>
      <c r="JLP23" s="1852"/>
      <c r="JLS23" s="1852"/>
      <c r="JLV23" s="1852"/>
      <c r="JLY23" s="1852"/>
      <c r="JMB23" s="1852"/>
      <c r="JME23" s="1852"/>
      <c r="JMH23" s="1852"/>
      <c r="JMK23" s="1852"/>
      <c r="JMN23" s="1852"/>
      <c r="JMQ23" s="1852"/>
      <c r="JMT23" s="1852"/>
      <c r="JMW23" s="1852"/>
      <c r="JMZ23" s="1852"/>
      <c r="JNC23" s="1852"/>
      <c r="JNF23" s="1852"/>
      <c r="JNI23" s="1852"/>
      <c r="JNL23" s="1852"/>
      <c r="JNO23" s="1852"/>
      <c r="JNR23" s="1852"/>
      <c r="JNU23" s="1852"/>
      <c r="JNX23" s="1852"/>
      <c r="JOA23" s="1852"/>
      <c r="JOD23" s="1852"/>
      <c r="JOG23" s="1852"/>
      <c r="JOJ23" s="1852"/>
      <c r="JOM23" s="1852"/>
      <c r="JOP23" s="1852"/>
      <c r="JOS23" s="1852"/>
      <c r="JOV23" s="1852"/>
      <c r="JOY23" s="1852"/>
      <c r="JPB23" s="1852"/>
      <c r="JPE23" s="1852"/>
      <c r="JPH23" s="1852"/>
      <c r="JPK23" s="1852"/>
      <c r="JPN23" s="1852"/>
      <c r="JPQ23" s="1852"/>
      <c r="JPT23" s="1852"/>
      <c r="JPW23" s="1852"/>
      <c r="JPZ23" s="1852"/>
      <c r="JQC23" s="1852"/>
      <c r="JQF23" s="1852"/>
      <c r="JQI23" s="1852"/>
      <c r="JQL23" s="1852"/>
      <c r="JQO23" s="1852"/>
      <c r="JQR23" s="1852"/>
      <c r="JQU23" s="1852"/>
      <c r="JQX23" s="1852"/>
      <c r="JRA23" s="1852"/>
      <c r="JRD23" s="1852"/>
      <c r="JRG23" s="1852"/>
      <c r="JRJ23" s="1852"/>
      <c r="JRM23" s="1852"/>
      <c r="JRP23" s="1852"/>
      <c r="JRS23" s="1852"/>
      <c r="JRV23" s="1852"/>
      <c r="JRY23" s="1852"/>
      <c r="JSB23" s="1852"/>
      <c r="JSE23" s="1852"/>
      <c r="JSH23" s="1852"/>
      <c r="JSK23" s="1852"/>
      <c r="JSN23" s="1852"/>
      <c r="JSQ23" s="1852"/>
      <c r="JST23" s="1852"/>
      <c r="JSW23" s="1852"/>
      <c r="JSZ23" s="1852"/>
      <c r="JTC23" s="1852"/>
      <c r="JTF23" s="1852"/>
      <c r="JTI23" s="1852"/>
      <c r="JTL23" s="1852"/>
      <c r="JTO23" s="1852"/>
      <c r="JTR23" s="1852"/>
      <c r="JTU23" s="1852"/>
      <c r="JTX23" s="1852"/>
      <c r="JUA23" s="1852"/>
      <c r="JUD23" s="1852"/>
      <c r="JUG23" s="1852"/>
      <c r="JUJ23" s="1852"/>
      <c r="JUM23" s="1852"/>
      <c r="JUP23" s="1852"/>
      <c r="JUS23" s="1852"/>
      <c r="JUV23" s="1852"/>
      <c r="JUY23" s="1852"/>
      <c r="JVB23" s="1852"/>
      <c r="JVE23" s="1852"/>
      <c r="JVH23" s="1852"/>
      <c r="JVK23" s="1852"/>
      <c r="JVN23" s="1852"/>
      <c r="JVQ23" s="1852"/>
      <c r="JVT23" s="1852"/>
      <c r="JVW23" s="1852"/>
      <c r="JVZ23" s="1852"/>
      <c r="JWC23" s="1852"/>
      <c r="JWF23" s="1852"/>
      <c r="JWI23" s="1852"/>
      <c r="JWL23" s="1852"/>
      <c r="JWO23" s="1852"/>
      <c r="JWR23" s="1852"/>
      <c r="JWU23" s="1852"/>
      <c r="JWX23" s="1852"/>
      <c r="JXA23" s="1852"/>
      <c r="JXD23" s="1852"/>
      <c r="JXG23" s="1852"/>
      <c r="JXJ23" s="1852"/>
      <c r="JXM23" s="1852"/>
      <c r="JXP23" s="1852"/>
      <c r="JXS23" s="1852"/>
      <c r="JXV23" s="1852"/>
      <c r="JXY23" s="1852"/>
      <c r="JYB23" s="1852"/>
      <c r="JYE23" s="1852"/>
      <c r="JYH23" s="1852"/>
      <c r="JYK23" s="1852"/>
      <c r="JYN23" s="1852"/>
      <c r="JYQ23" s="1852"/>
      <c r="JYT23" s="1852"/>
      <c r="JYW23" s="1852"/>
      <c r="JYZ23" s="1852"/>
      <c r="JZC23" s="1852"/>
      <c r="JZF23" s="1852"/>
      <c r="JZI23" s="1852"/>
      <c r="JZL23" s="1852"/>
      <c r="JZO23" s="1852"/>
      <c r="JZR23" s="1852"/>
      <c r="JZU23" s="1852"/>
      <c r="JZX23" s="1852"/>
      <c r="KAA23" s="1852"/>
      <c r="KAD23" s="1852"/>
      <c r="KAG23" s="1852"/>
      <c r="KAJ23" s="1852"/>
      <c r="KAM23" s="1852"/>
      <c r="KAP23" s="1852"/>
      <c r="KAS23" s="1852"/>
      <c r="KAV23" s="1852"/>
      <c r="KAY23" s="1852"/>
      <c r="KBB23" s="1852"/>
      <c r="KBE23" s="1852"/>
      <c r="KBH23" s="1852"/>
      <c r="KBK23" s="1852"/>
      <c r="KBN23" s="1852"/>
      <c r="KBQ23" s="1852"/>
      <c r="KBT23" s="1852"/>
      <c r="KBW23" s="1852"/>
      <c r="KBZ23" s="1852"/>
      <c r="KCC23" s="1852"/>
      <c r="KCF23" s="1852"/>
      <c r="KCI23" s="1852"/>
      <c r="KCL23" s="1852"/>
      <c r="KCO23" s="1852"/>
      <c r="KCR23" s="1852"/>
      <c r="KCU23" s="1852"/>
      <c r="KCX23" s="1852"/>
      <c r="KDA23" s="1852"/>
      <c r="KDD23" s="1852"/>
      <c r="KDG23" s="1852"/>
      <c r="KDJ23" s="1852"/>
      <c r="KDM23" s="1852"/>
      <c r="KDP23" s="1852"/>
      <c r="KDS23" s="1852"/>
      <c r="KDV23" s="1852"/>
      <c r="KDY23" s="1852"/>
      <c r="KEB23" s="1852"/>
      <c r="KEE23" s="1852"/>
      <c r="KEH23" s="1852"/>
      <c r="KEK23" s="1852"/>
      <c r="KEN23" s="1852"/>
      <c r="KEQ23" s="1852"/>
      <c r="KET23" s="1852"/>
      <c r="KEW23" s="1852"/>
      <c r="KEZ23" s="1852"/>
      <c r="KFC23" s="1852"/>
      <c r="KFF23" s="1852"/>
      <c r="KFI23" s="1852"/>
      <c r="KFL23" s="1852"/>
      <c r="KFO23" s="1852"/>
      <c r="KFR23" s="1852"/>
      <c r="KFU23" s="1852"/>
      <c r="KFX23" s="1852"/>
      <c r="KGA23" s="1852"/>
      <c r="KGD23" s="1852"/>
      <c r="KGG23" s="1852"/>
      <c r="KGJ23" s="1852"/>
      <c r="KGM23" s="1852"/>
      <c r="KGP23" s="1852"/>
      <c r="KGS23" s="1852"/>
      <c r="KGV23" s="1852"/>
      <c r="KGY23" s="1852"/>
      <c r="KHB23" s="1852"/>
      <c r="KHE23" s="1852"/>
      <c r="KHH23" s="1852"/>
      <c r="KHK23" s="1852"/>
      <c r="KHN23" s="1852"/>
      <c r="KHQ23" s="1852"/>
      <c r="KHT23" s="1852"/>
      <c r="KHW23" s="1852"/>
      <c r="KHZ23" s="1852"/>
      <c r="KIC23" s="1852"/>
      <c r="KIF23" s="1852"/>
      <c r="KII23" s="1852"/>
      <c r="KIL23" s="1852"/>
      <c r="KIO23" s="1852"/>
      <c r="KIR23" s="1852"/>
      <c r="KIU23" s="1852"/>
      <c r="KIX23" s="1852"/>
      <c r="KJA23" s="1852"/>
      <c r="KJD23" s="1852"/>
      <c r="KJG23" s="1852"/>
      <c r="KJJ23" s="1852"/>
      <c r="KJM23" s="1852"/>
      <c r="KJP23" s="1852"/>
      <c r="KJS23" s="1852"/>
      <c r="KJV23" s="1852"/>
      <c r="KJY23" s="1852"/>
      <c r="KKB23" s="1852"/>
      <c r="KKE23" s="1852"/>
      <c r="KKH23" s="1852"/>
      <c r="KKK23" s="1852"/>
      <c r="KKN23" s="1852"/>
      <c r="KKQ23" s="1852"/>
      <c r="KKT23" s="1852"/>
      <c r="KKW23" s="1852"/>
      <c r="KKZ23" s="1852"/>
      <c r="KLC23" s="1852"/>
      <c r="KLF23" s="1852"/>
      <c r="KLI23" s="1852"/>
      <c r="KLL23" s="1852"/>
      <c r="KLO23" s="1852"/>
      <c r="KLR23" s="1852"/>
      <c r="KLU23" s="1852"/>
      <c r="KLX23" s="1852"/>
      <c r="KMA23" s="1852"/>
      <c r="KMD23" s="1852"/>
      <c r="KMG23" s="1852"/>
      <c r="KMJ23" s="1852"/>
      <c r="KMM23" s="1852"/>
      <c r="KMP23" s="1852"/>
      <c r="KMS23" s="1852"/>
      <c r="KMV23" s="1852"/>
      <c r="KMY23" s="1852"/>
      <c r="KNB23" s="1852"/>
      <c r="KNE23" s="1852"/>
      <c r="KNH23" s="1852"/>
      <c r="KNK23" s="1852"/>
      <c r="KNN23" s="1852"/>
      <c r="KNQ23" s="1852"/>
      <c r="KNT23" s="1852"/>
      <c r="KNW23" s="1852"/>
      <c r="KNZ23" s="1852"/>
      <c r="KOC23" s="1852"/>
      <c r="KOF23" s="1852"/>
      <c r="KOI23" s="1852"/>
      <c r="KOL23" s="1852"/>
      <c r="KOO23" s="1852"/>
      <c r="KOR23" s="1852"/>
      <c r="KOU23" s="1852"/>
      <c r="KOX23" s="1852"/>
      <c r="KPA23" s="1852"/>
      <c r="KPD23" s="1852"/>
      <c r="KPG23" s="1852"/>
      <c r="KPJ23" s="1852"/>
      <c r="KPM23" s="1852"/>
      <c r="KPP23" s="1852"/>
      <c r="KPS23" s="1852"/>
      <c r="KPV23" s="1852"/>
      <c r="KPY23" s="1852"/>
      <c r="KQB23" s="1852"/>
      <c r="KQE23" s="1852"/>
      <c r="KQH23" s="1852"/>
      <c r="KQK23" s="1852"/>
      <c r="KQN23" s="1852"/>
      <c r="KQQ23" s="1852"/>
      <c r="KQT23" s="1852"/>
      <c r="KQW23" s="1852"/>
      <c r="KQZ23" s="1852"/>
      <c r="KRC23" s="1852"/>
      <c r="KRF23" s="1852"/>
      <c r="KRI23" s="1852"/>
      <c r="KRL23" s="1852"/>
      <c r="KRO23" s="1852"/>
      <c r="KRR23" s="1852"/>
      <c r="KRU23" s="1852"/>
      <c r="KRX23" s="1852"/>
      <c r="KSA23" s="1852"/>
      <c r="KSD23" s="1852"/>
      <c r="KSG23" s="1852"/>
      <c r="KSJ23" s="1852"/>
      <c r="KSM23" s="1852"/>
      <c r="KSP23" s="1852"/>
      <c r="KSS23" s="1852"/>
      <c r="KSV23" s="1852"/>
      <c r="KSY23" s="1852"/>
      <c r="KTB23" s="1852"/>
      <c r="KTE23" s="1852"/>
      <c r="KTH23" s="1852"/>
      <c r="KTK23" s="1852"/>
      <c r="KTN23" s="1852"/>
      <c r="KTQ23" s="1852"/>
      <c r="KTT23" s="1852"/>
      <c r="KTW23" s="1852"/>
      <c r="KTZ23" s="1852"/>
      <c r="KUC23" s="1852"/>
      <c r="KUF23" s="1852"/>
      <c r="KUI23" s="1852"/>
      <c r="KUL23" s="1852"/>
      <c r="KUO23" s="1852"/>
      <c r="KUR23" s="1852"/>
      <c r="KUU23" s="1852"/>
      <c r="KUX23" s="1852"/>
      <c r="KVA23" s="1852"/>
      <c r="KVD23" s="1852"/>
      <c r="KVG23" s="1852"/>
      <c r="KVJ23" s="1852"/>
      <c r="KVM23" s="1852"/>
      <c r="KVP23" s="1852"/>
      <c r="KVS23" s="1852"/>
      <c r="KVV23" s="1852"/>
      <c r="KVY23" s="1852"/>
      <c r="KWB23" s="1852"/>
      <c r="KWE23" s="1852"/>
      <c r="KWH23" s="1852"/>
      <c r="KWK23" s="1852"/>
      <c r="KWN23" s="1852"/>
      <c r="KWQ23" s="1852"/>
      <c r="KWT23" s="1852"/>
      <c r="KWW23" s="1852"/>
      <c r="KWZ23" s="1852"/>
      <c r="KXC23" s="1852"/>
      <c r="KXF23" s="1852"/>
      <c r="KXI23" s="1852"/>
      <c r="KXL23" s="1852"/>
      <c r="KXO23" s="1852"/>
      <c r="KXR23" s="1852"/>
      <c r="KXU23" s="1852"/>
      <c r="KXX23" s="1852"/>
      <c r="KYA23" s="1852"/>
      <c r="KYD23" s="1852"/>
      <c r="KYG23" s="1852"/>
      <c r="KYJ23" s="1852"/>
      <c r="KYM23" s="1852"/>
      <c r="KYP23" s="1852"/>
      <c r="KYS23" s="1852"/>
      <c r="KYV23" s="1852"/>
      <c r="KYY23" s="1852"/>
      <c r="KZB23" s="1852"/>
      <c r="KZE23" s="1852"/>
      <c r="KZH23" s="1852"/>
      <c r="KZK23" s="1852"/>
      <c r="KZN23" s="1852"/>
      <c r="KZQ23" s="1852"/>
      <c r="KZT23" s="1852"/>
      <c r="KZW23" s="1852"/>
      <c r="KZZ23" s="1852"/>
      <c r="LAC23" s="1852"/>
      <c r="LAF23" s="1852"/>
      <c r="LAI23" s="1852"/>
      <c r="LAL23" s="1852"/>
      <c r="LAO23" s="1852"/>
      <c r="LAR23" s="1852"/>
      <c r="LAU23" s="1852"/>
      <c r="LAX23" s="1852"/>
      <c r="LBA23" s="1852"/>
      <c r="LBD23" s="1852"/>
      <c r="LBG23" s="1852"/>
      <c r="LBJ23" s="1852"/>
      <c r="LBM23" s="1852"/>
      <c r="LBP23" s="1852"/>
      <c r="LBS23" s="1852"/>
      <c r="LBV23" s="1852"/>
      <c r="LBY23" s="1852"/>
      <c r="LCB23" s="1852"/>
      <c r="LCE23" s="1852"/>
      <c r="LCH23" s="1852"/>
      <c r="LCK23" s="1852"/>
      <c r="LCN23" s="1852"/>
      <c r="LCQ23" s="1852"/>
      <c r="LCT23" s="1852"/>
      <c r="LCW23" s="1852"/>
      <c r="LCZ23" s="1852"/>
      <c r="LDC23" s="1852"/>
      <c r="LDF23" s="1852"/>
      <c r="LDI23" s="1852"/>
      <c r="LDL23" s="1852"/>
      <c r="LDO23" s="1852"/>
      <c r="LDR23" s="1852"/>
      <c r="LDU23" s="1852"/>
      <c r="LDX23" s="1852"/>
      <c r="LEA23" s="1852"/>
      <c r="LED23" s="1852"/>
      <c r="LEG23" s="1852"/>
      <c r="LEJ23" s="1852"/>
      <c r="LEM23" s="1852"/>
      <c r="LEP23" s="1852"/>
      <c r="LES23" s="1852"/>
      <c r="LEV23" s="1852"/>
      <c r="LEY23" s="1852"/>
      <c r="LFB23" s="1852"/>
      <c r="LFE23" s="1852"/>
      <c r="LFH23" s="1852"/>
      <c r="LFK23" s="1852"/>
      <c r="LFN23" s="1852"/>
      <c r="LFQ23" s="1852"/>
      <c r="LFT23" s="1852"/>
      <c r="LFW23" s="1852"/>
      <c r="LFZ23" s="1852"/>
      <c r="LGC23" s="1852"/>
      <c r="LGF23" s="1852"/>
      <c r="LGI23" s="1852"/>
      <c r="LGL23" s="1852"/>
      <c r="LGO23" s="1852"/>
      <c r="LGR23" s="1852"/>
      <c r="LGU23" s="1852"/>
      <c r="LGX23" s="1852"/>
      <c r="LHA23" s="1852"/>
      <c r="LHD23" s="1852"/>
      <c r="LHG23" s="1852"/>
      <c r="LHJ23" s="1852"/>
      <c r="LHM23" s="1852"/>
      <c r="LHP23" s="1852"/>
      <c r="LHS23" s="1852"/>
      <c r="LHV23" s="1852"/>
      <c r="LHY23" s="1852"/>
      <c r="LIB23" s="1852"/>
      <c r="LIE23" s="1852"/>
      <c r="LIH23" s="1852"/>
      <c r="LIK23" s="1852"/>
      <c r="LIN23" s="1852"/>
      <c r="LIQ23" s="1852"/>
      <c r="LIT23" s="1852"/>
      <c r="LIW23" s="1852"/>
      <c r="LIZ23" s="1852"/>
      <c r="LJC23" s="1852"/>
      <c r="LJF23" s="1852"/>
      <c r="LJI23" s="1852"/>
      <c r="LJL23" s="1852"/>
      <c r="LJO23" s="1852"/>
      <c r="LJR23" s="1852"/>
      <c r="LJU23" s="1852"/>
      <c r="LJX23" s="1852"/>
      <c r="LKA23" s="1852"/>
      <c r="LKD23" s="1852"/>
      <c r="LKG23" s="1852"/>
      <c r="LKJ23" s="1852"/>
      <c r="LKM23" s="1852"/>
      <c r="LKP23" s="1852"/>
      <c r="LKS23" s="1852"/>
      <c r="LKV23" s="1852"/>
      <c r="LKY23" s="1852"/>
      <c r="LLB23" s="1852"/>
      <c r="LLE23" s="1852"/>
      <c r="LLH23" s="1852"/>
      <c r="LLK23" s="1852"/>
      <c r="LLN23" s="1852"/>
      <c r="LLQ23" s="1852"/>
      <c r="LLT23" s="1852"/>
      <c r="LLW23" s="1852"/>
      <c r="LLZ23" s="1852"/>
      <c r="LMC23" s="1852"/>
      <c r="LMF23" s="1852"/>
      <c r="LMI23" s="1852"/>
      <c r="LML23" s="1852"/>
      <c r="LMO23" s="1852"/>
      <c r="LMR23" s="1852"/>
      <c r="LMU23" s="1852"/>
      <c r="LMX23" s="1852"/>
      <c r="LNA23" s="1852"/>
      <c r="LND23" s="1852"/>
      <c r="LNG23" s="1852"/>
      <c r="LNJ23" s="1852"/>
      <c r="LNM23" s="1852"/>
      <c r="LNP23" s="1852"/>
      <c r="LNS23" s="1852"/>
      <c r="LNV23" s="1852"/>
      <c r="LNY23" s="1852"/>
      <c r="LOB23" s="1852"/>
      <c r="LOE23" s="1852"/>
      <c r="LOH23" s="1852"/>
      <c r="LOK23" s="1852"/>
      <c r="LON23" s="1852"/>
      <c r="LOQ23" s="1852"/>
      <c r="LOT23" s="1852"/>
      <c r="LOW23" s="1852"/>
      <c r="LOZ23" s="1852"/>
      <c r="LPC23" s="1852"/>
      <c r="LPF23" s="1852"/>
      <c r="LPI23" s="1852"/>
      <c r="LPL23" s="1852"/>
      <c r="LPO23" s="1852"/>
      <c r="LPR23" s="1852"/>
      <c r="LPU23" s="1852"/>
      <c r="LPX23" s="1852"/>
      <c r="LQA23" s="1852"/>
      <c r="LQD23" s="1852"/>
      <c r="LQG23" s="1852"/>
      <c r="LQJ23" s="1852"/>
      <c r="LQM23" s="1852"/>
      <c r="LQP23" s="1852"/>
      <c r="LQS23" s="1852"/>
      <c r="LQV23" s="1852"/>
      <c r="LQY23" s="1852"/>
      <c r="LRB23" s="1852"/>
      <c r="LRE23" s="1852"/>
      <c r="LRH23" s="1852"/>
      <c r="LRK23" s="1852"/>
      <c r="LRN23" s="1852"/>
      <c r="LRQ23" s="1852"/>
      <c r="LRT23" s="1852"/>
      <c r="LRW23" s="1852"/>
      <c r="LRZ23" s="1852"/>
      <c r="LSC23" s="1852"/>
      <c r="LSF23" s="1852"/>
      <c r="LSI23" s="1852"/>
      <c r="LSL23" s="1852"/>
      <c r="LSO23" s="1852"/>
      <c r="LSR23" s="1852"/>
      <c r="LSU23" s="1852"/>
      <c r="LSX23" s="1852"/>
      <c r="LTA23" s="1852"/>
      <c r="LTD23" s="1852"/>
      <c r="LTG23" s="1852"/>
      <c r="LTJ23" s="1852"/>
      <c r="LTM23" s="1852"/>
      <c r="LTP23" s="1852"/>
      <c r="LTS23" s="1852"/>
      <c r="LTV23" s="1852"/>
      <c r="LTY23" s="1852"/>
      <c r="LUB23" s="1852"/>
      <c r="LUE23" s="1852"/>
      <c r="LUH23" s="1852"/>
      <c r="LUK23" s="1852"/>
      <c r="LUN23" s="1852"/>
      <c r="LUQ23" s="1852"/>
      <c r="LUT23" s="1852"/>
      <c r="LUW23" s="1852"/>
      <c r="LUZ23" s="1852"/>
      <c r="LVC23" s="1852"/>
      <c r="LVF23" s="1852"/>
      <c r="LVI23" s="1852"/>
      <c r="LVL23" s="1852"/>
      <c r="LVO23" s="1852"/>
      <c r="LVR23" s="1852"/>
      <c r="LVU23" s="1852"/>
      <c r="LVX23" s="1852"/>
      <c r="LWA23" s="1852"/>
      <c r="LWD23" s="1852"/>
      <c r="LWG23" s="1852"/>
      <c r="LWJ23" s="1852"/>
      <c r="LWM23" s="1852"/>
      <c r="LWP23" s="1852"/>
      <c r="LWS23" s="1852"/>
      <c r="LWV23" s="1852"/>
      <c r="LWY23" s="1852"/>
      <c r="LXB23" s="1852"/>
      <c r="LXE23" s="1852"/>
      <c r="LXH23" s="1852"/>
      <c r="LXK23" s="1852"/>
      <c r="LXN23" s="1852"/>
      <c r="LXQ23" s="1852"/>
      <c r="LXT23" s="1852"/>
      <c r="LXW23" s="1852"/>
      <c r="LXZ23" s="1852"/>
      <c r="LYC23" s="1852"/>
      <c r="LYF23" s="1852"/>
      <c r="LYI23" s="1852"/>
      <c r="LYL23" s="1852"/>
      <c r="LYO23" s="1852"/>
      <c r="LYR23" s="1852"/>
      <c r="LYU23" s="1852"/>
      <c r="LYX23" s="1852"/>
      <c r="LZA23" s="1852"/>
      <c r="LZD23" s="1852"/>
      <c r="LZG23" s="1852"/>
      <c r="LZJ23" s="1852"/>
      <c r="LZM23" s="1852"/>
      <c r="LZP23" s="1852"/>
      <c r="LZS23" s="1852"/>
      <c r="LZV23" s="1852"/>
      <c r="LZY23" s="1852"/>
      <c r="MAB23" s="1852"/>
      <c r="MAE23" s="1852"/>
      <c r="MAH23" s="1852"/>
      <c r="MAK23" s="1852"/>
      <c r="MAN23" s="1852"/>
      <c r="MAQ23" s="1852"/>
      <c r="MAT23" s="1852"/>
      <c r="MAW23" s="1852"/>
      <c r="MAZ23" s="1852"/>
      <c r="MBC23" s="1852"/>
      <c r="MBF23" s="1852"/>
      <c r="MBI23" s="1852"/>
      <c r="MBL23" s="1852"/>
      <c r="MBO23" s="1852"/>
      <c r="MBR23" s="1852"/>
      <c r="MBU23" s="1852"/>
      <c r="MBX23" s="1852"/>
      <c r="MCA23" s="1852"/>
      <c r="MCD23" s="1852"/>
      <c r="MCG23" s="1852"/>
      <c r="MCJ23" s="1852"/>
      <c r="MCM23" s="1852"/>
      <c r="MCP23" s="1852"/>
      <c r="MCS23" s="1852"/>
      <c r="MCV23" s="1852"/>
      <c r="MCY23" s="1852"/>
      <c r="MDB23" s="1852"/>
      <c r="MDE23" s="1852"/>
      <c r="MDH23" s="1852"/>
      <c r="MDK23" s="1852"/>
      <c r="MDN23" s="1852"/>
      <c r="MDQ23" s="1852"/>
      <c r="MDT23" s="1852"/>
      <c r="MDW23" s="1852"/>
      <c r="MDZ23" s="1852"/>
      <c r="MEC23" s="1852"/>
      <c r="MEF23" s="1852"/>
      <c r="MEI23" s="1852"/>
      <c r="MEL23" s="1852"/>
      <c r="MEO23" s="1852"/>
      <c r="MER23" s="1852"/>
      <c r="MEU23" s="1852"/>
      <c r="MEX23" s="1852"/>
      <c r="MFA23" s="1852"/>
      <c r="MFD23" s="1852"/>
      <c r="MFG23" s="1852"/>
      <c r="MFJ23" s="1852"/>
      <c r="MFM23" s="1852"/>
      <c r="MFP23" s="1852"/>
      <c r="MFS23" s="1852"/>
      <c r="MFV23" s="1852"/>
      <c r="MFY23" s="1852"/>
      <c r="MGB23" s="1852"/>
      <c r="MGE23" s="1852"/>
      <c r="MGH23" s="1852"/>
      <c r="MGK23" s="1852"/>
      <c r="MGN23" s="1852"/>
      <c r="MGQ23" s="1852"/>
      <c r="MGT23" s="1852"/>
      <c r="MGW23" s="1852"/>
      <c r="MGZ23" s="1852"/>
      <c r="MHC23" s="1852"/>
      <c r="MHF23" s="1852"/>
      <c r="MHI23" s="1852"/>
      <c r="MHL23" s="1852"/>
      <c r="MHO23" s="1852"/>
      <c r="MHR23" s="1852"/>
      <c r="MHU23" s="1852"/>
      <c r="MHX23" s="1852"/>
      <c r="MIA23" s="1852"/>
      <c r="MID23" s="1852"/>
      <c r="MIG23" s="1852"/>
      <c r="MIJ23" s="1852"/>
      <c r="MIM23" s="1852"/>
      <c r="MIP23" s="1852"/>
      <c r="MIS23" s="1852"/>
      <c r="MIV23" s="1852"/>
      <c r="MIY23" s="1852"/>
      <c r="MJB23" s="1852"/>
      <c r="MJE23" s="1852"/>
      <c r="MJH23" s="1852"/>
      <c r="MJK23" s="1852"/>
      <c r="MJN23" s="1852"/>
      <c r="MJQ23" s="1852"/>
      <c r="MJT23" s="1852"/>
      <c r="MJW23" s="1852"/>
      <c r="MJZ23" s="1852"/>
      <c r="MKC23" s="1852"/>
      <c r="MKF23" s="1852"/>
      <c r="MKI23" s="1852"/>
      <c r="MKL23" s="1852"/>
      <c r="MKO23" s="1852"/>
      <c r="MKR23" s="1852"/>
      <c r="MKU23" s="1852"/>
      <c r="MKX23" s="1852"/>
      <c r="MLA23" s="1852"/>
      <c r="MLD23" s="1852"/>
      <c r="MLG23" s="1852"/>
      <c r="MLJ23" s="1852"/>
      <c r="MLM23" s="1852"/>
      <c r="MLP23" s="1852"/>
      <c r="MLS23" s="1852"/>
      <c r="MLV23" s="1852"/>
      <c r="MLY23" s="1852"/>
      <c r="MMB23" s="1852"/>
      <c r="MME23" s="1852"/>
      <c r="MMH23" s="1852"/>
      <c r="MMK23" s="1852"/>
      <c r="MMN23" s="1852"/>
      <c r="MMQ23" s="1852"/>
      <c r="MMT23" s="1852"/>
      <c r="MMW23" s="1852"/>
      <c r="MMZ23" s="1852"/>
      <c r="MNC23" s="1852"/>
      <c r="MNF23" s="1852"/>
      <c r="MNI23" s="1852"/>
      <c r="MNL23" s="1852"/>
      <c r="MNO23" s="1852"/>
      <c r="MNR23" s="1852"/>
      <c r="MNU23" s="1852"/>
      <c r="MNX23" s="1852"/>
      <c r="MOA23" s="1852"/>
      <c r="MOD23" s="1852"/>
      <c r="MOG23" s="1852"/>
      <c r="MOJ23" s="1852"/>
      <c r="MOM23" s="1852"/>
      <c r="MOP23" s="1852"/>
      <c r="MOS23" s="1852"/>
      <c r="MOV23" s="1852"/>
      <c r="MOY23" s="1852"/>
      <c r="MPB23" s="1852"/>
      <c r="MPE23" s="1852"/>
      <c r="MPH23" s="1852"/>
      <c r="MPK23" s="1852"/>
      <c r="MPN23" s="1852"/>
      <c r="MPQ23" s="1852"/>
      <c r="MPT23" s="1852"/>
      <c r="MPW23" s="1852"/>
      <c r="MPZ23" s="1852"/>
      <c r="MQC23" s="1852"/>
      <c r="MQF23" s="1852"/>
      <c r="MQI23" s="1852"/>
      <c r="MQL23" s="1852"/>
      <c r="MQO23" s="1852"/>
      <c r="MQR23" s="1852"/>
      <c r="MQU23" s="1852"/>
      <c r="MQX23" s="1852"/>
      <c r="MRA23" s="1852"/>
      <c r="MRD23" s="1852"/>
      <c r="MRG23" s="1852"/>
      <c r="MRJ23" s="1852"/>
      <c r="MRM23" s="1852"/>
      <c r="MRP23" s="1852"/>
      <c r="MRS23" s="1852"/>
      <c r="MRV23" s="1852"/>
      <c r="MRY23" s="1852"/>
      <c r="MSB23" s="1852"/>
      <c r="MSE23" s="1852"/>
      <c r="MSH23" s="1852"/>
      <c r="MSK23" s="1852"/>
      <c r="MSN23" s="1852"/>
      <c r="MSQ23" s="1852"/>
      <c r="MST23" s="1852"/>
      <c r="MSW23" s="1852"/>
      <c r="MSZ23" s="1852"/>
      <c r="MTC23" s="1852"/>
      <c r="MTF23" s="1852"/>
      <c r="MTI23" s="1852"/>
      <c r="MTL23" s="1852"/>
      <c r="MTO23" s="1852"/>
      <c r="MTR23" s="1852"/>
      <c r="MTU23" s="1852"/>
      <c r="MTX23" s="1852"/>
      <c r="MUA23" s="1852"/>
      <c r="MUD23" s="1852"/>
      <c r="MUG23" s="1852"/>
      <c r="MUJ23" s="1852"/>
      <c r="MUM23" s="1852"/>
      <c r="MUP23" s="1852"/>
      <c r="MUS23" s="1852"/>
      <c r="MUV23" s="1852"/>
      <c r="MUY23" s="1852"/>
      <c r="MVB23" s="1852"/>
      <c r="MVE23" s="1852"/>
      <c r="MVH23" s="1852"/>
      <c r="MVK23" s="1852"/>
      <c r="MVN23" s="1852"/>
      <c r="MVQ23" s="1852"/>
      <c r="MVT23" s="1852"/>
      <c r="MVW23" s="1852"/>
      <c r="MVZ23" s="1852"/>
      <c r="MWC23" s="1852"/>
      <c r="MWF23" s="1852"/>
      <c r="MWI23" s="1852"/>
      <c r="MWL23" s="1852"/>
      <c r="MWO23" s="1852"/>
      <c r="MWR23" s="1852"/>
      <c r="MWU23" s="1852"/>
      <c r="MWX23" s="1852"/>
      <c r="MXA23" s="1852"/>
      <c r="MXD23" s="1852"/>
      <c r="MXG23" s="1852"/>
      <c r="MXJ23" s="1852"/>
      <c r="MXM23" s="1852"/>
      <c r="MXP23" s="1852"/>
      <c r="MXS23" s="1852"/>
      <c r="MXV23" s="1852"/>
      <c r="MXY23" s="1852"/>
      <c r="MYB23" s="1852"/>
      <c r="MYE23" s="1852"/>
      <c r="MYH23" s="1852"/>
      <c r="MYK23" s="1852"/>
      <c r="MYN23" s="1852"/>
      <c r="MYQ23" s="1852"/>
      <c r="MYT23" s="1852"/>
      <c r="MYW23" s="1852"/>
      <c r="MYZ23" s="1852"/>
      <c r="MZC23" s="1852"/>
      <c r="MZF23" s="1852"/>
      <c r="MZI23" s="1852"/>
      <c r="MZL23" s="1852"/>
      <c r="MZO23" s="1852"/>
      <c r="MZR23" s="1852"/>
      <c r="MZU23" s="1852"/>
      <c r="MZX23" s="1852"/>
      <c r="NAA23" s="1852"/>
      <c r="NAD23" s="1852"/>
      <c r="NAG23" s="1852"/>
      <c r="NAJ23" s="1852"/>
      <c r="NAM23" s="1852"/>
      <c r="NAP23" s="1852"/>
      <c r="NAS23" s="1852"/>
      <c r="NAV23" s="1852"/>
      <c r="NAY23" s="1852"/>
      <c r="NBB23" s="1852"/>
      <c r="NBE23" s="1852"/>
      <c r="NBH23" s="1852"/>
      <c r="NBK23" s="1852"/>
      <c r="NBN23" s="1852"/>
      <c r="NBQ23" s="1852"/>
      <c r="NBT23" s="1852"/>
      <c r="NBW23" s="1852"/>
      <c r="NBZ23" s="1852"/>
      <c r="NCC23" s="1852"/>
      <c r="NCF23" s="1852"/>
      <c r="NCI23" s="1852"/>
      <c r="NCL23" s="1852"/>
      <c r="NCO23" s="1852"/>
      <c r="NCR23" s="1852"/>
      <c r="NCU23" s="1852"/>
      <c r="NCX23" s="1852"/>
      <c r="NDA23" s="1852"/>
      <c r="NDD23" s="1852"/>
      <c r="NDG23" s="1852"/>
      <c r="NDJ23" s="1852"/>
      <c r="NDM23" s="1852"/>
      <c r="NDP23" s="1852"/>
      <c r="NDS23" s="1852"/>
      <c r="NDV23" s="1852"/>
      <c r="NDY23" s="1852"/>
      <c r="NEB23" s="1852"/>
      <c r="NEE23" s="1852"/>
      <c r="NEH23" s="1852"/>
      <c r="NEK23" s="1852"/>
      <c r="NEN23" s="1852"/>
      <c r="NEQ23" s="1852"/>
      <c r="NET23" s="1852"/>
      <c r="NEW23" s="1852"/>
      <c r="NEZ23" s="1852"/>
      <c r="NFC23" s="1852"/>
      <c r="NFF23" s="1852"/>
      <c r="NFI23" s="1852"/>
      <c r="NFL23" s="1852"/>
      <c r="NFO23" s="1852"/>
      <c r="NFR23" s="1852"/>
      <c r="NFU23" s="1852"/>
      <c r="NFX23" s="1852"/>
      <c r="NGA23" s="1852"/>
      <c r="NGD23" s="1852"/>
      <c r="NGG23" s="1852"/>
      <c r="NGJ23" s="1852"/>
      <c r="NGM23" s="1852"/>
      <c r="NGP23" s="1852"/>
      <c r="NGS23" s="1852"/>
      <c r="NGV23" s="1852"/>
      <c r="NGY23" s="1852"/>
      <c r="NHB23" s="1852"/>
      <c r="NHE23" s="1852"/>
      <c r="NHH23" s="1852"/>
      <c r="NHK23" s="1852"/>
      <c r="NHN23" s="1852"/>
      <c r="NHQ23" s="1852"/>
      <c r="NHT23" s="1852"/>
      <c r="NHW23" s="1852"/>
      <c r="NHZ23" s="1852"/>
      <c r="NIC23" s="1852"/>
      <c r="NIF23" s="1852"/>
      <c r="NII23" s="1852"/>
      <c r="NIL23" s="1852"/>
      <c r="NIO23" s="1852"/>
      <c r="NIR23" s="1852"/>
      <c r="NIU23" s="1852"/>
      <c r="NIX23" s="1852"/>
      <c r="NJA23" s="1852"/>
      <c r="NJD23" s="1852"/>
      <c r="NJG23" s="1852"/>
      <c r="NJJ23" s="1852"/>
      <c r="NJM23" s="1852"/>
      <c r="NJP23" s="1852"/>
      <c r="NJS23" s="1852"/>
      <c r="NJV23" s="1852"/>
      <c r="NJY23" s="1852"/>
      <c r="NKB23" s="1852"/>
      <c r="NKE23" s="1852"/>
      <c r="NKH23" s="1852"/>
      <c r="NKK23" s="1852"/>
      <c r="NKN23" s="1852"/>
      <c r="NKQ23" s="1852"/>
      <c r="NKT23" s="1852"/>
      <c r="NKW23" s="1852"/>
      <c r="NKZ23" s="1852"/>
      <c r="NLC23" s="1852"/>
      <c r="NLF23" s="1852"/>
      <c r="NLI23" s="1852"/>
      <c r="NLL23" s="1852"/>
      <c r="NLO23" s="1852"/>
      <c r="NLR23" s="1852"/>
      <c r="NLU23" s="1852"/>
      <c r="NLX23" s="1852"/>
      <c r="NMA23" s="1852"/>
      <c r="NMD23" s="1852"/>
      <c r="NMG23" s="1852"/>
      <c r="NMJ23" s="1852"/>
      <c r="NMM23" s="1852"/>
      <c r="NMP23" s="1852"/>
      <c r="NMS23" s="1852"/>
      <c r="NMV23" s="1852"/>
      <c r="NMY23" s="1852"/>
      <c r="NNB23" s="1852"/>
      <c r="NNE23" s="1852"/>
      <c r="NNH23" s="1852"/>
      <c r="NNK23" s="1852"/>
      <c r="NNN23" s="1852"/>
      <c r="NNQ23" s="1852"/>
      <c r="NNT23" s="1852"/>
      <c r="NNW23" s="1852"/>
      <c r="NNZ23" s="1852"/>
      <c r="NOC23" s="1852"/>
      <c r="NOF23" s="1852"/>
      <c r="NOI23" s="1852"/>
      <c r="NOL23" s="1852"/>
      <c r="NOO23" s="1852"/>
      <c r="NOR23" s="1852"/>
      <c r="NOU23" s="1852"/>
      <c r="NOX23" s="1852"/>
      <c r="NPA23" s="1852"/>
      <c r="NPD23" s="1852"/>
      <c r="NPG23" s="1852"/>
      <c r="NPJ23" s="1852"/>
      <c r="NPM23" s="1852"/>
      <c r="NPP23" s="1852"/>
      <c r="NPS23" s="1852"/>
      <c r="NPV23" s="1852"/>
      <c r="NPY23" s="1852"/>
      <c r="NQB23" s="1852"/>
      <c r="NQE23" s="1852"/>
      <c r="NQH23" s="1852"/>
      <c r="NQK23" s="1852"/>
      <c r="NQN23" s="1852"/>
      <c r="NQQ23" s="1852"/>
      <c r="NQT23" s="1852"/>
      <c r="NQW23" s="1852"/>
      <c r="NQZ23" s="1852"/>
      <c r="NRC23" s="1852"/>
      <c r="NRF23" s="1852"/>
      <c r="NRI23" s="1852"/>
      <c r="NRL23" s="1852"/>
      <c r="NRO23" s="1852"/>
      <c r="NRR23" s="1852"/>
      <c r="NRU23" s="1852"/>
      <c r="NRX23" s="1852"/>
      <c r="NSA23" s="1852"/>
      <c r="NSD23" s="1852"/>
      <c r="NSG23" s="1852"/>
      <c r="NSJ23" s="1852"/>
      <c r="NSM23" s="1852"/>
      <c r="NSP23" s="1852"/>
      <c r="NSS23" s="1852"/>
      <c r="NSV23" s="1852"/>
      <c r="NSY23" s="1852"/>
      <c r="NTB23" s="1852"/>
      <c r="NTE23" s="1852"/>
      <c r="NTH23" s="1852"/>
      <c r="NTK23" s="1852"/>
      <c r="NTN23" s="1852"/>
      <c r="NTQ23" s="1852"/>
      <c r="NTT23" s="1852"/>
      <c r="NTW23" s="1852"/>
      <c r="NTZ23" s="1852"/>
      <c r="NUC23" s="1852"/>
      <c r="NUF23" s="1852"/>
      <c r="NUI23" s="1852"/>
      <c r="NUL23" s="1852"/>
      <c r="NUO23" s="1852"/>
      <c r="NUR23" s="1852"/>
      <c r="NUU23" s="1852"/>
      <c r="NUX23" s="1852"/>
      <c r="NVA23" s="1852"/>
      <c r="NVD23" s="1852"/>
      <c r="NVG23" s="1852"/>
      <c r="NVJ23" s="1852"/>
      <c r="NVM23" s="1852"/>
      <c r="NVP23" s="1852"/>
      <c r="NVS23" s="1852"/>
      <c r="NVV23" s="1852"/>
      <c r="NVY23" s="1852"/>
      <c r="NWB23" s="1852"/>
      <c r="NWE23" s="1852"/>
      <c r="NWH23" s="1852"/>
      <c r="NWK23" s="1852"/>
      <c r="NWN23" s="1852"/>
      <c r="NWQ23" s="1852"/>
      <c r="NWT23" s="1852"/>
      <c r="NWW23" s="1852"/>
      <c r="NWZ23" s="1852"/>
      <c r="NXC23" s="1852"/>
      <c r="NXF23" s="1852"/>
      <c r="NXI23" s="1852"/>
      <c r="NXL23" s="1852"/>
      <c r="NXO23" s="1852"/>
      <c r="NXR23" s="1852"/>
      <c r="NXU23" s="1852"/>
      <c r="NXX23" s="1852"/>
      <c r="NYA23" s="1852"/>
      <c r="NYD23" s="1852"/>
      <c r="NYG23" s="1852"/>
      <c r="NYJ23" s="1852"/>
      <c r="NYM23" s="1852"/>
      <c r="NYP23" s="1852"/>
      <c r="NYS23" s="1852"/>
      <c r="NYV23" s="1852"/>
      <c r="NYY23" s="1852"/>
      <c r="NZB23" s="1852"/>
      <c r="NZE23" s="1852"/>
      <c r="NZH23" s="1852"/>
      <c r="NZK23" s="1852"/>
      <c r="NZN23" s="1852"/>
      <c r="NZQ23" s="1852"/>
      <c r="NZT23" s="1852"/>
      <c r="NZW23" s="1852"/>
      <c r="NZZ23" s="1852"/>
      <c r="OAC23" s="1852"/>
      <c r="OAF23" s="1852"/>
      <c r="OAI23" s="1852"/>
      <c r="OAL23" s="1852"/>
      <c r="OAO23" s="1852"/>
      <c r="OAR23" s="1852"/>
      <c r="OAU23" s="1852"/>
      <c r="OAX23" s="1852"/>
      <c r="OBA23" s="1852"/>
      <c r="OBD23" s="1852"/>
      <c r="OBG23" s="1852"/>
      <c r="OBJ23" s="1852"/>
      <c r="OBM23" s="1852"/>
      <c r="OBP23" s="1852"/>
      <c r="OBS23" s="1852"/>
      <c r="OBV23" s="1852"/>
      <c r="OBY23" s="1852"/>
      <c r="OCB23" s="1852"/>
      <c r="OCE23" s="1852"/>
      <c r="OCH23" s="1852"/>
      <c r="OCK23" s="1852"/>
      <c r="OCN23" s="1852"/>
      <c r="OCQ23" s="1852"/>
      <c r="OCT23" s="1852"/>
      <c r="OCW23" s="1852"/>
      <c r="OCZ23" s="1852"/>
      <c r="ODC23" s="1852"/>
      <c r="ODF23" s="1852"/>
      <c r="ODI23" s="1852"/>
      <c r="ODL23" s="1852"/>
      <c r="ODO23" s="1852"/>
      <c r="ODR23" s="1852"/>
      <c r="ODU23" s="1852"/>
      <c r="ODX23" s="1852"/>
      <c r="OEA23" s="1852"/>
      <c r="OED23" s="1852"/>
      <c r="OEG23" s="1852"/>
      <c r="OEJ23" s="1852"/>
      <c r="OEM23" s="1852"/>
      <c r="OEP23" s="1852"/>
      <c r="OES23" s="1852"/>
      <c r="OEV23" s="1852"/>
      <c r="OEY23" s="1852"/>
      <c r="OFB23" s="1852"/>
      <c r="OFE23" s="1852"/>
      <c r="OFH23" s="1852"/>
      <c r="OFK23" s="1852"/>
      <c r="OFN23" s="1852"/>
      <c r="OFQ23" s="1852"/>
      <c r="OFT23" s="1852"/>
      <c r="OFW23" s="1852"/>
      <c r="OFZ23" s="1852"/>
      <c r="OGC23" s="1852"/>
      <c r="OGF23" s="1852"/>
      <c r="OGI23" s="1852"/>
      <c r="OGL23" s="1852"/>
      <c r="OGO23" s="1852"/>
      <c r="OGR23" s="1852"/>
      <c r="OGU23" s="1852"/>
      <c r="OGX23" s="1852"/>
      <c r="OHA23" s="1852"/>
      <c r="OHD23" s="1852"/>
      <c r="OHG23" s="1852"/>
      <c r="OHJ23" s="1852"/>
      <c r="OHM23" s="1852"/>
      <c r="OHP23" s="1852"/>
      <c r="OHS23" s="1852"/>
      <c r="OHV23" s="1852"/>
      <c r="OHY23" s="1852"/>
      <c r="OIB23" s="1852"/>
      <c r="OIE23" s="1852"/>
      <c r="OIH23" s="1852"/>
      <c r="OIK23" s="1852"/>
      <c r="OIN23" s="1852"/>
      <c r="OIQ23" s="1852"/>
      <c r="OIT23" s="1852"/>
      <c r="OIW23" s="1852"/>
      <c r="OIZ23" s="1852"/>
      <c r="OJC23" s="1852"/>
      <c r="OJF23" s="1852"/>
      <c r="OJI23" s="1852"/>
      <c r="OJL23" s="1852"/>
      <c r="OJO23" s="1852"/>
      <c r="OJR23" s="1852"/>
      <c r="OJU23" s="1852"/>
      <c r="OJX23" s="1852"/>
      <c r="OKA23" s="1852"/>
      <c r="OKD23" s="1852"/>
      <c r="OKG23" s="1852"/>
      <c r="OKJ23" s="1852"/>
      <c r="OKM23" s="1852"/>
      <c r="OKP23" s="1852"/>
      <c r="OKS23" s="1852"/>
      <c r="OKV23" s="1852"/>
      <c r="OKY23" s="1852"/>
      <c r="OLB23" s="1852"/>
      <c r="OLE23" s="1852"/>
      <c r="OLH23" s="1852"/>
      <c r="OLK23" s="1852"/>
      <c r="OLN23" s="1852"/>
      <c r="OLQ23" s="1852"/>
      <c r="OLT23" s="1852"/>
      <c r="OLW23" s="1852"/>
      <c r="OLZ23" s="1852"/>
      <c r="OMC23" s="1852"/>
      <c r="OMF23" s="1852"/>
      <c r="OMI23" s="1852"/>
      <c r="OML23" s="1852"/>
      <c r="OMO23" s="1852"/>
      <c r="OMR23" s="1852"/>
      <c r="OMU23" s="1852"/>
      <c r="OMX23" s="1852"/>
      <c r="ONA23" s="1852"/>
      <c r="OND23" s="1852"/>
      <c r="ONG23" s="1852"/>
      <c r="ONJ23" s="1852"/>
      <c r="ONM23" s="1852"/>
      <c r="ONP23" s="1852"/>
      <c r="ONS23" s="1852"/>
      <c r="ONV23" s="1852"/>
      <c r="ONY23" s="1852"/>
      <c r="OOB23" s="1852"/>
      <c r="OOE23" s="1852"/>
      <c r="OOH23" s="1852"/>
      <c r="OOK23" s="1852"/>
      <c r="OON23" s="1852"/>
      <c r="OOQ23" s="1852"/>
      <c r="OOT23" s="1852"/>
      <c r="OOW23" s="1852"/>
      <c r="OOZ23" s="1852"/>
      <c r="OPC23" s="1852"/>
      <c r="OPF23" s="1852"/>
      <c r="OPI23" s="1852"/>
      <c r="OPL23" s="1852"/>
      <c r="OPO23" s="1852"/>
      <c r="OPR23" s="1852"/>
      <c r="OPU23" s="1852"/>
      <c r="OPX23" s="1852"/>
      <c r="OQA23" s="1852"/>
      <c r="OQD23" s="1852"/>
      <c r="OQG23" s="1852"/>
      <c r="OQJ23" s="1852"/>
      <c r="OQM23" s="1852"/>
      <c r="OQP23" s="1852"/>
      <c r="OQS23" s="1852"/>
      <c r="OQV23" s="1852"/>
      <c r="OQY23" s="1852"/>
      <c r="ORB23" s="1852"/>
      <c r="ORE23" s="1852"/>
      <c r="ORH23" s="1852"/>
      <c r="ORK23" s="1852"/>
      <c r="ORN23" s="1852"/>
      <c r="ORQ23" s="1852"/>
      <c r="ORT23" s="1852"/>
      <c r="ORW23" s="1852"/>
      <c r="ORZ23" s="1852"/>
      <c r="OSC23" s="1852"/>
      <c r="OSF23" s="1852"/>
      <c r="OSI23" s="1852"/>
      <c r="OSL23" s="1852"/>
      <c r="OSO23" s="1852"/>
      <c r="OSR23" s="1852"/>
      <c r="OSU23" s="1852"/>
      <c r="OSX23" s="1852"/>
      <c r="OTA23" s="1852"/>
      <c r="OTD23" s="1852"/>
      <c r="OTG23" s="1852"/>
      <c r="OTJ23" s="1852"/>
      <c r="OTM23" s="1852"/>
      <c r="OTP23" s="1852"/>
      <c r="OTS23" s="1852"/>
      <c r="OTV23" s="1852"/>
      <c r="OTY23" s="1852"/>
      <c r="OUB23" s="1852"/>
      <c r="OUE23" s="1852"/>
      <c r="OUH23" s="1852"/>
      <c r="OUK23" s="1852"/>
      <c r="OUN23" s="1852"/>
      <c r="OUQ23" s="1852"/>
      <c r="OUT23" s="1852"/>
      <c r="OUW23" s="1852"/>
      <c r="OUZ23" s="1852"/>
      <c r="OVC23" s="1852"/>
      <c r="OVF23" s="1852"/>
      <c r="OVI23" s="1852"/>
      <c r="OVL23" s="1852"/>
      <c r="OVO23" s="1852"/>
      <c r="OVR23" s="1852"/>
      <c r="OVU23" s="1852"/>
      <c r="OVX23" s="1852"/>
      <c r="OWA23" s="1852"/>
      <c r="OWD23" s="1852"/>
      <c r="OWG23" s="1852"/>
      <c r="OWJ23" s="1852"/>
      <c r="OWM23" s="1852"/>
      <c r="OWP23" s="1852"/>
      <c r="OWS23" s="1852"/>
      <c r="OWV23" s="1852"/>
      <c r="OWY23" s="1852"/>
      <c r="OXB23" s="1852"/>
      <c r="OXE23" s="1852"/>
      <c r="OXH23" s="1852"/>
      <c r="OXK23" s="1852"/>
      <c r="OXN23" s="1852"/>
      <c r="OXQ23" s="1852"/>
      <c r="OXT23" s="1852"/>
      <c r="OXW23" s="1852"/>
      <c r="OXZ23" s="1852"/>
      <c r="OYC23" s="1852"/>
      <c r="OYF23" s="1852"/>
      <c r="OYI23" s="1852"/>
      <c r="OYL23" s="1852"/>
      <c r="OYO23" s="1852"/>
      <c r="OYR23" s="1852"/>
      <c r="OYU23" s="1852"/>
      <c r="OYX23" s="1852"/>
      <c r="OZA23" s="1852"/>
      <c r="OZD23" s="1852"/>
      <c r="OZG23" s="1852"/>
      <c r="OZJ23" s="1852"/>
      <c r="OZM23" s="1852"/>
      <c r="OZP23" s="1852"/>
      <c r="OZS23" s="1852"/>
      <c r="OZV23" s="1852"/>
      <c r="OZY23" s="1852"/>
      <c r="PAB23" s="1852"/>
      <c r="PAE23" s="1852"/>
      <c r="PAH23" s="1852"/>
      <c r="PAK23" s="1852"/>
      <c r="PAN23" s="1852"/>
      <c r="PAQ23" s="1852"/>
      <c r="PAT23" s="1852"/>
      <c r="PAW23" s="1852"/>
      <c r="PAZ23" s="1852"/>
      <c r="PBC23" s="1852"/>
      <c r="PBF23" s="1852"/>
      <c r="PBI23" s="1852"/>
      <c r="PBL23" s="1852"/>
      <c r="PBO23" s="1852"/>
      <c r="PBR23" s="1852"/>
      <c r="PBU23" s="1852"/>
      <c r="PBX23" s="1852"/>
      <c r="PCA23" s="1852"/>
      <c r="PCD23" s="1852"/>
      <c r="PCG23" s="1852"/>
      <c r="PCJ23" s="1852"/>
      <c r="PCM23" s="1852"/>
      <c r="PCP23" s="1852"/>
      <c r="PCS23" s="1852"/>
      <c r="PCV23" s="1852"/>
      <c r="PCY23" s="1852"/>
      <c r="PDB23" s="1852"/>
      <c r="PDE23" s="1852"/>
      <c r="PDH23" s="1852"/>
      <c r="PDK23" s="1852"/>
      <c r="PDN23" s="1852"/>
      <c r="PDQ23" s="1852"/>
      <c r="PDT23" s="1852"/>
      <c r="PDW23" s="1852"/>
      <c r="PDZ23" s="1852"/>
      <c r="PEC23" s="1852"/>
      <c r="PEF23" s="1852"/>
      <c r="PEI23" s="1852"/>
      <c r="PEL23" s="1852"/>
      <c r="PEO23" s="1852"/>
      <c r="PER23" s="1852"/>
      <c r="PEU23" s="1852"/>
      <c r="PEX23" s="1852"/>
      <c r="PFA23" s="1852"/>
      <c r="PFD23" s="1852"/>
      <c r="PFG23" s="1852"/>
      <c r="PFJ23" s="1852"/>
      <c r="PFM23" s="1852"/>
      <c r="PFP23" s="1852"/>
      <c r="PFS23" s="1852"/>
      <c r="PFV23" s="1852"/>
      <c r="PFY23" s="1852"/>
      <c r="PGB23" s="1852"/>
      <c r="PGE23" s="1852"/>
      <c r="PGH23" s="1852"/>
      <c r="PGK23" s="1852"/>
      <c r="PGN23" s="1852"/>
      <c r="PGQ23" s="1852"/>
      <c r="PGT23" s="1852"/>
      <c r="PGW23" s="1852"/>
      <c r="PGZ23" s="1852"/>
      <c r="PHC23" s="1852"/>
      <c r="PHF23" s="1852"/>
      <c r="PHI23" s="1852"/>
      <c r="PHL23" s="1852"/>
      <c r="PHO23" s="1852"/>
      <c r="PHR23" s="1852"/>
      <c r="PHU23" s="1852"/>
      <c r="PHX23" s="1852"/>
      <c r="PIA23" s="1852"/>
      <c r="PID23" s="1852"/>
      <c r="PIG23" s="1852"/>
      <c r="PIJ23" s="1852"/>
      <c r="PIM23" s="1852"/>
      <c r="PIP23" s="1852"/>
      <c r="PIS23" s="1852"/>
      <c r="PIV23" s="1852"/>
      <c r="PIY23" s="1852"/>
      <c r="PJB23" s="1852"/>
      <c r="PJE23" s="1852"/>
      <c r="PJH23" s="1852"/>
      <c r="PJK23" s="1852"/>
      <c r="PJN23" s="1852"/>
      <c r="PJQ23" s="1852"/>
      <c r="PJT23" s="1852"/>
      <c r="PJW23" s="1852"/>
      <c r="PJZ23" s="1852"/>
      <c r="PKC23" s="1852"/>
      <c r="PKF23" s="1852"/>
      <c r="PKI23" s="1852"/>
      <c r="PKL23" s="1852"/>
      <c r="PKO23" s="1852"/>
      <c r="PKR23" s="1852"/>
      <c r="PKU23" s="1852"/>
      <c r="PKX23" s="1852"/>
      <c r="PLA23" s="1852"/>
      <c r="PLD23" s="1852"/>
      <c r="PLG23" s="1852"/>
      <c r="PLJ23" s="1852"/>
      <c r="PLM23" s="1852"/>
      <c r="PLP23" s="1852"/>
      <c r="PLS23" s="1852"/>
      <c r="PLV23" s="1852"/>
      <c r="PLY23" s="1852"/>
      <c r="PMB23" s="1852"/>
      <c r="PME23" s="1852"/>
      <c r="PMH23" s="1852"/>
      <c r="PMK23" s="1852"/>
      <c r="PMN23" s="1852"/>
      <c r="PMQ23" s="1852"/>
      <c r="PMT23" s="1852"/>
      <c r="PMW23" s="1852"/>
      <c r="PMZ23" s="1852"/>
      <c r="PNC23" s="1852"/>
      <c r="PNF23" s="1852"/>
      <c r="PNI23" s="1852"/>
      <c r="PNL23" s="1852"/>
      <c r="PNO23" s="1852"/>
      <c r="PNR23" s="1852"/>
      <c r="PNU23" s="1852"/>
      <c r="PNX23" s="1852"/>
      <c r="POA23" s="1852"/>
      <c r="POD23" s="1852"/>
      <c r="POG23" s="1852"/>
      <c r="POJ23" s="1852"/>
      <c r="POM23" s="1852"/>
      <c r="POP23" s="1852"/>
      <c r="POS23" s="1852"/>
      <c r="POV23" s="1852"/>
      <c r="POY23" s="1852"/>
      <c r="PPB23" s="1852"/>
      <c r="PPE23" s="1852"/>
      <c r="PPH23" s="1852"/>
      <c r="PPK23" s="1852"/>
      <c r="PPN23" s="1852"/>
      <c r="PPQ23" s="1852"/>
      <c r="PPT23" s="1852"/>
      <c r="PPW23" s="1852"/>
      <c r="PPZ23" s="1852"/>
      <c r="PQC23" s="1852"/>
      <c r="PQF23" s="1852"/>
      <c r="PQI23" s="1852"/>
      <c r="PQL23" s="1852"/>
      <c r="PQO23" s="1852"/>
      <c r="PQR23" s="1852"/>
      <c r="PQU23" s="1852"/>
      <c r="PQX23" s="1852"/>
      <c r="PRA23" s="1852"/>
      <c r="PRD23" s="1852"/>
      <c r="PRG23" s="1852"/>
      <c r="PRJ23" s="1852"/>
      <c r="PRM23" s="1852"/>
      <c r="PRP23" s="1852"/>
      <c r="PRS23" s="1852"/>
      <c r="PRV23" s="1852"/>
      <c r="PRY23" s="1852"/>
      <c r="PSB23" s="1852"/>
      <c r="PSE23" s="1852"/>
      <c r="PSH23" s="1852"/>
      <c r="PSK23" s="1852"/>
      <c r="PSN23" s="1852"/>
      <c r="PSQ23" s="1852"/>
      <c r="PST23" s="1852"/>
      <c r="PSW23" s="1852"/>
      <c r="PSZ23" s="1852"/>
      <c r="PTC23" s="1852"/>
      <c r="PTF23" s="1852"/>
      <c r="PTI23" s="1852"/>
      <c r="PTL23" s="1852"/>
      <c r="PTO23" s="1852"/>
      <c r="PTR23" s="1852"/>
      <c r="PTU23" s="1852"/>
      <c r="PTX23" s="1852"/>
      <c r="PUA23" s="1852"/>
      <c r="PUD23" s="1852"/>
      <c r="PUG23" s="1852"/>
      <c r="PUJ23" s="1852"/>
      <c r="PUM23" s="1852"/>
      <c r="PUP23" s="1852"/>
      <c r="PUS23" s="1852"/>
      <c r="PUV23" s="1852"/>
      <c r="PUY23" s="1852"/>
      <c r="PVB23" s="1852"/>
      <c r="PVE23" s="1852"/>
      <c r="PVH23" s="1852"/>
      <c r="PVK23" s="1852"/>
      <c r="PVN23" s="1852"/>
      <c r="PVQ23" s="1852"/>
      <c r="PVT23" s="1852"/>
      <c r="PVW23" s="1852"/>
      <c r="PVZ23" s="1852"/>
      <c r="PWC23" s="1852"/>
      <c r="PWF23" s="1852"/>
      <c r="PWI23" s="1852"/>
      <c r="PWL23" s="1852"/>
      <c r="PWO23" s="1852"/>
      <c r="PWR23" s="1852"/>
      <c r="PWU23" s="1852"/>
      <c r="PWX23" s="1852"/>
      <c r="PXA23" s="1852"/>
      <c r="PXD23" s="1852"/>
      <c r="PXG23" s="1852"/>
      <c r="PXJ23" s="1852"/>
      <c r="PXM23" s="1852"/>
      <c r="PXP23" s="1852"/>
      <c r="PXS23" s="1852"/>
      <c r="PXV23" s="1852"/>
      <c r="PXY23" s="1852"/>
      <c r="PYB23" s="1852"/>
      <c r="PYE23" s="1852"/>
      <c r="PYH23" s="1852"/>
      <c r="PYK23" s="1852"/>
      <c r="PYN23" s="1852"/>
      <c r="PYQ23" s="1852"/>
      <c r="PYT23" s="1852"/>
      <c r="PYW23" s="1852"/>
      <c r="PYZ23" s="1852"/>
      <c r="PZC23" s="1852"/>
      <c r="PZF23" s="1852"/>
      <c r="PZI23" s="1852"/>
      <c r="PZL23" s="1852"/>
      <c r="PZO23" s="1852"/>
      <c r="PZR23" s="1852"/>
      <c r="PZU23" s="1852"/>
      <c r="PZX23" s="1852"/>
      <c r="QAA23" s="1852"/>
      <c r="QAD23" s="1852"/>
      <c r="QAG23" s="1852"/>
      <c r="QAJ23" s="1852"/>
      <c r="QAM23" s="1852"/>
      <c r="QAP23" s="1852"/>
      <c r="QAS23" s="1852"/>
      <c r="QAV23" s="1852"/>
      <c r="QAY23" s="1852"/>
      <c r="QBB23" s="1852"/>
      <c r="QBE23" s="1852"/>
      <c r="QBH23" s="1852"/>
      <c r="QBK23" s="1852"/>
      <c r="QBN23" s="1852"/>
      <c r="QBQ23" s="1852"/>
      <c r="QBT23" s="1852"/>
      <c r="QBW23" s="1852"/>
      <c r="QBZ23" s="1852"/>
      <c r="QCC23" s="1852"/>
      <c r="QCF23" s="1852"/>
      <c r="QCI23" s="1852"/>
      <c r="QCL23" s="1852"/>
      <c r="QCO23" s="1852"/>
      <c r="QCR23" s="1852"/>
      <c r="QCU23" s="1852"/>
      <c r="QCX23" s="1852"/>
      <c r="QDA23" s="1852"/>
      <c r="QDD23" s="1852"/>
      <c r="QDG23" s="1852"/>
      <c r="QDJ23" s="1852"/>
      <c r="QDM23" s="1852"/>
      <c r="QDP23" s="1852"/>
      <c r="QDS23" s="1852"/>
      <c r="QDV23" s="1852"/>
      <c r="QDY23" s="1852"/>
      <c r="QEB23" s="1852"/>
      <c r="QEE23" s="1852"/>
      <c r="QEH23" s="1852"/>
      <c r="QEK23" s="1852"/>
      <c r="QEN23" s="1852"/>
      <c r="QEQ23" s="1852"/>
      <c r="QET23" s="1852"/>
      <c r="QEW23" s="1852"/>
      <c r="QEZ23" s="1852"/>
      <c r="QFC23" s="1852"/>
      <c r="QFF23" s="1852"/>
      <c r="QFI23" s="1852"/>
      <c r="QFL23" s="1852"/>
      <c r="QFO23" s="1852"/>
      <c r="QFR23" s="1852"/>
      <c r="QFU23" s="1852"/>
      <c r="QFX23" s="1852"/>
      <c r="QGA23" s="1852"/>
      <c r="QGD23" s="1852"/>
      <c r="QGG23" s="1852"/>
      <c r="QGJ23" s="1852"/>
      <c r="QGM23" s="1852"/>
      <c r="QGP23" s="1852"/>
      <c r="QGS23" s="1852"/>
      <c r="QGV23" s="1852"/>
      <c r="QGY23" s="1852"/>
      <c r="QHB23" s="1852"/>
      <c r="QHE23" s="1852"/>
      <c r="QHH23" s="1852"/>
      <c r="QHK23" s="1852"/>
      <c r="QHN23" s="1852"/>
      <c r="QHQ23" s="1852"/>
      <c r="QHT23" s="1852"/>
      <c r="QHW23" s="1852"/>
      <c r="QHZ23" s="1852"/>
      <c r="QIC23" s="1852"/>
      <c r="QIF23" s="1852"/>
      <c r="QII23" s="1852"/>
      <c r="QIL23" s="1852"/>
      <c r="QIO23" s="1852"/>
      <c r="QIR23" s="1852"/>
      <c r="QIU23" s="1852"/>
      <c r="QIX23" s="1852"/>
      <c r="QJA23" s="1852"/>
      <c r="QJD23" s="1852"/>
      <c r="QJG23" s="1852"/>
      <c r="QJJ23" s="1852"/>
      <c r="QJM23" s="1852"/>
      <c r="QJP23" s="1852"/>
      <c r="QJS23" s="1852"/>
      <c r="QJV23" s="1852"/>
      <c r="QJY23" s="1852"/>
      <c r="QKB23" s="1852"/>
      <c r="QKE23" s="1852"/>
      <c r="QKH23" s="1852"/>
      <c r="QKK23" s="1852"/>
      <c r="QKN23" s="1852"/>
      <c r="QKQ23" s="1852"/>
      <c r="QKT23" s="1852"/>
      <c r="QKW23" s="1852"/>
      <c r="QKZ23" s="1852"/>
      <c r="QLC23" s="1852"/>
      <c r="QLF23" s="1852"/>
      <c r="QLI23" s="1852"/>
      <c r="QLL23" s="1852"/>
      <c r="QLO23" s="1852"/>
      <c r="QLR23" s="1852"/>
      <c r="QLU23" s="1852"/>
      <c r="QLX23" s="1852"/>
      <c r="QMA23" s="1852"/>
      <c r="QMD23" s="1852"/>
      <c r="QMG23" s="1852"/>
      <c r="QMJ23" s="1852"/>
      <c r="QMM23" s="1852"/>
      <c r="QMP23" s="1852"/>
      <c r="QMS23" s="1852"/>
      <c r="QMV23" s="1852"/>
      <c r="QMY23" s="1852"/>
      <c r="QNB23" s="1852"/>
      <c r="QNE23" s="1852"/>
      <c r="QNH23" s="1852"/>
      <c r="QNK23" s="1852"/>
      <c r="QNN23" s="1852"/>
      <c r="QNQ23" s="1852"/>
      <c r="QNT23" s="1852"/>
      <c r="QNW23" s="1852"/>
      <c r="QNZ23" s="1852"/>
      <c r="QOC23" s="1852"/>
      <c r="QOF23" s="1852"/>
      <c r="QOI23" s="1852"/>
      <c r="QOL23" s="1852"/>
      <c r="QOO23" s="1852"/>
      <c r="QOR23" s="1852"/>
      <c r="QOU23" s="1852"/>
      <c r="QOX23" s="1852"/>
      <c r="QPA23" s="1852"/>
      <c r="QPD23" s="1852"/>
      <c r="QPG23" s="1852"/>
      <c r="QPJ23" s="1852"/>
      <c r="QPM23" s="1852"/>
      <c r="QPP23" s="1852"/>
      <c r="QPS23" s="1852"/>
      <c r="QPV23" s="1852"/>
      <c r="QPY23" s="1852"/>
      <c r="QQB23" s="1852"/>
      <c r="QQE23" s="1852"/>
      <c r="QQH23" s="1852"/>
      <c r="QQK23" s="1852"/>
      <c r="QQN23" s="1852"/>
      <c r="QQQ23" s="1852"/>
      <c r="QQT23" s="1852"/>
      <c r="QQW23" s="1852"/>
      <c r="QQZ23" s="1852"/>
      <c r="QRC23" s="1852"/>
      <c r="QRF23" s="1852"/>
      <c r="QRI23" s="1852"/>
      <c r="QRL23" s="1852"/>
      <c r="QRO23" s="1852"/>
      <c r="QRR23" s="1852"/>
      <c r="QRU23" s="1852"/>
      <c r="QRX23" s="1852"/>
      <c r="QSA23" s="1852"/>
      <c r="QSD23" s="1852"/>
      <c r="QSG23" s="1852"/>
      <c r="QSJ23" s="1852"/>
      <c r="QSM23" s="1852"/>
      <c r="QSP23" s="1852"/>
      <c r="QSS23" s="1852"/>
      <c r="QSV23" s="1852"/>
      <c r="QSY23" s="1852"/>
      <c r="QTB23" s="1852"/>
      <c r="QTE23" s="1852"/>
      <c r="QTH23" s="1852"/>
      <c r="QTK23" s="1852"/>
      <c r="QTN23" s="1852"/>
      <c r="QTQ23" s="1852"/>
      <c r="QTT23" s="1852"/>
      <c r="QTW23" s="1852"/>
      <c r="QTZ23" s="1852"/>
      <c r="QUC23" s="1852"/>
      <c r="QUF23" s="1852"/>
      <c r="QUI23" s="1852"/>
      <c r="QUL23" s="1852"/>
      <c r="QUO23" s="1852"/>
      <c r="QUR23" s="1852"/>
      <c r="QUU23" s="1852"/>
      <c r="QUX23" s="1852"/>
      <c r="QVA23" s="1852"/>
      <c r="QVD23" s="1852"/>
      <c r="QVG23" s="1852"/>
      <c r="QVJ23" s="1852"/>
      <c r="QVM23" s="1852"/>
      <c r="QVP23" s="1852"/>
      <c r="QVS23" s="1852"/>
      <c r="QVV23" s="1852"/>
      <c r="QVY23" s="1852"/>
      <c r="QWB23" s="1852"/>
      <c r="QWE23" s="1852"/>
      <c r="QWH23" s="1852"/>
      <c r="QWK23" s="1852"/>
      <c r="QWN23" s="1852"/>
      <c r="QWQ23" s="1852"/>
      <c r="QWT23" s="1852"/>
      <c r="QWW23" s="1852"/>
      <c r="QWZ23" s="1852"/>
      <c r="QXC23" s="1852"/>
      <c r="QXF23" s="1852"/>
      <c r="QXI23" s="1852"/>
      <c r="QXL23" s="1852"/>
      <c r="QXO23" s="1852"/>
      <c r="QXR23" s="1852"/>
      <c r="QXU23" s="1852"/>
      <c r="QXX23" s="1852"/>
      <c r="QYA23" s="1852"/>
      <c r="QYD23" s="1852"/>
      <c r="QYG23" s="1852"/>
      <c r="QYJ23" s="1852"/>
      <c r="QYM23" s="1852"/>
      <c r="QYP23" s="1852"/>
      <c r="QYS23" s="1852"/>
      <c r="QYV23" s="1852"/>
      <c r="QYY23" s="1852"/>
      <c r="QZB23" s="1852"/>
      <c r="QZE23" s="1852"/>
      <c r="QZH23" s="1852"/>
      <c r="QZK23" s="1852"/>
      <c r="QZN23" s="1852"/>
      <c r="QZQ23" s="1852"/>
      <c r="QZT23" s="1852"/>
      <c r="QZW23" s="1852"/>
      <c r="QZZ23" s="1852"/>
      <c r="RAC23" s="1852"/>
      <c r="RAF23" s="1852"/>
      <c r="RAI23" s="1852"/>
      <c r="RAL23" s="1852"/>
      <c r="RAO23" s="1852"/>
      <c r="RAR23" s="1852"/>
      <c r="RAU23" s="1852"/>
      <c r="RAX23" s="1852"/>
      <c r="RBA23" s="1852"/>
      <c r="RBD23" s="1852"/>
      <c r="RBG23" s="1852"/>
      <c r="RBJ23" s="1852"/>
      <c r="RBM23" s="1852"/>
      <c r="RBP23" s="1852"/>
      <c r="RBS23" s="1852"/>
      <c r="RBV23" s="1852"/>
      <c r="RBY23" s="1852"/>
      <c r="RCB23" s="1852"/>
      <c r="RCE23" s="1852"/>
      <c r="RCH23" s="1852"/>
      <c r="RCK23" s="1852"/>
      <c r="RCN23" s="1852"/>
      <c r="RCQ23" s="1852"/>
      <c r="RCT23" s="1852"/>
      <c r="RCW23" s="1852"/>
      <c r="RCZ23" s="1852"/>
      <c r="RDC23" s="1852"/>
      <c r="RDF23" s="1852"/>
      <c r="RDI23" s="1852"/>
      <c r="RDL23" s="1852"/>
      <c r="RDO23" s="1852"/>
      <c r="RDR23" s="1852"/>
      <c r="RDU23" s="1852"/>
      <c r="RDX23" s="1852"/>
      <c r="REA23" s="1852"/>
      <c r="RED23" s="1852"/>
      <c r="REG23" s="1852"/>
      <c r="REJ23" s="1852"/>
      <c r="REM23" s="1852"/>
      <c r="REP23" s="1852"/>
      <c r="RES23" s="1852"/>
      <c r="REV23" s="1852"/>
      <c r="REY23" s="1852"/>
      <c r="RFB23" s="1852"/>
      <c r="RFE23" s="1852"/>
      <c r="RFH23" s="1852"/>
      <c r="RFK23" s="1852"/>
      <c r="RFN23" s="1852"/>
      <c r="RFQ23" s="1852"/>
      <c r="RFT23" s="1852"/>
      <c r="RFW23" s="1852"/>
      <c r="RFZ23" s="1852"/>
      <c r="RGC23" s="1852"/>
      <c r="RGF23" s="1852"/>
      <c r="RGI23" s="1852"/>
      <c r="RGL23" s="1852"/>
      <c r="RGO23" s="1852"/>
      <c r="RGR23" s="1852"/>
      <c r="RGU23" s="1852"/>
      <c r="RGX23" s="1852"/>
      <c r="RHA23" s="1852"/>
      <c r="RHD23" s="1852"/>
      <c r="RHG23" s="1852"/>
      <c r="RHJ23" s="1852"/>
      <c r="RHM23" s="1852"/>
      <c r="RHP23" s="1852"/>
      <c r="RHS23" s="1852"/>
      <c r="RHV23" s="1852"/>
      <c r="RHY23" s="1852"/>
      <c r="RIB23" s="1852"/>
      <c r="RIE23" s="1852"/>
      <c r="RIH23" s="1852"/>
      <c r="RIK23" s="1852"/>
      <c r="RIN23" s="1852"/>
      <c r="RIQ23" s="1852"/>
      <c r="RIT23" s="1852"/>
      <c r="RIW23" s="1852"/>
      <c r="RIZ23" s="1852"/>
      <c r="RJC23" s="1852"/>
      <c r="RJF23" s="1852"/>
      <c r="RJI23" s="1852"/>
      <c r="RJL23" s="1852"/>
      <c r="RJO23" s="1852"/>
      <c r="RJR23" s="1852"/>
      <c r="RJU23" s="1852"/>
      <c r="RJX23" s="1852"/>
      <c r="RKA23" s="1852"/>
      <c r="RKD23" s="1852"/>
      <c r="RKG23" s="1852"/>
      <c r="RKJ23" s="1852"/>
      <c r="RKM23" s="1852"/>
      <c r="RKP23" s="1852"/>
      <c r="RKS23" s="1852"/>
      <c r="RKV23" s="1852"/>
      <c r="RKY23" s="1852"/>
      <c r="RLB23" s="1852"/>
      <c r="RLE23" s="1852"/>
      <c r="RLH23" s="1852"/>
      <c r="RLK23" s="1852"/>
      <c r="RLN23" s="1852"/>
      <c r="RLQ23" s="1852"/>
      <c r="RLT23" s="1852"/>
      <c r="RLW23" s="1852"/>
      <c r="RLZ23" s="1852"/>
      <c r="RMC23" s="1852"/>
      <c r="RMF23" s="1852"/>
      <c r="RMI23" s="1852"/>
      <c r="RML23" s="1852"/>
      <c r="RMO23" s="1852"/>
      <c r="RMR23" s="1852"/>
      <c r="RMU23" s="1852"/>
      <c r="RMX23" s="1852"/>
      <c r="RNA23" s="1852"/>
      <c r="RND23" s="1852"/>
      <c r="RNG23" s="1852"/>
      <c r="RNJ23" s="1852"/>
      <c r="RNM23" s="1852"/>
      <c r="RNP23" s="1852"/>
      <c r="RNS23" s="1852"/>
      <c r="RNV23" s="1852"/>
      <c r="RNY23" s="1852"/>
      <c r="ROB23" s="1852"/>
      <c r="ROE23" s="1852"/>
      <c r="ROH23" s="1852"/>
      <c r="ROK23" s="1852"/>
      <c r="RON23" s="1852"/>
      <c r="ROQ23" s="1852"/>
      <c r="ROT23" s="1852"/>
      <c r="ROW23" s="1852"/>
      <c r="ROZ23" s="1852"/>
      <c r="RPC23" s="1852"/>
      <c r="RPF23" s="1852"/>
      <c r="RPI23" s="1852"/>
      <c r="RPL23" s="1852"/>
      <c r="RPO23" s="1852"/>
      <c r="RPR23" s="1852"/>
      <c r="RPU23" s="1852"/>
      <c r="RPX23" s="1852"/>
      <c r="RQA23" s="1852"/>
      <c r="RQD23" s="1852"/>
      <c r="RQG23" s="1852"/>
      <c r="RQJ23" s="1852"/>
      <c r="RQM23" s="1852"/>
      <c r="RQP23" s="1852"/>
      <c r="RQS23" s="1852"/>
      <c r="RQV23" s="1852"/>
      <c r="RQY23" s="1852"/>
      <c r="RRB23" s="1852"/>
      <c r="RRE23" s="1852"/>
      <c r="RRH23" s="1852"/>
      <c r="RRK23" s="1852"/>
      <c r="RRN23" s="1852"/>
      <c r="RRQ23" s="1852"/>
      <c r="RRT23" s="1852"/>
      <c r="RRW23" s="1852"/>
      <c r="RRZ23" s="1852"/>
      <c r="RSC23" s="1852"/>
      <c r="RSF23" s="1852"/>
      <c r="RSI23" s="1852"/>
      <c r="RSL23" s="1852"/>
      <c r="RSO23" s="1852"/>
      <c r="RSR23" s="1852"/>
      <c r="RSU23" s="1852"/>
      <c r="RSX23" s="1852"/>
      <c r="RTA23" s="1852"/>
      <c r="RTD23" s="1852"/>
      <c r="RTG23" s="1852"/>
      <c r="RTJ23" s="1852"/>
      <c r="RTM23" s="1852"/>
      <c r="RTP23" s="1852"/>
      <c r="RTS23" s="1852"/>
      <c r="RTV23" s="1852"/>
      <c r="RTY23" s="1852"/>
      <c r="RUB23" s="1852"/>
      <c r="RUE23" s="1852"/>
      <c r="RUH23" s="1852"/>
      <c r="RUK23" s="1852"/>
      <c r="RUN23" s="1852"/>
      <c r="RUQ23" s="1852"/>
      <c r="RUT23" s="1852"/>
      <c r="RUW23" s="1852"/>
      <c r="RUZ23" s="1852"/>
      <c r="RVC23" s="1852"/>
      <c r="RVF23" s="1852"/>
      <c r="RVI23" s="1852"/>
      <c r="RVL23" s="1852"/>
      <c r="RVO23" s="1852"/>
      <c r="RVR23" s="1852"/>
      <c r="RVU23" s="1852"/>
      <c r="RVX23" s="1852"/>
      <c r="RWA23" s="1852"/>
      <c r="RWD23" s="1852"/>
      <c r="RWG23" s="1852"/>
      <c r="RWJ23" s="1852"/>
      <c r="RWM23" s="1852"/>
      <c r="RWP23" s="1852"/>
      <c r="RWS23" s="1852"/>
      <c r="RWV23" s="1852"/>
      <c r="RWY23" s="1852"/>
      <c r="RXB23" s="1852"/>
      <c r="RXE23" s="1852"/>
      <c r="RXH23" s="1852"/>
      <c r="RXK23" s="1852"/>
      <c r="RXN23" s="1852"/>
      <c r="RXQ23" s="1852"/>
      <c r="RXT23" s="1852"/>
      <c r="RXW23" s="1852"/>
      <c r="RXZ23" s="1852"/>
      <c r="RYC23" s="1852"/>
      <c r="RYF23" s="1852"/>
      <c r="RYI23" s="1852"/>
      <c r="RYL23" s="1852"/>
      <c r="RYO23" s="1852"/>
      <c r="RYR23" s="1852"/>
      <c r="RYU23" s="1852"/>
      <c r="RYX23" s="1852"/>
      <c r="RZA23" s="1852"/>
      <c r="RZD23" s="1852"/>
      <c r="RZG23" s="1852"/>
      <c r="RZJ23" s="1852"/>
      <c r="RZM23" s="1852"/>
      <c r="RZP23" s="1852"/>
      <c r="RZS23" s="1852"/>
      <c r="RZV23" s="1852"/>
      <c r="RZY23" s="1852"/>
      <c r="SAB23" s="1852"/>
      <c r="SAE23" s="1852"/>
      <c r="SAH23" s="1852"/>
      <c r="SAK23" s="1852"/>
      <c r="SAN23" s="1852"/>
      <c r="SAQ23" s="1852"/>
      <c r="SAT23" s="1852"/>
      <c r="SAW23" s="1852"/>
      <c r="SAZ23" s="1852"/>
      <c r="SBC23" s="1852"/>
      <c r="SBF23" s="1852"/>
      <c r="SBI23" s="1852"/>
      <c r="SBL23" s="1852"/>
      <c r="SBO23" s="1852"/>
      <c r="SBR23" s="1852"/>
      <c r="SBU23" s="1852"/>
      <c r="SBX23" s="1852"/>
      <c r="SCA23" s="1852"/>
      <c r="SCD23" s="1852"/>
      <c r="SCG23" s="1852"/>
      <c r="SCJ23" s="1852"/>
      <c r="SCM23" s="1852"/>
      <c r="SCP23" s="1852"/>
      <c r="SCS23" s="1852"/>
      <c r="SCV23" s="1852"/>
      <c r="SCY23" s="1852"/>
      <c r="SDB23" s="1852"/>
      <c r="SDE23" s="1852"/>
      <c r="SDH23" s="1852"/>
      <c r="SDK23" s="1852"/>
      <c r="SDN23" s="1852"/>
      <c r="SDQ23" s="1852"/>
      <c r="SDT23" s="1852"/>
      <c r="SDW23" s="1852"/>
      <c r="SDZ23" s="1852"/>
      <c r="SEC23" s="1852"/>
      <c r="SEF23" s="1852"/>
      <c r="SEI23" s="1852"/>
      <c r="SEL23" s="1852"/>
      <c r="SEO23" s="1852"/>
      <c r="SER23" s="1852"/>
      <c r="SEU23" s="1852"/>
      <c r="SEX23" s="1852"/>
      <c r="SFA23" s="1852"/>
      <c r="SFD23" s="1852"/>
      <c r="SFG23" s="1852"/>
      <c r="SFJ23" s="1852"/>
      <c r="SFM23" s="1852"/>
      <c r="SFP23" s="1852"/>
      <c r="SFS23" s="1852"/>
      <c r="SFV23" s="1852"/>
      <c r="SFY23" s="1852"/>
      <c r="SGB23" s="1852"/>
      <c r="SGE23" s="1852"/>
      <c r="SGH23" s="1852"/>
      <c r="SGK23" s="1852"/>
      <c r="SGN23" s="1852"/>
      <c r="SGQ23" s="1852"/>
      <c r="SGT23" s="1852"/>
      <c r="SGW23" s="1852"/>
      <c r="SGZ23" s="1852"/>
      <c r="SHC23" s="1852"/>
      <c r="SHF23" s="1852"/>
      <c r="SHI23" s="1852"/>
      <c r="SHL23" s="1852"/>
      <c r="SHO23" s="1852"/>
      <c r="SHR23" s="1852"/>
      <c r="SHU23" s="1852"/>
      <c r="SHX23" s="1852"/>
      <c r="SIA23" s="1852"/>
      <c r="SID23" s="1852"/>
      <c r="SIG23" s="1852"/>
      <c r="SIJ23" s="1852"/>
      <c r="SIM23" s="1852"/>
      <c r="SIP23" s="1852"/>
      <c r="SIS23" s="1852"/>
      <c r="SIV23" s="1852"/>
      <c r="SIY23" s="1852"/>
      <c r="SJB23" s="1852"/>
      <c r="SJE23" s="1852"/>
      <c r="SJH23" s="1852"/>
      <c r="SJK23" s="1852"/>
      <c r="SJN23" s="1852"/>
      <c r="SJQ23" s="1852"/>
      <c r="SJT23" s="1852"/>
      <c r="SJW23" s="1852"/>
      <c r="SJZ23" s="1852"/>
      <c r="SKC23" s="1852"/>
      <c r="SKF23" s="1852"/>
      <c r="SKI23" s="1852"/>
      <c r="SKL23" s="1852"/>
      <c r="SKO23" s="1852"/>
      <c r="SKR23" s="1852"/>
      <c r="SKU23" s="1852"/>
      <c r="SKX23" s="1852"/>
      <c r="SLA23" s="1852"/>
      <c r="SLD23" s="1852"/>
      <c r="SLG23" s="1852"/>
      <c r="SLJ23" s="1852"/>
      <c r="SLM23" s="1852"/>
      <c r="SLP23" s="1852"/>
      <c r="SLS23" s="1852"/>
      <c r="SLV23" s="1852"/>
      <c r="SLY23" s="1852"/>
      <c r="SMB23" s="1852"/>
      <c r="SME23" s="1852"/>
      <c r="SMH23" s="1852"/>
      <c r="SMK23" s="1852"/>
      <c r="SMN23" s="1852"/>
      <c r="SMQ23" s="1852"/>
      <c r="SMT23" s="1852"/>
      <c r="SMW23" s="1852"/>
      <c r="SMZ23" s="1852"/>
      <c r="SNC23" s="1852"/>
      <c r="SNF23" s="1852"/>
      <c r="SNI23" s="1852"/>
      <c r="SNL23" s="1852"/>
      <c r="SNO23" s="1852"/>
      <c r="SNR23" s="1852"/>
      <c r="SNU23" s="1852"/>
      <c r="SNX23" s="1852"/>
      <c r="SOA23" s="1852"/>
      <c r="SOD23" s="1852"/>
      <c r="SOG23" s="1852"/>
      <c r="SOJ23" s="1852"/>
      <c r="SOM23" s="1852"/>
      <c r="SOP23" s="1852"/>
      <c r="SOS23" s="1852"/>
      <c r="SOV23" s="1852"/>
      <c r="SOY23" s="1852"/>
      <c r="SPB23" s="1852"/>
      <c r="SPE23" s="1852"/>
      <c r="SPH23" s="1852"/>
      <c r="SPK23" s="1852"/>
      <c r="SPN23" s="1852"/>
      <c r="SPQ23" s="1852"/>
      <c r="SPT23" s="1852"/>
      <c r="SPW23" s="1852"/>
      <c r="SPZ23" s="1852"/>
      <c r="SQC23" s="1852"/>
      <c r="SQF23" s="1852"/>
      <c r="SQI23" s="1852"/>
      <c r="SQL23" s="1852"/>
      <c r="SQO23" s="1852"/>
      <c r="SQR23" s="1852"/>
      <c r="SQU23" s="1852"/>
      <c r="SQX23" s="1852"/>
      <c r="SRA23" s="1852"/>
      <c r="SRD23" s="1852"/>
      <c r="SRG23" s="1852"/>
      <c r="SRJ23" s="1852"/>
      <c r="SRM23" s="1852"/>
      <c r="SRP23" s="1852"/>
      <c r="SRS23" s="1852"/>
      <c r="SRV23" s="1852"/>
      <c r="SRY23" s="1852"/>
      <c r="SSB23" s="1852"/>
      <c r="SSE23" s="1852"/>
      <c r="SSH23" s="1852"/>
      <c r="SSK23" s="1852"/>
      <c r="SSN23" s="1852"/>
      <c r="SSQ23" s="1852"/>
      <c r="SST23" s="1852"/>
      <c r="SSW23" s="1852"/>
      <c r="SSZ23" s="1852"/>
      <c r="STC23" s="1852"/>
      <c r="STF23" s="1852"/>
      <c r="STI23" s="1852"/>
      <c r="STL23" s="1852"/>
      <c r="STO23" s="1852"/>
      <c r="STR23" s="1852"/>
      <c r="STU23" s="1852"/>
      <c r="STX23" s="1852"/>
      <c r="SUA23" s="1852"/>
      <c r="SUD23" s="1852"/>
      <c r="SUG23" s="1852"/>
      <c r="SUJ23" s="1852"/>
      <c r="SUM23" s="1852"/>
      <c r="SUP23" s="1852"/>
      <c r="SUS23" s="1852"/>
      <c r="SUV23" s="1852"/>
      <c r="SUY23" s="1852"/>
      <c r="SVB23" s="1852"/>
      <c r="SVE23" s="1852"/>
      <c r="SVH23" s="1852"/>
      <c r="SVK23" s="1852"/>
      <c r="SVN23" s="1852"/>
      <c r="SVQ23" s="1852"/>
      <c r="SVT23" s="1852"/>
      <c r="SVW23" s="1852"/>
      <c r="SVZ23" s="1852"/>
      <c r="SWC23" s="1852"/>
      <c r="SWF23" s="1852"/>
      <c r="SWI23" s="1852"/>
      <c r="SWL23" s="1852"/>
      <c r="SWO23" s="1852"/>
      <c r="SWR23" s="1852"/>
      <c r="SWU23" s="1852"/>
      <c r="SWX23" s="1852"/>
      <c r="SXA23" s="1852"/>
      <c r="SXD23" s="1852"/>
      <c r="SXG23" s="1852"/>
      <c r="SXJ23" s="1852"/>
      <c r="SXM23" s="1852"/>
      <c r="SXP23" s="1852"/>
      <c r="SXS23" s="1852"/>
      <c r="SXV23" s="1852"/>
      <c r="SXY23" s="1852"/>
      <c r="SYB23" s="1852"/>
      <c r="SYE23" s="1852"/>
      <c r="SYH23" s="1852"/>
      <c r="SYK23" s="1852"/>
      <c r="SYN23" s="1852"/>
      <c r="SYQ23" s="1852"/>
      <c r="SYT23" s="1852"/>
      <c r="SYW23" s="1852"/>
      <c r="SYZ23" s="1852"/>
      <c r="SZC23" s="1852"/>
      <c r="SZF23" s="1852"/>
      <c r="SZI23" s="1852"/>
      <c r="SZL23" s="1852"/>
      <c r="SZO23" s="1852"/>
      <c r="SZR23" s="1852"/>
      <c r="SZU23" s="1852"/>
      <c r="SZX23" s="1852"/>
      <c r="TAA23" s="1852"/>
      <c r="TAD23" s="1852"/>
      <c r="TAG23" s="1852"/>
      <c r="TAJ23" s="1852"/>
      <c r="TAM23" s="1852"/>
      <c r="TAP23" s="1852"/>
      <c r="TAS23" s="1852"/>
      <c r="TAV23" s="1852"/>
      <c r="TAY23" s="1852"/>
      <c r="TBB23" s="1852"/>
      <c r="TBE23" s="1852"/>
      <c r="TBH23" s="1852"/>
      <c r="TBK23" s="1852"/>
      <c r="TBN23" s="1852"/>
      <c r="TBQ23" s="1852"/>
      <c r="TBT23" s="1852"/>
      <c r="TBW23" s="1852"/>
      <c r="TBZ23" s="1852"/>
      <c r="TCC23" s="1852"/>
      <c r="TCF23" s="1852"/>
      <c r="TCI23" s="1852"/>
      <c r="TCL23" s="1852"/>
      <c r="TCO23" s="1852"/>
      <c r="TCR23" s="1852"/>
      <c r="TCU23" s="1852"/>
      <c r="TCX23" s="1852"/>
      <c r="TDA23" s="1852"/>
      <c r="TDD23" s="1852"/>
      <c r="TDG23" s="1852"/>
      <c r="TDJ23" s="1852"/>
      <c r="TDM23" s="1852"/>
      <c r="TDP23" s="1852"/>
      <c r="TDS23" s="1852"/>
      <c r="TDV23" s="1852"/>
      <c r="TDY23" s="1852"/>
      <c r="TEB23" s="1852"/>
      <c r="TEE23" s="1852"/>
      <c r="TEH23" s="1852"/>
      <c r="TEK23" s="1852"/>
      <c r="TEN23" s="1852"/>
      <c r="TEQ23" s="1852"/>
      <c r="TET23" s="1852"/>
      <c r="TEW23" s="1852"/>
      <c r="TEZ23" s="1852"/>
      <c r="TFC23" s="1852"/>
      <c r="TFF23" s="1852"/>
      <c r="TFI23" s="1852"/>
      <c r="TFL23" s="1852"/>
      <c r="TFO23" s="1852"/>
      <c r="TFR23" s="1852"/>
      <c r="TFU23" s="1852"/>
      <c r="TFX23" s="1852"/>
      <c r="TGA23" s="1852"/>
      <c r="TGD23" s="1852"/>
      <c r="TGG23" s="1852"/>
      <c r="TGJ23" s="1852"/>
      <c r="TGM23" s="1852"/>
      <c r="TGP23" s="1852"/>
      <c r="TGS23" s="1852"/>
      <c r="TGV23" s="1852"/>
      <c r="TGY23" s="1852"/>
      <c r="THB23" s="1852"/>
      <c r="THE23" s="1852"/>
      <c r="THH23" s="1852"/>
      <c r="THK23" s="1852"/>
      <c r="THN23" s="1852"/>
      <c r="THQ23" s="1852"/>
      <c r="THT23" s="1852"/>
      <c r="THW23" s="1852"/>
      <c r="THZ23" s="1852"/>
      <c r="TIC23" s="1852"/>
      <c r="TIF23" s="1852"/>
      <c r="TII23" s="1852"/>
      <c r="TIL23" s="1852"/>
      <c r="TIO23" s="1852"/>
      <c r="TIR23" s="1852"/>
      <c r="TIU23" s="1852"/>
      <c r="TIX23" s="1852"/>
      <c r="TJA23" s="1852"/>
      <c r="TJD23" s="1852"/>
      <c r="TJG23" s="1852"/>
      <c r="TJJ23" s="1852"/>
      <c r="TJM23" s="1852"/>
      <c r="TJP23" s="1852"/>
      <c r="TJS23" s="1852"/>
      <c r="TJV23" s="1852"/>
      <c r="TJY23" s="1852"/>
      <c r="TKB23" s="1852"/>
      <c r="TKE23" s="1852"/>
      <c r="TKH23" s="1852"/>
      <c r="TKK23" s="1852"/>
      <c r="TKN23" s="1852"/>
      <c r="TKQ23" s="1852"/>
      <c r="TKT23" s="1852"/>
      <c r="TKW23" s="1852"/>
      <c r="TKZ23" s="1852"/>
      <c r="TLC23" s="1852"/>
      <c r="TLF23" s="1852"/>
      <c r="TLI23" s="1852"/>
      <c r="TLL23" s="1852"/>
      <c r="TLO23" s="1852"/>
      <c r="TLR23" s="1852"/>
      <c r="TLU23" s="1852"/>
      <c r="TLX23" s="1852"/>
      <c r="TMA23" s="1852"/>
      <c r="TMD23" s="1852"/>
      <c r="TMG23" s="1852"/>
      <c r="TMJ23" s="1852"/>
      <c r="TMM23" s="1852"/>
      <c r="TMP23" s="1852"/>
      <c r="TMS23" s="1852"/>
      <c r="TMV23" s="1852"/>
      <c r="TMY23" s="1852"/>
      <c r="TNB23" s="1852"/>
      <c r="TNE23" s="1852"/>
      <c r="TNH23" s="1852"/>
      <c r="TNK23" s="1852"/>
      <c r="TNN23" s="1852"/>
      <c r="TNQ23" s="1852"/>
      <c r="TNT23" s="1852"/>
      <c r="TNW23" s="1852"/>
      <c r="TNZ23" s="1852"/>
      <c r="TOC23" s="1852"/>
      <c r="TOF23" s="1852"/>
      <c r="TOI23" s="1852"/>
      <c r="TOL23" s="1852"/>
      <c r="TOO23" s="1852"/>
      <c r="TOR23" s="1852"/>
      <c r="TOU23" s="1852"/>
      <c r="TOX23" s="1852"/>
      <c r="TPA23" s="1852"/>
      <c r="TPD23" s="1852"/>
      <c r="TPG23" s="1852"/>
      <c r="TPJ23" s="1852"/>
      <c r="TPM23" s="1852"/>
      <c r="TPP23" s="1852"/>
      <c r="TPS23" s="1852"/>
      <c r="TPV23" s="1852"/>
      <c r="TPY23" s="1852"/>
      <c r="TQB23" s="1852"/>
      <c r="TQE23" s="1852"/>
      <c r="TQH23" s="1852"/>
      <c r="TQK23" s="1852"/>
      <c r="TQN23" s="1852"/>
      <c r="TQQ23" s="1852"/>
      <c r="TQT23" s="1852"/>
      <c r="TQW23" s="1852"/>
      <c r="TQZ23" s="1852"/>
      <c r="TRC23" s="1852"/>
      <c r="TRF23" s="1852"/>
      <c r="TRI23" s="1852"/>
      <c r="TRL23" s="1852"/>
      <c r="TRO23" s="1852"/>
      <c r="TRR23" s="1852"/>
      <c r="TRU23" s="1852"/>
      <c r="TRX23" s="1852"/>
      <c r="TSA23" s="1852"/>
      <c r="TSD23" s="1852"/>
      <c r="TSG23" s="1852"/>
      <c r="TSJ23" s="1852"/>
      <c r="TSM23" s="1852"/>
      <c r="TSP23" s="1852"/>
      <c r="TSS23" s="1852"/>
      <c r="TSV23" s="1852"/>
      <c r="TSY23" s="1852"/>
      <c r="TTB23" s="1852"/>
      <c r="TTE23" s="1852"/>
      <c r="TTH23" s="1852"/>
      <c r="TTK23" s="1852"/>
      <c r="TTN23" s="1852"/>
      <c r="TTQ23" s="1852"/>
      <c r="TTT23" s="1852"/>
      <c r="TTW23" s="1852"/>
      <c r="TTZ23" s="1852"/>
      <c r="TUC23" s="1852"/>
      <c r="TUF23" s="1852"/>
      <c r="TUI23" s="1852"/>
      <c r="TUL23" s="1852"/>
      <c r="TUO23" s="1852"/>
      <c r="TUR23" s="1852"/>
      <c r="TUU23" s="1852"/>
      <c r="TUX23" s="1852"/>
      <c r="TVA23" s="1852"/>
      <c r="TVD23" s="1852"/>
      <c r="TVG23" s="1852"/>
      <c r="TVJ23" s="1852"/>
      <c r="TVM23" s="1852"/>
      <c r="TVP23" s="1852"/>
      <c r="TVS23" s="1852"/>
      <c r="TVV23" s="1852"/>
      <c r="TVY23" s="1852"/>
      <c r="TWB23" s="1852"/>
      <c r="TWE23" s="1852"/>
      <c r="TWH23" s="1852"/>
      <c r="TWK23" s="1852"/>
      <c r="TWN23" s="1852"/>
      <c r="TWQ23" s="1852"/>
      <c r="TWT23" s="1852"/>
      <c r="TWW23" s="1852"/>
      <c r="TWZ23" s="1852"/>
      <c r="TXC23" s="1852"/>
      <c r="TXF23" s="1852"/>
      <c r="TXI23" s="1852"/>
      <c r="TXL23" s="1852"/>
      <c r="TXO23" s="1852"/>
      <c r="TXR23" s="1852"/>
      <c r="TXU23" s="1852"/>
      <c r="TXX23" s="1852"/>
      <c r="TYA23" s="1852"/>
      <c r="TYD23" s="1852"/>
      <c r="TYG23" s="1852"/>
      <c r="TYJ23" s="1852"/>
      <c r="TYM23" s="1852"/>
      <c r="TYP23" s="1852"/>
      <c r="TYS23" s="1852"/>
      <c r="TYV23" s="1852"/>
      <c r="TYY23" s="1852"/>
      <c r="TZB23" s="1852"/>
      <c r="TZE23" s="1852"/>
      <c r="TZH23" s="1852"/>
      <c r="TZK23" s="1852"/>
      <c r="TZN23" s="1852"/>
      <c r="TZQ23" s="1852"/>
      <c r="TZT23" s="1852"/>
      <c r="TZW23" s="1852"/>
      <c r="TZZ23" s="1852"/>
      <c r="UAC23" s="1852"/>
      <c r="UAF23" s="1852"/>
      <c r="UAI23" s="1852"/>
      <c r="UAL23" s="1852"/>
      <c r="UAO23" s="1852"/>
      <c r="UAR23" s="1852"/>
      <c r="UAU23" s="1852"/>
      <c r="UAX23" s="1852"/>
      <c r="UBA23" s="1852"/>
      <c r="UBD23" s="1852"/>
      <c r="UBG23" s="1852"/>
      <c r="UBJ23" s="1852"/>
      <c r="UBM23" s="1852"/>
      <c r="UBP23" s="1852"/>
      <c r="UBS23" s="1852"/>
      <c r="UBV23" s="1852"/>
      <c r="UBY23" s="1852"/>
      <c r="UCB23" s="1852"/>
      <c r="UCE23" s="1852"/>
      <c r="UCH23" s="1852"/>
      <c r="UCK23" s="1852"/>
      <c r="UCN23" s="1852"/>
      <c r="UCQ23" s="1852"/>
      <c r="UCT23" s="1852"/>
      <c r="UCW23" s="1852"/>
      <c r="UCZ23" s="1852"/>
      <c r="UDC23" s="1852"/>
      <c r="UDF23" s="1852"/>
      <c r="UDI23" s="1852"/>
      <c r="UDL23" s="1852"/>
      <c r="UDO23" s="1852"/>
      <c r="UDR23" s="1852"/>
      <c r="UDU23" s="1852"/>
      <c r="UDX23" s="1852"/>
      <c r="UEA23" s="1852"/>
      <c r="UED23" s="1852"/>
      <c r="UEG23" s="1852"/>
      <c r="UEJ23" s="1852"/>
      <c r="UEM23" s="1852"/>
      <c r="UEP23" s="1852"/>
      <c r="UES23" s="1852"/>
      <c r="UEV23" s="1852"/>
      <c r="UEY23" s="1852"/>
      <c r="UFB23" s="1852"/>
      <c r="UFE23" s="1852"/>
      <c r="UFH23" s="1852"/>
      <c r="UFK23" s="1852"/>
      <c r="UFN23" s="1852"/>
      <c r="UFQ23" s="1852"/>
      <c r="UFT23" s="1852"/>
      <c r="UFW23" s="1852"/>
      <c r="UFZ23" s="1852"/>
      <c r="UGC23" s="1852"/>
      <c r="UGF23" s="1852"/>
      <c r="UGI23" s="1852"/>
      <c r="UGL23" s="1852"/>
      <c r="UGO23" s="1852"/>
      <c r="UGR23" s="1852"/>
      <c r="UGU23" s="1852"/>
      <c r="UGX23" s="1852"/>
      <c r="UHA23" s="1852"/>
      <c r="UHD23" s="1852"/>
      <c r="UHG23" s="1852"/>
      <c r="UHJ23" s="1852"/>
      <c r="UHM23" s="1852"/>
      <c r="UHP23" s="1852"/>
      <c r="UHS23" s="1852"/>
      <c r="UHV23" s="1852"/>
      <c r="UHY23" s="1852"/>
      <c r="UIB23" s="1852"/>
      <c r="UIE23" s="1852"/>
      <c r="UIH23" s="1852"/>
      <c r="UIK23" s="1852"/>
      <c r="UIN23" s="1852"/>
      <c r="UIQ23" s="1852"/>
      <c r="UIT23" s="1852"/>
      <c r="UIW23" s="1852"/>
      <c r="UIZ23" s="1852"/>
      <c r="UJC23" s="1852"/>
      <c r="UJF23" s="1852"/>
      <c r="UJI23" s="1852"/>
      <c r="UJL23" s="1852"/>
      <c r="UJO23" s="1852"/>
      <c r="UJR23" s="1852"/>
      <c r="UJU23" s="1852"/>
      <c r="UJX23" s="1852"/>
      <c r="UKA23" s="1852"/>
      <c r="UKD23" s="1852"/>
      <c r="UKG23" s="1852"/>
      <c r="UKJ23" s="1852"/>
      <c r="UKM23" s="1852"/>
      <c r="UKP23" s="1852"/>
      <c r="UKS23" s="1852"/>
      <c r="UKV23" s="1852"/>
      <c r="UKY23" s="1852"/>
      <c r="ULB23" s="1852"/>
      <c r="ULE23" s="1852"/>
      <c r="ULH23" s="1852"/>
      <c r="ULK23" s="1852"/>
      <c r="ULN23" s="1852"/>
      <c r="ULQ23" s="1852"/>
      <c r="ULT23" s="1852"/>
      <c r="ULW23" s="1852"/>
      <c r="ULZ23" s="1852"/>
      <c r="UMC23" s="1852"/>
      <c r="UMF23" s="1852"/>
      <c r="UMI23" s="1852"/>
      <c r="UML23" s="1852"/>
      <c r="UMO23" s="1852"/>
      <c r="UMR23" s="1852"/>
      <c r="UMU23" s="1852"/>
      <c r="UMX23" s="1852"/>
      <c r="UNA23" s="1852"/>
      <c r="UND23" s="1852"/>
      <c r="UNG23" s="1852"/>
      <c r="UNJ23" s="1852"/>
      <c r="UNM23" s="1852"/>
      <c r="UNP23" s="1852"/>
      <c r="UNS23" s="1852"/>
      <c r="UNV23" s="1852"/>
      <c r="UNY23" s="1852"/>
      <c r="UOB23" s="1852"/>
      <c r="UOE23" s="1852"/>
      <c r="UOH23" s="1852"/>
      <c r="UOK23" s="1852"/>
      <c r="UON23" s="1852"/>
      <c r="UOQ23" s="1852"/>
      <c r="UOT23" s="1852"/>
      <c r="UOW23" s="1852"/>
      <c r="UOZ23" s="1852"/>
      <c r="UPC23" s="1852"/>
      <c r="UPF23" s="1852"/>
      <c r="UPI23" s="1852"/>
      <c r="UPL23" s="1852"/>
      <c r="UPO23" s="1852"/>
      <c r="UPR23" s="1852"/>
      <c r="UPU23" s="1852"/>
      <c r="UPX23" s="1852"/>
      <c r="UQA23" s="1852"/>
      <c r="UQD23" s="1852"/>
      <c r="UQG23" s="1852"/>
      <c r="UQJ23" s="1852"/>
      <c r="UQM23" s="1852"/>
      <c r="UQP23" s="1852"/>
      <c r="UQS23" s="1852"/>
      <c r="UQV23" s="1852"/>
      <c r="UQY23" s="1852"/>
      <c r="URB23" s="1852"/>
      <c r="URE23" s="1852"/>
      <c r="URH23" s="1852"/>
      <c r="URK23" s="1852"/>
      <c r="URN23" s="1852"/>
      <c r="URQ23" s="1852"/>
      <c r="URT23" s="1852"/>
      <c r="URW23" s="1852"/>
      <c r="URZ23" s="1852"/>
      <c r="USC23" s="1852"/>
      <c r="USF23" s="1852"/>
      <c r="USI23" s="1852"/>
      <c r="USL23" s="1852"/>
      <c r="USO23" s="1852"/>
      <c r="USR23" s="1852"/>
      <c r="USU23" s="1852"/>
      <c r="USX23" s="1852"/>
      <c r="UTA23" s="1852"/>
      <c r="UTD23" s="1852"/>
      <c r="UTG23" s="1852"/>
      <c r="UTJ23" s="1852"/>
      <c r="UTM23" s="1852"/>
      <c r="UTP23" s="1852"/>
      <c r="UTS23" s="1852"/>
      <c r="UTV23" s="1852"/>
      <c r="UTY23" s="1852"/>
      <c r="UUB23" s="1852"/>
      <c r="UUE23" s="1852"/>
      <c r="UUH23" s="1852"/>
      <c r="UUK23" s="1852"/>
      <c r="UUN23" s="1852"/>
      <c r="UUQ23" s="1852"/>
      <c r="UUT23" s="1852"/>
      <c r="UUW23" s="1852"/>
      <c r="UUZ23" s="1852"/>
      <c r="UVC23" s="1852"/>
      <c r="UVF23" s="1852"/>
      <c r="UVI23" s="1852"/>
      <c r="UVL23" s="1852"/>
      <c r="UVO23" s="1852"/>
      <c r="UVR23" s="1852"/>
      <c r="UVU23" s="1852"/>
      <c r="UVX23" s="1852"/>
      <c r="UWA23" s="1852"/>
      <c r="UWD23" s="1852"/>
      <c r="UWG23" s="1852"/>
      <c r="UWJ23" s="1852"/>
      <c r="UWM23" s="1852"/>
      <c r="UWP23" s="1852"/>
      <c r="UWS23" s="1852"/>
      <c r="UWV23" s="1852"/>
      <c r="UWY23" s="1852"/>
      <c r="UXB23" s="1852"/>
      <c r="UXE23" s="1852"/>
      <c r="UXH23" s="1852"/>
      <c r="UXK23" s="1852"/>
      <c r="UXN23" s="1852"/>
      <c r="UXQ23" s="1852"/>
      <c r="UXT23" s="1852"/>
      <c r="UXW23" s="1852"/>
      <c r="UXZ23" s="1852"/>
      <c r="UYC23" s="1852"/>
      <c r="UYF23" s="1852"/>
      <c r="UYI23" s="1852"/>
      <c r="UYL23" s="1852"/>
      <c r="UYO23" s="1852"/>
      <c r="UYR23" s="1852"/>
      <c r="UYU23" s="1852"/>
      <c r="UYX23" s="1852"/>
      <c r="UZA23" s="1852"/>
      <c r="UZD23" s="1852"/>
      <c r="UZG23" s="1852"/>
      <c r="UZJ23" s="1852"/>
      <c r="UZM23" s="1852"/>
      <c r="UZP23" s="1852"/>
      <c r="UZS23" s="1852"/>
      <c r="UZV23" s="1852"/>
      <c r="UZY23" s="1852"/>
      <c r="VAB23" s="1852"/>
      <c r="VAE23" s="1852"/>
      <c r="VAH23" s="1852"/>
      <c r="VAK23" s="1852"/>
      <c r="VAN23" s="1852"/>
      <c r="VAQ23" s="1852"/>
      <c r="VAT23" s="1852"/>
      <c r="VAW23" s="1852"/>
      <c r="VAZ23" s="1852"/>
      <c r="VBC23" s="1852"/>
      <c r="VBF23" s="1852"/>
      <c r="VBI23" s="1852"/>
      <c r="VBL23" s="1852"/>
      <c r="VBO23" s="1852"/>
      <c r="VBR23" s="1852"/>
      <c r="VBU23" s="1852"/>
      <c r="VBX23" s="1852"/>
      <c r="VCA23" s="1852"/>
      <c r="VCD23" s="1852"/>
      <c r="VCG23" s="1852"/>
      <c r="VCJ23" s="1852"/>
      <c r="VCM23" s="1852"/>
      <c r="VCP23" s="1852"/>
      <c r="VCS23" s="1852"/>
      <c r="VCV23" s="1852"/>
      <c r="VCY23" s="1852"/>
      <c r="VDB23" s="1852"/>
      <c r="VDE23" s="1852"/>
      <c r="VDH23" s="1852"/>
      <c r="VDK23" s="1852"/>
      <c r="VDN23" s="1852"/>
      <c r="VDQ23" s="1852"/>
      <c r="VDT23" s="1852"/>
      <c r="VDW23" s="1852"/>
      <c r="VDZ23" s="1852"/>
      <c r="VEC23" s="1852"/>
      <c r="VEF23" s="1852"/>
      <c r="VEI23" s="1852"/>
      <c r="VEL23" s="1852"/>
      <c r="VEO23" s="1852"/>
      <c r="VER23" s="1852"/>
      <c r="VEU23" s="1852"/>
      <c r="VEX23" s="1852"/>
      <c r="VFA23" s="1852"/>
      <c r="VFD23" s="1852"/>
      <c r="VFG23" s="1852"/>
      <c r="VFJ23" s="1852"/>
      <c r="VFM23" s="1852"/>
      <c r="VFP23" s="1852"/>
      <c r="VFS23" s="1852"/>
      <c r="VFV23" s="1852"/>
      <c r="VFY23" s="1852"/>
      <c r="VGB23" s="1852"/>
      <c r="VGE23" s="1852"/>
      <c r="VGH23" s="1852"/>
      <c r="VGK23" s="1852"/>
      <c r="VGN23" s="1852"/>
      <c r="VGQ23" s="1852"/>
      <c r="VGT23" s="1852"/>
      <c r="VGW23" s="1852"/>
      <c r="VGZ23" s="1852"/>
      <c r="VHC23" s="1852"/>
      <c r="VHF23" s="1852"/>
      <c r="VHI23" s="1852"/>
      <c r="VHL23" s="1852"/>
      <c r="VHO23" s="1852"/>
      <c r="VHR23" s="1852"/>
      <c r="VHU23" s="1852"/>
      <c r="VHX23" s="1852"/>
      <c r="VIA23" s="1852"/>
      <c r="VID23" s="1852"/>
      <c r="VIG23" s="1852"/>
      <c r="VIJ23" s="1852"/>
      <c r="VIM23" s="1852"/>
      <c r="VIP23" s="1852"/>
      <c r="VIS23" s="1852"/>
      <c r="VIV23" s="1852"/>
      <c r="VIY23" s="1852"/>
      <c r="VJB23" s="1852"/>
      <c r="VJE23" s="1852"/>
      <c r="VJH23" s="1852"/>
      <c r="VJK23" s="1852"/>
      <c r="VJN23" s="1852"/>
      <c r="VJQ23" s="1852"/>
      <c r="VJT23" s="1852"/>
      <c r="VJW23" s="1852"/>
      <c r="VJZ23" s="1852"/>
      <c r="VKC23" s="1852"/>
      <c r="VKF23" s="1852"/>
      <c r="VKI23" s="1852"/>
      <c r="VKL23" s="1852"/>
      <c r="VKO23" s="1852"/>
      <c r="VKR23" s="1852"/>
      <c r="VKU23" s="1852"/>
      <c r="VKX23" s="1852"/>
      <c r="VLA23" s="1852"/>
      <c r="VLD23" s="1852"/>
      <c r="VLG23" s="1852"/>
      <c r="VLJ23" s="1852"/>
      <c r="VLM23" s="1852"/>
      <c r="VLP23" s="1852"/>
      <c r="VLS23" s="1852"/>
      <c r="VLV23" s="1852"/>
      <c r="VLY23" s="1852"/>
      <c r="VMB23" s="1852"/>
      <c r="VME23" s="1852"/>
      <c r="VMH23" s="1852"/>
      <c r="VMK23" s="1852"/>
      <c r="VMN23" s="1852"/>
      <c r="VMQ23" s="1852"/>
      <c r="VMT23" s="1852"/>
      <c r="VMW23" s="1852"/>
      <c r="VMZ23" s="1852"/>
      <c r="VNC23" s="1852"/>
      <c r="VNF23" s="1852"/>
      <c r="VNI23" s="1852"/>
      <c r="VNL23" s="1852"/>
      <c r="VNO23" s="1852"/>
      <c r="VNR23" s="1852"/>
      <c r="VNU23" s="1852"/>
      <c r="VNX23" s="1852"/>
      <c r="VOA23" s="1852"/>
      <c r="VOD23" s="1852"/>
      <c r="VOG23" s="1852"/>
      <c r="VOJ23" s="1852"/>
      <c r="VOM23" s="1852"/>
      <c r="VOP23" s="1852"/>
      <c r="VOS23" s="1852"/>
      <c r="VOV23" s="1852"/>
      <c r="VOY23" s="1852"/>
      <c r="VPB23" s="1852"/>
      <c r="VPE23" s="1852"/>
      <c r="VPH23" s="1852"/>
      <c r="VPK23" s="1852"/>
      <c r="VPN23" s="1852"/>
      <c r="VPQ23" s="1852"/>
      <c r="VPT23" s="1852"/>
      <c r="VPW23" s="1852"/>
      <c r="VPZ23" s="1852"/>
      <c r="VQC23" s="1852"/>
      <c r="VQF23" s="1852"/>
      <c r="VQI23" s="1852"/>
      <c r="VQL23" s="1852"/>
      <c r="VQO23" s="1852"/>
      <c r="VQR23" s="1852"/>
      <c r="VQU23" s="1852"/>
      <c r="VQX23" s="1852"/>
      <c r="VRA23" s="1852"/>
      <c r="VRD23" s="1852"/>
      <c r="VRG23" s="1852"/>
      <c r="VRJ23" s="1852"/>
      <c r="VRM23" s="1852"/>
      <c r="VRP23" s="1852"/>
      <c r="VRS23" s="1852"/>
      <c r="VRV23" s="1852"/>
      <c r="VRY23" s="1852"/>
      <c r="VSB23" s="1852"/>
      <c r="VSE23" s="1852"/>
      <c r="VSH23" s="1852"/>
      <c r="VSK23" s="1852"/>
      <c r="VSN23" s="1852"/>
      <c r="VSQ23" s="1852"/>
      <c r="VST23" s="1852"/>
      <c r="VSW23" s="1852"/>
      <c r="VSZ23" s="1852"/>
      <c r="VTC23" s="1852"/>
      <c r="VTF23" s="1852"/>
      <c r="VTI23" s="1852"/>
      <c r="VTL23" s="1852"/>
      <c r="VTO23" s="1852"/>
      <c r="VTR23" s="1852"/>
      <c r="VTU23" s="1852"/>
      <c r="VTX23" s="1852"/>
      <c r="VUA23" s="1852"/>
      <c r="VUD23" s="1852"/>
      <c r="VUG23" s="1852"/>
      <c r="VUJ23" s="1852"/>
      <c r="VUM23" s="1852"/>
      <c r="VUP23" s="1852"/>
      <c r="VUS23" s="1852"/>
      <c r="VUV23" s="1852"/>
      <c r="VUY23" s="1852"/>
      <c r="VVB23" s="1852"/>
      <c r="VVE23" s="1852"/>
      <c r="VVH23" s="1852"/>
      <c r="VVK23" s="1852"/>
      <c r="VVN23" s="1852"/>
      <c r="VVQ23" s="1852"/>
      <c r="VVT23" s="1852"/>
      <c r="VVW23" s="1852"/>
      <c r="VVZ23" s="1852"/>
      <c r="VWC23" s="1852"/>
      <c r="VWF23" s="1852"/>
      <c r="VWI23" s="1852"/>
      <c r="VWL23" s="1852"/>
      <c r="VWO23" s="1852"/>
      <c r="VWR23" s="1852"/>
      <c r="VWU23" s="1852"/>
      <c r="VWX23" s="1852"/>
      <c r="VXA23" s="1852"/>
      <c r="VXD23" s="1852"/>
      <c r="VXG23" s="1852"/>
      <c r="VXJ23" s="1852"/>
      <c r="VXM23" s="1852"/>
      <c r="VXP23" s="1852"/>
      <c r="VXS23" s="1852"/>
      <c r="VXV23" s="1852"/>
      <c r="VXY23" s="1852"/>
      <c r="VYB23" s="1852"/>
      <c r="VYE23" s="1852"/>
      <c r="VYH23" s="1852"/>
      <c r="VYK23" s="1852"/>
      <c r="VYN23" s="1852"/>
      <c r="VYQ23" s="1852"/>
      <c r="VYT23" s="1852"/>
      <c r="VYW23" s="1852"/>
      <c r="VYZ23" s="1852"/>
      <c r="VZC23" s="1852"/>
      <c r="VZF23" s="1852"/>
      <c r="VZI23" s="1852"/>
      <c r="VZL23" s="1852"/>
      <c r="VZO23" s="1852"/>
      <c r="VZR23" s="1852"/>
      <c r="VZU23" s="1852"/>
      <c r="VZX23" s="1852"/>
      <c r="WAA23" s="1852"/>
      <c r="WAD23" s="1852"/>
      <c r="WAG23" s="1852"/>
      <c r="WAJ23" s="1852"/>
      <c r="WAM23" s="1852"/>
      <c r="WAP23" s="1852"/>
      <c r="WAS23" s="1852"/>
      <c r="WAV23" s="1852"/>
      <c r="WAY23" s="1852"/>
      <c r="WBB23" s="1852"/>
      <c r="WBE23" s="1852"/>
      <c r="WBH23" s="1852"/>
      <c r="WBK23" s="1852"/>
      <c r="WBN23" s="1852"/>
      <c r="WBQ23" s="1852"/>
      <c r="WBT23" s="1852"/>
      <c r="WBW23" s="1852"/>
      <c r="WBZ23" s="1852"/>
      <c r="WCC23" s="1852"/>
      <c r="WCF23" s="1852"/>
      <c r="WCI23" s="1852"/>
      <c r="WCL23" s="1852"/>
      <c r="WCO23" s="1852"/>
      <c r="WCR23" s="1852"/>
      <c r="WCU23" s="1852"/>
      <c r="WCX23" s="1852"/>
      <c r="WDA23" s="1852"/>
      <c r="WDD23" s="1852"/>
      <c r="WDG23" s="1852"/>
      <c r="WDJ23" s="1852"/>
      <c r="WDM23" s="1852"/>
      <c r="WDP23" s="1852"/>
      <c r="WDS23" s="1852"/>
      <c r="WDV23" s="1852"/>
      <c r="WDY23" s="1852"/>
      <c r="WEB23" s="1852"/>
      <c r="WEE23" s="1852"/>
      <c r="WEH23" s="1852"/>
      <c r="WEK23" s="1852"/>
      <c r="WEN23" s="1852"/>
      <c r="WEQ23" s="1852"/>
      <c r="WET23" s="1852"/>
      <c r="WEW23" s="1852"/>
      <c r="WEZ23" s="1852"/>
      <c r="WFC23" s="1852"/>
      <c r="WFF23" s="1852"/>
      <c r="WFI23" s="1852"/>
      <c r="WFL23" s="1852"/>
      <c r="WFO23" s="1852"/>
      <c r="WFR23" s="1852"/>
      <c r="WFU23" s="1852"/>
      <c r="WFX23" s="1852"/>
      <c r="WGA23" s="1852"/>
      <c r="WGD23" s="1852"/>
      <c r="WGG23" s="1852"/>
      <c r="WGJ23" s="1852"/>
      <c r="WGM23" s="1852"/>
      <c r="WGP23" s="1852"/>
      <c r="WGS23" s="1852"/>
      <c r="WGV23" s="1852"/>
      <c r="WGY23" s="1852"/>
      <c r="WHB23" s="1852"/>
      <c r="WHE23" s="1852"/>
      <c r="WHH23" s="1852"/>
      <c r="WHK23" s="1852"/>
      <c r="WHN23" s="1852"/>
      <c r="WHQ23" s="1852"/>
      <c r="WHT23" s="1852"/>
      <c r="WHW23" s="1852"/>
      <c r="WHZ23" s="1852"/>
      <c r="WIC23" s="1852"/>
      <c r="WIF23" s="1852"/>
      <c r="WII23" s="1852"/>
      <c r="WIL23" s="1852"/>
      <c r="WIO23" s="1852"/>
      <c r="WIR23" s="1852"/>
      <c r="WIU23" s="1852"/>
      <c r="WIX23" s="1852"/>
      <c r="WJA23" s="1852"/>
      <c r="WJD23" s="1852"/>
      <c r="WJG23" s="1852"/>
      <c r="WJJ23" s="1852"/>
      <c r="WJM23" s="1852"/>
      <c r="WJP23" s="1852"/>
      <c r="WJS23" s="1852"/>
      <c r="WJV23" s="1852"/>
      <c r="WJY23" s="1852"/>
      <c r="WKB23" s="1852"/>
      <c r="WKE23" s="1852"/>
      <c r="WKH23" s="1852"/>
      <c r="WKK23" s="1852"/>
      <c r="WKN23" s="1852"/>
      <c r="WKQ23" s="1852"/>
      <c r="WKT23" s="1852"/>
      <c r="WKW23" s="1852"/>
      <c r="WKZ23" s="1852"/>
      <c r="WLC23" s="1852"/>
      <c r="WLF23" s="1852"/>
      <c r="WLI23" s="1852"/>
      <c r="WLL23" s="1852"/>
      <c r="WLO23" s="1852"/>
      <c r="WLR23" s="1852"/>
      <c r="WLU23" s="1852"/>
      <c r="WLX23" s="1852"/>
      <c r="WMA23" s="1852"/>
      <c r="WMD23" s="1852"/>
      <c r="WMG23" s="1852"/>
      <c r="WMJ23" s="1852"/>
      <c r="WMM23" s="1852"/>
      <c r="WMP23" s="1852"/>
      <c r="WMS23" s="1852"/>
      <c r="WMV23" s="1852"/>
      <c r="WMY23" s="1852"/>
      <c r="WNB23" s="1852"/>
      <c r="WNE23" s="1852"/>
      <c r="WNH23" s="1852"/>
      <c r="WNK23" s="1852"/>
      <c r="WNN23" s="1852"/>
      <c r="WNQ23" s="1852"/>
      <c r="WNT23" s="1852"/>
      <c r="WNW23" s="1852"/>
      <c r="WNZ23" s="1852"/>
      <c r="WOC23" s="1852"/>
      <c r="WOF23" s="1852"/>
      <c r="WOI23" s="1852"/>
      <c r="WOL23" s="1852"/>
      <c r="WOO23" s="1852"/>
      <c r="WOR23" s="1852"/>
      <c r="WOU23" s="1852"/>
      <c r="WOX23" s="1852"/>
      <c r="WPA23" s="1852"/>
      <c r="WPD23" s="1852"/>
      <c r="WPG23" s="1852"/>
      <c r="WPJ23" s="1852"/>
      <c r="WPM23" s="1852"/>
      <c r="WPP23" s="1852"/>
      <c r="WPS23" s="1852"/>
      <c r="WPV23" s="1852"/>
      <c r="WPY23" s="1852"/>
      <c r="WQB23" s="1852"/>
      <c r="WQE23" s="1852"/>
      <c r="WQH23" s="1852"/>
      <c r="WQK23" s="1852"/>
      <c r="WQN23" s="1852"/>
      <c r="WQQ23" s="1852"/>
      <c r="WQT23" s="1852"/>
      <c r="WQW23" s="1852"/>
      <c r="WQZ23" s="1852"/>
      <c r="WRC23" s="1852"/>
      <c r="WRF23" s="1852"/>
      <c r="WRI23" s="1852"/>
      <c r="WRL23" s="1852"/>
      <c r="WRO23" s="1852"/>
      <c r="WRR23" s="1852"/>
      <c r="WRU23" s="1852"/>
      <c r="WRX23" s="1852"/>
      <c r="WSA23" s="1852"/>
      <c r="WSD23" s="1852"/>
      <c r="WSG23" s="1852"/>
      <c r="WSJ23" s="1852"/>
      <c r="WSM23" s="1852"/>
      <c r="WSP23" s="1852"/>
      <c r="WSS23" s="1852"/>
      <c r="WSV23" s="1852"/>
      <c r="WSY23" s="1852"/>
      <c r="WTB23" s="1852"/>
      <c r="WTE23" s="1852"/>
      <c r="WTH23" s="1852"/>
      <c r="WTK23" s="1852"/>
      <c r="WTN23" s="1852"/>
      <c r="WTQ23" s="1852"/>
      <c r="WTT23" s="1852"/>
      <c r="WTW23" s="1852"/>
      <c r="WTZ23" s="1852"/>
      <c r="WUC23" s="1852"/>
      <c r="WUF23" s="1852"/>
      <c r="WUI23" s="1852"/>
      <c r="WUL23" s="1852"/>
      <c r="WUO23" s="1852"/>
      <c r="WUR23" s="1852"/>
      <c r="WUU23" s="1852"/>
      <c r="WUX23" s="1852"/>
      <c r="WVA23" s="1852"/>
      <c r="WVD23" s="1852"/>
      <c r="WVG23" s="1852"/>
      <c r="WVJ23" s="1852"/>
      <c r="WVM23" s="1852"/>
      <c r="WVP23" s="1852"/>
      <c r="WVS23" s="1852"/>
      <c r="WVV23" s="1852"/>
      <c r="WVY23" s="1852"/>
      <c r="WWB23" s="1852"/>
      <c r="WWE23" s="1852"/>
      <c r="WWH23" s="1852"/>
      <c r="WWK23" s="1852"/>
      <c r="WWN23" s="1852"/>
      <c r="WWQ23" s="1852"/>
      <c r="WWT23" s="1852"/>
      <c r="WWW23" s="1852"/>
      <c r="WWZ23" s="1852"/>
      <c r="WXC23" s="1852"/>
      <c r="WXF23" s="1852"/>
      <c r="WXI23" s="1852"/>
      <c r="WXL23" s="1852"/>
      <c r="WXO23" s="1852"/>
      <c r="WXR23" s="1852"/>
      <c r="WXU23" s="1852"/>
      <c r="WXX23" s="1852"/>
      <c r="WYA23" s="1852"/>
      <c r="WYD23" s="1852"/>
      <c r="WYG23" s="1852"/>
      <c r="WYJ23" s="1852"/>
      <c r="WYM23" s="1852"/>
      <c r="WYP23" s="1852"/>
      <c r="WYS23" s="1852"/>
      <c r="WYV23" s="1852"/>
      <c r="WYY23" s="1852"/>
      <c r="WZB23" s="1852"/>
      <c r="WZE23" s="1852"/>
      <c r="WZH23" s="1852"/>
      <c r="WZK23" s="1852"/>
      <c r="WZN23" s="1852"/>
      <c r="WZQ23" s="1852"/>
      <c r="WZT23" s="1852"/>
      <c r="WZW23" s="1852"/>
      <c r="WZZ23" s="1852"/>
      <c r="XAC23" s="1852"/>
      <c r="XAF23" s="1852"/>
      <c r="XAI23" s="1852"/>
      <c r="XAL23" s="1852"/>
      <c r="XAO23" s="1852"/>
      <c r="XAR23" s="1852"/>
      <c r="XAU23" s="1852"/>
      <c r="XAX23" s="1852"/>
      <c r="XBA23" s="1852"/>
      <c r="XBD23" s="1852"/>
      <c r="XBG23" s="1852"/>
      <c r="XBJ23" s="1852"/>
      <c r="XBM23" s="1852"/>
      <c r="XBP23" s="1852"/>
      <c r="XBS23" s="1852"/>
      <c r="XBV23" s="1852"/>
      <c r="XBY23" s="1852"/>
      <c r="XCB23" s="1852"/>
      <c r="XCE23" s="1852"/>
      <c r="XCH23" s="1852"/>
      <c r="XCK23" s="1852"/>
      <c r="XCN23" s="1852"/>
      <c r="XCQ23" s="1852"/>
      <c r="XCT23" s="1852"/>
      <c r="XCW23" s="1852"/>
      <c r="XCZ23" s="1852"/>
      <c r="XDC23" s="1852"/>
      <c r="XDF23" s="1852"/>
      <c r="XDI23" s="1852"/>
      <c r="XDL23" s="1852"/>
      <c r="XDO23" s="1852"/>
      <c r="XDR23" s="1852"/>
      <c r="XDU23" s="1852"/>
      <c r="XDX23" s="1852"/>
      <c r="XEA23" s="1852"/>
      <c r="XED23" s="1852"/>
      <c r="XEG23" s="1852"/>
      <c r="XEJ23" s="1852"/>
      <c r="XEM23" s="1852"/>
      <c r="XEP23" s="1852"/>
      <c r="XES23" s="1852"/>
      <c r="XEV23" s="1852"/>
      <c r="XEY23" s="1852"/>
      <c r="XFB23" s="1852"/>
    </row>
    <row r="24" spans="1:16384" s="1851" customFormat="1" x14ac:dyDescent="0.3">
      <c r="A24" s="2824" t="s">
        <v>2560</v>
      </c>
      <c r="B24" s="2825"/>
      <c r="C24" s="2826"/>
      <c r="D24" s="1852"/>
      <c r="E24" s="1852"/>
      <c r="F24" s="1852"/>
      <c r="G24" s="1852"/>
      <c r="H24" s="1852"/>
      <c r="I24" s="1852"/>
      <c r="J24" s="1852"/>
      <c r="K24" s="1852"/>
      <c r="L24" s="1852"/>
      <c r="M24" s="1852"/>
      <c r="N24" s="1852"/>
      <c r="O24" s="1852"/>
      <c r="P24" s="1852"/>
      <c r="Q24" s="1852"/>
      <c r="T24" s="1852"/>
      <c r="W24" s="1852"/>
      <c r="Z24" s="1852"/>
      <c r="AC24" s="1852"/>
      <c r="AF24" s="1852"/>
      <c r="AI24" s="1852"/>
      <c r="AL24" s="1852"/>
      <c r="AO24" s="1852"/>
      <c r="AR24" s="1852"/>
      <c r="AU24" s="1852"/>
      <c r="AX24" s="1852"/>
      <c r="BA24" s="1852"/>
      <c r="BD24" s="1852"/>
      <c r="BG24" s="1852"/>
      <c r="BJ24" s="1852"/>
      <c r="BM24" s="1852"/>
      <c r="BP24" s="1852"/>
      <c r="BS24" s="1852"/>
      <c r="BV24" s="1852"/>
      <c r="BY24" s="1852"/>
      <c r="CB24" s="1852"/>
      <c r="CE24" s="1852"/>
      <c r="CH24" s="1852"/>
      <c r="CK24" s="1852"/>
      <c r="CN24" s="1852"/>
      <c r="CQ24" s="1852"/>
      <c r="CT24" s="1852"/>
      <c r="CW24" s="1852"/>
      <c r="CZ24" s="1852"/>
      <c r="DC24" s="1852"/>
      <c r="DF24" s="1852"/>
      <c r="DI24" s="1852"/>
      <c r="DL24" s="1852"/>
      <c r="DO24" s="1852"/>
      <c r="DR24" s="1852"/>
      <c r="DU24" s="1852"/>
      <c r="DX24" s="1852"/>
      <c r="EA24" s="1852"/>
      <c r="ED24" s="1852"/>
      <c r="EG24" s="1852"/>
      <c r="EJ24" s="1852"/>
      <c r="EM24" s="1852"/>
      <c r="EP24" s="1852"/>
      <c r="ES24" s="1852"/>
      <c r="EV24" s="1852"/>
      <c r="EY24" s="1852"/>
      <c r="FB24" s="1852"/>
      <c r="FE24" s="1852"/>
      <c r="FH24" s="1852"/>
      <c r="FK24" s="1852"/>
      <c r="FN24" s="1852"/>
      <c r="FQ24" s="1852"/>
      <c r="FT24" s="1852"/>
      <c r="FW24" s="1852"/>
      <c r="FZ24" s="1852"/>
      <c r="GC24" s="1852"/>
      <c r="GF24" s="1852"/>
      <c r="GI24" s="1852"/>
      <c r="GL24" s="1852"/>
      <c r="GO24" s="1852"/>
      <c r="GR24" s="1852"/>
      <c r="GU24" s="1852"/>
      <c r="GX24" s="1852"/>
      <c r="HA24" s="1852"/>
      <c r="HD24" s="1852"/>
      <c r="HG24" s="1852"/>
      <c r="HJ24" s="1852"/>
      <c r="HM24" s="1852"/>
      <c r="HP24" s="1852"/>
      <c r="HS24" s="1852"/>
      <c r="HV24" s="1852"/>
      <c r="HY24" s="1852"/>
      <c r="IB24" s="1852"/>
      <c r="IE24" s="1852"/>
      <c r="IH24" s="1852"/>
      <c r="IK24" s="1852"/>
      <c r="IN24" s="1852"/>
      <c r="IQ24" s="1852"/>
      <c r="IT24" s="1852"/>
      <c r="IW24" s="1852"/>
      <c r="IZ24" s="1852"/>
      <c r="JC24" s="1852"/>
      <c r="JF24" s="1852"/>
      <c r="JI24" s="1852"/>
      <c r="JL24" s="1852"/>
      <c r="JO24" s="1852"/>
      <c r="JR24" s="1852"/>
      <c r="JU24" s="1852"/>
      <c r="JX24" s="1852"/>
      <c r="KA24" s="1852"/>
      <c r="KD24" s="1852"/>
      <c r="KG24" s="1852"/>
      <c r="KJ24" s="1852"/>
      <c r="KM24" s="1852"/>
      <c r="KP24" s="1852"/>
      <c r="KS24" s="1852"/>
      <c r="KV24" s="1852"/>
      <c r="KY24" s="1852"/>
      <c r="LB24" s="1852"/>
      <c r="LE24" s="1852"/>
      <c r="LH24" s="1852"/>
      <c r="LK24" s="1852"/>
      <c r="LN24" s="1852"/>
      <c r="LQ24" s="1852"/>
      <c r="LT24" s="1852"/>
      <c r="LW24" s="1852"/>
      <c r="LZ24" s="1852"/>
      <c r="MC24" s="1852"/>
      <c r="MF24" s="1852"/>
      <c r="MI24" s="1852"/>
      <c r="ML24" s="1852"/>
      <c r="MO24" s="1852"/>
      <c r="MR24" s="1852"/>
      <c r="MU24" s="1852"/>
      <c r="MX24" s="1852"/>
      <c r="NA24" s="1852"/>
      <c r="ND24" s="1852"/>
      <c r="NG24" s="1852"/>
      <c r="NJ24" s="1852"/>
      <c r="NM24" s="1852"/>
      <c r="NP24" s="1852"/>
      <c r="NS24" s="1852"/>
      <c r="NV24" s="1852"/>
      <c r="NY24" s="1852"/>
      <c r="OB24" s="1852"/>
      <c r="OE24" s="1852"/>
      <c r="OH24" s="1852"/>
      <c r="OK24" s="1852"/>
      <c r="ON24" s="1852"/>
      <c r="OQ24" s="1852"/>
      <c r="OT24" s="1852"/>
      <c r="OW24" s="1852"/>
      <c r="OZ24" s="1852"/>
      <c r="PC24" s="1852"/>
      <c r="PF24" s="1852"/>
      <c r="PI24" s="1852"/>
      <c r="PL24" s="1852"/>
      <c r="PO24" s="1852"/>
      <c r="PR24" s="1852"/>
      <c r="PU24" s="1852"/>
      <c r="PX24" s="1852"/>
      <c r="QA24" s="1852"/>
      <c r="QD24" s="1852"/>
      <c r="QG24" s="1852"/>
      <c r="QJ24" s="1852"/>
      <c r="QM24" s="1852"/>
      <c r="QP24" s="1852"/>
      <c r="QS24" s="1852"/>
      <c r="QV24" s="1852"/>
      <c r="QY24" s="1852"/>
      <c r="RB24" s="1852"/>
      <c r="RE24" s="1852"/>
      <c r="RH24" s="1852"/>
      <c r="RK24" s="1852"/>
      <c r="RN24" s="1852"/>
      <c r="RQ24" s="1852"/>
      <c r="RT24" s="1852"/>
      <c r="RW24" s="1852"/>
      <c r="RZ24" s="1852"/>
      <c r="SC24" s="1852"/>
      <c r="SF24" s="1852"/>
      <c r="SI24" s="1852"/>
      <c r="SL24" s="1852"/>
      <c r="SO24" s="1852"/>
      <c r="SR24" s="1852"/>
      <c r="SU24" s="1852"/>
      <c r="SX24" s="1852"/>
      <c r="TA24" s="1852"/>
      <c r="TD24" s="1852"/>
      <c r="TG24" s="1852"/>
      <c r="TJ24" s="1852"/>
      <c r="TM24" s="1852"/>
      <c r="TP24" s="1852"/>
      <c r="TS24" s="1852"/>
      <c r="TV24" s="1852"/>
      <c r="TY24" s="1852"/>
      <c r="UB24" s="1852"/>
      <c r="UE24" s="1852"/>
      <c r="UH24" s="1852"/>
      <c r="UK24" s="1852"/>
      <c r="UN24" s="1852"/>
      <c r="UQ24" s="1852"/>
      <c r="UT24" s="1852"/>
      <c r="UW24" s="1852"/>
      <c r="UZ24" s="1852"/>
      <c r="VC24" s="1852"/>
      <c r="VF24" s="1852"/>
      <c r="VI24" s="1852"/>
      <c r="VL24" s="1852"/>
      <c r="VO24" s="1852"/>
      <c r="VR24" s="1852"/>
      <c r="VU24" s="1852"/>
      <c r="VX24" s="1852"/>
      <c r="WA24" s="1852"/>
      <c r="WD24" s="1852"/>
      <c r="WG24" s="1852"/>
      <c r="WJ24" s="1852"/>
      <c r="WM24" s="1852"/>
      <c r="WP24" s="1852"/>
      <c r="WS24" s="1852"/>
      <c r="WV24" s="1852"/>
      <c r="WY24" s="1852"/>
      <c r="XB24" s="1852"/>
      <c r="XE24" s="1852"/>
      <c r="XH24" s="1852"/>
      <c r="XK24" s="1852"/>
      <c r="XN24" s="1852"/>
      <c r="XQ24" s="1852"/>
      <c r="XT24" s="1852"/>
      <c r="XW24" s="1852"/>
      <c r="XZ24" s="1852"/>
      <c r="YC24" s="1852"/>
      <c r="YF24" s="1852"/>
      <c r="YI24" s="1852"/>
      <c r="YL24" s="1852"/>
      <c r="YO24" s="1852"/>
      <c r="YR24" s="1852"/>
      <c r="YU24" s="1852"/>
      <c r="YX24" s="1852"/>
      <c r="ZA24" s="1852"/>
      <c r="ZD24" s="1852"/>
      <c r="ZG24" s="1852"/>
      <c r="ZJ24" s="1852"/>
      <c r="ZM24" s="1852"/>
      <c r="ZP24" s="1852"/>
      <c r="ZS24" s="1852"/>
      <c r="ZV24" s="1852"/>
      <c r="ZY24" s="1852"/>
      <c r="AAB24" s="1852"/>
      <c r="AAE24" s="1852"/>
      <c r="AAH24" s="1852"/>
      <c r="AAK24" s="1852"/>
      <c r="AAN24" s="1852"/>
      <c r="AAQ24" s="1852"/>
      <c r="AAT24" s="1852"/>
      <c r="AAW24" s="1852"/>
      <c r="AAZ24" s="1852"/>
      <c r="ABC24" s="1852"/>
      <c r="ABF24" s="1852"/>
      <c r="ABI24" s="1852"/>
      <c r="ABL24" s="1852"/>
      <c r="ABO24" s="1852"/>
      <c r="ABR24" s="1852"/>
      <c r="ABU24" s="1852"/>
      <c r="ABX24" s="1852"/>
      <c r="ACA24" s="1852"/>
      <c r="ACD24" s="1852"/>
      <c r="ACG24" s="1852"/>
      <c r="ACJ24" s="1852"/>
      <c r="ACM24" s="1852"/>
      <c r="ACP24" s="1852"/>
      <c r="ACS24" s="1852"/>
      <c r="ACV24" s="1852"/>
      <c r="ACY24" s="1852"/>
      <c r="ADB24" s="1852"/>
      <c r="ADE24" s="1852"/>
      <c r="ADH24" s="1852"/>
      <c r="ADK24" s="1852"/>
      <c r="ADN24" s="1852"/>
      <c r="ADQ24" s="1852"/>
      <c r="ADT24" s="1852"/>
      <c r="ADW24" s="1852"/>
      <c r="ADZ24" s="1852"/>
      <c r="AEC24" s="1852"/>
      <c r="AEF24" s="1852"/>
      <c r="AEI24" s="1852"/>
      <c r="AEL24" s="1852"/>
      <c r="AEO24" s="1852"/>
      <c r="AER24" s="1852"/>
      <c r="AEU24" s="1852"/>
      <c r="AEX24" s="1852"/>
      <c r="AFA24" s="1852"/>
      <c r="AFD24" s="1852"/>
      <c r="AFG24" s="1852"/>
      <c r="AFJ24" s="1852"/>
      <c r="AFM24" s="1852"/>
      <c r="AFP24" s="1852"/>
      <c r="AFS24" s="1852"/>
      <c r="AFV24" s="1852"/>
      <c r="AFY24" s="1852"/>
      <c r="AGB24" s="1852"/>
      <c r="AGE24" s="1852"/>
      <c r="AGH24" s="1852"/>
      <c r="AGK24" s="1852"/>
      <c r="AGN24" s="1852"/>
      <c r="AGQ24" s="1852"/>
      <c r="AGT24" s="1852"/>
      <c r="AGW24" s="1852"/>
      <c r="AGZ24" s="1852"/>
      <c r="AHC24" s="1852"/>
      <c r="AHF24" s="1852"/>
      <c r="AHI24" s="1852"/>
      <c r="AHL24" s="1852"/>
      <c r="AHO24" s="1852"/>
      <c r="AHR24" s="1852"/>
      <c r="AHU24" s="1852"/>
      <c r="AHX24" s="1852"/>
      <c r="AIA24" s="1852"/>
      <c r="AID24" s="1852"/>
      <c r="AIG24" s="1852"/>
      <c r="AIJ24" s="1852"/>
      <c r="AIM24" s="1852"/>
      <c r="AIP24" s="1852"/>
      <c r="AIS24" s="1852"/>
      <c r="AIV24" s="1852"/>
      <c r="AIY24" s="1852"/>
      <c r="AJB24" s="1852"/>
      <c r="AJE24" s="1852"/>
      <c r="AJH24" s="1852"/>
      <c r="AJK24" s="1852"/>
      <c r="AJN24" s="1852"/>
      <c r="AJQ24" s="1852"/>
      <c r="AJT24" s="1852"/>
      <c r="AJW24" s="1852"/>
      <c r="AJZ24" s="1852"/>
      <c r="AKC24" s="1852"/>
      <c r="AKF24" s="1852"/>
      <c r="AKI24" s="1852"/>
      <c r="AKL24" s="1852"/>
      <c r="AKO24" s="1852"/>
      <c r="AKR24" s="1852"/>
      <c r="AKU24" s="1852"/>
      <c r="AKX24" s="1852"/>
      <c r="ALA24" s="1852"/>
      <c r="ALD24" s="1852"/>
      <c r="ALG24" s="1852"/>
      <c r="ALJ24" s="1852"/>
      <c r="ALM24" s="1852"/>
      <c r="ALP24" s="1852"/>
      <c r="ALS24" s="1852"/>
      <c r="ALV24" s="1852"/>
      <c r="ALY24" s="1852"/>
      <c r="AMB24" s="1852"/>
      <c r="AME24" s="1852"/>
      <c r="AMH24" s="1852"/>
      <c r="AMK24" s="1852"/>
      <c r="AMN24" s="1852"/>
      <c r="AMQ24" s="1852"/>
      <c r="AMT24" s="1852"/>
      <c r="AMW24" s="1852"/>
      <c r="AMZ24" s="1852"/>
      <c r="ANC24" s="1852"/>
      <c r="ANF24" s="1852"/>
      <c r="ANI24" s="1852"/>
      <c r="ANL24" s="1852"/>
      <c r="ANO24" s="1852"/>
      <c r="ANR24" s="1852"/>
      <c r="ANU24" s="1852"/>
      <c r="ANX24" s="1852"/>
      <c r="AOA24" s="1852"/>
      <c r="AOD24" s="1852"/>
      <c r="AOG24" s="1852"/>
      <c r="AOJ24" s="1852"/>
      <c r="AOM24" s="1852"/>
      <c r="AOP24" s="1852"/>
      <c r="AOS24" s="1852"/>
      <c r="AOV24" s="1852"/>
      <c r="AOY24" s="1852"/>
      <c r="APB24" s="1852"/>
      <c r="APE24" s="1852"/>
      <c r="APH24" s="1852"/>
      <c r="APK24" s="1852"/>
      <c r="APN24" s="1852"/>
      <c r="APQ24" s="1852"/>
      <c r="APT24" s="1852"/>
      <c r="APW24" s="1852"/>
      <c r="APZ24" s="1852"/>
      <c r="AQC24" s="1852"/>
      <c r="AQF24" s="1852"/>
      <c r="AQI24" s="1852"/>
      <c r="AQL24" s="1852"/>
      <c r="AQO24" s="1852"/>
      <c r="AQR24" s="1852"/>
      <c r="AQU24" s="1852"/>
      <c r="AQX24" s="1852"/>
      <c r="ARA24" s="1852"/>
      <c r="ARD24" s="1852"/>
      <c r="ARG24" s="1852"/>
      <c r="ARJ24" s="1852"/>
      <c r="ARM24" s="1852"/>
      <c r="ARP24" s="1852"/>
      <c r="ARS24" s="1852"/>
      <c r="ARV24" s="1852"/>
      <c r="ARY24" s="1852"/>
      <c r="ASB24" s="1852"/>
      <c r="ASE24" s="1852"/>
      <c r="ASH24" s="1852"/>
      <c r="ASK24" s="1852"/>
      <c r="ASN24" s="1852"/>
      <c r="ASQ24" s="1852"/>
      <c r="AST24" s="1852"/>
      <c r="ASW24" s="1852"/>
      <c r="ASZ24" s="1852"/>
      <c r="ATC24" s="1852"/>
      <c r="ATF24" s="1852"/>
      <c r="ATI24" s="1852"/>
      <c r="ATL24" s="1852"/>
      <c r="ATO24" s="1852"/>
      <c r="ATR24" s="1852"/>
      <c r="ATU24" s="1852"/>
      <c r="ATX24" s="1852"/>
      <c r="AUA24" s="1852"/>
      <c r="AUD24" s="1852"/>
      <c r="AUG24" s="1852"/>
      <c r="AUJ24" s="1852"/>
      <c r="AUM24" s="1852"/>
      <c r="AUP24" s="1852"/>
      <c r="AUS24" s="1852"/>
      <c r="AUV24" s="1852"/>
      <c r="AUY24" s="1852"/>
      <c r="AVB24" s="1852"/>
      <c r="AVE24" s="1852"/>
      <c r="AVH24" s="1852"/>
      <c r="AVK24" s="1852"/>
      <c r="AVN24" s="1852"/>
      <c r="AVQ24" s="1852"/>
      <c r="AVT24" s="1852"/>
      <c r="AVW24" s="1852"/>
      <c r="AVZ24" s="1852"/>
      <c r="AWC24" s="1852"/>
      <c r="AWF24" s="1852"/>
      <c r="AWI24" s="1852"/>
      <c r="AWL24" s="1852"/>
      <c r="AWO24" s="1852"/>
      <c r="AWR24" s="1852"/>
      <c r="AWU24" s="1852"/>
      <c r="AWX24" s="1852"/>
      <c r="AXA24" s="1852"/>
      <c r="AXD24" s="1852"/>
      <c r="AXG24" s="1852"/>
      <c r="AXJ24" s="1852"/>
      <c r="AXM24" s="1852"/>
      <c r="AXP24" s="1852"/>
      <c r="AXS24" s="1852"/>
      <c r="AXV24" s="1852"/>
      <c r="AXY24" s="1852"/>
      <c r="AYB24" s="1852"/>
      <c r="AYE24" s="1852"/>
      <c r="AYH24" s="1852"/>
      <c r="AYK24" s="1852"/>
      <c r="AYN24" s="1852"/>
      <c r="AYQ24" s="1852"/>
      <c r="AYT24" s="1852"/>
      <c r="AYW24" s="1852"/>
      <c r="AYZ24" s="1852"/>
      <c r="AZC24" s="1852"/>
      <c r="AZF24" s="1852"/>
      <c r="AZI24" s="1852"/>
      <c r="AZL24" s="1852"/>
      <c r="AZO24" s="1852"/>
      <c r="AZR24" s="1852"/>
      <c r="AZU24" s="1852"/>
      <c r="AZX24" s="1852"/>
      <c r="BAA24" s="1852"/>
      <c r="BAD24" s="1852"/>
      <c r="BAG24" s="1852"/>
      <c r="BAJ24" s="1852"/>
      <c r="BAM24" s="1852"/>
      <c r="BAP24" s="1852"/>
      <c r="BAS24" s="1852"/>
      <c r="BAV24" s="1852"/>
      <c r="BAY24" s="1852"/>
      <c r="BBB24" s="1852"/>
      <c r="BBE24" s="1852"/>
      <c r="BBH24" s="1852"/>
      <c r="BBK24" s="1852"/>
      <c r="BBN24" s="1852"/>
      <c r="BBQ24" s="1852"/>
      <c r="BBT24" s="1852"/>
      <c r="BBW24" s="1852"/>
      <c r="BBZ24" s="1852"/>
      <c r="BCC24" s="1852"/>
      <c r="BCF24" s="1852"/>
      <c r="BCI24" s="1852"/>
      <c r="BCL24" s="1852"/>
      <c r="BCO24" s="1852"/>
      <c r="BCR24" s="1852"/>
      <c r="BCU24" s="1852"/>
      <c r="BCX24" s="1852"/>
      <c r="BDA24" s="1852"/>
      <c r="BDD24" s="1852"/>
      <c r="BDG24" s="1852"/>
      <c r="BDJ24" s="1852"/>
      <c r="BDM24" s="1852"/>
      <c r="BDP24" s="1852"/>
      <c r="BDS24" s="1852"/>
      <c r="BDV24" s="1852"/>
      <c r="BDY24" s="1852"/>
      <c r="BEB24" s="1852"/>
      <c r="BEE24" s="1852"/>
      <c r="BEH24" s="1852"/>
      <c r="BEK24" s="1852"/>
      <c r="BEN24" s="1852"/>
      <c r="BEQ24" s="1852"/>
      <c r="BET24" s="1852"/>
      <c r="BEW24" s="1852"/>
      <c r="BEZ24" s="1852"/>
      <c r="BFC24" s="1852"/>
      <c r="BFF24" s="1852"/>
      <c r="BFI24" s="1852"/>
      <c r="BFL24" s="1852"/>
      <c r="BFO24" s="1852"/>
      <c r="BFR24" s="1852"/>
      <c r="BFU24" s="1852"/>
      <c r="BFX24" s="1852"/>
      <c r="BGA24" s="1852"/>
      <c r="BGD24" s="1852"/>
      <c r="BGG24" s="1852"/>
      <c r="BGJ24" s="1852"/>
      <c r="BGM24" s="1852"/>
      <c r="BGP24" s="1852"/>
      <c r="BGS24" s="1852"/>
      <c r="BGV24" s="1852"/>
      <c r="BGY24" s="1852"/>
      <c r="BHB24" s="1852"/>
      <c r="BHE24" s="1852"/>
      <c r="BHH24" s="1852"/>
      <c r="BHK24" s="1852"/>
      <c r="BHN24" s="1852"/>
      <c r="BHQ24" s="1852"/>
      <c r="BHT24" s="1852"/>
      <c r="BHW24" s="1852"/>
      <c r="BHZ24" s="1852"/>
      <c r="BIC24" s="1852"/>
      <c r="BIF24" s="1852"/>
      <c r="BII24" s="1852"/>
      <c r="BIL24" s="1852"/>
      <c r="BIO24" s="1852"/>
      <c r="BIR24" s="1852"/>
      <c r="BIU24" s="1852"/>
      <c r="BIX24" s="1852"/>
      <c r="BJA24" s="1852"/>
      <c r="BJD24" s="1852"/>
      <c r="BJG24" s="1852"/>
      <c r="BJJ24" s="1852"/>
      <c r="BJM24" s="1852"/>
      <c r="BJP24" s="1852"/>
      <c r="BJS24" s="1852"/>
      <c r="BJV24" s="1852"/>
      <c r="BJY24" s="1852"/>
      <c r="BKB24" s="1852"/>
      <c r="BKE24" s="1852"/>
      <c r="BKH24" s="1852"/>
      <c r="BKK24" s="1852"/>
      <c r="BKN24" s="1852"/>
      <c r="BKQ24" s="1852"/>
      <c r="BKT24" s="1852"/>
      <c r="BKW24" s="1852"/>
      <c r="BKZ24" s="1852"/>
      <c r="BLC24" s="1852"/>
      <c r="BLF24" s="1852"/>
      <c r="BLI24" s="1852"/>
      <c r="BLL24" s="1852"/>
      <c r="BLO24" s="1852"/>
      <c r="BLR24" s="1852"/>
      <c r="BLU24" s="1852"/>
      <c r="BLX24" s="1852"/>
      <c r="BMA24" s="1852"/>
      <c r="BMD24" s="1852"/>
      <c r="BMG24" s="1852"/>
      <c r="BMJ24" s="1852"/>
      <c r="BMM24" s="1852"/>
      <c r="BMP24" s="1852"/>
      <c r="BMS24" s="1852"/>
      <c r="BMV24" s="1852"/>
      <c r="BMY24" s="1852"/>
      <c r="BNB24" s="1852"/>
      <c r="BNE24" s="1852"/>
      <c r="BNH24" s="1852"/>
      <c r="BNK24" s="1852"/>
      <c r="BNN24" s="1852"/>
      <c r="BNQ24" s="1852"/>
      <c r="BNT24" s="1852"/>
      <c r="BNW24" s="1852"/>
      <c r="BNZ24" s="1852"/>
      <c r="BOC24" s="1852"/>
      <c r="BOF24" s="1852"/>
      <c r="BOI24" s="1852"/>
      <c r="BOL24" s="1852"/>
      <c r="BOO24" s="1852"/>
      <c r="BOR24" s="1852"/>
      <c r="BOU24" s="1852"/>
      <c r="BOX24" s="1852"/>
      <c r="BPA24" s="1852"/>
      <c r="BPD24" s="1852"/>
      <c r="BPG24" s="1852"/>
      <c r="BPJ24" s="1852"/>
      <c r="BPM24" s="1852"/>
      <c r="BPP24" s="1852"/>
      <c r="BPS24" s="1852"/>
      <c r="BPV24" s="1852"/>
      <c r="BPY24" s="1852"/>
      <c r="BQB24" s="1852"/>
      <c r="BQE24" s="1852"/>
      <c r="BQH24" s="1852"/>
      <c r="BQK24" s="1852"/>
      <c r="BQN24" s="1852"/>
      <c r="BQQ24" s="1852"/>
      <c r="BQT24" s="1852"/>
      <c r="BQW24" s="1852"/>
      <c r="BQZ24" s="1852"/>
      <c r="BRC24" s="1852"/>
      <c r="BRF24" s="1852"/>
      <c r="BRI24" s="1852"/>
      <c r="BRL24" s="1852"/>
      <c r="BRO24" s="1852"/>
      <c r="BRR24" s="1852"/>
      <c r="BRU24" s="1852"/>
      <c r="BRX24" s="1852"/>
      <c r="BSA24" s="1852"/>
      <c r="BSD24" s="1852"/>
      <c r="BSG24" s="1852"/>
      <c r="BSJ24" s="1852"/>
      <c r="BSM24" s="1852"/>
      <c r="BSP24" s="1852"/>
      <c r="BSS24" s="1852"/>
      <c r="BSV24" s="1852"/>
      <c r="BSY24" s="1852"/>
      <c r="BTB24" s="1852"/>
      <c r="BTE24" s="1852"/>
      <c r="BTH24" s="1852"/>
      <c r="BTK24" s="1852"/>
      <c r="BTN24" s="1852"/>
      <c r="BTQ24" s="1852"/>
      <c r="BTT24" s="1852"/>
      <c r="BTW24" s="1852"/>
      <c r="BTZ24" s="1852"/>
      <c r="BUC24" s="1852"/>
      <c r="BUF24" s="1852"/>
      <c r="BUI24" s="1852"/>
      <c r="BUL24" s="1852"/>
      <c r="BUO24" s="1852"/>
      <c r="BUR24" s="1852"/>
      <c r="BUU24" s="1852"/>
      <c r="BUX24" s="1852"/>
      <c r="BVA24" s="1852"/>
      <c r="BVD24" s="1852"/>
      <c r="BVG24" s="1852"/>
      <c r="BVJ24" s="1852"/>
      <c r="BVM24" s="1852"/>
      <c r="BVP24" s="1852"/>
      <c r="BVS24" s="1852"/>
      <c r="BVV24" s="1852"/>
      <c r="BVY24" s="1852"/>
      <c r="BWB24" s="1852"/>
      <c r="BWE24" s="1852"/>
      <c r="BWH24" s="1852"/>
      <c r="BWK24" s="1852"/>
      <c r="BWN24" s="1852"/>
      <c r="BWQ24" s="1852"/>
      <c r="BWT24" s="1852"/>
      <c r="BWW24" s="1852"/>
      <c r="BWZ24" s="1852"/>
      <c r="BXC24" s="1852"/>
      <c r="BXF24" s="1852"/>
      <c r="BXI24" s="1852"/>
      <c r="BXL24" s="1852"/>
      <c r="BXO24" s="1852"/>
      <c r="BXR24" s="1852"/>
      <c r="BXU24" s="1852"/>
      <c r="BXX24" s="1852"/>
      <c r="BYA24" s="1852"/>
      <c r="BYD24" s="1852"/>
      <c r="BYG24" s="1852"/>
      <c r="BYJ24" s="1852"/>
      <c r="BYM24" s="1852"/>
      <c r="BYP24" s="1852"/>
      <c r="BYS24" s="1852"/>
      <c r="BYV24" s="1852"/>
      <c r="BYY24" s="1852"/>
      <c r="BZB24" s="1852"/>
      <c r="BZE24" s="1852"/>
      <c r="BZH24" s="1852"/>
      <c r="BZK24" s="1852"/>
      <c r="BZN24" s="1852"/>
      <c r="BZQ24" s="1852"/>
      <c r="BZT24" s="1852"/>
      <c r="BZW24" s="1852"/>
      <c r="BZZ24" s="1852"/>
      <c r="CAC24" s="1852"/>
      <c r="CAF24" s="1852"/>
      <c r="CAI24" s="1852"/>
      <c r="CAL24" s="1852"/>
      <c r="CAO24" s="1852"/>
      <c r="CAR24" s="1852"/>
      <c r="CAU24" s="1852"/>
      <c r="CAX24" s="1852"/>
      <c r="CBA24" s="1852"/>
      <c r="CBD24" s="1852"/>
      <c r="CBG24" s="1852"/>
      <c r="CBJ24" s="1852"/>
      <c r="CBM24" s="1852"/>
      <c r="CBP24" s="1852"/>
      <c r="CBS24" s="1852"/>
      <c r="CBV24" s="1852"/>
      <c r="CBY24" s="1852"/>
      <c r="CCB24" s="1852"/>
      <c r="CCE24" s="1852"/>
      <c r="CCH24" s="1852"/>
      <c r="CCK24" s="1852"/>
      <c r="CCN24" s="1852"/>
      <c r="CCQ24" s="1852"/>
      <c r="CCT24" s="1852"/>
      <c r="CCW24" s="1852"/>
      <c r="CCZ24" s="1852"/>
      <c r="CDC24" s="1852"/>
      <c r="CDF24" s="1852"/>
      <c r="CDI24" s="1852"/>
      <c r="CDL24" s="1852"/>
      <c r="CDO24" s="1852"/>
      <c r="CDR24" s="1852"/>
      <c r="CDU24" s="1852"/>
      <c r="CDX24" s="1852"/>
      <c r="CEA24" s="1852"/>
      <c r="CED24" s="1852"/>
      <c r="CEG24" s="1852"/>
      <c r="CEJ24" s="1852"/>
      <c r="CEM24" s="1852"/>
      <c r="CEP24" s="1852"/>
      <c r="CES24" s="1852"/>
      <c r="CEV24" s="1852"/>
      <c r="CEY24" s="1852"/>
      <c r="CFB24" s="1852"/>
      <c r="CFE24" s="1852"/>
      <c r="CFH24" s="1852"/>
      <c r="CFK24" s="1852"/>
      <c r="CFN24" s="1852"/>
      <c r="CFQ24" s="1852"/>
      <c r="CFT24" s="1852"/>
      <c r="CFW24" s="1852"/>
      <c r="CFZ24" s="1852"/>
      <c r="CGC24" s="1852"/>
      <c r="CGF24" s="1852"/>
      <c r="CGI24" s="1852"/>
      <c r="CGL24" s="1852"/>
      <c r="CGO24" s="1852"/>
      <c r="CGR24" s="1852"/>
      <c r="CGU24" s="1852"/>
      <c r="CGX24" s="1852"/>
      <c r="CHA24" s="1852"/>
      <c r="CHD24" s="1852"/>
      <c r="CHG24" s="1852"/>
      <c r="CHJ24" s="1852"/>
      <c r="CHM24" s="1852"/>
      <c r="CHP24" s="1852"/>
      <c r="CHS24" s="1852"/>
      <c r="CHV24" s="1852"/>
      <c r="CHY24" s="1852"/>
      <c r="CIB24" s="1852"/>
      <c r="CIE24" s="1852"/>
      <c r="CIH24" s="1852"/>
      <c r="CIK24" s="1852"/>
      <c r="CIN24" s="1852"/>
      <c r="CIQ24" s="1852"/>
      <c r="CIT24" s="1852"/>
      <c r="CIW24" s="1852"/>
      <c r="CIZ24" s="1852"/>
      <c r="CJC24" s="1852"/>
      <c r="CJF24" s="1852"/>
      <c r="CJI24" s="1852"/>
      <c r="CJL24" s="1852"/>
      <c r="CJO24" s="1852"/>
      <c r="CJR24" s="1852"/>
      <c r="CJU24" s="1852"/>
      <c r="CJX24" s="1852"/>
      <c r="CKA24" s="1852"/>
      <c r="CKD24" s="1852"/>
      <c r="CKG24" s="1852"/>
      <c r="CKJ24" s="1852"/>
      <c r="CKM24" s="1852"/>
      <c r="CKP24" s="1852"/>
      <c r="CKS24" s="1852"/>
      <c r="CKV24" s="1852"/>
      <c r="CKY24" s="1852"/>
      <c r="CLB24" s="1852"/>
      <c r="CLE24" s="1852"/>
      <c r="CLH24" s="1852"/>
      <c r="CLK24" s="1852"/>
      <c r="CLN24" s="1852"/>
      <c r="CLQ24" s="1852"/>
      <c r="CLT24" s="1852"/>
      <c r="CLW24" s="1852"/>
      <c r="CLZ24" s="1852"/>
      <c r="CMC24" s="1852"/>
      <c r="CMF24" s="1852"/>
      <c r="CMI24" s="1852"/>
      <c r="CML24" s="1852"/>
      <c r="CMO24" s="1852"/>
      <c r="CMR24" s="1852"/>
      <c r="CMU24" s="1852"/>
      <c r="CMX24" s="1852"/>
      <c r="CNA24" s="1852"/>
      <c r="CND24" s="1852"/>
      <c r="CNG24" s="1852"/>
      <c r="CNJ24" s="1852"/>
      <c r="CNM24" s="1852"/>
      <c r="CNP24" s="1852"/>
      <c r="CNS24" s="1852"/>
      <c r="CNV24" s="1852"/>
      <c r="CNY24" s="1852"/>
      <c r="COB24" s="1852"/>
      <c r="COE24" s="1852"/>
      <c r="COH24" s="1852"/>
      <c r="COK24" s="1852"/>
      <c r="CON24" s="1852"/>
      <c r="COQ24" s="1852"/>
      <c r="COT24" s="1852"/>
      <c r="COW24" s="1852"/>
      <c r="COZ24" s="1852"/>
      <c r="CPC24" s="1852"/>
      <c r="CPF24" s="1852"/>
      <c r="CPI24" s="1852"/>
      <c r="CPL24" s="1852"/>
      <c r="CPO24" s="1852"/>
      <c r="CPR24" s="1852"/>
      <c r="CPU24" s="1852"/>
      <c r="CPX24" s="1852"/>
      <c r="CQA24" s="1852"/>
      <c r="CQD24" s="1852"/>
      <c r="CQG24" s="1852"/>
      <c r="CQJ24" s="1852"/>
      <c r="CQM24" s="1852"/>
      <c r="CQP24" s="1852"/>
      <c r="CQS24" s="1852"/>
      <c r="CQV24" s="1852"/>
      <c r="CQY24" s="1852"/>
      <c r="CRB24" s="1852"/>
      <c r="CRE24" s="1852"/>
      <c r="CRH24" s="1852"/>
      <c r="CRK24" s="1852"/>
      <c r="CRN24" s="1852"/>
      <c r="CRQ24" s="1852"/>
      <c r="CRT24" s="1852"/>
      <c r="CRW24" s="1852"/>
      <c r="CRZ24" s="1852"/>
      <c r="CSC24" s="1852"/>
      <c r="CSF24" s="1852"/>
      <c r="CSI24" s="1852"/>
      <c r="CSL24" s="1852"/>
      <c r="CSO24" s="1852"/>
      <c r="CSR24" s="1852"/>
      <c r="CSU24" s="1852"/>
      <c r="CSX24" s="1852"/>
      <c r="CTA24" s="1852"/>
      <c r="CTD24" s="1852"/>
      <c r="CTG24" s="1852"/>
      <c r="CTJ24" s="1852"/>
      <c r="CTM24" s="1852"/>
      <c r="CTP24" s="1852"/>
      <c r="CTS24" s="1852"/>
      <c r="CTV24" s="1852"/>
      <c r="CTY24" s="1852"/>
      <c r="CUB24" s="1852"/>
      <c r="CUE24" s="1852"/>
      <c r="CUH24" s="1852"/>
      <c r="CUK24" s="1852"/>
      <c r="CUN24" s="1852"/>
      <c r="CUQ24" s="1852"/>
      <c r="CUT24" s="1852"/>
      <c r="CUW24" s="1852"/>
      <c r="CUZ24" s="1852"/>
      <c r="CVC24" s="1852"/>
      <c r="CVF24" s="1852"/>
      <c r="CVI24" s="1852"/>
      <c r="CVL24" s="1852"/>
      <c r="CVO24" s="1852"/>
      <c r="CVR24" s="1852"/>
      <c r="CVU24" s="1852"/>
      <c r="CVX24" s="1852"/>
      <c r="CWA24" s="1852"/>
      <c r="CWD24" s="1852"/>
      <c r="CWG24" s="1852"/>
      <c r="CWJ24" s="1852"/>
      <c r="CWM24" s="1852"/>
      <c r="CWP24" s="1852"/>
      <c r="CWS24" s="1852"/>
      <c r="CWV24" s="1852"/>
      <c r="CWY24" s="1852"/>
      <c r="CXB24" s="1852"/>
      <c r="CXE24" s="1852"/>
      <c r="CXH24" s="1852"/>
      <c r="CXK24" s="1852"/>
      <c r="CXN24" s="1852"/>
      <c r="CXQ24" s="1852"/>
      <c r="CXT24" s="1852"/>
      <c r="CXW24" s="1852"/>
      <c r="CXZ24" s="1852"/>
      <c r="CYC24" s="1852"/>
      <c r="CYF24" s="1852"/>
      <c r="CYI24" s="1852"/>
      <c r="CYL24" s="1852"/>
      <c r="CYO24" s="1852"/>
      <c r="CYR24" s="1852"/>
      <c r="CYU24" s="1852"/>
      <c r="CYX24" s="1852"/>
      <c r="CZA24" s="1852"/>
      <c r="CZD24" s="1852"/>
      <c r="CZG24" s="1852"/>
      <c r="CZJ24" s="1852"/>
      <c r="CZM24" s="1852"/>
      <c r="CZP24" s="1852"/>
      <c r="CZS24" s="1852"/>
      <c r="CZV24" s="1852"/>
      <c r="CZY24" s="1852"/>
      <c r="DAB24" s="1852"/>
      <c r="DAE24" s="1852"/>
      <c r="DAH24" s="1852"/>
      <c r="DAK24" s="1852"/>
      <c r="DAN24" s="1852"/>
      <c r="DAQ24" s="1852"/>
      <c r="DAT24" s="1852"/>
      <c r="DAW24" s="1852"/>
      <c r="DAZ24" s="1852"/>
      <c r="DBC24" s="1852"/>
      <c r="DBF24" s="1852"/>
      <c r="DBI24" s="1852"/>
      <c r="DBL24" s="1852"/>
      <c r="DBO24" s="1852"/>
      <c r="DBR24" s="1852"/>
      <c r="DBU24" s="1852"/>
      <c r="DBX24" s="1852"/>
      <c r="DCA24" s="1852"/>
      <c r="DCD24" s="1852"/>
      <c r="DCG24" s="1852"/>
      <c r="DCJ24" s="1852"/>
      <c r="DCM24" s="1852"/>
      <c r="DCP24" s="1852"/>
      <c r="DCS24" s="1852"/>
      <c r="DCV24" s="1852"/>
      <c r="DCY24" s="1852"/>
      <c r="DDB24" s="1852"/>
      <c r="DDE24" s="1852"/>
      <c r="DDH24" s="1852"/>
      <c r="DDK24" s="1852"/>
      <c r="DDN24" s="1852"/>
      <c r="DDQ24" s="1852"/>
      <c r="DDT24" s="1852"/>
      <c r="DDW24" s="1852"/>
      <c r="DDZ24" s="1852"/>
      <c r="DEC24" s="1852"/>
      <c r="DEF24" s="1852"/>
      <c r="DEI24" s="1852"/>
      <c r="DEL24" s="1852"/>
      <c r="DEO24" s="1852"/>
      <c r="DER24" s="1852"/>
      <c r="DEU24" s="1852"/>
      <c r="DEX24" s="1852"/>
      <c r="DFA24" s="1852"/>
      <c r="DFD24" s="1852"/>
      <c r="DFG24" s="1852"/>
      <c r="DFJ24" s="1852"/>
      <c r="DFM24" s="1852"/>
      <c r="DFP24" s="1852"/>
      <c r="DFS24" s="1852"/>
      <c r="DFV24" s="1852"/>
      <c r="DFY24" s="1852"/>
      <c r="DGB24" s="1852"/>
      <c r="DGE24" s="1852"/>
      <c r="DGH24" s="1852"/>
      <c r="DGK24" s="1852"/>
      <c r="DGN24" s="1852"/>
      <c r="DGQ24" s="1852"/>
      <c r="DGT24" s="1852"/>
      <c r="DGW24" s="1852"/>
      <c r="DGZ24" s="1852"/>
      <c r="DHC24" s="1852"/>
      <c r="DHF24" s="1852"/>
      <c r="DHI24" s="1852"/>
      <c r="DHL24" s="1852"/>
      <c r="DHO24" s="1852"/>
      <c r="DHR24" s="1852"/>
      <c r="DHU24" s="1852"/>
      <c r="DHX24" s="1852"/>
      <c r="DIA24" s="1852"/>
      <c r="DID24" s="1852"/>
      <c r="DIG24" s="1852"/>
      <c r="DIJ24" s="1852"/>
      <c r="DIM24" s="1852"/>
      <c r="DIP24" s="1852"/>
      <c r="DIS24" s="1852"/>
      <c r="DIV24" s="1852"/>
      <c r="DIY24" s="1852"/>
      <c r="DJB24" s="1852"/>
      <c r="DJE24" s="1852"/>
      <c r="DJH24" s="1852"/>
      <c r="DJK24" s="1852"/>
      <c r="DJN24" s="1852"/>
      <c r="DJQ24" s="1852"/>
      <c r="DJT24" s="1852"/>
      <c r="DJW24" s="1852"/>
      <c r="DJZ24" s="1852"/>
      <c r="DKC24" s="1852"/>
      <c r="DKF24" s="1852"/>
      <c r="DKI24" s="1852"/>
      <c r="DKL24" s="1852"/>
      <c r="DKO24" s="1852"/>
      <c r="DKR24" s="1852"/>
      <c r="DKU24" s="1852"/>
      <c r="DKX24" s="1852"/>
      <c r="DLA24" s="1852"/>
      <c r="DLD24" s="1852"/>
      <c r="DLG24" s="1852"/>
      <c r="DLJ24" s="1852"/>
      <c r="DLM24" s="1852"/>
      <c r="DLP24" s="1852"/>
      <c r="DLS24" s="1852"/>
      <c r="DLV24" s="1852"/>
      <c r="DLY24" s="1852"/>
      <c r="DMB24" s="1852"/>
      <c r="DME24" s="1852"/>
      <c r="DMH24" s="1852"/>
      <c r="DMK24" s="1852"/>
      <c r="DMN24" s="1852"/>
      <c r="DMQ24" s="1852"/>
      <c r="DMT24" s="1852"/>
      <c r="DMW24" s="1852"/>
      <c r="DMZ24" s="1852"/>
      <c r="DNC24" s="1852"/>
      <c r="DNF24" s="1852"/>
      <c r="DNI24" s="1852"/>
      <c r="DNL24" s="1852"/>
      <c r="DNO24" s="1852"/>
      <c r="DNR24" s="1852"/>
      <c r="DNU24" s="1852"/>
      <c r="DNX24" s="1852"/>
      <c r="DOA24" s="1852"/>
      <c r="DOD24" s="1852"/>
      <c r="DOG24" s="1852"/>
      <c r="DOJ24" s="1852"/>
      <c r="DOM24" s="1852"/>
      <c r="DOP24" s="1852"/>
      <c r="DOS24" s="1852"/>
      <c r="DOV24" s="1852"/>
      <c r="DOY24" s="1852"/>
      <c r="DPB24" s="1852"/>
      <c r="DPE24" s="1852"/>
      <c r="DPH24" s="1852"/>
      <c r="DPK24" s="1852"/>
      <c r="DPN24" s="1852"/>
      <c r="DPQ24" s="1852"/>
      <c r="DPT24" s="1852"/>
      <c r="DPW24" s="1852"/>
      <c r="DPZ24" s="1852"/>
      <c r="DQC24" s="1852"/>
      <c r="DQF24" s="1852"/>
      <c r="DQI24" s="1852"/>
      <c r="DQL24" s="1852"/>
      <c r="DQO24" s="1852"/>
      <c r="DQR24" s="1852"/>
      <c r="DQU24" s="1852"/>
      <c r="DQX24" s="1852"/>
      <c r="DRA24" s="1852"/>
      <c r="DRD24" s="1852"/>
      <c r="DRG24" s="1852"/>
      <c r="DRJ24" s="1852"/>
      <c r="DRM24" s="1852"/>
      <c r="DRP24" s="1852"/>
      <c r="DRS24" s="1852"/>
      <c r="DRV24" s="1852"/>
      <c r="DRY24" s="1852"/>
      <c r="DSB24" s="1852"/>
      <c r="DSE24" s="1852"/>
      <c r="DSH24" s="1852"/>
      <c r="DSK24" s="1852"/>
      <c r="DSN24" s="1852"/>
      <c r="DSQ24" s="1852"/>
      <c r="DST24" s="1852"/>
      <c r="DSW24" s="1852"/>
      <c r="DSZ24" s="1852"/>
      <c r="DTC24" s="1852"/>
      <c r="DTF24" s="1852"/>
      <c r="DTI24" s="1852"/>
      <c r="DTL24" s="1852"/>
      <c r="DTO24" s="1852"/>
      <c r="DTR24" s="1852"/>
      <c r="DTU24" s="1852"/>
      <c r="DTX24" s="1852"/>
      <c r="DUA24" s="1852"/>
      <c r="DUD24" s="1852"/>
      <c r="DUG24" s="1852"/>
      <c r="DUJ24" s="1852"/>
      <c r="DUM24" s="1852"/>
      <c r="DUP24" s="1852"/>
      <c r="DUS24" s="1852"/>
      <c r="DUV24" s="1852"/>
      <c r="DUY24" s="1852"/>
      <c r="DVB24" s="1852"/>
      <c r="DVE24" s="1852"/>
      <c r="DVH24" s="1852"/>
      <c r="DVK24" s="1852"/>
      <c r="DVN24" s="1852"/>
      <c r="DVQ24" s="1852"/>
      <c r="DVT24" s="1852"/>
      <c r="DVW24" s="1852"/>
      <c r="DVZ24" s="1852"/>
      <c r="DWC24" s="1852"/>
      <c r="DWF24" s="1852"/>
      <c r="DWI24" s="1852"/>
      <c r="DWL24" s="1852"/>
      <c r="DWO24" s="1852"/>
      <c r="DWR24" s="1852"/>
      <c r="DWU24" s="1852"/>
      <c r="DWX24" s="1852"/>
      <c r="DXA24" s="1852"/>
      <c r="DXD24" s="1852"/>
      <c r="DXG24" s="1852"/>
      <c r="DXJ24" s="1852"/>
      <c r="DXM24" s="1852"/>
      <c r="DXP24" s="1852"/>
      <c r="DXS24" s="1852"/>
      <c r="DXV24" s="1852"/>
      <c r="DXY24" s="1852"/>
      <c r="DYB24" s="1852"/>
      <c r="DYE24" s="1852"/>
      <c r="DYH24" s="1852"/>
      <c r="DYK24" s="1852"/>
      <c r="DYN24" s="1852"/>
      <c r="DYQ24" s="1852"/>
      <c r="DYT24" s="1852"/>
      <c r="DYW24" s="1852"/>
      <c r="DYZ24" s="1852"/>
      <c r="DZC24" s="1852"/>
      <c r="DZF24" s="1852"/>
      <c r="DZI24" s="1852"/>
      <c r="DZL24" s="1852"/>
      <c r="DZO24" s="1852"/>
      <c r="DZR24" s="1852"/>
      <c r="DZU24" s="1852"/>
      <c r="DZX24" s="1852"/>
      <c r="EAA24" s="1852"/>
      <c r="EAD24" s="1852"/>
      <c r="EAG24" s="1852"/>
      <c r="EAJ24" s="1852"/>
      <c r="EAM24" s="1852"/>
      <c r="EAP24" s="1852"/>
      <c r="EAS24" s="1852"/>
      <c r="EAV24" s="1852"/>
      <c r="EAY24" s="1852"/>
      <c r="EBB24" s="1852"/>
      <c r="EBE24" s="1852"/>
      <c r="EBH24" s="1852"/>
      <c r="EBK24" s="1852"/>
      <c r="EBN24" s="1852"/>
      <c r="EBQ24" s="1852"/>
      <c r="EBT24" s="1852"/>
      <c r="EBW24" s="1852"/>
      <c r="EBZ24" s="1852"/>
      <c r="ECC24" s="1852"/>
      <c r="ECF24" s="1852"/>
      <c r="ECI24" s="1852"/>
      <c r="ECL24" s="1852"/>
      <c r="ECO24" s="1852"/>
      <c r="ECR24" s="1852"/>
      <c r="ECU24" s="1852"/>
      <c r="ECX24" s="1852"/>
      <c r="EDA24" s="1852"/>
      <c r="EDD24" s="1852"/>
      <c r="EDG24" s="1852"/>
      <c r="EDJ24" s="1852"/>
      <c r="EDM24" s="1852"/>
      <c r="EDP24" s="1852"/>
      <c r="EDS24" s="1852"/>
      <c r="EDV24" s="1852"/>
      <c r="EDY24" s="1852"/>
      <c r="EEB24" s="1852"/>
      <c r="EEE24" s="1852"/>
      <c r="EEH24" s="1852"/>
      <c r="EEK24" s="1852"/>
      <c r="EEN24" s="1852"/>
      <c r="EEQ24" s="1852"/>
      <c r="EET24" s="1852"/>
      <c r="EEW24" s="1852"/>
      <c r="EEZ24" s="1852"/>
      <c r="EFC24" s="1852"/>
      <c r="EFF24" s="1852"/>
      <c r="EFI24" s="1852"/>
      <c r="EFL24" s="1852"/>
      <c r="EFO24" s="1852"/>
      <c r="EFR24" s="1852"/>
      <c r="EFU24" s="1852"/>
      <c r="EFX24" s="1852"/>
      <c r="EGA24" s="1852"/>
      <c r="EGD24" s="1852"/>
      <c r="EGG24" s="1852"/>
      <c r="EGJ24" s="1852"/>
      <c r="EGM24" s="1852"/>
      <c r="EGP24" s="1852"/>
      <c r="EGS24" s="1852"/>
      <c r="EGV24" s="1852"/>
      <c r="EGY24" s="1852"/>
      <c r="EHB24" s="1852"/>
      <c r="EHE24" s="1852"/>
      <c r="EHH24" s="1852"/>
      <c r="EHK24" s="1852"/>
      <c r="EHN24" s="1852"/>
      <c r="EHQ24" s="1852"/>
      <c r="EHT24" s="1852"/>
      <c r="EHW24" s="1852"/>
      <c r="EHZ24" s="1852"/>
      <c r="EIC24" s="1852"/>
      <c r="EIF24" s="1852"/>
      <c r="EII24" s="1852"/>
      <c r="EIL24" s="1852"/>
      <c r="EIO24" s="1852"/>
      <c r="EIR24" s="1852"/>
      <c r="EIU24" s="1852"/>
      <c r="EIX24" s="1852"/>
      <c r="EJA24" s="1852"/>
      <c r="EJD24" s="1852"/>
      <c r="EJG24" s="1852"/>
      <c r="EJJ24" s="1852"/>
      <c r="EJM24" s="1852"/>
      <c r="EJP24" s="1852"/>
      <c r="EJS24" s="1852"/>
      <c r="EJV24" s="1852"/>
      <c r="EJY24" s="1852"/>
      <c r="EKB24" s="1852"/>
      <c r="EKE24" s="1852"/>
      <c r="EKH24" s="1852"/>
      <c r="EKK24" s="1852"/>
      <c r="EKN24" s="1852"/>
      <c r="EKQ24" s="1852"/>
      <c r="EKT24" s="1852"/>
      <c r="EKW24" s="1852"/>
      <c r="EKZ24" s="1852"/>
      <c r="ELC24" s="1852"/>
      <c r="ELF24" s="1852"/>
      <c r="ELI24" s="1852"/>
      <c r="ELL24" s="1852"/>
      <c r="ELO24" s="1852"/>
      <c r="ELR24" s="1852"/>
      <c r="ELU24" s="1852"/>
      <c r="ELX24" s="1852"/>
      <c r="EMA24" s="1852"/>
      <c r="EMD24" s="1852"/>
      <c r="EMG24" s="1852"/>
      <c r="EMJ24" s="1852"/>
      <c r="EMM24" s="1852"/>
      <c r="EMP24" s="1852"/>
      <c r="EMS24" s="1852"/>
      <c r="EMV24" s="1852"/>
      <c r="EMY24" s="1852"/>
      <c r="ENB24" s="1852"/>
      <c r="ENE24" s="1852"/>
      <c r="ENH24" s="1852"/>
      <c r="ENK24" s="1852"/>
      <c r="ENN24" s="1852"/>
      <c r="ENQ24" s="1852"/>
      <c r="ENT24" s="1852"/>
      <c r="ENW24" s="1852"/>
      <c r="ENZ24" s="1852"/>
      <c r="EOC24" s="1852"/>
      <c r="EOF24" s="1852"/>
      <c r="EOI24" s="1852"/>
      <c r="EOL24" s="1852"/>
      <c r="EOO24" s="1852"/>
      <c r="EOR24" s="1852"/>
      <c r="EOU24" s="1852"/>
      <c r="EOX24" s="1852"/>
      <c r="EPA24" s="1852"/>
      <c r="EPD24" s="1852"/>
      <c r="EPG24" s="1852"/>
      <c r="EPJ24" s="1852"/>
      <c r="EPM24" s="1852"/>
      <c r="EPP24" s="1852"/>
      <c r="EPS24" s="1852"/>
      <c r="EPV24" s="1852"/>
      <c r="EPY24" s="1852"/>
      <c r="EQB24" s="1852"/>
      <c r="EQE24" s="1852"/>
      <c r="EQH24" s="1852"/>
      <c r="EQK24" s="1852"/>
      <c r="EQN24" s="1852"/>
      <c r="EQQ24" s="1852"/>
      <c r="EQT24" s="1852"/>
      <c r="EQW24" s="1852"/>
      <c r="EQZ24" s="1852"/>
      <c r="ERC24" s="1852"/>
      <c r="ERF24" s="1852"/>
      <c r="ERI24" s="1852"/>
      <c r="ERL24" s="1852"/>
      <c r="ERO24" s="1852"/>
      <c r="ERR24" s="1852"/>
      <c r="ERU24" s="1852"/>
      <c r="ERX24" s="1852"/>
      <c r="ESA24" s="1852"/>
      <c r="ESD24" s="1852"/>
      <c r="ESG24" s="1852"/>
      <c r="ESJ24" s="1852"/>
      <c r="ESM24" s="1852"/>
      <c r="ESP24" s="1852"/>
      <c r="ESS24" s="1852"/>
      <c r="ESV24" s="1852"/>
      <c r="ESY24" s="1852"/>
      <c r="ETB24" s="1852"/>
      <c r="ETE24" s="1852"/>
      <c r="ETH24" s="1852"/>
      <c r="ETK24" s="1852"/>
      <c r="ETN24" s="1852"/>
      <c r="ETQ24" s="1852"/>
      <c r="ETT24" s="1852"/>
      <c r="ETW24" s="1852"/>
      <c r="ETZ24" s="1852"/>
      <c r="EUC24" s="1852"/>
      <c r="EUF24" s="1852"/>
      <c r="EUI24" s="1852"/>
      <c r="EUL24" s="1852"/>
      <c r="EUO24" s="1852"/>
      <c r="EUR24" s="1852"/>
      <c r="EUU24" s="1852"/>
      <c r="EUX24" s="1852"/>
      <c r="EVA24" s="1852"/>
      <c r="EVD24" s="1852"/>
      <c r="EVG24" s="1852"/>
      <c r="EVJ24" s="1852"/>
      <c r="EVM24" s="1852"/>
      <c r="EVP24" s="1852"/>
      <c r="EVS24" s="1852"/>
      <c r="EVV24" s="1852"/>
      <c r="EVY24" s="1852"/>
      <c r="EWB24" s="1852"/>
      <c r="EWE24" s="1852"/>
      <c r="EWH24" s="1852"/>
      <c r="EWK24" s="1852"/>
      <c r="EWN24" s="1852"/>
      <c r="EWQ24" s="1852"/>
      <c r="EWT24" s="1852"/>
      <c r="EWW24" s="1852"/>
      <c r="EWZ24" s="1852"/>
      <c r="EXC24" s="1852"/>
      <c r="EXF24" s="1852"/>
      <c r="EXI24" s="1852"/>
      <c r="EXL24" s="1852"/>
      <c r="EXO24" s="1852"/>
      <c r="EXR24" s="1852"/>
      <c r="EXU24" s="1852"/>
      <c r="EXX24" s="1852"/>
      <c r="EYA24" s="1852"/>
      <c r="EYD24" s="1852"/>
      <c r="EYG24" s="1852"/>
      <c r="EYJ24" s="1852"/>
      <c r="EYM24" s="1852"/>
      <c r="EYP24" s="1852"/>
      <c r="EYS24" s="1852"/>
      <c r="EYV24" s="1852"/>
      <c r="EYY24" s="1852"/>
      <c r="EZB24" s="1852"/>
      <c r="EZE24" s="1852"/>
      <c r="EZH24" s="1852"/>
      <c r="EZK24" s="1852"/>
      <c r="EZN24" s="1852"/>
      <c r="EZQ24" s="1852"/>
      <c r="EZT24" s="1852"/>
      <c r="EZW24" s="1852"/>
      <c r="EZZ24" s="1852"/>
      <c r="FAC24" s="1852"/>
      <c r="FAF24" s="1852"/>
      <c r="FAI24" s="1852"/>
      <c r="FAL24" s="1852"/>
      <c r="FAO24" s="1852"/>
      <c r="FAR24" s="1852"/>
      <c r="FAU24" s="1852"/>
      <c r="FAX24" s="1852"/>
      <c r="FBA24" s="1852"/>
      <c r="FBD24" s="1852"/>
      <c r="FBG24" s="1852"/>
      <c r="FBJ24" s="1852"/>
      <c r="FBM24" s="1852"/>
      <c r="FBP24" s="1852"/>
      <c r="FBS24" s="1852"/>
      <c r="FBV24" s="1852"/>
      <c r="FBY24" s="1852"/>
      <c r="FCB24" s="1852"/>
      <c r="FCE24" s="1852"/>
      <c r="FCH24" s="1852"/>
      <c r="FCK24" s="1852"/>
      <c r="FCN24" s="1852"/>
      <c r="FCQ24" s="1852"/>
      <c r="FCT24" s="1852"/>
      <c r="FCW24" s="1852"/>
      <c r="FCZ24" s="1852"/>
      <c r="FDC24" s="1852"/>
      <c r="FDF24" s="1852"/>
      <c r="FDI24" s="1852"/>
      <c r="FDL24" s="1852"/>
      <c r="FDO24" s="1852"/>
      <c r="FDR24" s="1852"/>
      <c r="FDU24" s="1852"/>
      <c r="FDX24" s="1852"/>
      <c r="FEA24" s="1852"/>
      <c r="FED24" s="1852"/>
      <c r="FEG24" s="1852"/>
      <c r="FEJ24" s="1852"/>
      <c r="FEM24" s="1852"/>
      <c r="FEP24" s="1852"/>
      <c r="FES24" s="1852"/>
      <c r="FEV24" s="1852"/>
      <c r="FEY24" s="1852"/>
      <c r="FFB24" s="1852"/>
      <c r="FFE24" s="1852"/>
      <c r="FFH24" s="1852"/>
      <c r="FFK24" s="1852"/>
      <c r="FFN24" s="1852"/>
      <c r="FFQ24" s="1852"/>
      <c r="FFT24" s="1852"/>
      <c r="FFW24" s="1852"/>
      <c r="FFZ24" s="1852"/>
      <c r="FGC24" s="1852"/>
      <c r="FGF24" s="1852"/>
      <c r="FGI24" s="1852"/>
      <c r="FGL24" s="1852"/>
      <c r="FGO24" s="1852"/>
      <c r="FGR24" s="1852"/>
      <c r="FGU24" s="1852"/>
      <c r="FGX24" s="1852"/>
      <c r="FHA24" s="1852"/>
      <c r="FHD24" s="1852"/>
      <c r="FHG24" s="1852"/>
      <c r="FHJ24" s="1852"/>
      <c r="FHM24" s="1852"/>
      <c r="FHP24" s="1852"/>
      <c r="FHS24" s="1852"/>
      <c r="FHV24" s="1852"/>
      <c r="FHY24" s="1852"/>
      <c r="FIB24" s="1852"/>
      <c r="FIE24" s="1852"/>
      <c r="FIH24" s="1852"/>
      <c r="FIK24" s="1852"/>
      <c r="FIN24" s="1852"/>
      <c r="FIQ24" s="1852"/>
      <c r="FIT24" s="1852"/>
      <c r="FIW24" s="1852"/>
      <c r="FIZ24" s="1852"/>
      <c r="FJC24" s="1852"/>
      <c r="FJF24" s="1852"/>
      <c r="FJI24" s="1852"/>
      <c r="FJL24" s="1852"/>
      <c r="FJO24" s="1852"/>
      <c r="FJR24" s="1852"/>
      <c r="FJU24" s="1852"/>
      <c r="FJX24" s="1852"/>
      <c r="FKA24" s="1852"/>
      <c r="FKD24" s="1852"/>
      <c r="FKG24" s="1852"/>
      <c r="FKJ24" s="1852"/>
      <c r="FKM24" s="1852"/>
      <c r="FKP24" s="1852"/>
      <c r="FKS24" s="1852"/>
      <c r="FKV24" s="1852"/>
      <c r="FKY24" s="1852"/>
      <c r="FLB24" s="1852"/>
      <c r="FLE24" s="1852"/>
      <c r="FLH24" s="1852"/>
      <c r="FLK24" s="1852"/>
      <c r="FLN24" s="1852"/>
      <c r="FLQ24" s="1852"/>
      <c r="FLT24" s="1852"/>
      <c r="FLW24" s="1852"/>
      <c r="FLZ24" s="1852"/>
      <c r="FMC24" s="1852"/>
      <c r="FMF24" s="1852"/>
      <c r="FMI24" s="1852"/>
      <c r="FML24" s="1852"/>
      <c r="FMO24" s="1852"/>
      <c r="FMR24" s="1852"/>
      <c r="FMU24" s="1852"/>
      <c r="FMX24" s="1852"/>
      <c r="FNA24" s="1852"/>
      <c r="FND24" s="1852"/>
      <c r="FNG24" s="1852"/>
      <c r="FNJ24" s="1852"/>
      <c r="FNM24" s="1852"/>
      <c r="FNP24" s="1852"/>
      <c r="FNS24" s="1852"/>
      <c r="FNV24" s="1852"/>
      <c r="FNY24" s="1852"/>
      <c r="FOB24" s="1852"/>
      <c r="FOE24" s="1852"/>
      <c r="FOH24" s="1852"/>
      <c r="FOK24" s="1852"/>
      <c r="FON24" s="1852"/>
      <c r="FOQ24" s="1852"/>
      <c r="FOT24" s="1852"/>
      <c r="FOW24" s="1852"/>
      <c r="FOZ24" s="1852"/>
      <c r="FPC24" s="1852"/>
      <c r="FPF24" s="1852"/>
      <c r="FPI24" s="1852"/>
      <c r="FPL24" s="1852"/>
      <c r="FPO24" s="1852"/>
      <c r="FPR24" s="1852"/>
      <c r="FPU24" s="1852"/>
      <c r="FPX24" s="1852"/>
      <c r="FQA24" s="1852"/>
      <c r="FQD24" s="1852"/>
      <c r="FQG24" s="1852"/>
      <c r="FQJ24" s="1852"/>
      <c r="FQM24" s="1852"/>
      <c r="FQP24" s="1852"/>
      <c r="FQS24" s="1852"/>
      <c r="FQV24" s="1852"/>
      <c r="FQY24" s="1852"/>
      <c r="FRB24" s="1852"/>
      <c r="FRE24" s="1852"/>
      <c r="FRH24" s="1852"/>
      <c r="FRK24" s="1852"/>
      <c r="FRN24" s="1852"/>
      <c r="FRQ24" s="1852"/>
      <c r="FRT24" s="1852"/>
      <c r="FRW24" s="1852"/>
      <c r="FRZ24" s="1852"/>
      <c r="FSC24" s="1852"/>
      <c r="FSF24" s="1852"/>
      <c r="FSI24" s="1852"/>
      <c r="FSL24" s="1852"/>
      <c r="FSO24" s="1852"/>
      <c r="FSR24" s="1852"/>
      <c r="FSU24" s="1852"/>
      <c r="FSX24" s="1852"/>
      <c r="FTA24" s="1852"/>
      <c r="FTD24" s="1852"/>
      <c r="FTG24" s="1852"/>
      <c r="FTJ24" s="1852"/>
      <c r="FTM24" s="1852"/>
      <c r="FTP24" s="1852"/>
      <c r="FTS24" s="1852"/>
      <c r="FTV24" s="1852"/>
      <c r="FTY24" s="1852"/>
      <c r="FUB24" s="1852"/>
      <c r="FUE24" s="1852"/>
      <c r="FUH24" s="1852"/>
      <c r="FUK24" s="1852"/>
      <c r="FUN24" s="1852"/>
      <c r="FUQ24" s="1852"/>
      <c r="FUT24" s="1852"/>
      <c r="FUW24" s="1852"/>
      <c r="FUZ24" s="1852"/>
      <c r="FVC24" s="1852"/>
      <c r="FVF24" s="1852"/>
      <c r="FVI24" s="1852"/>
      <c r="FVL24" s="1852"/>
      <c r="FVO24" s="1852"/>
      <c r="FVR24" s="1852"/>
      <c r="FVU24" s="1852"/>
      <c r="FVX24" s="1852"/>
      <c r="FWA24" s="1852"/>
      <c r="FWD24" s="1852"/>
      <c r="FWG24" s="1852"/>
      <c r="FWJ24" s="1852"/>
      <c r="FWM24" s="1852"/>
      <c r="FWP24" s="1852"/>
      <c r="FWS24" s="1852"/>
      <c r="FWV24" s="1852"/>
      <c r="FWY24" s="1852"/>
      <c r="FXB24" s="1852"/>
      <c r="FXE24" s="1852"/>
      <c r="FXH24" s="1852"/>
      <c r="FXK24" s="1852"/>
      <c r="FXN24" s="1852"/>
      <c r="FXQ24" s="1852"/>
      <c r="FXT24" s="1852"/>
      <c r="FXW24" s="1852"/>
      <c r="FXZ24" s="1852"/>
      <c r="FYC24" s="1852"/>
      <c r="FYF24" s="1852"/>
      <c r="FYI24" s="1852"/>
      <c r="FYL24" s="1852"/>
      <c r="FYO24" s="1852"/>
      <c r="FYR24" s="1852"/>
      <c r="FYU24" s="1852"/>
      <c r="FYX24" s="1852"/>
      <c r="FZA24" s="1852"/>
      <c r="FZD24" s="1852"/>
      <c r="FZG24" s="1852"/>
      <c r="FZJ24" s="1852"/>
      <c r="FZM24" s="1852"/>
      <c r="FZP24" s="1852"/>
      <c r="FZS24" s="1852"/>
      <c r="FZV24" s="1852"/>
      <c r="FZY24" s="1852"/>
      <c r="GAB24" s="1852"/>
      <c r="GAE24" s="1852"/>
      <c r="GAH24" s="1852"/>
      <c r="GAK24" s="1852"/>
      <c r="GAN24" s="1852"/>
      <c r="GAQ24" s="1852"/>
      <c r="GAT24" s="1852"/>
      <c r="GAW24" s="1852"/>
      <c r="GAZ24" s="1852"/>
      <c r="GBC24" s="1852"/>
      <c r="GBF24" s="1852"/>
      <c r="GBI24" s="1852"/>
      <c r="GBL24" s="1852"/>
      <c r="GBO24" s="1852"/>
      <c r="GBR24" s="1852"/>
      <c r="GBU24" s="1852"/>
      <c r="GBX24" s="1852"/>
      <c r="GCA24" s="1852"/>
      <c r="GCD24" s="1852"/>
      <c r="GCG24" s="1852"/>
      <c r="GCJ24" s="1852"/>
      <c r="GCM24" s="1852"/>
      <c r="GCP24" s="1852"/>
      <c r="GCS24" s="1852"/>
      <c r="GCV24" s="1852"/>
      <c r="GCY24" s="1852"/>
      <c r="GDB24" s="1852"/>
      <c r="GDE24" s="1852"/>
      <c r="GDH24" s="1852"/>
      <c r="GDK24" s="1852"/>
      <c r="GDN24" s="1852"/>
      <c r="GDQ24" s="1852"/>
      <c r="GDT24" s="1852"/>
      <c r="GDW24" s="1852"/>
      <c r="GDZ24" s="1852"/>
      <c r="GEC24" s="1852"/>
      <c r="GEF24" s="1852"/>
      <c r="GEI24" s="1852"/>
      <c r="GEL24" s="1852"/>
      <c r="GEO24" s="1852"/>
      <c r="GER24" s="1852"/>
      <c r="GEU24" s="1852"/>
      <c r="GEX24" s="1852"/>
      <c r="GFA24" s="1852"/>
      <c r="GFD24" s="1852"/>
      <c r="GFG24" s="1852"/>
      <c r="GFJ24" s="1852"/>
      <c r="GFM24" s="1852"/>
      <c r="GFP24" s="1852"/>
      <c r="GFS24" s="1852"/>
      <c r="GFV24" s="1852"/>
      <c r="GFY24" s="1852"/>
      <c r="GGB24" s="1852"/>
      <c r="GGE24" s="1852"/>
      <c r="GGH24" s="1852"/>
      <c r="GGK24" s="1852"/>
      <c r="GGN24" s="1852"/>
      <c r="GGQ24" s="1852"/>
      <c r="GGT24" s="1852"/>
      <c r="GGW24" s="1852"/>
      <c r="GGZ24" s="1852"/>
      <c r="GHC24" s="1852"/>
      <c r="GHF24" s="1852"/>
      <c r="GHI24" s="1852"/>
      <c r="GHL24" s="1852"/>
      <c r="GHO24" s="1852"/>
      <c r="GHR24" s="1852"/>
      <c r="GHU24" s="1852"/>
      <c r="GHX24" s="1852"/>
      <c r="GIA24" s="1852"/>
      <c r="GID24" s="1852"/>
      <c r="GIG24" s="1852"/>
      <c r="GIJ24" s="1852"/>
      <c r="GIM24" s="1852"/>
      <c r="GIP24" s="1852"/>
      <c r="GIS24" s="1852"/>
      <c r="GIV24" s="1852"/>
      <c r="GIY24" s="1852"/>
      <c r="GJB24" s="1852"/>
      <c r="GJE24" s="1852"/>
      <c r="GJH24" s="1852"/>
      <c r="GJK24" s="1852"/>
      <c r="GJN24" s="1852"/>
      <c r="GJQ24" s="1852"/>
      <c r="GJT24" s="1852"/>
      <c r="GJW24" s="1852"/>
      <c r="GJZ24" s="1852"/>
      <c r="GKC24" s="1852"/>
      <c r="GKF24" s="1852"/>
      <c r="GKI24" s="1852"/>
      <c r="GKL24" s="1852"/>
      <c r="GKO24" s="1852"/>
      <c r="GKR24" s="1852"/>
      <c r="GKU24" s="1852"/>
      <c r="GKX24" s="1852"/>
      <c r="GLA24" s="1852"/>
      <c r="GLD24" s="1852"/>
      <c r="GLG24" s="1852"/>
      <c r="GLJ24" s="1852"/>
      <c r="GLM24" s="1852"/>
      <c r="GLP24" s="1852"/>
      <c r="GLS24" s="1852"/>
      <c r="GLV24" s="1852"/>
      <c r="GLY24" s="1852"/>
      <c r="GMB24" s="1852"/>
      <c r="GME24" s="1852"/>
      <c r="GMH24" s="1852"/>
      <c r="GMK24" s="1852"/>
      <c r="GMN24" s="1852"/>
      <c r="GMQ24" s="1852"/>
      <c r="GMT24" s="1852"/>
      <c r="GMW24" s="1852"/>
      <c r="GMZ24" s="1852"/>
      <c r="GNC24" s="1852"/>
      <c r="GNF24" s="1852"/>
      <c r="GNI24" s="1852"/>
      <c r="GNL24" s="1852"/>
      <c r="GNO24" s="1852"/>
      <c r="GNR24" s="1852"/>
      <c r="GNU24" s="1852"/>
      <c r="GNX24" s="1852"/>
      <c r="GOA24" s="1852"/>
      <c r="GOD24" s="1852"/>
      <c r="GOG24" s="1852"/>
      <c r="GOJ24" s="1852"/>
      <c r="GOM24" s="1852"/>
      <c r="GOP24" s="1852"/>
      <c r="GOS24" s="1852"/>
      <c r="GOV24" s="1852"/>
      <c r="GOY24" s="1852"/>
      <c r="GPB24" s="1852"/>
      <c r="GPE24" s="1852"/>
      <c r="GPH24" s="1852"/>
      <c r="GPK24" s="1852"/>
      <c r="GPN24" s="1852"/>
      <c r="GPQ24" s="1852"/>
      <c r="GPT24" s="1852"/>
      <c r="GPW24" s="1852"/>
      <c r="GPZ24" s="1852"/>
      <c r="GQC24" s="1852"/>
      <c r="GQF24" s="1852"/>
      <c r="GQI24" s="1852"/>
      <c r="GQL24" s="1852"/>
      <c r="GQO24" s="1852"/>
      <c r="GQR24" s="1852"/>
      <c r="GQU24" s="1852"/>
      <c r="GQX24" s="1852"/>
      <c r="GRA24" s="1852"/>
      <c r="GRD24" s="1852"/>
      <c r="GRG24" s="1852"/>
      <c r="GRJ24" s="1852"/>
      <c r="GRM24" s="1852"/>
      <c r="GRP24" s="1852"/>
      <c r="GRS24" s="1852"/>
      <c r="GRV24" s="1852"/>
      <c r="GRY24" s="1852"/>
      <c r="GSB24" s="1852"/>
      <c r="GSE24" s="1852"/>
      <c r="GSH24" s="1852"/>
      <c r="GSK24" s="1852"/>
      <c r="GSN24" s="1852"/>
      <c r="GSQ24" s="1852"/>
      <c r="GST24" s="1852"/>
      <c r="GSW24" s="1852"/>
      <c r="GSZ24" s="1852"/>
      <c r="GTC24" s="1852"/>
      <c r="GTF24" s="1852"/>
      <c r="GTI24" s="1852"/>
      <c r="GTL24" s="1852"/>
      <c r="GTO24" s="1852"/>
      <c r="GTR24" s="1852"/>
      <c r="GTU24" s="1852"/>
      <c r="GTX24" s="1852"/>
      <c r="GUA24" s="1852"/>
      <c r="GUD24" s="1852"/>
      <c r="GUG24" s="1852"/>
      <c r="GUJ24" s="1852"/>
      <c r="GUM24" s="1852"/>
      <c r="GUP24" s="1852"/>
      <c r="GUS24" s="1852"/>
      <c r="GUV24" s="1852"/>
      <c r="GUY24" s="1852"/>
      <c r="GVB24" s="1852"/>
      <c r="GVE24" s="1852"/>
      <c r="GVH24" s="1852"/>
      <c r="GVK24" s="1852"/>
      <c r="GVN24" s="1852"/>
      <c r="GVQ24" s="1852"/>
      <c r="GVT24" s="1852"/>
      <c r="GVW24" s="1852"/>
      <c r="GVZ24" s="1852"/>
      <c r="GWC24" s="1852"/>
      <c r="GWF24" s="1852"/>
      <c r="GWI24" s="1852"/>
      <c r="GWL24" s="1852"/>
      <c r="GWO24" s="1852"/>
      <c r="GWR24" s="1852"/>
      <c r="GWU24" s="1852"/>
      <c r="GWX24" s="1852"/>
      <c r="GXA24" s="1852"/>
      <c r="GXD24" s="1852"/>
      <c r="GXG24" s="1852"/>
      <c r="GXJ24" s="1852"/>
      <c r="GXM24" s="1852"/>
      <c r="GXP24" s="1852"/>
      <c r="GXS24" s="1852"/>
      <c r="GXV24" s="1852"/>
      <c r="GXY24" s="1852"/>
      <c r="GYB24" s="1852"/>
      <c r="GYE24" s="1852"/>
      <c r="GYH24" s="1852"/>
      <c r="GYK24" s="1852"/>
      <c r="GYN24" s="1852"/>
      <c r="GYQ24" s="1852"/>
      <c r="GYT24" s="1852"/>
      <c r="GYW24" s="1852"/>
      <c r="GYZ24" s="1852"/>
      <c r="GZC24" s="1852"/>
      <c r="GZF24" s="1852"/>
      <c r="GZI24" s="1852"/>
      <c r="GZL24" s="1852"/>
      <c r="GZO24" s="1852"/>
      <c r="GZR24" s="1852"/>
      <c r="GZU24" s="1852"/>
      <c r="GZX24" s="1852"/>
      <c r="HAA24" s="1852"/>
      <c r="HAD24" s="1852"/>
      <c r="HAG24" s="1852"/>
      <c r="HAJ24" s="1852"/>
      <c r="HAM24" s="1852"/>
      <c r="HAP24" s="1852"/>
      <c r="HAS24" s="1852"/>
      <c r="HAV24" s="1852"/>
      <c r="HAY24" s="1852"/>
      <c r="HBB24" s="1852"/>
      <c r="HBE24" s="1852"/>
      <c r="HBH24" s="1852"/>
      <c r="HBK24" s="1852"/>
      <c r="HBN24" s="1852"/>
      <c r="HBQ24" s="1852"/>
      <c r="HBT24" s="1852"/>
      <c r="HBW24" s="1852"/>
      <c r="HBZ24" s="1852"/>
      <c r="HCC24" s="1852"/>
      <c r="HCF24" s="1852"/>
      <c r="HCI24" s="1852"/>
      <c r="HCL24" s="1852"/>
      <c r="HCO24" s="1852"/>
      <c r="HCR24" s="1852"/>
      <c r="HCU24" s="1852"/>
      <c r="HCX24" s="1852"/>
      <c r="HDA24" s="1852"/>
      <c r="HDD24" s="1852"/>
      <c r="HDG24" s="1852"/>
      <c r="HDJ24" s="1852"/>
      <c r="HDM24" s="1852"/>
      <c r="HDP24" s="1852"/>
      <c r="HDS24" s="1852"/>
      <c r="HDV24" s="1852"/>
      <c r="HDY24" s="1852"/>
      <c r="HEB24" s="1852"/>
      <c r="HEE24" s="1852"/>
      <c r="HEH24" s="1852"/>
      <c r="HEK24" s="1852"/>
      <c r="HEN24" s="1852"/>
      <c r="HEQ24" s="1852"/>
      <c r="HET24" s="1852"/>
      <c r="HEW24" s="1852"/>
      <c r="HEZ24" s="1852"/>
      <c r="HFC24" s="1852"/>
      <c r="HFF24" s="1852"/>
      <c r="HFI24" s="1852"/>
      <c r="HFL24" s="1852"/>
      <c r="HFO24" s="1852"/>
      <c r="HFR24" s="1852"/>
      <c r="HFU24" s="1852"/>
      <c r="HFX24" s="1852"/>
      <c r="HGA24" s="1852"/>
      <c r="HGD24" s="1852"/>
      <c r="HGG24" s="1852"/>
      <c r="HGJ24" s="1852"/>
      <c r="HGM24" s="1852"/>
      <c r="HGP24" s="1852"/>
      <c r="HGS24" s="1852"/>
      <c r="HGV24" s="1852"/>
      <c r="HGY24" s="1852"/>
      <c r="HHB24" s="1852"/>
      <c r="HHE24" s="1852"/>
      <c r="HHH24" s="1852"/>
      <c r="HHK24" s="1852"/>
      <c r="HHN24" s="1852"/>
      <c r="HHQ24" s="1852"/>
      <c r="HHT24" s="1852"/>
      <c r="HHW24" s="1852"/>
      <c r="HHZ24" s="1852"/>
      <c r="HIC24" s="1852"/>
      <c r="HIF24" s="1852"/>
      <c r="HII24" s="1852"/>
      <c r="HIL24" s="1852"/>
      <c r="HIO24" s="1852"/>
      <c r="HIR24" s="1852"/>
      <c r="HIU24" s="1852"/>
      <c r="HIX24" s="1852"/>
      <c r="HJA24" s="1852"/>
      <c r="HJD24" s="1852"/>
      <c r="HJG24" s="1852"/>
      <c r="HJJ24" s="1852"/>
      <c r="HJM24" s="1852"/>
      <c r="HJP24" s="1852"/>
      <c r="HJS24" s="1852"/>
      <c r="HJV24" s="1852"/>
      <c r="HJY24" s="1852"/>
      <c r="HKB24" s="1852"/>
      <c r="HKE24" s="1852"/>
      <c r="HKH24" s="1852"/>
      <c r="HKK24" s="1852"/>
      <c r="HKN24" s="1852"/>
      <c r="HKQ24" s="1852"/>
      <c r="HKT24" s="1852"/>
      <c r="HKW24" s="1852"/>
      <c r="HKZ24" s="1852"/>
      <c r="HLC24" s="1852"/>
      <c r="HLF24" s="1852"/>
      <c r="HLI24" s="1852"/>
      <c r="HLL24" s="1852"/>
      <c r="HLO24" s="1852"/>
      <c r="HLR24" s="1852"/>
      <c r="HLU24" s="1852"/>
      <c r="HLX24" s="1852"/>
      <c r="HMA24" s="1852"/>
      <c r="HMD24" s="1852"/>
      <c r="HMG24" s="1852"/>
      <c r="HMJ24" s="1852"/>
      <c r="HMM24" s="1852"/>
      <c r="HMP24" s="1852"/>
      <c r="HMS24" s="1852"/>
      <c r="HMV24" s="1852"/>
      <c r="HMY24" s="1852"/>
      <c r="HNB24" s="1852"/>
      <c r="HNE24" s="1852"/>
      <c r="HNH24" s="1852"/>
      <c r="HNK24" s="1852"/>
      <c r="HNN24" s="1852"/>
      <c r="HNQ24" s="1852"/>
      <c r="HNT24" s="1852"/>
      <c r="HNW24" s="1852"/>
      <c r="HNZ24" s="1852"/>
      <c r="HOC24" s="1852"/>
      <c r="HOF24" s="1852"/>
      <c r="HOI24" s="1852"/>
      <c r="HOL24" s="1852"/>
      <c r="HOO24" s="1852"/>
      <c r="HOR24" s="1852"/>
      <c r="HOU24" s="1852"/>
      <c r="HOX24" s="1852"/>
      <c r="HPA24" s="1852"/>
      <c r="HPD24" s="1852"/>
      <c r="HPG24" s="1852"/>
      <c r="HPJ24" s="1852"/>
      <c r="HPM24" s="1852"/>
      <c r="HPP24" s="1852"/>
      <c r="HPS24" s="1852"/>
      <c r="HPV24" s="1852"/>
      <c r="HPY24" s="1852"/>
      <c r="HQB24" s="1852"/>
      <c r="HQE24" s="1852"/>
      <c r="HQH24" s="1852"/>
      <c r="HQK24" s="1852"/>
      <c r="HQN24" s="1852"/>
      <c r="HQQ24" s="1852"/>
      <c r="HQT24" s="1852"/>
      <c r="HQW24" s="1852"/>
      <c r="HQZ24" s="1852"/>
      <c r="HRC24" s="1852"/>
      <c r="HRF24" s="1852"/>
      <c r="HRI24" s="1852"/>
      <c r="HRL24" s="1852"/>
      <c r="HRO24" s="1852"/>
      <c r="HRR24" s="1852"/>
      <c r="HRU24" s="1852"/>
      <c r="HRX24" s="1852"/>
      <c r="HSA24" s="1852"/>
      <c r="HSD24" s="1852"/>
      <c r="HSG24" s="1852"/>
      <c r="HSJ24" s="1852"/>
      <c r="HSM24" s="1852"/>
      <c r="HSP24" s="1852"/>
      <c r="HSS24" s="1852"/>
      <c r="HSV24" s="1852"/>
      <c r="HSY24" s="1852"/>
      <c r="HTB24" s="1852"/>
      <c r="HTE24" s="1852"/>
      <c r="HTH24" s="1852"/>
      <c r="HTK24" s="1852"/>
      <c r="HTN24" s="1852"/>
      <c r="HTQ24" s="1852"/>
      <c r="HTT24" s="1852"/>
      <c r="HTW24" s="1852"/>
      <c r="HTZ24" s="1852"/>
      <c r="HUC24" s="1852"/>
      <c r="HUF24" s="1852"/>
      <c r="HUI24" s="1852"/>
      <c r="HUL24" s="1852"/>
      <c r="HUO24" s="1852"/>
      <c r="HUR24" s="1852"/>
      <c r="HUU24" s="1852"/>
      <c r="HUX24" s="1852"/>
      <c r="HVA24" s="1852"/>
      <c r="HVD24" s="1852"/>
      <c r="HVG24" s="1852"/>
      <c r="HVJ24" s="1852"/>
      <c r="HVM24" s="1852"/>
      <c r="HVP24" s="1852"/>
      <c r="HVS24" s="1852"/>
      <c r="HVV24" s="1852"/>
      <c r="HVY24" s="1852"/>
      <c r="HWB24" s="1852"/>
      <c r="HWE24" s="1852"/>
      <c r="HWH24" s="1852"/>
      <c r="HWK24" s="1852"/>
      <c r="HWN24" s="1852"/>
      <c r="HWQ24" s="1852"/>
      <c r="HWT24" s="1852"/>
      <c r="HWW24" s="1852"/>
      <c r="HWZ24" s="1852"/>
      <c r="HXC24" s="1852"/>
      <c r="HXF24" s="1852"/>
      <c r="HXI24" s="1852"/>
      <c r="HXL24" s="1852"/>
      <c r="HXO24" s="1852"/>
      <c r="HXR24" s="1852"/>
      <c r="HXU24" s="1852"/>
      <c r="HXX24" s="1852"/>
      <c r="HYA24" s="1852"/>
      <c r="HYD24" s="1852"/>
      <c r="HYG24" s="1852"/>
      <c r="HYJ24" s="1852"/>
      <c r="HYM24" s="1852"/>
      <c r="HYP24" s="1852"/>
      <c r="HYS24" s="1852"/>
      <c r="HYV24" s="1852"/>
      <c r="HYY24" s="1852"/>
      <c r="HZB24" s="1852"/>
      <c r="HZE24" s="1852"/>
      <c r="HZH24" s="1852"/>
      <c r="HZK24" s="1852"/>
      <c r="HZN24" s="1852"/>
      <c r="HZQ24" s="1852"/>
      <c r="HZT24" s="1852"/>
      <c r="HZW24" s="1852"/>
      <c r="HZZ24" s="1852"/>
      <c r="IAC24" s="1852"/>
      <c r="IAF24" s="1852"/>
      <c r="IAI24" s="1852"/>
      <c r="IAL24" s="1852"/>
      <c r="IAO24" s="1852"/>
      <c r="IAR24" s="1852"/>
      <c r="IAU24" s="1852"/>
      <c r="IAX24" s="1852"/>
      <c r="IBA24" s="1852"/>
      <c r="IBD24" s="1852"/>
      <c r="IBG24" s="1852"/>
      <c r="IBJ24" s="1852"/>
      <c r="IBM24" s="1852"/>
      <c r="IBP24" s="1852"/>
      <c r="IBS24" s="1852"/>
      <c r="IBV24" s="1852"/>
      <c r="IBY24" s="1852"/>
      <c r="ICB24" s="1852"/>
      <c r="ICE24" s="1852"/>
      <c r="ICH24" s="1852"/>
      <c r="ICK24" s="1852"/>
      <c r="ICN24" s="1852"/>
      <c r="ICQ24" s="1852"/>
      <c r="ICT24" s="1852"/>
      <c r="ICW24" s="1852"/>
      <c r="ICZ24" s="1852"/>
      <c r="IDC24" s="1852"/>
      <c r="IDF24" s="1852"/>
      <c r="IDI24" s="1852"/>
      <c r="IDL24" s="1852"/>
      <c r="IDO24" s="1852"/>
      <c r="IDR24" s="1852"/>
      <c r="IDU24" s="1852"/>
      <c r="IDX24" s="1852"/>
      <c r="IEA24" s="1852"/>
      <c r="IED24" s="1852"/>
      <c r="IEG24" s="1852"/>
      <c r="IEJ24" s="1852"/>
      <c r="IEM24" s="1852"/>
      <c r="IEP24" s="1852"/>
      <c r="IES24" s="1852"/>
      <c r="IEV24" s="1852"/>
      <c r="IEY24" s="1852"/>
      <c r="IFB24" s="1852"/>
      <c r="IFE24" s="1852"/>
      <c r="IFH24" s="1852"/>
      <c r="IFK24" s="1852"/>
      <c r="IFN24" s="1852"/>
      <c r="IFQ24" s="1852"/>
      <c r="IFT24" s="1852"/>
      <c r="IFW24" s="1852"/>
      <c r="IFZ24" s="1852"/>
      <c r="IGC24" s="1852"/>
      <c r="IGF24" s="1852"/>
      <c r="IGI24" s="1852"/>
      <c r="IGL24" s="1852"/>
      <c r="IGO24" s="1852"/>
      <c r="IGR24" s="1852"/>
      <c r="IGU24" s="1852"/>
      <c r="IGX24" s="1852"/>
      <c r="IHA24" s="1852"/>
      <c r="IHD24" s="1852"/>
      <c r="IHG24" s="1852"/>
      <c r="IHJ24" s="1852"/>
      <c r="IHM24" s="1852"/>
      <c r="IHP24" s="1852"/>
      <c r="IHS24" s="1852"/>
      <c r="IHV24" s="1852"/>
      <c r="IHY24" s="1852"/>
      <c r="IIB24" s="1852"/>
      <c r="IIE24" s="1852"/>
      <c r="IIH24" s="1852"/>
      <c r="IIK24" s="1852"/>
      <c r="IIN24" s="1852"/>
      <c r="IIQ24" s="1852"/>
      <c r="IIT24" s="1852"/>
      <c r="IIW24" s="1852"/>
      <c r="IIZ24" s="1852"/>
      <c r="IJC24" s="1852"/>
      <c r="IJF24" s="1852"/>
      <c r="IJI24" s="1852"/>
      <c r="IJL24" s="1852"/>
      <c r="IJO24" s="1852"/>
      <c r="IJR24" s="1852"/>
      <c r="IJU24" s="1852"/>
      <c r="IJX24" s="1852"/>
      <c r="IKA24" s="1852"/>
      <c r="IKD24" s="1852"/>
      <c r="IKG24" s="1852"/>
      <c r="IKJ24" s="1852"/>
      <c r="IKM24" s="1852"/>
      <c r="IKP24" s="1852"/>
      <c r="IKS24" s="1852"/>
      <c r="IKV24" s="1852"/>
      <c r="IKY24" s="1852"/>
      <c r="ILB24" s="1852"/>
      <c r="ILE24" s="1852"/>
      <c r="ILH24" s="1852"/>
      <c r="ILK24" s="1852"/>
      <c r="ILN24" s="1852"/>
      <c r="ILQ24" s="1852"/>
      <c r="ILT24" s="1852"/>
      <c r="ILW24" s="1852"/>
      <c r="ILZ24" s="1852"/>
      <c r="IMC24" s="1852"/>
      <c r="IMF24" s="1852"/>
      <c r="IMI24" s="1852"/>
      <c r="IML24" s="1852"/>
      <c r="IMO24" s="1852"/>
      <c r="IMR24" s="1852"/>
      <c r="IMU24" s="1852"/>
      <c r="IMX24" s="1852"/>
      <c r="INA24" s="1852"/>
      <c r="IND24" s="1852"/>
      <c r="ING24" s="1852"/>
      <c r="INJ24" s="1852"/>
      <c r="INM24" s="1852"/>
      <c r="INP24" s="1852"/>
      <c r="INS24" s="1852"/>
      <c r="INV24" s="1852"/>
      <c r="INY24" s="1852"/>
      <c r="IOB24" s="1852"/>
      <c r="IOE24" s="1852"/>
      <c r="IOH24" s="1852"/>
      <c r="IOK24" s="1852"/>
      <c r="ION24" s="1852"/>
      <c r="IOQ24" s="1852"/>
      <c r="IOT24" s="1852"/>
      <c r="IOW24" s="1852"/>
      <c r="IOZ24" s="1852"/>
      <c r="IPC24" s="1852"/>
      <c r="IPF24" s="1852"/>
      <c r="IPI24" s="1852"/>
      <c r="IPL24" s="1852"/>
      <c r="IPO24" s="1852"/>
      <c r="IPR24" s="1852"/>
      <c r="IPU24" s="1852"/>
      <c r="IPX24" s="1852"/>
      <c r="IQA24" s="1852"/>
      <c r="IQD24" s="1852"/>
      <c r="IQG24" s="1852"/>
      <c r="IQJ24" s="1852"/>
      <c r="IQM24" s="1852"/>
      <c r="IQP24" s="1852"/>
      <c r="IQS24" s="1852"/>
      <c r="IQV24" s="1852"/>
      <c r="IQY24" s="1852"/>
      <c r="IRB24" s="1852"/>
      <c r="IRE24" s="1852"/>
      <c r="IRH24" s="1852"/>
      <c r="IRK24" s="1852"/>
      <c r="IRN24" s="1852"/>
      <c r="IRQ24" s="1852"/>
      <c r="IRT24" s="1852"/>
      <c r="IRW24" s="1852"/>
      <c r="IRZ24" s="1852"/>
      <c r="ISC24" s="1852"/>
      <c r="ISF24" s="1852"/>
      <c r="ISI24" s="1852"/>
      <c r="ISL24" s="1852"/>
      <c r="ISO24" s="1852"/>
      <c r="ISR24" s="1852"/>
      <c r="ISU24" s="1852"/>
      <c r="ISX24" s="1852"/>
      <c r="ITA24" s="1852"/>
      <c r="ITD24" s="1852"/>
      <c r="ITG24" s="1852"/>
      <c r="ITJ24" s="1852"/>
      <c r="ITM24" s="1852"/>
      <c r="ITP24" s="1852"/>
      <c r="ITS24" s="1852"/>
      <c r="ITV24" s="1852"/>
      <c r="ITY24" s="1852"/>
      <c r="IUB24" s="1852"/>
      <c r="IUE24" s="1852"/>
      <c r="IUH24" s="1852"/>
      <c r="IUK24" s="1852"/>
      <c r="IUN24" s="1852"/>
      <c r="IUQ24" s="1852"/>
      <c r="IUT24" s="1852"/>
      <c r="IUW24" s="1852"/>
      <c r="IUZ24" s="1852"/>
      <c r="IVC24" s="1852"/>
      <c r="IVF24" s="1852"/>
      <c r="IVI24" s="1852"/>
      <c r="IVL24" s="1852"/>
      <c r="IVO24" s="1852"/>
      <c r="IVR24" s="1852"/>
      <c r="IVU24" s="1852"/>
      <c r="IVX24" s="1852"/>
      <c r="IWA24" s="1852"/>
      <c r="IWD24" s="1852"/>
      <c r="IWG24" s="1852"/>
      <c r="IWJ24" s="1852"/>
      <c r="IWM24" s="1852"/>
      <c r="IWP24" s="1852"/>
      <c r="IWS24" s="1852"/>
      <c r="IWV24" s="1852"/>
      <c r="IWY24" s="1852"/>
      <c r="IXB24" s="1852"/>
      <c r="IXE24" s="1852"/>
      <c r="IXH24" s="1852"/>
      <c r="IXK24" s="1852"/>
      <c r="IXN24" s="1852"/>
      <c r="IXQ24" s="1852"/>
      <c r="IXT24" s="1852"/>
      <c r="IXW24" s="1852"/>
      <c r="IXZ24" s="1852"/>
      <c r="IYC24" s="1852"/>
      <c r="IYF24" s="1852"/>
      <c r="IYI24" s="1852"/>
      <c r="IYL24" s="1852"/>
      <c r="IYO24" s="1852"/>
      <c r="IYR24" s="1852"/>
      <c r="IYU24" s="1852"/>
      <c r="IYX24" s="1852"/>
      <c r="IZA24" s="1852"/>
      <c r="IZD24" s="1852"/>
      <c r="IZG24" s="1852"/>
      <c r="IZJ24" s="1852"/>
      <c r="IZM24" s="1852"/>
      <c r="IZP24" s="1852"/>
      <c r="IZS24" s="1852"/>
      <c r="IZV24" s="1852"/>
      <c r="IZY24" s="1852"/>
      <c r="JAB24" s="1852"/>
      <c r="JAE24" s="1852"/>
      <c r="JAH24" s="1852"/>
      <c r="JAK24" s="1852"/>
      <c r="JAN24" s="1852"/>
      <c r="JAQ24" s="1852"/>
      <c r="JAT24" s="1852"/>
      <c r="JAW24" s="1852"/>
      <c r="JAZ24" s="1852"/>
      <c r="JBC24" s="1852"/>
      <c r="JBF24" s="1852"/>
      <c r="JBI24" s="1852"/>
      <c r="JBL24" s="1852"/>
      <c r="JBO24" s="1852"/>
      <c r="JBR24" s="1852"/>
      <c r="JBU24" s="1852"/>
      <c r="JBX24" s="1852"/>
      <c r="JCA24" s="1852"/>
      <c r="JCD24" s="1852"/>
      <c r="JCG24" s="1852"/>
      <c r="JCJ24" s="1852"/>
      <c r="JCM24" s="1852"/>
      <c r="JCP24" s="1852"/>
      <c r="JCS24" s="1852"/>
      <c r="JCV24" s="1852"/>
      <c r="JCY24" s="1852"/>
      <c r="JDB24" s="1852"/>
      <c r="JDE24" s="1852"/>
      <c r="JDH24" s="1852"/>
      <c r="JDK24" s="1852"/>
      <c r="JDN24" s="1852"/>
      <c r="JDQ24" s="1852"/>
      <c r="JDT24" s="1852"/>
      <c r="JDW24" s="1852"/>
      <c r="JDZ24" s="1852"/>
      <c r="JEC24" s="1852"/>
      <c r="JEF24" s="1852"/>
      <c r="JEI24" s="1852"/>
      <c r="JEL24" s="1852"/>
      <c r="JEO24" s="1852"/>
      <c r="JER24" s="1852"/>
      <c r="JEU24" s="1852"/>
      <c r="JEX24" s="1852"/>
      <c r="JFA24" s="1852"/>
      <c r="JFD24" s="1852"/>
      <c r="JFG24" s="1852"/>
      <c r="JFJ24" s="1852"/>
      <c r="JFM24" s="1852"/>
      <c r="JFP24" s="1852"/>
      <c r="JFS24" s="1852"/>
      <c r="JFV24" s="1852"/>
      <c r="JFY24" s="1852"/>
      <c r="JGB24" s="1852"/>
      <c r="JGE24" s="1852"/>
      <c r="JGH24" s="1852"/>
      <c r="JGK24" s="1852"/>
      <c r="JGN24" s="1852"/>
      <c r="JGQ24" s="1852"/>
      <c r="JGT24" s="1852"/>
      <c r="JGW24" s="1852"/>
      <c r="JGZ24" s="1852"/>
      <c r="JHC24" s="1852"/>
      <c r="JHF24" s="1852"/>
      <c r="JHI24" s="1852"/>
      <c r="JHL24" s="1852"/>
      <c r="JHO24" s="1852"/>
      <c r="JHR24" s="1852"/>
      <c r="JHU24" s="1852"/>
      <c r="JHX24" s="1852"/>
      <c r="JIA24" s="1852"/>
      <c r="JID24" s="1852"/>
      <c r="JIG24" s="1852"/>
      <c r="JIJ24" s="1852"/>
      <c r="JIM24" s="1852"/>
      <c r="JIP24" s="1852"/>
      <c r="JIS24" s="1852"/>
      <c r="JIV24" s="1852"/>
      <c r="JIY24" s="1852"/>
      <c r="JJB24" s="1852"/>
      <c r="JJE24" s="1852"/>
      <c r="JJH24" s="1852"/>
      <c r="JJK24" s="1852"/>
      <c r="JJN24" s="1852"/>
      <c r="JJQ24" s="1852"/>
      <c r="JJT24" s="1852"/>
      <c r="JJW24" s="1852"/>
      <c r="JJZ24" s="1852"/>
      <c r="JKC24" s="1852"/>
      <c r="JKF24" s="1852"/>
      <c r="JKI24" s="1852"/>
      <c r="JKL24" s="1852"/>
      <c r="JKO24" s="1852"/>
      <c r="JKR24" s="1852"/>
      <c r="JKU24" s="1852"/>
      <c r="JKX24" s="1852"/>
      <c r="JLA24" s="1852"/>
      <c r="JLD24" s="1852"/>
      <c r="JLG24" s="1852"/>
      <c r="JLJ24" s="1852"/>
      <c r="JLM24" s="1852"/>
      <c r="JLP24" s="1852"/>
      <c r="JLS24" s="1852"/>
      <c r="JLV24" s="1852"/>
      <c r="JLY24" s="1852"/>
      <c r="JMB24" s="1852"/>
      <c r="JME24" s="1852"/>
      <c r="JMH24" s="1852"/>
      <c r="JMK24" s="1852"/>
      <c r="JMN24" s="1852"/>
      <c r="JMQ24" s="1852"/>
      <c r="JMT24" s="1852"/>
      <c r="JMW24" s="1852"/>
      <c r="JMZ24" s="1852"/>
      <c r="JNC24" s="1852"/>
      <c r="JNF24" s="1852"/>
      <c r="JNI24" s="1852"/>
      <c r="JNL24" s="1852"/>
      <c r="JNO24" s="1852"/>
      <c r="JNR24" s="1852"/>
      <c r="JNU24" s="1852"/>
      <c r="JNX24" s="1852"/>
      <c r="JOA24" s="1852"/>
      <c r="JOD24" s="1852"/>
      <c r="JOG24" s="1852"/>
      <c r="JOJ24" s="1852"/>
      <c r="JOM24" s="1852"/>
      <c r="JOP24" s="1852"/>
      <c r="JOS24" s="1852"/>
      <c r="JOV24" s="1852"/>
      <c r="JOY24" s="1852"/>
      <c r="JPB24" s="1852"/>
      <c r="JPE24" s="1852"/>
      <c r="JPH24" s="1852"/>
      <c r="JPK24" s="1852"/>
      <c r="JPN24" s="1852"/>
      <c r="JPQ24" s="1852"/>
      <c r="JPT24" s="1852"/>
      <c r="JPW24" s="1852"/>
      <c r="JPZ24" s="1852"/>
      <c r="JQC24" s="1852"/>
      <c r="JQF24" s="1852"/>
      <c r="JQI24" s="1852"/>
      <c r="JQL24" s="1852"/>
      <c r="JQO24" s="1852"/>
      <c r="JQR24" s="1852"/>
      <c r="JQU24" s="1852"/>
      <c r="JQX24" s="1852"/>
      <c r="JRA24" s="1852"/>
      <c r="JRD24" s="1852"/>
      <c r="JRG24" s="1852"/>
      <c r="JRJ24" s="1852"/>
      <c r="JRM24" s="1852"/>
      <c r="JRP24" s="1852"/>
      <c r="JRS24" s="1852"/>
      <c r="JRV24" s="1852"/>
      <c r="JRY24" s="1852"/>
      <c r="JSB24" s="1852"/>
      <c r="JSE24" s="1852"/>
      <c r="JSH24" s="1852"/>
      <c r="JSK24" s="1852"/>
      <c r="JSN24" s="1852"/>
      <c r="JSQ24" s="1852"/>
      <c r="JST24" s="1852"/>
      <c r="JSW24" s="1852"/>
      <c r="JSZ24" s="1852"/>
      <c r="JTC24" s="1852"/>
      <c r="JTF24" s="1852"/>
      <c r="JTI24" s="1852"/>
      <c r="JTL24" s="1852"/>
      <c r="JTO24" s="1852"/>
      <c r="JTR24" s="1852"/>
      <c r="JTU24" s="1852"/>
      <c r="JTX24" s="1852"/>
      <c r="JUA24" s="1852"/>
      <c r="JUD24" s="1852"/>
      <c r="JUG24" s="1852"/>
      <c r="JUJ24" s="1852"/>
      <c r="JUM24" s="1852"/>
      <c r="JUP24" s="1852"/>
      <c r="JUS24" s="1852"/>
      <c r="JUV24" s="1852"/>
      <c r="JUY24" s="1852"/>
      <c r="JVB24" s="1852"/>
      <c r="JVE24" s="1852"/>
      <c r="JVH24" s="1852"/>
      <c r="JVK24" s="1852"/>
      <c r="JVN24" s="1852"/>
      <c r="JVQ24" s="1852"/>
      <c r="JVT24" s="1852"/>
      <c r="JVW24" s="1852"/>
      <c r="JVZ24" s="1852"/>
      <c r="JWC24" s="1852"/>
      <c r="JWF24" s="1852"/>
      <c r="JWI24" s="1852"/>
      <c r="JWL24" s="1852"/>
      <c r="JWO24" s="1852"/>
      <c r="JWR24" s="1852"/>
      <c r="JWU24" s="1852"/>
      <c r="JWX24" s="1852"/>
      <c r="JXA24" s="1852"/>
      <c r="JXD24" s="1852"/>
      <c r="JXG24" s="1852"/>
      <c r="JXJ24" s="1852"/>
      <c r="JXM24" s="1852"/>
      <c r="JXP24" s="1852"/>
      <c r="JXS24" s="1852"/>
      <c r="JXV24" s="1852"/>
      <c r="JXY24" s="1852"/>
      <c r="JYB24" s="1852"/>
      <c r="JYE24" s="1852"/>
      <c r="JYH24" s="1852"/>
      <c r="JYK24" s="1852"/>
      <c r="JYN24" s="1852"/>
      <c r="JYQ24" s="1852"/>
      <c r="JYT24" s="1852"/>
      <c r="JYW24" s="1852"/>
      <c r="JYZ24" s="1852"/>
      <c r="JZC24" s="1852"/>
      <c r="JZF24" s="1852"/>
      <c r="JZI24" s="1852"/>
      <c r="JZL24" s="1852"/>
      <c r="JZO24" s="1852"/>
      <c r="JZR24" s="1852"/>
      <c r="JZU24" s="1852"/>
      <c r="JZX24" s="1852"/>
      <c r="KAA24" s="1852"/>
      <c r="KAD24" s="1852"/>
      <c r="KAG24" s="1852"/>
      <c r="KAJ24" s="1852"/>
      <c r="KAM24" s="1852"/>
      <c r="KAP24" s="1852"/>
      <c r="KAS24" s="1852"/>
      <c r="KAV24" s="1852"/>
      <c r="KAY24" s="1852"/>
      <c r="KBB24" s="1852"/>
      <c r="KBE24" s="1852"/>
      <c r="KBH24" s="1852"/>
      <c r="KBK24" s="1852"/>
      <c r="KBN24" s="1852"/>
      <c r="KBQ24" s="1852"/>
      <c r="KBT24" s="1852"/>
      <c r="KBW24" s="1852"/>
      <c r="KBZ24" s="1852"/>
      <c r="KCC24" s="1852"/>
      <c r="KCF24" s="1852"/>
      <c r="KCI24" s="1852"/>
      <c r="KCL24" s="1852"/>
      <c r="KCO24" s="1852"/>
      <c r="KCR24" s="1852"/>
      <c r="KCU24" s="1852"/>
      <c r="KCX24" s="1852"/>
      <c r="KDA24" s="1852"/>
      <c r="KDD24" s="1852"/>
      <c r="KDG24" s="1852"/>
      <c r="KDJ24" s="1852"/>
      <c r="KDM24" s="1852"/>
      <c r="KDP24" s="1852"/>
      <c r="KDS24" s="1852"/>
      <c r="KDV24" s="1852"/>
      <c r="KDY24" s="1852"/>
      <c r="KEB24" s="1852"/>
      <c r="KEE24" s="1852"/>
      <c r="KEH24" s="1852"/>
      <c r="KEK24" s="1852"/>
      <c r="KEN24" s="1852"/>
      <c r="KEQ24" s="1852"/>
      <c r="KET24" s="1852"/>
      <c r="KEW24" s="1852"/>
      <c r="KEZ24" s="1852"/>
      <c r="KFC24" s="1852"/>
      <c r="KFF24" s="1852"/>
      <c r="KFI24" s="1852"/>
      <c r="KFL24" s="1852"/>
      <c r="KFO24" s="1852"/>
      <c r="KFR24" s="1852"/>
      <c r="KFU24" s="1852"/>
      <c r="KFX24" s="1852"/>
      <c r="KGA24" s="1852"/>
      <c r="KGD24" s="1852"/>
      <c r="KGG24" s="1852"/>
      <c r="KGJ24" s="1852"/>
      <c r="KGM24" s="1852"/>
      <c r="KGP24" s="1852"/>
      <c r="KGS24" s="1852"/>
      <c r="KGV24" s="1852"/>
      <c r="KGY24" s="1852"/>
      <c r="KHB24" s="1852"/>
      <c r="KHE24" s="1852"/>
      <c r="KHH24" s="1852"/>
      <c r="KHK24" s="1852"/>
      <c r="KHN24" s="1852"/>
      <c r="KHQ24" s="1852"/>
      <c r="KHT24" s="1852"/>
      <c r="KHW24" s="1852"/>
      <c r="KHZ24" s="1852"/>
      <c r="KIC24" s="1852"/>
      <c r="KIF24" s="1852"/>
      <c r="KII24" s="1852"/>
      <c r="KIL24" s="1852"/>
      <c r="KIO24" s="1852"/>
      <c r="KIR24" s="1852"/>
      <c r="KIU24" s="1852"/>
      <c r="KIX24" s="1852"/>
      <c r="KJA24" s="1852"/>
      <c r="KJD24" s="1852"/>
      <c r="KJG24" s="1852"/>
      <c r="KJJ24" s="1852"/>
      <c r="KJM24" s="1852"/>
      <c r="KJP24" s="1852"/>
      <c r="KJS24" s="1852"/>
      <c r="KJV24" s="1852"/>
      <c r="KJY24" s="1852"/>
      <c r="KKB24" s="1852"/>
      <c r="KKE24" s="1852"/>
      <c r="KKH24" s="1852"/>
      <c r="KKK24" s="1852"/>
      <c r="KKN24" s="1852"/>
      <c r="KKQ24" s="1852"/>
      <c r="KKT24" s="1852"/>
      <c r="KKW24" s="1852"/>
      <c r="KKZ24" s="1852"/>
      <c r="KLC24" s="1852"/>
      <c r="KLF24" s="1852"/>
      <c r="KLI24" s="1852"/>
      <c r="KLL24" s="1852"/>
      <c r="KLO24" s="1852"/>
      <c r="KLR24" s="1852"/>
      <c r="KLU24" s="1852"/>
      <c r="KLX24" s="1852"/>
      <c r="KMA24" s="1852"/>
      <c r="KMD24" s="1852"/>
      <c r="KMG24" s="1852"/>
      <c r="KMJ24" s="1852"/>
      <c r="KMM24" s="1852"/>
      <c r="KMP24" s="1852"/>
      <c r="KMS24" s="1852"/>
      <c r="KMV24" s="1852"/>
      <c r="KMY24" s="1852"/>
      <c r="KNB24" s="1852"/>
      <c r="KNE24" s="1852"/>
      <c r="KNH24" s="1852"/>
      <c r="KNK24" s="1852"/>
      <c r="KNN24" s="1852"/>
      <c r="KNQ24" s="1852"/>
      <c r="KNT24" s="1852"/>
      <c r="KNW24" s="1852"/>
      <c r="KNZ24" s="1852"/>
      <c r="KOC24" s="1852"/>
      <c r="KOF24" s="1852"/>
      <c r="KOI24" s="1852"/>
      <c r="KOL24" s="1852"/>
      <c r="KOO24" s="1852"/>
      <c r="KOR24" s="1852"/>
      <c r="KOU24" s="1852"/>
      <c r="KOX24" s="1852"/>
      <c r="KPA24" s="1852"/>
      <c r="KPD24" s="1852"/>
      <c r="KPG24" s="1852"/>
      <c r="KPJ24" s="1852"/>
      <c r="KPM24" s="1852"/>
      <c r="KPP24" s="1852"/>
      <c r="KPS24" s="1852"/>
      <c r="KPV24" s="1852"/>
      <c r="KPY24" s="1852"/>
      <c r="KQB24" s="1852"/>
      <c r="KQE24" s="1852"/>
      <c r="KQH24" s="1852"/>
      <c r="KQK24" s="1852"/>
      <c r="KQN24" s="1852"/>
      <c r="KQQ24" s="1852"/>
      <c r="KQT24" s="1852"/>
      <c r="KQW24" s="1852"/>
      <c r="KQZ24" s="1852"/>
      <c r="KRC24" s="1852"/>
      <c r="KRF24" s="1852"/>
      <c r="KRI24" s="1852"/>
      <c r="KRL24" s="1852"/>
      <c r="KRO24" s="1852"/>
      <c r="KRR24" s="1852"/>
      <c r="KRU24" s="1852"/>
      <c r="KRX24" s="1852"/>
      <c r="KSA24" s="1852"/>
      <c r="KSD24" s="1852"/>
      <c r="KSG24" s="1852"/>
      <c r="KSJ24" s="1852"/>
      <c r="KSM24" s="1852"/>
      <c r="KSP24" s="1852"/>
      <c r="KSS24" s="1852"/>
      <c r="KSV24" s="1852"/>
      <c r="KSY24" s="1852"/>
      <c r="KTB24" s="1852"/>
      <c r="KTE24" s="1852"/>
      <c r="KTH24" s="1852"/>
      <c r="KTK24" s="1852"/>
      <c r="KTN24" s="1852"/>
      <c r="KTQ24" s="1852"/>
      <c r="KTT24" s="1852"/>
      <c r="KTW24" s="1852"/>
      <c r="KTZ24" s="1852"/>
      <c r="KUC24" s="1852"/>
      <c r="KUF24" s="1852"/>
      <c r="KUI24" s="1852"/>
      <c r="KUL24" s="1852"/>
      <c r="KUO24" s="1852"/>
      <c r="KUR24" s="1852"/>
      <c r="KUU24" s="1852"/>
      <c r="KUX24" s="1852"/>
      <c r="KVA24" s="1852"/>
      <c r="KVD24" s="1852"/>
      <c r="KVG24" s="1852"/>
      <c r="KVJ24" s="1852"/>
      <c r="KVM24" s="1852"/>
      <c r="KVP24" s="1852"/>
      <c r="KVS24" s="1852"/>
      <c r="KVV24" s="1852"/>
      <c r="KVY24" s="1852"/>
      <c r="KWB24" s="1852"/>
      <c r="KWE24" s="1852"/>
      <c r="KWH24" s="1852"/>
      <c r="KWK24" s="1852"/>
      <c r="KWN24" s="1852"/>
      <c r="KWQ24" s="1852"/>
      <c r="KWT24" s="1852"/>
      <c r="KWW24" s="1852"/>
      <c r="KWZ24" s="1852"/>
      <c r="KXC24" s="1852"/>
      <c r="KXF24" s="1852"/>
      <c r="KXI24" s="1852"/>
      <c r="KXL24" s="1852"/>
      <c r="KXO24" s="1852"/>
      <c r="KXR24" s="1852"/>
      <c r="KXU24" s="1852"/>
      <c r="KXX24" s="1852"/>
      <c r="KYA24" s="1852"/>
      <c r="KYD24" s="1852"/>
      <c r="KYG24" s="1852"/>
      <c r="KYJ24" s="1852"/>
      <c r="KYM24" s="1852"/>
      <c r="KYP24" s="1852"/>
      <c r="KYS24" s="1852"/>
      <c r="KYV24" s="1852"/>
      <c r="KYY24" s="1852"/>
      <c r="KZB24" s="1852"/>
      <c r="KZE24" s="1852"/>
      <c r="KZH24" s="1852"/>
      <c r="KZK24" s="1852"/>
      <c r="KZN24" s="1852"/>
      <c r="KZQ24" s="1852"/>
      <c r="KZT24" s="1852"/>
      <c r="KZW24" s="1852"/>
      <c r="KZZ24" s="1852"/>
      <c r="LAC24" s="1852"/>
      <c r="LAF24" s="1852"/>
      <c r="LAI24" s="1852"/>
      <c r="LAL24" s="1852"/>
      <c r="LAO24" s="1852"/>
      <c r="LAR24" s="1852"/>
      <c r="LAU24" s="1852"/>
      <c r="LAX24" s="1852"/>
      <c r="LBA24" s="1852"/>
      <c r="LBD24" s="1852"/>
      <c r="LBG24" s="1852"/>
      <c r="LBJ24" s="1852"/>
      <c r="LBM24" s="1852"/>
      <c r="LBP24" s="1852"/>
      <c r="LBS24" s="1852"/>
      <c r="LBV24" s="1852"/>
      <c r="LBY24" s="1852"/>
      <c r="LCB24" s="1852"/>
      <c r="LCE24" s="1852"/>
      <c r="LCH24" s="1852"/>
      <c r="LCK24" s="1852"/>
      <c r="LCN24" s="1852"/>
      <c r="LCQ24" s="1852"/>
      <c r="LCT24" s="1852"/>
      <c r="LCW24" s="1852"/>
      <c r="LCZ24" s="1852"/>
      <c r="LDC24" s="1852"/>
      <c r="LDF24" s="1852"/>
      <c r="LDI24" s="1852"/>
      <c r="LDL24" s="1852"/>
      <c r="LDO24" s="1852"/>
      <c r="LDR24" s="1852"/>
      <c r="LDU24" s="1852"/>
      <c r="LDX24" s="1852"/>
      <c r="LEA24" s="1852"/>
      <c r="LED24" s="1852"/>
      <c r="LEG24" s="1852"/>
      <c r="LEJ24" s="1852"/>
      <c r="LEM24" s="1852"/>
      <c r="LEP24" s="1852"/>
      <c r="LES24" s="1852"/>
      <c r="LEV24" s="1852"/>
      <c r="LEY24" s="1852"/>
      <c r="LFB24" s="1852"/>
      <c r="LFE24" s="1852"/>
      <c r="LFH24" s="1852"/>
      <c r="LFK24" s="1852"/>
      <c r="LFN24" s="1852"/>
      <c r="LFQ24" s="1852"/>
      <c r="LFT24" s="1852"/>
      <c r="LFW24" s="1852"/>
      <c r="LFZ24" s="1852"/>
      <c r="LGC24" s="1852"/>
      <c r="LGF24" s="1852"/>
      <c r="LGI24" s="1852"/>
      <c r="LGL24" s="1852"/>
      <c r="LGO24" s="1852"/>
      <c r="LGR24" s="1852"/>
      <c r="LGU24" s="1852"/>
      <c r="LGX24" s="1852"/>
      <c r="LHA24" s="1852"/>
      <c r="LHD24" s="1852"/>
      <c r="LHG24" s="1852"/>
      <c r="LHJ24" s="1852"/>
      <c r="LHM24" s="1852"/>
      <c r="LHP24" s="1852"/>
      <c r="LHS24" s="1852"/>
      <c r="LHV24" s="1852"/>
      <c r="LHY24" s="1852"/>
      <c r="LIB24" s="1852"/>
      <c r="LIE24" s="1852"/>
      <c r="LIH24" s="1852"/>
      <c r="LIK24" s="1852"/>
      <c r="LIN24" s="1852"/>
      <c r="LIQ24" s="1852"/>
      <c r="LIT24" s="1852"/>
      <c r="LIW24" s="1852"/>
      <c r="LIZ24" s="1852"/>
      <c r="LJC24" s="1852"/>
      <c r="LJF24" s="1852"/>
      <c r="LJI24" s="1852"/>
      <c r="LJL24" s="1852"/>
      <c r="LJO24" s="1852"/>
      <c r="LJR24" s="1852"/>
      <c r="LJU24" s="1852"/>
      <c r="LJX24" s="1852"/>
      <c r="LKA24" s="1852"/>
      <c r="LKD24" s="1852"/>
      <c r="LKG24" s="1852"/>
      <c r="LKJ24" s="1852"/>
      <c r="LKM24" s="1852"/>
      <c r="LKP24" s="1852"/>
      <c r="LKS24" s="1852"/>
      <c r="LKV24" s="1852"/>
      <c r="LKY24" s="1852"/>
      <c r="LLB24" s="1852"/>
      <c r="LLE24" s="1852"/>
      <c r="LLH24" s="1852"/>
      <c r="LLK24" s="1852"/>
      <c r="LLN24" s="1852"/>
      <c r="LLQ24" s="1852"/>
      <c r="LLT24" s="1852"/>
      <c r="LLW24" s="1852"/>
      <c r="LLZ24" s="1852"/>
      <c r="LMC24" s="1852"/>
      <c r="LMF24" s="1852"/>
      <c r="LMI24" s="1852"/>
      <c r="LML24" s="1852"/>
      <c r="LMO24" s="1852"/>
      <c r="LMR24" s="1852"/>
      <c r="LMU24" s="1852"/>
      <c r="LMX24" s="1852"/>
      <c r="LNA24" s="1852"/>
      <c r="LND24" s="1852"/>
      <c r="LNG24" s="1852"/>
      <c r="LNJ24" s="1852"/>
      <c r="LNM24" s="1852"/>
      <c r="LNP24" s="1852"/>
      <c r="LNS24" s="1852"/>
      <c r="LNV24" s="1852"/>
      <c r="LNY24" s="1852"/>
      <c r="LOB24" s="1852"/>
      <c r="LOE24" s="1852"/>
      <c r="LOH24" s="1852"/>
      <c r="LOK24" s="1852"/>
      <c r="LON24" s="1852"/>
      <c r="LOQ24" s="1852"/>
      <c r="LOT24" s="1852"/>
      <c r="LOW24" s="1852"/>
      <c r="LOZ24" s="1852"/>
      <c r="LPC24" s="1852"/>
      <c r="LPF24" s="1852"/>
      <c r="LPI24" s="1852"/>
      <c r="LPL24" s="1852"/>
      <c r="LPO24" s="1852"/>
      <c r="LPR24" s="1852"/>
      <c r="LPU24" s="1852"/>
      <c r="LPX24" s="1852"/>
      <c r="LQA24" s="1852"/>
      <c r="LQD24" s="1852"/>
      <c r="LQG24" s="1852"/>
      <c r="LQJ24" s="1852"/>
      <c r="LQM24" s="1852"/>
      <c r="LQP24" s="1852"/>
      <c r="LQS24" s="1852"/>
      <c r="LQV24" s="1852"/>
      <c r="LQY24" s="1852"/>
      <c r="LRB24" s="1852"/>
      <c r="LRE24" s="1852"/>
      <c r="LRH24" s="1852"/>
      <c r="LRK24" s="1852"/>
      <c r="LRN24" s="1852"/>
      <c r="LRQ24" s="1852"/>
      <c r="LRT24" s="1852"/>
      <c r="LRW24" s="1852"/>
      <c r="LRZ24" s="1852"/>
      <c r="LSC24" s="1852"/>
      <c r="LSF24" s="1852"/>
      <c r="LSI24" s="1852"/>
      <c r="LSL24" s="1852"/>
      <c r="LSO24" s="1852"/>
      <c r="LSR24" s="1852"/>
      <c r="LSU24" s="1852"/>
      <c r="LSX24" s="1852"/>
      <c r="LTA24" s="1852"/>
      <c r="LTD24" s="1852"/>
      <c r="LTG24" s="1852"/>
      <c r="LTJ24" s="1852"/>
      <c r="LTM24" s="1852"/>
      <c r="LTP24" s="1852"/>
      <c r="LTS24" s="1852"/>
      <c r="LTV24" s="1852"/>
      <c r="LTY24" s="1852"/>
      <c r="LUB24" s="1852"/>
      <c r="LUE24" s="1852"/>
      <c r="LUH24" s="1852"/>
      <c r="LUK24" s="1852"/>
      <c r="LUN24" s="1852"/>
      <c r="LUQ24" s="1852"/>
      <c r="LUT24" s="1852"/>
      <c r="LUW24" s="1852"/>
      <c r="LUZ24" s="1852"/>
      <c r="LVC24" s="1852"/>
      <c r="LVF24" s="1852"/>
      <c r="LVI24" s="1852"/>
      <c r="LVL24" s="1852"/>
      <c r="LVO24" s="1852"/>
      <c r="LVR24" s="1852"/>
      <c r="LVU24" s="1852"/>
      <c r="LVX24" s="1852"/>
      <c r="LWA24" s="1852"/>
      <c r="LWD24" s="1852"/>
      <c r="LWG24" s="1852"/>
      <c r="LWJ24" s="1852"/>
      <c r="LWM24" s="1852"/>
      <c r="LWP24" s="1852"/>
      <c r="LWS24" s="1852"/>
      <c r="LWV24" s="1852"/>
      <c r="LWY24" s="1852"/>
      <c r="LXB24" s="1852"/>
      <c r="LXE24" s="1852"/>
      <c r="LXH24" s="1852"/>
      <c r="LXK24" s="1852"/>
      <c r="LXN24" s="1852"/>
      <c r="LXQ24" s="1852"/>
      <c r="LXT24" s="1852"/>
      <c r="LXW24" s="1852"/>
      <c r="LXZ24" s="1852"/>
      <c r="LYC24" s="1852"/>
      <c r="LYF24" s="1852"/>
      <c r="LYI24" s="1852"/>
      <c r="LYL24" s="1852"/>
      <c r="LYO24" s="1852"/>
      <c r="LYR24" s="1852"/>
      <c r="LYU24" s="1852"/>
      <c r="LYX24" s="1852"/>
      <c r="LZA24" s="1852"/>
      <c r="LZD24" s="1852"/>
      <c r="LZG24" s="1852"/>
      <c r="LZJ24" s="1852"/>
      <c r="LZM24" s="1852"/>
      <c r="LZP24" s="1852"/>
      <c r="LZS24" s="1852"/>
      <c r="LZV24" s="1852"/>
      <c r="LZY24" s="1852"/>
      <c r="MAB24" s="1852"/>
      <c r="MAE24" s="1852"/>
      <c r="MAH24" s="1852"/>
      <c r="MAK24" s="1852"/>
      <c r="MAN24" s="1852"/>
      <c r="MAQ24" s="1852"/>
      <c r="MAT24" s="1852"/>
      <c r="MAW24" s="1852"/>
      <c r="MAZ24" s="1852"/>
      <c r="MBC24" s="1852"/>
      <c r="MBF24" s="1852"/>
      <c r="MBI24" s="1852"/>
      <c r="MBL24" s="1852"/>
      <c r="MBO24" s="1852"/>
      <c r="MBR24" s="1852"/>
      <c r="MBU24" s="1852"/>
      <c r="MBX24" s="1852"/>
      <c r="MCA24" s="1852"/>
      <c r="MCD24" s="1852"/>
      <c r="MCG24" s="1852"/>
      <c r="MCJ24" s="1852"/>
      <c r="MCM24" s="1852"/>
      <c r="MCP24" s="1852"/>
      <c r="MCS24" s="1852"/>
      <c r="MCV24" s="1852"/>
      <c r="MCY24" s="1852"/>
      <c r="MDB24" s="1852"/>
      <c r="MDE24" s="1852"/>
      <c r="MDH24" s="1852"/>
      <c r="MDK24" s="1852"/>
      <c r="MDN24" s="1852"/>
      <c r="MDQ24" s="1852"/>
      <c r="MDT24" s="1852"/>
      <c r="MDW24" s="1852"/>
      <c r="MDZ24" s="1852"/>
      <c r="MEC24" s="1852"/>
      <c r="MEF24" s="1852"/>
      <c r="MEI24" s="1852"/>
      <c r="MEL24" s="1852"/>
      <c r="MEO24" s="1852"/>
      <c r="MER24" s="1852"/>
      <c r="MEU24" s="1852"/>
      <c r="MEX24" s="1852"/>
      <c r="MFA24" s="1852"/>
      <c r="MFD24" s="1852"/>
      <c r="MFG24" s="1852"/>
      <c r="MFJ24" s="1852"/>
      <c r="MFM24" s="1852"/>
      <c r="MFP24" s="1852"/>
      <c r="MFS24" s="1852"/>
      <c r="MFV24" s="1852"/>
      <c r="MFY24" s="1852"/>
      <c r="MGB24" s="1852"/>
      <c r="MGE24" s="1852"/>
      <c r="MGH24" s="1852"/>
      <c r="MGK24" s="1852"/>
      <c r="MGN24" s="1852"/>
      <c r="MGQ24" s="1852"/>
      <c r="MGT24" s="1852"/>
      <c r="MGW24" s="1852"/>
      <c r="MGZ24" s="1852"/>
      <c r="MHC24" s="1852"/>
      <c r="MHF24" s="1852"/>
      <c r="MHI24" s="1852"/>
      <c r="MHL24" s="1852"/>
      <c r="MHO24" s="1852"/>
      <c r="MHR24" s="1852"/>
      <c r="MHU24" s="1852"/>
      <c r="MHX24" s="1852"/>
      <c r="MIA24" s="1852"/>
      <c r="MID24" s="1852"/>
      <c r="MIG24" s="1852"/>
      <c r="MIJ24" s="1852"/>
      <c r="MIM24" s="1852"/>
      <c r="MIP24" s="1852"/>
      <c r="MIS24" s="1852"/>
      <c r="MIV24" s="1852"/>
      <c r="MIY24" s="1852"/>
      <c r="MJB24" s="1852"/>
      <c r="MJE24" s="1852"/>
      <c r="MJH24" s="1852"/>
      <c r="MJK24" s="1852"/>
      <c r="MJN24" s="1852"/>
      <c r="MJQ24" s="1852"/>
      <c r="MJT24" s="1852"/>
      <c r="MJW24" s="1852"/>
      <c r="MJZ24" s="1852"/>
      <c r="MKC24" s="1852"/>
      <c r="MKF24" s="1852"/>
      <c r="MKI24" s="1852"/>
      <c r="MKL24" s="1852"/>
      <c r="MKO24" s="1852"/>
      <c r="MKR24" s="1852"/>
      <c r="MKU24" s="1852"/>
      <c r="MKX24" s="1852"/>
      <c r="MLA24" s="1852"/>
      <c r="MLD24" s="1852"/>
      <c r="MLG24" s="1852"/>
      <c r="MLJ24" s="1852"/>
      <c r="MLM24" s="1852"/>
      <c r="MLP24" s="1852"/>
      <c r="MLS24" s="1852"/>
      <c r="MLV24" s="1852"/>
      <c r="MLY24" s="1852"/>
      <c r="MMB24" s="1852"/>
      <c r="MME24" s="1852"/>
      <c r="MMH24" s="1852"/>
      <c r="MMK24" s="1852"/>
      <c r="MMN24" s="1852"/>
      <c r="MMQ24" s="1852"/>
      <c r="MMT24" s="1852"/>
      <c r="MMW24" s="1852"/>
      <c r="MMZ24" s="1852"/>
      <c r="MNC24" s="1852"/>
      <c r="MNF24" s="1852"/>
      <c r="MNI24" s="1852"/>
      <c r="MNL24" s="1852"/>
      <c r="MNO24" s="1852"/>
      <c r="MNR24" s="1852"/>
      <c r="MNU24" s="1852"/>
      <c r="MNX24" s="1852"/>
      <c r="MOA24" s="1852"/>
      <c r="MOD24" s="1852"/>
      <c r="MOG24" s="1852"/>
      <c r="MOJ24" s="1852"/>
      <c r="MOM24" s="1852"/>
      <c r="MOP24" s="1852"/>
      <c r="MOS24" s="1852"/>
      <c r="MOV24" s="1852"/>
      <c r="MOY24" s="1852"/>
      <c r="MPB24" s="1852"/>
      <c r="MPE24" s="1852"/>
      <c r="MPH24" s="1852"/>
      <c r="MPK24" s="1852"/>
      <c r="MPN24" s="1852"/>
      <c r="MPQ24" s="1852"/>
      <c r="MPT24" s="1852"/>
      <c r="MPW24" s="1852"/>
      <c r="MPZ24" s="1852"/>
      <c r="MQC24" s="1852"/>
      <c r="MQF24" s="1852"/>
      <c r="MQI24" s="1852"/>
      <c r="MQL24" s="1852"/>
      <c r="MQO24" s="1852"/>
      <c r="MQR24" s="1852"/>
      <c r="MQU24" s="1852"/>
      <c r="MQX24" s="1852"/>
      <c r="MRA24" s="1852"/>
      <c r="MRD24" s="1852"/>
      <c r="MRG24" s="1852"/>
      <c r="MRJ24" s="1852"/>
      <c r="MRM24" s="1852"/>
      <c r="MRP24" s="1852"/>
      <c r="MRS24" s="1852"/>
      <c r="MRV24" s="1852"/>
      <c r="MRY24" s="1852"/>
      <c r="MSB24" s="1852"/>
      <c r="MSE24" s="1852"/>
      <c r="MSH24" s="1852"/>
      <c r="MSK24" s="1852"/>
      <c r="MSN24" s="1852"/>
      <c r="MSQ24" s="1852"/>
      <c r="MST24" s="1852"/>
      <c r="MSW24" s="1852"/>
      <c r="MSZ24" s="1852"/>
      <c r="MTC24" s="1852"/>
      <c r="MTF24" s="1852"/>
      <c r="MTI24" s="1852"/>
      <c r="MTL24" s="1852"/>
      <c r="MTO24" s="1852"/>
      <c r="MTR24" s="1852"/>
      <c r="MTU24" s="1852"/>
      <c r="MTX24" s="1852"/>
      <c r="MUA24" s="1852"/>
      <c r="MUD24" s="1852"/>
      <c r="MUG24" s="1852"/>
      <c r="MUJ24" s="1852"/>
      <c r="MUM24" s="1852"/>
      <c r="MUP24" s="1852"/>
      <c r="MUS24" s="1852"/>
      <c r="MUV24" s="1852"/>
      <c r="MUY24" s="1852"/>
      <c r="MVB24" s="1852"/>
      <c r="MVE24" s="1852"/>
      <c r="MVH24" s="1852"/>
      <c r="MVK24" s="1852"/>
      <c r="MVN24" s="1852"/>
      <c r="MVQ24" s="1852"/>
      <c r="MVT24" s="1852"/>
      <c r="MVW24" s="1852"/>
      <c r="MVZ24" s="1852"/>
      <c r="MWC24" s="1852"/>
      <c r="MWF24" s="1852"/>
      <c r="MWI24" s="1852"/>
      <c r="MWL24" s="1852"/>
      <c r="MWO24" s="1852"/>
      <c r="MWR24" s="1852"/>
      <c r="MWU24" s="1852"/>
      <c r="MWX24" s="1852"/>
      <c r="MXA24" s="1852"/>
      <c r="MXD24" s="1852"/>
      <c r="MXG24" s="1852"/>
      <c r="MXJ24" s="1852"/>
      <c r="MXM24" s="1852"/>
      <c r="MXP24" s="1852"/>
      <c r="MXS24" s="1852"/>
      <c r="MXV24" s="1852"/>
      <c r="MXY24" s="1852"/>
      <c r="MYB24" s="1852"/>
      <c r="MYE24" s="1852"/>
      <c r="MYH24" s="1852"/>
      <c r="MYK24" s="1852"/>
      <c r="MYN24" s="1852"/>
      <c r="MYQ24" s="1852"/>
      <c r="MYT24" s="1852"/>
      <c r="MYW24" s="1852"/>
      <c r="MYZ24" s="1852"/>
      <c r="MZC24" s="1852"/>
      <c r="MZF24" s="1852"/>
      <c r="MZI24" s="1852"/>
      <c r="MZL24" s="1852"/>
      <c r="MZO24" s="1852"/>
      <c r="MZR24" s="1852"/>
      <c r="MZU24" s="1852"/>
      <c r="MZX24" s="1852"/>
      <c r="NAA24" s="1852"/>
      <c r="NAD24" s="1852"/>
      <c r="NAG24" s="1852"/>
      <c r="NAJ24" s="1852"/>
      <c r="NAM24" s="1852"/>
      <c r="NAP24" s="1852"/>
      <c r="NAS24" s="1852"/>
      <c r="NAV24" s="1852"/>
      <c r="NAY24" s="1852"/>
      <c r="NBB24" s="1852"/>
      <c r="NBE24" s="1852"/>
      <c r="NBH24" s="1852"/>
      <c r="NBK24" s="1852"/>
      <c r="NBN24" s="1852"/>
      <c r="NBQ24" s="1852"/>
      <c r="NBT24" s="1852"/>
      <c r="NBW24" s="1852"/>
      <c r="NBZ24" s="1852"/>
      <c r="NCC24" s="1852"/>
      <c r="NCF24" s="1852"/>
      <c r="NCI24" s="1852"/>
      <c r="NCL24" s="1852"/>
      <c r="NCO24" s="1852"/>
      <c r="NCR24" s="1852"/>
      <c r="NCU24" s="1852"/>
      <c r="NCX24" s="1852"/>
      <c r="NDA24" s="1852"/>
      <c r="NDD24" s="1852"/>
      <c r="NDG24" s="1852"/>
      <c r="NDJ24" s="1852"/>
      <c r="NDM24" s="1852"/>
      <c r="NDP24" s="1852"/>
      <c r="NDS24" s="1852"/>
      <c r="NDV24" s="1852"/>
      <c r="NDY24" s="1852"/>
      <c r="NEB24" s="1852"/>
      <c r="NEE24" s="1852"/>
      <c r="NEH24" s="1852"/>
      <c r="NEK24" s="1852"/>
      <c r="NEN24" s="1852"/>
      <c r="NEQ24" s="1852"/>
      <c r="NET24" s="1852"/>
      <c r="NEW24" s="1852"/>
      <c r="NEZ24" s="1852"/>
      <c r="NFC24" s="1852"/>
      <c r="NFF24" s="1852"/>
      <c r="NFI24" s="1852"/>
      <c r="NFL24" s="1852"/>
      <c r="NFO24" s="1852"/>
      <c r="NFR24" s="1852"/>
      <c r="NFU24" s="1852"/>
      <c r="NFX24" s="1852"/>
      <c r="NGA24" s="1852"/>
      <c r="NGD24" s="1852"/>
      <c r="NGG24" s="1852"/>
      <c r="NGJ24" s="1852"/>
      <c r="NGM24" s="1852"/>
      <c r="NGP24" s="1852"/>
      <c r="NGS24" s="1852"/>
      <c r="NGV24" s="1852"/>
      <c r="NGY24" s="1852"/>
      <c r="NHB24" s="1852"/>
      <c r="NHE24" s="1852"/>
      <c r="NHH24" s="1852"/>
      <c r="NHK24" s="1852"/>
      <c r="NHN24" s="1852"/>
      <c r="NHQ24" s="1852"/>
      <c r="NHT24" s="1852"/>
      <c r="NHW24" s="1852"/>
      <c r="NHZ24" s="1852"/>
      <c r="NIC24" s="1852"/>
      <c r="NIF24" s="1852"/>
      <c r="NII24" s="1852"/>
      <c r="NIL24" s="1852"/>
      <c r="NIO24" s="1852"/>
      <c r="NIR24" s="1852"/>
      <c r="NIU24" s="1852"/>
      <c r="NIX24" s="1852"/>
      <c r="NJA24" s="1852"/>
      <c r="NJD24" s="1852"/>
      <c r="NJG24" s="1852"/>
      <c r="NJJ24" s="1852"/>
      <c r="NJM24" s="1852"/>
      <c r="NJP24" s="1852"/>
      <c r="NJS24" s="1852"/>
      <c r="NJV24" s="1852"/>
      <c r="NJY24" s="1852"/>
      <c r="NKB24" s="1852"/>
      <c r="NKE24" s="1852"/>
      <c r="NKH24" s="1852"/>
      <c r="NKK24" s="1852"/>
      <c r="NKN24" s="1852"/>
      <c r="NKQ24" s="1852"/>
      <c r="NKT24" s="1852"/>
      <c r="NKW24" s="1852"/>
      <c r="NKZ24" s="1852"/>
      <c r="NLC24" s="1852"/>
      <c r="NLF24" s="1852"/>
      <c r="NLI24" s="1852"/>
      <c r="NLL24" s="1852"/>
      <c r="NLO24" s="1852"/>
      <c r="NLR24" s="1852"/>
      <c r="NLU24" s="1852"/>
      <c r="NLX24" s="1852"/>
      <c r="NMA24" s="1852"/>
      <c r="NMD24" s="1852"/>
      <c r="NMG24" s="1852"/>
      <c r="NMJ24" s="1852"/>
      <c r="NMM24" s="1852"/>
      <c r="NMP24" s="1852"/>
      <c r="NMS24" s="1852"/>
      <c r="NMV24" s="1852"/>
      <c r="NMY24" s="1852"/>
      <c r="NNB24" s="1852"/>
      <c r="NNE24" s="1852"/>
      <c r="NNH24" s="1852"/>
      <c r="NNK24" s="1852"/>
      <c r="NNN24" s="1852"/>
      <c r="NNQ24" s="1852"/>
      <c r="NNT24" s="1852"/>
      <c r="NNW24" s="1852"/>
      <c r="NNZ24" s="1852"/>
      <c r="NOC24" s="1852"/>
      <c r="NOF24" s="1852"/>
      <c r="NOI24" s="1852"/>
      <c r="NOL24" s="1852"/>
      <c r="NOO24" s="1852"/>
      <c r="NOR24" s="1852"/>
      <c r="NOU24" s="1852"/>
      <c r="NOX24" s="1852"/>
      <c r="NPA24" s="1852"/>
      <c r="NPD24" s="1852"/>
      <c r="NPG24" s="1852"/>
      <c r="NPJ24" s="1852"/>
      <c r="NPM24" s="1852"/>
      <c r="NPP24" s="1852"/>
      <c r="NPS24" s="1852"/>
      <c r="NPV24" s="1852"/>
      <c r="NPY24" s="1852"/>
      <c r="NQB24" s="1852"/>
      <c r="NQE24" s="1852"/>
      <c r="NQH24" s="1852"/>
      <c r="NQK24" s="1852"/>
      <c r="NQN24" s="1852"/>
      <c r="NQQ24" s="1852"/>
      <c r="NQT24" s="1852"/>
      <c r="NQW24" s="1852"/>
      <c r="NQZ24" s="1852"/>
      <c r="NRC24" s="1852"/>
      <c r="NRF24" s="1852"/>
      <c r="NRI24" s="1852"/>
      <c r="NRL24" s="1852"/>
      <c r="NRO24" s="1852"/>
      <c r="NRR24" s="1852"/>
      <c r="NRU24" s="1852"/>
      <c r="NRX24" s="1852"/>
      <c r="NSA24" s="1852"/>
      <c r="NSD24" s="1852"/>
      <c r="NSG24" s="1852"/>
      <c r="NSJ24" s="1852"/>
      <c r="NSM24" s="1852"/>
      <c r="NSP24" s="1852"/>
      <c r="NSS24" s="1852"/>
      <c r="NSV24" s="1852"/>
      <c r="NSY24" s="1852"/>
      <c r="NTB24" s="1852"/>
      <c r="NTE24" s="1852"/>
      <c r="NTH24" s="1852"/>
      <c r="NTK24" s="1852"/>
      <c r="NTN24" s="1852"/>
      <c r="NTQ24" s="1852"/>
      <c r="NTT24" s="1852"/>
      <c r="NTW24" s="1852"/>
      <c r="NTZ24" s="1852"/>
      <c r="NUC24" s="1852"/>
      <c r="NUF24" s="1852"/>
      <c r="NUI24" s="1852"/>
      <c r="NUL24" s="1852"/>
      <c r="NUO24" s="1852"/>
      <c r="NUR24" s="1852"/>
      <c r="NUU24" s="1852"/>
      <c r="NUX24" s="1852"/>
      <c r="NVA24" s="1852"/>
      <c r="NVD24" s="1852"/>
      <c r="NVG24" s="1852"/>
      <c r="NVJ24" s="1852"/>
      <c r="NVM24" s="1852"/>
      <c r="NVP24" s="1852"/>
      <c r="NVS24" s="1852"/>
      <c r="NVV24" s="1852"/>
      <c r="NVY24" s="1852"/>
      <c r="NWB24" s="1852"/>
      <c r="NWE24" s="1852"/>
      <c r="NWH24" s="1852"/>
      <c r="NWK24" s="1852"/>
      <c r="NWN24" s="1852"/>
      <c r="NWQ24" s="1852"/>
      <c r="NWT24" s="1852"/>
      <c r="NWW24" s="1852"/>
      <c r="NWZ24" s="1852"/>
      <c r="NXC24" s="1852"/>
      <c r="NXF24" s="1852"/>
      <c r="NXI24" s="1852"/>
      <c r="NXL24" s="1852"/>
      <c r="NXO24" s="1852"/>
      <c r="NXR24" s="1852"/>
      <c r="NXU24" s="1852"/>
      <c r="NXX24" s="1852"/>
      <c r="NYA24" s="1852"/>
      <c r="NYD24" s="1852"/>
      <c r="NYG24" s="1852"/>
      <c r="NYJ24" s="1852"/>
      <c r="NYM24" s="1852"/>
      <c r="NYP24" s="1852"/>
      <c r="NYS24" s="1852"/>
      <c r="NYV24" s="1852"/>
      <c r="NYY24" s="1852"/>
      <c r="NZB24" s="1852"/>
      <c r="NZE24" s="1852"/>
      <c r="NZH24" s="1852"/>
      <c r="NZK24" s="1852"/>
      <c r="NZN24" s="1852"/>
      <c r="NZQ24" s="1852"/>
      <c r="NZT24" s="1852"/>
      <c r="NZW24" s="1852"/>
      <c r="NZZ24" s="1852"/>
      <c r="OAC24" s="1852"/>
      <c r="OAF24" s="1852"/>
      <c r="OAI24" s="1852"/>
      <c r="OAL24" s="1852"/>
      <c r="OAO24" s="1852"/>
      <c r="OAR24" s="1852"/>
      <c r="OAU24" s="1852"/>
      <c r="OAX24" s="1852"/>
      <c r="OBA24" s="1852"/>
      <c r="OBD24" s="1852"/>
      <c r="OBG24" s="1852"/>
      <c r="OBJ24" s="1852"/>
      <c r="OBM24" s="1852"/>
      <c r="OBP24" s="1852"/>
      <c r="OBS24" s="1852"/>
      <c r="OBV24" s="1852"/>
      <c r="OBY24" s="1852"/>
      <c r="OCB24" s="1852"/>
      <c r="OCE24" s="1852"/>
      <c r="OCH24" s="1852"/>
      <c r="OCK24" s="1852"/>
      <c r="OCN24" s="1852"/>
      <c r="OCQ24" s="1852"/>
      <c r="OCT24" s="1852"/>
      <c r="OCW24" s="1852"/>
      <c r="OCZ24" s="1852"/>
      <c r="ODC24" s="1852"/>
      <c r="ODF24" s="1852"/>
      <c r="ODI24" s="1852"/>
      <c r="ODL24" s="1852"/>
      <c r="ODO24" s="1852"/>
      <c r="ODR24" s="1852"/>
      <c r="ODU24" s="1852"/>
      <c r="ODX24" s="1852"/>
      <c r="OEA24" s="1852"/>
      <c r="OED24" s="1852"/>
      <c r="OEG24" s="1852"/>
      <c r="OEJ24" s="1852"/>
      <c r="OEM24" s="1852"/>
      <c r="OEP24" s="1852"/>
      <c r="OES24" s="1852"/>
      <c r="OEV24" s="1852"/>
      <c r="OEY24" s="1852"/>
      <c r="OFB24" s="1852"/>
      <c r="OFE24" s="1852"/>
      <c r="OFH24" s="1852"/>
      <c r="OFK24" s="1852"/>
      <c r="OFN24" s="1852"/>
      <c r="OFQ24" s="1852"/>
      <c r="OFT24" s="1852"/>
      <c r="OFW24" s="1852"/>
      <c r="OFZ24" s="1852"/>
      <c r="OGC24" s="1852"/>
      <c r="OGF24" s="1852"/>
      <c r="OGI24" s="1852"/>
      <c r="OGL24" s="1852"/>
      <c r="OGO24" s="1852"/>
      <c r="OGR24" s="1852"/>
      <c r="OGU24" s="1852"/>
      <c r="OGX24" s="1852"/>
      <c r="OHA24" s="1852"/>
      <c r="OHD24" s="1852"/>
      <c r="OHG24" s="1852"/>
      <c r="OHJ24" s="1852"/>
      <c r="OHM24" s="1852"/>
      <c r="OHP24" s="1852"/>
      <c r="OHS24" s="1852"/>
      <c r="OHV24" s="1852"/>
      <c r="OHY24" s="1852"/>
      <c r="OIB24" s="1852"/>
      <c r="OIE24" s="1852"/>
      <c r="OIH24" s="1852"/>
      <c r="OIK24" s="1852"/>
      <c r="OIN24" s="1852"/>
      <c r="OIQ24" s="1852"/>
      <c r="OIT24" s="1852"/>
      <c r="OIW24" s="1852"/>
      <c r="OIZ24" s="1852"/>
      <c r="OJC24" s="1852"/>
      <c r="OJF24" s="1852"/>
      <c r="OJI24" s="1852"/>
      <c r="OJL24" s="1852"/>
      <c r="OJO24" s="1852"/>
      <c r="OJR24" s="1852"/>
      <c r="OJU24" s="1852"/>
      <c r="OJX24" s="1852"/>
      <c r="OKA24" s="1852"/>
      <c r="OKD24" s="1852"/>
      <c r="OKG24" s="1852"/>
      <c r="OKJ24" s="1852"/>
      <c r="OKM24" s="1852"/>
      <c r="OKP24" s="1852"/>
      <c r="OKS24" s="1852"/>
      <c r="OKV24" s="1852"/>
      <c r="OKY24" s="1852"/>
      <c r="OLB24" s="1852"/>
      <c r="OLE24" s="1852"/>
      <c r="OLH24" s="1852"/>
      <c r="OLK24" s="1852"/>
      <c r="OLN24" s="1852"/>
      <c r="OLQ24" s="1852"/>
      <c r="OLT24" s="1852"/>
      <c r="OLW24" s="1852"/>
      <c r="OLZ24" s="1852"/>
      <c r="OMC24" s="1852"/>
      <c r="OMF24" s="1852"/>
      <c r="OMI24" s="1852"/>
      <c r="OML24" s="1852"/>
      <c r="OMO24" s="1852"/>
      <c r="OMR24" s="1852"/>
      <c r="OMU24" s="1852"/>
      <c r="OMX24" s="1852"/>
      <c r="ONA24" s="1852"/>
      <c r="OND24" s="1852"/>
      <c r="ONG24" s="1852"/>
      <c r="ONJ24" s="1852"/>
      <c r="ONM24" s="1852"/>
      <c r="ONP24" s="1852"/>
      <c r="ONS24" s="1852"/>
      <c r="ONV24" s="1852"/>
      <c r="ONY24" s="1852"/>
      <c r="OOB24" s="1852"/>
      <c r="OOE24" s="1852"/>
      <c r="OOH24" s="1852"/>
      <c r="OOK24" s="1852"/>
      <c r="OON24" s="1852"/>
      <c r="OOQ24" s="1852"/>
      <c r="OOT24" s="1852"/>
      <c r="OOW24" s="1852"/>
      <c r="OOZ24" s="1852"/>
      <c r="OPC24" s="1852"/>
      <c r="OPF24" s="1852"/>
      <c r="OPI24" s="1852"/>
      <c r="OPL24" s="1852"/>
      <c r="OPO24" s="1852"/>
      <c r="OPR24" s="1852"/>
      <c r="OPU24" s="1852"/>
      <c r="OPX24" s="1852"/>
      <c r="OQA24" s="1852"/>
      <c r="OQD24" s="1852"/>
      <c r="OQG24" s="1852"/>
      <c r="OQJ24" s="1852"/>
      <c r="OQM24" s="1852"/>
      <c r="OQP24" s="1852"/>
      <c r="OQS24" s="1852"/>
      <c r="OQV24" s="1852"/>
      <c r="OQY24" s="1852"/>
      <c r="ORB24" s="1852"/>
      <c r="ORE24" s="1852"/>
      <c r="ORH24" s="1852"/>
      <c r="ORK24" s="1852"/>
      <c r="ORN24" s="1852"/>
      <c r="ORQ24" s="1852"/>
      <c r="ORT24" s="1852"/>
      <c r="ORW24" s="1852"/>
      <c r="ORZ24" s="1852"/>
      <c r="OSC24" s="1852"/>
      <c r="OSF24" s="1852"/>
      <c r="OSI24" s="1852"/>
      <c r="OSL24" s="1852"/>
      <c r="OSO24" s="1852"/>
      <c r="OSR24" s="1852"/>
      <c r="OSU24" s="1852"/>
      <c r="OSX24" s="1852"/>
      <c r="OTA24" s="1852"/>
      <c r="OTD24" s="1852"/>
      <c r="OTG24" s="1852"/>
      <c r="OTJ24" s="1852"/>
      <c r="OTM24" s="1852"/>
      <c r="OTP24" s="1852"/>
      <c r="OTS24" s="1852"/>
      <c r="OTV24" s="1852"/>
      <c r="OTY24" s="1852"/>
      <c r="OUB24" s="1852"/>
      <c r="OUE24" s="1852"/>
      <c r="OUH24" s="1852"/>
      <c r="OUK24" s="1852"/>
      <c r="OUN24" s="1852"/>
      <c r="OUQ24" s="1852"/>
      <c r="OUT24" s="1852"/>
      <c r="OUW24" s="1852"/>
      <c r="OUZ24" s="1852"/>
      <c r="OVC24" s="1852"/>
      <c r="OVF24" s="1852"/>
      <c r="OVI24" s="1852"/>
      <c r="OVL24" s="1852"/>
      <c r="OVO24" s="1852"/>
      <c r="OVR24" s="1852"/>
      <c r="OVU24" s="1852"/>
      <c r="OVX24" s="1852"/>
      <c r="OWA24" s="1852"/>
      <c r="OWD24" s="1852"/>
      <c r="OWG24" s="1852"/>
      <c r="OWJ24" s="1852"/>
      <c r="OWM24" s="1852"/>
      <c r="OWP24" s="1852"/>
      <c r="OWS24" s="1852"/>
      <c r="OWV24" s="1852"/>
      <c r="OWY24" s="1852"/>
      <c r="OXB24" s="1852"/>
      <c r="OXE24" s="1852"/>
      <c r="OXH24" s="1852"/>
      <c r="OXK24" s="1852"/>
      <c r="OXN24" s="1852"/>
      <c r="OXQ24" s="1852"/>
      <c r="OXT24" s="1852"/>
      <c r="OXW24" s="1852"/>
      <c r="OXZ24" s="1852"/>
      <c r="OYC24" s="1852"/>
      <c r="OYF24" s="1852"/>
      <c r="OYI24" s="1852"/>
      <c r="OYL24" s="1852"/>
      <c r="OYO24" s="1852"/>
      <c r="OYR24" s="1852"/>
      <c r="OYU24" s="1852"/>
      <c r="OYX24" s="1852"/>
      <c r="OZA24" s="1852"/>
      <c r="OZD24" s="1852"/>
      <c r="OZG24" s="1852"/>
      <c r="OZJ24" s="1852"/>
      <c r="OZM24" s="1852"/>
      <c r="OZP24" s="1852"/>
      <c r="OZS24" s="1852"/>
      <c r="OZV24" s="1852"/>
      <c r="OZY24" s="1852"/>
      <c r="PAB24" s="1852"/>
      <c r="PAE24" s="1852"/>
      <c r="PAH24" s="1852"/>
      <c r="PAK24" s="1852"/>
      <c r="PAN24" s="1852"/>
      <c r="PAQ24" s="1852"/>
      <c r="PAT24" s="1852"/>
      <c r="PAW24" s="1852"/>
      <c r="PAZ24" s="1852"/>
      <c r="PBC24" s="1852"/>
      <c r="PBF24" s="1852"/>
      <c r="PBI24" s="1852"/>
      <c r="PBL24" s="1852"/>
      <c r="PBO24" s="1852"/>
      <c r="PBR24" s="1852"/>
      <c r="PBU24" s="1852"/>
      <c r="PBX24" s="1852"/>
      <c r="PCA24" s="1852"/>
      <c r="PCD24" s="1852"/>
      <c r="PCG24" s="1852"/>
      <c r="PCJ24" s="1852"/>
      <c r="PCM24" s="1852"/>
      <c r="PCP24" s="1852"/>
      <c r="PCS24" s="1852"/>
      <c r="PCV24" s="1852"/>
      <c r="PCY24" s="1852"/>
      <c r="PDB24" s="1852"/>
      <c r="PDE24" s="1852"/>
      <c r="PDH24" s="1852"/>
      <c r="PDK24" s="1852"/>
      <c r="PDN24" s="1852"/>
      <c r="PDQ24" s="1852"/>
      <c r="PDT24" s="1852"/>
      <c r="PDW24" s="1852"/>
      <c r="PDZ24" s="1852"/>
      <c r="PEC24" s="1852"/>
      <c r="PEF24" s="1852"/>
      <c r="PEI24" s="1852"/>
      <c r="PEL24" s="1852"/>
      <c r="PEO24" s="1852"/>
      <c r="PER24" s="1852"/>
      <c r="PEU24" s="1852"/>
      <c r="PEX24" s="1852"/>
      <c r="PFA24" s="1852"/>
      <c r="PFD24" s="1852"/>
      <c r="PFG24" s="1852"/>
      <c r="PFJ24" s="1852"/>
      <c r="PFM24" s="1852"/>
      <c r="PFP24" s="1852"/>
      <c r="PFS24" s="1852"/>
      <c r="PFV24" s="1852"/>
      <c r="PFY24" s="1852"/>
      <c r="PGB24" s="1852"/>
      <c r="PGE24" s="1852"/>
      <c r="PGH24" s="1852"/>
      <c r="PGK24" s="1852"/>
      <c r="PGN24" s="1852"/>
      <c r="PGQ24" s="1852"/>
      <c r="PGT24" s="1852"/>
      <c r="PGW24" s="1852"/>
      <c r="PGZ24" s="1852"/>
      <c r="PHC24" s="1852"/>
      <c r="PHF24" s="1852"/>
      <c r="PHI24" s="1852"/>
      <c r="PHL24" s="1852"/>
      <c r="PHO24" s="1852"/>
      <c r="PHR24" s="1852"/>
      <c r="PHU24" s="1852"/>
      <c r="PHX24" s="1852"/>
      <c r="PIA24" s="1852"/>
      <c r="PID24" s="1852"/>
      <c r="PIG24" s="1852"/>
      <c r="PIJ24" s="1852"/>
      <c r="PIM24" s="1852"/>
      <c r="PIP24" s="1852"/>
      <c r="PIS24" s="1852"/>
      <c r="PIV24" s="1852"/>
      <c r="PIY24" s="1852"/>
      <c r="PJB24" s="1852"/>
      <c r="PJE24" s="1852"/>
      <c r="PJH24" s="1852"/>
      <c r="PJK24" s="1852"/>
      <c r="PJN24" s="1852"/>
      <c r="PJQ24" s="1852"/>
      <c r="PJT24" s="1852"/>
      <c r="PJW24" s="1852"/>
      <c r="PJZ24" s="1852"/>
      <c r="PKC24" s="1852"/>
      <c r="PKF24" s="1852"/>
      <c r="PKI24" s="1852"/>
      <c r="PKL24" s="1852"/>
      <c r="PKO24" s="1852"/>
      <c r="PKR24" s="1852"/>
      <c r="PKU24" s="1852"/>
      <c r="PKX24" s="1852"/>
      <c r="PLA24" s="1852"/>
      <c r="PLD24" s="1852"/>
      <c r="PLG24" s="1852"/>
      <c r="PLJ24" s="1852"/>
      <c r="PLM24" s="1852"/>
      <c r="PLP24" s="1852"/>
      <c r="PLS24" s="1852"/>
      <c r="PLV24" s="1852"/>
      <c r="PLY24" s="1852"/>
      <c r="PMB24" s="1852"/>
      <c r="PME24" s="1852"/>
      <c r="PMH24" s="1852"/>
      <c r="PMK24" s="1852"/>
      <c r="PMN24" s="1852"/>
      <c r="PMQ24" s="1852"/>
      <c r="PMT24" s="1852"/>
      <c r="PMW24" s="1852"/>
      <c r="PMZ24" s="1852"/>
      <c r="PNC24" s="1852"/>
      <c r="PNF24" s="1852"/>
      <c r="PNI24" s="1852"/>
      <c r="PNL24" s="1852"/>
      <c r="PNO24" s="1852"/>
      <c r="PNR24" s="1852"/>
      <c r="PNU24" s="1852"/>
      <c r="PNX24" s="1852"/>
      <c r="POA24" s="1852"/>
      <c r="POD24" s="1852"/>
      <c r="POG24" s="1852"/>
      <c r="POJ24" s="1852"/>
      <c r="POM24" s="1852"/>
      <c r="POP24" s="1852"/>
      <c r="POS24" s="1852"/>
      <c r="POV24" s="1852"/>
      <c r="POY24" s="1852"/>
      <c r="PPB24" s="1852"/>
      <c r="PPE24" s="1852"/>
      <c r="PPH24" s="1852"/>
      <c r="PPK24" s="1852"/>
      <c r="PPN24" s="1852"/>
      <c r="PPQ24" s="1852"/>
      <c r="PPT24" s="1852"/>
      <c r="PPW24" s="1852"/>
      <c r="PPZ24" s="1852"/>
      <c r="PQC24" s="1852"/>
      <c r="PQF24" s="1852"/>
      <c r="PQI24" s="1852"/>
      <c r="PQL24" s="1852"/>
      <c r="PQO24" s="1852"/>
      <c r="PQR24" s="1852"/>
      <c r="PQU24" s="1852"/>
      <c r="PQX24" s="1852"/>
      <c r="PRA24" s="1852"/>
      <c r="PRD24" s="1852"/>
      <c r="PRG24" s="1852"/>
      <c r="PRJ24" s="1852"/>
      <c r="PRM24" s="1852"/>
      <c r="PRP24" s="1852"/>
      <c r="PRS24" s="1852"/>
      <c r="PRV24" s="1852"/>
      <c r="PRY24" s="1852"/>
      <c r="PSB24" s="1852"/>
      <c r="PSE24" s="1852"/>
      <c r="PSH24" s="1852"/>
      <c r="PSK24" s="1852"/>
      <c r="PSN24" s="1852"/>
      <c r="PSQ24" s="1852"/>
      <c r="PST24" s="1852"/>
      <c r="PSW24" s="1852"/>
      <c r="PSZ24" s="1852"/>
      <c r="PTC24" s="1852"/>
      <c r="PTF24" s="1852"/>
      <c r="PTI24" s="1852"/>
      <c r="PTL24" s="1852"/>
      <c r="PTO24" s="1852"/>
      <c r="PTR24" s="1852"/>
      <c r="PTU24" s="1852"/>
      <c r="PTX24" s="1852"/>
      <c r="PUA24" s="1852"/>
      <c r="PUD24" s="1852"/>
      <c r="PUG24" s="1852"/>
      <c r="PUJ24" s="1852"/>
      <c r="PUM24" s="1852"/>
      <c r="PUP24" s="1852"/>
      <c r="PUS24" s="1852"/>
      <c r="PUV24" s="1852"/>
      <c r="PUY24" s="1852"/>
      <c r="PVB24" s="1852"/>
      <c r="PVE24" s="1852"/>
      <c r="PVH24" s="1852"/>
      <c r="PVK24" s="1852"/>
      <c r="PVN24" s="1852"/>
      <c r="PVQ24" s="1852"/>
      <c r="PVT24" s="1852"/>
      <c r="PVW24" s="1852"/>
      <c r="PVZ24" s="1852"/>
      <c r="PWC24" s="1852"/>
      <c r="PWF24" s="1852"/>
      <c r="PWI24" s="1852"/>
      <c r="PWL24" s="1852"/>
      <c r="PWO24" s="1852"/>
      <c r="PWR24" s="1852"/>
      <c r="PWU24" s="1852"/>
      <c r="PWX24" s="1852"/>
      <c r="PXA24" s="1852"/>
      <c r="PXD24" s="1852"/>
      <c r="PXG24" s="1852"/>
      <c r="PXJ24" s="1852"/>
      <c r="PXM24" s="1852"/>
      <c r="PXP24" s="1852"/>
      <c r="PXS24" s="1852"/>
      <c r="PXV24" s="1852"/>
      <c r="PXY24" s="1852"/>
      <c r="PYB24" s="1852"/>
      <c r="PYE24" s="1852"/>
      <c r="PYH24" s="1852"/>
      <c r="PYK24" s="1852"/>
      <c r="PYN24" s="1852"/>
      <c r="PYQ24" s="1852"/>
      <c r="PYT24" s="1852"/>
      <c r="PYW24" s="1852"/>
      <c r="PYZ24" s="1852"/>
      <c r="PZC24" s="1852"/>
      <c r="PZF24" s="1852"/>
      <c r="PZI24" s="1852"/>
      <c r="PZL24" s="1852"/>
      <c r="PZO24" s="1852"/>
      <c r="PZR24" s="1852"/>
      <c r="PZU24" s="1852"/>
      <c r="PZX24" s="1852"/>
      <c r="QAA24" s="1852"/>
      <c r="QAD24" s="1852"/>
      <c r="QAG24" s="1852"/>
      <c r="QAJ24" s="1852"/>
      <c r="QAM24" s="1852"/>
      <c r="QAP24" s="1852"/>
      <c r="QAS24" s="1852"/>
      <c r="QAV24" s="1852"/>
      <c r="QAY24" s="1852"/>
      <c r="QBB24" s="1852"/>
      <c r="QBE24" s="1852"/>
      <c r="QBH24" s="1852"/>
      <c r="QBK24" s="1852"/>
      <c r="QBN24" s="1852"/>
      <c r="QBQ24" s="1852"/>
      <c r="QBT24" s="1852"/>
      <c r="QBW24" s="1852"/>
      <c r="QBZ24" s="1852"/>
      <c r="QCC24" s="1852"/>
      <c r="QCF24" s="1852"/>
      <c r="QCI24" s="1852"/>
      <c r="QCL24" s="1852"/>
      <c r="QCO24" s="1852"/>
      <c r="QCR24" s="1852"/>
      <c r="QCU24" s="1852"/>
      <c r="QCX24" s="1852"/>
      <c r="QDA24" s="1852"/>
      <c r="QDD24" s="1852"/>
      <c r="QDG24" s="1852"/>
      <c r="QDJ24" s="1852"/>
      <c r="QDM24" s="1852"/>
      <c r="QDP24" s="1852"/>
      <c r="QDS24" s="1852"/>
      <c r="QDV24" s="1852"/>
      <c r="QDY24" s="1852"/>
      <c r="QEB24" s="1852"/>
      <c r="QEE24" s="1852"/>
      <c r="QEH24" s="1852"/>
      <c r="QEK24" s="1852"/>
      <c r="QEN24" s="1852"/>
      <c r="QEQ24" s="1852"/>
      <c r="QET24" s="1852"/>
      <c r="QEW24" s="1852"/>
      <c r="QEZ24" s="1852"/>
      <c r="QFC24" s="1852"/>
      <c r="QFF24" s="1852"/>
      <c r="QFI24" s="1852"/>
      <c r="QFL24" s="1852"/>
      <c r="QFO24" s="1852"/>
      <c r="QFR24" s="1852"/>
      <c r="QFU24" s="1852"/>
      <c r="QFX24" s="1852"/>
      <c r="QGA24" s="1852"/>
      <c r="QGD24" s="1852"/>
      <c r="QGG24" s="1852"/>
      <c r="QGJ24" s="1852"/>
      <c r="QGM24" s="1852"/>
      <c r="QGP24" s="1852"/>
      <c r="QGS24" s="1852"/>
      <c r="QGV24" s="1852"/>
      <c r="QGY24" s="1852"/>
      <c r="QHB24" s="1852"/>
      <c r="QHE24" s="1852"/>
      <c r="QHH24" s="1852"/>
      <c r="QHK24" s="1852"/>
      <c r="QHN24" s="1852"/>
      <c r="QHQ24" s="1852"/>
      <c r="QHT24" s="1852"/>
      <c r="QHW24" s="1852"/>
      <c r="QHZ24" s="1852"/>
      <c r="QIC24" s="1852"/>
      <c r="QIF24" s="1852"/>
      <c r="QII24" s="1852"/>
      <c r="QIL24" s="1852"/>
      <c r="QIO24" s="1852"/>
      <c r="QIR24" s="1852"/>
      <c r="QIU24" s="1852"/>
      <c r="QIX24" s="1852"/>
      <c r="QJA24" s="1852"/>
      <c r="QJD24" s="1852"/>
      <c r="QJG24" s="1852"/>
      <c r="QJJ24" s="1852"/>
      <c r="QJM24" s="1852"/>
      <c r="QJP24" s="1852"/>
      <c r="QJS24" s="1852"/>
      <c r="QJV24" s="1852"/>
      <c r="QJY24" s="1852"/>
      <c r="QKB24" s="1852"/>
      <c r="QKE24" s="1852"/>
      <c r="QKH24" s="1852"/>
      <c r="QKK24" s="1852"/>
      <c r="QKN24" s="1852"/>
      <c r="QKQ24" s="1852"/>
      <c r="QKT24" s="1852"/>
      <c r="QKW24" s="1852"/>
      <c r="QKZ24" s="1852"/>
      <c r="QLC24" s="1852"/>
      <c r="QLF24" s="1852"/>
      <c r="QLI24" s="1852"/>
      <c r="QLL24" s="1852"/>
      <c r="QLO24" s="1852"/>
      <c r="QLR24" s="1852"/>
      <c r="QLU24" s="1852"/>
      <c r="QLX24" s="1852"/>
      <c r="QMA24" s="1852"/>
      <c r="QMD24" s="1852"/>
      <c r="QMG24" s="1852"/>
      <c r="QMJ24" s="1852"/>
      <c r="QMM24" s="1852"/>
      <c r="QMP24" s="1852"/>
      <c r="QMS24" s="1852"/>
      <c r="QMV24" s="1852"/>
      <c r="QMY24" s="1852"/>
      <c r="QNB24" s="1852"/>
      <c r="QNE24" s="1852"/>
      <c r="QNH24" s="1852"/>
      <c r="QNK24" s="1852"/>
      <c r="QNN24" s="1852"/>
      <c r="QNQ24" s="1852"/>
      <c r="QNT24" s="1852"/>
      <c r="QNW24" s="1852"/>
      <c r="QNZ24" s="1852"/>
      <c r="QOC24" s="1852"/>
      <c r="QOF24" s="1852"/>
      <c r="QOI24" s="1852"/>
      <c r="QOL24" s="1852"/>
      <c r="QOO24" s="1852"/>
      <c r="QOR24" s="1852"/>
      <c r="QOU24" s="1852"/>
      <c r="QOX24" s="1852"/>
      <c r="QPA24" s="1852"/>
      <c r="QPD24" s="1852"/>
      <c r="QPG24" s="1852"/>
      <c r="QPJ24" s="1852"/>
      <c r="QPM24" s="1852"/>
      <c r="QPP24" s="1852"/>
      <c r="QPS24" s="1852"/>
      <c r="QPV24" s="1852"/>
      <c r="QPY24" s="1852"/>
      <c r="QQB24" s="1852"/>
      <c r="QQE24" s="1852"/>
      <c r="QQH24" s="1852"/>
      <c r="QQK24" s="1852"/>
      <c r="QQN24" s="1852"/>
      <c r="QQQ24" s="1852"/>
      <c r="QQT24" s="1852"/>
      <c r="QQW24" s="1852"/>
      <c r="QQZ24" s="1852"/>
      <c r="QRC24" s="1852"/>
      <c r="QRF24" s="1852"/>
      <c r="QRI24" s="1852"/>
      <c r="QRL24" s="1852"/>
      <c r="QRO24" s="1852"/>
      <c r="QRR24" s="1852"/>
      <c r="QRU24" s="1852"/>
      <c r="QRX24" s="1852"/>
      <c r="QSA24" s="1852"/>
      <c r="QSD24" s="1852"/>
      <c r="QSG24" s="1852"/>
      <c r="QSJ24" s="1852"/>
      <c r="QSM24" s="1852"/>
      <c r="QSP24" s="1852"/>
      <c r="QSS24" s="1852"/>
      <c r="QSV24" s="1852"/>
      <c r="QSY24" s="1852"/>
      <c r="QTB24" s="1852"/>
      <c r="QTE24" s="1852"/>
      <c r="QTH24" s="1852"/>
      <c r="QTK24" s="1852"/>
      <c r="QTN24" s="1852"/>
      <c r="QTQ24" s="1852"/>
      <c r="QTT24" s="1852"/>
      <c r="QTW24" s="1852"/>
      <c r="QTZ24" s="1852"/>
      <c r="QUC24" s="1852"/>
      <c r="QUF24" s="1852"/>
      <c r="QUI24" s="1852"/>
      <c r="QUL24" s="1852"/>
      <c r="QUO24" s="1852"/>
      <c r="QUR24" s="1852"/>
      <c r="QUU24" s="1852"/>
      <c r="QUX24" s="1852"/>
      <c r="QVA24" s="1852"/>
      <c r="QVD24" s="1852"/>
      <c r="QVG24" s="1852"/>
      <c r="QVJ24" s="1852"/>
      <c r="QVM24" s="1852"/>
      <c r="QVP24" s="1852"/>
      <c r="QVS24" s="1852"/>
      <c r="QVV24" s="1852"/>
      <c r="QVY24" s="1852"/>
      <c r="QWB24" s="1852"/>
      <c r="QWE24" s="1852"/>
      <c r="QWH24" s="1852"/>
      <c r="QWK24" s="1852"/>
      <c r="QWN24" s="1852"/>
      <c r="QWQ24" s="1852"/>
      <c r="QWT24" s="1852"/>
      <c r="QWW24" s="1852"/>
      <c r="QWZ24" s="1852"/>
      <c r="QXC24" s="1852"/>
      <c r="QXF24" s="1852"/>
      <c r="QXI24" s="1852"/>
      <c r="QXL24" s="1852"/>
      <c r="QXO24" s="1852"/>
      <c r="QXR24" s="1852"/>
      <c r="QXU24" s="1852"/>
      <c r="QXX24" s="1852"/>
      <c r="QYA24" s="1852"/>
      <c r="QYD24" s="1852"/>
      <c r="QYG24" s="1852"/>
      <c r="QYJ24" s="1852"/>
      <c r="QYM24" s="1852"/>
      <c r="QYP24" s="1852"/>
      <c r="QYS24" s="1852"/>
      <c r="QYV24" s="1852"/>
      <c r="QYY24" s="1852"/>
      <c r="QZB24" s="1852"/>
      <c r="QZE24" s="1852"/>
      <c r="QZH24" s="1852"/>
      <c r="QZK24" s="1852"/>
      <c r="QZN24" s="1852"/>
      <c r="QZQ24" s="1852"/>
      <c r="QZT24" s="1852"/>
      <c r="QZW24" s="1852"/>
      <c r="QZZ24" s="1852"/>
      <c r="RAC24" s="1852"/>
      <c r="RAF24" s="1852"/>
      <c r="RAI24" s="1852"/>
      <c r="RAL24" s="1852"/>
      <c r="RAO24" s="1852"/>
      <c r="RAR24" s="1852"/>
      <c r="RAU24" s="1852"/>
      <c r="RAX24" s="1852"/>
      <c r="RBA24" s="1852"/>
      <c r="RBD24" s="1852"/>
      <c r="RBG24" s="1852"/>
      <c r="RBJ24" s="1852"/>
      <c r="RBM24" s="1852"/>
      <c r="RBP24" s="1852"/>
      <c r="RBS24" s="1852"/>
      <c r="RBV24" s="1852"/>
      <c r="RBY24" s="1852"/>
      <c r="RCB24" s="1852"/>
      <c r="RCE24" s="1852"/>
      <c r="RCH24" s="1852"/>
      <c r="RCK24" s="1852"/>
      <c r="RCN24" s="1852"/>
      <c r="RCQ24" s="1852"/>
      <c r="RCT24" s="1852"/>
      <c r="RCW24" s="1852"/>
      <c r="RCZ24" s="1852"/>
      <c r="RDC24" s="1852"/>
      <c r="RDF24" s="1852"/>
      <c r="RDI24" s="1852"/>
      <c r="RDL24" s="1852"/>
      <c r="RDO24" s="1852"/>
      <c r="RDR24" s="1852"/>
      <c r="RDU24" s="1852"/>
      <c r="RDX24" s="1852"/>
      <c r="REA24" s="1852"/>
      <c r="RED24" s="1852"/>
      <c r="REG24" s="1852"/>
      <c r="REJ24" s="1852"/>
      <c r="REM24" s="1852"/>
      <c r="REP24" s="1852"/>
      <c r="RES24" s="1852"/>
      <c r="REV24" s="1852"/>
      <c r="REY24" s="1852"/>
      <c r="RFB24" s="1852"/>
      <c r="RFE24" s="1852"/>
      <c r="RFH24" s="1852"/>
      <c r="RFK24" s="1852"/>
      <c r="RFN24" s="1852"/>
      <c r="RFQ24" s="1852"/>
      <c r="RFT24" s="1852"/>
      <c r="RFW24" s="1852"/>
      <c r="RFZ24" s="1852"/>
      <c r="RGC24" s="1852"/>
      <c r="RGF24" s="1852"/>
      <c r="RGI24" s="1852"/>
      <c r="RGL24" s="1852"/>
      <c r="RGO24" s="1852"/>
      <c r="RGR24" s="1852"/>
      <c r="RGU24" s="1852"/>
      <c r="RGX24" s="1852"/>
      <c r="RHA24" s="1852"/>
      <c r="RHD24" s="1852"/>
      <c r="RHG24" s="1852"/>
      <c r="RHJ24" s="1852"/>
      <c r="RHM24" s="1852"/>
      <c r="RHP24" s="1852"/>
      <c r="RHS24" s="1852"/>
      <c r="RHV24" s="1852"/>
      <c r="RHY24" s="1852"/>
      <c r="RIB24" s="1852"/>
      <c r="RIE24" s="1852"/>
      <c r="RIH24" s="1852"/>
      <c r="RIK24" s="1852"/>
      <c r="RIN24" s="1852"/>
      <c r="RIQ24" s="1852"/>
      <c r="RIT24" s="1852"/>
      <c r="RIW24" s="1852"/>
      <c r="RIZ24" s="1852"/>
      <c r="RJC24" s="1852"/>
      <c r="RJF24" s="1852"/>
      <c r="RJI24" s="1852"/>
      <c r="RJL24" s="1852"/>
      <c r="RJO24" s="1852"/>
      <c r="RJR24" s="1852"/>
      <c r="RJU24" s="1852"/>
      <c r="RJX24" s="1852"/>
      <c r="RKA24" s="1852"/>
      <c r="RKD24" s="1852"/>
      <c r="RKG24" s="1852"/>
      <c r="RKJ24" s="1852"/>
      <c r="RKM24" s="1852"/>
      <c r="RKP24" s="1852"/>
      <c r="RKS24" s="1852"/>
      <c r="RKV24" s="1852"/>
      <c r="RKY24" s="1852"/>
      <c r="RLB24" s="1852"/>
      <c r="RLE24" s="1852"/>
      <c r="RLH24" s="1852"/>
      <c r="RLK24" s="1852"/>
      <c r="RLN24" s="1852"/>
      <c r="RLQ24" s="1852"/>
      <c r="RLT24" s="1852"/>
      <c r="RLW24" s="1852"/>
      <c r="RLZ24" s="1852"/>
      <c r="RMC24" s="1852"/>
      <c r="RMF24" s="1852"/>
      <c r="RMI24" s="1852"/>
      <c r="RML24" s="1852"/>
      <c r="RMO24" s="1852"/>
      <c r="RMR24" s="1852"/>
      <c r="RMU24" s="1852"/>
      <c r="RMX24" s="1852"/>
      <c r="RNA24" s="1852"/>
      <c r="RND24" s="1852"/>
      <c r="RNG24" s="1852"/>
      <c r="RNJ24" s="1852"/>
      <c r="RNM24" s="1852"/>
      <c r="RNP24" s="1852"/>
      <c r="RNS24" s="1852"/>
      <c r="RNV24" s="1852"/>
      <c r="RNY24" s="1852"/>
      <c r="ROB24" s="1852"/>
      <c r="ROE24" s="1852"/>
      <c r="ROH24" s="1852"/>
      <c r="ROK24" s="1852"/>
      <c r="RON24" s="1852"/>
      <c r="ROQ24" s="1852"/>
      <c r="ROT24" s="1852"/>
      <c r="ROW24" s="1852"/>
      <c r="ROZ24" s="1852"/>
      <c r="RPC24" s="1852"/>
      <c r="RPF24" s="1852"/>
      <c r="RPI24" s="1852"/>
      <c r="RPL24" s="1852"/>
      <c r="RPO24" s="1852"/>
      <c r="RPR24" s="1852"/>
      <c r="RPU24" s="1852"/>
      <c r="RPX24" s="1852"/>
      <c r="RQA24" s="1852"/>
      <c r="RQD24" s="1852"/>
      <c r="RQG24" s="1852"/>
      <c r="RQJ24" s="1852"/>
      <c r="RQM24" s="1852"/>
      <c r="RQP24" s="1852"/>
      <c r="RQS24" s="1852"/>
      <c r="RQV24" s="1852"/>
      <c r="RQY24" s="1852"/>
      <c r="RRB24" s="1852"/>
      <c r="RRE24" s="1852"/>
      <c r="RRH24" s="1852"/>
      <c r="RRK24" s="1852"/>
      <c r="RRN24" s="1852"/>
      <c r="RRQ24" s="1852"/>
      <c r="RRT24" s="1852"/>
      <c r="RRW24" s="1852"/>
      <c r="RRZ24" s="1852"/>
      <c r="RSC24" s="1852"/>
      <c r="RSF24" s="1852"/>
      <c r="RSI24" s="1852"/>
      <c r="RSL24" s="1852"/>
      <c r="RSO24" s="1852"/>
      <c r="RSR24" s="1852"/>
      <c r="RSU24" s="1852"/>
      <c r="RSX24" s="1852"/>
      <c r="RTA24" s="1852"/>
      <c r="RTD24" s="1852"/>
      <c r="RTG24" s="1852"/>
      <c r="RTJ24" s="1852"/>
      <c r="RTM24" s="1852"/>
      <c r="RTP24" s="1852"/>
      <c r="RTS24" s="1852"/>
      <c r="RTV24" s="1852"/>
      <c r="RTY24" s="1852"/>
      <c r="RUB24" s="1852"/>
      <c r="RUE24" s="1852"/>
      <c r="RUH24" s="1852"/>
      <c r="RUK24" s="1852"/>
      <c r="RUN24" s="1852"/>
      <c r="RUQ24" s="1852"/>
      <c r="RUT24" s="1852"/>
      <c r="RUW24" s="1852"/>
      <c r="RUZ24" s="1852"/>
      <c r="RVC24" s="1852"/>
      <c r="RVF24" s="1852"/>
      <c r="RVI24" s="1852"/>
      <c r="RVL24" s="1852"/>
      <c r="RVO24" s="1852"/>
      <c r="RVR24" s="1852"/>
      <c r="RVU24" s="1852"/>
      <c r="RVX24" s="1852"/>
      <c r="RWA24" s="1852"/>
      <c r="RWD24" s="1852"/>
      <c r="RWG24" s="1852"/>
      <c r="RWJ24" s="1852"/>
      <c r="RWM24" s="1852"/>
      <c r="RWP24" s="1852"/>
      <c r="RWS24" s="1852"/>
      <c r="RWV24" s="1852"/>
      <c r="RWY24" s="1852"/>
      <c r="RXB24" s="1852"/>
      <c r="RXE24" s="1852"/>
      <c r="RXH24" s="1852"/>
      <c r="RXK24" s="1852"/>
      <c r="RXN24" s="1852"/>
      <c r="RXQ24" s="1852"/>
      <c r="RXT24" s="1852"/>
      <c r="RXW24" s="1852"/>
      <c r="RXZ24" s="1852"/>
      <c r="RYC24" s="1852"/>
      <c r="RYF24" s="1852"/>
      <c r="RYI24" s="1852"/>
      <c r="RYL24" s="1852"/>
      <c r="RYO24" s="1852"/>
      <c r="RYR24" s="1852"/>
      <c r="RYU24" s="1852"/>
      <c r="RYX24" s="1852"/>
      <c r="RZA24" s="1852"/>
      <c r="RZD24" s="1852"/>
      <c r="RZG24" s="1852"/>
      <c r="RZJ24" s="1852"/>
      <c r="RZM24" s="1852"/>
      <c r="RZP24" s="1852"/>
      <c r="RZS24" s="1852"/>
      <c r="RZV24" s="1852"/>
      <c r="RZY24" s="1852"/>
      <c r="SAB24" s="1852"/>
      <c r="SAE24" s="1852"/>
      <c r="SAH24" s="1852"/>
      <c r="SAK24" s="1852"/>
      <c r="SAN24" s="1852"/>
      <c r="SAQ24" s="1852"/>
      <c r="SAT24" s="1852"/>
      <c r="SAW24" s="1852"/>
      <c r="SAZ24" s="1852"/>
      <c r="SBC24" s="1852"/>
      <c r="SBF24" s="1852"/>
      <c r="SBI24" s="1852"/>
      <c r="SBL24" s="1852"/>
      <c r="SBO24" s="1852"/>
      <c r="SBR24" s="1852"/>
      <c r="SBU24" s="1852"/>
      <c r="SBX24" s="1852"/>
      <c r="SCA24" s="1852"/>
      <c r="SCD24" s="1852"/>
      <c r="SCG24" s="1852"/>
      <c r="SCJ24" s="1852"/>
      <c r="SCM24" s="1852"/>
      <c r="SCP24" s="1852"/>
      <c r="SCS24" s="1852"/>
      <c r="SCV24" s="1852"/>
      <c r="SCY24" s="1852"/>
      <c r="SDB24" s="1852"/>
      <c r="SDE24" s="1852"/>
      <c r="SDH24" s="1852"/>
      <c r="SDK24" s="1852"/>
      <c r="SDN24" s="1852"/>
      <c r="SDQ24" s="1852"/>
      <c r="SDT24" s="1852"/>
      <c r="SDW24" s="1852"/>
      <c r="SDZ24" s="1852"/>
      <c r="SEC24" s="1852"/>
      <c r="SEF24" s="1852"/>
      <c r="SEI24" s="1852"/>
      <c r="SEL24" s="1852"/>
      <c r="SEO24" s="1852"/>
      <c r="SER24" s="1852"/>
      <c r="SEU24" s="1852"/>
      <c r="SEX24" s="1852"/>
      <c r="SFA24" s="1852"/>
      <c r="SFD24" s="1852"/>
      <c r="SFG24" s="1852"/>
      <c r="SFJ24" s="1852"/>
      <c r="SFM24" s="1852"/>
      <c r="SFP24" s="1852"/>
      <c r="SFS24" s="1852"/>
      <c r="SFV24" s="1852"/>
      <c r="SFY24" s="1852"/>
      <c r="SGB24" s="1852"/>
      <c r="SGE24" s="1852"/>
      <c r="SGH24" s="1852"/>
      <c r="SGK24" s="1852"/>
      <c r="SGN24" s="1852"/>
      <c r="SGQ24" s="1852"/>
      <c r="SGT24" s="1852"/>
      <c r="SGW24" s="1852"/>
      <c r="SGZ24" s="1852"/>
      <c r="SHC24" s="1852"/>
      <c r="SHF24" s="1852"/>
      <c r="SHI24" s="1852"/>
      <c r="SHL24" s="1852"/>
      <c r="SHO24" s="1852"/>
      <c r="SHR24" s="1852"/>
      <c r="SHU24" s="1852"/>
      <c r="SHX24" s="1852"/>
      <c r="SIA24" s="1852"/>
      <c r="SID24" s="1852"/>
      <c r="SIG24" s="1852"/>
      <c r="SIJ24" s="1852"/>
      <c r="SIM24" s="1852"/>
      <c r="SIP24" s="1852"/>
      <c r="SIS24" s="1852"/>
      <c r="SIV24" s="1852"/>
      <c r="SIY24" s="1852"/>
      <c r="SJB24" s="1852"/>
      <c r="SJE24" s="1852"/>
      <c r="SJH24" s="1852"/>
      <c r="SJK24" s="1852"/>
      <c r="SJN24" s="1852"/>
      <c r="SJQ24" s="1852"/>
      <c r="SJT24" s="1852"/>
      <c r="SJW24" s="1852"/>
      <c r="SJZ24" s="1852"/>
      <c r="SKC24" s="1852"/>
      <c r="SKF24" s="1852"/>
      <c r="SKI24" s="1852"/>
      <c r="SKL24" s="1852"/>
      <c r="SKO24" s="1852"/>
      <c r="SKR24" s="1852"/>
      <c r="SKU24" s="1852"/>
      <c r="SKX24" s="1852"/>
      <c r="SLA24" s="1852"/>
      <c r="SLD24" s="1852"/>
      <c r="SLG24" s="1852"/>
      <c r="SLJ24" s="1852"/>
      <c r="SLM24" s="1852"/>
      <c r="SLP24" s="1852"/>
      <c r="SLS24" s="1852"/>
      <c r="SLV24" s="1852"/>
      <c r="SLY24" s="1852"/>
      <c r="SMB24" s="1852"/>
      <c r="SME24" s="1852"/>
      <c r="SMH24" s="1852"/>
      <c r="SMK24" s="1852"/>
      <c r="SMN24" s="1852"/>
      <c r="SMQ24" s="1852"/>
      <c r="SMT24" s="1852"/>
      <c r="SMW24" s="1852"/>
      <c r="SMZ24" s="1852"/>
      <c r="SNC24" s="1852"/>
      <c r="SNF24" s="1852"/>
      <c r="SNI24" s="1852"/>
      <c r="SNL24" s="1852"/>
      <c r="SNO24" s="1852"/>
      <c r="SNR24" s="1852"/>
      <c r="SNU24" s="1852"/>
      <c r="SNX24" s="1852"/>
      <c r="SOA24" s="1852"/>
      <c r="SOD24" s="1852"/>
      <c r="SOG24" s="1852"/>
      <c r="SOJ24" s="1852"/>
      <c r="SOM24" s="1852"/>
      <c r="SOP24" s="1852"/>
      <c r="SOS24" s="1852"/>
      <c r="SOV24" s="1852"/>
      <c r="SOY24" s="1852"/>
      <c r="SPB24" s="1852"/>
      <c r="SPE24" s="1852"/>
      <c r="SPH24" s="1852"/>
      <c r="SPK24" s="1852"/>
      <c r="SPN24" s="1852"/>
      <c r="SPQ24" s="1852"/>
      <c r="SPT24" s="1852"/>
      <c r="SPW24" s="1852"/>
      <c r="SPZ24" s="1852"/>
      <c r="SQC24" s="1852"/>
      <c r="SQF24" s="1852"/>
      <c r="SQI24" s="1852"/>
      <c r="SQL24" s="1852"/>
      <c r="SQO24" s="1852"/>
      <c r="SQR24" s="1852"/>
      <c r="SQU24" s="1852"/>
      <c r="SQX24" s="1852"/>
      <c r="SRA24" s="1852"/>
      <c r="SRD24" s="1852"/>
      <c r="SRG24" s="1852"/>
      <c r="SRJ24" s="1852"/>
      <c r="SRM24" s="1852"/>
      <c r="SRP24" s="1852"/>
      <c r="SRS24" s="1852"/>
      <c r="SRV24" s="1852"/>
      <c r="SRY24" s="1852"/>
      <c r="SSB24" s="1852"/>
      <c r="SSE24" s="1852"/>
      <c r="SSH24" s="1852"/>
      <c r="SSK24" s="1852"/>
      <c r="SSN24" s="1852"/>
      <c r="SSQ24" s="1852"/>
      <c r="SST24" s="1852"/>
      <c r="SSW24" s="1852"/>
      <c r="SSZ24" s="1852"/>
      <c r="STC24" s="1852"/>
      <c r="STF24" s="1852"/>
      <c r="STI24" s="1852"/>
      <c r="STL24" s="1852"/>
      <c r="STO24" s="1852"/>
      <c r="STR24" s="1852"/>
      <c r="STU24" s="1852"/>
      <c r="STX24" s="1852"/>
      <c r="SUA24" s="1852"/>
      <c r="SUD24" s="1852"/>
      <c r="SUG24" s="1852"/>
      <c r="SUJ24" s="1852"/>
      <c r="SUM24" s="1852"/>
      <c r="SUP24" s="1852"/>
      <c r="SUS24" s="1852"/>
      <c r="SUV24" s="1852"/>
      <c r="SUY24" s="1852"/>
      <c r="SVB24" s="1852"/>
      <c r="SVE24" s="1852"/>
      <c r="SVH24" s="1852"/>
      <c r="SVK24" s="1852"/>
      <c r="SVN24" s="1852"/>
      <c r="SVQ24" s="1852"/>
      <c r="SVT24" s="1852"/>
      <c r="SVW24" s="1852"/>
      <c r="SVZ24" s="1852"/>
      <c r="SWC24" s="1852"/>
      <c r="SWF24" s="1852"/>
      <c r="SWI24" s="1852"/>
      <c r="SWL24" s="1852"/>
      <c r="SWO24" s="1852"/>
      <c r="SWR24" s="1852"/>
      <c r="SWU24" s="1852"/>
      <c r="SWX24" s="1852"/>
      <c r="SXA24" s="1852"/>
      <c r="SXD24" s="1852"/>
      <c r="SXG24" s="1852"/>
      <c r="SXJ24" s="1852"/>
      <c r="SXM24" s="1852"/>
      <c r="SXP24" s="1852"/>
      <c r="SXS24" s="1852"/>
      <c r="SXV24" s="1852"/>
      <c r="SXY24" s="1852"/>
      <c r="SYB24" s="1852"/>
      <c r="SYE24" s="1852"/>
      <c r="SYH24" s="1852"/>
      <c r="SYK24" s="1852"/>
      <c r="SYN24" s="1852"/>
      <c r="SYQ24" s="1852"/>
      <c r="SYT24" s="1852"/>
      <c r="SYW24" s="1852"/>
      <c r="SYZ24" s="1852"/>
      <c r="SZC24" s="1852"/>
      <c r="SZF24" s="1852"/>
      <c r="SZI24" s="1852"/>
      <c r="SZL24" s="1852"/>
      <c r="SZO24" s="1852"/>
      <c r="SZR24" s="1852"/>
      <c r="SZU24" s="1852"/>
      <c r="SZX24" s="1852"/>
      <c r="TAA24" s="1852"/>
      <c r="TAD24" s="1852"/>
      <c r="TAG24" s="1852"/>
      <c r="TAJ24" s="1852"/>
      <c r="TAM24" s="1852"/>
      <c r="TAP24" s="1852"/>
      <c r="TAS24" s="1852"/>
      <c r="TAV24" s="1852"/>
      <c r="TAY24" s="1852"/>
      <c r="TBB24" s="1852"/>
      <c r="TBE24" s="1852"/>
      <c r="TBH24" s="1852"/>
      <c r="TBK24" s="1852"/>
      <c r="TBN24" s="1852"/>
      <c r="TBQ24" s="1852"/>
      <c r="TBT24" s="1852"/>
      <c r="TBW24" s="1852"/>
      <c r="TBZ24" s="1852"/>
      <c r="TCC24" s="1852"/>
      <c r="TCF24" s="1852"/>
      <c r="TCI24" s="1852"/>
      <c r="TCL24" s="1852"/>
      <c r="TCO24" s="1852"/>
      <c r="TCR24" s="1852"/>
      <c r="TCU24" s="1852"/>
      <c r="TCX24" s="1852"/>
      <c r="TDA24" s="1852"/>
      <c r="TDD24" s="1852"/>
      <c r="TDG24" s="1852"/>
      <c r="TDJ24" s="1852"/>
      <c r="TDM24" s="1852"/>
      <c r="TDP24" s="1852"/>
      <c r="TDS24" s="1852"/>
      <c r="TDV24" s="1852"/>
      <c r="TDY24" s="1852"/>
      <c r="TEB24" s="1852"/>
      <c r="TEE24" s="1852"/>
      <c r="TEH24" s="1852"/>
      <c r="TEK24" s="1852"/>
      <c r="TEN24" s="1852"/>
      <c r="TEQ24" s="1852"/>
      <c r="TET24" s="1852"/>
      <c r="TEW24" s="1852"/>
      <c r="TEZ24" s="1852"/>
      <c r="TFC24" s="1852"/>
      <c r="TFF24" s="1852"/>
      <c r="TFI24" s="1852"/>
      <c r="TFL24" s="1852"/>
      <c r="TFO24" s="1852"/>
      <c r="TFR24" s="1852"/>
      <c r="TFU24" s="1852"/>
      <c r="TFX24" s="1852"/>
      <c r="TGA24" s="1852"/>
      <c r="TGD24" s="1852"/>
      <c r="TGG24" s="1852"/>
      <c r="TGJ24" s="1852"/>
      <c r="TGM24" s="1852"/>
      <c r="TGP24" s="1852"/>
      <c r="TGS24" s="1852"/>
      <c r="TGV24" s="1852"/>
      <c r="TGY24" s="1852"/>
      <c r="THB24" s="1852"/>
      <c r="THE24" s="1852"/>
      <c r="THH24" s="1852"/>
      <c r="THK24" s="1852"/>
      <c r="THN24" s="1852"/>
      <c r="THQ24" s="1852"/>
      <c r="THT24" s="1852"/>
      <c r="THW24" s="1852"/>
      <c r="THZ24" s="1852"/>
      <c r="TIC24" s="1852"/>
      <c r="TIF24" s="1852"/>
      <c r="TII24" s="1852"/>
      <c r="TIL24" s="1852"/>
      <c r="TIO24" s="1852"/>
      <c r="TIR24" s="1852"/>
      <c r="TIU24" s="1852"/>
      <c r="TIX24" s="1852"/>
      <c r="TJA24" s="1852"/>
      <c r="TJD24" s="1852"/>
      <c r="TJG24" s="1852"/>
      <c r="TJJ24" s="1852"/>
      <c r="TJM24" s="1852"/>
      <c r="TJP24" s="1852"/>
      <c r="TJS24" s="1852"/>
      <c r="TJV24" s="1852"/>
      <c r="TJY24" s="1852"/>
      <c r="TKB24" s="1852"/>
      <c r="TKE24" s="1852"/>
      <c r="TKH24" s="1852"/>
      <c r="TKK24" s="1852"/>
      <c r="TKN24" s="1852"/>
      <c r="TKQ24" s="1852"/>
      <c r="TKT24" s="1852"/>
      <c r="TKW24" s="1852"/>
      <c r="TKZ24" s="1852"/>
      <c r="TLC24" s="1852"/>
      <c r="TLF24" s="1852"/>
      <c r="TLI24" s="1852"/>
      <c r="TLL24" s="1852"/>
      <c r="TLO24" s="1852"/>
      <c r="TLR24" s="1852"/>
      <c r="TLU24" s="1852"/>
      <c r="TLX24" s="1852"/>
      <c r="TMA24" s="1852"/>
      <c r="TMD24" s="1852"/>
      <c r="TMG24" s="1852"/>
      <c r="TMJ24" s="1852"/>
      <c r="TMM24" s="1852"/>
      <c r="TMP24" s="1852"/>
      <c r="TMS24" s="1852"/>
      <c r="TMV24" s="1852"/>
      <c r="TMY24" s="1852"/>
      <c r="TNB24" s="1852"/>
      <c r="TNE24" s="1852"/>
      <c r="TNH24" s="1852"/>
      <c r="TNK24" s="1852"/>
      <c r="TNN24" s="1852"/>
      <c r="TNQ24" s="1852"/>
      <c r="TNT24" s="1852"/>
      <c r="TNW24" s="1852"/>
      <c r="TNZ24" s="1852"/>
      <c r="TOC24" s="1852"/>
      <c r="TOF24" s="1852"/>
      <c r="TOI24" s="1852"/>
      <c r="TOL24" s="1852"/>
      <c r="TOO24" s="1852"/>
      <c r="TOR24" s="1852"/>
      <c r="TOU24" s="1852"/>
      <c r="TOX24" s="1852"/>
      <c r="TPA24" s="1852"/>
      <c r="TPD24" s="1852"/>
      <c r="TPG24" s="1852"/>
      <c r="TPJ24" s="1852"/>
      <c r="TPM24" s="1852"/>
      <c r="TPP24" s="1852"/>
      <c r="TPS24" s="1852"/>
      <c r="TPV24" s="1852"/>
      <c r="TPY24" s="1852"/>
      <c r="TQB24" s="1852"/>
      <c r="TQE24" s="1852"/>
      <c r="TQH24" s="1852"/>
      <c r="TQK24" s="1852"/>
      <c r="TQN24" s="1852"/>
      <c r="TQQ24" s="1852"/>
      <c r="TQT24" s="1852"/>
      <c r="TQW24" s="1852"/>
      <c r="TQZ24" s="1852"/>
      <c r="TRC24" s="1852"/>
      <c r="TRF24" s="1852"/>
      <c r="TRI24" s="1852"/>
      <c r="TRL24" s="1852"/>
      <c r="TRO24" s="1852"/>
      <c r="TRR24" s="1852"/>
      <c r="TRU24" s="1852"/>
      <c r="TRX24" s="1852"/>
      <c r="TSA24" s="1852"/>
      <c r="TSD24" s="1852"/>
      <c r="TSG24" s="1852"/>
      <c r="TSJ24" s="1852"/>
      <c r="TSM24" s="1852"/>
      <c r="TSP24" s="1852"/>
      <c r="TSS24" s="1852"/>
      <c r="TSV24" s="1852"/>
      <c r="TSY24" s="1852"/>
      <c r="TTB24" s="1852"/>
      <c r="TTE24" s="1852"/>
      <c r="TTH24" s="1852"/>
      <c r="TTK24" s="1852"/>
      <c r="TTN24" s="1852"/>
      <c r="TTQ24" s="1852"/>
      <c r="TTT24" s="1852"/>
      <c r="TTW24" s="1852"/>
      <c r="TTZ24" s="1852"/>
      <c r="TUC24" s="1852"/>
      <c r="TUF24" s="1852"/>
      <c r="TUI24" s="1852"/>
      <c r="TUL24" s="1852"/>
      <c r="TUO24" s="1852"/>
      <c r="TUR24" s="1852"/>
      <c r="TUU24" s="1852"/>
      <c r="TUX24" s="1852"/>
      <c r="TVA24" s="1852"/>
      <c r="TVD24" s="1852"/>
      <c r="TVG24" s="1852"/>
      <c r="TVJ24" s="1852"/>
      <c r="TVM24" s="1852"/>
      <c r="TVP24" s="1852"/>
      <c r="TVS24" s="1852"/>
      <c r="TVV24" s="1852"/>
      <c r="TVY24" s="1852"/>
      <c r="TWB24" s="1852"/>
      <c r="TWE24" s="1852"/>
      <c r="TWH24" s="1852"/>
      <c r="TWK24" s="1852"/>
      <c r="TWN24" s="1852"/>
      <c r="TWQ24" s="1852"/>
      <c r="TWT24" s="1852"/>
      <c r="TWW24" s="1852"/>
      <c r="TWZ24" s="1852"/>
      <c r="TXC24" s="1852"/>
      <c r="TXF24" s="1852"/>
      <c r="TXI24" s="1852"/>
      <c r="TXL24" s="1852"/>
      <c r="TXO24" s="1852"/>
      <c r="TXR24" s="1852"/>
      <c r="TXU24" s="1852"/>
      <c r="TXX24" s="1852"/>
      <c r="TYA24" s="1852"/>
      <c r="TYD24" s="1852"/>
      <c r="TYG24" s="1852"/>
      <c r="TYJ24" s="1852"/>
      <c r="TYM24" s="1852"/>
      <c r="TYP24" s="1852"/>
      <c r="TYS24" s="1852"/>
      <c r="TYV24" s="1852"/>
      <c r="TYY24" s="1852"/>
      <c r="TZB24" s="1852"/>
      <c r="TZE24" s="1852"/>
      <c r="TZH24" s="1852"/>
      <c r="TZK24" s="1852"/>
      <c r="TZN24" s="1852"/>
      <c r="TZQ24" s="1852"/>
      <c r="TZT24" s="1852"/>
      <c r="TZW24" s="1852"/>
      <c r="TZZ24" s="1852"/>
      <c r="UAC24" s="1852"/>
      <c r="UAF24" s="1852"/>
      <c r="UAI24" s="1852"/>
      <c r="UAL24" s="1852"/>
      <c r="UAO24" s="1852"/>
      <c r="UAR24" s="1852"/>
      <c r="UAU24" s="1852"/>
      <c r="UAX24" s="1852"/>
      <c r="UBA24" s="1852"/>
      <c r="UBD24" s="1852"/>
      <c r="UBG24" s="1852"/>
      <c r="UBJ24" s="1852"/>
      <c r="UBM24" s="1852"/>
      <c r="UBP24" s="1852"/>
      <c r="UBS24" s="1852"/>
      <c r="UBV24" s="1852"/>
      <c r="UBY24" s="1852"/>
      <c r="UCB24" s="1852"/>
      <c r="UCE24" s="1852"/>
      <c r="UCH24" s="1852"/>
      <c r="UCK24" s="1852"/>
      <c r="UCN24" s="1852"/>
      <c r="UCQ24" s="1852"/>
      <c r="UCT24" s="1852"/>
      <c r="UCW24" s="1852"/>
      <c r="UCZ24" s="1852"/>
      <c r="UDC24" s="1852"/>
      <c r="UDF24" s="1852"/>
      <c r="UDI24" s="1852"/>
      <c r="UDL24" s="1852"/>
      <c r="UDO24" s="1852"/>
      <c r="UDR24" s="1852"/>
      <c r="UDU24" s="1852"/>
      <c r="UDX24" s="1852"/>
      <c r="UEA24" s="1852"/>
      <c r="UED24" s="1852"/>
      <c r="UEG24" s="1852"/>
      <c r="UEJ24" s="1852"/>
      <c r="UEM24" s="1852"/>
      <c r="UEP24" s="1852"/>
      <c r="UES24" s="1852"/>
      <c r="UEV24" s="1852"/>
      <c r="UEY24" s="1852"/>
      <c r="UFB24" s="1852"/>
      <c r="UFE24" s="1852"/>
      <c r="UFH24" s="1852"/>
      <c r="UFK24" s="1852"/>
      <c r="UFN24" s="1852"/>
      <c r="UFQ24" s="1852"/>
      <c r="UFT24" s="1852"/>
      <c r="UFW24" s="1852"/>
      <c r="UFZ24" s="1852"/>
      <c r="UGC24" s="1852"/>
      <c r="UGF24" s="1852"/>
      <c r="UGI24" s="1852"/>
      <c r="UGL24" s="1852"/>
      <c r="UGO24" s="1852"/>
      <c r="UGR24" s="1852"/>
      <c r="UGU24" s="1852"/>
      <c r="UGX24" s="1852"/>
      <c r="UHA24" s="1852"/>
      <c r="UHD24" s="1852"/>
      <c r="UHG24" s="1852"/>
      <c r="UHJ24" s="1852"/>
      <c r="UHM24" s="1852"/>
      <c r="UHP24" s="1852"/>
      <c r="UHS24" s="1852"/>
      <c r="UHV24" s="1852"/>
      <c r="UHY24" s="1852"/>
      <c r="UIB24" s="1852"/>
      <c r="UIE24" s="1852"/>
      <c r="UIH24" s="1852"/>
      <c r="UIK24" s="1852"/>
      <c r="UIN24" s="1852"/>
      <c r="UIQ24" s="1852"/>
      <c r="UIT24" s="1852"/>
      <c r="UIW24" s="1852"/>
      <c r="UIZ24" s="1852"/>
      <c r="UJC24" s="1852"/>
      <c r="UJF24" s="1852"/>
      <c r="UJI24" s="1852"/>
      <c r="UJL24" s="1852"/>
      <c r="UJO24" s="1852"/>
      <c r="UJR24" s="1852"/>
      <c r="UJU24" s="1852"/>
      <c r="UJX24" s="1852"/>
      <c r="UKA24" s="1852"/>
      <c r="UKD24" s="1852"/>
      <c r="UKG24" s="1852"/>
      <c r="UKJ24" s="1852"/>
      <c r="UKM24" s="1852"/>
      <c r="UKP24" s="1852"/>
      <c r="UKS24" s="1852"/>
      <c r="UKV24" s="1852"/>
      <c r="UKY24" s="1852"/>
      <c r="ULB24" s="1852"/>
      <c r="ULE24" s="1852"/>
      <c r="ULH24" s="1852"/>
      <c r="ULK24" s="1852"/>
      <c r="ULN24" s="1852"/>
      <c r="ULQ24" s="1852"/>
      <c r="ULT24" s="1852"/>
      <c r="ULW24" s="1852"/>
      <c r="ULZ24" s="1852"/>
      <c r="UMC24" s="1852"/>
      <c r="UMF24" s="1852"/>
      <c r="UMI24" s="1852"/>
      <c r="UML24" s="1852"/>
      <c r="UMO24" s="1852"/>
      <c r="UMR24" s="1852"/>
      <c r="UMU24" s="1852"/>
      <c r="UMX24" s="1852"/>
      <c r="UNA24" s="1852"/>
      <c r="UND24" s="1852"/>
      <c r="UNG24" s="1852"/>
      <c r="UNJ24" s="1852"/>
      <c r="UNM24" s="1852"/>
      <c r="UNP24" s="1852"/>
      <c r="UNS24" s="1852"/>
      <c r="UNV24" s="1852"/>
      <c r="UNY24" s="1852"/>
      <c r="UOB24" s="1852"/>
      <c r="UOE24" s="1852"/>
      <c r="UOH24" s="1852"/>
      <c r="UOK24" s="1852"/>
      <c r="UON24" s="1852"/>
      <c r="UOQ24" s="1852"/>
      <c r="UOT24" s="1852"/>
      <c r="UOW24" s="1852"/>
      <c r="UOZ24" s="1852"/>
      <c r="UPC24" s="1852"/>
      <c r="UPF24" s="1852"/>
      <c r="UPI24" s="1852"/>
      <c r="UPL24" s="1852"/>
      <c r="UPO24" s="1852"/>
      <c r="UPR24" s="1852"/>
      <c r="UPU24" s="1852"/>
      <c r="UPX24" s="1852"/>
      <c r="UQA24" s="1852"/>
      <c r="UQD24" s="1852"/>
      <c r="UQG24" s="1852"/>
      <c r="UQJ24" s="1852"/>
      <c r="UQM24" s="1852"/>
      <c r="UQP24" s="1852"/>
      <c r="UQS24" s="1852"/>
      <c r="UQV24" s="1852"/>
      <c r="UQY24" s="1852"/>
      <c r="URB24" s="1852"/>
      <c r="URE24" s="1852"/>
      <c r="URH24" s="1852"/>
      <c r="URK24" s="1852"/>
      <c r="URN24" s="1852"/>
      <c r="URQ24" s="1852"/>
      <c r="URT24" s="1852"/>
      <c r="URW24" s="1852"/>
      <c r="URZ24" s="1852"/>
      <c r="USC24" s="1852"/>
      <c r="USF24" s="1852"/>
      <c r="USI24" s="1852"/>
      <c r="USL24" s="1852"/>
      <c r="USO24" s="1852"/>
      <c r="USR24" s="1852"/>
      <c r="USU24" s="1852"/>
      <c r="USX24" s="1852"/>
      <c r="UTA24" s="1852"/>
      <c r="UTD24" s="1852"/>
      <c r="UTG24" s="1852"/>
      <c r="UTJ24" s="1852"/>
      <c r="UTM24" s="1852"/>
      <c r="UTP24" s="1852"/>
      <c r="UTS24" s="1852"/>
      <c r="UTV24" s="1852"/>
      <c r="UTY24" s="1852"/>
      <c r="UUB24" s="1852"/>
      <c r="UUE24" s="1852"/>
      <c r="UUH24" s="1852"/>
      <c r="UUK24" s="1852"/>
      <c r="UUN24" s="1852"/>
      <c r="UUQ24" s="1852"/>
      <c r="UUT24" s="1852"/>
      <c r="UUW24" s="1852"/>
      <c r="UUZ24" s="1852"/>
      <c r="UVC24" s="1852"/>
      <c r="UVF24" s="1852"/>
      <c r="UVI24" s="1852"/>
      <c r="UVL24" s="1852"/>
      <c r="UVO24" s="1852"/>
      <c r="UVR24" s="1852"/>
      <c r="UVU24" s="1852"/>
      <c r="UVX24" s="1852"/>
      <c r="UWA24" s="1852"/>
      <c r="UWD24" s="1852"/>
      <c r="UWG24" s="1852"/>
      <c r="UWJ24" s="1852"/>
      <c r="UWM24" s="1852"/>
      <c r="UWP24" s="1852"/>
      <c r="UWS24" s="1852"/>
      <c r="UWV24" s="1852"/>
      <c r="UWY24" s="1852"/>
      <c r="UXB24" s="1852"/>
      <c r="UXE24" s="1852"/>
      <c r="UXH24" s="1852"/>
      <c r="UXK24" s="1852"/>
      <c r="UXN24" s="1852"/>
      <c r="UXQ24" s="1852"/>
      <c r="UXT24" s="1852"/>
      <c r="UXW24" s="1852"/>
      <c r="UXZ24" s="1852"/>
      <c r="UYC24" s="1852"/>
      <c r="UYF24" s="1852"/>
      <c r="UYI24" s="1852"/>
      <c r="UYL24" s="1852"/>
      <c r="UYO24" s="1852"/>
      <c r="UYR24" s="1852"/>
      <c r="UYU24" s="1852"/>
      <c r="UYX24" s="1852"/>
      <c r="UZA24" s="1852"/>
      <c r="UZD24" s="1852"/>
      <c r="UZG24" s="1852"/>
      <c r="UZJ24" s="1852"/>
      <c r="UZM24" s="1852"/>
      <c r="UZP24" s="1852"/>
      <c r="UZS24" s="1852"/>
      <c r="UZV24" s="1852"/>
      <c r="UZY24" s="1852"/>
      <c r="VAB24" s="1852"/>
      <c r="VAE24" s="1852"/>
      <c r="VAH24" s="1852"/>
      <c r="VAK24" s="1852"/>
      <c r="VAN24" s="1852"/>
      <c r="VAQ24" s="1852"/>
      <c r="VAT24" s="1852"/>
      <c r="VAW24" s="1852"/>
      <c r="VAZ24" s="1852"/>
      <c r="VBC24" s="1852"/>
      <c r="VBF24" s="1852"/>
      <c r="VBI24" s="1852"/>
      <c r="VBL24" s="1852"/>
      <c r="VBO24" s="1852"/>
      <c r="VBR24" s="1852"/>
      <c r="VBU24" s="1852"/>
      <c r="VBX24" s="1852"/>
      <c r="VCA24" s="1852"/>
      <c r="VCD24" s="1852"/>
      <c r="VCG24" s="1852"/>
      <c r="VCJ24" s="1852"/>
      <c r="VCM24" s="1852"/>
      <c r="VCP24" s="1852"/>
      <c r="VCS24" s="1852"/>
      <c r="VCV24" s="1852"/>
      <c r="VCY24" s="1852"/>
      <c r="VDB24" s="1852"/>
      <c r="VDE24" s="1852"/>
      <c r="VDH24" s="1852"/>
      <c r="VDK24" s="1852"/>
      <c r="VDN24" s="1852"/>
      <c r="VDQ24" s="1852"/>
      <c r="VDT24" s="1852"/>
      <c r="VDW24" s="1852"/>
      <c r="VDZ24" s="1852"/>
      <c r="VEC24" s="1852"/>
      <c r="VEF24" s="1852"/>
      <c r="VEI24" s="1852"/>
      <c r="VEL24" s="1852"/>
      <c r="VEO24" s="1852"/>
      <c r="VER24" s="1852"/>
      <c r="VEU24" s="1852"/>
      <c r="VEX24" s="1852"/>
      <c r="VFA24" s="1852"/>
      <c r="VFD24" s="1852"/>
      <c r="VFG24" s="1852"/>
      <c r="VFJ24" s="1852"/>
      <c r="VFM24" s="1852"/>
      <c r="VFP24" s="1852"/>
      <c r="VFS24" s="1852"/>
      <c r="VFV24" s="1852"/>
      <c r="VFY24" s="1852"/>
      <c r="VGB24" s="1852"/>
      <c r="VGE24" s="1852"/>
      <c r="VGH24" s="1852"/>
      <c r="VGK24" s="1852"/>
      <c r="VGN24" s="1852"/>
      <c r="VGQ24" s="1852"/>
      <c r="VGT24" s="1852"/>
      <c r="VGW24" s="1852"/>
      <c r="VGZ24" s="1852"/>
      <c r="VHC24" s="1852"/>
      <c r="VHF24" s="1852"/>
      <c r="VHI24" s="1852"/>
      <c r="VHL24" s="1852"/>
      <c r="VHO24" s="1852"/>
      <c r="VHR24" s="1852"/>
      <c r="VHU24" s="1852"/>
      <c r="VHX24" s="1852"/>
      <c r="VIA24" s="1852"/>
      <c r="VID24" s="1852"/>
      <c r="VIG24" s="1852"/>
      <c r="VIJ24" s="1852"/>
      <c r="VIM24" s="1852"/>
      <c r="VIP24" s="1852"/>
      <c r="VIS24" s="1852"/>
      <c r="VIV24" s="1852"/>
      <c r="VIY24" s="1852"/>
      <c r="VJB24" s="1852"/>
      <c r="VJE24" s="1852"/>
      <c r="VJH24" s="1852"/>
      <c r="VJK24" s="1852"/>
      <c r="VJN24" s="1852"/>
      <c r="VJQ24" s="1852"/>
      <c r="VJT24" s="1852"/>
      <c r="VJW24" s="1852"/>
      <c r="VJZ24" s="1852"/>
      <c r="VKC24" s="1852"/>
      <c r="VKF24" s="1852"/>
      <c r="VKI24" s="1852"/>
      <c r="VKL24" s="1852"/>
      <c r="VKO24" s="1852"/>
      <c r="VKR24" s="1852"/>
      <c r="VKU24" s="1852"/>
      <c r="VKX24" s="1852"/>
      <c r="VLA24" s="1852"/>
      <c r="VLD24" s="1852"/>
      <c r="VLG24" s="1852"/>
      <c r="VLJ24" s="1852"/>
      <c r="VLM24" s="1852"/>
      <c r="VLP24" s="1852"/>
      <c r="VLS24" s="1852"/>
      <c r="VLV24" s="1852"/>
      <c r="VLY24" s="1852"/>
      <c r="VMB24" s="1852"/>
      <c r="VME24" s="1852"/>
      <c r="VMH24" s="1852"/>
      <c r="VMK24" s="1852"/>
      <c r="VMN24" s="1852"/>
      <c r="VMQ24" s="1852"/>
      <c r="VMT24" s="1852"/>
      <c r="VMW24" s="1852"/>
      <c r="VMZ24" s="1852"/>
      <c r="VNC24" s="1852"/>
      <c r="VNF24" s="1852"/>
      <c r="VNI24" s="1852"/>
      <c r="VNL24" s="1852"/>
      <c r="VNO24" s="1852"/>
      <c r="VNR24" s="1852"/>
      <c r="VNU24" s="1852"/>
      <c r="VNX24" s="1852"/>
      <c r="VOA24" s="1852"/>
      <c r="VOD24" s="1852"/>
      <c r="VOG24" s="1852"/>
      <c r="VOJ24" s="1852"/>
      <c r="VOM24" s="1852"/>
      <c r="VOP24" s="1852"/>
      <c r="VOS24" s="1852"/>
      <c r="VOV24" s="1852"/>
      <c r="VOY24" s="1852"/>
      <c r="VPB24" s="1852"/>
      <c r="VPE24" s="1852"/>
      <c r="VPH24" s="1852"/>
      <c r="VPK24" s="1852"/>
      <c r="VPN24" s="1852"/>
      <c r="VPQ24" s="1852"/>
      <c r="VPT24" s="1852"/>
      <c r="VPW24" s="1852"/>
      <c r="VPZ24" s="1852"/>
      <c r="VQC24" s="1852"/>
      <c r="VQF24" s="1852"/>
      <c r="VQI24" s="1852"/>
      <c r="VQL24" s="1852"/>
      <c r="VQO24" s="1852"/>
      <c r="VQR24" s="1852"/>
      <c r="VQU24" s="1852"/>
      <c r="VQX24" s="1852"/>
      <c r="VRA24" s="1852"/>
      <c r="VRD24" s="1852"/>
      <c r="VRG24" s="1852"/>
      <c r="VRJ24" s="1852"/>
      <c r="VRM24" s="1852"/>
      <c r="VRP24" s="1852"/>
      <c r="VRS24" s="1852"/>
      <c r="VRV24" s="1852"/>
      <c r="VRY24" s="1852"/>
      <c r="VSB24" s="1852"/>
      <c r="VSE24" s="1852"/>
      <c r="VSH24" s="1852"/>
      <c r="VSK24" s="1852"/>
      <c r="VSN24" s="1852"/>
      <c r="VSQ24" s="1852"/>
      <c r="VST24" s="1852"/>
      <c r="VSW24" s="1852"/>
      <c r="VSZ24" s="1852"/>
      <c r="VTC24" s="1852"/>
      <c r="VTF24" s="1852"/>
      <c r="VTI24" s="1852"/>
      <c r="VTL24" s="1852"/>
      <c r="VTO24" s="1852"/>
      <c r="VTR24" s="1852"/>
      <c r="VTU24" s="1852"/>
      <c r="VTX24" s="1852"/>
      <c r="VUA24" s="1852"/>
      <c r="VUD24" s="1852"/>
      <c r="VUG24" s="1852"/>
      <c r="VUJ24" s="1852"/>
      <c r="VUM24" s="1852"/>
      <c r="VUP24" s="1852"/>
      <c r="VUS24" s="1852"/>
      <c r="VUV24" s="1852"/>
      <c r="VUY24" s="1852"/>
      <c r="VVB24" s="1852"/>
      <c r="VVE24" s="1852"/>
      <c r="VVH24" s="1852"/>
      <c r="VVK24" s="1852"/>
      <c r="VVN24" s="1852"/>
      <c r="VVQ24" s="1852"/>
      <c r="VVT24" s="1852"/>
      <c r="VVW24" s="1852"/>
      <c r="VVZ24" s="1852"/>
      <c r="VWC24" s="1852"/>
      <c r="VWF24" s="1852"/>
      <c r="VWI24" s="1852"/>
      <c r="VWL24" s="1852"/>
      <c r="VWO24" s="1852"/>
      <c r="VWR24" s="1852"/>
      <c r="VWU24" s="1852"/>
      <c r="VWX24" s="1852"/>
      <c r="VXA24" s="1852"/>
      <c r="VXD24" s="1852"/>
      <c r="VXG24" s="1852"/>
      <c r="VXJ24" s="1852"/>
      <c r="VXM24" s="1852"/>
      <c r="VXP24" s="1852"/>
      <c r="VXS24" s="1852"/>
      <c r="VXV24" s="1852"/>
      <c r="VXY24" s="1852"/>
      <c r="VYB24" s="1852"/>
      <c r="VYE24" s="1852"/>
      <c r="VYH24" s="1852"/>
      <c r="VYK24" s="1852"/>
      <c r="VYN24" s="1852"/>
      <c r="VYQ24" s="1852"/>
      <c r="VYT24" s="1852"/>
      <c r="VYW24" s="1852"/>
      <c r="VYZ24" s="1852"/>
      <c r="VZC24" s="1852"/>
      <c r="VZF24" s="1852"/>
      <c r="VZI24" s="1852"/>
      <c r="VZL24" s="1852"/>
      <c r="VZO24" s="1852"/>
      <c r="VZR24" s="1852"/>
      <c r="VZU24" s="1852"/>
      <c r="VZX24" s="1852"/>
      <c r="WAA24" s="1852"/>
      <c r="WAD24" s="1852"/>
      <c r="WAG24" s="1852"/>
      <c r="WAJ24" s="1852"/>
      <c r="WAM24" s="1852"/>
      <c r="WAP24" s="1852"/>
      <c r="WAS24" s="1852"/>
      <c r="WAV24" s="1852"/>
      <c r="WAY24" s="1852"/>
      <c r="WBB24" s="1852"/>
      <c r="WBE24" s="1852"/>
      <c r="WBH24" s="1852"/>
      <c r="WBK24" s="1852"/>
      <c r="WBN24" s="1852"/>
      <c r="WBQ24" s="1852"/>
      <c r="WBT24" s="1852"/>
      <c r="WBW24" s="1852"/>
      <c r="WBZ24" s="1852"/>
      <c r="WCC24" s="1852"/>
      <c r="WCF24" s="1852"/>
      <c r="WCI24" s="1852"/>
      <c r="WCL24" s="1852"/>
      <c r="WCO24" s="1852"/>
      <c r="WCR24" s="1852"/>
      <c r="WCU24" s="1852"/>
      <c r="WCX24" s="1852"/>
      <c r="WDA24" s="1852"/>
      <c r="WDD24" s="1852"/>
      <c r="WDG24" s="1852"/>
      <c r="WDJ24" s="1852"/>
      <c r="WDM24" s="1852"/>
      <c r="WDP24" s="1852"/>
      <c r="WDS24" s="1852"/>
      <c r="WDV24" s="1852"/>
      <c r="WDY24" s="1852"/>
      <c r="WEB24" s="1852"/>
      <c r="WEE24" s="1852"/>
      <c r="WEH24" s="1852"/>
      <c r="WEK24" s="1852"/>
      <c r="WEN24" s="1852"/>
      <c r="WEQ24" s="1852"/>
      <c r="WET24" s="1852"/>
      <c r="WEW24" s="1852"/>
      <c r="WEZ24" s="1852"/>
      <c r="WFC24" s="1852"/>
      <c r="WFF24" s="1852"/>
      <c r="WFI24" s="1852"/>
      <c r="WFL24" s="1852"/>
      <c r="WFO24" s="1852"/>
      <c r="WFR24" s="1852"/>
      <c r="WFU24" s="1852"/>
      <c r="WFX24" s="1852"/>
      <c r="WGA24" s="1852"/>
      <c r="WGD24" s="1852"/>
      <c r="WGG24" s="1852"/>
      <c r="WGJ24" s="1852"/>
      <c r="WGM24" s="1852"/>
      <c r="WGP24" s="1852"/>
      <c r="WGS24" s="1852"/>
      <c r="WGV24" s="1852"/>
      <c r="WGY24" s="1852"/>
      <c r="WHB24" s="1852"/>
      <c r="WHE24" s="1852"/>
      <c r="WHH24" s="1852"/>
      <c r="WHK24" s="1852"/>
      <c r="WHN24" s="1852"/>
      <c r="WHQ24" s="1852"/>
      <c r="WHT24" s="1852"/>
      <c r="WHW24" s="1852"/>
      <c r="WHZ24" s="1852"/>
      <c r="WIC24" s="1852"/>
      <c r="WIF24" s="1852"/>
      <c r="WII24" s="1852"/>
      <c r="WIL24" s="1852"/>
      <c r="WIO24" s="1852"/>
      <c r="WIR24" s="1852"/>
      <c r="WIU24" s="1852"/>
      <c r="WIX24" s="1852"/>
      <c r="WJA24" s="1852"/>
      <c r="WJD24" s="1852"/>
      <c r="WJG24" s="1852"/>
      <c r="WJJ24" s="1852"/>
      <c r="WJM24" s="1852"/>
      <c r="WJP24" s="1852"/>
      <c r="WJS24" s="1852"/>
      <c r="WJV24" s="1852"/>
      <c r="WJY24" s="1852"/>
      <c r="WKB24" s="1852"/>
      <c r="WKE24" s="1852"/>
      <c r="WKH24" s="1852"/>
      <c r="WKK24" s="1852"/>
      <c r="WKN24" s="1852"/>
      <c r="WKQ24" s="1852"/>
      <c r="WKT24" s="1852"/>
      <c r="WKW24" s="1852"/>
      <c r="WKZ24" s="1852"/>
      <c r="WLC24" s="1852"/>
      <c r="WLF24" s="1852"/>
      <c r="WLI24" s="1852"/>
      <c r="WLL24" s="1852"/>
      <c r="WLO24" s="1852"/>
      <c r="WLR24" s="1852"/>
      <c r="WLU24" s="1852"/>
      <c r="WLX24" s="1852"/>
      <c r="WMA24" s="1852"/>
      <c r="WMD24" s="1852"/>
      <c r="WMG24" s="1852"/>
      <c r="WMJ24" s="1852"/>
      <c r="WMM24" s="1852"/>
      <c r="WMP24" s="1852"/>
      <c r="WMS24" s="1852"/>
      <c r="WMV24" s="1852"/>
      <c r="WMY24" s="1852"/>
      <c r="WNB24" s="1852"/>
      <c r="WNE24" s="1852"/>
      <c r="WNH24" s="1852"/>
      <c r="WNK24" s="1852"/>
      <c r="WNN24" s="1852"/>
      <c r="WNQ24" s="1852"/>
      <c r="WNT24" s="1852"/>
      <c r="WNW24" s="1852"/>
      <c r="WNZ24" s="1852"/>
      <c r="WOC24" s="1852"/>
      <c r="WOF24" s="1852"/>
      <c r="WOI24" s="1852"/>
      <c r="WOL24" s="1852"/>
      <c r="WOO24" s="1852"/>
      <c r="WOR24" s="1852"/>
      <c r="WOU24" s="1852"/>
      <c r="WOX24" s="1852"/>
      <c r="WPA24" s="1852"/>
      <c r="WPD24" s="1852"/>
      <c r="WPG24" s="1852"/>
      <c r="WPJ24" s="1852"/>
      <c r="WPM24" s="1852"/>
      <c r="WPP24" s="1852"/>
      <c r="WPS24" s="1852"/>
      <c r="WPV24" s="1852"/>
      <c r="WPY24" s="1852"/>
      <c r="WQB24" s="1852"/>
      <c r="WQE24" s="1852"/>
      <c r="WQH24" s="1852"/>
      <c r="WQK24" s="1852"/>
      <c r="WQN24" s="1852"/>
      <c r="WQQ24" s="1852"/>
      <c r="WQT24" s="1852"/>
      <c r="WQW24" s="1852"/>
      <c r="WQZ24" s="1852"/>
      <c r="WRC24" s="1852"/>
      <c r="WRF24" s="1852"/>
      <c r="WRI24" s="1852"/>
      <c r="WRL24" s="1852"/>
      <c r="WRO24" s="1852"/>
      <c r="WRR24" s="1852"/>
      <c r="WRU24" s="1852"/>
      <c r="WRX24" s="1852"/>
      <c r="WSA24" s="1852"/>
      <c r="WSD24" s="1852"/>
      <c r="WSG24" s="1852"/>
      <c r="WSJ24" s="1852"/>
      <c r="WSM24" s="1852"/>
      <c r="WSP24" s="1852"/>
      <c r="WSS24" s="1852"/>
      <c r="WSV24" s="1852"/>
      <c r="WSY24" s="1852"/>
      <c r="WTB24" s="1852"/>
      <c r="WTE24" s="1852"/>
      <c r="WTH24" s="1852"/>
      <c r="WTK24" s="1852"/>
      <c r="WTN24" s="1852"/>
      <c r="WTQ24" s="1852"/>
      <c r="WTT24" s="1852"/>
      <c r="WTW24" s="1852"/>
      <c r="WTZ24" s="1852"/>
      <c r="WUC24" s="1852"/>
      <c r="WUF24" s="1852"/>
      <c r="WUI24" s="1852"/>
      <c r="WUL24" s="1852"/>
      <c r="WUO24" s="1852"/>
      <c r="WUR24" s="1852"/>
      <c r="WUU24" s="1852"/>
      <c r="WUX24" s="1852"/>
      <c r="WVA24" s="1852"/>
      <c r="WVD24" s="1852"/>
      <c r="WVG24" s="1852"/>
      <c r="WVJ24" s="1852"/>
      <c r="WVM24" s="1852"/>
      <c r="WVP24" s="1852"/>
      <c r="WVS24" s="1852"/>
      <c r="WVV24" s="1852"/>
      <c r="WVY24" s="1852"/>
      <c r="WWB24" s="1852"/>
      <c r="WWE24" s="1852"/>
      <c r="WWH24" s="1852"/>
      <c r="WWK24" s="1852"/>
      <c r="WWN24" s="1852"/>
      <c r="WWQ24" s="1852"/>
      <c r="WWT24" s="1852"/>
      <c r="WWW24" s="1852"/>
      <c r="WWZ24" s="1852"/>
      <c r="WXC24" s="1852"/>
      <c r="WXF24" s="1852"/>
      <c r="WXI24" s="1852"/>
      <c r="WXL24" s="1852"/>
      <c r="WXO24" s="1852"/>
      <c r="WXR24" s="1852"/>
      <c r="WXU24" s="1852"/>
      <c r="WXX24" s="1852"/>
      <c r="WYA24" s="1852"/>
      <c r="WYD24" s="1852"/>
      <c r="WYG24" s="1852"/>
      <c r="WYJ24" s="1852"/>
      <c r="WYM24" s="1852"/>
      <c r="WYP24" s="1852"/>
      <c r="WYS24" s="1852"/>
      <c r="WYV24" s="1852"/>
      <c r="WYY24" s="1852"/>
      <c r="WZB24" s="1852"/>
      <c r="WZE24" s="1852"/>
      <c r="WZH24" s="1852"/>
      <c r="WZK24" s="1852"/>
      <c r="WZN24" s="1852"/>
      <c r="WZQ24" s="1852"/>
      <c r="WZT24" s="1852"/>
      <c r="WZW24" s="1852"/>
      <c r="WZZ24" s="1852"/>
      <c r="XAC24" s="1852"/>
      <c r="XAF24" s="1852"/>
      <c r="XAI24" s="1852"/>
      <c r="XAL24" s="1852"/>
      <c r="XAO24" s="1852"/>
      <c r="XAR24" s="1852"/>
      <c r="XAU24" s="1852"/>
      <c r="XAX24" s="1852"/>
      <c r="XBA24" s="1852"/>
      <c r="XBD24" s="1852"/>
      <c r="XBG24" s="1852"/>
      <c r="XBJ24" s="1852"/>
      <c r="XBM24" s="1852"/>
      <c r="XBP24" s="1852"/>
      <c r="XBS24" s="1852"/>
      <c r="XBV24" s="1852"/>
      <c r="XBY24" s="1852"/>
      <c r="XCB24" s="1852"/>
      <c r="XCE24" s="1852"/>
      <c r="XCH24" s="1852"/>
      <c r="XCK24" s="1852"/>
      <c r="XCN24" s="1852"/>
      <c r="XCQ24" s="1852"/>
      <c r="XCT24" s="1852"/>
      <c r="XCW24" s="1852"/>
      <c r="XCZ24" s="1852"/>
      <c r="XDC24" s="1852"/>
      <c r="XDF24" s="1852"/>
      <c r="XDI24" s="1852"/>
      <c r="XDL24" s="1852"/>
      <c r="XDO24" s="1852"/>
      <c r="XDR24" s="1852"/>
      <c r="XDU24" s="1852"/>
      <c r="XDX24" s="1852"/>
      <c r="XEA24" s="1852"/>
      <c r="XED24" s="1852"/>
      <c r="XEG24" s="1852"/>
      <c r="XEJ24" s="1852"/>
      <c r="XEM24" s="1852"/>
      <c r="XEP24" s="1852"/>
      <c r="XES24" s="1852"/>
      <c r="XEV24" s="1852"/>
      <c r="XEY24" s="1852"/>
      <c r="XFB24" s="1852"/>
    </row>
    <row r="25" spans="1:16384" s="1851" customFormat="1" ht="30" customHeight="1" x14ac:dyDescent="0.3">
      <c r="A25" s="2824" t="s">
        <v>2561</v>
      </c>
      <c r="B25" s="2825"/>
      <c r="C25" s="2826"/>
      <c r="D25" s="1852"/>
      <c r="E25" s="1852"/>
      <c r="F25" s="1852"/>
      <c r="G25" s="1852"/>
      <c r="H25" s="1852"/>
      <c r="I25" s="1852"/>
      <c r="J25" s="1852"/>
      <c r="K25" s="1852"/>
      <c r="L25" s="1852"/>
      <c r="M25" s="1852"/>
      <c r="N25" s="1852"/>
      <c r="O25" s="1852"/>
      <c r="P25" s="1852"/>
      <c r="Q25" s="1852"/>
      <c r="T25" s="1852"/>
      <c r="W25" s="1852"/>
      <c r="Z25" s="1852"/>
      <c r="AC25" s="1852"/>
      <c r="AF25" s="1852"/>
      <c r="AI25" s="1852"/>
      <c r="AL25" s="1852"/>
      <c r="AO25" s="1852"/>
      <c r="AR25" s="1852"/>
      <c r="AU25" s="1852"/>
      <c r="AX25" s="1852"/>
      <c r="BA25" s="1852"/>
      <c r="BD25" s="1852"/>
      <c r="BG25" s="1852"/>
      <c r="BJ25" s="1852"/>
      <c r="BM25" s="1852"/>
      <c r="BP25" s="1852"/>
      <c r="BS25" s="1852"/>
      <c r="BV25" s="1852"/>
      <c r="BY25" s="1852"/>
      <c r="CB25" s="1852"/>
      <c r="CE25" s="1852"/>
      <c r="CH25" s="1852"/>
      <c r="CK25" s="1852"/>
      <c r="CN25" s="1852"/>
      <c r="CQ25" s="1852"/>
      <c r="CT25" s="1852"/>
      <c r="CW25" s="1852"/>
      <c r="CZ25" s="1852"/>
      <c r="DC25" s="1852"/>
      <c r="DF25" s="1852"/>
      <c r="DI25" s="1852"/>
      <c r="DL25" s="1852"/>
      <c r="DO25" s="1852"/>
      <c r="DR25" s="1852"/>
      <c r="DU25" s="1852"/>
      <c r="DX25" s="1852"/>
      <c r="EA25" s="1852"/>
      <c r="ED25" s="1852"/>
      <c r="EG25" s="1852"/>
      <c r="EJ25" s="1852"/>
      <c r="EM25" s="1852"/>
      <c r="EP25" s="1852"/>
      <c r="ES25" s="1852"/>
      <c r="EV25" s="1852"/>
      <c r="EY25" s="1852"/>
      <c r="FB25" s="1852"/>
      <c r="FE25" s="1852"/>
      <c r="FH25" s="1852"/>
      <c r="FK25" s="1852"/>
      <c r="FN25" s="1852"/>
      <c r="FQ25" s="1852"/>
      <c r="FT25" s="1852"/>
      <c r="FW25" s="1852"/>
      <c r="FZ25" s="1852"/>
      <c r="GC25" s="1852"/>
      <c r="GF25" s="1852"/>
      <c r="GI25" s="1852"/>
      <c r="GL25" s="1852"/>
      <c r="GO25" s="1852"/>
      <c r="GR25" s="1852"/>
      <c r="GU25" s="1852"/>
      <c r="GX25" s="1852"/>
      <c r="HA25" s="1852"/>
      <c r="HD25" s="1852"/>
      <c r="HG25" s="1852"/>
      <c r="HJ25" s="1852"/>
      <c r="HM25" s="1852"/>
      <c r="HP25" s="1852"/>
      <c r="HS25" s="1852"/>
      <c r="HV25" s="1852"/>
      <c r="HY25" s="1852"/>
      <c r="IB25" s="1852"/>
      <c r="IE25" s="1852"/>
      <c r="IH25" s="1852"/>
      <c r="IK25" s="1852"/>
      <c r="IN25" s="1852"/>
      <c r="IQ25" s="1852"/>
      <c r="IT25" s="1852"/>
      <c r="IW25" s="1852"/>
      <c r="IZ25" s="1852"/>
      <c r="JC25" s="1852"/>
      <c r="JF25" s="1852"/>
      <c r="JI25" s="1852"/>
      <c r="JL25" s="1852"/>
      <c r="JO25" s="1852"/>
      <c r="JR25" s="1852"/>
      <c r="JU25" s="1852"/>
      <c r="JX25" s="1852"/>
      <c r="KA25" s="1852"/>
      <c r="KD25" s="1852"/>
      <c r="KG25" s="1852"/>
      <c r="KJ25" s="1852"/>
      <c r="KM25" s="1852"/>
      <c r="KP25" s="1852"/>
      <c r="KS25" s="1852"/>
      <c r="KV25" s="1852"/>
      <c r="KY25" s="1852"/>
      <c r="LB25" s="1852"/>
      <c r="LE25" s="1852"/>
      <c r="LH25" s="1852"/>
      <c r="LK25" s="1852"/>
      <c r="LN25" s="1852"/>
      <c r="LQ25" s="1852"/>
      <c r="LT25" s="1852"/>
      <c r="LW25" s="1852"/>
      <c r="LZ25" s="1852"/>
      <c r="MC25" s="1852"/>
      <c r="MF25" s="1852"/>
      <c r="MI25" s="1852"/>
      <c r="ML25" s="1852"/>
      <c r="MO25" s="1852"/>
      <c r="MR25" s="1852"/>
      <c r="MU25" s="1852"/>
      <c r="MX25" s="1852"/>
      <c r="NA25" s="1852"/>
      <c r="ND25" s="1852"/>
      <c r="NG25" s="1852"/>
      <c r="NJ25" s="1852"/>
      <c r="NM25" s="1852"/>
      <c r="NP25" s="1852"/>
      <c r="NS25" s="1852"/>
      <c r="NV25" s="1852"/>
      <c r="NY25" s="1852"/>
      <c r="OB25" s="1852"/>
      <c r="OE25" s="1852"/>
      <c r="OH25" s="1852"/>
      <c r="OK25" s="1852"/>
      <c r="ON25" s="1852"/>
      <c r="OQ25" s="1852"/>
      <c r="OT25" s="1852"/>
      <c r="OW25" s="1852"/>
      <c r="OZ25" s="1852"/>
      <c r="PC25" s="1852"/>
      <c r="PF25" s="1852"/>
      <c r="PI25" s="1852"/>
      <c r="PL25" s="1852"/>
      <c r="PO25" s="1852"/>
      <c r="PR25" s="1852"/>
      <c r="PU25" s="1852"/>
      <c r="PX25" s="1852"/>
      <c r="QA25" s="1852"/>
      <c r="QD25" s="1852"/>
      <c r="QG25" s="1852"/>
      <c r="QJ25" s="1852"/>
      <c r="QM25" s="1852"/>
      <c r="QP25" s="1852"/>
      <c r="QS25" s="1852"/>
      <c r="QV25" s="1852"/>
      <c r="QY25" s="1852"/>
      <c r="RB25" s="1852"/>
      <c r="RE25" s="1852"/>
      <c r="RH25" s="1852"/>
      <c r="RK25" s="1852"/>
      <c r="RN25" s="1852"/>
      <c r="RQ25" s="1852"/>
      <c r="RT25" s="1852"/>
      <c r="RW25" s="1852"/>
      <c r="RZ25" s="1852"/>
      <c r="SC25" s="1852"/>
      <c r="SF25" s="1852"/>
      <c r="SI25" s="1852"/>
      <c r="SL25" s="1852"/>
      <c r="SO25" s="1852"/>
      <c r="SR25" s="1852"/>
      <c r="SU25" s="1852"/>
      <c r="SX25" s="1852"/>
      <c r="TA25" s="1852"/>
      <c r="TD25" s="1852"/>
      <c r="TG25" s="1852"/>
      <c r="TJ25" s="1852"/>
      <c r="TM25" s="1852"/>
      <c r="TP25" s="1852"/>
      <c r="TS25" s="1852"/>
      <c r="TV25" s="1852"/>
      <c r="TY25" s="1852"/>
      <c r="UB25" s="1852"/>
      <c r="UE25" s="1852"/>
      <c r="UH25" s="1852"/>
      <c r="UK25" s="1852"/>
      <c r="UN25" s="1852"/>
      <c r="UQ25" s="1852"/>
      <c r="UT25" s="1852"/>
      <c r="UW25" s="1852"/>
      <c r="UZ25" s="1852"/>
      <c r="VC25" s="1852"/>
      <c r="VF25" s="1852"/>
      <c r="VI25" s="1852"/>
      <c r="VL25" s="1852"/>
      <c r="VO25" s="1852"/>
      <c r="VR25" s="1852"/>
      <c r="VU25" s="1852"/>
      <c r="VX25" s="1852"/>
      <c r="WA25" s="1852"/>
      <c r="WD25" s="1852"/>
      <c r="WG25" s="1852"/>
      <c r="WJ25" s="1852"/>
      <c r="WM25" s="1852"/>
      <c r="WP25" s="1852"/>
      <c r="WS25" s="1852"/>
      <c r="WV25" s="1852"/>
      <c r="WY25" s="1852"/>
      <c r="XB25" s="1852"/>
      <c r="XE25" s="1852"/>
      <c r="XH25" s="1852"/>
      <c r="XK25" s="1852"/>
      <c r="XN25" s="1852"/>
      <c r="XQ25" s="1852"/>
      <c r="XT25" s="1852"/>
      <c r="XW25" s="1852"/>
      <c r="XZ25" s="1852"/>
      <c r="YC25" s="1852"/>
      <c r="YF25" s="1852"/>
      <c r="YI25" s="1852"/>
      <c r="YL25" s="1852"/>
      <c r="YO25" s="1852"/>
      <c r="YR25" s="1852"/>
      <c r="YU25" s="1852"/>
      <c r="YX25" s="1852"/>
      <c r="ZA25" s="1852"/>
      <c r="ZD25" s="1852"/>
      <c r="ZG25" s="1852"/>
      <c r="ZJ25" s="1852"/>
      <c r="ZM25" s="1852"/>
      <c r="ZP25" s="1852"/>
      <c r="ZS25" s="1852"/>
      <c r="ZV25" s="1852"/>
      <c r="ZY25" s="1852"/>
      <c r="AAB25" s="1852"/>
      <c r="AAE25" s="1852"/>
      <c r="AAH25" s="1852"/>
      <c r="AAK25" s="1852"/>
      <c r="AAN25" s="1852"/>
      <c r="AAQ25" s="1852"/>
      <c r="AAT25" s="1852"/>
      <c r="AAW25" s="1852"/>
      <c r="AAZ25" s="1852"/>
      <c r="ABC25" s="1852"/>
      <c r="ABF25" s="1852"/>
      <c r="ABI25" s="1852"/>
      <c r="ABL25" s="1852"/>
      <c r="ABO25" s="1852"/>
      <c r="ABR25" s="1852"/>
      <c r="ABU25" s="1852"/>
      <c r="ABX25" s="1852"/>
      <c r="ACA25" s="1852"/>
      <c r="ACD25" s="1852"/>
      <c r="ACG25" s="1852"/>
      <c r="ACJ25" s="1852"/>
      <c r="ACM25" s="1852"/>
      <c r="ACP25" s="1852"/>
      <c r="ACS25" s="1852"/>
      <c r="ACV25" s="1852"/>
      <c r="ACY25" s="1852"/>
      <c r="ADB25" s="1852"/>
      <c r="ADE25" s="1852"/>
      <c r="ADH25" s="1852"/>
      <c r="ADK25" s="1852"/>
      <c r="ADN25" s="1852"/>
      <c r="ADQ25" s="1852"/>
      <c r="ADT25" s="1852"/>
      <c r="ADW25" s="1852"/>
      <c r="ADZ25" s="1852"/>
      <c r="AEC25" s="1852"/>
      <c r="AEF25" s="1852"/>
      <c r="AEI25" s="1852"/>
      <c r="AEL25" s="1852"/>
      <c r="AEO25" s="1852"/>
      <c r="AER25" s="1852"/>
      <c r="AEU25" s="1852"/>
      <c r="AEX25" s="1852"/>
      <c r="AFA25" s="1852"/>
      <c r="AFD25" s="1852"/>
      <c r="AFG25" s="1852"/>
      <c r="AFJ25" s="1852"/>
      <c r="AFM25" s="1852"/>
      <c r="AFP25" s="1852"/>
      <c r="AFS25" s="1852"/>
      <c r="AFV25" s="1852"/>
      <c r="AFY25" s="1852"/>
      <c r="AGB25" s="1852"/>
      <c r="AGE25" s="1852"/>
      <c r="AGH25" s="1852"/>
      <c r="AGK25" s="1852"/>
      <c r="AGN25" s="1852"/>
      <c r="AGQ25" s="1852"/>
      <c r="AGT25" s="1852"/>
      <c r="AGW25" s="1852"/>
      <c r="AGZ25" s="1852"/>
      <c r="AHC25" s="1852"/>
      <c r="AHF25" s="1852"/>
      <c r="AHI25" s="1852"/>
      <c r="AHL25" s="1852"/>
      <c r="AHO25" s="1852"/>
      <c r="AHR25" s="1852"/>
      <c r="AHU25" s="1852"/>
      <c r="AHX25" s="1852"/>
      <c r="AIA25" s="1852"/>
      <c r="AID25" s="1852"/>
      <c r="AIG25" s="1852"/>
      <c r="AIJ25" s="1852"/>
      <c r="AIM25" s="1852"/>
      <c r="AIP25" s="1852"/>
      <c r="AIS25" s="1852"/>
      <c r="AIV25" s="1852"/>
      <c r="AIY25" s="1852"/>
      <c r="AJB25" s="1852"/>
      <c r="AJE25" s="1852"/>
      <c r="AJH25" s="1852"/>
      <c r="AJK25" s="1852"/>
      <c r="AJN25" s="1852"/>
      <c r="AJQ25" s="1852"/>
      <c r="AJT25" s="1852"/>
      <c r="AJW25" s="1852"/>
      <c r="AJZ25" s="1852"/>
      <c r="AKC25" s="1852"/>
      <c r="AKF25" s="1852"/>
      <c r="AKI25" s="1852"/>
      <c r="AKL25" s="1852"/>
      <c r="AKO25" s="1852"/>
      <c r="AKR25" s="1852"/>
      <c r="AKU25" s="1852"/>
      <c r="AKX25" s="1852"/>
      <c r="ALA25" s="1852"/>
      <c r="ALD25" s="1852"/>
      <c r="ALG25" s="1852"/>
      <c r="ALJ25" s="1852"/>
      <c r="ALM25" s="1852"/>
      <c r="ALP25" s="1852"/>
      <c r="ALS25" s="1852"/>
      <c r="ALV25" s="1852"/>
      <c r="ALY25" s="1852"/>
      <c r="AMB25" s="1852"/>
      <c r="AME25" s="1852"/>
      <c r="AMH25" s="1852"/>
      <c r="AMK25" s="1852"/>
      <c r="AMN25" s="1852"/>
      <c r="AMQ25" s="1852"/>
      <c r="AMT25" s="1852"/>
      <c r="AMW25" s="1852"/>
      <c r="AMZ25" s="1852"/>
      <c r="ANC25" s="1852"/>
      <c r="ANF25" s="1852"/>
      <c r="ANI25" s="1852"/>
      <c r="ANL25" s="1852"/>
      <c r="ANO25" s="1852"/>
      <c r="ANR25" s="1852"/>
      <c r="ANU25" s="1852"/>
      <c r="ANX25" s="1852"/>
      <c r="AOA25" s="1852"/>
      <c r="AOD25" s="1852"/>
      <c r="AOG25" s="1852"/>
      <c r="AOJ25" s="1852"/>
      <c r="AOM25" s="1852"/>
      <c r="AOP25" s="1852"/>
      <c r="AOS25" s="1852"/>
      <c r="AOV25" s="1852"/>
      <c r="AOY25" s="1852"/>
      <c r="APB25" s="1852"/>
      <c r="APE25" s="1852"/>
      <c r="APH25" s="1852"/>
      <c r="APK25" s="1852"/>
      <c r="APN25" s="1852"/>
      <c r="APQ25" s="1852"/>
      <c r="APT25" s="1852"/>
      <c r="APW25" s="1852"/>
      <c r="APZ25" s="1852"/>
      <c r="AQC25" s="1852"/>
      <c r="AQF25" s="1852"/>
      <c r="AQI25" s="1852"/>
      <c r="AQL25" s="1852"/>
      <c r="AQO25" s="1852"/>
      <c r="AQR25" s="1852"/>
      <c r="AQU25" s="1852"/>
      <c r="AQX25" s="1852"/>
      <c r="ARA25" s="1852"/>
      <c r="ARD25" s="1852"/>
      <c r="ARG25" s="1852"/>
      <c r="ARJ25" s="1852"/>
      <c r="ARM25" s="1852"/>
      <c r="ARP25" s="1852"/>
      <c r="ARS25" s="1852"/>
      <c r="ARV25" s="1852"/>
      <c r="ARY25" s="1852"/>
      <c r="ASB25" s="1852"/>
      <c r="ASE25" s="1852"/>
      <c r="ASH25" s="1852"/>
      <c r="ASK25" s="1852"/>
      <c r="ASN25" s="1852"/>
      <c r="ASQ25" s="1852"/>
      <c r="AST25" s="1852"/>
      <c r="ASW25" s="1852"/>
      <c r="ASZ25" s="1852"/>
      <c r="ATC25" s="1852"/>
      <c r="ATF25" s="1852"/>
      <c r="ATI25" s="1852"/>
      <c r="ATL25" s="1852"/>
      <c r="ATO25" s="1852"/>
      <c r="ATR25" s="1852"/>
      <c r="ATU25" s="1852"/>
      <c r="ATX25" s="1852"/>
      <c r="AUA25" s="1852"/>
      <c r="AUD25" s="1852"/>
      <c r="AUG25" s="1852"/>
      <c r="AUJ25" s="1852"/>
      <c r="AUM25" s="1852"/>
      <c r="AUP25" s="1852"/>
      <c r="AUS25" s="1852"/>
      <c r="AUV25" s="1852"/>
      <c r="AUY25" s="1852"/>
      <c r="AVB25" s="1852"/>
      <c r="AVE25" s="1852"/>
      <c r="AVH25" s="1852"/>
      <c r="AVK25" s="1852"/>
      <c r="AVN25" s="1852"/>
      <c r="AVQ25" s="1852"/>
      <c r="AVT25" s="1852"/>
      <c r="AVW25" s="1852"/>
      <c r="AVZ25" s="1852"/>
      <c r="AWC25" s="1852"/>
      <c r="AWF25" s="1852"/>
      <c r="AWI25" s="1852"/>
      <c r="AWL25" s="1852"/>
      <c r="AWO25" s="1852"/>
      <c r="AWR25" s="1852"/>
      <c r="AWU25" s="1852"/>
      <c r="AWX25" s="1852"/>
      <c r="AXA25" s="1852"/>
      <c r="AXD25" s="1852"/>
      <c r="AXG25" s="1852"/>
      <c r="AXJ25" s="1852"/>
      <c r="AXM25" s="1852"/>
      <c r="AXP25" s="1852"/>
      <c r="AXS25" s="1852"/>
      <c r="AXV25" s="1852"/>
      <c r="AXY25" s="1852"/>
      <c r="AYB25" s="1852"/>
      <c r="AYE25" s="1852"/>
      <c r="AYH25" s="1852"/>
      <c r="AYK25" s="1852"/>
      <c r="AYN25" s="1852"/>
      <c r="AYQ25" s="1852"/>
      <c r="AYT25" s="1852"/>
      <c r="AYW25" s="1852"/>
      <c r="AYZ25" s="1852"/>
      <c r="AZC25" s="1852"/>
      <c r="AZF25" s="1852"/>
      <c r="AZI25" s="1852"/>
      <c r="AZL25" s="1852"/>
      <c r="AZO25" s="1852"/>
      <c r="AZR25" s="1852"/>
      <c r="AZU25" s="1852"/>
      <c r="AZX25" s="1852"/>
      <c r="BAA25" s="1852"/>
      <c r="BAD25" s="1852"/>
      <c r="BAG25" s="1852"/>
      <c r="BAJ25" s="1852"/>
      <c r="BAM25" s="1852"/>
      <c r="BAP25" s="1852"/>
      <c r="BAS25" s="1852"/>
      <c r="BAV25" s="1852"/>
      <c r="BAY25" s="1852"/>
      <c r="BBB25" s="1852"/>
      <c r="BBE25" s="1852"/>
      <c r="BBH25" s="1852"/>
      <c r="BBK25" s="1852"/>
      <c r="BBN25" s="1852"/>
      <c r="BBQ25" s="1852"/>
      <c r="BBT25" s="1852"/>
      <c r="BBW25" s="1852"/>
      <c r="BBZ25" s="1852"/>
      <c r="BCC25" s="1852"/>
      <c r="BCF25" s="1852"/>
      <c r="BCI25" s="1852"/>
      <c r="BCL25" s="1852"/>
      <c r="BCO25" s="1852"/>
      <c r="BCR25" s="1852"/>
      <c r="BCU25" s="1852"/>
      <c r="BCX25" s="1852"/>
      <c r="BDA25" s="1852"/>
      <c r="BDD25" s="1852"/>
      <c r="BDG25" s="1852"/>
      <c r="BDJ25" s="1852"/>
      <c r="BDM25" s="1852"/>
      <c r="BDP25" s="1852"/>
      <c r="BDS25" s="1852"/>
      <c r="BDV25" s="1852"/>
      <c r="BDY25" s="1852"/>
      <c r="BEB25" s="1852"/>
      <c r="BEE25" s="1852"/>
      <c r="BEH25" s="1852"/>
      <c r="BEK25" s="1852"/>
      <c r="BEN25" s="1852"/>
      <c r="BEQ25" s="1852"/>
      <c r="BET25" s="1852"/>
      <c r="BEW25" s="1852"/>
      <c r="BEZ25" s="1852"/>
      <c r="BFC25" s="1852"/>
      <c r="BFF25" s="1852"/>
      <c r="BFI25" s="1852"/>
      <c r="BFL25" s="1852"/>
      <c r="BFO25" s="1852"/>
      <c r="BFR25" s="1852"/>
      <c r="BFU25" s="1852"/>
      <c r="BFX25" s="1852"/>
      <c r="BGA25" s="1852"/>
      <c r="BGD25" s="1852"/>
      <c r="BGG25" s="1852"/>
      <c r="BGJ25" s="1852"/>
      <c r="BGM25" s="1852"/>
      <c r="BGP25" s="1852"/>
      <c r="BGS25" s="1852"/>
      <c r="BGV25" s="1852"/>
      <c r="BGY25" s="1852"/>
      <c r="BHB25" s="1852"/>
      <c r="BHE25" s="1852"/>
      <c r="BHH25" s="1852"/>
      <c r="BHK25" s="1852"/>
      <c r="BHN25" s="1852"/>
      <c r="BHQ25" s="1852"/>
      <c r="BHT25" s="1852"/>
      <c r="BHW25" s="1852"/>
      <c r="BHZ25" s="1852"/>
      <c r="BIC25" s="1852"/>
      <c r="BIF25" s="1852"/>
      <c r="BII25" s="1852"/>
      <c r="BIL25" s="1852"/>
      <c r="BIO25" s="1852"/>
      <c r="BIR25" s="1852"/>
      <c r="BIU25" s="1852"/>
      <c r="BIX25" s="1852"/>
      <c r="BJA25" s="1852"/>
      <c r="BJD25" s="1852"/>
      <c r="BJG25" s="1852"/>
      <c r="BJJ25" s="1852"/>
      <c r="BJM25" s="1852"/>
      <c r="BJP25" s="1852"/>
      <c r="BJS25" s="1852"/>
      <c r="BJV25" s="1852"/>
      <c r="BJY25" s="1852"/>
      <c r="BKB25" s="1852"/>
      <c r="BKE25" s="1852"/>
      <c r="BKH25" s="1852"/>
      <c r="BKK25" s="1852"/>
      <c r="BKN25" s="1852"/>
      <c r="BKQ25" s="1852"/>
      <c r="BKT25" s="1852"/>
      <c r="BKW25" s="1852"/>
      <c r="BKZ25" s="1852"/>
      <c r="BLC25" s="1852"/>
      <c r="BLF25" s="1852"/>
      <c r="BLI25" s="1852"/>
      <c r="BLL25" s="1852"/>
      <c r="BLO25" s="1852"/>
      <c r="BLR25" s="1852"/>
      <c r="BLU25" s="1852"/>
      <c r="BLX25" s="1852"/>
      <c r="BMA25" s="1852"/>
      <c r="BMD25" s="1852"/>
      <c r="BMG25" s="1852"/>
      <c r="BMJ25" s="1852"/>
      <c r="BMM25" s="1852"/>
      <c r="BMP25" s="1852"/>
      <c r="BMS25" s="1852"/>
      <c r="BMV25" s="1852"/>
      <c r="BMY25" s="1852"/>
      <c r="BNB25" s="1852"/>
      <c r="BNE25" s="1852"/>
      <c r="BNH25" s="1852"/>
      <c r="BNK25" s="1852"/>
      <c r="BNN25" s="1852"/>
      <c r="BNQ25" s="1852"/>
      <c r="BNT25" s="1852"/>
      <c r="BNW25" s="1852"/>
      <c r="BNZ25" s="1852"/>
      <c r="BOC25" s="1852"/>
      <c r="BOF25" s="1852"/>
      <c r="BOI25" s="1852"/>
      <c r="BOL25" s="1852"/>
      <c r="BOO25" s="1852"/>
      <c r="BOR25" s="1852"/>
      <c r="BOU25" s="1852"/>
      <c r="BOX25" s="1852"/>
      <c r="BPA25" s="1852"/>
      <c r="BPD25" s="1852"/>
      <c r="BPG25" s="1852"/>
      <c r="BPJ25" s="1852"/>
      <c r="BPM25" s="1852"/>
      <c r="BPP25" s="1852"/>
      <c r="BPS25" s="1852"/>
      <c r="BPV25" s="1852"/>
      <c r="BPY25" s="1852"/>
      <c r="BQB25" s="1852"/>
      <c r="BQE25" s="1852"/>
      <c r="BQH25" s="1852"/>
      <c r="BQK25" s="1852"/>
      <c r="BQN25" s="1852"/>
      <c r="BQQ25" s="1852"/>
      <c r="BQT25" s="1852"/>
      <c r="BQW25" s="1852"/>
      <c r="BQZ25" s="1852"/>
      <c r="BRC25" s="1852"/>
      <c r="BRF25" s="1852"/>
      <c r="BRI25" s="1852"/>
      <c r="BRL25" s="1852"/>
      <c r="BRO25" s="1852"/>
      <c r="BRR25" s="1852"/>
      <c r="BRU25" s="1852"/>
      <c r="BRX25" s="1852"/>
      <c r="BSA25" s="1852"/>
      <c r="BSD25" s="1852"/>
      <c r="BSG25" s="1852"/>
      <c r="BSJ25" s="1852"/>
      <c r="BSM25" s="1852"/>
      <c r="BSP25" s="1852"/>
      <c r="BSS25" s="1852"/>
      <c r="BSV25" s="1852"/>
      <c r="BSY25" s="1852"/>
      <c r="BTB25" s="1852"/>
      <c r="BTE25" s="1852"/>
      <c r="BTH25" s="1852"/>
      <c r="BTK25" s="1852"/>
      <c r="BTN25" s="1852"/>
      <c r="BTQ25" s="1852"/>
      <c r="BTT25" s="1852"/>
      <c r="BTW25" s="1852"/>
      <c r="BTZ25" s="1852"/>
      <c r="BUC25" s="1852"/>
      <c r="BUF25" s="1852"/>
      <c r="BUI25" s="1852"/>
      <c r="BUL25" s="1852"/>
      <c r="BUO25" s="1852"/>
      <c r="BUR25" s="1852"/>
      <c r="BUU25" s="1852"/>
      <c r="BUX25" s="1852"/>
      <c r="BVA25" s="1852"/>
      <c r="BVD25" s="1852"/>
      <c r="BVG25" s="1852"/>
      <c r="BVJ25" s="1852"/>
      <c r="BVM25" s="1852"/>
      <c r="BVP25" s="1852"/>
      <c r="BVS25" s="1852"/>
      <c r="BVV25" s="1852"/>
      <c r="BVY25" s="1852"/>
      <c r="BWB25" s="1852"/>
      <c r="BWE25" s="1852"/>
      <c r="BWH25" s="1852"/>
      <c r="BWK25" s="1852"/>
      <c r="BWN25" s="1852"/>
      <c r="BWQ25" s="1852"/>
      <c r="BWT25" s="1852"/>
      <c r="BWW25" s="1852"/>
      <c r="BWZ25" s="1852"/>
      <c r="BXC25" s="1852"/>
      <c r="BXF25" s="1852"/>
      <c r="BXI25" s="1852"/>
      <c r="BXL25" s="1852"/>
      <c r="BXO25" s="1852"/>
      <c r="BXR25" s="1852"/>
      <c r="BXU25" s="1852"/>
      <c r="BXX25" s="1852"/>
      <c r="BYA25" s="1852"/>
      <c r="BYD25" s="1852"/>
      <c r="BYG25" s="1852"/>
      <c r="BYJ25" s="1852"/>
      <c r="BYM25" s="1852"/>
      <c r="BYP25" s="1852"/>
      <c r="BYS25" s="1852"/>
      <c r="BYV25" s="1852"/>
      <c r="BYY25" s="1852"/>
      <c r="BZB25" s="1852"/>
      <c r="BZE25" s="1852"/>
      <c r="BZH25" s="1852"/>
      <c r="BZK25" s="1852"/>
      <c r="BZN25" s="1852"/>
      <c r="BZQ25" s="1852"/>
      <c r="BZT25" s="1852"/>
      <c r="BZW25" s="1852"/>
      <c r="BZZ25" s="1852"/>
      <c r="CAC25" s="1852"/>
      <c r="CAF25" s="1852"/>
      <c r="CAI25" s="1852"/>
      <c r="CAL25" s="1852"/>
      <c r="CAO25" s="1852"/>
      <c r="CAR25" s="1852"/>
      <c r="CAU25" s="1852"/>
      <c r="CAX25" s="1852"/>
      <c r="CBA25" s="1852"/>
      <c r="CBD25" s="1852"/>
      <c r="CBG25" s="1852"/>
      <c r="CBJ25" s="1852"/>
      <c r="CBM25" s="1852"/>
      <c r="CBP25" s="1852"/>
      <c r="CBS25" s="1852"/>
      <c r="CBV25" s="1852"/>
      <c r="CBY25" s="1852"/>
      <c r="CCB25" s="1852"/>
      <c r="CCE25" s="1852"/>
      <c r="CCH25" s="1852"/>
      <c r="CCK25" s="1852"/>
      <c r="CCN25" s="1852"/>
      <c r="CCQ25" s="1852"/>
      <c r="CCT25" s="1852"/>
      <c r="CCW25" s="1852"/>
      <c r="CCZ25" s="1852"/>
      <c r="CDC25" s="1852"/>
      <c r="CDF25" s="1852"/>
      <c r="CDI25" s="1852"/>
      <c r="CDL25" s="1852"/>
      <c r="CDO25" s="1852"/>
      <c r="CDR25" s="1852"/>
      <c r="CDU25" s="1852"/>
      <c r="CDX25" s="1852"/>
      <c r="CEA25" s="1852"/>
      <c r="CED25" s="1852"/>
      <c r="CEG25" s="1852"/>
      <c r="CEJ25" s="1852"/>
      <c r="CEM25" s="1852"/>
      <c r="CEP25" s="1852"/>
      <c r="CES25" s="1852"/>
      <c r="CEV25" s="1852"/>
      <c r="CEY25" s="1852"/>
      <c r="CFB25" s="1852"/>
      <c r="CFE25" s="1852"/>
      <c r="CFH25" s="1852"/>
      <c r="CFK25" s="1852"/>
      <c r="CFN25" s="1852"/>
      <c r="CFQ25" s="1852"/>
      <c r="CFT25" s="1852"/>
      <c r="CFW25" s="1852"/>
      <c r="CFZ25" s="1852"/>
      <c r="CGC25" s="1852"/>
      <c r="CGF25" s="1852"/>
      <c r="CGI25" s="1852"/>
      <c r="CGL25" s="1852"/>
      <c r="CGO25" s="1852"/>
      <c r="CGR25" s="1852"/>
      <c r="CGU25" s="1852"/>
      <c r="CGX25" s="1852"/>
      <c r="CHA25" s="1852"/>
      <c r="CHD25" s="1852"/>
      <c r="CHG25" s="1852"/>
      <c r="CHJ25" s="1852"/>
      <c r="CHM25" s="1852"/>
      <c r="CHP25" s="1852"/>
      <c r="CHS25" s="1852"/>
      <c r="CHV25" s="1852"/>
      <c r="CHY25" s="1852"/>
      <c r="CIB25" s="1852"/>
      <c r="CIE25" s="1852"/>
      <c r="CIH25" s="1852"/>
      <c r="CIK25" s="1852"/>
      <c r="CIN25" s="1852"/>
      <c r="CIQ25" s="1852"/>
      <c r="CIT25" s="1852"/>
      <c r="CIW25" s="1852"/>
      <c r="CIZ25" s="1852"/>
      <c r="CJC25" s="1852"/>
      <c r="CJF25" s="1852"/>
      <c r="CJI25" s="1852"/>
      <c r="CJL25" s="1852"/>
      <c r="CJO25" s="1852"/>
      <c r="CJR25" s="1852"/>
      <c r="CJU25" s="1852"/>
      <c r="CJX25" s="1852"/>
      <c r="CKA25" s="1852"/>
      <c r="CKD25" s="1852"/>
      <c r="CKG25" s="1852"/>
      <c r="CKJ25" s="1852"/>
      <c r="CKM25" s="1852"/>
      <c r="CKP25" s="1852"/>
      <c r="CKS25" s="1852"/>
      <c r="CKV25" s="1852"/>
      <c r="CKY25" s="1852"/>
      <c r="CLB25" s="1852"/>
      <c r="CLE25" s="1852"/>
      <c r="CLH25" s="1852"/>
      <c r="CLK25" s="1852"/>
      <c r="CLN25" s="1852"/>
      <c r="CLQ25" s="1852"/>
      <c r="CLT25" s="1852"/>
      <c r="CLW25" s="1852"/>
      <c r="CLZ25" s="1852"/>
      <c r="CMC25" s="1852"/>
      <c r="CMF25" s="1852"/>
      <c r="CMI25" s="1852"/>
      <c r="CML25" s="1852"/>
      <c r="CMO25" s="1852"/>
      <c r="CMR25" s="1852"/>
      <c r="CMU25" s="1852"/>
      <c r="CMX25" s="1852"/>
      <c r="CNA25" s="1852"/>
      <c r="CND25" s="1852"/>
      <c r="CNG25" s="1852"/>
      <c r="CNJ25" s="1852"/>
      <c r="CNM25" s="1852"/>
      <c r="CNP25" s="1852"/>
      <c r="CNS25" s="1852"/>
      <c r="CNV25" s="1852"/>
      <c r="CNY25" s="1852"/>
      <c r="COB25" s="1852"/>
      <c r="COE25" s="1852"/>
      <c r="COH25" s="1852"/>
      <c r="COK25" s="1852"/>
      <c r="CON25" s="1852"/>
      <c r="COQ25" s="1852"/>
      <c r="COT25" s="1852"/>
      <c r="COW25" s="1852"/>
      <c r="COZ25" s="1852"/>
      <c r="CPC25" s="1852"/>
      <c r="CPF25" s="1852"/>
      <c r="CPI25" s="1852"/>
      <c r="CPL25" s="1852"/>
      <c r="CPO25" s="1852"/>
      <c r="CPR25" s="1852"/>
      <c r="CPU25" s="1852"/>
      <c r="CPX25" s="1852"/>
      <c r="CQA25" s="1852"/>
      <c r="CQD25" s="1852"/>
      <c r="CQG25" s="1852"/>
      <c r="CQJ25" s="1852"/>
      <c r="CQM25" s="1852"/>
      <c r="CQP25" s="1852"/>
      <c r="CQS25" s="1852"/>
      <c r="CQV25" s="1852"/>
      <c r="CQY25" s="1852"/>
      <c r="CRB25" s="1852"/>
      <c r="CRE25" s="1852"/>
      <c r="CRH25" s="1852"/>
      <c r="CRK25" s="1852"/>
      <c r="CRN25" s="1852"/>
      <c r="CRQ25" s="1852"/>
      <c r="CRT25" s="1852"/>
      <c r="CRW25" s="1852"/>
      <c r="CRZ25" s="1852"/>
      <c r="CSC25" s="1852"/>
      <c r="CSF25" s="1852"/>
      <c r="CSI25" s="1852"/>
      <c r="CSL25" s="1852"/>
      <c r="CSO25" s="1852"/>
      <c r="CSR25" s="1852"/>
      <c r="CSU25" s="1852"/>
      <c r="CSX25" s="1852"/>
      <c r="CTA25" s="1852"/>
      <c r="CTD25" s="1852"/>
      <c r="CTG25" s="1852"/>
      <c r="CTJ25" s="1852"/>
      <c r="CTM25" s="1852"/>
      <c r="CTP25" s="1852"/>
      <c r="CTS25" s="1852"/>
      <c r="CTV25" s="1852"/>
      <c r="CTY25" s="1852"/>
      <c r="CUB25" s="1852"/>
      <c r="CUE25" s="1852"/>
      <c r="CUH25" s="1852"/>
      <c r="CUK25" s="1852"/>
      <c r="CUN25" s="1852"/>
      <c r="CUQ25" s="1852"/>
      <c r="CUT25" s="1852"/>
      <c r="CUW25" s="1852"/>
      <c r="CUZ25" s="1852"/>
      <c r="CVC25" s="1852"/>
      <c r="CVF25" s="1852"/>
      <c r="CVI25" s="1852"/>
      <c r="CVL25" s="1852"/>
      <c r="CVO25" s="1852"/>
      <c r="CVR25" s="1852"/>
      <c r="CVU25" s="1852"/>
      <c r="CVX25" s="1852"/>
      <c r="CWA25" s="1852"/>
      <c r="CWD25" s="1852"/>
      <c r="CWG25" s="1852"/>
      <c r="CWJ25" s="1852"/>
      <c r="CWM25" s="1852"/>
      <c r="CWP25" s="1852"/>
      <c r="CWS25" s="1852"/>
      <c r="CWV25" s="1852"/>
      <c r="CWY25" s="1852"/>
      <c r="CXB25" s="1852"/>
      <c r="CXE25" s="1852"/>
      <c r="CXH25" s="1852"/>
      <c r="CXK25" s="1852"/>
      <c r="CXN25" s="1852"/>
      <c r="CXQ25" s="1852"/>
      <c r="CXT25" s="1852"/>
      <c r="CXW25" s="1852"/>
      <c r="CXZ25" s="1852"/>
      <c r="CYC25" s="1852"/>
      <c r="CYF25" s="1852"/>
      <c r="CYI25" s="1852"/>
      <c r="CYL25" s="1852"/>
      <c r="CYO25" s="1852"/>
      <c r="CYR25" s="1852"/>
      <c r="CYU25" s="1852"/>
      <c r="CYX25" s="1852"/>
      <c r="CZA25" s="1852"/>
      <c r="CZD25" s="1852"/>
      <c r="CZG25" s="1852"/>
      <c r="CZJ25" s="1852"/>
      <c r="CZM25" s="1852"/>
      <c r="CZP25" s="1852"/>
      <c r="CZS25" s="1852"/>
      <c r="CZV25" s="1852"/>
      <c r="CZY25" s="1852"/>
      <c r="DAB25" s="1852"/>
      <c r="DAE25" s="1852"/>
      <c r="DAH25" s="1852"/>
      <c r="DAK25" s="1852"/>
      <c r="DAN25" s="1852"/>
      <c r="DAQ25" s="1852"/>
      <c r="DAT25" s="1852"/>
      <c r="DAW25" s="1852"/>
      <c r="DAZ25" s="1852"/>
      <c r="DBC25" s="1852"/>
      <c r="DBF25" s="1852"/>
      <c r="DBI25" s="1852"/>
      <c r="DBL25" s="1852"/>
      <c r="DBO25" s="1852"/>
      <c r="DBR25" s="1852"/>
      <c r="DBU25" s="1852"/>
      <c r="DBX25" s="1852"/>
      <c r="DCA25" s="1852"/>
      <c r="DCD25" s="1852"/>
      <c r="DCG25" s="1852"/>
      <c r="DCJ25" s="1852"/>
      <c r="DCM25" s="1852"/>
      <c r="DCP25" s="1852"/>
      <c r="DCS25" s="1852"/>
      <c r="DCV25" s="1852"/>
      <c r="DCY25" s="1852"/>
      <c r="DDB25" s="1852"/>
      <c r="DDE25" s="1852"/>
      <c r="DDH25" s="1852"/>
      <c r="DDK25" s="1852"/>
      <c r="DDN25" s="1852"/>
      <c r="DDQ25" s="1852"/>
      <c r="DDT25" s="1852"/>
      <c r="DDW25" s="1852"/>
      <c r="DDZ25" s="1852"/>
      <c r="DEC25" s="1852"/>
      <c r="DEF25" s="1852"/>
      <c r="DEI25" s="1852"/>
      <c r="DEL25" s="1852"/>
      <c r="DEO25" s="1852"/>
      <c r="DER25" s="1852"/>
      <c r="DEU25" s="1852"/>
      <c r="DEX25" s="1852"/>
      <c r="DFA25" s="1852"/>
      <c r="DFD25" s="1852"/>
      <c r="DFG25" s="1852"/>
      <c r="DFJ25" s="1852"/>
      <c r="DFM25" s="1852"/>
      <c r="DFP25" s="1852"/>
      <c r="DFS25" s="1852"/>
      <c r="DFV25" s="1852"/>
      <c r="DFY25" s="1852"/>
      <c r="DGB25" s="1852"/>
      <c r="DGE25" s="1852"/>
      <c r="DGH25" s="1852"/>
      <c r="DGK25" s="1852"/>
      <c r="DGN25" s="1852"/>
      <c r="DGQ25" s="1852"/>
      <c r="DGT25" s="1852"/>
      <c r="DGW25" s="1852"/>
      <c r="DGZ25" s="1852"/>
      <c r="DHC25" s="1852"/>
      <c r="DHF25" s="1852"/>
      <c r="DHI25" s="1852"/>
      <c r="DHL25" s="1852"/>
      <c r="DHO25" s="1852"/>
      <c r="DHR25" s="1852"/>
      <c r="DHU25" s="1852"/>
      <c r="DHX25" s="1852"/>
      <c r="DIA25" s="1852"/>
      <c r="DID25" s="1852"/>
      <c r="DIG25" s="1852"/>
      <c r="DIJ25" s="1852"/>
      <c r="DIM25" s="1852"/>
      <c r="DIP25" s="1852"/>
      <c r="DIS25" s="1852"/>
      <c r="DIV25" s="1852"/>
      <c r="DIY25" s="1852"/>
      <c r="DJB25" s="1852"/>
      <c r="DJE25" s="1852"/>
      <c r="DJH25" s="1852"/>
      <c r="DJK25" s="1852"/>
      <c r="DJN25" s="1852"/>
      <c r="DJQ25" s="1852"/>
      <c r="DJT25" s="1852"/>
      <c r="DJW25" s="1852"/>
      <c r="DJZ25" s="1852"/>
      <c r="DKC25" s="1852"/>
      <c r="DKF25" s="1852"/>
      <c r="DKI25" s="1852"/>
      <c r="DKL25" s="1852"/>
      <c r="DKO25" s="1852"/>
      <c r="DKR25" s="1852"/>
      <c r="DKU25" s="1852"/>
      <c r="DKX25" s="1852"/>
      <c r="DLA25" s="1852"/>
      <c r="DLD25" s="1852"/>
      <c r="DLG25" s="1852"/>
      <c r="DLJ25" s="1852"/>
      <c r="DLM25" s="1852"/>
      <c r="DLP25" s="1852"/>
      <c r="DLS25" s="1852"/>
      <c r="DLV25" s="1852"/>
      <c r="DLY25" s="1852"/>
      <c r="DMB25" s="1852"/>
      <c r="DME25" s="1852"/>
      <c r="DMH25" s="1852"/>
      <c r="DMK25" s="1852"/>
      <c r="DMN25" s="1852"/>
      <c r="DMQ25" s="1852"/>
      <c r="DMT25" s="1852"/>
      <c r="DMW25" s="1852"/>
      <c r="DMZ25" s="1852"/>
      <c r="DNC25" s="1852"/>
      <c r="DNF25" s="1852"/>
      <c r="DNI25" s="1852"/>
      <c r="DNL25" s="1852"/>
      <c r="DNO25" s="1852"/>
      <c r="DNR25" s="1852"/>
      <c r="DNU25" s="1852"/>
      <c r="DNX25" s="1852"/>
      <c r="DOA25" s="1852"/>
      <c r="DOD25" s="1852"/>
      <c r="DOG25" s="1852"/>
      <c r="DOJ25" s="1852"/>
      <c r="DOM25" s="1852"/>
      <c r="DOP25" s="1852"/>
      <c r="DOS25" s="1852"/>
      <c r="DOV25" s="1852"/>
      <c r="DOY25" s="1852"/>
      <c r="DPB25" s="1852"/>
      <c r="DPE25" s="1852"/>
      <c r="DPH25" s="1852"/>
      <c r="DPK25" s="1852"/>
      <c r="DPN25" s="1852"/>
      <c r="DPQ25" s="1852"/>
      <c r="DPT25" s="1852"/>
      <c r="DPW25" s="1852"/>
      <c r="DPZ25" s="1852"/>
      <c r="DQC25" s="1852"/>
      <c r="DQF25" s="1852"/>
      <c r="DQI25" s="1852"/>
      <c r="DQL25" s="1852"/>
      <c r="DQO25" s="1852"/>
      <c r="DQR25" s="1852"/>
      <c r="DQU25" s="1852"/>
      <c r="DQX25" s="1852"/>
      <c r="DRA25" s="1852"/>
      <c r="DRD25" s="1852"/>
      <c r="DRG25" s="1852"/>
      <c r="DRJ25" s="1852"/>
      <c r="DRM25" s="1852"/>
      <c r="DRP25" s="1852"/>
      <c r="DRS25" s="1852"/>
      <c r="DRV25" s="1852"/>
      <c r="DRY25" s="1852"/>
      <c r="DSB25" s="1852"/>
      <c r="DSE25" s="1852"/>
      <c r="DSH25" s="1852"/>
      <c r="DSK25" s="1852"/>
      <c r="DSN25" s="1852"/>
      <c r="DSQ25" s="1852"/>
      <c r="DST25" s="1852"/>
      <c r="DSW25" s="1852"/>
      <c r="DSZ25" s="1852"/>
      <c r="DTC25" s="1852"/>
      <c r="DTF25" s="1852"/>
      <c r="DTI25" s="1852"/>
      <c r="DTL25" s="1852"/>
      <c r="DTO25" s="1852"/>
      <c r="DTR25" s="1852"/>
      <c r="DTU25" s="1852"/>
      <c r="DTX25" s="1852"/>
      <c r="DUA25" s="1852"/>
      <c r="DUD25" s="1852"/>
      <c r="DUG25" s="1852"/>
      <c r="DUJ25" s="1852"/>
      <c r="DUM25" s="1852"/>
      <c r="DUP25" s="1852"/>
      <c r="DUS25" s="1852"/>
      <c r="DUV25" s="1852"/>
      <c r="DUY25" s="1852"/>
      <c r="DVB25" s="1852"/>
      <c r="DVE25" s="1852"/>
      <c r="DVH25" s="1852"/>
      <c r="DVK25" s="1852"/>
      <c r="DVN25" s="1852"/>
      <c r="DVQ25" s="1852"/>
      <c r="DVT25" s="1852"/>
      <c r="DVW25" s="1852"/>
      <c r="DVZ25" s="1852"/>
      <c r="DWC25" s="1852"/>
      <c r="DWF25" s="1852"/>
      <c r="DWI25" s="1852"/>
      <c r="DWL25" s="1852"/>
      <c r="DWO25" s="1852"/>
      <c r="DWR25" s="1852"/>
      <c r="DWU25" s="1852"/>
      <c r="DWX25" s="1852"/>
      <c r="DXA25" s="1852"/>
      <c r="DXD25" s="1852"/>
      <c r="DXG25" s="1852"/>
      <c r="DXJ25" s="1852"/>
      <c r="DXM25" s="1852"/>
      <c r="DXP25" s="1852"/>
      <c r="DXS25" s="1852"/>
      <c r="DXV25" s="1852"/>
      <c r="DXY25" s="1852"/>
      <c r="DYB25" s="1852"/>
      <c r="DYE25" s="1852"/>
      <c r="DYH25" s="1852"/>
      <c r="DYK25" s="1852"/>
      <c r="DYN25" s="1852"/>
      <c r="DYQ25" s="1852"/>
      <c r="DYT25" s="1852"/>
      <c r="DYW25" s="1852"/>
      <c r="DYZ25" s="1852"/>
      <c r="DZC25" s="1852"/>
      <c r="DZF25" s="1852"/>
      <c r="DZI25" s="1852"/>
      <c r="DZL25" s="1852"/>
      <c r="DZO25" s="1852"/>
      <c r="DZR25" s="1852"/>
      <c r="DZU25" s="1852"/>
      <c r="DZX25" s="1852"/>
      <c r="EAA25" s="1852"/>
      <c r="EAD25" s="1852"/>
      <c r="EAG25" s="1852"/>
      <c r="EAJ25" s="1852"/>
      <c r="EAM25" s="1852"/>
      <c r="EAP25" s="1852"/>
      <c r="EAS25" s="1852"/>
      <c r="EAV25" s="1852"/>
      <c r="EAY25" s="1852"/>
      <c r="EBB25" s="1852"/>
      <c r="EBE25" s="1852"/>
      <c r="EBH25" s="1852"/>
      <c r="EBK25" s="1852"/>
      <c r="EBN25" s="1852"/>
      <c r="EBQ25" s="1852"/>
      <c r="EBT25" s="1852"/>
      <c r="EBW25" s="1852"/>
      <c r="EBZ25" s="1852"/>
      <c r="ECC25" s="1852"/>
      <c r="ECF25" s="1852"/>
      <c r="ECI25" s="1852"/>
      <c r="ECL25" s="1852"/>
      <c r="ECO25" s="1852"/>
      <c r="ECR25" s="1852"/>
      <c r="ECU25" s="1852"/>
      <c r="ECX25" s="1852"/>
      <c r="EDA25" s="1852"/>
      <c r="EDD25" s="1852"/>
      <c r="EDG25" s="1852"/>
      <c r="EDJ25" s="1852"/>
      <c r="EDM25" s="1852"/>
      <c r="EDP25" s="1852"/>
      <c r="EDS25" s="1852"/>
      <c r="EDV25" s="1852"/>
      <c r="EDY25" s="1852"/>
      <c r="EEB25" s="1852"/>
      <c r="EEE25" s="1852"/>
      <c r="EEH25" s="1852"/>
      <c r="EEK25" s="1852"/>
      <c r="EEN25" s="1852"/>
      <c r="EEQ25" s="1852"/>
      <c r="EET25" s="1852"/>
      <c r="EEW25" s="1852"/>
      <c r="EEZ25" s="1852"/>
      <c r="EFC25" s="1852"/>
      <c r="EFF25" s="1852"/>
      <c r="EFI25" s="1852"/>
      <c r="EFL25" s="1852"/>
      <c r="EFO25" s="1852"/>
      <c r="EFR25" s="1852"/>
      <c r="EFU25" s="1852"/>
      <c r="EFX25" s="1852"/>
      <c r="EGA25" s="1852"/>
      <c r="EGD25" s="1852"/>
      <c r="EGG25" s="1852"/>
      <c r="EGJ25" s="1852"/>
      <c r="EGM25" s="1852"/>
      <c r="EGP25" s="1852"/>
      <c r="EGS25" s="1852"/>
      <c r="EGV25" s="1852"/>
      <c r="EGY25" s="1852"/>
      <c r="EHB25" s="1852"/>
      <c r="EHE25" s="1852"/>
      <c r="EHH25" s="1852"/>
      <c r="EHK25" s="1852"/>
      <c r="EHN25" s="1852"/>
      <c r="EHQ25" s="1852"/>
      <c r="EHT25" s="1852"/>
      <c r="EHW25" s="1852"/>
      <c r="EHZ25" s="1852"/>
      <c r="EIC25" s="1852"/>
      <c r="EIF25" s="1852"/>
      <c r="EII25" s="1852"/>
      <c r="EIL25" s="1852"/>
      <c r="EIO25" s="1852"/>
      <c r="EIR25" s="1852"/>
      <c r="EIU25" s="1852"/>
      <c r="EIX25" s="1852"/>
      <c r="EJA25" s="1852"/>
      <c r="EJD25" s="1852"/>
      <c r="EJG25" s="1852"/>
      <c r="EJJ25" s="1852"/>
      <c r="EJM25" s="1852"/>
      <c r="EJP25" s="1852"/>
      <c r="EJS25" s="1852"/>
      <c r="EJV25" s="1852"/>
      <c r="EJY25" s="1852"/>
      <c r="EKB25" s="1852"/>
      <c r="EKE25" s="1852"/>
      <c r="EKH25" s="1852"/>
      <c r="EKK25" s="1852"/>
      <c r="EKN25" s="1852"/>
      <c r="EKQ25" s="1852"/>
      <c r="EKT25" s="1852"/>
      <c r="EKW25" s="1852"/>
      <c r="EKZ25" s="1852"/>
      <c r="ELC25" s="1852"/>
      <c r="ELF25" s="1852"/>
      <c r="ELI25" s="1852"/>
      <c r="ELL25" s="1852"/>
      <c r="ELO25" s="1852"/>
      <c r="ELR25" s="1852"/>
      <c r="ELU25" s="1852"/>
      <c r="ELX25" s="1852"/>
      <c r="EMA25" s="1852"/>
      <c r="EMD25" s="1852"/>
      <c r="EMG25" s="1852"/>
      <c r="EMJ25" s="1852"/>
      <c r="EMM25" s="1852"/>
      <c r="EMP25" s="1852"/>
      <c r="EMS25" s="1852"/>
      <c r="EMV25" s="1852"/>
      <c r="EMY25" s="1852"/>
      <c r="ENB25" s="1852"/>
      <c r="ENE25" s="1852"/>
      <c r="ENH25" s="1852"/>
      <c r="ENK25" s="1852"/>
      <c r="ENN25" s="1852"/>
      <c r="ENQ25" s="1852"/>
      <c r="ENT25" s="1852"/>
      <c r="ENW25" s="1852"/>
      <c r="ENZ25" s="1852"/>
      <c r="EOC25" s="1852"/>
      <c r="EOF25" s="1852"/>
      <c r="EOI25" s="1852"/>
      <c r="EOL25" s="1852"/>
      <c r="EOO25" s="1852"/>
      <c r="EOR25" s="1852"/>
      <c r="EOU25" s="1852"/>
      <c r="EOX25" s="1852"/>
      <c r="EPA25" s="1852"/>
      <c r="EPD25" s="1852"/>
      <c r="EPG25" s="1852"/>
      <c r="EPJ25" s="1852"/>
      <c r="EPM25" s="1852"/>
      <c r="EPP25" s="1852"/>
      <c r="EPS25" s="1852"/>
      <c r="EPV25" s="1852"/>
      <c r="EPY25" s="1852"/>
      <c r="EQB25" s="1852"/>
      <c r="EQE25" s="1852"/>
      <c r="EQH25" s="1852"/>
      <c r="EQK25" s="1852"/>
      <c r="EQN25" s="1852"/>
      <c r="EQQ25" s="1852"/>
      <c r="EQT25" s="1852"/>
      <c r="EQW25" s="1852"/>
      <c r="EQZ25" s="1852"/>
      <c r="ERC25" s="1852"/>
      <c r="ERF25" s="1852"/>
      <c r="ERI25" s="1852"/>
      <c r="ERL25" s="1852"/>
      <c r="ERO25" s="1852"/>
      <c r="ERR25" s="1852"/>
      <c r="ERU25" s="1852"/>
      <c r="ERX25" s="1852"/>
      <c r="ESA25" s="1852"/>
      <c r="ESD25" s="1852"/>
      <c r="ESG25" s="1852"/>
      <c r="ESJ25" s="1852"/>
      <c r="ESM25" s="1852"/>
      <c r="ESP25" s="1852"/>
      <c r="ESS25" s="1852"/>
      <c r="ESV25" s="1852"/>
      <c r="ESY25" s="1852"/>
      <c r="ETB25" s="1852"/>
      <c r="ETE25" s="1852"/>
      <c r="ETH25" s="1852"/>
      <c r="ETK25" s="1852"/>
      <c r="ETN25" s="1852"/>
      <c r="ETQ25" s="1852"/>
      <c r="ETT25" s="1852"/>
      <c r="ETW25" s="1852"/>
      <c r="ETZ25" s="1852"/>
      <c r="EUC25" s="1852"/>
      <c r="EUF25" s="1852"/>
      <c r="EUI25" s="1852"/>
      <c r="EUL25" s="1852"/>
      <c r="EUO25" s="1852"/>
      <c r="EUR25" s="1852"/>
      <c r="EUU25" s="1852"/>
      <c r="EUX25" s="1852"/>
      <c r="EVA25" s="1852"/>
      <c r="EVD25" s="1852"/>
      <c r="EVG25" s="1852"/>
      <c r="EVJ25" s="1852"/>
      <c r="EVM25" s="1852"/>
      <c r="EVP25" s="1852"/>
      <c r="EVS25" s="1852"/>
      <c r="EVV25" s="1852"/>
      <c r="EVY25" s="1852"/>
      <c r="EWB25" s="1852"/>
      <c r="EWE25" s="1852"/>
      <c r="EWH25" s="1852"/>
      <c r="EWK25" s="1852"/>
      <c r="EWN25" s="1852"/>
      <c r="EWQ25" s="1852"/>
      <c r="EWT25" s="1852"/>
      <c r="EWW25" s="1852"/>
      <c r="EWZ25" s="1852"/>
      <c r="EXC25" s="1852"/>
      <c r="EXF25" s="1852"/>
      <c r="EXI25" s="1852"/>
      <c r="EXL25" s="1852"/>
      <c r="EXO25" s="1852"/>
      <c r="EXR25" s="1852"/>
      <c r="EXU25" s="1852"/>
      <c r="EXX25" s="1852"/>
      <c r="EYA25" s="1852"/>
      <c r="EYD25" s="1852"/>
      <c r="EYG25" s="1852"/>
      <c r="EYJ25" s="1852"/>
      <c r="EYM25" s="1852"/>
      <c r="EYP25" s="1852"/>
      <c r="EYS25" s="1852"/>
      <c r="EYV25" s="1852"/>
      <c r="EYY25" s="1852"/>
      <c r="EZB25" s="1852"/>
      <c r="EZE25" s="1852"/>
      <c r="EZH25" s="1852"/>
      <c r="EZK25" s="1852"/>
      <c r="EZN25" s="1852"/>
      <c r="EZQ25" s="1852"/>
      <c r="EZT25" s="1852"/>
      <c r="EZW25" s="1852"/>
      <c r="EZZ25" s="1852"/>
      <c r="FAC25" s="1852"/>
      <c r="FAF25" s="1852"/>
      <c r="FAI25" s="1852"/>
      <c r="FAL25" s="1852"/>
      <c r="FAO25" s="1852"/>
      <c r="FAR25" s="1852"/>
      <c r="FAU25" s="1852"/>
      <c r="FAX25" s="1852"/>
      <c r="FBA25" s="1852"/>
      <c r="FBD25" s="1852"/>
      <c r="FBG25" s="1852"/>
      <c r="FBJ25" s="1852"/>
      <c r="FBM25" s="1852"/>
      <c r="FBP25" s="1852"/>
      <c r="FBS25" s="1852"/>
      <c r="FBV25" s="1852"/>
      <c r="FBY25" s="1852"/>
      <c r="FCB25" s="1852"/>
      <c r="FCE25" s="1852"/>
      <c r="FCH25" s="1852"/>
      <c r="FCK25" s="1852"/>
      <c r="FCN25" s="1852"/>
      <c r="FCQ25" s="1852"/>
      <c r="FCT25" s="1852"/>
      <c r="FCW25" s="1852"/>
      <c r="FCZ25" s="1852"/>
      <c r="FDC25" s="1852"/>
      <c r="FDF25" s="1852"/>
      <c r="FDI25" s="1852"/>
      <c r="FDL25" s="1852"/>
      <c r="FDO25" s="1852"/>
      <c r="FDR25" s="1852"/>
      <c r="FDU25" s="1852"/>
      <c r="FDX25" s="1852"/>
      <c r="FEA25" s="1852"/>
      <c r="FED25" s="1852"/>
      <c r="FEG25" s="1852"/>
      <c r="FEJ25" s="1852"/>
      <c r="FEM25" s="1852"/>
      <c r="FEP25" s="1852"/>
      <c r="FES25" s="1852"/>
      <c r="FEV25" s="1852"/>
      <c r="FEY25" s="1852"/>
      <c r="FFB25" s="1852"/>
      <c r="FFE25" s="1852"/>
      <c r="FFH25" s="1852"/>
      <c r="FFK25" s="1852"/>
      <c r="FFN25" s="1852"/>
      <c r="FFQ25" s="1852"/>
      <c r="FFT25" s="1852"/>
      <c r="FFW25" s="1852"/>
      <c r="FFZ25" s="1852"/>
      <c r="FGC25" s="1852"/>
      <c r="FGF25" s="1852"/>
      <c r="FGI25" s="1852"/>
      <c r="FGL25" s="1852"/>
      <c r="FGO25" s="1852"/>
      <c r="FGR25" s="1852"/>
      <c r="FGU25" s="1852"/>
      <c r="FGX25" s="1852"/>
      <c r="FHA25" s="1852"/>
      <c r="FHD25" s="1852"/>
      <c r="FHG25" s="1852"/>
      <c r="FHJ25" s="1852"/>
      <c r="FHM25" s="1852"/>
      <c r="FHP25" s="1852"/>
      <c r="FHS25" s="1852"/>
      <c r="FHV25" s="1852"/>
      <c r="FHY25" s="1852"/>
      <c r="FIB25" s="1852"/>
      <c r="FIE25" s="1852"/>
      <c r="FIH25" s="1852"/>
      <c r="FIK25" s="1852"/>
      <c r="FIN25" s="1852"/>
      <c r="FIQ25" s="1852"/>
      <c r="FIT25" s="1852"/>
      <c r="FIW25" s="1852"/>
      <c r="FIZ25" s="1852"/>
      <c r="FJC25" s="1852"/>
      <c r="FJF25" s="1852"/>
      <c r="FJI25" s="1852"/>
      <c r="FJL25" s="1852"/>
      <c r="FJO25" s="1852"/>
      <c r="FJR25" s="1852"/>
      <c r="FJU25" s="1852"/>
      <c r="FJX25" s="1852"/>
      <c r="FKA25" s="1852"/>
      <c r="FKD25" s="1852"/>
      <c r="FKG25" s="1852"/>
      <c r="FKJ25" s="1852"/>
      <c r="FKM25" s="1852"/>
      <c r="FKP25" s="1852"/>
      <c r="FKS25" s="1852"/>
      <c r="FKV25" s="1852"/>
      <c r="FKY25" s="1852"/>
      <c r="FLB25" s="1852"/>
      <c r="FLE25" s="1852"/>
      <c r="FLH25" s="1852"/>
      <c r="FLK25" s="1852"/>
      <c r="FLN25" s="1852"/>
      <c r="FLQ25" s="1852"/>
      <c r="FLT25" s="1852"/>
      <c r="FLW25" s="1852"/>
      <c r="FLZ25" s="1852"/>
      <c r="FMC25" s="1852"/>
      <c r="FMF25" s="1852"/>
      <c r="FMI25" s="1852"/>
      <c r="FML25" s="1852"/>
      <c r="FMO25" s="1852"/>
      <c r="FMR25" s="1852"/>
      <c r="FMU25" s="1852"/>
      <c r="FMX25" s="1852"/>
      <c r="FNA25" s="1852"/>
      <c r="FND25" s="1852"/>
      <c r="FNG25" s="1852"/>
      <c r="FNJ25" s="1852"/>
      <c r="FNM25" s="1852"/>
      <c r="FNP25" s="1852"/>
      <c r="FNS25" s="1852"/>
      <c r="FNV25" s="1852"/>
      <c r="FNY25" s="1852"/>
      <c r="FOB25" s="1852"/>
      <c r="FOE25" s="1852"/>
      <c r="FOH25" s="1852"/>
      <c r="FOK25" s="1852"/>
      <c r="FON25" s="1852"/>
      <c r="FOQ25" s="1852"/>
      <c r="FOT25" s="1852"/>
      <c r="FOW25" s="1852"/>
      <c r="FOZ25" s="1852"/>
      <c r="FPC25" s="1852"/>
      <c r="FPF25" s="1852"/>
      <c r="FPI25" s="1852"/>
      <c r="FPL25" s="1852"/>
      <c r="FPO25" s="1852"/>
      <c r="FPR25" s="1852"/>
      <c r="FPU25" s="1852"/>
      <c r="FPX25" s="1852"/>
      <c r="FQA25" s="1852"/>
      <c r="FQD25" s="1852"/>
      <c r="FQG25" s="1852"/>
      <c r="FQJ25" s="1852"/>
      <c r="FQM25" s="1852"/>
      <c r="FQP25" s="1852"/>
      <c r="FQS25" s="1852"/>
      <c r="FQV25" s="1852"/>
      <c r="FQY25" s="1852"/>
      <c r="FRB25" s="1852"/>
      <c r="FRE25" s="1852"/>
      <c r="FRH25" s="1852"/>
      <c r="FRK25" s="1852"/>
      <c r="FRN25" s="1852"/>
      <c r="FRQ25" s="1852"/>
      <c r="FRT25" s="1852"/>
      <c r="FRW25" s="1852"/>
      <c r="FRZ25" s="1852"/>
      <c r="FSC25" s="1852"/>
      <c r="FSF25" s="1852"/>
      <c r="FSI25" s="1852"/>
      <c r="FSL25" s="1852"/>
      <c r="FSO25" s="1852"/>
      <c r="FSR25" s="1852"/>
      <c r="FSU25" s="1852"/>
      <c r="FSX25" s="1852"/>
      <c r="FTA25" s="1852"/>
      <c r="FTD25" s="1852"/>
      <c r="FTG25" s="1852"/>
      <c r="FTJ25" s="1852"/>
      <c r="FTM25" s="1852"/>
      <c r="FTP25" s="1852"/>
      <c r="FTS25" s="1852"/>
      <c r="FTV25" s="1852"/>
      <c r="FTY25" s="1852"/>
      <c r="FUB25" s="1852"/>
      <c r="FUE25" s="1852"/>
      <c r="FUH25" s="1852"/>
      <c r="FUK25" s="1852"/>
      <c r="FUN25" s="1852"/>
      <c r="FUQ25" s="1852"/>
      <c r="FUT25" s="1852"/>
      <c r="FUW25" s="1852"/>
      <c r="FUZ25" s="1852"/>
      <c r="FVC25" s="1852"/>
      <c r="FVF25" s="1852"/>
      <c r="FVI25" s="1852"/>
      <c r="FVL25" s="1852"/>
      <c r="FVO25" s="1852"/>
      <c r="FVR25" s="1852"/>
      <c r="FVU25" s="1852"/>
      <c r="FVX25" s="1852"/>
      <c r="FWA25" s="1852"/>
      <c r="FWD25" s="1852"/>
      <c r="FWG25" s="1852"/>
      <c r="FWJ25" s="1852"/>
      <c r="FWM25" s="1852"/>
      <c r="FWP25" s="1852"/>
      <c r="FWS25" s="1852"/>
      <c r="FWV25" s="1852"/>
      <c r="FWY25" s="1852"/>
      <c r="FXB25" s="1852"/>
      <c r="FXE25" s="1852"/>
      <c r="FXH25" s="1852"/>
      <c r="FXK25" s="1852"/>
      <c r="FXN25" s="1852"/>
      <c r="FXQ25" s="1852"/>
      <c r="FXT25" s="1852"/>
      <c r="FXW25" s="1852"/>
      <c r="FXZ25" s="1852"/>
      <c r="FYC25" s="1852"/>
      <c r="FYF25" s="1852"/>
      <c r="FYI25" s="1852"/>
      <c r="FYL25" s="1852"/>
      <c r="FYO25" s="1852"/>
      <c r="FYR25" s="1852"/>
      <c r="FYU25" s="1852"/>
      <c r="FYX25" s="1852"/>
      <c r="FZA25" s="1852"/>
      <c r="FZD25" s="1852"/>
      <c r="FZG25" s="1852"/>
      <c r="FZJ25" s="1852"/>
      <c r="FZM25" s="1852"/>
      <c r="FZP25" s="1852"/>
      <c r="FZS25" s="1852"/>
      <c r="FZV25" s="1852"/>
      <c r="FZY25" s="1852"/>
      <c r="GAB25" s="1852"/>
      <c r="GAE25" s="1852"/>
      <c r="GAH25" s="1852"/>
      <c r="GAK25" s="1852"/>
      <c r="GAN25" s="1852"/>
      <c r="GAQ25" s="1852"/>
      <c r="GAT25" s="1852"/>
      <c r="GAW25" s="1852"/>
      <c r="GAZ25" s="1852"/>
      <c r="GBC25" s="1852"/>
      <c r="GBF25" s="1852"/>
      <c r="GBI25" s="1852"/>
      <c r="GBL25" s="1852"/>
      <c r="GBO25" s="1852"/>
      <c r="GBR25" s="1852"/>
      <c r="GBU25" s="1852"/>
      <c r="GBX25" s="1852"/>
      <c r="GCA25" s="1852"/>
      <c r="GCD25" s="1852"/>
      <c r="GCG25" s="1852"/>
      <c r="GCJ25" s="1852"/>
      <c r="GCM25" s="1852"/>
      <c r="GCP25" s="1852"/>
      <c r="GCS25" s="1852"/>
      <c r="GCV25" s="1852"/>
      <c r="GCY25" s="1852"/>
      <c r="GDB25" s="1852"/>
      <c r="GDE25" s="1852"/>
      <c r="GDH25" s="1852"/>
      <c r="GDK25" s="1852"/>
      <c r="GDN25" s="1852"/>
      <c r="GDQ25" s="1852"/>
      <c r="GDT25" s="1852"/>
      <c r="GDW25" s="1852"/>
      <c r="GDZ25" s="1852"/>
      <c r="GEC25" s="1852"/>
      <c r="GEF25" s="1852"/>
      <c r="GEI25" s="1852"/>
      <c r="GEL25" s="1852"/>
      <c r="GEO25" s="1852"/>
      <c r="GER25" s="1852"/>
      <c r="GEU25" s="1852"/>
      <c r="GEX25" s="1852"/>
      <c r="GFA25" s="1852"/>
      <c r="GFD25" s="1852"/>
      <c r="GFG25" s="1852"/>
      <c r="GFJ25" s="1852"/>
      <c r="GFM25" s="1852"/>
      <c r="GFP25" s="1852"/>
      <c r="GFS25" s="1852"/>
      <c r="GFV25" s="1852"/>
      <c r="GFY25" s="1852"/>
      <c r="GGB25" s="1852"/>
      <c r="GGE25" s="1852"/>
      <c r="GGH25" s="1852"/>
      <c r="GGK25" s="1852"/>
      <c r="GGN25" s="1852"/>
      <c r="GGQ25" s="1852"/>
      <c r="GGT25" s="1852"/>
      <c r="GGW25" s="1852"/>
      <c r="GGZ25" s="1852"/>
      <c r="GHC25" s="1852"/>
      <c r="GHF25" s="1852"/>
      <c r="GHI25" s="1852"/>
      <c r="GHL25" s="1852"/>
      <c r="GHO25" s="1852"/>
      <c r="GHR25" s="1852"/>
      <c r="GHU25" s="1852"/>
      <c r="GHX25" s="1852"/>
      <c r="GIA25" s="1852"/>
      <c r="GID25" s="1852"/>
      <c r="GIG25" s="1852"/>
      <c r="GIJ25" s="1852"/>
      <c r="GIM25" s="1852"/>
      <c r="GIP25" s="1852"/>
      <c r="GIS25" s="1852"/>
      <c r="GIV25" s="1852"/>
      <c r="GIY25" s="1852"/>
      <c r="GJB25" s="1852"/>
      <c r="GJE25" s="1852"/>
      <c r="GJH25" s="1852"/>
      <c r="GJK25" s="1852"/>
      <c r="GJN25" s="1852"/>
      <c r="GJQ25" s="1852"/>
      <c r="GJT25" s="1852"/>
      <c r="GJW25" s="1852"/>
      <c r="GJZ25" s="1852"/>
      <c r="GKC25" s="1852"/>
      <c r="GKF25" s="1852"/>
      <c r="GKI25" s="1852"/>
      <c r="GKL25" s="1852"/>
      <c r="GKO25" s="1852"/>
      <c r="GKR25" s="1852"/>
      <c r="GKU25" s="1852"/>
      <c r="GKX25" s="1852"/>
      <c r="GLA25" s="1852"/>
      <c r="GLD25" s="1852"/>
      <c r="GLG25" s="1852"/>
      <c r="GLJ25" s="1852"/>
      <c r="GLM25" s="1852"/>
      <c r="GLP25" s="1852"/>
      <c r="GLS25" s="1852"/>
      <c r="GLV25" s="1852"/>
      <c r="GLY25" s="1852"/>
      <c r="GMB25" s="1852"/>
      <c r="GME25" s="1852"/>
      <c r="GMH25" s="1852"/>
      <c r="GMK25" s="1852"/>
      <c r="GMN25" s="1852"/>
      <c r="GMQ25" s="1852"/>
      <c r="GMT25" s="1852"/>
      <c r="GMW25" s="1852"/>
      <c r="GMZ25" s="1852"/>
      <c r="GNC25" s="1852"/>
      <c r="GNF25" s="1852"/>
      <c r="GNI25" s="1852"/>
      <c r="GNL25" s="1852"/>
      <c r="GNO25" s="1852"/>
      <c r="GNR25" s="1852"/>
      <c r="GNU25" s="1852"/>
      <c r="GNX25" s="1852"/>
      <c r="GOA25" s="1852"/>
      <c r="GOD25" s="1852"/>
      <c r="GOG25" s="1852"/>
      <c r="GOJ25" s="1852"/>
      <c r="GOM25" s="1852"/>
      <c r="GOP25" s="1852"/>
      <c r="GOS25" s="1852"/>
      <c r="GOV25" s="1852"/>
      <c r="GOY25" s="1852"/>
      <c r="GPB25" s="1852"/>
      <c r="GPE25" s="1852"/>
      <c r="GPH25" s="1852"/>
      <c r="GPK25" s="1852"/>
      <c r="GPN25" s="1852"/>
      <c r="GPQ25" s="1852"/>
      <c r="GPT25" s="1852"/>
      <c r="GPW25" s="1852"/>
      <c r="GPZ25" s="1852"/>
      <c r="GQC25" s="1852"/>
      <c r="GQF25" s="1852"/>
      <c r="GQI25" s="1852"/>
      <c r="GQL25" s="1852"/>
      <c r="GQO25" s="1852"/>
      <c r="GQR25" s="1852"/>
      <c r="GQU25" s="1852"/>
      <c r="GQX25" s="1852"/>
      <c r="GRA25" s="1852"/>
      <c r="GRD25" s="1852"/>
      <c r="GRG25" s="1852"/>
      <c r="GRJ25" s="1852"/>
      <c r="GRM25" s="1852"/>
      <c r="GRP25" s="1852"/>
      <c r="GRS25" s="1852"/>
      <c r="GRV25" s="1852"/>
      <c r="GRY25" s="1852"/>
      <c r="GSB25" s="1852"/>
      <c r="GSE25" s="1852"/>
      <c r="GSH25" s="1852"/>
      <c r="GSK25" s="1852"/>
      <c r="GSN25" s="1852"/>
      <c r="GSQ25" s="1852"/>
      <c r="GST25" s="1852"/>
      <c r="GSW25" s="1852"/>
      <c r="GSZ25" s="1852"/>
      <c r="GTC25" s="1852"/>
      <c r="GTF25" s="1852"/>
      <c r="GTI25" s="1852"/>
      <c r="GTL25" s="1852"/>
      <c r="GTO25" s="1852"/>
      <c r="GTR25" s="1852"/>
      <c r="GTU25" s="1852"/>
      <c r="GTX25" s="1852"/>
      <c r="GUA25" s="1852"/>
      <c r="GUD25" s="1852"/>
      <c r="GUG25" s="1852"/>
      <c r="GUJ25" s="1852"/>
      <c r="GUM25" s="1852"/>
      <c r="GUP25" s="1852"/>
      <c r="GUS25" s="1852"/>
      <c r="GUV25" s="1852"/>
      <c r="GUY25" s="1852"/>
      <c r="GVB25" s="1852"/>
      <c r="GVE25" s="1852"/>
      <c r="GVH25" s="1852"/>
      <c r="GVK25" s="1852"/>
      <c r="GVN25" s="1852"/>
      <c r="GVQ25" s="1852"/>
      <c r="GVT25" s="1852"/>
      <c r="GVW25" s="1852"/>
      <c r="GVZ25" s="1852"/>
      <c r="GWC25" s="1852"/>
      <c r="GWF25" s="1852"/>
      <c r="GWI25" s="1852"/>
      <c r="GWL25" s="1852"/>
      <c r="GWO25" s="1852"/>
      <c r="GWR25" s="1852"/>
      <c r="GWU25" s="1852"/>
      <c r="GWX25" s="1852"/>
      <c r="GXA25" s="1852"/>
      <c r="GXD25" s="1852"/>
      <c r="GXG25" s="1852"/>
      <c r="GXJ25" s="1852"/>
      <c r="GXM25" s="1852"/>
      <c r="GXP25" s="1852"/>
      <c r="GXS25" s="1852"/>
      <c r="GXV25" s="1852"/>
      <c r="GXY25" s="1852"/>
      <c r="GYB25" s="1852"/>
      <c r="GYE25" s="1852"/>
      <c r="GYH25" s="1852"/>
      <c r="GYK25" s="1852"/>
      <c r="GYN25" s="1852"/>
      <c r="GYQ25" s="1852"/>
      <c r="GYT25" s="1852"/>
      <c r="GYW25" s="1852"/>
      <c r="GYZ25" s="1852"/>
      <c r="GZC25" s="1852"/>
      <c r="GZF25" s="1852"/>
      <c r="GZI25" s="1852"/>
      <c r="GZL25" s="1852"/>
      <c r="GZO25" s="1852"/>
      <c r="GZR25" s="1852"/>
      <c r="GZU25" s="1852"/>
      <c r="GZX25" s="1852"/>
      <c r="HAA25" s="1852"/>
      <c r="HAD25" s="1852"/>
      <c r="HAG25" s="1852"/>
      <c r="HAJ25" s="1852"/>
      <c r="HAM25" s="1852"/>
      <c r="HAP25" s="1852"/>
      <c r="HAS25" s="1852"/>
      <c r="HAV25" s="1852"/>
      <c r="HAY25" s="1852"/>
      <c r="HBB25" s="1852"/>
      <c r="HBE25" s="1852"/>
      <c r="HBH25" s="1852"/>
      <c r="HBK25" s="1852"/>
      <c r="HBN25" s="1852"/>
      <c r="HBQ25" s="1852"/>
      <c r="HBT25" s="1852"/>
      <c r="HBW25" s="1852"/>
      <c r="HBZ25" s="1852"/>
      <c r="HCC25" s="1852"/>
      <c r="HCF25" s="1852"/>
      <c r="HCI25" s="1852"/>
      <c r="HCL25" s="1852"/>
      <c r="HCO25" s="1852"/>
      <c r="HCR25" s="1852"/>
      <c r="HCU25" s="1852"/>
      <c r="HCX25" s="1852"/>
      <c r="HDA25" s="1852"/>
      <c r="HDD25" s="1852"/>
      <c r="HDG25" s="1852"/>
      <c r="HDJ25" s="1852"/>
      <c r="HDM25" s="1852"/>
      <c r="HDP25" s="1852"/>
      <c r="HDS25" s="1852"/>
      <c r="HDV25" s="1852"/>
      <c r="HDY25" s="1852"/>
      <c r="HEB25" s="1852"/>
      <c r="HEE25" s="1852"/>
      <c r="HEH25" s="1852"/>
      <c r="HEK25" s="1852"/>
      <c r="HEN25" s="1852"/>
      <c r="HEQ25" s="1852"/>
      <c r="HET25" s="1852"/>
      <c r="HEW25" s="1852"/>
      <c r="HEZ25" s="1852"/>
      <c r="HFC25" s="1852"/>
      <c r="HFF25" s="1852"/>
      <c r="HFI25" s="1852"/>
      <c r="HFL25" s="1852"/>
      <c r="HFO25" s="1852"/>
      <c r="HFR25" s="1852"/>
      <c r="HFU25" s="1852"/>
      <c r="HFX25" s="1852"/>
      <c r="HGA25" s="1852"/>
      <c r="HGD25" s="1852"/>
      <c r="HGG25" s="1852"/>
      <c r="HGJ25" s="1852"/>
      <c r="HGM25" s="1852"/>
      <c r="HGP25" s="1852"/>
      <c r="HGS25" s="1852"/>
      <c r="HGV25" s="1852"/>
      <c r="HGY25" s="1852"/>
      <c r="HHB25" s="1852"/>
      <c r="HHE25" s="1852"/>
      <c r="HHH25" s="1852"/>
      <c r="HHK25" s="1852"/>
      <c r="HHN25" s="1852"/>
      <c r="HHQ25" s="1852"/>
      <c r="HHT25" s="1852"/>
      <c r="HHW25" s="1852"/>
      <c r="HHZ25" s="1852"/>
      <c r="HIC25" s="1852"/>
      <c r="HIF25" s="1852"/>
      <c r="HII25" s="1852"/>
      <c r="HIL25" s="1852"/>
      <c r="HIO25" s="1852"/>
      <c r="HIR25" s="1852"/>
      <c r="HIU25" s="1852"/>
      <c r="HIX25" s="1852"/>
      <c r="HJA25" s="1852"/>
      <c r="HJD25" s="1852"/>
      <c r="HJG25" s="1852"/>
      <c r="HJJ25" s="1852"/>
      <c r="HJM25" s="1852"/>
      <c r="HJP25" s="1852"/>
      <c r="HJS25" s="1852"/>
      <c r="HJV25" s="1852"/>
      <c r="HJY25" s="1852"/>
      <c r="HKB25" s="1852"/>
      <c r="HKE25" s="1852"/>
      <c r="HKH25" s="1852"/>
      <c r="HKK25" s="1852"/>
      <c r="HKN25" s="1852"/>
      <c r="HKQ25" s="1852"/>
      <c r="HKT25" s="1852"/>
      <c r="HKW25" s="1852"/>
      <c r="HKZ25" s="1852"/>
      <c r="HLC25" s="1852"/>
      <c r="HLF25" s="1852"/>
      <c r="HLI25" s="1852"/>
      <c r="HLL25" s="1852"/>
      <c r="HLO25" s="1852"/>
      <c r="HLR25" s="1852"/>
      <c r="HLU25" s="1852"/>
      <c r="HLX25" s="1852"/>
      <c r="HMA25" s="1852"/>
      <c r="HMD25" s="1852"/>
      <c r="HMG25" s="1852"/>
      <c r="HMJ25" s="1852"/>
      <c r="HMM25" s="1852"/>
      <c r="HMP25" s="1852"/>
      <c r="HMS25" s="1852"/>
      <c r="HMV25" s="1852"/>
      <c r="HMY25" s="1852"/>
      <c r="HNB25" s="1852"/>
      <c r="HNE25" s="1852"/>
      <c r="HNH25" s="1852"/>
      <c r="HNK25" s="1852"/>
      <c r="HNN25" s="1852"/>
      <c r="HNQ25" s="1852"/>
      <c r="HNT25" s="1852"/>
      <c r="HNW25" s="1852"/>
      <c r="HNZ25" s="1852"/>
      <c r="HOC25" s="1852"/>
      <c r="HOF25" s="1852"/>
      <c r="HOI25" s="1852"/>
      <c r="HOL25" s="1852"/>
      <c r="HOO25" s="1852"/>
      <c r="HOR25" s="1852"/>
      <c r="HOU25" s="1852"/>
      <c r="HOX25" s="1852"/>
      <c r="HPA25" s="1852"/>
      <c r="HPD25" s="1852"/>
      <c r="HPG25" s="1852"/>
      <c r="HPJ25" s="1852"/>
      <c r="HPM25" s="1852"/>
      <c r="HPP25" s="1852"/>
      <c r="HPS25" s="1852"/>
      <c r="HPV25" s="1852"/>
      <c r="HPY25" s="1852"/>
      <c r="HQB25" s="1852"/>
      <c r="HQE25" s="1852"/>
      <c r="HQH25" s="1852"/>
      <c r="HQK25" s="1852"/>
      <c r="HQN25" s="1852"/>
      <c r="HQQ25" s="1852"/>
      <c r="HQT25" s="1852"/>
      <c r="HQW25" s="1852"/>
      <c r="HQZ25" s="1852"/>
      <c r="HRC25" s="1852"/>
      <c r="HRF25" s="1852"/>
      <c r="HRI25" s="1852"/>
      <c r="HRL25" s="1852"/>
      <c r="HRO25" s="1852"/>
      <c r="HRR25" s="1852"/>
      <c r="HRU25" s="1852"/>
      <c r="HRX25" s="1852"/>
      <c r="HSA25" s="1852"/>
      <c r="HSD25" s="1852"/>
      <c r="HSG25" s="1852"/>
      <c r="HSJ25" s="1852"/>
      <c r="HSM25" s="1852"/>
      <c r="HSP25" s="1852"/>
      <c r="HSS25" s="1852"/>
      <c r="HSV25" s="1852"/>
      <c r="HSY25" s="1852"/>
      <c r="HTB25" s="1852"/>
      <c r="HTE25" s="1852"/>
      <c r="HTH25" s="1852"/>
      <c r="HTK25" s="1852"/>
      <c r="HTN25" s="1852"/>
      <c r="HTQ25" s="1852"/>
      <c r="HTT25" s="1852"/>
      <c r="HTW25" s="1852"/>
      <c r="HTZ25" s="1852"/>
      <c r="HUC25" s="1852"/>
      <c r="HUF25" s="1852"/>
      <c r="HUI25" s="1852"/>
      <c r="HUL25" s="1852"/>
      <c r="HUO25" s="1852"/>
      <c r="HUR25" s="1852"/>
      <c r="HUU25" s="1852"/>
      <c r="HUX25" s="1852"/>
      <c r="HVA25" s="1852"/>
      <c r="HVD25" s="1852"/>
      <c r="HVG25" s="1852"/>
      <c r="HVJ25" s="1852"/>
      <c r="HVM25" s="1852"/>
      <c r="HVP25" s="1852"/>
      <c r="HVS25" s="1852"/>
      <c r="HVV25" s="1852"/>
      <c r="HVY25" s="1852"/>
      <c r="HWB25" s="1852"/>
      <c r="HWE25" s="1852"/>
      <c r="HWH25" s="1852"/>
      <c r="HWK25" s="1852"/>
      <c r="HWN25" s="1852"/>
      <c r="HWQ25" s="1852"/>
      <c r="HWT25" s="1852"/>
      <c r="HWW25" s="1852"/>
      <c r="HWZ25" s="1852"/>
      <c r="HXC25" s="1852"/>
      <c r="HXF25" s="1852"/>
      <c r="HXI25" s="1852"/>
      <c r="HXL25" s="1852"/>
      <c r="HXO25" s="1852"/>
      <c r="HXR25" s="1852"/>
      <c r="HXU25" s="1852"/>
      <c r="HXX25" s="1852"/>
      <c r="HYA25" s="1852"/>
      <c r="HYD25" s="1852"/>
      <c r="HYG25" s="1852"/>
      <c r="HYJ25" s="1852"/>
      <c r="HYM25" s="1852"/>
      <c r="HYP25" s="1852"/>
      <c r="HYS25" s="1852"/>
      <c r="HYV25" s="1852"/>
      <c r="HYY25" s="1852"/>
      <c r="HZB25" s="1852"/>
      <c r="HZE25" s="1852"/>
      <c r="HZH25" s="1852"/>
      <c r="HZK25" s="1852"/>
      <c r="HZN25" s="1852"/>
      <c r="HZQ25" s="1852"/>
      <c r="HZT25" s="1852"/>
      <c r="HZW25" s="1852"/>
      <c r="HZZ25" s="1852"/>
      <c r="IAC25" s="1852"/>
      <c r="IAF25" s="1852"/>
      <c r="IAI25" s="1852"/>
      <c r="IAL25" s="1852"/>
      <c r="IAO25" s="1852"/>
      <c r="IAR25" s="1852"/>
      <c r="IAU25" s="1852"/>
      <c r="IAX25" s="1852"/>
      <c r="IBA25" s="1852"/>
      <c r="IBD25" s="1852"/>
      <c r="IBG25" s="1852"/>
      <c r="IBJ25" s="1852"/>
      <c r="IBM25" s="1852"/>
      <c r="IBP25" s="1852"/>
      <c r="IBS25" s="1852"/>
      <c r="IBV25" s="1852"/>
      <c r="IBY25" s="1852"/>
      <c r="ICB25" s="1852"/>
      <c r="ICE25" s="1852"/>
      <c r="ICH25" s="1852"/>
      <c r="ICK25" s="1852"/>
      <c r="ICN25" s="1852"/>
      <c r="ICQ25" s="1852"/>
      <c r="ICT25" s="1852"/>
      <c r="ICW25" s="1852"/>
      <c r="ICZ25" s="1852"/>
      <c r="IDC25" s="1852"/>
      <c r="IDF25" s="1852"/>
      <c r="IDI25" s="1852"/>
      <c r="IDL25" s="1852"/>
      <c r="IDO25" s="1852"/>
      <c r="IDR25" s="1852"/>
      <c r="IDU25" s="1852"/>
      <c r="IDX25" s="1852"/>
      <c r="IEA25" s="1852"/>
      <c r="IED25" s="1852"/>
      <c r="IEG25" s="1852"/>
      <c r="IEJ25" s="1852"/>
      <c r="IEM25" s="1852"/>
      <c r="IEP25" s="1852"/>
      <c r="IES25" s="1852"/>
      <c r="IEV25" s="1852"/>
      <c r="IEY25" s="1852"/>
      <c r="IFB25" s="1852"/>
      <c r="IFE25" s="1852"/>
      <c r="IFH25" s="1852"/>
      <c r="IFK25" s="1852"/>
      <c r="IFN25" s="1852"/>
      <c r="IFQ25" s="1852"/>
      <c r="IFT25" s="1852"/>
      <c r="IFW25" s="1852"/>
      <c r="IFZ25" s="1852"/>
      <c r="IGC25" s="1852"/>
      <c r="IGF25" s="1852"/>
      <c r="IGI25" s="1852"/>
      <c r="IGL25" s="1852"/>
      <c r="IGO25" s="1852"/>
      <c r="IGR25" s="1852"/>
      <c r="IGU25" s="1852"/>
      <c r="IGX25" s="1852"/>
      <c r="IHA25" s="1852"/>
      <c r="IHD25" s="1852"/>
      <c r="IHG25" s="1852"/>
      <c r="IHJ25" s="1852"/>
      <c r="IHM25" s="1852"/>
      <c r="IHP25" s="1852"/>
      <c r="IHS25" s="1852"/>
      <c r="IHV25" s="1852"/>
      <c r="IHY25" s="1852"/>
      <c r="IIB25" s="1852"/>
      <c r="IIE25" s="1852"/>
      <c r="IIH25" s="1852"/>
      <c r="IIK25" s="1852"/>
      <c r="IIN25" s="1852"/>
      <c r="IIQ25" s="1852"/>
      <c r="IIT25" s="1852"/>
      <c r="IIW25" s="1852"/>
      <c r="IIZ25" s="1852"/>
      <c r="IJC25" s="1852"/>
      <c r="IJF25" s="1852"/>
      <c r="IJI25" s="1852"/>
      <c r="IJL25" s="1852"/>
      <c r="IJO25" s="1852"/>
      <c r="IJR25" s="1852"/>
      <c r="IJU25" s="1852"/>
      <c r="IJX25" s="1852"/>
      <c r="IKA25" s="1852"/>
      <c r="IKD25" s="1852"/>
      <c r="IKG25" s="1852"/>
      <c r="IKJ25" s="1852"/>
      <c r="IKM25" s="1852"/>
      <c r="IKP25" s="1852"/>
      <c r="IKS25" s="1852"/>
      <c r="IKV25" s="1852"/>
      <c r="IKY25" s="1852"/>
      <c r="ILB25" s="1852"/>
      <c r="ILE25" s="1852"/>
      <c r="ILH25" s="1852"/>
      <c r="ILK25" s="1852"/>
      <c r="ILN25" s="1852"/>
      <c r="ILQ25" s="1852"/>
      <c r="ILT25" s="1852"/>
      <c r="ILW25" s="1852"/>
      <c r="ILZ25" s="1852"/>
      <c r="IMC25" s="1852"/>
      <c r="IMF25" s="1852"/>
      <c r="IMI25" s="1852"/>
      <c r="IML25" s="1852"/>
      <c r="IMO25" s="1852"/>
      <c r="IMR25" s="1852"/>
      <c r="IMU25" s="1852"/>
      <c r="IMX25" s="1852"/>
      <c r="INA25" s="1852"/>
      <c r="IND25" s="1852"/>
      <c r="ING25" s="1852"/>
      <c r="INJ25" s="1852"/>
      <c r="INM25" s="1852"/>
      <c r="INP25" s="1852"/>
      <c r="INS25" s="1852"/>
      <c r="INV25" s="1852"/>
      <c r="INY25" s="1852"/>
      <c r="IOB25" s="1852"/>
      <c r="IOE25" s="1852"/>
      <c r="IOH25" s="1852"/>
      <c r="IOK25" s="1852"/>
      <c r="ION25" s="1852"/>
      <c r="IOQ25" s="1852"/>
      <c r="IOT25" s="1852"/>
      <c r="IOW25" s="1852"/>
      <c r="IOZ25" s="1852"/>
      <c r="IPC25" s="1852"/>
      <c r="IPF25" s="1852"/>
      <c r="IPI25" s="1852"/>
      <c r="IPL25" s="1852"/>
      <c r="IPO25" s="1852"/>
      <c r="IPR25" s="1852"/>
      <c r="IPU25" s="1852"/>
      <c r="IPX25" s="1852"/>
      <c r="IQA25" s="1852"/>
      <c r="IQD25" s="1852"/>
      <c r="IQG25" s="1852"/>
      <c r="IQJ25" s="1852"/>
      <c r="IQM25" s="1852"/>
      <c r="IQP25" s="1852"/>
      <c r="IQS25" s="1852"/>
      <c r="IQV25" s="1852"/>
      <c r="IQY25" s="1852"/>
      <c r="IRB25" s="1852"/>
      <c r="IRE25" s="1852"/>
      <c r="IRH25" s="1852"/>
      <c r="IRK25" s="1852"/>
      <c r="IRN25" s="1852"/>
      <c r="IRQ25" s="1852"/>
      <c r="IRT25" s="1852"/>
      <c r="IRW25" s="1852"/>
      <c r="IRZ25" s="1852"/>
      <c r="ISC25" s="1852"/>
      <c r="ISF25" s="1852"/>
      <c r="ISI25" s="1852"/>
      <c r="ISL25" s="1852"/>
      <c r="ISO25" s="1852"/>
      <c r="ISR25" s="1852"/>
      <c r="ISU25" s="1852"/>
      <c r="ISX25" s="1852"/>
      <c r="ITA25" s="1852"/>
      <c r="ITD25" s="1852"/>
      <c r="ITG25" s="1852"/>
      <c r="ITJ25" s="1852"/>
      <c r="ITM25" s="1852"/>
      <c r="ITP25" s="1852"/>
      <c r="ITS25" s="1852"/>
      <c r="ITV25" s="1852"/>
      <c r="ITY25" s="1852"/>
      <c r="IUB25" s="1852"/>
      <c r="IUE25" s="1852"/>
      <c r="IUH25" s="1852"/>
      <c r="IUK25" s="1852"/>
      <c r="IUN25" s="1852"/>
      <c r="IUQ25" s="1852"/>
      <c r="IUT25" s="1852"/>
      <c r="IUW25" s="1852"/>
      <c r="IUZ25" s="1852"/>
      <c r="IVC25" s="1852"/>
      <c r="IVF25" s="1852"/>
      <c r="IVI25" s="1852"/>
      <c r="IVL25" s="1852"/>
      <c r="IVO25" s="1852"/>
      <c r="IVR25" s="1852"/>
      <c r="IVU25" s="1852"/>
      <c r="IVX25" s="1852"/>
      <c r="IWA25" s="1852"/>
      <c r="IWD25" s="1852"/>
      <c r="IWG25" s="1852"/>
      <c r="IWJ25" s="1852"/>
      <c r="IWM25" s="1852"/>
      <c r="IWP25" s="1852"/>
      <c r="IWS25" s="1852"/>
      <c r="IWV25" s="1852"/>
      <c r="IWY25" s="1852"/>
      <c r="IXB25" s="1852"/>
      <c r="IXE25" s="1852"/>
      <c r="IXH25" s="1852"/>
      <c r="IXK25" s="1852"/>
      <c r="IXN25" s="1852"/>
      <c r="IXQ25" s="1852"/>
      <c r="IXT25" s="1852"/>
      <c r="IXW25" s="1852"/>
      <c r="IXZ25" s="1852"/>
      <c r="IYC25" s="1852"/>
      <c r="IYF25" s="1852"/>
      <c r="IYI25" s="1852"/>
      <c r="IYL25" s="1852"/>
      <c r="IYO25" s="1852"/>
      <c r="IYR25" s="1852"/>
      <c r="IYU25" s="1852"/>
      <c r="IYX25" s="1852"/>
      <c r="IZA25" s="1852"/>
      <c r="IZD25" s="1852"/>
      <c r="IZG25" s="1852"/>
      <c r="IZJ25" s="1852"/>
      <c r="IZM25" s="1852"/>
      <c r="IZP25" s="1852"/>
      <c r="IZS25" s="1852"/>
      <c r="IZV25" s="1852"/>
      <c r="IZY25" s="1852"/>
      <c r="JAB25" s="1852"/>
      <c r="JAE25" s="1852"/>
      <c r="JAH25" s="1852"/>
      <c r="JAK25" s="1852"/>
      <c r="JAN25" s="1852"/>
      <c r="JAQ25" s="1852"/>
      <c r="JAT25" s="1852"/>
      <c r="JAW25" s="1852"/>
      <c r="JAZ25" s="1852"/>
      <c r="JBC25" s="1852"/>
      <c r="JBF25" s="1852"/>
      <c r="JBI25" s="1852"/>
      <c r="JBL25" s="1852"/>
      <c r="JBO25" s="1852"/>
      <c r="JBR25" s="1852"/>
      <c r="JBU25" s="1852"/>
      <c r="JBX25" s="1852"/>
      <c r="JCA25" s="1852"/>
      <c r="JCD25" s="1852"/>
      <c r="JCG25" s="1852"/>
      <c r="JCJ25" s="1852"/>
      <c r="JCM25" s="1852"/>
      <c r="JCP25" s="1852"/>
      <c r="JCS25" s="1852"/>
      <c r="JCV25" s="1852"/>
      <c r="JCY25" s="1852"/>
      <c r="JDB25" s="1852"/>
      <c r="JDE25" s="1852"/>
      <c r="JDH25" s="1852"/>
      <c r="JDK25" s="1852"/>
      <c r="JDN25" s="1852"/>
      <c r="JDQ25" s="1852"/>
      <c r="JDT25" s="1852"/>
      <c r="JDW25" s="1852"/>
      <c r="JDZ25" s="1852"/>
      <c r="JEC25" s="1852"/>
      <c r="JEF25" s="1852"/>
      <c r="JEI25" s="1852"/>
      <c r="JEL25" s="1852"/>
      <c r="JEO25" s="1852"/>
      <c r="JER25" s="1852"/>
      <c r="JEU25" s="1852"/>
      <c r="JEX25" s="1852"/>
      <c r="JFA25" s="1852"/>
      <c r="JFD25" s="1852"/>
      <c r="JFG25" s="1852"/>
      <c r="JFJ25" s="1852"/>
      <c r="JFM25" s="1852"/>
      <c r="JFP25" s="1852"/>
      <c r="JFS25" s="1852"/>
      <c r="JFV25" s="1852"/>
      <c r="JFY25" s="1852"/>
      <c r="JGB25" s="1852"/>
      <c r="JGE25" s="1852"/>
      <c r="JGH25" s="1852"/>
      <c r="JGK25" s="1852"/>
      <c r="JGN25" s="1852"/>
      <c r="JGQ25" s="1852"/>
      <c r="JGT25" s="1852"/>
      <c r="JGW25" s="1852"/>
      <c r="JGZ25" s="1852"/>
      <c r="JHC25" s="1852"/>
      <c r="JHF25" s="1852"/>
      <c r="JHI25" s="1852"/>
      <c r="JHL25" s="1852"/>
      <c r="JHO25" s="1852"/>
      <c r="JHR25" s="1852"/>
      <c r="JHU25" s="1852"/>
      <c r="JHX25" s="1852"/>
      <c r="JIA25" s="1852"/>
      <c r="JID25" s="1852"/>
      <c r="JIG25" s="1852"/>
      <c r="JIJ25" s="1852"/>
      <c r="JIM25" s="1852"/>
      <c r="JIP25" s="1852"/>
      <c r="JIS25" s="1852"/>
      <c r="JIV25" s="1852"/>
      <c r="JIY25" s="1852"/>
      <c r="JJB25" s="1852"/>
      <c r="JJE25" s="1852"/>
      <c r="JJH25" s="1852"/>
      <c r="JJK25" s="1852"/>
      <c r="JJN25" s="1852"/>
      <c r="JJQ25" s="1852"/>
      <c r="JJT25" s="1852"/>
      <c r="JJW25" s="1852"/>
      <c r="JJZ25" s="1852"/>
      <c r="JKC25" s="1852"/>
      <c r="JKF25" s="1852"/>
      <c r="JKI25" s="1852"/>
      <c r="JKL25" s="1852"/>
      <c r="JKO25" s="1852"/>
      <c r="JKR25" s="1852"/>
      <c r="JKU25" s="1852"/>
      <c r="JKX25" s="1852"/>
      <c r="JLA25" s="1852"/>
      <c r="JLD25" s="1852"/>
      <c r="JLG25" s="1852"/>
      <c r="JLJ25" s="1852"/>
      <c r="JLM25" s="1852"/>
      <c r="JLP25" s="1852"/>
      <c r="JLS25" s="1852"/>
      <c r="JLV25" s="1852"/>
      <c r="JLY25" s="1852"/>
      <c r="JMB25" s="1852"/>
      <c r="JME25" s="1852"/>
      <c r="JMH25" s="1852"/>
      <c r="JMK25" s="1852"/>
      <c r="JMN25" s="1852"/>
      <c r="JMQ25" s="1852"/>
      <c r="JMT25" s="1852"/>
      <c r="JMW25" s="1852"/>
      <c r="JMZ25" s="1852"/>
      <c r="JNC25" s="1852"/>
      <c r="JNF25" s="1852"/>
      <c r="JNI25" s="1852"/>
      <c r="JNL25" s="1852"/>
      <c r="JNO25" s="1852"/>
      <c r="JNR25" s="1852"/>
      <c r="JNU25" s="1852"/>
      <c r="JNX25" s="1852"/>
      <c r="JOA25" s="1852"/>
      <c r="JOD25" s="1852"/>
      <c r="JOG25" s="1852"/>
      <c r="JOJ25" s="1852"/>
      <c r="JOM25" s="1852"/>
      <c r="JOP25" s="1852"/>
      <c r="JOS25" s="1852"/>
      <c r="JOV25" s="1852"/>
      <c r="JOY25" s="1852"/>
      <c r="JPB25" s="1852"/>
      <c r="JPE25" s="1852"/>
      <c r="JPH25" s="1852"/>
      <c r="JPK25" s="1852"/>
      <c r="JPN25" s="1852"/>
      <c r="JPQ25" s="1852"/>
      <c r="JPT25" s="1852"/>
      <c r="JPW25" s="1852"/>
      <c r="JPZ25" s="1852"/>
      <c r="JQC25" s="1852"/>
      <c r="JQF25" s="1852"/>
      <c r="JQI25" s="1852"/>
      <c r="JQL25" s="1852"/>
      <c r="JQO25" s="1852"/>
      <c r="JQR25" s="1852"/>
      <c r="JQU25" s="1852"/>
      <c r="JQX25" s="1852"/>
      <c r="JRA25" s="1852"/>
      <c r="JRD25" s="1852"/>
      <c r="JRG25" s="1852"/>
      <c r="JRJ25" s="1852"/>
      <c r="JRM25" s="1852"/>
      <c r="JRP25" s="1852"/>
      <c r="JRS25" s="1852"/>
      <c r="JRV25" s="1852"/>
      <c r="JRY25" s="1852"/>
      <c r="JSB25" s="1852"/>
      <c r="JSE25" s="1852"/>
      <c r="JSH25" s="1852"/>
      <c r="JSK25" s="1852"/>
      <c r="JSN25" s="1852"/>
      <c r="JSQ25" s="1852"/>
      <c r="JST25" s="1852"/>
      <c r="JSW25" s="1852"/>
      <c r="JSZ25" s="1852"/>
      <c r="JTC25" s="1852"/>
      <c r="JTF25" s="1852"/>
      <c r="JTI25" s="1852"/>
      <c r="JTL25" s="1852"/>
      <c r="JTO25" s="1852"/>
      <c r="JTR25" s="1852"/>
      <c r="JTU25" s="1852"/>
      <c r="JTX25" s="1852"/>
      <c r="JUA25" s="1852"/>
      <c r="JUD25" s="1852"/>
      <c r="JUG25" s="1852"/>
      <c r="JUJ25" s="1852"/>
      <c r="JUM25" s="1852"/>
      <c r="JUP25" s="1852"/>
      <c r="JUS25" s="1852"/>
      <c r="JUV25" s="1852"/>
      <c r="JUY25" s="1852"/>
      <c r="JVB25" s="1852"/>
      <c r="JVE25" s="1852"/>
      <c r="JVH25" s="1852"/>
      <c r="JVK25" s="1852"/>
      <c r="JVN25" s="1852"/>
      <c r="JVQ25" s="1852"/>
      <c r="JVT25" s="1852"/>
      <c r="JVW25" s="1852"/>
      <c r="JVZ25" s="1852"/>
      <c r="JWC25" s="1852"/>
      <c r="JWF25" s="1852"/>
      <c r="JWI25" s="1852"/>
      <c r="JWL25" s="1852"/>
      <c r="JWO25" s="1852"/>
      <c r="JWR25" s="1852"/>
      <c r="JWU25" s="1852"/>
      <c r="JWX25" s="1852"/>
      <c r="JXA25" s="1852"/>
      <c r="JXD25" s="1852"/>
      <c r="JXG25" s="1852"/>
      <c r="JXJ25" s="1852"/>
      <c r="JXM25" s="1852"/>
      <c r="JXP25" s="1852"/>
      <c r="JXS25" s="1852"/>
      <c r="JXV25" s="1852"/>
      <c r="JXY25" s="1852"/>
      <c r="JYB25" s="1852"/>
      <c r="JYE25" s="1852"/>
      <c r="JYH25" s="1852"/>
      <c r="JYK25" s="1852"/>
      <c r="JYN25" s="1852"/>
      <c r="JYQ25" s="1852"/>
      <c r="JYT25" s="1852"/>
      <c r="JYW25" s="1852"/>
      <c r="JYZ25" s="1852"/>
      <c r="JZC25" s="1852"/>
      <c r="JZF25" s="1852"/>
      <c r="JZI25" s="1852"/>
      <c r="JZL25" s="1852"/>
      <c r="JZO25" s="1852"/>
      <c r="JZR25" s="1852"/>
      <c r="JZU25" s="1852"/>
      <c r="JZX25" s="1852"/>
      <c r="KAA25" s="1852"/>
      <c r="KAD25" s="1852"/>
      <c r="KAG25" s="1852"/>
      <c r="KAJ25" s="1852"/>
      <c r="KAM25" s="1852"/>
      <c r="KAP25" s="1852"/>
      <c r="KAS25" s="1852"/>
      <c r="KAV25" s="1852"/>
      <c r="KAY25" s="1852"/>
      <c r="KBB25" s="1852"/>
      <c r="KBE25" s="1852"/>
      <c r="KBH25" s="1852"/>
      <c r="KBK25" s="1852"/>
      <c r="KBN25" s="1852"/>
      <c r="KBQ25" s="1852"/>
      <c r="KBT25" s="1852"/>
      <c r="KBW25" s="1852"/>
      <c r="KBZ25" s="1852"/>
      <c r="KCC25" s="1852"/>
      <c r="KCF25" s="1852"/>
      <c r="KCI25" s="1852"/>
      <c r="KCL25" s="1852"/>
      <c r="KCO25" s="1852"/>
      <c r="KCR25" s="1852"/>
      <c r="KCU25" s="1852"/>
      <c r="KCX25" s="1852"/>
      <c r="KDA25" s="1852"/>
      <c r="KDD25" s="1852"/>
      <c r="KDG25" s="1852"/>
      <c r="KDJ25" s="1852"/>
      <c r="KDM25" s="1852"/>
      <c r="KDP25" s="1852"/>
      <c r="KDS25" s="1852"/>
      <c r="KDV25" s="1852"/>
      <c r="KDY25" s="1852"/>
      <c r="KEB25" s="1852"/>
      <c r="KEE25" s="1852"/>
      <c r="KEH25" s="1852"/>
      <c r="KEK25" s="1852"/>
      <c r="KEN25" s="1852"/>
      <c r="KEQ25" s="1852"/>
      <c r="KET25" s="1852"/>
      <c r="KEW25" s="1852"/>
      <c r="KEZ25" s="1852"/>
      <c r="KFC25" s="1852"/>
      <c r="KFF25" s="1852"/>
      <c r="KFI25" s="1852"/>
      <c r="KFL25" s="1852"/>
      <c r="KFO25" s="1852"/>
      <c r="KFR25" s="1852"/>
      <c r="KFU25" s="1852"/>
      <c r="KFX25" s="1852"/>
      <c r="KGA25" s="1852"/>
      <c r="KGD25" s="1852"/>
      <c r="KGG25" s="1852"/>
      <c r="KGJ25" s="1852"/>
      <c r="KGM25" s="1852"/>
      <c r="KGP25" s="1852"/>
      <c r="KGS25" s="1852"/>
      <c r="KGV25" s="1852"/>
      <c r="KGY25" s="1852"/>
      <c r="KHB25" s="1852"/>
      <c r="KHE25" s="1852"/>
      <c r="KHH25" s="1852"/>
      <c r="KHK25" s="1852"/>
      <c r="KHN25" s="1852"/>
      <c r="KHQ25" s="1852"/>
      <c r="KHT25" s="1852"/>
      <c r="KHW25" s="1852"/>
      <c r="KHZ25" s="1852"/>
      <c r="KIC25" s="1852"/>
      <c r="KIF25" s="1852"/>
      <c r="KII25" s="1852"/>
      <c r="KIL25" s="1852"/>
      <c r="KIO25" s="1852"/>
      <c r="KIR25" s="1852"/>
      <c r="KIU25" s="1852"/>
      <c r="KIX25" s="1852"/>
      <c r="KJA25" s="1852"/>
      <c r="KJD25" s="1852"/>
      <c r="KJG25" s="1852"/>
      <c r="KJJ25" s="1852"/>
      <c r="KJM25" s="1852"/>
      <c r="KJP25" s="1852"/>
      <c r="KJS25" s="1852"/>
      <c r="KJV25" s="1852"/>
      <c r="KJY25" s="1852"/>
      <c r="KKB25" s="1852"/>
      <c r="KKE25" s="1852"/>
      <c r="KKH25" s="1852"/>
      <c r="KKK25" s="1852"/>
      <c r="KKN25" s="1852"/>
      <c r="KKQ25" s="1852"/>
      <c r="KKT25" s="1852"/>
      <c r="KKW25" s="1852"/>
      <c r="KKZ25" s="1852"/>
      <c r="KLC25" s="1852"/>
      <c r="KLF25" s="1852"/>
      <c r="KLI25" s="1852"/>
      <c r="KLL25" s="1852"/>
      <c r="KLO25" s="1852"/>
      <c r="KLR25" s="1852"/>
      <c r="KLU25" s="1852"/>
      <c r="KLX25" s="1852"/>
      <c r="KMA25" s="1852"/>
      <c r="KMD25" s="1852"/>
      <c r="KMG25" s="1852"/>
      <c r="KMJ25" s="1852"/>
      <c r="KMM25" s="1852"/>
      <c r="KMP25" s="1852"/>
      <c r="KMS25" s="1852"/>
      <c r="KMV25" s="1852"/>
      <c r="KMY25" s="1852"/>
      <c r="KNB25" s="1852"/>
      <c r="KNE25" s="1852"/>
      <c r="KNH25" s="1852"/>
      <c r="KNK25" s="1852"/>
      <c r="KNN25" s="1852"/>
      <c r="KNQ25" s="1852"/>
      <c r="KNT25" s="1852"/>
      <c r="KNW25" s="1852"/>
      <c r="KNZ25" s="1852"/>
      <c r="KOC25" s="1852"/>
      <c r="KOF25" s="1852"/>
      <c r="KOI25" s="1852"/>
      <c r="KOL25" s="1852"/>
      <c r="KOO25" s="1852"/>
      <c r="KOR25" s="1852"/>
      <c r="KOU25" s="1852"/>
      <c r="KOX25" s="1852"/>
      <c r="KPA25" s="1852"/>
      <c r="KPD25" s="1852"/>
      <c r="KPG25" s="1852"/>
      <c r="KPJ25" s="1852"/>
      <c r="KPM25" s="1852"/>
      <c r="KPP25" s="1852"/>
      <c r="KPS25" s="1852"/>
      <c r="KPV25" s="1852"/>
      <c r="KPY25" s="1852"/>
      <c r="KQB25" s="1852"/>
      <c r="KQE25" s="1852"/>
      <c r="KQH25" s="1852"/>
      <c r="KQK25" s="1852"/>
      <c r="KQN25" s="1852"/>
      <c r="KQQ25" s="1852"/>
      <c r="KQT25" s="1852"/>
      <c r="KQW25" s="1852"/>
      <c r="KQZ25" s="1852"/>
      <c r="KRC25" s="1852"/>
      <c r="KRF25" s="1852"/>
      <c r="KRI25" s="1852"/>
      <c r="KRL25" s="1852"/>
      <c r="KRO25" s="1852"/>
      <c r="KRR25" s="1852"/>
      <c r="KRU25" s="1852"/>
      <c r="KRX25" s="1852"/>
      <c r="KSA25" s="1852"/>
      <c r="KSD25" s="1852"/>
      <c r="KSG25" s="1852"/>
      <c r="KSJ25" s="1852"/>
      <c r="KSM25" s="1852"/>
      <c r="KSP25" s="1852"/>
      <c r="KSS25" s="1852"/>
      <c r="KSV25" s="1852"/>
      <c r="KSY25" s="1852"/>
      <c r="KTB25" s="1852"/>
      <c r="KTE25" s="1852"/>
      <c r="KTH25" s="1852"/>
      <c r="KTK25" s="1852"/>
      <c r="KTN25" s="1852"/>
      <c r="KTQ25" s="1852"/>
      <c r="KTT25" s="1852"/>
      <c r="KTW25" s="1852"/>
      <c r="KTZ25" s="1852"/>
      <c r="KUC25" s="1852"/>
      <c r="KUF25" s="1852"/>
      <c r="KUI25" s="1852"/>
      <c r="KUL25" s="1852"/>
      <c r="KUO25" s="1852"/>
      <c r="KUR25" s="1852"/>
      <c r="KUU25" s="1852"/>
      <c r="KUX25" s="1852"/>
      <c r="KVA25" s="1852"/>
      <c r="KVD25" s="1852"/>
      <c r="KVG25" s="1852"/>
      <c r="KVJ25" s="1852"/>
      <c r="KVM25" s="1852"/>
      <c r="KVP25" s="1852"/>
      <c r="KVS25" s="1852"/>
      <c r="KVV25" s="1852"/>
      <c r="KVY25" s="1852"/>
      <c r="KWB25" s="1852"/>
      <c r="KWE25" s="1852"/>
      <c r="KWH25" s="1852"/>
      <c r="KWK25" s="1852"/>
      <c r="KWN25" s="1852"/>
      <c r="KWQ25" s="1852"/>
      <c r="KWT25" s="1852"/>
      <c r="KWW25" s="1852"/>
      <c r="KWZ25" s="1852"/>
      <c r="KXC25" s="1852"/>
      <c r="KXF25" s="1852"/>
      <c r="KXI25" s="1852"/>
      <c r="KXL25" s="1852"/>
      <c r="KXO25" s="1852"/>
      <c r="KXR25" s="1852"/>
      <c r="KXU25" s="1852"/>
      <c r="KXX25" s="1852"/>
      <c r="KYA25" s="1852"/>
      <c r="KYD25" s="1852"/>
      <c r="KYG25" s="1852"/>
      <c r="KYJ25" s="1852"/>
      <c r="KYM25" s="1852"/>
      <c r="KYP25" s="1852"/>
      <c r="KYS25" s="1852"/>
      <c r="KYV25" s="1852"/>
      <c r="KYY25" s="1852"/>
      <c r="KZB25" s="1852"/>
      <c r="KZE25" s="1852"/>
      <c r="KZH25" s="1852"/>
      <c r="KZK25" s="1852"/>
      <c r="KZN25" s="1852"/>
      <c r="KZQ25" s="1852"/>
      <c r="KZT25" s="1852"/>
      <c r="KZW25" s="1852"/>
      <c r="KZZ25" s="1852"/>
      <c r="LAC25" s="1852"/>
      <c r="LAF25" s="1852"/>
      <c r="LAI25" s="1852"/>
      <c r="LAL25" s="1852"/>
      <c r="LAO25" s="1852"/>
      <c r="LAR25" s="1852"/>
      <c r="LAU25" s="1852"/>
      <c r="LAX25" s="1852"/>
      <c r="LBA25" s="1852"/>
      <c r="LBD25" s="1852"/>
      <c r="LBG25" s="1852"/>
      <c r="LBJ25" s="1852"/>
      <c r="LBM25" s="1852"/>
      <c r="LBP25" s="1852"/>
      <c r="LBS25" s="1852"/>
      <c r="LBV25" s="1852"/>
      <c r="LBY25" s="1852"/>
      <c r="LCB25" s="1852"/>
      <c r="LCE25" s="1852"/>
      <c r="LCH25" s="1852"/>
      <c r="LCK25" s="1852"/>
      <c r="LCN25" s="1852"/>
      <c r="LCQ25" s="1852"/>
      <c r="LCT25" s="1852"/>
      <c r="LCW25" s="1852"/>
      <c r="LCZ25" s="1852"/>
      <c r="LDC25" s="1852"/>
      <c r="LDF25" s="1852"/>
      <c r="LDI25" s="1852"/>
      <c r="LDL25" s="1852"/>
      <c r="LDO25" s="1852"/>
      <c r="LDR25" s="1852"/>
      <c r="LDU25" s="1852"/>
      <c r="LDX25" s="1852"/>
      <c r="LEA25" s="1852"/>
      <c r="LED25" s="1852"/>
      <c r="LEG25" s="1852"/>
      <c r="LEJ25" s="1852"/>
      <c r="LEM25" s="1852"/>
      <c r="LEP25" s="1852"/>
      <c r="LES25" s="1852"/>
      <c r="LEV25" s="1852"/>
      <c r="LEY25" s="1852"/>
      <c r="LFB25" s="1852"/>
      <c r="LFE25" s="1852"/>
      <c r="LFH25" s="1852"/>
      <c r="LFK25" s="1852"/>
      <c r="LFN25" s="1852"/>
      <c r="LFQ25" s="1852"/>
      <c r="LFT25" s="1852"/>
      <c r="LFW25" s="1852"/>
      <c r="LFZ25" s="1852"/>
      <c r="LGC25" s="1852"/>
      <c r="LGF25" s="1852"/>
      <c r="LGI25" s="1852"/>
      <c r="LGL25" s="1852"/>
      <c r="LGO25" s="1852"/>
      <c r="LGR25" s="1852"/>
      <c r="LGU25" s="1852"/>
      <c r="LGX25" s="1852"/>
      <c r="LHA25" s="1852"/>
      <c r="LHD25" s="1852"/>
      <c r="LHG25" s="1852"/>
      <c r="LHJ25" s="1852"/>
      <c r="LHM25" s="1852"/>
      <c r="LHP25" s="1852"/>
      <c r="LHS25" s="1852"/>
      <c r="LHV25" s="1852"/>
      <c r="LHY25" s="1852"/>
      <c r="LIB25" s="1852"/>
      <c r="LIE25" s="1852"/>
      <c r="LIH25" s="1852"/>
      <c r="LIK25" s="1852"/>
      <c r="LIN25" s="1852"/>
      <c r="LIQ25" s="1852"/>
      <c r="LIT25" s="1852"/>
      <c r="LIW25" s="1852"/>
      <c r="LIZ25" s="1852"/>
      <c r="LJC25" s="1852"/>
      <c r="LJF25" s="1852"/>
      <c r="LJI25" s="1852"/>
      <c r="LJL25" s="1852"/>
      <c r="LJO25" s="1852"/>
      <c r="LJR25" s="1852"/>
      <c r="LJU25" s="1852"/>
      <c r="LJX25" s="1852"/>
      <c r="LKA25" s="1852"/>
      <c r="LKD25" s="1852"/>
      <c r="LKG25" s="1852"/>
      <c r="LKJ25" s="1852"/>
      <c r="LKM25" s="1852"/>
      <c r="LKP25" s="1852"/>
      <c r="LKS25" s="1852"/>
      <c r="LKV25" s="1852"/>
      <c r="LKY25" s="1852"/>
      <c r="LLB25" s="1852"/>
      <c r="LLE25" s="1852"/>
      <c r="LLH25" s="1852"/>
      <c r="LLK25" s="1852"/>
      <c r="LLN25" s="1852"/>
      <c r="LLQ25" s="1852"/>
      <c r="LLT25" s="1852"/>
      <c r="LLW25" s="1852"/>
      <c r="LLZ25" s="1852"/>
      <c r="LMC25" s="1852"/>
      <c r="LMF25" s="1852"/>
      <c r="LMI25" s="1852"/>
      <c r="LML25" s="1852"/>
      <c r="LMO25" s="1852"/>
      <c r="LMR25" s="1852"/>
      <c r="LMU25" s="1852"/>
      <c r="LMX25" s="1852"/>
      <c r="LNA25" s="1852"/>
      <c r="LND25" s="1852"/>
      <c r="LNG25" s="1852"/>
      <c r="LNJ25" s="1852"/>
      <c r="LNM25" s="1852"/>
      <c r="LNP25" s="1852"/>
      <c r="LNS25" s="1852"/>
      <c r="LNV25" s="1852"/>
      <c r="LNY25" s="1852"/>
      <c r="LOB25" s="1852"/>
      <c r="LOE25" s="1852"/>
      <c r="LOH25" s="1852"/>
      <c r="LOK25" s="1852"/>
      <c r="LON25" s="1852"/>
      <c r="LOQ25" s="1852"/>
      <c r="LOT25" s="1852"/>
      <c r="LOW25" s="1852"/>
      <c r="LOZ25" s="1852"/>
      <c r="LPC25" s="1852"/>
      <c r="LPF25" s="1852"/>
      <c r="LPI25" s="1852"/>
      <c r="LPL25" s="1852"/>
      <c r="LPO25" s="1852"/>
      <c r="LPR25" s="1852"/>
      <c r="LPU25" s="1852"/>
      <c r="LPX25" s="1852"/>
      <c r="LQA25" s="1852"/>
      <c r="LQD25" s="1852"/>
      <c r="LQG25" s="1852"/>
      <c r="LQJ25" s="1852"/>
      <c r="LQM25" s="1852"/>
      <c r="LQP25" s="1852"/>
      <c r="LQS25" s="1852"/>
      <c r="LQV25" s="1852"/>
      <c r="LQY25" s="1852"/>
      <c r="LRB25" s="1852"/>
      <c r="LRE25" s="1852"/>
      <c r="LRH25" s="1852"/>
      <c r="LRK25" s="1852"/>
      <c r="LRN25" s="1852"/>
      <c r="LRQ25" s="1852"/>
      <c r="LRT25" s="1852"/>
      <c r="LRW25" s="1852"/>
      <c r="LRZ25" s="1852"/>
      <c r="LSC25" s="1852"/>
      <c r="LSF25" s="1852"/>
      <c r="LSI25" s="1852"/>
      <c r="LSL25" s="1852"/>
      <c r="LSO25" s="1852"/>
      <c r="LSR25" s="1852"/>
      <c r="LSU25" s="1852"/>
      <c r="LSX25" s="1852"/>
      <c r="LTA25" s="1852"/>
      <c r="LTD25" s="1852"/>
      <c r="LTG25" s="1852"/>
      <c r="LTJ25" s="1852"/>
      <c r="LTM25" s="1852"/>
      <c r="LTP25" s="1852"/>
      <c r="LTS25" s="1852"/>
      <c r="LTV25" s="1852"/>
      <c r="LTY25" s="1852"/>
      <c r="LUB25" s="1852"/>
      <c r="LUE25" s="1852"/>
      <c r="LUH25" s="1852"/>
      <c r="LUK25" s="1852"/>
      <c r="LUN25" s="1852"/>
      <c r="LUQ25" s="1852"/>
      <c r="LUT25" s="1852"/>
      <c r="LUW25" s="1852"/>
      <c r="LUZ25" s="1852"/>
      <c r="LVC25" s="1852"/>
      <c r="LVF25" s="1852"/>
      <c r="LVI25" s="1852"/>
      <c r="LVL25" s="1852"/>
      <c r="LVO25" s="1852"/>
      <c r="LVR25" s="1852"/>
      <c r="LVU25" s="1852"/>
      <c r="LVX25" s="1852"/>
      <c r="LWA25" s="1852"/>
      <c r="LWD25" s="1852"/>
      <c r="LWG25" s="1852"/>
      <c r="LWJ25" s="1852"/>
      <c r="LWM25" s="1852"/>
      <c r="LWP25" s="1852"/>
      <c r="LWS25" s="1852"/>
      <c r="LWV25" s="1852"/>
      <c r="LWY25" s="1852"/>
      <c r="LXB25" s="1852"/>
      <c r="LXE25" s="1852"/>
      <c r="LXH25" s="1852"/>
      <c r="LXK25" s="1852"/>
      <c r="LXN25" s="1852"/>
      <c r="LXQ25" s="1852"/>
      <c r="LXT25" s="1852"/>
      <c r="LXW25" s="1852"/>
      <c r="LXZ25" s="1852"/>
      <c r="LYC25" s="1852"/>
      <c r="LYF25" s="1852"/>
      <c r="LYI25" s="1852"/>
      <c r="LYL25" s="1852"/>
      <c r="LYO25" s="1852"/>
      <c r="LYR25" s="1852"/>
      <c r="LYU25" s="1852"/>
      <c r="LYX25" s="1852"/>
      <c r="LZA25" s="1852"/>
      <c r="LZD25" s="1852"/>
      <c r="LZG25" s="1852"/>
      <c r="LZJ25" s="1852"/>
      <c r="LZM25" s="1852"/>
      <c r="LZP25" s="1852"/>
      <c r="LZS25" s="1852"/>
      <c r="LZV25" s="1852"/>
      <c r="LZY25" s="1852"/>
      <c r="MAB25" s="1852"/>
      <c r="MAE25" s="1852"/>
      <c r="MAH25" s="1852"/>
      <c r="MAK25" s="1852"/>
      <c r="MAN25" s="1852"/>
      <c r="MAQ25" s="1852"/>
      <c r="MAT25" s="1852"/>
      <c r="MAW25" s="1852"/>
      <c r="MAZ25" s="1852"/>
      <c r="MBC25" s="1852"/>
      <c r="MBF25" s="1852"/>
      <c r="MBI25" s="1852"/>
      <c r="MBL25" s="1852"/>
      <c r="MBO25" s="1852"/>
      <c r="MBR25" s="1852"/>
      <c r="MBU25" s="1852"/>
      <c r="MBX25" s="1852"/>
      <c r="MCA25" s="1852"/>
      <c r="MCD25" s="1852"/>
      <c r="MCG25" s="1852"/>
      <c r="MCJ25" s="1852"/>
      <c r="MCM25" s="1852"/>
      <c r="MCP25" s="1852"/>
      <c r="MCS25" s="1852"/>
      <c r="MCV25" s="1852"/>
      <c r="MCY25" s="1852"/>
      <c r="MDB25" s="1852"/>
      <c r="MDE25" s="1852"/>
      <c r="MDH25" s="1852"/>
      <c r="MDK25" s="1852"/>
      <c r="MDN25" s="1852"/>
      <c r="MDQ25" s="1852"/>
      <c r="MDT25" s="1852"/>
      <c r="MDW25" s="1852"/>
      <c r="MDZ25" s="1852"/>
      <c r="MEC25" s="1852"/>
      <c r="MEF25" s="1852"/>
      <c r="MEI25" s="1852"/>
      <c r="MEL25" s="1852"/>
      <c r="MEO25" s="1852"/>
      <c r="MER25" s="1852"/>
      <c r="MEU25" s="1852"/>
      <c r="MEX25" s="1852"/>
      <c r="MFA25" s="1852"/>
      <c r="MFD25" s="1852"/>
      <c r="MFG25" s="1852"/>
      <c r="MFJ25" s="1852"/>
      <c r="MFM25" s="1852"/>
      <c r="MFP25" s="1852"/>
      <c r="MFS25" s="1852"/>
      <c r="MFV25" s="1852"/>
      <c r="MFY25" s="1852"/>
      <c r="MGB25" s="1852"/>
      <c r="MGE25" s="1852"/>
      <c r="MGH25" s="1852"/>
      <c r="MGK25" s="1852"/>
      <c r="MGN25" s="1852"/>
      <c r="MGQ25" s="1852"/>
      <c r="MGT25" s="1852"/>
      <c r="MGW25" s="1852"/>
      <c r="MGZ25" s="1852"/>
      <c r="MHC25" s="1852"/>
      <c r="MHF25" s="1852"/>
      <c r="MHI25" s="1852"/>
      <c r="MHL25" s="1852"/>
      <c r="MHO25" s="1852"/>
      <c r="MHR25" s="1852"/>
      <c r="MHU25" s="1852"/>
      <c r="MHX25" s="1852"/>
      <c r="MIA25" s="1852"/>
      <c r="MID25" s="1852"/>
      <c r="MIG25" s="1852"/>
      <c r="MIJ25" s="1852"/>
      <c r="MIM25" s="1852"/>
      <c r="MIP25" s="1852"/>
      <c r="MIS25" s="1852"/>
      <c r="MIV25" s="1852"/>
      <c r="MIY25" s="1852"/>
      <c r="MJB25" s="1852"/>
      <c r="MJE25" s="1852"/>
      <c r="MJH25" s="1852"/>
      <c r="MJK25" s="1852"/>
      <c r="MJN25" s="1852"/>
      <c r="MJQ25" s="1852"/>
      <c r="MJT25" s="1852"/>
      <c r="MJW25" s="1852"/>
      <c r="MJZ25" s="1852"/>
      <c r="MKC25" s="1852"/>
      <c r="MKF25" s="1852"/>
      <c r="MKI25" s="1852"/>
      <c r="MKL25" s="1852"/>
      <c r="MKO25" s="1852"/>
      <c r="MKR25" s="1852"/>
      <c r="MKU25" s="1852"/>
      <c r="MKX25" s="1852"/>
      <c r="MLA25" s="1852"/>
      <c r="MLD25" s="1852"/>
      <c r="MLG25" s="1852"/>
      <c r="MLJ25" s="1852"/>
      <c r="MLM25" s="1852"/>
      <c r="MLP25" s="1852"/>
      <c r="MLS25" s="1852"/>
      <c r="MLV25" s="1852"/>
      <c r="MLY25" s="1852"/>
      <c r="MMB25" s="1852"/>
      <c r="MME25" s="1852"/>
      <c r="MMH25" s="1852"/>
      <c r="MMK25" s="1852"/>
      <c r="MMN25" s="1852"/>
      <c r="MMQ25" s="1852"/>
      <c r="MMT25" s="1852"/>
      <c r="MMW25" s="1852"/>
      <c r="MMZ25" s="1852"/>
      <c r="MNC25" s="1852"/>
      <c r="MNF25" s="1852"/>
      <c r="MNI25" s="1852"/>
      <c r="MNL25" s="1852"/>
      <c r="MNO25" s="1852"/>
      <c r="MNR25" s="1852"/>
      <c r="MNU25" s="1852"/>
      <c r="MNX25" s="1852"/>
      <c r="MOA25" s="1852"/>
      <c r="MOD25" s="1852"/>
      <c r="MOG25" s="1852"/>
      <c r="MOJ25" s="1852"/>
      <c r="MOM25" s="1852"/>
      <c r="MOP25" s="1852"/>
      <c r="MOS25" s="1852"/>
      <c r="MOV25" s="1852"/>
      <c r="MOY25" s="1852"/>
      <c r="MPB25" s="1852"/>
      <c r="MPE25" s="1852"/>
      <c r="MPH25" s="1852"/>
      <c r="MPK25" s="1852"/>
      <c r="MPN25" s="1852"/>
      <c r="MPQ25" s="1852"/>
      <c r="MPT25" s="1852"/>
      <c r="MPW25" s="1852"/>
      <c r="MPZ25" s="1852"/>
      <c r="MQC25" s="1852"/>
      <c r="MQF25" s="1852"/>
      <c r="MQI25" s="1852"/>
      <c r="MQL25" s="1852"/>
      <c r="MQO25" s="1852"/>
      <c r="MQR25" s="1852"/>
      <c r="MQU25" s="1852"/>
      <c r="MQX25" s="1852"/>
      <c r="MRA25" s="1852"/>
      <c r="MRD25" s="1852"/>
      <c r="MRG25" s="1852"/>
      <c r="MRJ25" s="1852"/>
      <c r="MRM25" s="1852"/>
      <c r="MRP25" s="1852"/>
      <c r="MRS25" s="1852"/>
      <c r="MRV25" s="1852"/>
      <c r="MRY25" s="1852"/>
      <c r="MSB25" s="1852"/>
      <c r="MSE25" s="1852"/>
      <c r="MSH25" s="1852"/>
      <c r="MSK25" s="1852"/>
      <c r="MSN25" s="1852"/>
      <c r="MSQ25" s="1852"/>
      <c r="MST25" s="1852"/>
      <c r="MSW25" s="1852"/>
      <c r="MSZ25" s="1852"/>
      <c r="MTC25" s="1852"/>
      <c r="MTF25" s="1852"/>
      <c r="MTI25" s="1852"/>
      <c r="MTL25" s="1852"/>
      <c r="MTO25" s="1852"/>
      <c r="MTR25" s="1852"/>
      <c r="MTU25" s="1852"/>
      <c r="MTX25" s="1852"/>
      <c r="MUA25" s="1852"/>
      <c r="MUD25" s="1852"/>
      <c r="MUG25" s="1852"/>
      <c r="MUJ25" s="1852"/>
      <c r="MUM25" s="1852"/>
      <c r="MUP25" s="1852"/>
      <c r="MUS25" s="1852"/>
      <c r="MUV25" s="1852"/>
      <c r="MUY25" s="1852"/>
      <c r="MVB25" s="1852"/>
      <c r="MVE25" s="1852"/>
      <c r="MVH25" s="1852"/>
      <c r="MVK25" s="1852"/>
      <c r="MVN25" s="1852"/>
      <c r="MVQ25" s="1852"/>
      <c r="MVT25" s="1852"/>
      <c r="MVW25" s="1852"/>
      <c r="MVZ25" s="1852"/>
      <c r="MWC25" s="1852"/>
      <c r="MWF25" s="1852"/>
      <c r="MWI25" s="1852"/>
      <c r="MWL25" s="1852"/>
      <c r="MWO25" s="1852"/>
      <c r="MWR25" s="1852"/>
      <c r="MWU25" s="1852"/>
      <c r="MWX25" s="1852"/>
      <c r="MXA25" s="1852"/>
      <c r="MXD25" s="1852"/>
      <c r="MXG25" s="1852"/>
      <c r="MXJ25" s="1852"/>
      <c r="MXM25" s="1852"/>
      <c r="MXP25" s="1852"/>
      <c r="MXS25" s="1852"/>
      <c r="MXV25" s="1852"/>
      <c r="MXY25" s="1852"/>
      <c r="MYB25" s="1852"/>
      <c r="MYE25" s="1852"/>
      <c r="MYH25" s="1852"/>
      <c r="MYK25" s="1852"/>
      <c r="MYN25" s="1852"/>
      <c r="MYQ25" s="1852"/>
      <c r="MYT25" s="1852"/>
      <c r="MYW25" s="1852"/>
      <c r="MYZ25" s="1852"/>
      <c r="MZC25" s="1852"/>
      <c r="MZF25" s="1852"/>
      <c r="MZI25" s="1852"/>
      <c r="MZL25" s="1852"/>
      <c r="MZO25" s="1852"/>
      <c r="MZR25" s="1852"/>
      <c r="MZU25" s="1852"/>
      <c r="MZX25" s="1852"/>
      <c r="NAA25" s="1852"/>
      <c r="NAD25" s="1852"/>
      <c r="NAG25" s="1852"/>
      <c r="NAJ25" s="1852"/>
      <c r="NAM25" s="1852"/>
      <c r="NAP25" s="1852"/>
      <c r="NAS25" s="1852"/>
      <c r="NAV25" s="1852"/>
      <c r="NAY25" s="1852"/>
      <c r="NBB25" s="1852"/>
      <c r="NBE25" s="1852"/>
      <c r="NBH25" s="1852"/>
      <c r="NBK25" s="1852"/>
      <c r="NBN25" s="1852"/>
      <c r="NBQ25" s="1852"/>
      <c r="NBT25" s="1852"/>
      <c r="NBW25" s="1852"/>
      <c r="NBZ25" s="1852"/>
      <c r="NCC25" s="1852"/>
      <c r="NCF25" s="1852"/>
      <c r="NCI25" s="1852"/>
      <c r="NCL25" s="1852"/>
      <c r="NCO25" s="1852"/>
      <c r="NCR25" s="1852"/>
      <c r="NCU25" s="1852"/>
      <c r="NCX25" s="1852"/>
      <c r="NDA25" s="1852"/>
      <c r="NDD25" s="1852"/>
      <c r="NDG25" s="1852"/>
      <c r="NDJ25" s="1852"/>
      <c r="NDM25" s="1852"/>
      <c r="NDP25" s="1852"/>
      <c r="NDS25" s="1852"/>
      <c r="NDV25" s="1852"/>
      <c r="NDY25" s="1852"/>
      <c r="NEB25" s="1852"/>
      <c r="NEE25" s="1852"/>
      <c r="NEH25" s="1852"/>
      <c r="NEK25" s="1852"/>
      <c r="NEN25" s="1852"/>
      <c r="NEQ25" s="1852"/>
      <c r="NET25" s="1852"/>
      <c r="NEW25" s="1852"/>
      <c r="NEZ25" s="1852"/>
      <c r="NFC25" s="1852"/>
      <c r="NFF25" s="1852"/>
      <c r="NFI25" s="1852"/>
      <c r="NFL25" s="1852"/>
      <c r="NFO25" s="1852"/>
      <c r="NFR25" s="1852"/>
      <c r="NFU25" s="1852"/>
      <c r="NFX25" s="1852"/>
      <c r="NGA25" s="1852"/>
      <c r="NGD25" s="1852"/>
      <c r="NGG25" s="1852"/>
      <c r="NGJ25" s="1852"/>
      <c r="NGM25" s="1852"/>
      <c r="NGP25" s="1852"/>
      <c r="NGS25" s="1852"/>
      <c r="NGV25" s="1852"/>
      <c r="NGY25" s="1852"/>
      <c r="NHB25" s="1852"/>
      <c r="NHE25" s="1852"/>
      <c r="NHH25" s="1852"/>
      <c r="NHK25" s="1852"/>
      <c r="NHN25" s="1852"/>
      <c r="NHQ25" s="1852"/>
      <c r="NHT25" s="1852"/>
      <c r="NHW25" s="1852"/>
      <c r="NHZ25" s="1852"/>
      <c r="NIC25" s="1852"/>
      <c r="NIF25" s="1852"/>
      <c r="NII25" s="1852"/>
      <c r="NIL25" s="1852"/>
      <c r="NIO25" s="1852"/>
      <c r="NIR25" s="1852"/>
      <c r="NIU25" s="1852"/>
      <c r="NIX25" s="1852"/>
      <c r="NJA25" s="1852"/>
      <c r="NJD25" s="1852"/>
      <c r="NJG25" s="1852"/>
      <c r="NJJ25" s="1852"/>
      <c r="NJM25" s="1852"/>
      <c r="NJP25" s="1852"/>
      <c r="NJS25" s="1852"/>
      <c r="NJV25" s="1852"/>
      <c r="NJY25" s="1852"/>
      <c r="NKB25" s="1852"/>
      <c r="NKE25" s="1852"/>
      <c r="NKH25" s="1852"/>
      <c r="NKK25" s="1852"/>
      <c r="NKN25" s="1852"/>
      <c r="NKQ25" s="1852"/>
      <c r="NKT25" s="1852"/>
      <c r="NKW25" s="1852"/>
      <c r="NKZ25" s="1852"/>
      <c r="NLC25" s="1852"/>
      <c r="NLF25" s="1852"/>
      <c r="NLI25" s="1852"/>
      <c r="NLL25" s="1852"/>
      <c r="NLO25" s="1852"/>
      <c r="NLR25" s="1852"/>
      <c r="NLU25" s="1852"/>
      <c r="NLX25" s="1852"/>
      <c r="NMA25" s="1852"/>
      <c r="NMD25" s="1852"/>
      <c r="NMG25" s="1852"/>
      <c r="NMJ25" s="1852"/>
      <c r="NMM25" s="1852"/>
      <c r="NMP25" s="1852"/>
      <c r="NMS25" s="1852"/>
      <c r="NMV25" s="1852"/>
      <c r="NMY25" s="1852"/>
      <c r="NNB25" s="1852"/>
      <c r="NNE25" s="1852"/>
      <c r="NNH25" s="1852"/>
      <c r="NNK25" s="1852"/>
      <c r="NNN25" s="1852"/>
      <c r="NNQ25" s="1852"/>
      <c r="NNT25" s="1852"/>
      <c r="NNW25" s="1852"/>
      <c r="NNZ25" s="1852"/>
      <c r="NOC25" s="1852"/>
      <c r="NOF25" s="1852"/>
      <c r="NOI25" s="1852"/>
      <c r="NOL25" s="1852"/>
      <c r="NOO25" s="1852"/>
      <c r="NOR25" s="1852"/>
      <c r="NOU25" s="1852"/>
      <c r="NOX25" s="1852"/>
      <c r="NPA25" s="1852"/>
      <c r="NPD25" s="1852"/>
      <c r="NPG25" s="1852"/>
      <c r="NPJ25" s="1852"/>
      <c r="NPM25" s="1852"/>
      <c r="NPP25" s="1852"/>
      <c r="NPS25" s="1852"/>
      <c r="NPV25" s="1852"/>
      <c r="NPY25" s="1852"/>
      <c r="NQB25" s="1852"/>
      <c r="NQE25" s="1852"/>
      <c r="NQH25" s="1852"/>
      <c r="NQK25" s="1852"/>
      <c r="NQN25" s="1852"/>
      <c r="NQQ25" s="1852"/>
      <c r="NQT25" s="1852"/>
      <c r="NQW25" s="1852"/>
      <c r="NQZ25" s="1852"/>
      <c r="NRC25" s="1852"/>
      <c r="NRF25" s="1852"/>
      <c r="NRI25" s="1852"/>
      <c r="NRL25" s="1852"/>
      <c r="NRO25" s="1852"/>
      <c r="NRR25" s="1852"/>
      <c r="NRU25" s="1852"/>
      <c r="NRX25" s="1852"/>
      <c r="NSA25" s="1852"/>
      <c r="NSD25" s="1852"/>
      <c r="NSG25" s="1852"/>
      <c r="NSJ25" s="1852"/>
      <c r="NSM25" s="1852"/>
      <c r="NSP25" s="1852"/>
      <c r="NSS25" s="1852"/>
      <c r="NSV25" s="1852"/>
      <c r="NSY25" s="1852"/>
      <c r="NTB25" s="1852"/>
      <c r="NTE25" s="1852"/>
      <c r="NTH25" s="1852"/>
      <c r="NTK25" s="1852"/>
      <c r="NTN25" s="1852"/>
      <c r="NTQ25" s="1852"/>
      <c r="NTT25" s="1852"/>
      <c r="NTW25" s="1852"/>
      <c r="NTZ25" s="1852"/>
      <c r="NUC25" s="1852"/>
      <c r="NUF25" s="1852"/>
      <c r="NUI25" s="1852"/>
      <c r="NUL25" s="1852"/>
      <c r="NUO25" s="1852"/>
      <c r="NUR25" s="1852"/>
      <c r="NUU25" s="1852"/>
      <c r="NUX25" s="1852"/>
      <c r="NVA25" s="1852"/>
      <c r="NVD25" s="1852"/>
      <c r="NVG25" s="1852"/>
      <c r="NVJ25" s="1852"/>
      <c r="NVM25" s="1852"/>
      <c r="NVP25" s="1852"/>
      <c r="NVS25" s="1852"/>
      <c r="NVV25" s="1852"/>
      <c r="NVY25" s="1852"/>
      <c r="NWB25" s="1852"/>
      <c r="NWE25" s="1852"/>
      <c r="NWH25" s="1852"/>
      <c r="NWK25" s="1852"/>
      <c r="NWN25" s="1852"/>
      <c r="NWQ25" s="1852"/>
      <c r="NWT25" s="1852"/>
      <c r="NWW25" s="1852"/>
      <c r="NWZ25" s="1852"/>
      <c r="NXC25" s="1852"/>
      <c r="NXF25" s="1852"/>
      <c r="NXI25" s="1852"/>
      <c r="NXL25" s="1852"/>
      <c r="NXO25" s="1852"/>
      <c r="NXR25" s="1852"/>
      <c r="NXU25" s="1852"/>
      <c r="NXX25" s="1852"/>
      <c r="NYA25" s="1852"/>
      <c r="NYD25" s="1852"/>
      <c r="NYG25" s="1852"/>
      <c r="NYJ25" s="1852"/>
      <c r="NYM25" s="1852"/>
      <c r="NYP25" s="1852"/>
      <c r="NYS25" s="1852"/>
      <c r="NYV25" s="1852"/>
      <c r="NYY25" s="1852"/>
      <c r="NZB25" s="1852"/>
      <c r="NZE25" s="1852"/>
      <c r="NZH25" s="1852"/>
      <c r="NZK25" s="1852"/>
      <c r="NZN25" s="1852"/>
      <c r="NZQ25" s="1852"/>
      <c r="NZT25" s="1852"/>
      <c r="NZW25" s="1852"/>
      <c r="NZZ25" s="1852"/>
      <c r="OAC25" s="1852"/>
      <c r="OAF25" s="1852"/>
      <c r="OAI25" s="1852"/>
      <c r="OAL25" s="1852"/>
      <c r="OAO25" s="1852"/>
      <c r="OAR25" s="1852"/>
      <c r="OAU25" s="1852"/>
      <c r="OAX25" s="1852"/>
      <c r="OBA25" s="1852"/>
      <c r="OBD25" s="1852"/>
      <c r="OBG25" s="1852"/>
      <c r="OBJ25" s="1852"/>
      <c r="OBM25" s="1852"/>
      <c r="OBP25" s="1852"/>
      <c r="OBS25" s="1852"/>
      <c r="OBV25" s="1852"/>
      <c r="OBY25" s="1852"/>
      <c r="OCB25" s="1852"/>
      <c r="OCE25" s="1852"/>
      <c r="OCH25" s="1852"/>
      <c r="OCK25" s="1852"/>
      <c r="OCN25" s="1852"/>
      <c r="OCQ25" s="1852"/>
      <c r="OCT25" s="1852"/>
      <c r="OCW25" s="1852"/>
      <c r="OCZ25" s="1852"/>
      <c r="ODC25" s="1852"/>
      <c r="ODF25" s="1852"/>
      <c r="ODI25" s="1852"/>
      <c r="ODL25" s="1852"/>
      <c r="ODO25" s="1852"/>
      <c r="ODR25" s="1852"/>
      <c r="ODU25" s="1852"/>
      <c r="ODX25" s="1852"/>
      <c r="OEA25" s="1852"/>
      <c r="OED25" s="1852"/>
      <c r="OEG25" s="1852"/>
      <c r="OEJ25" s="1852"/>
      <c r="OEM25" s="1852"/>
      <c r="OEP25" s="1852"/>
      <c r="OES25" s="1852"/>
      <c r="OEV25" s="1852"/>
      <c r="OEY25" s="1852"/>
      <c r="OFB25" s="1852"/>
      <c r="OFE25" s="1852"/>
      <c r="OFH25" s="1852"/>
      <c r="OFK25" s="1852"/>
      <c r="OFN25" s="1852"/>
      <c r="OFQ25" s="1852"/>
      <c r="OFT25" s="1852"/>
      <c r="OFW25" s="1852"/>
      <c r="OFZ25" s="1852"/>
      <c r="OGC25" s="1852"/>
      <c r="OGF25" s="1852"/>
      <c r="OGI25" s="1852"/>
      <c r="OGL25" s="1852"/>
      <c r="OGO25" s="1852"/>
      <c r="OGR25" s="1852"/>
      <c r="OGU25" s="1852"/>
      <c r="OGX25" s="1852"/>
      <c r="OHA25" s="1852"/>
      <c r="OHD25" s="1852"/>
      <c r="OHG25" s="1852"/>
      <c r="OHJ25" s="1852"/>
      <c r="OHM25" s="1852"/>
      <c r="OHP25" s="1852"/>
      <c r="OHS25" s="1852"/>
      <c r="OHV25" s="1852"/>
      <c r="OHY25" s="1852"/>
      <c r="OIB25" s="1852"/>
      <c r="OIE25" s="1852"/>
      <c r="OIH25" s="1852"/>
      <c r="OIK25" s="1852"/>
      <c r="OIN25" s="1852"/>
      <c r="OIQ25" s="1852"/>
      <c r="OIT25" s="1852"/>
      <c r="OIW25" s="1852"/>
      <c r="OIZ25" s="1852"/>
      <c r="OJC25" s="1852"/>
      <c r="OJF25" s="1852"/>
      <c r="OJI25" s="1852"/>
      <c r="OJL25" s="1852"/>
      <c r="OJO25" s="1852"/>
      <c r="OJR25" s="1852"/>
      <c r="OJU25" s="1852"/>
      <c r="OJX25" s="1852"/>
      <c r="OKA25" s="1852"/>
      <c r="OKD25" s="1852"/>
      <c r="OKG25" s="1852"/>
      <c r="OKJ25" s="1852"/>
      <c r="OKM25" s="1852"/>
      <c r="OKP25" s="1852"/>
      <c r="OKS25" s="1852"/>
      <c r="OKV25" s="1852"/>
      <c r="OKY25" s="1852"/>
      <c r="OLB25" s="1852"/>
      <c r="OLE25" s="1852"/>
      <c r="OLH25" s="1852"/>
      <c r="OLK25" s="1852"/>
      <c r="OLN25" s="1852"/>
      <c r="OLQ25" s="1852"/>
      <c r="OLT25" s="1852"/>
      <c r="OLW25" s="1852"/>
      <c r="OLZ25" s="1852"/>
      <c r="OMC25" s="1852"/>
      <c r="OMF25" s="1852"/>
      <c r="OMI25" s="1852"/>
      <c r="OML25" s="1852"/>
      <c r="OMO25" s="1852"/>
      <c r="OMR25" s="1852"/>
      <c r="OMU25" s="1852"/>
      <c r="OMX25" s="1852"/>
      <c r="ONA25" s="1852"/>
      <c r="OND25" s="1852"/>
      <c r="ONG25" s="1852"/>
      <c r="ONJ25" s="1852"/>
      <c r="ONM25" s="1852"/>
      <c r="ONP25" s="1852"/>
      <c r="ONS25" s="1852"/>
      <c r="ONV25" s="1852"/>
      <c r="ONY25" s="1852"/>
      <c r="OOB25" s="1852"/>
      <c r="OOE25" s="1852"/>
      <c r="OOH25" s="1852"/>
      <c r="OOK25" s="1852"/>
      <c r="OON25" s="1852"/>
      <c r="OOQ25" s="1852"/>
      <c r="OOT25" s="1852"/>
      <c r="OOW25" s="1852"/>
      <c r="OOZ25" s="1852"/>
      <c r="OPC25" s="1852"/>
      <c r="OPF25" s="1852"/>
      <c r="OPI25" s="1852"/>
      <c r="OPL25" s="1852"/>
      <c r="OPO25" s="1852"/>
      <c r="OPR25" s="1852"/>
      <c r="OPU25" s="1852"/>
      <c r="OPX25" s="1852"/>
      <c r="OQA25" s="1852"/>
      <c r="OQD25" s="1852"/>
      <c r="OQG25" s="1852"/>
      <c r="OQJ25" s="1852"/>
      <c r="OQM25" s="1852"/>
      <c r="OQP25" s="1852"/>
      <c r="OQS25" s="1852"/>
      <c r="OQV25" s="1852"/>
      <c r="OQY25" s="1852"/>
      <c r="ORB25" s="1852"/>
      <c r="ORE25" s="1852"/>
      <c r="ORH25" s="1852"/>
      <c r="ORK25" s="1852"/>
      <c r="ORN25" s="1852"/>
      <c r="ORQ25" s="1852"/>
      <c r="ORT25" s="1852"/>
      <c r="ORW25" s="1852"/>
      <c r="ORZ25" s="1852"/>
      <c r="OSC25" s="1852"/>
      <c r="OSF25" s="1852"/>
      <c r="OSI25" s="1852"/>
      <c r="OSL25" s="1852"/>
      <c r="OSO25" s="1852"/>
      <c r="OSR25" s="1852"/>
      <c r="OSU25" s="1852"/>
      <c r="OSX25" s="1852"/>
      <c r="OTA25" s="1852"/>
      <c r="OTD25" s="1852"/>
      <c r="OTG25" s="1852"/>
      <c r="OTJ25" s="1852"/>
      <c r="OTM25" s="1852"/>
      <c r="OTP25" s="1852"/>
      <c r="OTS25" s="1852"/>
      <c r="OTV25" s="1852"/>
      <c r="OTY25" s="1852"/>
      <c r="OUB25" s="1852"/>
      <c r="OUE25" s="1852"/>
      <c r="OUH25" s="1852"/>
      <c r="OUK25" s="1852"/>
      <c r="OUN25" s="1852"/>
      <c r="OUQ25" s="1852"/>
      <c r="OUT25" s="1852"/>
      <c r="OUW25" s="1852"/>
      <c r="OUZ25" s="1852"/>
      <c r="OVC25" s="1852"/>
      <c r="OVF25" s="1852"/>
      <c r="OVI25" s="1852"/>
      <c r="OVL25" s="1852"/>
      <c r="OVO25" s="1852"/>
      <c r="OVR25" s="1852"/>
      <c r="OVU25" s="1852"/>
      <c r="OVX25" s="1852"/>
      <c r="OWA25" s="1852"/>
      <c r="OWD25" s="1852"/>
      <c r="OWG25" s="1852"/>
      <c r="OWJ25" s="1852"/>
      <c r="OWM25" s="1852"/>
      <c r="OWP25" s="1852"/>
      <c r="OWS25" s="1852"/>
      <c r="OWV25" s="1852"/>
      <c r="OWY25" s="1852"/>
      <c r="OXB25" s="1852"/>
      <c r="OXE25" s="1852"/>
      <c r="OXH25" s="1852"/>
      <c r="OXK25" s="1852"/>
      <c r="OXN25" s="1852"/>
      <c r="OXQ25" s="1852"/>
      <c r="OXT25" s="1852"/>
      <c r="OXW25" s="1852"/>
      <c r="OXZ25" s="1852"/>
      <c r="OYC25" s="1852"/>
      <c r="OYF25" s="1852"/>
      <c r="OYI25" s="1852"/>
      <c r="OYL25" s="1852"/>
      <c r="OYO25" s="1852"/>
      <c r="OYR25" s="1852"/>
      <c r="OYU25" s="1852"/>
      <c r="OYX25" s="1852"/>
      <c r="OZA25" s="1852"/>
      <c r="OZD25" s="1852"/>
      <c r="OZG25" s="1852"/>
      <c r="OZJ25" s="1852"/>
      <c r="OZM25" s="1852"/>
      <c r="OZP25" s="1852"/>
      <c r="OZS25" s="1852"/>
      <c r="OZV25" s="1852"/>
      <c r="OZY25" s="1852"/>
      <c r="PAB25" s="1852"/>
      <c r="PAE25" s="1852"/>
      <c r="PAH25" s="1852"/>
      <c r="PAK25" s="1852"/>
      <c r="PAN25" s="1852"/>
      <c r="PAQ25" s="1852"/>
      <c r="PAT25" s="1852"/>
      <c r="PAW25" s="1852"/>
      <c r="PAZ25" s="1852"/>
      <c r="PBC25" s="1852"/>
      <c r="PBF25" s="1852"/>
      <c r="PBI25" s="1852"/>
      <c r="PBL25" s="1852"/>
      <c r="PBO25" s="1852"/>
      <c r="PBR25" s="1852"/>
      <c r="PBU25" s="1852"/>
      <c r="PBX25" s="1852"/>
      <c r="PCA25" s="1852"/>
      <c r="PCD25" s="1852"/>
      <c r="PCG25" s="1852"/>
      <c r="PCJ25" s="1852"/>
      <c r="PCM25" s="1852"/>
      <c r="PCP25" s="1852"/>
      <c r="PCS25" s="1852"/>
      <c r="PCV25" s="1852"/>
      <c r="PCY25" s="1852"/>
      <c r="PDB25" s="1852"/>
      <c r="PDE25" s="1852"/>
      <c r="PDH25" s="1852"/>
      <c r="PDK25" s="1852"/>
      <c r="PDN25" s="1852"/>
      <c r="PDQ25" s="1852"/>
      <c r="PDT25" s="1852"/>
      <c r="PDW25" s="1852"/>
      <c r="PDZ25" s="1852"/>
      <c r="PEC25" s="1852"/>
      <c r="PEF25" s="1852"/>
      <c r="PEI25" s="1852"/>
      <c r="PEL25" s="1852"/>
      <c r="PEO25" s="1852"/>
      <c r="PER25" s="1852"/>
      <c r="PEU25" s="1852"/>
      <c r="PEX25" s="1852"/>
      <c r="PFA25" s="1852"/>
      <c r="PFD25" s="1852"/>
      <c r="PFG25" s="1852"/>
      <c r="PFJ25" s="1852"/>
      <c r="PFM25" s="1852"/>
      <c r="PFP25" s="1852"/>
      <c r="PFS25" s="1852"/>
      <c r="PFV25" s="1852"/>
      <c r="PFY25" s="1852"/>
      <c r="PGB25" s="1852"/>
      <c r="PGE25" s="1852"/>
      <c r="PGH25" s="1852"/>
      <c r="PGK25" s="1852"/>
      <c r="PGN25" s="1852"/>
      <c r="PGQ25" s="1852"/>
      <c r="PGT25" s="1852"/>
      <c r="PGW25" s="1852"/>
      <c r="PGZ25" s="1852"/>
      <c r="PHC25" s="1852"/>
      <c r="PHF25" s="1852"/>
      <c r="PHI25" s="1852"/>
      <c r="PHL25" s="1852"/>
      <c r="PHO25" s="1852"/>
      <c r="PHR25" s="1852"/>
      <c r="PHU25" s="1852"/>
      <c r="PHX25" s="1852"/>
      <c r="PIA25" s="1852"/>
      <c r="PID25" s="1852"/>
      <c r="PIG25" s="1852"/>
      <c r="PIJ25" s="1852"/>
      <c r="PIM25" s="1852"/>
      <c r="PIP25" s="1852"/>
      <c r="PIS25" s="1852"/>
      <c r="PIV25" s="1852"/>
      <c r="PIY25" s="1852"/>
      <c r="PJB25" s="1852"/>
      <c r="PJE25" s="1852"/>
      <c r="PJH25" s="1852"/>
      <c r="PJK25" s="1852"/>
      <c r="PJN25" s="1852"/>
      <c r="PJQ25" s="1852"/>
      <c r="PJT25" s="1852"/>
      <c r="PJW25" s="1852"/>
      <c r="PJZ25" s="1852"/>
      <c r="PKC25" s="1852"/>
      <c r="PKF25" s="1852"/>
      <c r="PKI25" s="1852"/>
      <c r="PKL25" s="1852"/>
      <c r="PKO25" s="1852"/>
      <c r="PKR25" s="1852"/>
      <c r="PKU25" s="1852"/>
      <c r="PKX25" s="1852"/>
      <c r="PLA25" s="1852"/>
      <c r="PLD25" s="1852"/>
      <c r="PLG25" s="1852"/>
      <c r="PLJ25" s="1852"/>
      <c r="PLM25" s="1852"/>
      <c r="PLP25" s="1852"/>
      <c r="PLS25" s="1852"/>
      <c r="PLV25" s="1852"/>
      <c r="PLY25" s="1852"/>
      <c r="PMB25" s="1852"/>
      <c r="PME25" s="1852"/>
      <c r="PMH25" s="1852"/>
      <c r="PMK25" s="1852"/>
      <c r="PMN25" s="1852"/>
      <c r="PMQ25" s="1852"/>
      <c r="PMT25" s="1852"/>
      <c r="PMW25" s="1852"/>
      <c r="PMZ25" s="1852"/>
      <c r="PNC25" s="1852"/>
      <c r="PNF25" s="1852"/>
      <c r="PNI25" s="1852"/>
      <c r="PNL25" s="1852"/>
      <c r="PNO25" s="1852"/>
      <c r="PNR25" s="1852"/>
      <c r="PNU25" s="1852"/>
      <c r="PNX25" s="1852"/>
      <c r="POA25" s="1852"/>
      <c r="POD25" s="1852"/>
      <c r="POG25" s="1852"/>
      <c r="POJ25" s="1852"/>
      <c r="POM25" s="1852"/>
      <c r="POP25" s="1852"/>
      <c r="POS25" s="1852"/>
      <c r="POV25" s="1852"/>
      <c r="POY25" s="1852"/>
      <c r="PPB25" s="1852"/>
      <c r="PPE25" s="1852"/>
      <c r="PPH25" s="1852"/>
      <c r="PPK25" s="1852"/>
      <c r="PPN25" s="1852"/>
      <c r="PPQ25" s="1852"/>
      <c r="PPT25" s="1852"/>
      <c r="PPW25" s="1852"/>
      <c r="PPZ25" s="1852"/>
      <c r="PQC25" s="1852"/>
      <c r="PQF25" s="1852"/>
      <c r="PQI25" s="1852"/>
      <c r="PQL25" s="1852"/>
      <c r="PQO25" s="1852"/>
      <c r="PQR25" s="1852"/>
      <c r="PQU25" s="1852"/>
      <c r="PQX25" s="1852"/>
      <c r="PRA25" s="1852"/>
      <c r="PRD25" s="1852"/>
      <c r="PRG25" s="1852"/>
      <c r="PRJ25" s="1852"/>
      <c r="PRM25" s="1852"/>
      <c r="PRP25" s="1852"/>
      <c r="PRS25" s="1852"/>
      <c r="PRV25" s="1852"/>
      <c r="PRY25" s="1852"/>
      <c r="PSB25" s="1852"/>
      <c r="PSE25" s="1852"/>
      <c r="PSH25" s="1852"/>
      <c r="PSK25" s="1852"/>
      <c r="PSN25" s="1852"/>
      <c r="PSQ25" s="1852"/>
      <c r="PST25" s="1852"/>
      <c r="PSW25" s="1852"/>
      <c r="PSZ25" s="1852"/>
      <c r="PTC25" s="1852"/>
      <c r="PTF25" s="1852"/>
      <c r="PTI25" s="1852"/>
      <c r="PTL25" s="1852"/>
      <c r="PTO25" s="1852"/>
      <c r="PTR25" s="1852"/>
      <c r="PTU25" s="1852"/>
      <c r="PTX25" s="1852"/>
      <c r="PUA25" s="1852"/>
      <c r="PUD25" s="1852"/>
      <c r="PUG25" s="1852"/>
      <c r="PUJ25" s="1852"/>
      <c r="PUM25" s="1852"/>
      <c r="PUP25" s="1852"/>
      <c r="PUS25" s="1852"/>
      <c r="PUV25" s="1852"/>
      <c r="PUY25" s="1852"/>
      <c r="PVB25" s="1852"/>
      <c r="PVE25" s="1852"/>
      <c r="PVH25" s="1852"/>
      <c r="PVK25" s="1852"/>
      <c r="PVN25" s="1852"/>
      <c r="PVQ25" s="1852"/>
      <c r="PVT25" s="1852"/>
      <c r="PVW25" s="1852"/>
      <c r="PVZ25" s="1852"/>
      <c r="PWC25" s="1852"/>
      <c r="PWF25" s="1852"/>
      <c r="PWI25" s="1852"/>
      <c r="PWL25" s="1852"/>
      <c r="PWO25" s="1852"/>
      <c r="PWR25" s="1852"/>
      <c r="PWU25" s="1852"/>
      <c r="PWX25" s="1852"/>
      <c r="PXA25" s="1852"/>
      <c r="PXD25" s="1852"/>
      <c r="PXG25" s="1852"/>
      <c r="PXJ25" s="1852"/>
      <c r="PXM25" s="1852"/>
      <c r="PXP25" s="1852"/>
      <c r="PXS25" s="1852"/>
      <c r="PXV25" s="1852"/>
      <c r="PXY25" s="1852"/>
      <c r="PYB25" s="1852"/>
      <c r="PYE25" s="1852"/>
      <c r="PYH25" s="1852"/>
      <c r="PYK25" s="1852"/>
      <c r="PYN25" s="1852"/>
      <c r="PYQ25" s="1852"/>
      <c r="PYT25" s="1852"/>
      <c r="PYW25" s="1852"/>
      <c r="PYZ25" s="1852"/>
      <c r="PZC25" s="1852"/>
      <c r="PZF25" s="1852"/>
      <c r="PZI25" s="1852"/>
      <c r="PZL25" s="1852"/>
      <c r="PZO25" s="1852"/>
      <c r="PZR25" s="1852"/>
      <c r="PZU25" s="1852"/>
      <c r="PZX25" s="1852"/>
      <c r="QAA25" s="1852"/>
      <c r="QAD25" s="1852"/>
      <c r="QAG25" s="1852"/>
      <c r="QAJ25" s="1852"/>
      <c r="QAM25" s="1852"/>
      <c r="QAP25" s="1852"/>
      <c r="QAS25" s="1852"/>
      <c r="QAV25" s="1852"/>
      <c r="QAY25" s="1852"/>
      <c r="QBB25" s="1852"/>
      <c r="QBE25" s="1852"/>
      <c r="QBH25" s="1852"/>
      <c r="QBK25" s="1852"/>
      <c r="QBN25" s="1852"/>
      <c r="QBQ25" s="1852"/>
      <c r="QBT25" s="1852"/>
      <c r="QBW25" s="1852"/>
      <c r="QBZ25" s="1852"/>
      <c r="QCC25" s="1852"/>
      <c r="QCF25" s="1852"/>
      <c r="QCI25" s="1852"/>
      <c r="QCL25" s="1852"/>
      <c r="QCO25" s="1852"/>
      <c r="QCR25" s="1852"/>
      <c r="QCU25" s="1852"/>
      <c r="QCX25" s="1852"/>
      <c r="QDA25" s="1852"/>
      <c r="QDD25" s="1852"/>
      <c r="QDG25" s="1852"/>
      <c r="QDJ25" s="1852"/>
      <c r="QDM25" s="1852"/>
      <c r="QDP25" s="1852"/>
      <c r="QDS25" s="1852"/>
      <c r="QDV25" s="1852"/>
      <c r="QDY25" s="1852"/>
      <c r="QEB25" s="1852"/>
      <c r="QEE25" s="1852"/>
      <c r="QEH25" s="1852"/>
      <c r="QEK25" s="1852"/>
      <c r="QEN25" s="1852"/>
      <c r="QEQ25" s="1852"/>
      <c r="QET25" s="1852"/>
      <c r="QEW25" s="1852"/>
      <c r="QEZ25" s="1852"/>
      <c r="QFC25" s="1852"/>
      <c r="QFF25" s="1852"/>
      <c r="QFI25" s="1852"/>
      <c r="QFL25" s="1852"/>
      <c r="QFO25" s="1852"/>
      <c r="QFR25" s="1852"/>
      <c r="QFU25" s="1852"/>
      <c r="QFX25" s="1852"/>
      <c r="QGA25" s="1852"/>
      <c r="QGD25" s="1852"/>
      <c r="QGG25" s="1852"/>
      <c r="QGJ25" s="1852"/>
      <c r="QGM25" s="1852"/>
      <c r="QGP25" s="1852"/>
      <c r="QGS25" s="1852"/>
      <c r="QGV25" s="1852"/>
      <c r="QGY25" s="1852"/>
      <c r="QHB25" s="1852"/>
      <c r="QHE25" s="1852"/>
      <c r="QHH25" s="1852"/>
      <c r="QHK25" s="1852"/>
      <c r="QHN25" s="1852"/>
      <c r="QHQ25" s="1852"/>
      <c r="QHT25" s="1852"/>
      <c r="QHW25" s="1852"/>
      <c r="QHZ25" s="1852"/>
      <c r="QIC25" s="1852"/>
      <c r="QIF25" s="1852"/>
      <c r="QII25" s="1852"/>
      <c r="QIL25" s="1852"/>
      <c r="QIO25" s="1852"/>
      <c r="QIR25" s="1852"/>
      <c r="QIU25" s="1852"/>
      <c r="QIX25" s="1852"/>
      <c r="QJA25" s="1852"/>
      <c r="QJD25" s="1852"/>
      <c r="QJG25" s="1852"/>
      <c r="QJJ25" s="1852"/>
      <c r="QJM25" s="1852"/>
      <c r="QJP25" s="1852"/>
      <c r="QJS25" s="1852"/>
      <c r="QJV25" s="1852"/>
      <c r="QJY25" s="1852"/>
      <c r="QKB25" s="1852"/>
      <c r="QKE25" s="1852"/>
      <c r="QKH25" s="1852"/>
      <c r="QKK25" s="1852"/>
      <c r="QKN25" s="1852"/>
      <c r="QKQ25" s="1852"/>
      <c r="QKT25" s="1852"/>
      <c r="QKW25" s="1852"/>
      <c r="QKZ25" s="1852"/>
      <c r="QLC25" s="1852"/>
      <c r="QLF25" s="1852"/>
      <c r="QLI25" s="1852"/>
      <c r="QLL25" s="1852"/>
      <c r="QLO25" s="1852"/>
      <c r="QLR25" s="1852"/>
      <c r="QLU25" s="1852"/>
      <c r="QLX25" s="1852"/>
      <c r="QMA25" s="1852"/>
      <c r="QMD25" s="1852"/>
      <c r="QMG25" s="1852"/>
      <c r="QMJ25" s="1852"/>
      <c r="QMM25" s="1852"/>
      <c r="QMP25" s="1852"/>
      <c r="QMS25" s="1852"/>
      <c r="QMV25" s="1852"/>
      <c r="QMY25" s="1852"/>
      <c r="QNB25" s="1852"/>
      <c r="QNE25" s="1852"/>
      <c r="QNH25" s="1852"/>
      <c r="QNK25" s="1852"/>
      <c r="QNN25" s="1852"/>
      <c r="QNQ25" s="1852"/>
      <c r="QNT25" s="1852"/>
      <c r="QNW25" s="1852"/>
      <c r="QNZ25" s="1852"/>
      <c r="QOC25" s="1852"/>
      <c r="QOF25" s="1852"/>
      <c r="QOI25" s="1852"/>
      <c r="QOL25" s="1852"/>
      <c r="QOO25" s="1852"/>
      <c r="QOR25" s="1852"/>
      <c r="QOU25" s="1852"/>
      <c r="QOX25" s="1852"/>
      <c r="QPA25" s="1852"/>
      <c r="QPD25" s="1852"/>
      <c r="QPG25" s="1852"/>
      <c r="QPJ25" s="1852"/>
      <c r="QPM25" s="1852"/>
      <c r="QPP25" s="1852"/>
      <c r="QPS25" s="1852"/>
      <c r="QPV25" s="1852"/>
      <c r="QPY25" s="1852"/>
      <c r="QQB25" s="1852"/>
      <c r="QQE25" s="1852"/>
      <c r="QQH25" s="1852"/>
      <c r="QQK25" s="1852"/>
      <c r="QQN25" s="1852"/>
      <c r="QQQ25" s="1852"/>
      <c r="QQT25" s="1852"/>
      <c r="QQW25" s="1852"/>
      <c r="QQZ25" s="1852"/>
      <c r="QRC25" s="1852"/>
      <c r="QRF25" s="1852"/>
      <c r="QRI25" s="1852"/>
      <c r="QRL25" s="1852"/>
      <c r="QRO25" s="1852"/>
      <c r="QRR25" s="1852"/>
      <c r="QRU25" s="1852"/>
      <c r="QRX25" s="1852"/>
      <c r="QSA25" s="1852"/>
      <c r="QSD25" s="1852"/>
      <c r="QSG25" s="1852"/>
      <c r="QSJ25" s="1852"/>
      <c r="QSM25" s="1852"/>
      <c r="QSP25" s="1852"/>
      <c r="QSS25" s="1852"/>
      <c r="QSV25" s="1852"/>
      <c r="QSY25" s="1852"/>
      <c r="QTB25" s="1852"/>
      <c r="QTE25" s="1852"/>
      <c r="QTH25" s="1852"/>
      <c r="QTK25" s="1852"/>
      <c r="QTN25" s="1852"/>
      <c r="QTQ25" s="1852"/>
      <c r="QTT25" s="1852"/>
      <c r="QTW25" s="1852"/>
      <c r="QTZ25" s="1852"/>
      <c r="QUC25" s="1852"/>
      <c r="QUF25" s="1852"/>
      <c r="QUI25" s="1852"/>
      <c r="QUL25" s="1852"/>
      <c r="QUO25" s="1852"/>
      <c r="QUR25" s="1852"/>
      <c r="QUU25" s="1852"/>
      <c r="QUX25" s="1852"/>
      <c r="QVA25" s="1852"/>
      <c r="QVD25" s="1852"/>
      <c r="QVG25" s="1852"/>
      <c r="QVJ25" s="1852"/>
      <c r="QVM25" s="1852"/>
      <c r="QVP25" s="1852"/>
      <c r="QVS25" s="1852"/>
      <c r="QVV25" s="1852"/>
      <c r="QVY25" s="1852"/>
      <c r="QWB25" s="1852"/>
      <c r="QWE25" s="1852"/>
      <c r="QWH25" s="1852"/>
      <c r="QWK25" s="1852"/>
      <c r="QWN25" s="1852"/>
      <c r="QWQ25" s="1852"/>
      <c r="QWT25" s="1852"/>
      <c r="QWW25" s="1852"/>
      <c r="QWZ25" s="1852"/>
      <c r="QXC25" s="1852"/>
      <c r="QXF25" s="1852"/>
      <c r="QXI25" s="1852"/>
      <c r="QXL25" s="1852"/>
      <c r="QXO25" s="1852"/>
      <c r="QXR25" s="1852"/>
      <c r="QXU25" s="1852"/>
      <c r="QXX25" s="1852"/>
      <c r="QYA25" s="1852"/>
      <c r="QYD25" s="1852"/>
      <c r="QYG25" s="1852"/>
      <c r="QYJ25" s="1852"/>
      <c r="QYM25" s="1852"/>
      <c r="QYP25" s="1852"/>
      <c r="QYS25" s="1852"/>
      <c r="QYV25" s="1852"/>
      <c r="QYY25" s="1852"/>
      <c r="QZB25" s="1852"/>
      <c r="QZE25" s="1852"/>
      <c r="QZH25" s="1852"/>
      <c r="QZK25" s="1852"/>
      <c r="QZN25" s="1852"/>
      <c r="QZQ25" s="1852"/>
      <c r="QZT25" s="1852"/>
      <c r="QZW25" s="1852"/>
      <c r="QZZ25" s="1852"/>
      <c r="RAC25" s="1852"/>
      <c r="RAF25" s="1852"/>
      <c r="RAI25" s="1852"/>
      <c r="RAL25" s="1852"/>
      <c r="RAO25" s="1852"/>
      <c r="RAR25" s="1852"/>
      <c r="RAU25" s="1852"/>
      <c r="RAX25" s="1852"/>
      <c r="RBA25" s="1852"/>
      <c r="RBD25" s="1852"/>
      <c r="RBG25" s="1852"/>
      <c r="RBJ25" s="1852"/>
      <c r="RBM25" s="1852"/>
      <c r="RBP25" s="1852"/>
      <c r="RBS25" s="1852"/>
      <c r="RBV25" s="1852"/>
      <c r="RBY25" s="1852"/>
      <c r="RCB25" s="1852"/>
      <c r="RCE25" s="1852"/>
      <c r="RCH25" s="1852"/>
      <c r="RCK25" s="1852"/>
      <c r="RCN25" s="1852"/>
      <c r="RCQ25" s="1852"/>
      <c r="RCT25" s="1852"/>
      <c r="RCW25" s="1852"/>
      <c r="RCZ25" s="1852"/>
      <c r="RDC25" s="1852"/>
      <c r="RDF25" s="1852"/>
      <c r="RDI25" s="1852"/>
      <c r="RDL25" s="1852"/>
      <c r="RDO25" s="1852"/>
      <c r="RDR25" s="1852"/>
      <c r="RDU25" s="1852"/>
      <c r="RDX25" s="1852"/>
      <c r="REA25" s="1852"/>
      <c r="RED25" s="1852"/>
      <c r="REG25" s="1852"/>
      <c r="REJ25" s="1852"/>
      <c r="REM25" s="1852"/>
      <c r="REP25" s="1852"/>
      <c r="RES25" s="1852"/>
      <c r="REV25" s="1852"/>
      <c r="REY25" s="1852"/>
      <c r="RFB25" s="1852"/>
      <c r="RFE25" s="1852"/>
      <c r="RFH25" s="1852"/>
      <c r="RFK25" s="1852"/>
      <c r="RFN25" s="1852"/>
      <c r="RFQ25" s="1852"/>
      <c r="RFT25" s="1852"/>
      <c r="RFW25" s="1852"/>
      <c r="RFZ25" s="1852"/>
      <c r="RGC25" s="1852"/>
      <c r="RGF25" s="1852"/>
      <c r="RGI25" s="1852"/>
      <c r="RGL25" s="1852"/>
      <c r="RGO25" s="1852"/>
      <c r="RGR25" s="1852"/>
      <c r="RGU25" s="1852"/>
      <c r="RGX25" s="1852"/>
      <c r="RHA25" s="1852"/>
      <c r="RHD25" s="1852"/>
      <c r="RHG25" s="1852"/>
      <c r="RHJ25" s="1852"/>
      <c r="RHM25" s="1852"/>
      <c r="RHP25" s="1852"/>
      <c r="RHS25" s="1852"/>
      <c r="RHV25" s="1852"/>
      <c r="RHY25" s="1852"/>
      <c r="RIB25" s="1852"/>
      <c r="RIE25" s="1852"/>
      <c r="RIH25" s="1852"/>
      <c r="RIK25" s="1852"/>
      <c r="RIN25" s="1852"/>
      <c r="RIQ25" s="1852"/>
      <c r="RIT25" s="1852"/>
      <c r="RIW25" s="1852"/>
      <c r="RIZ25" s="1852"/>
      <c r="RJC25" s="1852"/>
      <c r="RJF25" s="1852"/>
      <c r="RJI25" s="1852"/>
      <c r="RJL25" s="1852"/>
      <c r="RJO25" s="1852"/>
      <c r="RJR25" s="1852"/>
      <c r="RJU25" s="1852"/>
      <c r="RJX25" s="1852"/>
      <c r="RKA25" s="1852"/>
      <c r="RKD25" s="1852"/>
      <c r="RKG25" s="1852"/>
      <c r="RKJ25" s="1852"/>
      <c r="RKM25" s="1852"/>
      <c r="RKP25" s="1852"/>
      <c r="RKS25" s="1852"/>
      <c r="RKV25" s="1852"/>
      <c r="RKY25" s="1852"/>
      <c r="RLB25" s="1852"/>
      <c r="RLE25" s="1852"/>
      <c r="RLH25" s="1852"/>
      <c r="RLK25" s="1852"/>
      <c r="RLN25" s="1852"/>
      <c r="RLQ25" s="1852"/>
      <c r="RLT25" s="1852"/>
      <c r="RLW25" s="1852"/>
      <c r="RLZ25" s="1852"/>
      <c r="RMC25" s="1852"/>
      <c r="RMF25" s="1852"/>
      <c r="RMI25" s="1852"/>
      <c r="RML25" s="1852"/>
      <c r="RMO25" s="1852"/>
      <c r="RMR25" s="1852"/>
      <c r="RMU25" s="1852"/>
      <c r="RMX25" s="1852"/>
      <c r="RNA25" s="1852"/>
      <c r="RND25" s="1852"/>
      <c r="RNG25" s="1852"/>
      <c r="RNJ25" s="1852"/>
      <c r="RNM25" s="1852"/>
      <c r="RNP25" s="1852"/>
      <c r="RNS25" s="1852"/>
      <c r="RNV25" s="1852"/>
      <c r="RNY25" s="1852"/>
      <c r="ROB25" s="1852"/>
      <c r="ROE25" s="1852"/>
      <c r="ROH25" s="1852"/>
      <c r="ROK25" s="1852"/>
      <c r="RON25" s="1852"/>
      <c r="ROQ25" s="1852"/>
      <c r="ROT25" s="1852"/>
      <c r="ROW25" s="1852"/>
      <c r="ROZ25" s="1852"/>
      <c r="RPC25" s="1852"/>
      <c r="RPF25" s="1852"/>
      <c r="RPI25" s="1852"/>
      <c r="RPL25" s="1852"/>
      <c r="RPO25" s="1852"/>
      <c r="RPR25" s="1852"/>
      <c r="RPU25" s="1852"/>
      <c r="RPX25" s="1852"/>
      <c r="RQA25" s="1852"/>
      <c r="RQD25" s="1852"/>
      <c r="RQG25" s="1852"/>
      <c r="RQJ25" s="1852"/>
      <c r="RQM25" s="1852"/>
      <c r="RQP25" s="1852"/>
      <c r="RQS25" s="1852"/>
      <c r="RQV25" s="1852"/>
      <c r="RQY25" s="1852"/>
      <c r="RRB25" s="1852"/>
      <c r="RRE25" s="1852"/>
      <c r="RRH25" s="1852"/>
      <c r="RRK25" s="1852"/>
      <c r="RRN25" s="1852"/>
      <c r="RRQ25" s="1852"/>
      <c r="RRT25" s="1852"/>
      <c r="RRW25" s="1852"/>
      <c r="RRZ25" s="1852"/>
      <c r="RSC25" s="1852"/>
      <c r="RSF25" s="1852"/>
      <c r="RSI25" s="1852"/>
      <c r="RSL25" s="1852"/>
      <c r="RSO25" s="1852"/>
      <c r="RSR25" s="1852"/>
      <c r="RSU25" s="1852"/>
      <c r="RSX25" s="1852"/>
      <c r="RTA25" s="1852"/>
      <c r="RTD25" s="1852"/>
      <c r="RTG25" s="1852"/>
      <c r="RTJ25" s="1852"/>
      <c r="RTM25" s="1852"/>
      <c r="RTP25" s="1852"/>
      <c r="RTS25" s="1852"/>
      <c r="RTV25" s="1852"/>
      <c r="RTY25" s="1852"/>
      <c r="RUB25" s="1852"/>
      <c r="RUE25" s="1852"/>
      <c r="RUH25" s="1852"/>
      <c r="RUK25" s="1852"/>
      <c r="RUN25" s="1852"/>
      <c r="RUQ25" s="1852"/>
      <c r="RUT25" s="1852"/>
      <c r="RUW25" s="1852"/>
      <c r="RUZ25" s="1852"/>
      <c r="RVC25" s="1852"/>
      <c r="RVF25" s="1852"/>
      <c r="RVI25" s="1852"/>
      <c r="RVL25" s="1852"/>
      <c r="RVO25" s="1852"/>
      <c r="RVR25" s="1852"/>
      <c r="RVU25" s="1852"/>
      <c r="RVX25" s="1852"/>
      <c r="RWA25" s="1852"/>
      <c r="RWD25" s="1852"/>
      <c r="RWG25" s="1852"/>
      <c r="RWJ25" s="1852"/>
      <c r="RWM25" s="1852"/>
      <c r="RWP25" s="1852"/>
      <c r="RWS25" s="1852"/>
      <c r="RWV25" s="1852"/>
      <c r="RWY25" s="1852"/>
      <c r="RXB25" s="1852"/>
      <c r="RXE25" s="1852"/>
      <c r="RXH25" s="1852"/>
      <c r="RXK25" s="1852"/>
      <c r="RXN25" s="1852"/>
      <c r="RXQ25" s="1852"/>
      <c r="RXT25" s="1852"/>
      <c r="RXW25" s="1852"/>
      <c r="RXZ25" s="1852"/>
      <c r="RYC25" s="1852"/>
      <c r="RYF25" s="1852"/>
      <c r="RYI25" s="1852"/>
      <c r="RYL25" s="1852"/>
      <c r="RYO25" s="1852"/>
      <c r="RYR25" s="1852"/>
      <c r="RYU25" s="1852"/>
      <c r="RYX25" s="1852"/>
      <c r="RZA25" s="1852"/>
      <c r="RZD25" s="1852"/>
      <c r="RZG25" s="1852"/>
      <c r="RZJ25" s="1852"/>
      <c r="RZM25" s="1852"/>
      <c r="RZP25" s="1852"/>
      <c r="RZS25" s="1852"/>
      <c r="RZV25" s="1852"/>
      <c r="RZY25" s="1852"/>
      <c r="SAB25" s="1852"/>
      <c r="SAE25" s="1852"/>
      <c r="SAH25" s="1852"/>
      <c r="SAK25" s="1852"/>
      <c r="SAN25" s="1852"/>
      <c r="SAQ25" s="1852"/>
      <c r="SAT25" s="1852"/>
      <c r="SAW25" s="1852"/>
      <c r="SAZ25" s="1852"/>
      <c r="SBC25" s="1852"/>
      <c r="SBF25" s="1852"/>
      <c r="SBI25" s="1852"/>
      <c r="SBL25" s="1852"/>
      <c r="SBO25" s="1852"/>
      <c r="SBR25" s="1852"/>
      <c r="SBU25" s="1852"/>
      <c r="SBX25" s="1852"/>
      <c r="SCA25" s="1852"/>
      <c r="SCD25" s="1852"/>
      <c r="SCG25" s="1852"/>
      <c r="SCJ25" s="1852"/>
      <c r="SCM25" s="1852"/>
      <c r="SCP25" s="1852"/>
      <c r="SCS25" s="1852"/>
      <c r="SCV25" s="1852"/>
      <c r="SCY25" s="1852"/>
      <c r="SDB25" s="1852"/>
      <c r="SDE25" s="1852"/>
      <c r="SDH25" s="1852"/>
      <c r="SDK25" s="1852"/>
      <c r="SDN25" s="1852"/>
      <c r="SDQ25" s="1852"/>
      <c r="SDT25" s="1852"/>
      <c r="SDW25" s="1852"/>
      <c r="SDZ25" s="1852"/>
      <c r="SEC25" s="1852"/>
      <c r="SEF25" s="1852"/>
      <c r="SEI25" s="1852"/>
      <c r="SEL25" s="1852"/>
      <c r="SEO25" s="1852"/>
      <c r="SER25" s="1852"/>
      <c r="SEU25" s="1852"/>
      <c r="SEX25" s="1852"/>
      <c r="SFA25" s="1852"/>
      <c r="SFD25" s="1852"/>
      <c r="SFG25" s="1852"/>
      <c r="SFJ25" s="1852"/>
      <c r="SFM25" s="1852"/>
      <c r="SFP25" s="1852"/>
      <c r="SFS25" s="1852"/>
      <c r="SFV25" s="1852"/>
      <c r="SFY25" s="1852"/>
      <c r="SGB25" s="1852"/>
      <c r="SGE25" s="1852"/>
      <c r="SGH25" s="1852"/>
      <c r="SGK25" s="1852"/>
      <c r="SGN25" s="1852"/>
      <c r="SGQ25" s="1852"/>
      <c r="SGT25" s="1852"/>
      <c r="SGW25" s="1852"/>
      <c r="SGZ25" s="1852"/>
      <c r="SHC25" s="1852"/>
      <c r="SHF25" s="1852"/>
      <c r="SHI25" s="1852"/>
      <c r="SHL25" s="1852"/>
      <c r="SHO25" s="1852"/>
      <c r="SHR25" s="1852"/>
      <c r="SHU25" s="1852"/>
      <c r="SHX25" s="1852"/>
      <c r="SIA25" s="1852"/>
      <c r="SID25" s="1852"/>
      <c r="SIG25" s="1852"/>
      <c r="SIJ25" s="1852"/>
      <c r="SIM25" s="1852"/>
      <c r="SIP25" s="1852"/>
      <c r="SIS25" s="1852"/>
      <c r="SIV25" s="1852"/>
      <c r="SIY25" s="1852"/>
      <c r="SJB25" s="1852"/>
      <c r="SJE25" s="1852"/>
      <c r="SJH25" s="1852"/>
      <c r="SJK25" s="1852"/>
      <c r="SJN25" s="1852"/>
      <c r="SJQ25" s="1852"/>
      <c r="SJT25" s="1852"/>
      <c r="SJW25" s="1852"/>
      <c r="SJZ25" s="1852"/>
      <c r="SKC25" s="1852"/>
      <c r="SKF25" s="1852"/>
      <c r="SKI25" s="1852"/>
      <c r="SKL25" s="1852"/>
      <c r="SKO25" s="1852"/>
      <c r="SKR25" s="1852"/>
      <c r="SKU25" s="1852"/>
      <c r="SKX25" s="1852"/>
      <c r="SLA25" s="1852"/>
      <c r="SLD25" s="1852"/>
      <c r="SLG25" s="1852"/>
      <c r="SLJ25" s="1852"/>
      <c r="SLM25" s="1852"/>
      <c r="SLP25" s="1852"/>
      <c r="SLS25" s="1852"/>
      <c r="SLV25" s="1852"/>
      <c r="SLY25" s="1852"/>
      <c r="SMB25" s="1852"/>
      <c r="SME25" s="1852"/>
      <c r="SMH25" s="1852"/>
      <c r="SMK25" s="1852"/>
      <c r="SMN25" s="1852"/>
      <c r="SMQ25" s="1852"/>
      <c r="SMT25" s="1852"/>
      <c r="SMW25" s="1852"/>
      <c r="SMZ25" s="1852"/>
      <c r="SNC25" s="1852"/>
      <c r="SNF25" s="1852"/>
      <c r="SNI25" s="1852"/>
      <c r="SNL25" s="1852"/>
      <c r="SNO25" s="1852"/>
      <c r="SNR25" s="1852"/>
      <c r="SNU25" s="1852"/>
      <c r="SNX25" s="1852"/>
      <c r="SOA25" s="1852"/>
      <c r="SOD25" s="1852"/>
      <c r="SOG25" s="1852"/>
      <c r="SOJ25" s="1852"/>
      <c r="SOM25" s="1852"/>
      <c r="SOP25" s="1852"/>
      <c r="SOS25" s="1852"/>
      <c r="SOV25" s="1852"/>
      <c r="SOY25" s="1852"/>
      <c r="SPB25" s="1852"/>
      <c r="SPE25" s="1852"/>
      <c r="SPH25" s="1852"/>
      <c r="SPK25" s="1852"/>
      <c r="SPN25" s="1852"/>
      <c r="SPQ25" s="1852"/>
      <c r="SPT25" s="1852"/>
      <c r="SPW25" s="1852"/>
      <c r="SPZ25" s="1852"/>
      <c r="SQC25" s="1852"/>
      <c r="SQF25" s="1852"/>
      <c r="SQI25" s="1852"/>
      <c r="SQL25" s="1852"/>
      <c r="SQO25" s="1852"/>
      <c r="SQR25" s="1852"/>
      <c r="SQU25" s="1852"/>
      <c r="SQX25" s="1852"/>
      <c r="SRA25" s="1852"/>
      <c r="SRD25" s="1852"/>
      <c r="SRG25" s="1852"/>
      <c r="SRJ25" s="1852"/>
      <c r="SRM25" s="1852"/>
      <c r="SRP25" s="1852"/>
      <c r="SRS25" s="1852"/>
      <c r="SRV25" s="1852"/>
      <c r="SRY25" s="1852"/>
      <c r="SSB25" s="1852"/>
      <c r="SSE25" s="1852"/>
      <c r="SSH25" s="1852"/>
      <c r="SSK25" s="1852"/>
      <c r="SSN25" s="1852"/>
      <c r="SSQ25" s="1852"/>
      <c r="SST25" s="1852"/>
      <c r="SSW25" s="1852"/>
      <c r="SSZ25" s="1852"/>
      <c r="STC25" s="1852"/>
      <c r="STF25" s="1852"/>
      <c r="STI25" s="1852"/>
      <c r="STL25" s="1852"/>
      <c r="STO25" s="1852"/>
      <c r="STR25" s="1852"/>
      <c r="STU25" s="1852"/>
      <c r="STX25" s="1852"/>
      <c r="SUA25" s="1852"/>
      <c r="SUD25" s="1852"/>
      <c r="SUG25" s="1852"/>
      <c r="SUJ25" s="1852"/>
      <c r="SUM25" s="1852"/>
      <c r="SUP25" s="1852"/>
      <c r="SUS25" s="1852"/>
      <c r="SUV25" s="1852"/>
      <c r="SUY25" s="1852"/>
      <c r="SVB25" s="1852"/>
      <c r="SVE25" s="1852"/>
      <c r="SVH25" s="1852"/>
      <c r="SVK25" s="1852"/>
      <c r="SVN25" s="1852"/>
      <c r="SVQ25" s="1852"/>
      <c r="SVT25" s="1852"/>
      <c r="SVW25" s="1852"/>
      <c r="SVZ25" s="1852"/>
      <c r="SWC25" s="1852"/>
      <c r="SWF25" s="1852"/>
      <c r="SWI25" s="1852"/>
      <c r="SWL25" s="1852"/>
      <c r="SWO25" s="1852"/>
      <c r="SWR25" s="1852"/>
      <c r="SWU25" s="1852"/>
      <c r="SWX25" s="1852"/>
      <c r="SXA25" s="1852"/>
      <c r="SXD25" s="1852"/>
      <c r="SXG25" s="1852"/>
      <c r="SXJ25" s="1852"/>
      <c r="SXM25" s="1852"/>
      <c r="SXP25" s="1852"/>
      <c r="SXS25" s="1852"/>
      <c r="SXV25" s="1852"/>
      <c r="SXY25" s="1852"/>
      <c r="SYB25" s="1852"/>
      <c r="SYE25" s="1852"/>
      <c r="SYH25" s="1852"/>
      <c r="SYK25" s="1852"/>
      <c r="SYN25" s="1852"/>
      <c r="SYQ25" s="1852"/>
      <c r="SYT25" s="1852"/>
      <c r="SYW25" s="1852"/>
      <c r="SYZ25" s="1852"/>
      <c r="SZC25" s="1852"/>
      <c r="SZF25" s="1852"/>
      <c r="SZI25" s="1852"/>
      <c r="SZL25" s="1852"/>
      <c r="SZO25" s="1852"/>
      <c r="SZR25" s="1852"/>
      <c r="SZU25" s="1852"/>
      <c r="SZX25" s="1852"/>
      <c r="TAA25" s="1852"/>
      <c r="TAD25" s="1852"/>
      <c r="TAG25" s="1852"/>
      <c r="TAJ25" s="1852"/>
      <c r="TAM25" s="1852"/>
      <c r="TAP25" s="1852"/>
      <c r="TAS25" s="1852"/>
      <c r="TAV25" s="1852"/>
      <c r="TAY25" s="1852"/>
      <c r="TBB25" s="1852"/>
      <c r="TBE25" s="1852"/>
      <c r="TBH25" s="1852"/>
      <c r="TBK25" s="1852"/>
      <c r="TBN25" s="1852"/>
      <c r="TBQ25" s="1852"/>
      <c r="TBT25" s="1852"/>
      <c r="TBW25" s="1852"/>
      <c r="TBZ25" s="1852"/>
      <c r="TCC25" s="1852"/>
      <c r="TCF25" s="1852"/>
      <c r="TCI25" s="1852"/>
      <c r="TCL25" s="1852"/>
      <c r="TCO25" s="1852"/>
      <c r="TCR25" s="1852"/>
      <c r="TCU25" s="1852"/>
      <c r="TCX25" s="1852"/>
      <c r="TDA25" s="1852"/>
      <c r="TDD25" s="1852"/>
      <c r="TDG25" s="1852"/>
      <c r="TDJ25" s="1852"/>
      <c r="TDM25" s="1852"/>
      <c r="TDP25" s="1852"/>
      <c r="TDS25" s="1852"/>
      <c r="TDV25" s="1852"/>
      <c r="TDY25" s="1852"/>
      <c r="TEB25" s="1852"/>
      <c r="TEE25" s="1852"/>
      <c r="TEH25" s="1852"/>
      <c r="TEK25" s="1852"/>
      <c r="TEN25" s="1852"/>
      <c r="TEQ25" s="1852"/>
      <c r="TET25" s="1852"/>
      <c r="TEW25" s="1852"/>
      <c r="TEZ25" s="1852"/>
      <c r="TFC25" s="1852"/>
      <c r="TFF25" s="1852"/>
      <c r="TFI25" s="1852"/>
      <c r="TFL25" s="1852"/>
      <c r="TFO25" s="1852"/>
      <c r="TFR25" s="1852"/>
      <c r="TFU25" s="1852"/>
      <c r="TFX25" s="1852"/>
      <c r="TGA25" s="1852"/>
      <c r="TGD25" s="1852"/>
      <c r="TGG25" s="1852"/>
      <c r="TGJ25" s="1852"/>
      <c r="TGM25" s="1852"/>
      <c r="TGP25" s="1852"/>
      <c r="TGS25" s="1852"/>
      <c r="TGV25" s="1852"/>
      <c r="TGY25" s="1852"/>
      <c r="THB25" s="1852"/>
      <c r="THE25" s="1852"/>
      <c r="THH25" s="1852"/>
      <c r="THK25" s="1852"/>
      <c r="THN25" s="1852"/>
      <c r="THQ25" s="1852"/>
      <c r="THT25" s="1852"/>
      <c r="THW25" s="1852"/>
      <c r="THZ25" s="1852"/>
      <c r="TIC25" s="1852"/>
      <c r="TIF25" s="1852"/>
      <c r="TII25" s="1852"/>
      <c r="TIL25" s="1852"/>
      <c r="TIO25" s="1852"/>
      <c r="TIR25" s="1852"/>
      <c r="TIU25" s="1852"/>
      <c r="TIX25" s="1852"/>
      <c r="TJA25" s="1852"/>
      <c r="TJD25" s="1852"/>
      <c r="TJG25" s="1852"/>
      <c r="TJJ25" s="1852"/>
      <c r="TJM25" s="1852"/>
      <c r="TJP25" s="1852"/>
      <c r="TJS25" s="1852"/>
      <c r="TJV25" s="1852"/>
      <c r="TJY25" s="1852"/>
      <c r="TKB25" s="1852"/>
      <c r="TKE25" s="1852"/>
      <c r="TKH25" s="1852"/>
      <c r="TKK25" s="1852"/>
      <c r="TKN25" s="1852"/>
      <c r="TKQ25" s="1852"/>
      <c r="TKT25" s="1852"/>
      <c r="TKW25" s="1852"/>
      <c r="TKZ25" s="1852"/>
      <c r="TLC25" s="1852"/>
      <c r="TLF25" s="1852"/>
      <c r="TLI25" s="1852"/>
      <c r="TLL25" s="1852"/>
      <c r="TLO25" s="1852"/>
      <c r="TLR25" s="1852"/>
      <c r="TLU25" s="1852"/>
      <c r="TLX25" s="1852"/>
      <c r="TMA25" s="1852"/>
      <c r="TMD25" s="1852"/>
      <c r="TMG25" s="1852"/>
      <c r="TMJ25" s="1852"/>
      <c r="TMM25" s="1852"/>
      <c r="TMP25" s="1852"/>
      <c r="TMS25" s="1852"/>
      <c r="TMV25" s="1852"/>
      <c r="TMY25" s="1852"/>
      <c r="TNB25" s="1852"/>
      <c r="TNE25" s="1852"/>
      <c r="TNH25" s="1852"/>
      <c r="TNK25" s="1852"/>
      <c r="TNN25" s="1852"/>
      <c r="TNQ25" s="1852"/>
      <c r="TNT25" s="1852"/>
      <c r="TNW25" s="1852"/>
      <c r="TNZ25" s="1852"/>
      <c r="TOC25" s="1852"/>
      <c r="TOF25" s="1852"/>
      <c r="TOI25" s="1852"/>
      <c r="TOL25" s="1852"/>
      <c r="TOO25" s="1852"/>
      <c r="TOR25" s="1852"/>
      <c r="TOU25" s="1852"/>
      <c r="TOX25" s="1852"/>
      <c r="TPA25" s="1852"/>
      <c r="TPD25" s="1852"/>
      <c r="TPG25" s="1852"/>
      <c r="TPJ25" s="1852"/>
      <c r="TPM25" s="1852"/>
      <c r="TPP25" s="1852"/>
      <c r="TPS25" s="1852"/>
      <c r="TPV25" s="1852"/>
      <c r="TPY25" s="1852"/>
      <c r="TQB25" s="1852"/>
      <c r="TQE25" s="1852"/>
      <c r="TQH25" s="1852"/>
      <c r="TQK25" s="1852"/>
      <c r="TQN25" s="1852"/>
      <c r="TQQ25" s="1852"/>
      <c r="TQT25" s="1852"/>
      <c r="TQW25" s="1852"/>
      <c r="TQZ25" s="1852"/>
      <c r="TRC25" s="1852"/>
      <c r="TRF25" s="1852"/>
      <c r="TRI25" s="1852"/>
      <c r="TRL25" s="1852"/>
      <c r="TRO25" s="1852"/>
      <c r="TRR25" s="1852"/>
      <c r="TRU25" s="1852"/>
      <c r="TRX25" s="1852"/>
      <c r="TSA25" s="1852"/>
      <c r="TSD25" s="1852"/>
      <c r="TSG25" s="1852"/>
      <c r="TSJ25" s="1852"/>
      <c r="TSM25" s="1852"/>
      <c r="TSP25" s="1852"/>
      <c r="TSS25" s="1852"/>
      <c r="TSV25" s="1852"/>
      <c r="TSY25" s="1852"/>
      <c r="TTB25" s="1852"/>
      <c r="TTE25" s="1852"/>
      <c r="TTH25" s="1852"/>
      <c r="TTK25" s="1852"/>
      <c r="TTN25" s="1852"/>
      <c r="TTQ25" s="1852"/>
      <c r="TTT25" s="1852"/>
      <c r="TTW25" s="1852"/>
      <c r="TTZ25" s="1852"/>
      <c r="TUC25" s="1852"/>
      <c r="TUF25" s="1852"/>
      <c r="TUI25" s="1852"/>
      <c r="TUL25" s="1852"/>
      <c r="TUO25" s="1852"/>
      <c r="TUR25" s="1852"/>
      <c r="TUU25" s="1852"/>
      <c r="TUX25" s="1852"/>
      <c r="TVA25" s="1852"/>
      <c r="TVD25" s="1852"/>
      <c r="TVG25" s="1852"/>
      <c r="TVJ25" s="1852"/>
      <c r="TVM25" s="1852"/>
      <c r="TVP25" s="1852"/>
      <c r="TVS25" s="1852"/>
      <c r="TVV25" s="1852"/>
      <c r="TVY25" s="1852"/>
      <c r="TWB25" s="1852"/>
      <c r="TWE25" s="1852"/>
      <c r="TWH25" s="1852"/>
      <c r="TWK25" s="1852"/>
      <c r="TWN25" s="1852"/>
      <c r="TWQ25" s="1852"/>
      <c r="TWT25" s="1852"/>
      <c r="TWW25" s="1852"/>
      <c r="TWZ25" s="1852"/>
      <c r="TXC25" s="1852"/>
      <c r="TXF25" s="1852"/>
      <c r="TXI25" s="1852"/>
      <c r="TXL25" s="1852"/>
      <c r="TXO25" s="1852"/>
      <c r="TXR25" s="1852"/>
      <c r="TXU25" s="1852"/>
      <c r="TXX25" s="1852"/>
      <c r="TYA25" s="1852"/>
      <c r="TYD25" s="1852"/>
      <c r="TYG25" s="1852"/>
      <c r="TYJ25" s="1852"/>
      <c r="TYM25" s="1852"/>
      <c r="TYP25" s="1852"/>
      <c r="TYS25" s="1852"/>
      <c r="TYV25" s="1852"/>
      <c r="TYY25" s="1852"/>
      <c r="TZB25" s="1852"/>
      <c r="TZE25" s="1852"/>
      <c r="TZH25" s="1852"/>
      <c r="TZK25" s="1852"/>
      <c r="TZN25" s="1852"/>
      <c r="TZQ25" s="1852"/>
      <c r="TZT25" s="1852"/>
      <c r="TZW25" s="1852"/>
      <c r="TZZ25" s="1852"/>
      <c r="UAC25" s="1852"/>
      <c r="UAF25" s="1852"/>
      <c r="UAI25" s="1852"/>
      <c r="UAL25" s="1852"/>
      <c r="UAO25" s="1852"/>
      <c r="UAR25" s="1852"/>
      <c r="UAU25" s="1852"/>
      <c r="UAX25" s="1852"/>
      <c r="UBA25" s="1852"/>
      <c r="UBD25" s="1852"/>
      <c r="UBG25" s="1852"/>
      <c r="UBJ25" s="1852"/>
      <c r="UBM25" s="1852"/>
      <c r="UBP25" s="1852"/>
      <c r="UBS25" s="1852"/>
      <c r="UBV25" s="1852"/>
      <c r="UBY25" s="1852"/>
      <c r="UCB25" s="1852"/>
      <c r="UCE25" s="1852"/>
      <c r="UCH25" s="1852"/>
      <c r="UCK25" s="1852"/>
      <c r="UCN25" s="1852"/>
      <c r="UCQ25" s="1852"/>
      <c r="UCT25" s="1852"/>
      <c r="UCW25" s="1852"/>
      <c r="UCZ25" s="1852"/>
      <c r="UDC25" s="1852"/>
      <c r="UDF25" s="1852"/>
      <c r="UDI25" s="1852"/>
      <c r="UDL25" s="1852"/>
      <c r="UDO25" s="1852"/>
      <c r="UDR25" s="1852"/>
      <c r="UDU25" s="1852"/>
      <c r="UDX25" s="1852"/>
      <c r="UEA25" s="1852"/>
      <c r="UED25" s="1852"/>
      <c r="UEG25" s="1852"/>
      <c r="UEJ25" s="1852"/>
      <c r="UEM25" s="1852"/>
      <c r="UEP25" s="1852"/>
      <c r="UES25" s="1852"/>
      <c r="UEV25" s="1852"/>
      <c r="UEY25" s="1852"/>
      <c r="UFB25" s="1852"/>
      <c r="UFE25" s="1852"/>
      <c r="UFH25" s="1852"/>
      <c r="UFK25" s="1852"/>
      <c r="UFN25" s="1852"/>
      <c r="UFQ25" s="1852"/>
      <c r="UFT25" s="1852"/>
      <c r="UFW25" s="1852"/>
      <c r="UFZ25" s="1852"/>
      <c r="UGC25" s="1852"/>
      <c r="UGF25" s="1852"/>
      <c r="UGI25" s="1852"/>
      <c r="UGL25" s="1852"/>
      <c r="UGO25" s="1852"/>
      <c r="UGR25" s="1852"/>
      <c r="UGU25" s="1852"/>
      <c r="UGX25" s="1852"/>
      <c r="UHA25" s="1852"/>
      <c r="UHD25" s="1852"/>
      <c r="UHG25" s="1852"/>
      <c r="UHJ25" s="1852"/>
      <c r="UHM25" s="1852"/>
      <c r="UHP25" s="1852"/>
      <c r="UHS25" s="1852"/>
      <c r="UHV25" s="1852"/>
      <c r="UHY25" s="1852"/>
      <c r="UIB25" s="1852"/>
      <c r="UIE25" s="1852"/>
      <c r="UIH25" s="1852"/>
      <c r="UIK25" s="1852"/>
      <c r="UIN25" s="1852"/>
      <c r="UIQ25" s="1852"/>
      <c r="UIT25" s="1852"/>
      <c r="UIW25" s="1852"/>
      <c r="UIZ25" s="1852"/>
      <c r="UJC25" s="1852"/>
      <c r="UJF25" s="1852"/>
      <c r="UJI25" s="1852"/>
      <c r="UJL25" s="1852"/>
      <c r="UJO25" s="1852"/>
      <c r="UJR25" s="1852"/>
      <c r="UJU25" s="1852"/>
      <c r="UJX25" s="1852"/>
      <c r="UKA25" s="1852"/>
      <c r="UKD25" s="1852"/>
      <c r="UKG25" s="1852"/>
      <c r="UKJ25" s="1852"/>
      <c r="UKM25" s="1852"/>
      <c r="UKP25" s="1852"/>
      <c r="UKS25" s="1852"/>
      <c r="UKV25" s="1852"/>
      <c r="UKY25" s="1852"/>
      <c r="ULB25" s="1852"/>
      <c r="ULE25" s="1852"/>
      <c r="ULH25" s="1852"/>
      <c r="ULK25" s="1852"/>
      <c r="ULN25" s="1852"/>
      <c r="ULQ25" s="1852"/>
      <c r="ULT25" s="1852"/>
      <c r="ULW25" s="1852"/>
      <c r="ULZ25" s="1852"/>
      <c r="UMC25" s="1852"/>
      <c r="UMF25" s="1852"/>
      <c r="UMI25" s="1852"/>
      <c r="UML25" s="1852"/>
      <c r="UMO25" s="1852"/>
      <c r="UMR25" s="1852"/>
      <c r="UMU25" s="1852"/>
      <c r="UMX25" s="1852"/>
      <c r="UNA25" s="1852"/>
      <c r="UND25" s="1852"/>
      <c r="UNG25" s="1852"/>
      <c r="UNJ25" s="1852"/>
      <c r="UNM25" s="1852"/>
      <c r="UNP25" s="1852"/>
      <c r="UNS25" s="1852"/>
      <c r="UNV25" s="1852"/>
      <c r="UNY25" s="1852"/>
      <c r="UOB25" s="1852"/>
      <c r="UOE25" s="1852"/>
      <c r="UOH25" s="1852"/>
      <c r="UOK25" s="1852"/>
      <c r="UON25" s="1852"/>
      <c r="UOQ25" s="1852"/>
      <c r="UOT25" s="1852"/>
      <c r="UOW25" s="1852"/>
      <c r="UOZ25" s="1852"/>
      <c r="UPC25" s="1852"/>
      <c r="UPF25" s="1852"/>
      <c r="UPI25" s="1852"/>
      <c r="UPL25" s="1852"/>
      <c r="UPO25" s="1852"/>
      <c r="UPR25" s="1852"/>
      <c r="UPU25" s="1852"/>
      <c r="UPX25" s="1852"/>
      <c r="UQA25" s="1852"/>
      <c r="UQD25" s="1852"/>
      <c r="UQG25" s="1852"/>
      <c r="UQJ25" s="1852"/>
      <c r="UQM25" s="1852"/>
      <c r="UQP25" s="1852"/>
      <c r="UQS25" s="1852"/>
      <c r="UQV25" s="1852"/>
      <c r="UQY25" s="1852"/>
      <c r="URB25" s="1852"/>
      <c r="URE25" s="1852"/>
      <c r="URH25" s="1852"/>
      <c r="URK25" s="1852"/>
      <c r="URN25" s="1852"/>
      <c r="URQ25" s="1852"/>
      <c r="URT25" s="1852"/>
      <c r="URW25" s="1852"/>
      <c r="URZ25" s="1852"/>
      <c r="USC25" s="1852"/>
      <c r="USF25" s="1852"/>
      <c r="USI25" s="1852"/>
      <c r="USL25" s="1852"/>
      <c r="USO25" s="1852"/>
      <c r="USR25" s="1852"/>
      <c r="USU25" s="1852"/>
      <c r="USX25" s="1852"/>
      <c r="UTA25" s="1852"/>
      <c r="UTD25" s="1852"/>
      <c r="UTG25" s="1852"/>
      <c r="UTJ25" s="1852"/>
      <c r="UTM25" s="1852"/>
      <c r="UTP25" s="1852"/>
      <c r="UTS25" s="1852"/>
      <c r="UTV25" s="1852"/>
      <c r="UTY25" s="1852"/>
      <c r="UUB25" s="1852"/>
      <c r="UUE25" s="1852"/>
      <c r="UUH25" s="1852"/>
      <c r="UUK25" s="1852"/>
      <c r="UUN25" s="1852"/>
      <c r="UUQ25" s="1852"/>
      <c r="UUT25" s="1852"/>
      <c r="UUW25" s="1852"/>
      <c r="UUZ25" s="1852"/>
      <c r="UVC25" s="1852"/>
      <c r="UVF25" s="1852"/>
      <c r="UVI25" s="1852"/>
      <c r="UVL25" s="1852"/>
      <c r="UVO25" s="1852"/>
      <c r="UVR25" s="1852"/>
      <c r="UVU25" s="1852"/>
      <c r="UVX25" s="1852"/>
      <c r="UWA25" s="1852"/>
      <c r="UWD25" s="1852"/>
      <c r="UWG25" s="1852"/>
      <c r="UWJ25" s="1852"/>
      <c r="UWM25" s="1852"/>
      <c r="UWP25" s="1852"/>
      <c r="UWS25" s="1852"/>
      <c r="UWV25" s="1852"/>
      <c r="UWY25" s="1852"/>
      <c r="UXB25" s="1852"/>
      <c r="UXE25" s="1852"/>
      <c r="UXH25" s="1852"/>
      <c r="UXK25" s="1852"/>
      <c r="UXN25" s="1852"/>
      <c r="UXQ25" s="1852"/>
      <c r="UXT25" s="1852"/>
      <c r="UXW25" s="1852"/>
      <c r="UXZ25" s="1852"/>
      <c r="UYC25" s="1852"/>
      <c r="UYF25" s="1852"/>
      <c r="UYI25" s="1852"/>
      <c r="UYL25" s="1852"/>
      <c r="UYO25" s="1852"/>
      <c r="UYR25" s="1852"/>
      <c r="UYU25" s="1852"/>
      <c r="UYX25" s="1852"/>
      <c r="UZA25" s="1852"/>
      <c r="UZD25" s="1852"/>
      <c r="UZG25" s="1852"/>
      <c r="UZJ25" s="1852"/>
      <c r="UZM25" s="1852"/>
      <c r="UZP25" s="1852"/>
      <c r="UZS25" s="1852"/>
      <c r="UZV25" s="1852"/>
      <c r="UZY25" s="1852"/>
      <c r="VAB25" s="1852"/>
      <c r="VAE25" s="1852"/>
      <c r="VAH25" s="1852"/>
      <c r="VAK25" s="1852"/>
      <c r="VAN25" s="1852"/>
      <c r="VAQ25" s="1852"/>
      <c r="VAT25" s="1852"/>
      <c r="VAW25" s="1852"/>
      <c r="VAZ25" s="1852"/>
      <c r="VBC25" s="1852"/>
      <c r="VBF25" s="1852"/>
      <c r="VBI25" s="1852"/>
      <c r="VBL25" s="1852"/>
      <c r="VBO25" s="1852"/>
      <c r="VBR25" s="1852"/>
      <c r="VBU25" s="1852"/>
      <c r="VBX25" s="1852"/>
      <c r="VCA25" s="1852"/>
      <c r="VCD25" s="1852"/>
      <c r="VCG25" s="1852"/>
      <c r="VCJ25" s="1852"/>
      <c r="VCM25" s="1852"/>
      <c r="VCP25" s="1852"/>
      <c r="VCS25" s="1852"/>
      <c r="VCV25" s="1852"/>
      <c r="VCY25" s="1852"/>
      <c r="VDB25" s="1852"/>
      <c r="VDE25" s="1852"/>
      <c r="VDH25" s="1852"/>
      <c r="VDK25" s="1852"/>
      <c r="VDN25" s="1852"/>
      <c r="VDQ25" s="1852"/>
      <c r="VDT25" s="1852"/>
      <c r="VDW25" s="1852"/>
      <c r="VDZ25" s="1852"/>
      <c r="VEC25" s="1852"/>
      <c r="VEF25" s="1852"/>
      <c r="VEI25" s="1852"/>
      <c r="VEL25" s="1852"/>
      <c r="VEO25" s="1852"/>
      <c r="VER25" s="1852"/>
      <c r="VEU25" s="1852"/>
      <c r="VEX25" s="1852"/>
      <c r="VFA25" s="1852"/>
      <c r="VFD25" s="1852"/>
      <c r="VFG25" s="1852"/>
      <c r="VFJ25" s="1852"/>
      <c r="VFM25" s="1852"/>
      <c r="VFP25" s="1852"/>
      <c r="VFS25" s="1852"/>
      <c r="VFV25" s="1852"/>
      <c r="VFY25" s="1852"/>
      <c r="VGB25" s="1852"/>
      <c r="VGE25" s="1852"/>
      <c r="VGH25" s="1852"/>
      <c r="VGK25" s="1852"/>
      <c r="VGN25" s="1852"/>
      <c r="VGQ25" s="1852"/>
      <c r="VGT25" s="1852"/>
      <c r="VGW25" s="1852"/>
      <c r="VGZ25" s="1852"/>
      <c r="VHC25" s="1852"/>
      <c r="VHF25" s="1852"/>
      <c r="VHI25" s="1852"/>
      <c r="VHL25" s="1852"/>
      <c r="VHO25" s="1852"/>
      <c r="VHR25" s="1852"/>
      <c r="VHU25" s="1852"/>
      <c r="VHX25" s="1852"/>
      <c r="VIA25" s="1852"/>
      <c r="VID25" s="1852"/>
      <c r="VIG25" s="1852"/>
      <c r="VIJ25" s="1852"/>
      <c r="VIM25" s="1852"/>
      <c r="VIP25" s="1852"/>
      <c r="VIS25" s="1852"/>
      <c r="VIV25" s="1852"/>
      <c r="VIY25" s="1852"/>
      <c r="VJB25" s="1852"/>
      <c r="VJE25" s="1852"/>
      <c r="VJH25" s="1852"/>
      <c r="VJK25" s="1852"/>
      <c r="VJN25" s="1852"/>
      <c r="VJQ25" s="1852"/>
      <c r="VJT25" s="1852"/>
      <c r="VJW25" s="1852"/>
      <c r="VJZ25" s="1852"/>
      <c r="VKC25" s="1852"/>
      <c r="VKF25" s="1852"/>
      <c r="VKI25" s="1852"/>
      <c r="VKL25" s="1852"/>
      <c r="VKO25" s="1852"/>
      <c r="VKR25" s="1852"/>
      <c r="VKU25" s="1852"/>
      <c r="VKX25" s="1852"/>
      <c r="VLA25" s="1852"/>
      <c r="VLD25" s="1852"/>
      <c r="VLG25" s="1852"/>
      <c r="VLJ25" s="1852"/>
      <c r="VLM25" s="1852"/>
      <c r="VLP25" s="1852"/>
      <c r="VLS25" s="1852"/>
      <c r="VLV25" s="1852"/>
      <c r="VLY25" s="1852"/>
      <c r="VMB25" s="1852"/>
      <c r="VME25" s="1852"/>
      <c r="VMH25" s="1852"/>
      <c r="VMK25" s="1852"/>
      <c r="VMN25" s="1852"/>
      <c r="VMQ25" s="1852"/>
      <c r="VMT25" s="1852"/>
      <c r="VMW25" s="1852"/>
      <c r="VMZ25" s="1852"/>
      <c r="VNC25" s="1852"/>
      <c r="VNF25" s="1852"/>
      <c r="VNI25" s="1852"/>
      <c r="VNL25" s="1852"/>
      <c r="VNO25" s="1852"/>
      <c r="VNR25" s="1852"/>
      <c r="VNU25" s="1852"/>
      <c r="VNX25" s="1852"/>
      <c r="VOA25" s="1852"/>
      <c r="VOD25" s="1852"/>
      <c r="VOG25" s="1852"/>
      <c r="VOJ25" s="1852"/>
      <c r="VOM25" s="1852"/>
      <c r="VOP25" s="1852"/>
      <c r="VOS25" s="1852"/>
      <c r="VOV25" s="1852"/>
      <c r="VOY25" s="1852"/>
      <c r="VPB25" s="1852"/>
      <c r="VPE25" s="1852"/>
      <c r="VPH25" s="1852"/>
      <c r="VPK25" s="1852"/>
      <c r="VPN25" s="1852"/>
      <c r="VPQ25" s="1852"/>
      <c r="VPT25" s="1852"/>
      <c r="VPW25" s="1852"/>
      <c r="VPZ25" s="1852"/>
      <c r="VQC25" s="1852"/>
      <c r="VQF25" s="1852"/>
      <c r="VQI25" s="1852"/>
      <c r="VQL25" s="1852"/>
      <c r="VQO25" s="1852"/>
      <c r="VQR25" s="1852"/>
      <c r="VQU25" s="1852"/>
      <c r="VQX25" s="1852"/>
      <c r="VRA25" s="1852"/>
      <c r="VRD25" s="1852"/>
      <c r="VRG25" s="1852"/>
      <c r="VRJ25" s="1852"/>
      <c r="VRM25" s="1852"/>
      <c r="VRP25" s="1852"/>
      <c r="VRS25" s="1852"/>
      <c r="VRV25" s="1852"/>
      <c r="VRY25" s="1852"/>
      <c r="VSB25" s="1852"/>
      <c r="VSE25" s="1852"/>
      <c r="VSH25" s="1852"/>
      <c r="VSK25" s="1852"/>
      <c r="VSN25" s="1852"/>
      <c r="VSQ25" s="1852"/>
      <c r="VST25" s="1852"/>
      <c r="VSW25" s="1852"/>
      <c r="VSZ25" s="1852"/>
      <c r="VTC25" s="1852"/>
      <c r="VTF25" s="1852"/>
      <c r="VTI25" s="1852"/>
      <c r="VTL25" s="1852"/>
      <c r="VTO25" s="1852"/>
      <c r="VTR25" s="1852"/>
      <c r="VTU25" s="1852"/>
      <c r="VTX25" s="1852"/>
      <c r="VUA25" s="1852"/>
      <c r="VUD25" s="1852"/>
      <c r="VUG25" s="1852"/>
      <c r="VUJ25" s="1852"/>
      <c r="VUM25" s="1852"/>
      <c r="VUP25" s="1852"/>
      <c r="VUS25" s="1852"/>
      <c r="VUV25" s="1852"/>
      <c r="VUY25" s="1852"/>
      <c r="VVB25" s="1852"/>
      <c r="VVE25" s="1852"/>
      <c r="VVH25" s="1852"/>
      <c r="VVK25" s="1852"/>
      <c r="VVN25" s="1852"/>
      <c r="VVQ25" s="1852"/>
      <c r="VVT25" s="1852"/>
      <c r="VVW25" s="1852"/>
      <c r="VVZ25" s="1852"/>
      <c r="VWC25" s="1852"/>
      <c r="VWF25" s="1852"/>
      <c r="VWI25" s="1852"/>
      <c r="VWL25" s="1852"/>
      <c r="VWO25" s="1852"/>
      <c r="VWR25" s="1852"/>
      <c r="VWU25" s="1852"/>
      <c r="VWX25" s="1852"/>
      <c r="VXA25" s="1852"/>
      <c r="VXD25" s="1852"/>
      <c r="VXG25" s="1852"/>
      <c r="VXJ25" s="1852"/>
      <c r="VXM25" s="1852"/>
      <c r="VXP25" s="1852"/>
      <c r="VXS25" s="1852"/>
      <c r="VXV25" s="1852"/>
      <c r="VXY25" s="1852"/>
      <c r="VYB25" s="1852"/>
      <c r="VYE25" s="1852"/>
      <c r="VYH25" s="1852"/>
      <c r="VYK25" s="1852"/>
      <c r="VYN25" s="1852"/>
      <c r="VYQ25" s="1852"/>
      <c r="VYT25" s="1852"/>
      <c r="VYW25" s="1852"/>
      <c r="VYZ25" s="1852"/>
      <c r="VZC25" s="1852"/>
      <c r="VZF25" s="1852"/>
      <c r="VZI25" s="1852"/>
      <c r="VZL25" s="1852"/>
      <c r="VZO25" s="1852"/>
      <c r="VZR25" s="1852"/>
      <c r="VZU25" s="1852"/>
      <c r="VZX25" s="1852"/>
      <c r="WAA25" s="1852"/>
      <c r="WAD25" s="1852"/>
      <c r="WAG25" s="1852"/>
      <c r="WAJ25" s="1852"/>
      <c r="WAM25" s="1852"/>
      <c r="WAP25" s="1852"/>
      <c r="WAS25" s="1852"/>
      <c r="WAV25" s="1852"/>
      <c r="WAY25" s="1852"/>
      <c r="WBB25" s="1852"/>
      <c r="WBE25" s="1852"/>
      <c r="WBH25" s="1852"/>
      <c r="WBK25" s="1852"/>
      <c r="WBN25" s="1852"/>
      <c r="WBQ25" s="1852"/>
      <c r="WBT25" s="1852"/>
      <c r="WBW25" s="1852"/>
      <c r="WBZ25" s="1852"/>
      <c r="WCC25" s="1852"/>
      <c r="WCF25" s="1852"/>
      <c r="WCI25" s="1852"/>
      <c r="WCL25" s="1852"/>
      <c r="WCO25" s="1852"/>
      <c r="WCR25" s="1852"/>
      <c r="WCU25" s="1852"/>
      <c r="WCX25" s="1852"/>
      <c r="WDA25" s="1852"/>
      <c r="WDD25" s="1852"/>
      <c r="WDG25" s="1852"/>
      <c r="WDJ25" s="1852"/>
      <c r="WDM25" s="1852"/>
      <c r="WDP25" s="1852"/>
      <c r="WDS25" s="1852"/>
      <c r="WDV25" s="1852"/>
      <c r="WDY25" s="1852"/>
      <c r="WEB25" s="1852"/>
      <c r="WEE25" s="1852"/>
      <c r="WEH25" s="1852"/>
      <c r="WEK25" s="1852"/>
      <c r="WEN25" s="1852"/>
      <c r="WEQ25" s="1852"/>
      <c r="WET25" s="1852"/>
      <c r="WEW25" s="1852"/>
      <c r="WEZ25" s="1852"/>
      <c r="WFC25" s="1852"/>
      <c r="WFF25" s="1852"/>
      <c r="WFI25" s="1852"/>
      <c r="WFL25" s="1852"/>
      <c r="WFO25" s="1852"/>
      <c r="WFR25" s="1852"/>
      <c r="WFU25" s="1852"/>
      <c r="WFX25" s="1852"/>
      <c r="WGA25" s="1852"/>
      <c r="WGD25" s="1852"/>
      <c r="WGG25" s="1852"/>
      <c r="WGJ25" s="1852"/>
      <c r="WGM25" s="1852"/>
      <c r="WGP25" s="1852"/>
      <c r="WGS25" s="1852"/>
      <c r="WGV25" s="1852"/>
      <c r="WGY25" s="1852"/>
      <c r="WHB25" s="1852"/>
      <c r="WHE25" s="1852"/>
      <c r="WHH25" s="1852"/>
      <c r="WHK25" s="1852"/>
      <c r="WHN25" s="1852"/>
      <c r="WHQ25" s="1852"/>
      <c r="WHT25" s="1852"/>
      <c r="WHW25" s="1852"/>
      <c r="WHZ25" s="1852"/>
      <c r="WIC25" s="1852"/>
      <c r="WIF25" s="1852"/>
      <c r="WII25" s="1852"/>
      <c r="WIL25" s="1852"/>
      <c r="WIO25" s="1852"/>
      <c r="WIR25" s="1852"/>
      <c r="WIU25" s="1852"/>
      <c r="WIX25" s="1852"/>
      <c r="WJA25" s="1852"/>
      <c r="WJD25" s="1852"/>
      <c r="WJG25" s="1852"/>
      <c r="WJJ25" s="1852"/>
      <c r="WJM25" s="1852"/>
      <c r="WJP25" s="1852"/>
      <c r="WJS25" s="1852"/>
      <c r="WJV25" s="1852"/>
      <c r="WJY25" s="1852"/>
      <c r="WKB25" s="1852"/>
      <c r="WKE25" s="1852"/>
      <c r="WKH25" s="1852"/>
      <c r="WKK25" s="1852"/>
      <c r="WKN25" s="1852"/>
      <c r="WKQ25" s="1852"/>
      <c r="WKT25" s="1852"/>
      <c r="WKW25" s="1852"/>
      <c r="WKZ25" s="1852"/>
      <c r="WLC25" s="1852"/>
      <c r="WLF25" s="1852"/>
      <c r="WLI25" s="1852"/>
      <c r="WLL25" s="1852"/>
      <c r="WLO25" s="1852"/>
      <c r="WLR25" s="1852"/>
      <c r="WLU25" s="1852"/>
      <c r="WLX25" s="1852"/>
      <c r="WMA25" s="1852"/>
      <c r="WMD25" s="1852"/>
      <c r="WMG25" s="1852"/>
      <c r="WMJ25" s="1852"/>
      <c r="WMM25" s="1852"/>
      <c r="WMP25" s="1852"/>
      <c r="WMS25" s="1852"/>
      <c r="WMV25" s="1852"/>
      <c r="WMY25" s="1852"/>
      <c r="WNB25" s="1852"/>
      <c r="WNE25" s="1852"/>
      <c r="WNH25" s="1852"/>
      <c r="WNK25" s="1852"/>
      <c r="WNN25" s="1852"/>
      <c r="WNQ25" s="1852"/>
      <c r="WNT25" s="1852"/>
      <c r="WNW25" s="1852"/>
      <c r="WNZ25" s="1852"/>
      <c r="WOC25" s="1852"/>
      <c r="WOF25" s="1852"/>
      <c r="WOI25" s="1852"/>
      <c r="WOL25" s="1852"/>
      <c r="WOO25" s="1852"/>
      <c r="WOR25" s="1852"/>
      <c r="WOU25" s="1852"/>
      <c r="WOX25" s="1852"/>
      <c r="WPA25" s="1852"/>
      <c r="WPD25" s="1852"/>
      <c r="WPG25" s="1852"/>
      <c r="WPJ25" s="1852"/>
      <c r="WPM25" s="1852"/>
      <c r="WPP25" s="1852"/>
      <c r="WPS25" s="1852"/>
      <c r="WPV25" s="1852"/>
      <c r="WPY25" s="1852"/>
      <c r="WQB25" s="1852"/>
      <c r="WQE25" s="1852"/>
      <c r="WQH25" s="1852"/>
      <c r="WQK25" s="1852"/>
      <c r="WQN25" s="1852"/>
      <c r="WQQ25" s="1852"/>
      <c r="WQT25" s="1852"/>
      <c r="WQW25" s="1852"/>
      <c r="WQZ25" s="1852"/>
      <c r="WRC25" s="1852"/>
      <c r="WRF25" s="1852"/>
      <c r="WRI25" s="1852"/>
      <c r="WRL25" s="1852"/>
      <c r="WRO25" s="1852"/>
      <c r="WRR25" s="1852"/>
      <c r="WRU25" s="1852"/>
      <c r="WRX25" s="1852"/>
      <c r="WSA25" s="1852"/>
      <c r="WSD25" s="1852"/>
      <c r="WSG25" s="1852"/>
      <c r="WSJ25" s="1852"/>
      <c r="WSM25" s="1852"/>
      <c r="WSP25" s="1852"/>
      <c r="WSS25" s="1852"/>
      <c r="WSV25" s="1852"/>
      <c r="WSY25" s="1852"/>
      <c r="WTB25" s="1852"/>
      <c r="WTE25" s="1852"/>
      <c r="WTH25" s="1852"/>
      <c r="WTK25" s="1852"/>
      <c r="WTN25" s="1852"/>
      <c r="WTQ25" s="1852"/>
      <c r="WTT25" s="1852"/>
      <c r="WTW25" s="1852"/>
      <c r="WTZ25" s="1852"/>
      <c r="WUC25" s="1852"/>
      <c r="WUF25" s="1852"/>
      <c r="WUI25" s="1852"/>
      <c r="WUL25" s="1852"/>
      <c r="WUO25" s="1852"/>
      <c r="WUR25" s="1852"/>
      <c r="WUU25" s="1852"/>
      <c r="WUX25" s="1852"/>
      <c r="WVA25" s="1852"/>
      <c r="WVD25" s="1852"/>
      <c r="WVG25" s="1852"/>
      <c r="WVJ25" s="1852"/>
      <c r="WVM25" s="1852"/>
      <c r="WVP25" s="1852"/>
      <c r="WVS25" s="1852"/>
      <c r="WVV25" s="1852"/>
      <c r="WVY25" s="1852"/>
      <c r="WWB25" s="1852"/>
      <c r="WWE25" s="1852"/>
      <c r="WWH25" s="1852"/>
      <c r="WWK25" s="1852"/>
      <c r="WWN25" s="1852"/>
      <c r="WWQ25" s="1852"/>
      <c r="WWT25" s="1852"/>
      <c r="WWW25" s="1852"/>
      <c r="WWZ25" s="1852"/>
      <c r="WXC25" s="1852"/>
      <c r="WXF25" s="1852"/>
      <c r="WXI25" s="1852"/>
      <c r="WXL25" s="1852"/>
      <c r="WXO25" s="1852"/>
      <c r="WXR25" s="1852"/>
      <c r="WXU25" s="1852"/>
      <c r="WXX25" s="1852"/>
      <c r="WYA25" s="1852"/>
      <c r="WYD25" s="1852"/>
      <c r="WYG25" s="1852"/>
      <c r="WYJ25" s="1852"/>
      <c r="WYM25" s="1852"/>
      <c r="WYP25" s="1852"/>
      <c r="WYS25" s="1852"/>
      <c r="WYV25" s="1852"/>
      <c r="WYY25" s="1852"/>
      <c r="WZB25" s="1852"/>
      <c r="WZE25" s="1852"/>
      <c r="WZH25" s="1852"/>
      <c r="WZK25" s="1852"/>
      <c r="WZN25" s="1852"/>
      <c r="WZQ25" s="1852"/>
      <c r="WZT25" s="1852"/>
      <c r="WZW25" s="1852"/>
      <c r="WZZ25" s="1852"/>
      <c r="XAC25" s="1852"/>
      <c r="XAF25" s="1852"/>
      <c r="XAI25" s="1852"/>
      <c r="XAL25" s="1852"/>
      <c r="XAO25" s="1852"/>
      <c r="XAR25" s="1852"/>
      <c r="XAU25" s="1852"/>
      <c r="XAX25" s="1852"/>
      <c r="XBA25" s="1852"/>
      <c r="XBD25" s="1852"/>
      <c r="XBG25" s="1852"/>
      <c r="XBJ25" s="1852"/>
      <c r="XBM25" s="1852"/>
      <c r="XBP25" s="1852"/>
      <c r="XBS25" s="1852"/>
      <c r="XBV25" s="1852"/>
      <c r="XBY25" s="1852"/>
      <c r="XCB25" s="1852"/>
      <c r="XCE25" s="1852"/>
      <c r="XCH25" s="1852"/>
      <c r="XCK25" s="1852"/>
      <c r="XCN25" s="1852"/>
      <c r="XCQ25" s="1852"/>
      <c r="XCT25" s="1852"/>
      <c r="XCW25" s="1852"/>
      <c r="XCZ25" s="1852"/>
      <c r="XDC25" s="1852"/>
      <c r="XDF25" s="1852"/>
      <c r="XDI25" s="1852"/>
      <c r="XDL25" s="1852"/>
      <c r="XDO25" s="1852"/>
      <c r="XDR25" s="1852"/>
      <c r="XDU25" s="1852"/>
      <c r="XDX25" s="1852"/>
      <c r="XEA25" s="1852"/>
      <c r="XED25" s="1852"/>
      <c r="XEG25" s="1852"/>
      <c r="XEJ25" s="1852"/>
      <c r="XEM25" s="1852"/>
      <c r="XEP25" s="1852"/>
      <c r="XES25" s="1852"/>
      <c r="XEV25" s="1852"/>
      <c r="XEY25" s="1852"/>
      <c r="XFB25" s="1852"/>
    </row>
    <row r="26" spans="1:16384" s="1851" customFormat="1" x14ac:dyDescent="0.25">
      <c r="A26" s="1175" t="s">
        <v>2562</v>
      </c>
      <c r="B26" s="205"/>
      <c r="C26" s="8"/>
      <c r="D26" s="1852"/>
      <c r="E26" s="1852"/>
      <c r="F26" s="1852"/>
      <c r="G26" s="1852"/>
      <c r="H26" s="1852"/>
      <c r="I26" s="1852"/>
      <c r="J26" s="1852"/>
      <c r="K26" s="1852"/>
      <c r="L26" s="1852"/>
      <c r="M26" s="1852"/>
      <c r="N26" s="1852"/>
      <c r="O26" s="1852"/>
      <c r="P26" s="1852"/>
      <c r="Q26" s="1852"/>
      <c r="T26" s="1852"/>
      <c r="W26" s="1852"/>
      <c r="Z26" s="1852"/>
      <c r="AC26" s="1852"/>
      <c r="AF26" s="1852"/>
      <c r="AI26" s="1852"/>
      <c r="AL26" s="1852"/>
      <c r="AO26" s="1852"/>
      <c r="AR26" s="1852"/>
      <c r="AU26" s="1852"/>
      <c r="AX26" s="1852"/>
      <c r="BA26" s="1852"/>
      <c r="BD26" s="1852"/>
      <c r="BG26" s="1852"/>
      <c r="BJ26" s="1852"/>
      <c r="BM26" s="1852"/>
      <c r="BP26" s="1852"/>
      <c r="BS26" s="1852"/>
      <c r="BV26" s="1852"/>
      <c r="BY26" s="1852"/>
      <c r="CB26" s="1852"/>
      <c r="CE26" s="1852"/>
      <c r="CH26" s="1852"/>
      <c r="CK26" s="1852"/>
      <c r="CN26" s="1852"/>
      <c r="CQ26" s="1852"/>
      <c r="CT26" s="1852"/>
      <c r="CW26" s="1852"/>
      <c r="CZ26" s="1852"/>
      <c r="DC26" s="1852"/>
      <c r="DF26" s="1852"/>
      <c r="DI26" s="1852"/>
      <c r="DL26" s="1852"/>
      <c r="DO26" s="1852"/>
      <c r="DR26" s="1852"/>
      <c r="DU26" s="1852"/>
      <c r="DX26" s="1852"/>
      <c r="EA26" s="1852"/>
      <c r="ED26" s="1852"/>
      <c r="EG26" s="1852"/>
      <c r="EJ26" s="1852"/>
      <c r="EM26" s="1852"/>
      <c r="EP26" s="1852"/>
      <c r="ES26" s="1852"/>
      <c r="EV26" s="1852"/>
      <c r="EY26" s="1852"/>
      <c r="FB26" s="1852"/>
      <c r="FE26" s="1852"/>
      <c r="FH26" s="1852"/>
      <c r="FK26" s="1852"/>
      <c r="FN26" s="1852"/>
      <c r="FQ26" s="1852"/>
      <c r="FT26" s="1852"/>
      <c r="FW26" s="1852"/>
      <c r="FZ26" s="1852"/>
      <c r="GC26" s="1852"/>
      <c r="GF26" s="1852"/>
      <c r="GI26" s="1852"/>
      <c r="GL26" s="1852"/>
      <c r="GO26" s="1852"/>
      <c r="GR26" s="1852"/>
      <c r="GU26" s="1852"/>
      <c r="GX26" s="1852"/>
      <c r="HA26" s="1852"/>
      <c r="HD26" s="1852"/>
      <c r="HG26" s="1852"/>
      <c r="HJ26" s="1852"/>
      <c r="HM26" s="1852"/>
      <c r="HP26" s="1852"/>
      <c r="HS26" s="1852"/>
      <c r="HV26" s="1852"/>
      <c r="HY26" s="1852"/>
      <c r="IB26" s="1852"/>
      <c r="IE26" s="1852"/>
      <c r="IH26" s="1852"/>
      <c r="IK26" s="1852"/>
      <c r="IN26" s="1852"/>
      <c r="IQ26" s="1852"/>
      <c r="IT26" s="1852"/>
      <c r="IW26" s="1852"/>
      <c r="IZ26" s="1852"/>
      <c r="JC26" s="1852"/>
      <c r="JF26" s="1852"/>
      <c r="JI26" s="1852"/>
      <c r="JL26" s="1852"/>
      <c r="JO26" s="1852"/>
      <c r="JR26" s="1852"/>
      <c r="JU26" s="1852"/>
      <c r="JX26" s="1852"/>
      <c r="KA26" s="1852"/>
      <c r="KD26" s="1852"/>
      <c r="KG26" s="1852"/>
      <c r="KJ26" s="1852"/>
      <c r="KM26" s="1852"/>
      <c r="KP26" s="1852"/>
      <c r="KS26" s="1852"/>
      <c r="KV26" s="1852"/>
      <c r="KY26" s="1852"/>
      <c r="LB26" s="1852"/>
      <c r="LE26" s="1852"/>
      <c r="LH26" s="1852"/>
      <c r="LK26" s="1852"/>
      <c r="LN26" s="1852"/>
      <c r="LQ26" s="1852"/>
      <c r="LT26" s="1852"/>
      <c r="LW26" s="1852"/>
      <c r="LZ26" s="1852"/>
      <c r="MC26" s="1852"/>
      <c r="MF26" s="1852"/>
      <c r="MI26" s="1852"/>
      <c r="ML26" s="1852"/>
      <c r="MO26" s="1852"/>
      <c r="MR26" s="1852"/>
      <c r="MU26" s="1852"/>
      <c r="MX26" s="1852"/>
      <c r="NA26" s="1852"/>
      <c r="ND26" s="1852"/>
      <c r="NG26" s="1852"/>
      <c r="NJ26" s="1852"/>
      <c r="NM26" s="1852"/>
      <c r="NP26" s="1852"/>
      <c r="NS26" s="1852"/>
      <c r="NV26" s="1852"/>
      <c r="NY26" s="1852"/>
      <c r="OB26" s="1852"/>
      <c r="OE26" s="1852"/>
      <c r="OH26" s="1852"/>
      <c r="OK26" s="1852"/>
      <c r="ON26" s="1852"/>
      <c r="OQ26" s="1852"/>
      <c r="OT26" s="1852"/>
      <c r="OW26" s="1852"/>
      <c r="OZ26" s="1852"/>
      <c r="PC26" s="1852"/>
      <c r="PF26" s="1852"/>
      <c r="PI26" s="1852"/>
      <c r="PL26" s="1852"/>
      <c r="PO26" s="1852"/>
      <c r="PR26" s="1852"/>
      <c r="PU26" s="1852"/>
      <c r="PX26" s="1852"/>
      <c r="QA26" s="1852"/>
      <c r="QD26" s="1852"/>
      <c r="QG26" s="1852"/>
      <c r="QJ26" s="1852"/>
      <c r="QM26" s="1852"/>
      <c r="QP26" s="1852"/>
      <c r="QS26" s="1852"/>
      <c r="QV26" s="1852"/>
      <c r="QY26" s="1852"/>
      <c r="RB26" s="1852"/>
      <c r="RE26" s="1852"/>
      <c r="RH26" s="1852"/>
      <c r="RK26" s="1852"/>
      <c r="RN26" s="1852"/>
      <c r="RQ26" s="1852"/>
      <c r="RT26" s="1852"/>
      <c r="RW26" s="1852"/>
      <c r="RZ26" s="1852"/>
      <c r="SC26" s="1852"/>
      <c r="SF26" s="1852"/>
      <c r="SI26" s="1852"/>
      <c r="SL26" s="1852"/>
      <c r="SO26" s="1852"/>
      <c r="SR26" s="1852"/>
      <c r="SU26" s="1852"/>
      <c r="SX26" s="1852"/>
      <c r="TA26" s="1852"/>
      <c r="TD26" s="1852"/>
      <c r="TG26" s="1852"/>
      <c r="TJ26" s="1852"/>
      <c r="TM26" s="1852"/>
      <c r="TP26" s="1852"/>
      <c r="TS26" s="1852"/>
      <c r="TV26" s="1852"/>
      <c r="TY26" s="1852"/>
      <c r="UB26" s="1852"/>
      <c r="UE26" s="1852"/>
      <c r="UH26" s="1852"/>
      <c r="UK26" s="1852"/>
      <c r="UN26" s="1852"/>
      <c r="UQ26" s="1852"/>
      <c r="UT26" s="1852"/>
      <c r="UW26" s="1852"/>
      <c r="UZ26" s="1852"/>
      <c r="VC26" s="1852"/>
      <c r="VF26" s="1852"/>
      <c r="VI26" s="1852"/>
      <c r="VL26" s="1852"/>
      <c r="VO26" s="1852"/>
      <c r="VR26" s="1852"/>
      <c r="VU26" s="1852"/>
      <c r="VX26" s="1852"/>
      <c r="WA26" s="1852"/>
      <c r="WD26" s="1852"/>
      <c r="WG26" s="1852"/>
      <c r="WJ26" s="1852"/>
      <c r="WM26" s="1852"/>
      <c r="WP26" s="1852"/>
      <c r="WS26" s="1852"/>
      <c r="WV26" s="1852"/>
      <c r="WY26" s="1852"/>
      <c r="XB26" s="1852"/>
      <c r="XE26" s="1852"/>
      <c r="XH26" s="1852"/>
      <c r="XK26" s="1852"/>
      <c r="XN26" s="1852"/>
      <c r="XQ26" s="1852"/>
      <c r="XT26" s="1852"/>
      <c r="XW26" s="1852"/>
      <c r="XZ26" s="1852"/>
      <c r="YC26" s="1852"/>
      <c r="YF26" s="1852"/>
      <c r="YI26" s="1852"/>
      <c r="YL26" s="1852"/>
      <c r="YO26" s="1852"/>
      <c r="YR26" s="1852"/>
      <c r="YU26" s="1852"/>
      <c r="YX26" s="1852"/>
      <c r="ZA26" s="1852"/>
      <c r="ZD26" s="1852"/>
      <c r="ZG26" s="1852"/>
      <c r="ZJ26" s="1852"/>
      <c r="ZM26" s="1852"/>
      <c r="ZP26" s="1852"/>
      <c r="ZS26" s="1852"/>
      <c r="ZV26" s="1852"/>
      <c r="ZY26" s="1852"/>
      <c r="AAB26" s="1852"/>
      <c r="AAE26" s="1852"/>
      <c r="AAH26" s="1852"/>
      <c r="AAK26" s="1852"/>
      <c r="AAN26" s="1852"/>
      <c r="AAQ26" s="1852"/>
      <c r="AAT26" s="1852"/>
      <c r="AAW26" s="1852"/>
      <c r="AAZ26" s="1852"/>
      <c r="ABC26" s="1852"/>
      <c r="ABF26" s="1852"/>
      <c r="ABI26" s="1852"/>
      <c r="ABL26" s="1852"/>
      <c r="ABO26" s="1852"/>
      <c r="ABR26" s="1852"/>
      <c r="ABU26" s="1852"/>
      <c r="ABX26" s="1852"/>
      <c r="ACA26" s="1852"/>
      <c r="ACD26" s="1852"/>
      <c r="ACG26" s="1852"/>
      <c r="ACJ26" s="1852"/>
      <c r="ACM26" s="1852"/>
      <c r="ACP26" s="1852"/>
      <c r="ACS26" s="1852"/>
      <c r="ACV26" s="1852"/>
      <c r="ACY26" s="1852"/>
      <c r="ADB26" s="1852"/>
      <c r="ADE26" s="1852"/>
      <c r="ADH26" s="1852"/>
      <c r="ADK26" s="1852"/>
      <c r="ADN26" s="1852"/>
      <c r="ADQ26" s="1852"/>
      <c r="ADT26" s="1852"/>
      <c r="ADW26" s="1852"/>
      <c r="ADZ26" s="1852"/>
      <c r="AEC26" s="1852"/>
      <c r="AEF26" s="1852"/>
      <c r="AEI26" s="1852"/>
      <c r="AEL26" s="1852"/>
      <c r="AEO26" s="1852"/>
      <c r="AER26" s="1852"/>
      <c r="AEU26" s="1852"/>
      <c r="AEX26" s="1852"/>
      <c r="AFA26" s="1852"/>
      <c r="AFD26" s="1852"/>
      <c r="AFG26" s="1852"/>
      <c r="AFJ26" s="1852"/>
      <c r="AFM26" s="1852"/>
      <c r="AFP26" s="1852"/>
      <c r="AFS26" s="1852"/>
      <c r="AFV26" s="1852"/>
      <c r="AFY26" s="1852"/>
      <c r="AGB26" s="1852"/>
      <c r="AGE26" s="1852"/>
      <c r="AGH26" s="1852"/>
      <c r="AGK26" s="1852"/>
      <c r="AGN26" s="1852"/>
      <c r="AGQ26" s="1852"/>
      <c r="AGT26" s="1852"/>
      <c r="AGW26" s="1852"/>
      <c r="AGZ26" s="1852"/>
      <c r="AHC26" s="1852"/>
      <c r="AHF26" s="1852"/>
      <c r="AHI26" s="1852"/>
      <c r="AHL26" s="1852"/>
      <c r="AHO26" s="1852"/>
      <c r="AHR26" s="1852"/>
      <c r="AHU26" s="1852"/>
      <c r="AHX26" s="1852"/>
      <c r="AIA26" s="1852"/>
      <c r="AID26" s="1852"/>
      <c r="AIG26" s="1852"/>
      <c r="AIJ26" s="1852"/>
      <c r="AIM26" s="1852"/>
      <c r="AIP26" s="1852"/>
      <c r="AIS26" s="1852"/>
      <c r="AIV26" s="1852"/>
      <c r="AIY26" s="1852"/>
      <c r="AJB26" s="1852"/>
      <c r="AJE26" s="1852"/>
      <c r="AJH26" s="1852"/>
      <c r="AJK26" s="1852"/>
      <c r="AJN26" s="1852"/>
      <c r="AJQ26" s="1852"/>
      <c r="AJT26" s="1852"/>
      <c r="AJW26" s="1852"/>
      <c r="AJZ26" s="1852"/>
      <c r="AKC26" s="1852"/>
      <c r="AKF26" s="1852"/>
      <c r="AKI26" s="1852"/>
      <c r="AKL26" s="1852"/>
      <c r="AKO26" s="1852"/>
      <c r="AKR26" s="1852"/>
      <c r="AKU26" s="1852"/>
      <c r="AKX26" s="1852"/>
      <c r="ALA26" s="1852"/>
      <c r="ALD26" s="1852"/>
      <c r="ALG26" s="1852"/>
      <c r="ALJ26" s="1852"/>
      <c r="ALM26" s="1852"/>
      <c r="ALP26" s="1852"/>
      <c r="ALS26" s="1852"/>
      <c r="ALV26" s="1852"/>
      <c r="ALY26" s="1852"/>
      <c r="AMB26" s="1852"/>
      <c r="AME26" s="1852"/>
      <c r="AMH26" s="1852"/>
      <c r="AMK26" s="1852"/>
      <c r="AMN26" s="1852"/>
      <c r="AMQ26" s="1852"/>
      <c r="AMT26" s="1852"/>
      <c r="AMW26" s="1852"/>
      <c r="AMZ26" s="1852"/>
      <c r="ANC26" s="1852"/>
      <c r="ANF26" s="1852"/>
      <c r="ANI26" s="1852"/>
      <c r="ANL26" s="1852"/>
      <c r="ANO26" s="1852"/>
      <c r="ANR26" s="1852"/>
      <c r="ANU26" s="1852"/>
      <c r="ANX26" s="1852"/>
      <c r="AOA26" s="1852"/>
      <c r="AOD26" s="1852"/>
      <c r="AOG26" s="1852"/>
      <c r="AOJ26" s="1852"/>
      <c r="AOM26" s="1852"/>
      <c r="AOP26" s="1852"/>
      <c r="AOS26" s="1852"/>
      <c r="AOV26" s="1852"/>
      <c r="AOY26" s="1852"/>
      <c r="APB26" s="1852"/>
      <c r="APE26" s="1852"/>
      <c r="APH26" s="1852"/>
      <c r="APK26" s="1852"/>
      <c r="APN26" s="1852"/>
      <c r="APQ26" s="1852"/>
      <c r="APT26" s="1852"/>
      <c r="APW26" s="1852"/>
      <c r="APZ26" s="1852"/>
      <c r="AQC26" s="1852"/>
      <c r="AQF26" s="1852"/>
      <c r="AQI26" s="1852"/>
      <c r="AQL26" s="1852"/>
      <c r="AQO26" s="1852"/>
      <c r="AQR26" s="1852"/>
      <c r="AQU26" s="1852"/>
      <c r="AQX26" s="1852"/>
      <c r="ARA26" s="1852"/>
      <c r="ARD26" s="1852"/>
      <c r="ARG26" s="1852"/>
      <c r="ARJ26" s="1852"/>
      <c r="ARM26" s="1852"/>
      <c r="ARP26" s="1852"/>
      <c r="ARS26" s="1852"/>
      <c r="ARV26" s="1852"/>
      <c r="ARY26" s="1852"/>
      <c r="ASB26" s="1852"/>
      <c r="ASE26" s="1852"/>
      <c r="ASH26" s="1852"/>
      <c r="ASK26" s="1852"/>
      <c r="ASN26" s="1852"/>
      <c r="ASQ26" s="1852"/>
      <c r="AST26" s="1852"/>
      <c r="ASW26" s="1852"/>
      <c r="ASZ26" s="1852"/>
      <c r="ATC26" s="1852"/>
      <c r="ATF26" s="1852"/>
      <c r="ATI26" s="1852"/>
      <c r="ATL26" s="1852"/>
      <c r="ATO26" s="1852"/>
      <c r="ATR26" s="1852"/>
      <c r="ATU26" s="1852"/>
      <c r="ATX26" s="1852"/>
      <c r="AUA26" s="1852"/>
      <c r="AUD26" s="1852"/>
      <c r="AUG26" s="1852"/>
      <c r="AUJ26" s="1852"/>
      <c r="AUM26" s="1852"/>
      <c r="AUP26" s="1852"/>
      <c r="AUS26" s="1852"/>
      <c r="AUV26" s="1852"/>
      <c r="AUY26" s="1852"/>
      <c r="AVB26" s="1852"/>
      <c r="AVE26" s="1852"/>
      <c r="AVH26" s="1852"/>
      <c r="AVK26" s="1852"/>
      <c r="AVN26" s="1852"/>
      <c r="AVQ26" s="1852"/>
      <c r="AVT26" s="1852"/>
      <c r="AVW26" s="1852"/>
      <c r="AVZ26" s="1852"/>
      <c r="AWC26" s="1852"/>
      <c r="AWF26" s="1852"/>
      <c r="AWI26" s="1852"/>
      <c r="AWL26" s="1852"/>
      <c r="AWO26" s="1852"/>
      <c r="AWR26" s="1852"/>
      <c r="AWU26" s="1852"/>
      <c r="AWX26" s="1852"/>
      <c r="AXA26" s="1852"/>
      <c r="AXD26" s="1852"/>
      <c r="AXG26" s="1852"/>
      <c r="AXJ26" s="1852"/>
      <c r="AXM26" s="1852"/>
      <c r="AXP26" s="1852"/>
      <c r="AXS26" s="1852"/>
      <c r="AXV26" s="1852"/>
      <c r="AXY26" s="1852"/>
      <c r="AYB26" s="1852"/>
      <c r="AYE26" s="1852"/>
      <c r="AYH26" s="1852"/>
      <c r="AYK26" s="1852"/>
      <c r="AYN26" s="1852"/>
      <c r="AYQ26" s="1852"/>
      <c r="AYT26" s="1852"/>
      <c r="AYW26" s="1852"/>
      <c r="AYZ26" s="1852"/>
      <c r="AZC26" s="1852"/>
      <c r="AZF26" s="1852"/>
      <c r="AZI26" s="1852"/>
      <c r="AZL26" s="1852"/>
      <c r="AZO26" s="1852"/>
      <c r="AZR26" s="1852"/>
      <c r="AZU26" s="1852"/>
      <c r="AZX26" s="1852"/>
      <c r="BAA26" s="1852"/>
      <c r="BAD26" s="1852"/>
      <c r="BAG26" s="1852"/>
      <c r="BAJ26" s="1852"/>
      <c r="BAM26" s="1852"/>
      <c r="BAP26" s="1852"/>
      <c r="BAS26" s="1852"/>
      <c r="BAV26" s="1852"/>
      <c r="BAY26" s="1852"/>
      <c r="BBB26" s="1852"/>
      <c r="BBE26" s="1852"/>
      <c r="BBH26" s="1852"/>
      <c r="BBK26" s="1852"/>
      <c r="BBN26" s="1852"/>
      <c r="BBQ26" s="1852"/>
      <c r="BBT26" s="1852"/>
      <c r="BBW26" s="1852"/>
      <c r="BBZ26" s="1852"/>
      <c r="BCC26" s="1852"/>
      <c r="BCF26" s="1852"/>
      <c r="BCI26" s="1852"/>
      <c r="BCL26" s="1852"/>
      <c r="BCO26" s="1852"/>
      <c r="BCR26" s="1852"/>
      <c r="BCU26" s="1852"/>
      <c r="BCX26" s="1852"/>
      <c r="BDA26" s="1852"/>
      <c r="BDD26" s="1852"/>
      <c r="BDG26" s="1852"/>
      <c r="BDJ26" s="1852"/>
      <c r="BDM26" s="1852"/>
      <c r="BDP26" s="1852"/>
      <c r="BDS26" s="1852"/>
      <c r="BDV26" s="1852"/>
      <c r="BDY26" s="1852"/>
      <c r="BEB26" s="1852"/>
      <c r="BEE26" s="1852"/>
      <c r="BEH26" s="1852"/>
      <c r="BEK26" s="1852"/>
      <c r="BEN26" s="1852"/>
      <c r="BEQ26" s="1852"/>
      <c r="BET26" s="1852"/>
      <c r="BEW26" s="1852"/>
      <c r="BEZ26" s="1852"/>
      <c r="BFC26" s="1852"/>
      <c r="BFF26" s="1852"/>
      <c r="BFI26" s="1852"/>
      <c r="BFL26" s="1852"/>
      <c r="BFO26" s="1852"/>
      <c r="BFR26" s="1852"/>
      <c r="BFU26" s="1852"/>
      <c r="BFX26" s="1852"/>
      <c r="BGA26" s="1852"/>
      <c r="BGD26" s="1852"/>
      <c r="BGG26" s="1852"/>
      <c r="BGJ26" s="1852"/>
      <c r="BGM26" s="1852"/>
      <c r="BGP26" s="1852"/>
      <c r="BGS26" s="1852"/>
      <c r="BGV26" s="1852"/>
      <c r="BGY26" s="1852"/>
      <c r="BHB26" s="1852"/>
      <c r="BHE26" s="1852"/>
      <c r="BHH26" s="1852"/>
      <c r="BHK26" s="1852"/>
      <c r="BHN26" s="1852"/>
      <c r="BHQ26" s="1852"/>
      <c r="BHT26" s="1852"/>
      <c r="BHW26" s="1852"/>
      <c r="BHZ26" s="1852"/>
      <c r="BIC26" s="1852"/>
      <c r="BIF26" s="1852"/>
      <c r="BII26" s="1852"/>
      <c r="BIL26" s="1852"/>
      <c r="BIO26" s="1852"/>
      <c r="BIR26" s="1852"/>
      <c r="BIU26" s="1852"/>
      <c r="BIX26" s="1852"/>
      <c r="BJA26" s="1852"/>
      <c r="BJD26" s="1852"/>
      <c r="BJG26" s="1852"/>
      <c r="BJJ26" s="1852"/>
      <c r="BJM26" s="1852"/>
      <c r="BJP26" s="1852"/>
      <c r="BJS26" s="1852"/>
      <c r="BJV26" s="1852"/>
      <c r="BJY26" s="1852"/>
      <c r="BKB26" s="1852"/>
      <c r="BKE26" s="1852"/>
      <c r="BKH26" s="1852"/>
      <c r="BKK26" s="1852"/>
      <c r="BKN26" s="1852"/>
      <c r="BKQ26" s="1852"/>
      <c r="BKT26" s="1852"/>
      <c r="BKW26" s="1852"/>
      <c r="BKZ26" s="1852"/>
      <c r="BLC26" s="1852"/>
      <c r="BLF26" s="1852"/>
      <c r="BLI26" s="1852"/>
      <c r="BLL26" s="1852"/>
      <c r="BLO26" s="1852"/>
      <c r="BLR26" s="1852"/>
      <c r="BLU26" s="1852"/>
      <c r="BLX26" s="1852"/>
      <c r="BMA26" s="1852"/>
      <c r="BMD26" s="1852"/>
      <c r="BMG26" s="1852"/>
      <c r="BMJ26" s="1852"/>
      <c r="BMM26" s="1852"/>
      <c r="BMP26" s="1852"/>
      <c r="BMS26" s="1852"/>
      <c r="BMV26" s="1852"/>
      <c r="BMY26" s="1852"/>
      <c r="BNB26" s="1852"/>
      <c r="BNE26" s="1852"/>
      <c r="BNH26" s="1852"/>
      <c r="BNK26" s="1852"/>
      <c r="BNN26" s="1852"/>
      <c r="BNQ26" s="1852"/>
      <c r="BNT26" s="1852"/>
      <c r="BNW26" s="1852"/>
      <c r="BNZ26" s="1852"/>
      <c r="BOC26" s="1852"/>
      <c r="BOF26" s="1852"/>
      <c r="BOI26" s="1852"/>
      <c r="BOL26" s="1852"/>
      <c r="BOO26" s="1852"/>
      <c r="BOR26" s="1852"/>
      <c r="BOU26" s="1852"/>
      <c r="BOX26" s="1852"/>
      <c r="BPA26" s="1852"/>
      <c r="BPD26" s="1852"/>
      <c r="BPG26" s="1852"/>
      <c r="BPJ26" s="1852"/>
      <c r="BPM26" s="1852"/>
      <c r="BPP26" s="1852"/>
      <c r="BPS26" s="1852"/>
      <c r="BPV26" s="1852"/>
      <c r="BPY26" s="1852"/>
      <c r="BQB26" s="1852"/>
      <c r="BQE26" s="1852"/>
      <c r="BQH26" s="1852"/>
      <c r="BQK26" s="1852"/>
      <c r="BQN26" s="1852"/>
      <c r="BQQ26" s="1852"/>
      <c r="BQT26" s="1852"/>
      <c r="BQW26" s="1852"/>
      <c r="BQZ26" s="1852"/>
      <c r="BRC26" s="1852"/>
      <c r="BRF26" s="1852"/>
      <c r="BRI26" s="1852"/>
      <c r="BRL26" s="1852"/>
      <c r="BRO26" s="1852"/>
      <c r="BRR26" s="1852"/>
      <c r="BRU26" s="1852"/>
      <c r="BRX26" s="1852"/>
      <c r="BSA26" s="1852"/>
      <c r="BSD26" s="1852"/>
      <c r="BSG26" s="1852"/>
      <c r="BSJ26" s="1852"/>
      <c r="BSM26" s="1852"/>
      <c r="BSP26" s="1852"/>
      <c r="BSS26" s="1852"/>
      <c r="BSV26" s="1852"/>
      <c r="BSY26" s="1852"/>
      <c r="BTB26" s="1852"/>
      <c r="BTE26" s="1852"/>
      <c r="BTH26" s="1852"/>
      <c r="BTK26" s="1852"/>
      <c r="BTN26" s="1852"/>
      <c r="BTQ26" s="1852"/>
      <c r="BTT26" s="1852"/>
      <c r="BTW26" s="1852"/>
      <c r="BTZ26" s="1852"/>
      <c r="BUC26" s="1852"/>
      <c r="BUF26" s="1852"/>
      <c r="BUI26" s="1852"/>
      <c r="BUL26" s="1852"/>
      <c r="BUO26" s="1852"/>
      <c r="BUR26" s="1852"/>
      <c r="BUU26" s="1852"/>
      <c r="BUX26" s="1852"/>
      <c r="BVA26" s="1852"/>
      <c r="BVD26" s="1852"/>
      <c r="BVG26" s="1852"/>
      <c r="BVJ26" s="1852"/>
      <c r="BVM26" s="1852"/>
      <c r="BVP26" s="1852"/>
      <c r="BVS26" s="1852"/>
      <c r="BVV26" s="1852"/>
      <c r="BVY26" s="1852"/>
      <c r="BWB26" s="1852"/>
      <c r="BWE26" s="1852"/>
      <c r="BWH26" s="1852"/>
      <c r="BWK26" s="1852"/>
      <c r="BWN26" s="1852"/>
      <c r="BWQ26" s="1852"/>
      <c r="BWT26" s="1852"/>
      <c r="BWW26" s="1852"/>
      <c r="BWZ26" s="1852"/>
      <c r="BXC26" s="1852"/>
      <c r="BXF26" s="1852"/>
      <c r="BXI26" s="1852"/>
      <c r="BXL26" s="1852"/>
      <c r="BXO26" s="1852"/>
      <c r="BXR26" s="1852"/>
      <c r="BXU26" s="1852"/>
      <c r="BXX26" s="1852"/>
      <c r="BYA26" s="1852"/>
      <c r="BYD26" s="1852"/>
      <c r="BYG26" s="1852"/>
      <c r="BYJ26" s="1852"/>
      <c r="BYM26" s="1852"/>
      <c r="BYP26" s="1852"/>
      <c r="BYS26" s="1852"/>
      <c r="BYV26" s="1852"/>
      <c r="BYY26" s="1852"/>
      <c r="BZB26" s="1852"/>
      <c r="BZE26" s="1852"/>
      <c r="BZH26" s="1852"/>
      <c r="BZK26" s="1852"/>
      <c r="BZN26" s="1852"/>
      <c r="BZQ26" s="1852"/>
      <c r="BZT26" s="1852"/>
      <c r="BZW26" s="1852"/>
      <c r="BZZ26" s="1852"/>
      <c r="CAC26" s="1852"/>
      <c r="CAF26" s="1852"/>
      <c r="CAI26" s="1852"/>
      <c r="CAL26" s="1852"/>
      <c r="CAO26" s="1852"/>
      <c r="CAR26" s="1852"/>
      <c r="CAU26" s="1852"/>
      <c r="CAX26" s="1852"/>
      <c r="CBA26" s="1852"/>
      <c r="CBD26" s="1852"/>
      <c r="CBG26" s="1852"/>
      <c r="CBJ26" s="1852"/>
      <c r="CBM26" s="1852"/>
      <c r="CBP26" s="1852"/>
      <c r="CBS26" s="1852"/>
      <c r="CBV26" s="1852"/>
      <c r="CBY26" s="1852"/>
      <c r="CCB26" s="1852"/>
      <c r="CCE26" s="1852"/>
      <c r="CCH26" s="1852"/>
      <c r="CCK26" s="1852"/>
      <c r="CCN26" s="1852"/>
      <c r="CCQ26" s="1852"/>
      <c r="CCT26" s="1852"/>
      <c r="CCW26" s="1852"/>
      <c r="CCZ26" s="1852"/>
      <c r="CDC26" s="1852"/>
      <c r="CDF26" s="1852"/>
      <c r="CDI26" s="1852"/>
      <c r="CDL26" s="1852"/>
      <c r="CDO26" s="1852"/>
      <c r="CDR26" s="1852"/>
      <c r="CDU26" s="1852"/>
      <c r="CDX26" s="1852"/>
      <c r="CEA26" s="1852"/>
      <c r="CED26" s="1852"/>
      <c r="CEG26" s="1852"/>
      <c r="CEJ26" s="1852"/>
      <c r="CEM26" s="1852"/>
      <c r="CEP26" s="1852"/>
      <c r="CES26" s="1852"/>
      <c r="CEV26" s="1852"/>
      <c r="CEY26" s="1852"/>
      <c r="CFB26" s="1852"/>
      <c r="CFE26" s="1852"/>
      <c r="CFH26" s="1852"/>
      <c r="CFK26" s="1852"/>
      <c r="CFN26" s="1852"/>
      <c r="CFQ26" s="1852"/>
      <c r="CFT26" s="1852"/>
      <c r="CFW26" s="1852"/>
      <c r="CFZ26" s="1852"/>
      <c r="CGC26" s="1852"/>
      <c r="CGF26" s="1852"/>
      <c r="CGI26" s="1852"/>
      <c r="CGL26" s="1852"/>
      <c r="CGO26" s="1852"/>
      <c r="CGR26" s="1852"/>
      <c r="CGU26" s="1852"/>
      <c r="CGX26" s="1852"/>
      <c r="CHA26" s="1852"/>
      <c r="CHD26" s="1852"/>
      <c r="CHG26" s="1852"/>
      <c r="CHJ26" s="1852"/>
      <c r="CHM26" s="1852"/>
      <c r="CHP26" s="1852"/>
      <c r="CHS26" s="1852"/>
      <c r="CHV26" s="1852"/>
      <c r="CHY26" s="1852"/>
      <c r="CIB26" s="1852"/>
      <c r="CIE26" s="1852"/>
      <c r="CIH26" s="1852"/>
      <c r="CIK26" s="1852"/>
      <c r="CIN26" s="1852"/>
      <c r="CIQ26" s="1852"/>
      <c r="CIT26" s="1852"/>
      <c r="CIW26" s="1852"/>
      <c r="CIZ26" s="1852"/>
      <c r="CJC26" s="1852"/>
      <c r="CJF26" s="1852"/>
      <c r="CJI26" s="1852"/>
      <c r="CJL26" s="1852"/>
      <c r="CJO26" s="1852"/>
      <c r="CJR26" s="1852"/>
      <c r="CJU26" s="1852"/>
      <c r="CJX26" s="1852"/>
      <c r="CKA26" s="1852"/>
      <c r="CKD26" s="1852"/>
      <c r="CKG26" s="1852"/>
      <c r="CKJ26" s="1852"/>
      <c r="CKM26" s="1852"/>
      <c r="CKP26" s="1852"/>
      <c r="CKS26" s="1852"/>
      <c r="CKV26" s="1852"/>
      <c r="CKY26" s="1852"/>
      <c r="CLB26" s="1852"/>
      <c r="CLE26" s="1852"/>
      <c r="CLH26" s="1852"/>
      <c r="CLK26" s="1852"/>
      <c r="CLN26" s="1852"/>
      <c r="CLQ26" s="1852"/>
      <c r="CLT26" s="1852"/>
      <c r="CLW26" s="1852"/>
      <c r="CLZ26" s="1852"/>
      <c r="CMC26" s="1852"/>
      <c r="CMF26" s="1852"/>
      <c r="CMI26" s="1852"/>
      <c r="CML26" s="1852"/>
      <c r="CMO26" s="1852"/>
      <c r="CMR26" s="1852"/>
      <c r="CMU26" s="1852"/>
      <c r="CMX26" s="1852"/>
      <c r="CNA26" s="1852"/>
      <c r="CND26" s="1852"/>
      <c r="CNG26" s="1852"/>
      <c r="CNJ26" s="1852"/>
      <c r="CNM26" s="1852"/>
      <c r="CNP26" s="1852"/>
      <c r="CNS26" s="1852"/>
      <c r="CNV26" s="1852"/>
      <c r="CNY26" s="1852"/>
      <c r="COB26" s="1852"/>
      <c r="COE26" s="1852"/>
      <c r="COH26" s="1852"/>
      <c r="COK26" s="1852"/>
      <c r="CON26" s="1852"/>
      <c r="COQ26" s="1852"/>
      <c r="COT26" s="1852"/>
      <c r="COW26" s="1852"/>
      <c r="COZ26" s="1852"/>
      <c r="CPC26" s="1852"/>
      <c r="CPF26" s="1852"/>
      <c r="CPI26" s="1852"/>
      <c r="CPL26" s="1852"/>
      <c r="CPO26" s="1852"/>
      <c r="CPR26" s="1852"/>
      <c r="CPU26" s="1852"/>
      <c r="CPX26" s="1852"/>
      <c r="CQA26" s="1852"/>
      <c r="CQD26" s="1852"/>
      <c r="CQG26" s="1852"/>
      <c r="CQJ26" s="1852"/>
      <c r="CQM26" s="1852"/>
      <c r="CQP26" s="1852"/>
      <c r="CQS26" s="1852"/>
      <c r="CQV26" s="1852"/>
      <c r="CQY26" s="1852"/>
      <c r="CRB26" s="1852"/>
      <c r="CRE26" s="1852"/>
      <c r="CRH26" s="1852"/>
      <c r="CRK26" s="1852"/>
      <c r="CRN26" s="1852"/>
      <c r="CRQ26" s="1852"/>
      <c r="CRT26" s="1852"/>
      <c r="CRW26" s="1852"/>
      <c r="CRZ26" s="1852"/>
      <c r="CSC26" s="1852"/>
      <c r="CSF26" s="1852"/>
      <c r="CSI26" s="1852"/>
      <c r="CSL26" s="1852"/>
      <c r="CSO26" s="1852"/>
      <c r="CSR26" s="1852"/>
      <c r="CSU26" s="1852"/>
      <c r="CSX26" s="1852"/>
      <c r="CTA26" s="1852"/>
      <c r="CTD26" s="1852"/>
      <c r="CTG26" s="1852"/>
      <c r="CTJ26" s="1852"/>
      <c r="CTM26" s="1852"/>
      <c r="CTP26" s="1852"/>
      <c r="CTS26" s="1852"/>
      <c r="CTV26" s="1852"/>
      <c r="CTY26" s="1852"/>
      <c r="CUB26" s="1852"/>
      <c r="CUE26" s="1852"/>
      <c r="CUH26" s="1852"/>
      <c r="CUK26" s="1852"/>
      <c r="CUN26" s="1852"/>
      <c r="CUQ26" s="1852"/>
      <c r="CUT26" s="1852"/>
      <c r="CUW26" s="1852"/>
      <c r="CUZ26" s="1852"/>
      <c r="CVC26" s="1852"/>
      <c r="CVF26" s="1852"/>
      <c r="CVI26" s="1852"/>
      <c r="CVL26" s="1852"/>
      <c r="CVO26" s="1852"/>
      <c r="CVR26" s="1852"/>
      <c r="CVU26" s="1852"/>
      <c r="CVX26" s="1852"/>
      <c r="CWA26" s="1852"/>
      <c r="CWD26" s="1852"/>
      <c r="CWG26" s="1852"/>
      <c r="CWJ26" s="1852"/>
      <c r="CWM26" s="1852"/>
      <c r="CWP26" s="1852"/>
      <c r="CWS26" s="1852"/>
      <c r="CWV26" s="1852"/>
      <c r="CWY26" s="1852"/>
      <c r="CXB26" s="1852"/>
      <c r="CXE26" s="1852"/>
      <c r="CXH26" s="1852"/>
      <c r="CXK26" s="1852"/>
      <c r="CXN26" s="1852"/>
      <c r="CXQ26" s="1852"/>
      <c r="CXT26" s="1852"/>
      <c r="CXW26" s="1852"/>
      <c r="CXZ26" s="1852"/>
      <c r="CYC26" s="1852"/>
      <c r="CYF26" s="1852"/>
      <c r="CYI26" s="1852"/>
      <c r="CYL26" s="1852"/>
      <c r="CYO26" s="1852"/>
      <c r="CYR26" s="1852"/>
      <c r="CYU26" s="1852"/>
      <c r="CYX26" s="1852"/>
      <c r="CZA26" s="1852"/>
      <c r="CZD26" s="1852"/>
      <c r="CZG26" s="1852"/>
      <c r="CZJ26" s="1852"/>
      <c r="CZM26" s="1852"/>
      <c r="CZP26" s="1852"/>
      <c r="CZS26" s="1852"/>
      <c r="CZV26" s="1852"/>
      <c r="CZY26" s="1852"/>
      <c r="DAB26" s="1852"/>
      <c r="DAE26" s="1852"/>
      <c r="DAH26" s="1852"/>
      <c r="DAK26" s="1852"/>
      <c r="DAN26" s="1852"/>
      <c r="DAQ26" s="1852"/>
      <c r="DAT26" s="1852"/>
      <c r="DAW26" s="1852"/>
      <c r="DAZ26" s="1852"/>
      <c r="DBC26" s="1852"/>
      <c r="DBF26" s="1852"/>
      <c r="DBI26" s="1852"/>
      <c r="DBL26" s="1852"/>
      <c r="DBO26" s="1852"/>
      <c r="DBR26" s="1852"/>
      <c r="DBU26" s="1852"/>
      <c r="DBX26" s="1852"/>
      <c r="DCA26" s="1852"/>
      <c r="DCD26" s="1852"/>
      <c r="DCG26" s="1852"/>
      <c r="DCJ26" s="1852"/>
      <c r="DCM26" s="1852"/>
      <c r="DCP26" s="1852"/>
      <c r="DCS26" s="1852"/>
      <c r="DCV26" s="1852"/>
      <c r="DCY26" s="1852"/>
      <c r="DDB26" s="1852"/>
      <c r="DDE26" s="1852"/>
      <c r="DDH26" s="1852"/>
      <c r="DDK26" s="1852"/>
      <c r="DDN26" s="1852"/>
      <c r="DDQ26" s="1852"/>
      <c r="DDT26" s="1852"/>
      <c r="DDW26" s="1852"/>
      <c r="DDZ26" s="1852"/>
      <c r="DEC26" s="1852"/>
      <c r="DEF26" s="1852"/>
      <c r="DEI26" s="1852"/>
      <c r="DEL26" s="1852"/>
      <c r="DEO26" s="1852"/>
      <c r="DER26" s="1852"/>
      <c r="DEU26" s="1852"/>
      <c r="DEX26" s="1852"/>
      <c r="DFA26" s="1852"/>
      <c r="DFD26" s="1852"/>
      <c r="DFG26" s="1852"/>
      <c r="DFJ26" s="1852"/>
      <c r="DFM26" s="1852"/>
      <c r="DFP26" s="1852"/>
      <c r="DFS26" s="1852"/>
      <c r="DFV26" s="1852"/>
      <c r="DFY26" s="1852"/>
      <c r="DGB26" s="1852"/>
      <c r="DGE26" s="1852"/>
      <c r="DGH26" s="1852"/>
      <c r="DGK26" s="1852"/>
      <c r="DGN26" s="1852"/>
      <c r="DGQ26" s="1852"/>
      <c r="DGT26" s="1852"/>
      <c r="DGW26" s="1852"/>
      <c r="DGZ26" s="1852"/>
      <c r="DHC26" s="1852"/>
      <c r="DHF26" s="1852"/>
      <c r="DHI26" s="1852"/>
      <c r="DHL26" s="1852"/>
      <c r="DHO26" s="1852"/>
      <c r="DHR26" s="1852"/>
      <c r="DHU26" s="1852"/>
      <c r="DHX26" s="1852"/>
      <c r="DIA26" s="1852"/>
      <c r="DID26" s="1852"/>
      <c r="DIG26" s="1852"/>
      <c r="DIJ26" s="1852"/>
      <c r="DIM26" s="1852"/>
      <c r="DIP26" s="1852"/>
      <c r="DIS26" s="1852"/>
      <c r="DIV26" s="1852"/>
      <c r="DIY26" s="1852"/>
      <c r="DJB26" s="1852"/>
      <c r="DJE26" s="1852"/>
      <c r="DJH26" s="1852"/>
      <c r="DJK26" s="1852"/>
      <c r="DJN26" s="1852"/>
      <c r="DJQ26" s="1852"/>
      <c r="DJT26" s="1852"/>
      <c r="DJW26" s="1852"/>
      <c r="DJZ26" s="1852"/>
      <c r="DKC26" s="1852"/>
      <c r="DKF26" s="1852"/>
      <c r="DKI26" s="1852"/>
      <c r="DKL26" s="1852"/>
      <c r="DKO26" s="1852"/>
      <c r="DKR26" s="1852"/>
      <c r="DKU26" s="1852"/>
      <c r="DKX26" s="1852"/>
      <c r="DLA26" s="1852"/>
      <c r="DLD26" s="1852"/>
      <c r="DLG26" s="1852"/>
      <c r="DLJ26" s="1852"/>
      <c r="DLM26" s="1852"/>
      <c r="DLP26" s="1852"/>
      <c r="DLS26" s="1852"/>
      <c r="DLV26" s="1852"/>
      <c r="DLY26" s="1852"/>
      <c r="DMB26" s="1852"/>
      <c r="DME26" s="1852"/>
      <c r="DMH26" s="1852"/>
      <c r="DMK26" s="1852"/>
      <c r="DMN26" s="1852"/>
      <c r="DMQ26" s="1852"/>
      <c r="DMT26" s="1852"/>
      <c r="DMW26" s="1852"/>
      <c r="DMZ26" s="1852"/>
      <c r="DNC26" s="1852"/>
      <c r="DNF26" s="1852"/>
      <c r="DNI26" s="1852"/>
      <c r="DNL26" s="1852"/>
      <c r="DNO26" s="1852"/>
      <c r="DNR26" s="1852"/>
      <c r="DNU26" s="1852"/>
      <c r="DNX26" s="1852"/>
      <c r="DOA26" s="1852"/>
      <c r="DOD26" s="1852"/>
      <c r="DOG26" s="1852"/>
      <c r="DOJ26" s="1852"/>
      <c r="DOM26" s="1852"/>
      <c r="DOP26" s="1852"/>
      <c r="DOS26" s="1852"/>
      <c r="DOV26" s="1852"/>
      <c r="DOY26" s="1852"/>
      <c r="DPB26" s="1852"/>
      <c r="DPE26" s="1852"/>
      <c r="DPH26" s="1852"/>
      <c r="DPK26" s="1852"/>
      <c r="DPN26" s="1852"/>
      <c r="DPQ26" s="1852"/>
      <c r="DPT26" s="1852"/>
      <c r="DPW26" s="1852"/>
      <c r="DPZ26" s="1852"/>
      <c r="DQC26" s="1852"/>
      <c r="DQF26" s="1852"/>
      <c r="DQI26" s="1852"/>
      <c r="DQL26" s="1852"/>
      <c r="DQO26" s="1852"/>
      <c r="DQR26" s="1852"/>
      <c r="DQU26" s="1852"/>
      <c r="DQX26" s="1852"/>
      <c r="DRA26" s="1852"/>
      <c r="DRD26" s="1852"/>
      <c r="DRG26" s="1852"/>
      <c r="DRJ26" s="1852"/>
      <c r="DRM26" s="1852"/>
      <c r="DRP26" s="1852"/>
      <c r="DRS26" s="1852"/>
      <c r="DRV26" s="1852"/>
      <c r="DRY26" s="1852"/>
      <c r="DSB26" s="1852"/>
      <c r="DSE26" s="1852"/>
      <c r="DSH26" s="1852"/>
      <c r="DSK26" s="1852"/>
      <c r="DSN26" s="1852"/>
      <c r="DSQ26" s="1852"/>
      <c r="DST26" s="1852"/>
      <c r="DSW26" s="1852"/>
      <c r="DSZ26" s="1852"/>
      <c r="DTC26" s="1852"/>
      <c r="DTF26" s="1852"/>
      <c r="DTI26" s="1852"/>
      <c r="DTL26" s="1852"/>
      <c r="DTO26" s="1852"/>
      <c r="DTR26" s="1852"/>
      <c r="DTU26" s="1852"/>
      <c r="DTX26" s="1852"/>
      <c r="DUA26" s="1852"/>
      <c r="DUD26" s="1852"/>
      <c r="DUG26" s="1852"/>
      <c r="DUJ26" s="1852"/>
      <c r="DUM26" s="1852"/>
      <c r="DUP26" s="1852"/>
      <c r="DUS26" s="1852"/>
      <c r="DUV26" s="1852"/>
      <c r="DUY26" s="1852"/>
      <c r="DVB26" s="1852"/>
      <c r="DVE26" s="1852"/>
      <c r="DVH26" s="1852"/>
      <c r="DVK26" s="1852"/>
      <c r="DVN26" s="1852"/>
      <c r="DVQ26" s="1852"/>
      <c r="DVT26" s="1852"/>
      <c r="DVW26" s="1852"/>
      <c r="DVZ26" s="1852"/>
      <c r="DWC26" s="1852"/>
      <c r="DWF26" s="1852"/>
      <c r="DWI26" s="1852"/>
      <c r="DWL26" s="1852"/>
      <c r="DWO26" s="1852"/>
      <c r="DWR26" s="1852"/>
      <c r="DWU26" s="1852"/>
      <c r="DWX26" s="1852"/>
      <c r="DXA26" s="1852"/>
      <c r="DXD26" s="1852"/>
      <c r="DXG26" s="1852"/>
      <c r="DXJ26" s="1852"/>
      <c r="DXM26" s="1852"/>
      <c r="DXP26" s="1852"/>
      <c r="DXS26" s="1852"/>
      <c r="DXV26" s="1852"/>
      <c r="DXY26" s="1852"/>
      <c r="DYB26" s="1852"/>
      <c r="DYE26" s="1852"/>
      <c r="DYH26" s="1852"/>
      <c r="DYK26" s="1852"/>
      <c r="DYN26" s="1852"/>
      <c r="DYQ26" s="1852"/>
      <c r="DYT26" s="1852"/>
      <c r="DYW26" s="1852"/>
      <c r="DYZ26" s="1852"/>
      <c r="DZC26" s="1852"/>
      <c r="DZF26" s="1852"/>
      <c r="DZI26" s="1852"/>
      <c r="DZL26" s="1852"/>
      <c r="DZO26" s="1852"/>
      <c r="DZR26" s="1852"/>
      <c r="DZU26" s="1852"/>
      <c r="DZX26" s="1852"/>
      <c r="EAA26" s="1852"/>
      <c r="EAD26" s="1852"/>
      <c r="EAG26" s="1852"/>
      <c r="EAJ26" s="1852"/>
      <c r="EAM26" s="1852"/>
      <c r="EAP26" s="1852"/>
      <c r="EAS26" s="1852"/>
      <c r="EAV26" s="1852"/>
      <c r="EAY26" s="1852"/>
      <c r="EBB26" s="1852"/>
      <c r="EBE26" s="1852"/>
      <c r="EBH26" s="1852"/>
      <c r="EBK26" s="1852"/>
      <c r="EBN26" s="1852"/>
      <c r="EBQ26" s="1852"/>
      <c r="EBT26" s="1852"/>
      <c r="EBW26" s="1852"/>
      <c r="EBZ26" s="1852"/>
      <c r="ECC26" s="1852"/>
      <c r="ECF26" s="1852"/>
      <c r="ECI26" s="1852"/>
      <c r="ECL26" s="1852"/>
      <c r="ECO26" s="1852"/>
      <c r="ECR26" s="1852"/>
      <c r="ECU26" s="1852"/>
      <c r="ECX26" s="1852"/>
      <c r="EDA26" s="1852"/>
      <c r="EDD26" s="1852"/>
      <c r="EDG26" s="1852"/>
      <c r="EDJ26" s="1852"/>
      <c r="EDM26" s="1852"/>
      <c r="EDP26" s="1852"/>
      <c r="EDS26" s="1852"/>
      <c r="EDV26" s="1852"/>
      <c r="EDY26" s="1852"/>
      <c r="EEB26" s="1852"/>
      <c r="EEE26" s="1852"/>
      <c r="EEH26" s="1852"/>
      <c r="EEK26" s="1852"/>
      <c r="EEN26" s="1852"/>
      <c r="EEQ26" s="1852"/>
      <c r="EET26" s="1852"/>
      <c r="EEW26" s="1852"/>
      <c r="EEZ26" s="1852"/>
      <c r="EFC26" s="1852"/>
      <c r="EFF26" s="1852"/>
      <c r="EFI26" s="1852"/>
      <c r="EFL26" s="1852"/>
      <c r="EFO26" s="1852"/>
      <c r="EFR26" s="1852"/>
      <c r="EFU26" s="1852"/>
      <c r="EFX26" s="1852"/>
      <c r="EGA26" s="1852"/>
      <c r="EGD26" s="1852"/>
      <c r="EGG26" s="1852"/>
      <c r="EGJ26" s="1852"/>
      <c r="EGM26" s="1852"/>
      <c r="EGP26" s="1852"/>
      <c r="EGS26" s="1852"/>
      <c r="EGV26" s="1852"/>
      <c r="EGY26" s="1852"/>
      <c r="EHB26" s="1852"/>
      <c r="EHE26" s="1852"/>
      <c r="EHH26" s="1852"/>
      <c r="EHK26" s="1852"/>
      <c r="EHN26" s="1852"/>
      <c r="EHQ26" s="1852"/>
      <c r="EHT26" s="1852"/>
      <c r="EHW26" s="1852"/>
      <c r="EHZ26" s="1852"/>
      <c r="EIC26" s="1852"/>
      <c r="EIF26" s="1852"/>
      <c r="EII26" s="1852"/>
      <c r="EIL26" s="1852"/>
      <c r="EIO26" s="1852"/>
      <c r="EIR26" s="1852"/>
      <c r="EIU26" s="1852"/>
      <c r="EIX26" s="1852"/>
      <c r="EJA26" s="1852"/>
      <c r="EJD26" s="1852"/>
      <c r="EJG26" s="1852"/>
      <c r="EJJ26" s="1852"/>
      <c r="EJM26" s="1852"/>
      <c r="EJP26" s="1852"/>
      <c r="EJS26" s="1852"/>
      <c r="EJV26" s="1852"/>
      <c r="EJY26" s="1852"/>
      <c r="EKB26" s="1852"/>
      <c r="EKE26" s="1852"/>
      <c r="EKH26" s="1852"/>
      <c r="EKK26" s="1852"/>
      <c r="EKN26" s="1852"/>
      <c r="EKQ26" s="1852"/>
      <c r="EKT26" s="1852"/>
      <c r="EKW26" s="1852"/>
      <c r="EKZ26" s="1852"/>
      <c r="ELC26" s="1852"/>
      <c r="ELF26" s="1852"/>
      <c r="ELI26" s="1852"/>
      <c r="ELL26" s="1852"/>
      <c r="ELO26" s="1852"/>
      <c r="ELR26" s="1852"/>
      <c r="ELU26" s="1852"/>
      <c r="ELX26" s="1852"/>
      <c r="EMA26" s="1852"/>
      <c r="EMD26" s="1852"/>
      <c r="EMG26" s="1852"/>
      <c r="EMJ26" s="1852"/>
      <c r="EMM26" s="1852"/>
      <c r="EMP26" s="1852"/>
      <c r="EMS26" s="1852"/>
      <c r="EMV26" s="1852"/>
      <c r="EMY26" s="1852"/>
      <c r="ENB26" s="1852"/>
      <c r="ENE26" s="1852"/>
      <c r="ENH26" s="1852"/>
      <c r="ENK26" s="1852"/>
      <c r="ENN26" s="1852"/>
      <c r="ENQ26" s="1852"/>
      <c r="ENT26" s="1852"/>
      <c r="ENW26" s="1852"/>
      <c r="ENZ26" s="1852"/>
      <c r="EOC26" s="1852"/>
      <c r="EOF26" s="1852"/>
      <c r="EOI26" s="1852"/>
      <c r="EOL26" s="1852"/>
      <c r="EOO26" s="1852"/>
      <c r="EOR26" s="1852"/>
      <c r="EOU26" s="1852"/>
      <c r="EOX26" s="1852"/>
      <c r="EPA26" s="1852"/>
      <c r="EPD26" s="1852"/>
      <c r="EPG26" s="1852"/>
      <c r="EPJ26" s="1852"/>
      <c r="EPM26" s="1852"/>
      <c r="EPP26" s="1852"/>
      <c r="EPS26" s="1852"/>
      <c r="EPV26" s="1852"/>
      <c r="EPY26" s="1852"/>
      <c r="EQB26" s="1852"/>
      <c r="EQE26" s="1852"/>
      <c r="EQH26" s="1852"/>
      <c r="EQK26" s="1852"/>
      <c r="EQN26" s="1852"/>
      <c r="EQQ26" s="1852"/>
      <c r="EQT26" s="1852"/>
      <c r="EQW26" s="1852"/>
      <c r="EQZ26" s="1852"/>
      <c r="ERC26" s="1852"/>
      <c r="ERF26" s="1852"/>
      <c r="ERI26" s="1852"/>
      <c r="ERL26" s="1852"/>
      <c r="ERO26" s="1852"/>
      <c r="ERR26" s="1852"/>
      <c r="ERU26" s="1852"/>
      <c r="ERX26" s="1852"/>
      <c r="ESA26" s="1852"/>
      <c r="ESD26" s="1852"/>
      <c r="ESG26" s="1852"/>
      <c r="ESJ26" s="1852"/>
      <c r="ESM26" s="1852"/>
      <c r="ESP26" s="1852"/>
      <c r="ESS26" s="1852"/>
      <c r="ESV26" s="1852"/>
      <c r="ESY26" s="1852"/>
      <c r="ETB26" s="1852"/>
      <c r="ETE26" s="1852"/>
      <c r="ETH26" s="1852"/>
      <c r="ETK26" s="1852"/>
      <c r="ETN26" s="1852"/>
      <c r="ETQ26" s="1852"/>
      <c r="ETT26" s="1852"/>
      <c r="ETW26" s="1852"/>
      <c r="ETZ26" s="1852"/>
      <c r="EUC26" s="1852"/>
      <c r="EUF26" s="1852"/>
      <c r="EUI26" s="1852"/>
      <c r="EUL26" s="1852"/>
      <c r="EUO26" s="1852"/>
      <c r="EUR26" s="1852"/>
      <c r="EUU26" s="1852"/>
      <c r="EUX26" s="1852"/>
      <c r="EVA26" s="1852"/>
      <c r="EVD26" s="1852"/>
      <c r="EVG26" s="1852"/>
      <c r="EVJ26" s="1852"/>
      <c r="EVM26" s="1852"/>
      <c r="EVP26" s="1852"/>
      <c r="EVS26" s="1852"/>
      <c r="EVV26" s="1852"/>
      <c r="EVY26" s="1852"/>
      <c r="EWB26" s="1852"/>
      <c r="EWE26" s="1852"/>
      <c r="EWH26" s="1852"/>
      <c r="EWK26" s="1852"/>
      <c r="EWN26" s="1852"/>
      <c r="EWQ26" s="1852"/>
      <c r="EWT26" s="1852"/>
      <c r="EWW26" s="1852"/>
      <c r="EWZ26" s="1852"/>
      <c r="EXC26" s="1852"/>
      <c r="EXF26" s="1852"/>
      <c r="EXI26" s="1852"/>
      <c r="EXL26" s="1852"/>
      <c r="EXO26" s="1852"/>
      <c r="EXR26" s="1852"/>
      <c r="EXU26" s="1852"/>
      <c r="EXX26" s="1852"/>
      <c r="EYA26" s="1852"/>
      <c r="EYD26" s="1852"/>
      <c r="EYG26" s="1852"/>
      <c r="EYJ26" s="1852"/>
      <c r="EYM26" s="1852"/>
      <c r="EYP26" s="1852"/>
      <c r="EYS26" s="1852"/>
      <c r="EYV26" s="1852"/>
      <c r="EYY26" s="1852"/>
      <c r="EZB26" s="1852"/>
      <c r="EZE26" s="1852"/>
      <c r="EZH26" s="1852"/>
      <c r="EZK26" s="1852"/>
      <c r="EZN26" s="1852"/>
      <c r="EZQ26" s="1852"/>
      <c r="EZT26" s="1852"/>
      <c r="EZW26" s="1852"/>
      <c r="EZZ26" s="1852"/>
      <c r="FAC26" s="1852"/>
      <c r="FAF26" s="1852"/>
      <c r="FAI26" s="1852"/>
      <c r="FAL26" s="1852"/>
      <c r="FAO26" s="1852"/>
      <c r="FAR26" s="1852"/>
      <c r="FAU26" s="1852"/>
      <c r="FAX26" s="1852"/>
      <c r="FBA26" s="1852"/>
      <c r="FBD26" s="1852"/>
      <c r="FBG26" s="1852"/>
      <c r="FBJ26" s="1852"/>
      <c r="FBM26" s="1852"/>
      <c r="FBP26" s="1852"/>
      <c r="FBS26" s="1852"/>
      <c r="FBV26" s="1852"/>
      <c r="FBY26" s="1852"/>
      <c r="FCB26" s="1852"/>
      <c r="FCE26" s="1852"/>
      <c r="FCH26" s="1852"/>
      <c r="FCK26" s="1852"/>
      <c r="FCN26" s="1852"/>
      <c r="FCQ26" s="1852"/>
      <c r="FCT26" s="1852"/>
      <c r="FCW26" s="1852"/>
      <c r="FCZ26" s="1852"/>
      <c r="FDC26" s="1852"/>
      <c r="FDF26" s="1852"/>
      <c r="FDI26" s="1852"/>
      <c r="FDL26" s="1852"/>
      <c r="FDO26" s="1852"/>
      <c r="FDR26" s="1852"/>
      <c r="FDU26" s="1852"/>
      <c r="FDX26" s="1852"/>
      <c r="FEA26" s="1852"/>
      <c r="FED26" s="1852"/>
      <c r="FEG26" s="1852"/>
      <c r="FEJ26" s="1852"/>
      <c r="FEM26" s="1852"/>
      <c r="FEP26" s="1852"/>
      <c r="FES26" s="1852"/>
      <c r="FEV26" s="1852"/>
      <c r="FEY26" s="1852"/>
      <c r="FFB26" s="1852"/>
      <c r="FFE26" s="1852"/>
      <c r="FFH26" s="1852"/>
      <c r="FFK26" s="1852"/>
      <c r="FFN26" s="1852"/>
      <c r="FFQ26" s="1852"/>
      <c r="FFT26" s="1852"/>
      <c r="FFW26" s="1852"/>
      <c r="FFZ26" s="1852"/>
      <c r="FGC26" s="1852"/>
      <c r="FGF26" s="1852"/>
      <c r="FGI26" s="1852"/>
      <c r="FGL26" s="1852"/>
      <c r="FGO26" s="1852"/>
      <c r="FGR26" s="1852"/>
      <c r="FGU26" s="1852"/>
      <c r="FGX26" s="1852"/>
      <c r="FHA26" s="1852"/>
      <c r="FHD26" s="1852"/>
      <c r="FHG26" s="1852"/>
      <c r="FHJ26" s="1852"/>
      <c r="FHM26" s="1852"/>
      <c r="FHP26" s="1852"/>
      <c r="FHS26" s="1852"/>
      <c r="FHV26" s="1852"/>
      <c r="FHY26" s="1852"/>
      <c r="FIB26" s="1852"/>
      <c r="FIE26" s="1852"/>
      <c r="FIH26" s="1852"/>
      <c r="FIK26" s="1852"/>
      <c r="FIN26" s="1852"/>
      <c r="FIQ26" s="1852"/>
      <c r="FIT26" s="1852"/>
      <c r="FIW26" s="1852"/>
      <c r="FIZ26" s="1852"/>
      <c r="FJC26" s="1852"/>
      <c r="FJF26" s="1852"/>
      <c r="FJI26" s="1852"/>
      <c r="FJL26" s="1852"/>
      <c r="FJO26" s="1852"/>
      <c r="FJR26" s="1852"/>
      <c r="FJU26" s="1852"/>
      <c r="FJX26" s="1852"/>
      <c r="FKA26" s="1852"/>
      <c r="FKD26" s="1852"/>
      <c r="FKG26" s="1852"/>
      <c r="FKJ26" s="1852"/>
      <c r="FKM26" s="1852"/>
      <c r="FKP26" s="1852"/>
      <c r="FKS26" s="1852"/>
      <c r="FKV26" s="1852"/>
      <c r="FKY26" s="1852"/>
      <c r="FLB26" s="1852"/>
      <c r="FLE26" s="1852"/>
      <c r="FLH26" s="1852"/>
      <c r="FLK26" s="1852"/>
      <c r="FLN26" s="1852"/>
      <c r="FLQ26" s="1852"/>
      <c r="FLT26" s="1852"/>
      <c r="FLW26" s="1852"/>
      <c r="FLZ26" s="1852"/>
      <c r="FMC26" s="1852"/>
      <c r="FMF26" s="1852"/>
      <c r="FMI26" s="1852"/>
      <c r="FML26" s="1852"/>
      <c r="FMO26" s="1852"/>
      <c r="FMR26" s="1852"/>
      <c r="FMU26" s="1852"/>
      <c r="FMX26" s="1852"/>
      <c r="FNA26" s="1852"/>
      <c r="FND26" s="1852"/>
      <c r="FNG26" s="1852"/>
      <c r="FNJ26" s="1852"/>
      <c r="FNM26" s="1852"/>
      <c r="FNP26" s="1852"/>
      <c r="FNS26" s="1852"/>
      <c r="FNV26" s="1852"/>
      <c r="FNY26" s="1852"/>
      <c r="FOB26" s="1852"/>
      <c r="FOE26" s="1852"/>
      <c r="FOH26" s="1852"/>
      <c r="FOK26" s="1852"/>
      <c r="FON26" s="1852"/>
      <c r="FOQ26" s="1852"/>
      <c r="FOT26" s="1852"/>
      <c r="FOW26" s="1852"/>
      <c r="FOZ26" s="1852"/>
      <c r="FPC26" s="1852"/>
      <c r="FPF26" s="1852"/>
      <c r="FPI26" s="1852"/>
      <c r="FPL26" s="1852"/>
      <c r="FPO26" s="1852"/>
      <c r="FPR26" s="1852"/>
      <c r="FPU26" s="1852"/>
      <c r="FPX26" s="1852"/>
      <c r="FQA26" s="1852"/>
      <c r="FQD26" s="1852"/>
      <c r="FQG26" s="1852"/>
      <c r="FQJ26" s="1852"/>
      <c r="FQM26" s="1852"/>
      <c r="FQP26" s="1852"/>
      <c r="FQS26" s="1852"/>
      <c r="FQV26" s="1852"/>
      <c r="FQY26" s="1852"/>
      <c r="FRB26" s="1852"/>
      <c r="FRE26" s="1852"/>
      <c r="FRH26" s="1852"/>
      <c r="FRK26" s="1852"/>
      <c r="FRN26" s="1852"/>
      <c r="FRQ26" s="1852"/>
      <c r="FRT26" s="1852"/>
      <c r="FRW26" s="1852"/>
      <c r="FRZ26" s="1852"/>
      <c r="FSC26" s="1852"/>
      <c r="FSF26" s="1852"/>
      <c r="FSI26" s="1852"/>
      <c r="FSL26" s="1852"/>
      <c r="FSO26" s="1852"/>
      <c r="FSR26" s="1852"/>
      <c r="FSU26" s="1852"/>
      <c r="FSX26" s="1852"/>
      <c r="FTA26" s="1852"/>
      <c r="FTD26" s="1852"/>
      <c r="FTG26" s="1852"/>
      <c r="FTJ26" s="1852"/>
      <c r="FTM26" s="1852"/>
      <c r="FTP26" s="1852"/>
      <c r="FTS26" s="1852"/>
      <c r="FTV26" s="1852"/>
      <c r="FTY26" s="1852"/>
      <c r="FUB26" s="1852"/>
      <c r="FUE26" s="1852"/>
      <c r="FUH26" s="1852"/>
      <c r="FUK26" s="1852"/>
      <c r="FUN26" s="1852"/>
      <c r="FUQ26" s="1852"/>
      <c r="FUT26" s="1852"/>
      <c r="FUW26" s="1852"/>
      <c r="FUZ26" s="1852"/>
      <c r="FVC26" s="1852"/>
      <c r="FVF26" s="1852"/>
      <c r="FVI26" s="1852"/>
      <c r="FVL26" s="1852"/>
      <c r="FVO26" s="1852"/>
      <c r="FVR26" s="1852"/>
      <c r="FVU26" s="1852"/>
      <c r="FVX26" s="1852"/>
      <c r="FWA26" s="1852"/>
      <c r="FWD26" s="1852"/>
      <c r="FWG26" s="1852"/>
      <c r="FWJ26" s="1852"/>
      <c r="FWM26" s="1852"/>
      <c r="FWP26" s="1852"/>
      <c r="FWS26" s="1852"/>
      <c r="FWV26" s="1852"/>
      <c r="FWY26" s="1852"/>
      <c r="FXB26" s="1852"/>
      <c r="FXE26" s="1852"/>
      <c r="FXH26" s="1852"/>
      <c r="FXK26" s="1852"/>
      <c r="FXN26" s="1852"/>
      <c r="FXQ26" s="1852"/>
      <c r="FXT26" s="1852"/>
      <c r="FXW26" s="1852"/>
      <c r="FXZ26" s="1852"/>
      <c r="FYC26" s="1852"/>
      <c r="FYF26" s="1852"/>
      <c r="FYI26" s="1852"/>
      <c r="FYL26" s="1852"/>
      <c r="FYO26" s="1852"/>
      <c r="FYR26" s="1852"/>
      <c r="FYU26" s="1852"/>
      <c r="FYX26" s="1852"/>
      <c r="FZA26" s="1852"/>
      <c r="FZD26" s="1852"/>
      <c r="FZG26" s="1852"/>
      <c r="FZJ26" s="1852"/>
      <c r="FZM26" s="1852"/>
      <c r="FZP26" s="1852"/>
      <c r="FZS26" s="1852"/>
      <c r="FZV26" s="1852"/>
      <c r="FZY26" s="1852"/>
      <c r="GAB26" s="1852"/>
      <c r="GAE26" s="1852"/>
      <c r="GAH26" s="1852"/>
      <c r="GAK26" s="1852"/>
      <c r="GAN26" s="1852"/>
      <c r="GAQ26" s="1852"/>
      <c r="GAT26" s="1852"/>
      <c r="GAW26" s="1852"/>
      <c r="GAZ26" s="1852"/>
      <c r="GBC26" s="1852"/>
      <c r="GBF26" s="1852"/>
      <c r="GBI26" s="1852"/>
      <c r="GBL26" s="1852"/>
      <c r="GBO26" s="1852"/>
      <c r="GBR26" s="1852"/>
      <c r="GBU26" s="1852"/>
      <c r="GBX26" s="1852"/>
      <c r="GCA26" s="1852"/>
      <c r="GCD26" s="1852"/>
      <c r="GCG26" s="1852"/>
      <c r="GCJ26" s="1852"/>
      <c r="GCM26" s="1852"/>
      <c r="GCP26" s="1852"/>
      <c r="GCS26" s="1852"/>
      <c r="GCV26" s="1852"/>
      <c r="GCY26" s="1852"/>
      <c r="GDB26" s="1852"/>
      <c r="GDE26" s="1852"/>
      <c r="GDH26" s="1852"/>
      <c r="GDK26" s="1852"/>
      <c r="GDN26" s="1852"/>
      <c r="GDQ26" s="1852"/>
      <c r="GDT26" s="1852"/>
      <c r="GDW26" s="1852"/>
      <c r="GDZ26" s="1852"/>
      <c r="GEC26" s="1852"/>
      <c r="GEF26" s="1852"/>
      <c r="GEI26" s="1852"/>
      <c r="GEL26" s="1852"/>
      <c r="GEO26" s="1852"/>
      <c r="GER26" s="1852"/>
      <c r="GEU26" s="1852"/>
      <c r="GEX26" s="1852"/>
      <c r="GFA26" s="1852"/>
      <c r="GFD26" s="1852"/>
      <c r="GFG26" s="1852"/>
      <c r="GFJ26" s="1852"/>
      <c r="GFM26" s="1852"/>
      <c r="GFP26" s="1852"/>
      <c r="GFS26" s="1852"/>
      <c r="GFV26" s="1852"/>
      <c r="GFY26" s="1852"/>
      <c r="GGB26" s="1852"/>
      <c r="GGE26" s="1852"/>
      <c r="GGH26" s="1852"/>
      <c r="GGK26" s="1852"/>
      <c r="GGN26" s="1852"/>
      <c r="GGQ26" s="1852"/>
      <c r="GGT26" s="1852"/>
      <c r="GGW26" s="1852"/>
      <c r="GGZ26" s="1852"/>
      <c r="GHC26" s="1852"/>
      <c r="GHF26" s="1852"/>
      <c r="GHI26" s="1852"/>
      <c r="GHL26" s="1852"/>
      <c r="GHO26" s="1852"/>
      <c r="GHR26" s="1852"/>
      <c r="GHU26" s="1852"/>
      <c r="GHX26" s="1852"/>
      <c r="GIA26" s="1852"/>
      <c r="GID26" s="1852"/>
      <c r="GIG26" s="1852"/>
      <c r="GIJ26" s="1852"/>
      <c r="GIM26" s="1852"/>
      <c r="GIP26" s="1852"/>
      <c r="GIS26" s="1852"/>
      <c r="GIV26" s="1852"/>
      <c r="GIY26" s="1852"/>
      <c r="GJB26" s="1852"/>
      <c r="GJE26" s="1852"/>
      <c r="GJH26" s="1852"/>
      <c r="GJK26" s="1852"/>
      <c r="GJN26" s="1852"/>
      <c r="GJQ26" s="1852"/>
      <c r="GJT26" s="1852"/>
      <c r="GJW26" s="1852"/>
      <c r="GJZ26" s="1852"/>
      <c r="GKC26" s="1852"/>
      <c r="GKF26" s="1852"/>
      <c r="GKI26" s="1852"/>
      <c r="GKL26" s="1852"/>
      <c r="GKO26" s="1852"/>
      <c r="GKR26" s="1852"/>
      <c r="GKU26" s="1852"/>
      <c r="GKX26" s="1852"/>
      <c r="GLA26" s="1852"/>
      <c r="GLD26" s="1852"/>
      <c r="GLG26" s="1852"/>
      <c r="GLJ26" s="1852"/>
      <c r="GLM26" s="1852"/>
      <c r="GLP26" s="1852"/>
      <c r="GLS26" s="1852"/>
      <c r="GLV26" s="1852"/>
      <c r="GLY26" s="1852"/>
      <c r="GMB26" s="1852"/>
      <c r="GME26" s="1852"/>
      <c r="GMH26" s="1852"/>
      <c r="GMK26" s="1852"/>
      <c r="GMN26" s="1852"/>
      <c r="GMQ26" s="1852"/>
      <c r="GMT26" s="1852"/>
      <c r="GMW26" s="1852"/>
      <c r="GMZ26" s="1852"/>
      <c r="GNC26" s="1852"/>
      <c r="GNF26" s="1852"/>
      <c r="GNI26" s="1852"/>
      <c r="GNL26" s="1852"/>
      <c r="GNO26" s="1852"/>
      <c r="GNR26" s="1852"/>
      <c r="GNU26" s="1852"/>
      <c r="GNX26" s="1852"/>
      <c r="GOA26" s="1852"/>
      <c r="GOD26" s="1852"/>
      <c r="GOG26" s="1852"/>
      <c r="GOJ26" s="1852"/>
      <c r="GOM26" s="1852"/>
      <c r="GOP26" s="1852"/>
      <c r="GOS26" s="1852"/>
      <c r="GOV26" s="1852"/>
      <c r="GOY26" s="1852"/>
      <c r="GPB26" s="1852"/>
      <c r="GPE26" s="1852"/>
      <c r="GPH26" s="1852"/>
      <c r="GPK26" s="1852"/>
      <c r="GPN26" s="1852"/>
      <c r="GPQ26" s="1852"/>
      <c r="GPT26" s="1852"/>
      <c r="GPW26" s="1852"/>
      <c r="GPZ26" s="1852"/>
      <c r="GQC26" s="1852"/>
      <c r="GQF26" s="1852"/>
      <c r="GQI26" s="1852"/>
      <c r="GQL26" s="1852"/>
      <c r="GQO26" s="1852"/>
      <c r="GQR26" s="1852"/>
      <c r="GQU26" s="1852"/>
      <c r="GQX26" s="1852"/>
      <c r="GRA26" s="1852"/>
      <c r="GRD26" s="1852"/>
      <c r="GRG26" s="1852"/>
      <c r="GRJ26" s="1852"/>
      <c r="GRM26" s="1852"/>
      <c r="GRP26" s="1852"/>
      <c r="GRS26" s="1852"/>
      <c r="GRV26" s="1852"/>
      <c r="GRY26" s="1852"/>
      <c r="GSB26" s="1852"/>
      <c r="GSE26" s="1852"/>
      <c r="GSH26" s="1852"/>
      <c r="GSK26" s="1852"/>
      <c r="GSN26" s="1852"/>
      <c r="GSQ26" s="1852"/>
      <c r="GST26" s="1852"/>
      <c r="GSW26" s="1852"/>
      <c r="GSZ26" s="1852"/>
      <c r="GTC26" s="1852"/>
      <c r="GTF26" s="1852"/>
      <c r="GTI26" s="1852"/>
      <c r="GTL26" s="1852"/>
      <c r="GTO26" s="1852"/>
      <c r="GTR26" s="1852"/>
      <c r="GTU26" s="1852"/>
      <c r="GTX26" s="1852"/>
      <c r="GUA26" s="1852"/>
      <c r="GUD26" s="1852"/>
      <c r="GUG26" s="1852"/>
      <c r="GUJ26" s="1852"/>
      <c r="GUM26" s="1852"/>
      <c r="GUP26" s="1852"/>
      <c r="GUS26" s="1852"/>
      <c r="GUV26" s="1852"/>
      <c r="GUY26" s="1852"/>
      <c r="GVB26" s="1852"/>
      <c r="GVE26" s="1852"/>
      <c r="GVH26" s="1852"/>
      <c r="GVK26" s="1852"/>
      <c r="GVN26" s="1852"/>
      <c r="GVQ26" s="1852"/>
      <c r="GVT26" s="1852"/>
      <c r="GVW26" s="1852"/>
      <c r="GVZ26" s="1852"/>
      <c r="GWC26" s="1852"/>
      <c r="GWF26" s="1852"/>
      <c r="GWI26" s="1852"/>
      <c r="GWL26" s="1852"/>
      <c r="GWO26" s="1852"/>
      <c r="GWR26" s="1852"/>
      <c r="GWU26" s="1852"/>
      <c r="GWX26" s="1852"/>
      <c r="GXA26" s="1852"/>
      <c r="GXD26" s="1852"/>
      <c r="GXG26" s="1852"/>
      <c r="GXJ26" s="1852"/>
      <c r="GXM26" s="1852"/>
      <c r="GXP26" s="1852"/>
      <c r="GXS26" s="1852"/>
      <c r="GXV26" s="1852"/>
      <c r="GXY26" s="1852"/>
      <c r="GYB26" s="1852"/>
      <c r="GYE26" s="1852"/>
      <c r="GYH26" s="1852"/>
      <c r="GYK26" s="1852"/>
      <c r="GYN26" s="1852"/>
      <c r="GYQ26" s="1852"/>
      <c r="GYT26" s="1852"/>
      <c r="GYW26" s="1852"/>
      <c r="GYZ26" s="1852"/>
      <c r="GZC26" s="1852"/>
      <c r="GZF26" s="1852"/>
      <c r="GZI26" s="1852"/>
      <c r="GZL26" s="1852"/>
      <c r="GZO26" s="1852"/>
      <c r="GZR26" s="1852"/>
      <c r="GZU26" s="1852"/>
      <c r="GZX26" s="1852"/>
      <c r="HAA26" s="1852"/>
      <c r="HAD26" s="1852"/>
      <c r="HAG26" s="1852"/>
      <c r="HAJ26" s="1852"/>
      <c r="HAM26" s="1852"/>
      <c r="HAP26" s="1852"/>
      <c r="HAS26" s="1852"/>
      <c r="HAV26" s="1852"/>
      <c r="HAY26" s="1852"/>
      <c r="HBB26" s="1852"/>
      <c r="HBE26" s="1852"/>
      <c r="HBH26" s="1852"/>
      <c r="HBK26" s="1852"/>
      <c r="HBN26" s="1852"/>
      <c r="HBQ26" s="1852"/>
      <c r="HBT26" s="1852"/>
      <c r="HBW26" s="1852"/>
      <c r="HBZ26" s="1852"/>
      <c r="HCC26" s="1852"/>
      <c r="HCF26" s="1852"/>
      <c r="HCI26" s="1852"/>
      <c r="HCL26" s="1852"/>
      <c r="HCO26" s="1852"/>
      <c r="HCR26" s="1852"/>
      <c r="HCU26" s="1852"/>
      <c r="HCX26" s="1852"/>
      <c r="HDA26" s="1852"/>
      <c r="HDD26" s="1852"/>
      <c r="HDG26" s="1852"/>
      <c r="HDJ26" s="1852"/>
      <c r="HDM26" s="1852"/>
      <c r="HDP26" s="1852"/>
      <c r="HDS26" s="1852"/>
      <c r="HDV26" s="1852"/>
      <c r="HDY26" s="1852"/>
      <c r="HEB26" s="1852"/>
      <c r="HEE26" s="1852"/>
      <c r="HEH26" s="1852"/>
      <c r="HEK26" s="1852"/>
      <c r="HEN26" s="1852"/>
      <c r="HEQ26" s="1852"/>
      <c r="HET26" s="1852"/>
      <c r="HEW26" s="1852"/>
      <c r="HEZ26" s="1852"/>
      <c r="HFC26" s="1852"/>
      <c r="HFF26" s="1852"/>
      <c r="HFI26" s="1852"/>
      <c r="HFL26" s="1852"/>
      <c r="HFO26" s="1852"/>
      <c r="HFR26" s="1852"/>
      <c r="HFU26" s="1852"/>
      <c r="HFX26" s="1852"/>
      <c r="HGA26" s="1852"/>
      <c r="HGD26" s="1852"/>
      <c r="HGG26" s="1852"/>
      <c r="HGJ26" s="1852"/>
      <c r="HGM26" s="1852"/>
      <c r="HGP26" s="1852"/>
      <c r="HGS26" s="1852"/>
      <c r="HGV26" s="1852"/>
      <c r="HGY26" s="1852"/>
      <c r="HHB26" s="1852"/>
      <c r="HHE26" s="1852"/>
      <c r="HHH26" s="1852"/>
      <c r="HHK26" s="1852"/>
      <c r="HHN26" s="1852"/>
      <c r="HHQ26" s="1852"/>
      <c r="HHT26" s="1852"/>
      <c r="HHW26" s="1852"/>
      <c r="HHZ26" s="1852"/>
      <c r="HIC26" s="1852"/>
      <c r="HIF26" s="1852"/>
      <c r="HII26" s="1852"/>
      <c r="HIL26" s="1852"/>
      <c r="HIO26" s="1852"/>
      <c r="HIR26" s="1852"/>
      <c r="HIU26" s="1852"/>
      <c r="HIX26" s="1852"/>
      <c r="HJA26" s="1852"/>
      <c r="HJD26" s="1852"/>
      <c r="HJG26" s="1852"/>
      <c r="HJJ26" s="1852"/>
      <c r="HJM26" s="1852"/>
      <c r="HJP26" s="1852"/>
      <c r="HJS26" s="1852"/>
      <c r="HJV26" s="1852"/>
      <c r="HJY26" s="1852"/>
      <c r="HKB26" s="1852"/>
      <c r="HKE26" s="1852"/>
      <c r="HKH26" s="1852"/>
      <c r="HKK26" s="1852"/>
      <c r="HKN26" s="1852"/>
      <c r="HKQ26" s="1852"/>
      <c r="HKT26" s="1852"/>
      <c r="HKW26" s="1852"/>
      <c r="HKZ26" s="1852"/>
      <c r="HLC26" s="1852"/>
      <c r="HLF26" s="1852"/>
      <c r="HLI26" s="1852"/>
      <c r="HLL26" s="1852"/>
      <c r="HLO26" s="1852"/>
      <c r="HLR26" s="1852"/>
      <c r="HLU26" s="1852"/>
      <c r="HLX26" s="1852"/>
      <c r="HMA26" s="1852"/>
      <c r="HMD26" s="1852"/>
      <c r="HMG26" s="1852"/>
      <c r="HMJ26" s="1852"/>
      <c r="HMM26" s="1852"/>
      <c r="HMP26" s="1852"/>
      <c r="HMS26" s="1852"/>
      <c r="HMV26" s="1852"/>
      <c r="HMY26" s="1852"/>
      <c r="HNB26" s="1852"/>
      <c r="HNE26" s="1852"/>
      <c r="HNH26" s="1852"/>
      <c r="HNK26" s="1852"/>
      <c r="HNN26" s="1852"/>
      <c r="HNQ26" s="1852"/>
      <c r="HNT26" s="1852"/>
      <c r="HNW26" s="1852"/>
      <c r="HNZ26" s="1852"/>
      <c r="HOC26" s="1852"/>
      <c r="HOF26" s="1852"/>
      <c r="HOI26" s="1852"/>
      <c r="HOL26" s="1852"/>
      <c r="HOO26" s="1852"/>
      <c r="HOR26" s="1852"/>
      <c r="HOU26" s="1852"/>
      <c r="HOX26" s="1852"/>
      <c r="HPA26" s="1852"/>
      <c r="HPD26" s="1852"/>
      <c r="HPG26" s="1852"/>
      <c r="HPJ26" s="1852"/>
      <c r="HPM26" s="1852"/>
      <c r="HPP26" s="1852"/>
      <c r="HPS26" s="1852"/>
      <c r="HPV26" s="1852"/>
      <c r="HPY26" s="1852"/>
      <c r="HQB26" s="1852"/>
      <c r="HQE26" s="1852"/>
      <c r="HQH26" s="1852"/>
      <c r="HQK26" s="1852"/>
      <c r="HQN26" s="1852"/>
      <c r="HQQ26" s="1852"/>
      <c r="HQT26" s="1852"/>
      <c r="HQW26" s="1852"/>
      <c r="HQZ26" s="1852"/>
      <c r="HRC26" s="1852"/>
      <c r="HRF26" s="1852"/>
      <c r="HRI26" s="1852"/>
      <c r="HRL26" s="1852"/>
      <c r="HRO26" s="1852"/>
      <c r="HRR26" s="1852"/>
      <c r="HRU26" s="1852"/>
      <c r="HRX26" s="1852"/>
      <c r="HSA26" s="1852"/>
      <c r="HSD26" s="1852"/>
      <c r="HSG26" s="1852"/>
      <c r="HSJ26" s="1852"/>
      <c r="HSM26" s="1852"/>
      <c r="HSP26" s="1852"/>
      <c r="HSS26" s="1852"/>
      <c r="HSV26" s="1852"/>
      <c r="HSY26" s="1852"/>
      <c r="HTB26" s="1852"/>
      <c r="HTE26" s="1852"/>
      <c r="HTH26" s="1852"/>
      <c r="HTK26" s="1852"/>
      <c r="HTN26" s="1852"/>
      <c r="HTQ26" s="1852"/>
      <c r="HTT26" s="1852"/>
      <c r="HTW26" s="1852"/>
      <c r="HTZ26" s="1852"/>
      <c r="HUC26" s="1852"/>
      <c r="HUF26" s="1852"/>
      <c r="HUI26" s="1852"/>
      <c r="HUL26" s="1852"/>
      <c r="HUO26" s="1852"/>
      <c r="HUR26" s="1852"/>
      <c r="HUU26" s="1852"/>
      <c r="HUX26" s="1852"/>
      <c r="HVA26" s="1852"/>
      <c r="HVD26" s="1852"/>
      <c r="HVG26" s="1852"/>
      <c r="HVJ26" s="1852"/>
      <c r="HVM26" s="1852"/>
      <c r="HVP26" s="1852"/>
      <c r="HVS26" s="1852"/>
      <c r="HVV26" s="1852"/>
      <c r="HVY26" s="1852"/>
      <c r="HWB26" s="1852"/>
      <c r="HWE26" s="1852"/>
      <c r="HWH26" s="1852"/>
      <c r="HWK26" s="1852"/>
      <c r="HWN26" s="1852"/>
      <c r="HWQ26" s="1852"/>
      <c r="HWT26" s="1852"/>
      <c r="HWW26" s="1852"/>
      <c r="HWZ26" s="1852"/>
      <c r="HXC26" s="1852"/>
      <c r="HXF26" s="1852"/>
      <c r="HXI26" s="1852"/>
      <c r="HXL26" s="1852"/>
      <c r="HXO26" s="1852"/>
      <c r="HXR26" s="1852"/>
      <c r="HXU26" s="1852"/>
      <c r="HXX26" s="1852"/>
      <c r="HYA26" s="1852"/>
      <c r="HYD26" s="1852"/>
      <c r="HYG26" s="1852"/>
      <c r="HYJ26" s="1852"/>
      <c r="HYM26" s="1852"/>
      <c r="HYP26" s="1852"/>
      <c r="HYS26" s="1852"/>
      <c r="HYV26" s="1852"/>
      <c r="HYY26" s="1852"/>
      <c r="HZB26" s="1852"/>
      <c r="HZE26" s="1852"/>
      <c r="HZH26" s="1852"/>
      <c r="HZK26" s="1852"/>
      <c r="HZN26" s="1852"/>
      <c r="HZQ26" s="1852"/>
      <c r="HZT26" s="1852"/>
      <c r="HZW26" s="1852"/>
      <c r="HZZ26" s="1852"/>
      <c r="IAC26" s="1852"/>
      <c r="IAF26" s="1852"/>
      <c r="IAI26" s="1852"/>
      <c r="IAL26" s="1852"/>
      <c r="IAO26" s="1852"/>
      <c r="IAR26" s="1852"/>
      <c r="IAU26" s="1852"/>
      <c r="IAX26" s="1852"/>
      <c r="IBA26" s="1852"/>
      <c r="IBD26" s="1852"/>
      <c r="IBG26" s="1852"/>
      <c r="IBJ26" s="1852"/>
      <c r="IBM26" s="1852"/>
      <c r="IBP26" s="1852"/>
      <c r="IBS26" s="1852"/>
      <c r="IBV26" s="1852"/>
      <c r="IBY26" s="1852"/>
      <c r="ICB26" s="1852"/>
      <c r="ICE26" s="1852"/>
      <c r="ICH26" s="1852"/>
      <c r="ICK26" s="1852"/>
      <c r="ICN26" s="1852"/>
      <c r="ICQ26" s="1852"/>
      <c r="ICT26" s="1852"/>
      <c r="ICW26" s="1852"/>
      <c r="ICZ26" s="1852"/>
      <c r="IDC26" s="1852"/>
      <c r="IDF26" s="1852"/>
      <c r="IDI26" s="1852"/>
      <c r="IDL26" s="1852"/>
      <c r="IDO26" s="1852"/>
      <c r="IDR26" s="1852"/>
      <c r="IDU26" s="1852"/>
      <c r="IDX26" s="1852"/>
      <c r="IEA26" s="1852"/>
      <c r="IED26" s="1852"/>
      <c r="IEG26" s="1852"/>
      <c r="IEJ26" s="1852"/>
      <c r="IEM26" s="1852"/>
      <c r="IEP26" s="1852"/>
      <c r="IES26" s="1852"/>
      <c r="IEV26" s="1852"/>
      <c r="IEY26" s="1852"/>
      <c r="IFB26" s="1852"/>
      <c r="IFE26" s="1852"/>
      <c r="IFH26" s="1852"/>
      <c r="IFK26" s="1852"/>
      <c r="IFN26" s="1852"/>
      <c r="IFQ26" s="1852"/>
      <c r="IFT26" s="1852"/>
      <c r="IFW26" s="1852"/>
      <c r="IFZ26" s="1852"/>
      <c r="IGC26" s="1852"/>
      <c r="IGF26" s="1852"/>
      <c r="IGI26" s="1852"/>
      <c r="IGL26" s="1852"/>
      <c r="IGO26" s="1852"/>
      <c r="IGR26" s="1852"/>
      <c r="IGU26" s="1852"/>
      <c r="IGX26" s="1852"/>
      <c r="IHA26" s="1852"/>
      <c r="IHD26" s="1852"/>
      <c r="IHG26" s="1852"/>
      <c r="IHJ26" s="1852"/>
      <c r="IHM26" s="1852"/>
      <c r="IHP26" s="1852"/>
      <c r="IHS26" s="1852"/>
      <c r="IHV26" s="1852"/>
      <c r="IHY26" s="1852"/>
      <c r="IIB26" s="1852"/>
      <c r="IIE26" s="1852"/>
      <c r="IIH26" s="1852"/>
      <c r="IIK26" s="1852"/>
      <c r="IIN26" s="1852"/>
      <c r="IIQ26" s="1852"/>
      <c r="IIT26" s="1852"/>
      <c r="IIW26" s="1852"/>
      <c r="IIZ26" s="1852"/>
      <c r="IJC26" s="1852"/>
      <c r="IJF26" s="1852"/>
      <c r="IJI26" s="1852"/>
      <c r="IJL26" s="1852"/>
      <c r="IJO26" s="1852"/>
      <c r="IJR26" s="1852"/>
      <c r="IJU26" s="1852"/>
      <c r="IJX26" s="1852"/>
      <c r="IKA26" s="1852"/>
      <c r="IKD26" s="1852"/>
      <c r="IKG26" s="1852"/>
      <c r="IKJ26" s="1852"/>
      <c r="IKM26" s="1852"/>
      <c r="IKP26" s="1852"/>
      <c r="IKS26" s="1852"/>
      <c r="IKV26" s="1852"/>
      <c r="IKY26" s="1852"/>
      <c r="ILB26" s="1852"/>
      <c r="ILE26" s="1852"/>
      <c r="ILH26" s="1852"/>
      <c r="ILK26" s="1852"/>
      <c r="ILN26" s="1852"/>
      <c r="ILQ26" s="1852"/>
      <c r="ILT26" s="1852"/>
      <c r="ILW26" s="1852"/>
      <c r="ILZ26" s="1852"/>
      <c r="IMC26" s="1852"/>
      <c r="IMF26" s="1852"/>
      <c r="IMI26" s="1852"/>
      <c r="IML26" s="1852"/>
      <c r="IMO26" s="1852"/>
      <c r="IMR26" s="1852"/>
      <c r="IMU26" s="1852"/>
      <c r="IMX26" s="1852"/>
      <c r="INA26" s="1852"/>
      <c r="IND26" s="1852"/>
      <c r="ING26" s="1852"/>
      <c r="INJ26" s="1852"/>
      <c r="INM26" s="1852"/>
      <c r="INP26" s="1852"/>
      <c r="INS26" s="1852"/>
      <c r="INV26" s="1852"/>
      <c r="INY26" s="1852"/>
      <c r="IOB26" s="1852"/>
      <c r="IOE26" s="1852"/>
      <c r="IOH26" s="1852"/>
      <c r="IOK26" s="1852"/>
      <c r="ION26" s="1852"/>
      <c r="IOQ26" s="1852"/>
      <c r="IOT26" s="1852"/>
      <c r="IOW26" s="1852"/>
      <c r="IOZ26" s="1852"/>
      <c r="IPC26" s="1852"/>
      <c r="IPF26" s="1852"/>
      <c r="IPI26" s="1852"/>
      <c r="IPL26" s="1852"/>
      <c r="IPO26" s="1852"/>
      <c r="IPR26" s="1852"/>
      <c r="IPU26" s="1852"/>
      <c r="IPX26" s="1852"/>
      <c r="IQA26" s="1852"/>
      <c r="IQD26" s="1852"/>
      <c r="IQG26" s="1852"/>
      <c r="IQJ26" s="1852"/>
      <c r="IQM26" s="1852"/>
      <c r="IQP26" s="1852"/>
      <c r="IQS26" s="1852"/>
      <c r="IQV26" s="1852"/>
      <c r="IQY26" s="1852"/>
      <c r="IRB26" s="1852"/>
      <c r="IRE26" s="1852"/>
      <c r="IRH26" s="1852"/>
      <c r="IRK26" s="1852"/>
      <c r="IRN26" s="1852"/>
      <c r="IRQ26" s="1852"/>
      <c r="IRT26" s="1852"/>
      <c r="IRW26" s="1852"/>
      <c r="IRZ26" s="1852"/>
      <c r="ISC26" s="1852"/>
      <c r="ISF26" s="1852"/>
      <c r="ISI26" s="1852"/>
      <c r="ISL26" s="1852"/>
      <c r="ISO26" s="1852"/>
      <c r="ISR26" s="1852"/>
      <c r="ISU26" s="1852"/>
      <c r="ISX26" s="1852"/>
      <c r="ITA26" s="1852"/>
      <c r="ITD26" s="1852"/>
      <c r="ITG26" s="1852"/>
      <c r="ITJ26" s="1852"/>
      <c r="ITM26" s="1852"/>
      <c r="ITP26" s="1852"/>
      <c r="ITS26" s="1852"/>
      <c r="ITV26" s="1852"/>
      <c r="ITY26" s="1852"/>
      <c r="IUB26" s="1852"/>
      <c r="IUE26" s="1852"/>
      <c r="IUH26" s="1852"/>
      <c r="IUK26" s="1852"/>
      <c r="IUN26" s="1852"/>
      <c r="IUQ26" s="1852"/>
      <c r="IUT26" s="1852"/>
      <c r="IUW26" s="1852"/>
      <c r="IUZ26" s="1852"/>
      <c r="IVC26" s="1852"/>
      <c r="IVF26" s="1852"/>
      <c r="IVI26" s="1852"/>
      <c r="IVL26" s="1852"/>
      <c r="IVO26" s="1852"/>
      <c r="IVR26" s="1852"/>
      <c r="IVU26" s="1852"/>
      <c r="IVX26" s="1852"/>
      <c r="IWA26" s="1852"/>
      <c r="IWD26" s="1852"/>
      <c r="IWG26" s="1852"/>
      <c r="IWJ26" s="1852"/>
      <c r="IWM26" s="1852"/>
      <c r="IWP26" s="1852"/>
      <c r="IWS26" s="1852"/>
      <c r="IWV26" s="1852"/>
      <c r="IWY26" s="1852"/>
      <c r="IXB26" s="1852"/>
      <c r="IXE26" s="1852"/>
      <c r="IXH26" s="1852"/>
      <c r="IXK26" s="1852"/>
      <c r="IXN26" s="1852"/>
      <c r="IXQ26" s="1852"/>
      <c r="IXT26" s="1852"/>
      <c r="IXW26" s="1852"/>
      <c r="IXZ26" s="1852"/>
      <c r="IYC26" s="1852"/>
      <c r="IYF26" s="1852"/>
      <c r="IYI26" s="1852"/>
      <c r="IYL26" s="1852"/>
      <c r="IYO26" s="1852"/>
      <c r="IYR26" s="1852"/>
      <c r="IYU26" s="1852"/>
      <c r="IYX26" s="1852"/>
      <c r="IZA26" s="1852"/>
      <c r="IZD26" s="1852"/>
      <c r="IZG26" s="1852"/>
      <c r="IZJ26" s="1852"/>
      <c r="IZM26" s="1852"/>
      <c r="IZP26" s="1852"/>
      <c r="IZS26" s="1852"/>
      <c r="IZV26" s="1852"/>
      <c r="IZY26" s="1852"/>
      <c r="JAB26" s="1852"/>
      <c r="JAE26" s="1852"/>
      <c r="JAH26" s="1852"/>
      <c r="JAK26" s="1852"/>
      <c r="JAN26" s="1852"/>
      <c r="JAQ26" s="1852"/>
      <c r="JAT26" s="1852"/>
      <c r="JAW26" s="1852"/>
      <c r="JAZ26" s="1852"/>
      <c r="JBC26" s="1852"/>
      <c r="JBF26" s="1852"/>
      <c r="JBI26" s="1852"/>
      <c r="JBL26" s="1852"/>
      <c r="JBO26" s="1852"/>
      <c r="JBR26" s="1852"/>
      <c r="JBU26" s="1852"/>
      <c r="JBX26" s="1852"/>
      <c r="JCA26" s="1852"/>
      <c r="JCD26" s="1852"/>
      <c r="JCG26" s="1852"/>
      <c r="JCJ26" s="1852"/>
      <c r="JCM26" s="1852"/>
      <c r="JCP26" s="1852"/>
      <c r="JCS26" s="1852"/>
      <c r="JCV26" s="1852"/>
      <c r="JCY26" s="1852"/>
      <c r="JDB26" s="1852"/>
      <c r="JDE26" s="1852"/>
      <c r="JDH26" s="1852"/>
      <c r="JDK26" s="1852"/>
      <c r="JDN26" s="1852"/>
      <c r="JDQ26" s="1852"/>
      <c r="JDT26" s="1852"/>
      <c r="JDW26" s="1852"/>
      <c r="JDZ26" s="1852"/>
      <c r="JEC26" s="1852"/>
      <c r="JEF26" s="1852"/>
      <c r="JEI26" s="1852"/>
      <c r="JEL26" s="1852"/>
      <c r="JEO26" s="1852"/>
      <c r="JER26" s="1852"/>
      <c r="JEU26" s="1852"/>
      <c r="JEX26" s="1852"/>
      <c r="JFA26" s="1852"/>
      <c r="JFD26" s="1852"/>
      <c r="JFG26" s="1852"/>
      <c r="JFJ26" s="1852"/>
      <c r="JFM26" s="1852"/>
      <c r="JFP26" s="1852"/>
      <c r="JFS26" s="1852"/>
      <c r="JFV26" s="1852"/>
      <c r="JFY26" s="1852"/>
      <c r="JGB26" s="1852"/>
      <c r="JGE26" s="1852"/>
      <c r="JGH26" s="1852"/>
      <c r="JGK26" s="1852"/>
      <c r="JGN26" s="1852"/>
      <c r="JGQ26" s="1852"/>
      <c r="JGT26" s="1852"/>
      <c r="JGW26" s="1852"/>
      <c r="JGZ26" s="1852"/>
      <c r="JHC26" s="1852"/>
      <c r="JHF26" s="1852"/>
      <c r="JHI26" s="1852"/>
      <c r="JHL26" s="1852"/>
      <c r="JHO26" s="1852"/>
      <c r="JHR26" s="1852"/>
      <c r="JHU26" s="1852"/>
      <c r="JHX26" s="1852"/>
      <c r="JIA26" s="1852"/>
      <c r="JID26" s="1852"/>
      <c r="JIG26" s="1852"/>
      <c r="JIJ26" s="1852"/>
      <c r="JIM26" s="1852"/>
      <c r="JIP26" s="1852"/>
      <c r="JIS26" s="1852"/>
      <c r="JIV26" s="1852"/>
      <c r="JIY26" s="1852"/>
      <c r="JJB26" s="1852"/>
      <c r="JJE26" s="1852"/>
      <c r="JJH26" s="1852"/>
      <c r="JJK26" s="1852"/>
      <c r="JJN26" s="1852"/>
      <c r="JJQ26" s="1852"/>
      <c r="JJT26" s="1852"/>
      <c r="JJW26" s="1852"/>
      <c r="JJZ26" s="1852"/>
      <c r="JKC26" s="1852"/>
      <c r="JKF26" s="1852"/>
      <c r="JKI26" s="1852"/>
      <c r="JKL26" s="1852"/>
      <c r="JKO26" s="1852"/>
      <c r="JKR26" s="1852"/>
      <c r="JKU26" s="1852"/>
      <c r="JKX26" s="1852"/>
      <c r="JLA26" s="1852"/>
      <c r="JLD26" s="1852"/>
      <c r="JLG26" s="1852"/>
      <c r="JLJ26" s="1852"/>
      <c r="JLM26" s="1852"/>
      <c r="JLP26" s="1852"/>
      <c r="JLS26" s="1852"/>
      <c r="JLV26" s="1852"/>
      <c r="JLY26" s="1852"/>
      <c r="JMB26" s="1852"/>
      <c r="JME26" s="1852"/>
      <c r="JMH26" s="1852"/>
      <c r="JMK26" s="1852"/>
      <c r="JMN26" s="1852"/>
      <c r="JMQ26" s="1852"/>
      <c r="JMT26" s="1852"/>
      <c r="JMW26" s="1852"/>
      <c r="JMZ26" s="1852"/>
      <c r="JNC26" s="1852"/>
      <c r="JNF26" s="1852"/>
      <c r="JNI26" s="1852"/>
      <c r="JNL26" s="1852"/>
      <c r="JNO26" s="1852"/>
      <c r="JNR26" s="1852"/>
      <c r="JNU26" s="1852"/>
      <c r="JNX26" s="1852"/>
      <c r="JOA26" s="1852"/>
      <c r="JOD26" s="1852"/>
      <c r="JOG26" s="1852"/>
      <c r="JOJ26" s="1852"/>
      <c r="JOM26" s="1852"/>
      <c r="JOP26" s="1852"/>
      <c r="JOS26" s="1852"/>
      <c r="JOV26" s="1852"/>
      <c r="JOY26" s="1852"/>
      <c r="JPB26" s="1852"/>
      <c r="JPE26" s="1852"/>
      <c r="JPH26" s="1852"/>
      <c r="JPK26" s="1852"/>
      <c r="JPN26" s="1852"/>
      <c r="JPQ26" s="1852"/>
      <c r="JPT26" s="1852"/>
      <c r="JPW26" s="1852"/>
      <c r="JPZ26" s="1852"/>
      <c r="JQC26" s="1852"/>
      <c r="JQF26" s="1852"/>
      <c r="JQI26" s="1852"/>
      <c r="JQL26" s="1852"/>
      <c r="JQO26" s="1852"/>
      <c r="JQR26" s="1852"/>
      <c r="JQU26" s="1852"/>
      <c r="JQX26" s="1852"/>
      <c r="JRA26" s="1852"/>
      <c r="JRD26" s="1852"/>
      <c r="JRG26" s="1852"/>
      <c r="JRJ26" s="1852"/>
      <c r="JRM26" s="1852"/>
      <c r="JRP26" s="1852"/>
      <c r="JRS26" s="1852"/>
      <c r="JRV26" s="1852"/>
      <c r="JRY26" s="1852"/>
      <c r="JSB26" s="1852"/>
      <c r="JSE26" s="1852"/>
      <c r="JSH26" s="1852"/>
      <c r="JSK26" s="1852"/>
      <c r="JSN26" s="1852"/>
      <c r="JSQ26" s="1852"/>
      <c r="JST26" s="1852"/>
      <c r="JSW26" s="1852"/>
      <c r="JSZ26" s="1852"/>
      <c r="JTC26" s="1852"/>
      <c r="JTF26" s="1852"/>
      <c r="JTI26" s="1852"/>
      <c r="JTL26" s="1852"/>
      <c r="JTO26" s="1852"/>
      <c r="JTR26" s="1852"/>
      <c r="JTU26" s="1852"/>
      <c r="JTX26" s="1852"/>
      <c r="JUA26" s="1852"/>
      <c r="JUD26" s="1852"/>
      <c r="JUG26" s="1852"/>
      <c r="JUJ26" s="1852"/>
      <c r="JUM26" s="1852"/>
      <c r="JUP26" s="1852"/>
      <c r="JUS26" s="1852"/>
      <c r="JUV26" s="1852"/>
      <c r="JUY26" s="1852"/>
      <c r="JVB26" s="1852"/>
      <c r="JVE26" s="1852"/>
      <c r="JVH26" s="1852"/>
      <c r="JVK26" s="1852"/>
      <c r="JVN26" s="1852"/>
      <c r="JVQ26" s="1852"/>
      <c r="JVT26" s="1852"/>
      <c r="JVW26" s="1852"/>
      <c r="JVZ26" s="1852"/>
      <c r="JWC26" s="1852"/>
      <c r="JWF26" s="1852"/>
      <c r="JWI26" s="1852"/>
      <c r="JWL26" s="1852"/>
      <c r="JWO26" s="1852"/>
      <c r="JWR26" s="1852"/>
      <c r="JWU26" s="1852"/>
      <c r="JWX26" s="1852"/>
      <c r="JXA26" s="1852"/>
      <c r="JXD26" s="1852"/>
      <c r="JXG26" s="1852"/>
      <c r="JXJ26" s="1852"/>
      <c r="JXM26" s="1852"/>
      <c r="JXP26" s="1852"/>
      <c r="JXS26" s="1852"/>
      <c r="JXV26" s="1852"/>
      <c r="JXY26" s="1852"/>
      <c r="JYB26" s="1852"/>
      <c r="JYE26" s="1852"/>
      <c r="JYH26" s="1852"/>
      <c r="JYK26" s="1852"/>
      <c r="JYN26" s="1852"/>
      <c r="JYQ26" s="1852"/>
      <c r="JYT26" s="1852"/>
      <c r="JYW26" s="1852"/>
      <c r="JYZ26" s="1852"/>
      <c r="JZC26" s="1852"/>
      <c r="JZF26" s="1852"/>
      <c r="JZI26" s="1852"/>
      <c r="JZL26" s="1852"/>
      <c r="JZO26" s="1852"/>
      <c r="JZR26" s="1852"/>
      <c r="JZU26" s="1852"/>
      <c r="JZX26" s="1852"/>
      <c r="KAA26" s="1852"/>
      <c r="KAD26" s="1852"/>
      <c r="KAG26" s="1852"/>
      <c r="KAJ26" s="1852"/>
      <c r="KAM26" s="1852"/>
      <c r="KAP26" s="1852"/>
      <c r="KAS26" s="1852"/>
      <c r="KAV26" s="1852"/>
      <c r="KAY26" s="1852"/>
      <c r="KBB26" s="1852"/>
      <c r="KBE26" s="1852"/>
      <c r="KBH26" s="1852"/>
      <c r="KBK26" s="1852"/>
      <c r="KBN26" s="1852"/>
      <c r="KBQ26" s="1852"/>
      <c r="KBT26" s="1852"/>
      <c r="KBW26" s="1852"/>
      <c r="KBZ26" s="1852"/>
      <c r="KCC26" s="1852"/>
      <c r="KCF26" s="1852"/>
      <c r="KCI26" s="1852"/>
      <c r="KCL26" s="1852"/>
      <c r="KCO26" s="1852"/>
      <c r="KCR26" s="1852"/>
      <c r="KCU26" s="1852"/>
      <c r="KCX26" s="1852"/>
      <c r="KDA26" s="1852"/>
      <c r="KDD26" s="1852"/>
      <c r="KDG26" s="1852"/>
      <c r="KDJ26" s="1852"/>
      <c r="KDM26" s="1852"/>
      <c r="KDP26" s="1852"/>
      <c r="KDS26" s="1852"/>
      <c r="KDV26" s="1852"/>
      <c r="KDY26" s="1852"/>
      <c r="KEB26" s="1852"/>
      <c r="KEE26" s="1852"/>
      <c r="KEH26" s="1852"/>
      <c r="KEK26" s="1852"/>
      <c r="KEN26" s="1852"/>
      <c r="KEQ26" s="1852"/>
      <c r="KET26" s="1852"/>
      <c r="KEW26" s="1852"/>
      <c r="KEZ26" s="1852"/>
      <c r="KFC26" s="1852"/>
      <c r="KFF26" s="1852"/>
      <c r="KFI26" s="1852"/>
      <c r="KFL26" s="1852"/>
      <c r="KFO26" s="1852"/>
      <c r="KFR26" s="1852"/>
      <c r="KFU26" s="1852"/>
      <c r="KFX26" s="1852"/>
      <c r="KGA26" s="1852"/>
      <c r="KGD26" s="1852"/>
      <c r="KGG26" s="1852"/>
      <c r="KGJ26" s="1852"/>
      <c r="KGM26" s="1852"/>
      <c r="KGP26" s="1852"/>
      <c r="KGS26" s="1852"/>
      <c r="KGV26" s="1852"/>
      <c r="KGY26" s="1852"/>
      <c r="KHB26" s="1852"/>
      <c r="KHE26" s="1852"/>
      <c r="KHH26" s="1852"/>
      <c r="KHK26" s="1852"/>
      <c r="KHN26" s="1852"/>
      <c r="KHQ26" s="1852"/>
      <c r="KHT26" s="1852"/>
      <c r="KHW26" s="1852"/>
      <c r="KHZ26" s="1852"/>
      <c r="KIC26" s="1852"/>
      <c r="KIF26" s="1852"/>
      <c r="KII26" s="1852"/>
      <c r="KIL26" s="1852"/>
      <c r="KIO26" s="1852"/>
      <c r="KIR26" s="1852"/>
      <c r="KIU26" s="1852"/>
      <c r="KIX26" s="1852"/>
      <c r="KJA26" s="1852"/>
      <c r="KJD26" s="1852"/>
      <c r="KJG26" s="1852"/>
      <c r="KJJ26" s="1852"/>
      <c r="KJM26" s="1852"/>
      <c r="KJP26" s="1852"/>
      <c r="KJS26" s="1852"/>
      <c r="KJV26" s="1852"/>
      <c r="KJY26" s="1852"/>
      <c r="KKB26" s="1852"/>
      <c r="KKE26" s="1852"/>
      <c r="KKH26" s="1852"/>
      <c r="KKK26" s="1852"/>
      <c r="KKN26" s="1852"/>
      <c r="KKQ26" s="1852"/>
      <c r="KKT26" s="1852"/>
      <c r="KKW26" s="1852"/>
      <c r="KKZ26" s="1852"/>
      <c r="KLC26" s="1852"/>
      <c r="KLF26" s="1852"/>
      <c r="KLI26" s="1852"/>
      <c r="KLL26" s="1852"/>
      <c r="KLO26" s="1852"/>
      <c r="KLR26" s="1852"/>
      <c r="KLU26" s="1852"/>
      <c r="KLX26" s="1852"/>
      <c r="KMA26" s="1852"/>
      <c r="KMD26" s="1852"/>
      <c r="KMG26" s="1852"/>
      <c r="KMJ26" s="1852"/>
      <c r="KMM26" s="1852"/>
      <c r="KMP26" s="1852"/>
      <c r="KMS26" s="1852"/>
      <c r="KMV26" s="1852"/>
      <c r="KMY26" s="1852"/>
      <c r="KNB26" s="1852"/>
      <c r="KNE26" s="1852"/>
      <c r="KNH26" s="1852"/>
      <c r="KNK26" s="1852"/>
      <c r="KNN26" s="1852"/>
      <c r="KNQ26" s="1852"/>
      <c r="KNT26" s="1852"/>
      <c r="KNW26" s="1852"/>
      <c r="KNZ26" s="1852"/>
      <c r="KOC26" s="1852"/>
      <c r="KOF26" s="1852"/>
      <c r="KOI26" s="1852"/>
      <c r="KOL26" s="1852"/>
      <c r="KOO26" s="1852"/>
      <c r="KOR26" s="1852"/>
      <c r="KOU26" s="1852"/>
      <c r="KOX26" s="1852"/>
      <c r="KPA26" s="1852"/>
      <c r="KPD26" s="1852"/>
      <c r="KPG26" s="1852"/>
      <c r="KPJ26" s="1852"/>
      <c r="KPM26" s="1852"/>
      <c r="KPP26" s="1852"/>
      <c r="KPS26" s="1852"/>
      <c r="KPV26" s="1852"/>
      <c r="KPY26" s="1852"/>
      <c r="KQB26" s="1852"/>
      <c r="KQE26" s="1852"/>
      <c r="KQH26" s="1852"/>
      <c r="KQK26" s="1852"/>
      <c r="KQN26" s="1852"/>
      <c r="KQQ26" s="1852"/>
      <c r="KQT26" s="1852"/>
      <c r="KQW26" s="1852"/>
      <c r="KQZ26" s="1852"/>
      <c r="KRC26" s="1852"/>
      <c r="KRF26" s="1852"/>
      <c r="KRI26" s="1852"/>
      <c r="KRL26" s="1852"/>
      <c r="KRO26" s="1852"/>
      <c r="KRR26" s="1852"/>
      <c r="KRU26" s="1852"/>
      <c r="KRX26" s="1852"/>
      <c r="KSA26" s="1852"/>
      <c r="KSD26" s="1852"/>
      <c r="KSG26" s="1852"/>
      <c r="KSJ26" s="1852"/>
      <c r="KSM26" s="1852"/>
      <c r="KSP26" s="1852"/>
      <c r="KSS26" s="1852"/>
      <c r="KSV26" s="1852"/>
      <c r="KSY26" s="1852"/>
      <c r="KTB26" s="1852"/>
      <c r="KTE26" s="1852"/>
      <c r="KTH26" s="1852"/>
      <c r="KTK26" s="1852"/>
      <c r="KTN26" s="1852"/>
      <c r="KTQ26" s="1852"/>
      <c r="KTT26" s="1852"/>
      <c r="KTW26" s="1852"/>
      <c r="KTZ26" s="1852"/>
      <c r="KUC26" s="1852"/>
      <c r="KUF26" s="1852"/>
      <c r="KUI26" s="1852"/>
      <c r="KUL26" s="1852"/>
      <c r="KUO26" s="1852"/>
      <c r="KUR26" s="1852"/>
      <c r="KUU26" s="1852"/>
      <c r="KUX26" s="1852"/>
      <c r="KVA26" s="1852"/>
      <c r="KVD26" s="1852"/>
      <c r="KVG26" s="1852"/>
      <c r="KVJ26" s="1852"/>
      <c r="KVM26" s="1852"/>
      <c r="KVP26" s="1852"/>
      <c r="KVS26" s="1852"/>
      <c r="KVV26" s="1852"/>
      <c r="KVY26" s="1852"/>
      <c r="KWB26" s="1852"/>
      <c r="KWE26" s="1852"/>
      <c r="KWH26" s="1852"/>
      <c r="KWK26" s="1852"/>
      <c r="KWN26" s="1852"/>
      <c r="KWQ26" s="1852"/>
      <c r="KWT26" s="1852"/>
      <c r="KWW26" s="1852"/>
      <c r="KWZ26" s="1852"/>
      <c r="KXC26" s="1852"/>
      <c r="KXF26" s="1852"/>
      <c r="KXI26" s="1852"/>
      <c r="KXL26" s="1852"/>
      <c r="KXO26" s="1852"/>
      <c r="KXR26" s="1852"/>
      <c r="KXU26" s="1852"/>
      <c r="KXX26" s="1852"/>
      <c r="KYA26" s="1852"/>
      <c r="KYD26" s="1852"/>
      <c r="KYG26" s="1852"/>
      <c r="KYJ26" s="1852"/>
      <c r="KYM26" s="1852"/>
      <c r="KYP26" s="1852"/>
      <c r="KYS26" s="1852"/>
      <c r="KYV26" s="1852"/>
      <c r="KYY26" s="1852"/>
      <c r="KZB26" s="1852"/>
      <c r="KZE26" s="1852"/>
      <c r="KZH26" s="1852"/>
      <c r="KZK26" s="1852"/>
      <c r="KZN26" s="1852"/>
      <c r="KZQ26" s="1852"/>
      <c r="KZT26" s="1852"/>
      <c r="KZW26" s="1852"/>
      <c r="KZZ26" s="1852"/>
      <c r="LAC26" s="1852"/>
      <c r="LAF26" s="1852"/>
      <c r="LAI26" s="1852"/>
      <c r="LAL26" s="1852"/>
      <c r="LAO26" s="1852"/>
      <c r="LAR26" s="1852"/>
      <c r="LAU26" s="1852"/>
      <c r="LAX26" s="1852"/>
      <c r="LBA26" s="1852"/>
      <c r="LBD26" s="1852"/>
      <c r="LBG26" s="1852"/>
      <c r="LBJ26" s="1852"/>
      <c r="LBM26" s="1852"/>
      <c r="LBP26" s="1852"/>
      <c r="LBS26" s="1852"/>
      <c r="LBV26" s="1852"/>
      <c r="LBY26" s="1852"/>
      <c r="LCB26" s="1852"/>
      <c r="LCE26" s="1852"/>
      <c r="LCH26" s="1852"/>
      <c r="LCK26" s="1852"/>
      <c r="LCN26" s="1852"/>
      <c r="LCQ26" s="1852"/>
      <c r="LCT26" s="1852"/>
      <c r="LCW26" s="1852"/>
      <c r="LCZ26" s="1852"/>
      <c r="LDC26" s="1852"/>
      <c r="LDF26" s="1852"/>
      <c r="LDI26" s="1852"/>
      <c r="LDL26" s="1852"/>
      <c r="LDO26" s="1852"/>
      <c r="LDR26" s="1852"/>
      <c r="LDU26" s="1852"/>
      <c r="LDX26" s="1852"/>
      <c r="LEA26" s="1852"/>
      <c r="LED26" s="1852"/>
      <c r="LEG26" s="1852"/>
      <c r="LEJ26" s="1852"/>
      <c r="LEM26" s="1852"/>
      <c r="LEP26" s="1852"/>
      <c r="LES26" s="1852"/>
      <c r="LEV26" s="1852"/>
      <c r="LEY26" s="1852"/>
      <c r="LFB26" s="1852"/>
      <c r="LFE26" s="1852"/>
      <c r="LFH26" s="1852"/>
      <c r="LFK26" s="1852"/>
      <c r="LFN26" s="1852"/>
      <c r="LFQ26" s="1852"/>
      <c r="LFT26" s="1852"/>
      <c r="LFW26" s="1852"/>
      <c r="LFZ26" s="1852"/>
      <c r="LGC26" s="1852"/>
      <c r="LGF26" s="1852"/>
      <c r="LGI26" s="1852"/>
      <c r="LGL26" s="1852"/>
      <c r="LGO26" s="1852"/>
      <c r="LGR26" s="1852"/>
      <c r="LGU26" s="1852"/>
      <c r="LGX26" s="1852"/>
      <c r="LHA26" s="1852"/>
      <c r="LHD26" s="1852"/>
      <c r="LHG26" s="1852"/>
      <c r="LHJ26" s="1852"/>
      <c r="LHM26" s="1852"/>
      <c r="LHP26" s="1852"/>
      <c r="LHS26" s="1852"/>
      <c r="LHV26" s="1852"/>
      <c r="LHY26" s="1852"/>
      <c r="LIB26" s="1852"/>
      <c r="LIE26" s="1852"/>
      <c r="LIH26" s="1852"/>
      <c r="LIK26" s="1852"/>
      <c r="LIN26" s="1852"/>
      <c r="LIQ26" s="1852"/>
      <c r="LIT26" s="1852"/>
      <c r="LIW26" s="1852"/>
      <c r="LIZ26" s="1852"/>
      <c r="LJC26" s="1852"/>
      <c r="LJF26" s="1852"/>
      <c r="LJI26" s="1852"/>
      <c r="LJL26" s="1852"/>
      <c r="LJO26" s="1852"/>
      <c r="LJR26" s="1852"/>
      <c r="LJU26" s="1852"/>
      <c r="LJX26" s="1852"/>
      <c r="LKA26" s="1852"/>
      <c r="LKD26" s="1852"/>
      <c r="LKG26" s="1852"/>
      <c r="LKJ26" s="1852"/>
      <c r="LKM26" s="1852"/>
      <c r="LKP26" s="1852"/>
      <c r="LKS26" s="1852"/>
      <c r="LKV26" s="1852"/>
      <c r="LKY26" s="1852"/>
      <c r="LLB26" s="1852"/>
      <c r="LLE26" s="1852"/>
      <c r="LLH26" s="1852"/>
      <c r="LLK26" s="1852"/>
      <c r="LLN26" s="1852"/>
      <c r="LLQ26" s="1852"/>
      <c r="LLT26" s="1852"/>
      <c r="LLW26" s="1852"/>
      <c r="LLZ26" s="1852"/>
      <c r="LMC26" s="1852"/>
      <c r="LMF26" s="1852"/>
      <c r="LMI26" s="1852"/>
      <c r="LML26" s="1852"/>
      <c r="LMO26" s="1852"/>
      <c r="LMR26" s="1852"/>
      <c r="LMU26" s="1852"/>
      <c r="LMX26" s="1852"/>
      <c r="LNA26" s="1852"/>
      <c r="LND26" s="1852"/>
      <c r="LNG26" s="1852"/>
      <c r="LNJ26" s="1852"/>
      <c r="LNM26" s="1852"/>
      <c r="LNP26" s="1852"/>
      <c r="LNS26" s="1852"/>
      <c r="LNV26" s="1852"/>
      <c r="LNY26" s="1852"/>
      <c r="LOB26" s="1852"/>
      <c r="LOE26" s="1852"/>
      <c r="LOH26" s="1852"/>
      <c r="LOK26" s="1852"/>
      <c r="LON26" s="1852"/>
      <c r="LOQ26" s="1852"/>
      <c r="LOT26" s="1852"/>
      <c r="LOW26" s="1852"/>
      <c r="LOZ26" s="1852"/>
      <c r="LPC26" s="1852"/>
      <c r="LPF26" s="1852"/>
      <c r="LPI26" s="1852"/>
      <c r="LPL26" s="1852"/>
      <c r="LPO26" s="1852"/>
      <c r="LPR26" s="1852"/>
      <c r="LPU26" s="1852"/>
      <c r="LPX26" s="1852"/>
      <c r="LQA26" s="1852"/>
      <c r="LQD26" s="1852"/>
      <c r="LQG26" s="1852"/>
      <c r="LQJ26" s="1852"/>
      <c r="LQM26" s="1852"/>
      <c r="LQP26" s="1852"/>
      <c r="LQS26" s="1852"/>
      <c r="LQV26" s="1852"/>
      <c r="LQY26" s="1852"/>
      <c r="LRB26" s="1852"/>
      <c r="LRE26" s="1852"/>
      <c r="LRH26" s="1852"/>
      <c r="LRK26" s="1852"/>
      <c r="LRN26" s="1852"/>
      <c r="LRQ26" s="1852"/>
      <c r="LRT26" s="1852"/>
      <c r="LRW26" s="1852"/>
      <c r="LRZ26" s="1852"/>
      <c r="LSC26" s="1852"/>
      <c r="LSF26" s="1852"/>
      <c r="LSI26" s="1852"/>
      <c r="LSL26" s="1852"/>
      <c r="LSO26" s="1852"/>
      <c r="LSR26" s="1852"/>
      <c r="LSU26" s="1852"/>
      <c r="LSX26" s="1852"/>
      <c r="LTA26" s="1852"/>
      <c r="LTD26" s="1852"/>
      <c r="LTG26" s="1852"/>
      <c r="LTJ26" s="1852"/>
      <c r="LTM26" s="1852"/>
      <c r="LTP26" s="1852"/>
      <c r="LTS26" s="1852"/>
      <c r="LTV26" s="1852"/>
      <c r="LTY26" s="1852"/>
      <c r="LUB26" s="1852"/>
      <c r="LUE26" s="1852"/>
      <c r="LUH26" s="1852"/>
      <c r="LUK26" s="1852"/>
      <c r="LUN26" s="1852"/>
      <c r="LUQ26" s="1852"/>
      <c r="LUT26" s="1852"/>
      <c r="LUW26" s="1852"/>
      <c r="LUZ26" s="1852"/>
      <c r="LVC26" s="1852"/>
      <c r="LVF26" s="1852"/>
      <c r="LVI26" s="1852"/>
      <c r="LVL26" s="1852"/>
      <c r="LVO26" s="1852"/>
      <c r="LVR26" s="1852"/>
      <c r="LVU26" s="1852"/>
      <c r="LVX26" s="1852"/>
      <c r="LWA26" s="1852"/>
      <c r="LWD26" s="1852"/>
      <c r="LWG26" s="1852"/>
      <c r="LWJ26" s="1852"/>
      <c r="LWM26" s="1852"/>
      <c r="LWP26" s="1852"/>
      <c r="LWS26" s="1852"/>
      <c r="LWV26" s="1852"/>
      <c r="LWY26" s="1852"/>
      <c r="LXB26" s="1852"/>
      <c r="LXE26" s="1852"/>
      <c r="LXH26" s="1852"/>
      <c r="LXK26" s="1852"/>
      <c r="LXN26" s="1852"/>
      <c r="LXQ26" s="1852"/>
      <c r="LXT26" s="1852"/>
      <c r="LXW26" s="1852"/>
      <c r="LXZ26" s="1852"/>
      <c r="LYC26" s="1852"/>
      <c r="LYF26" s="1852"/>
      <c r="LYI26" s="1852"/>
      <c r="LYL26" s="1852"/>
      <c r="LYO26" s="1852"/>
      <c r="LYR26" s="1852"/>
      <c r="LYU26" s="1852"/>
      <c r="LYX26" s="1852"/>
      <c r="LZA26" s="1852"/>
      <c r="LZD26" s="1852"/>
      <c r="LZG26" s="1852"/>
      <c r="LZJ26" s="1852"/>
      <c r="LZM26" s="1852"/>
      <c r="LZP26" s="1852"/>
      <c r="LZS26" s="1852"/>
      <c r="LZV26" s="1852"/>
      <c r="LZY26" s="1852"/>
      <c r="MAB26" s="1852"/>
      <c r="MAE26" s="1852"/>
      <c r="MAH26" s="1852"/>
      <c r="MAK26" s="1852"/>
      <c r="MAN26" s="1852"/>
      <c r="MAQ26" s="1852"/>
      <c r="MAT26" s="1852"/>
      <c r="MAW26" s="1852"/>
      <c r="MAZ26" s="1852"/>
      <c r="MBC26" s="1852"/>
      <c r="MBF26" s="1852"/>
      <c r="MBI26" s="1852"/>
      <c r="MBL26" s="1852"/>
      <c r="MBO26" s="1852"/>
      <c r="MBR26" s="1852"/>
      <c r="MBU26" s="1852"/>
      <c r="MBX26" s="1852"/>
      <c r="MCA26" s="1852"/>
      <c r="MCD26" s="1852"/>
      <c r="MCG26" s="1852"/>
      <c r="MCJ26" s="1852"/>
      <c r="MCM26" s="1852"/>
      <c r="MCP26" s="1852"/>
      <c r="MCS26" s="1852"/>
      <c r="MCV26" s="1852"/>
      <c r="MCY26" s="1852"/>
      <c r="MDB26" s="1852"/>
      <c r="MDE26" s="1852"/>
      <c r="MDH26" s="1852"/>
      <c r="MDK26" s="1852"/>
      <c r="MDN26" s="1852"/>
      <c r="MDQ26" s="1852"/>
      <c r="MDT26" s="1852"/>
      <c r="MDW26" s="1852"/>
      <c r="MDZ26" s="1852"/>
      <c r="MEC26" s="1852"/>
      <c r="MEF26" s="1852"/>
      <c r="MEI26" s="1852"/>
      <c r="MEL26" s="1852"/>
      <c r="MEO26" s="1852"/>
      <c r="MER26" s="1852"/>
      <c r="MEU26" s="1852"/>
      <c r="MEX26" s="1852"/>
      <c r="MFA26" s="1852"/>
      <c r="MFD26" s="1852"/>
      <c r="MFG26" s="1852"/>
      <c r="MFJ26" s="1852"/>
      <c r="MFM26" s="1852"/>
      <c r="MFP26" s="1852"/>
      <c r="MFS26" s="1852"/>
      <c r="MFV26" s="1852"/>
      <c r="MFY26" s="1852"/>
      <c r="MGB26" s="1852"/>
      <c r="MGE26" s="1852"/>
      <c r="MGH26" s="1852"/>
      <c r="MGK26" s="1852"/>
      <c r="MGN26" s="1852"/>
      <c r="MGQ26" s="1852"/>
      <c r="MGT26" s="1852"/>
      <c r="MGW26" s="1852"/>
      <c r="MGZ26" s="1852"/>
      <c r="MHC26" s="1852"/>
      <c r="MHF26" s="1852"/>
      <c r="MHI26" s="1852"/>
      <c r="MHL26" s="1852"/>
      <c r="MHO26" s="1852"/>
      <c r="MHR26" s="1852"/>
      <c r="MHU26" s="1852"/>
      <c r="MHX26" s="1852"/>
      <c r="MIA26" s="1852"/>
      <c r="MID26" s="1852"/>
      <c r="MIG26" s="1852"/>
      <c r="MIJ26" s="1852"/>
      <c r="MIM26" s="1852"/>
      <c r="MIP26" s="1852"/>
      <c r="MIS26" s="1852"/>
      <c r="MIV26" s="1852"/>
      <c r="MIY26" s="1852"/>
      <c r="MJB26" s="1852"/>
      <c r="MJE26" s="1852"/>
      <c r="MJH26" s="1852"/>
      <c r="MJK26" s="1852"/>
      <c r="MJN26" s="1852"/>
      <c r="MJQ26" s="1852"/>
      <c r="MJT26" s="1852"/>
      <c r="MJW26" s="1852"/>
      <c r="MJZ26" s="1852"/>
      <c r="MKC26" s="1852"/>
      <c r="MKF26" s="1852"/>
      <c r="MKI26" s="1852"/>
      <c r="MKL26" s="1852"/>
      <c r="MKO26" s="1852"/>
      <c r="MKR26" s="1852"/>
      <c r="MKU26" s="1852"/>
      <c r="MKX26" s="1852"/>
      <c r="MLA26" s="1852"/>
      <c r="MLD26" s="1852"/>
      <c r="MLG26" s="1852"/>
      <c r="MLJ26" s="1852"/>
      <c r="MLM26" s="1852"/>
      <c r="MLP26" s="1852"/>
      <c r="MLS26" s="1852"/>
      <c r="MLV26" s="1852"/>
      <c r="MLY26" s="1852"/>
      <c r="MMB26" s="1852"/>
      <c r="MME26" s="1852"/>
      <c r="MMH26" s="1852"/>
      <c r="MMK26" s="1852"/>
      <c r="MMN26" s="1852"/>
      <c r="MMQ26" s="1852"/>
      <c r="MMT26" s="1852"/>
      <c r="MMW26" s="1852"/>
      <c r="MMZ26" s="1852"/>
      <c r="MNC26" s="1852"/>
      <c r="MNF26" s="1852"/>
      <c r="MNI26" s="1852"/>
      <c r="MNL26" s="1852"/>
      <c r="MNO26" s="1852"/>
      <c r="MNR26" s="1852"/>
      <c r="MNU26" s="1852"/>
      <c r="MNX26" s="1852"/>
      <c r="MOA26" s="1852"/>
      <c r="MOD26" s="1852"/>
      <c r="MOG26" s="1852"/>
      <c r="MOJ26" s="1852"/>
      <c r="MOM26" s="1852"/>
      <c r="MOP26" s="1852"/>
      <c r="MOS26" s="1852"/>
      <c r="MOV26" s="1852"/>
      <c r="MOY26" s="1852"/>
      <c r="MPB26" s="1852"/>
      <c r="MPE26" s="1852"/>
      <c r="MPH26" s="1852"/>
      <c r="MPK26" s="1852"/>
      <c r="MPN26" s="1852"/>
      <c r="MPQ26" s="1852"/>
      <c r="MPT26" s="1852"/>
      <c r="MPW26" s="1852"/>
      <c r="MPZ26" s="1852"/>
      <c r="MQC26" s="1852"/>
      <c r="MQF26" s="1852"/>
      <c r="MQI26" s="1852"/>
      <c r="MQL26" s="1852"/>
      <c r="MQO26" s="1852"/>
      <c r="MQR26" s="1852"/>
      <c r="MQU26" s="1852"/>
      <c r="MQX26" s="1852"/>
      <c r="MRA26" s="1852"/>
      <c r="MRD26" s="1852"/>
      <c r="MRG26" s="1852"/>
      <c r="MRJ26" s="1852"/>
      <c r="MRM26" s="1852"/>
      <c r="MRP26" s="1852"/>
      <c r="MRS26" s="1852"/>
      <c r="MRV26" s="1852"/>
      <c r="MRY26" s="1852"/>
      <c r="MSB26" s="1852"/>
      <c r="MSE26" s="1852"/>
      <c r="MSH26" s="1852"/>
      <c r="MSK26" s="1852"/>
      <c r="MSN26" s="1852"/>
      <c r="MSQ26" s="1852"/>
      <c r="MST26" s="1852"/>
      <c r="MSW26" s="1852"/>
      <c r="MSZ26" s="1852"/>
      <c r="MTC26" s="1852"/>
      <c r="MTF26" s="1852"/>
      <c r="MTI26" s="1852"/>
      <c r="MTL26" s="1852"/>
      <c r="MTO26" s="1852"/>
      <c r="MTR26" s="1852"/>
      <c r="MTU26" s="1852"/>
      <c r="MTX26" s="1852"/>
      <c r="MUA26" s="1852"/>
      <c r="MUD26" s="1852"/>
      <c r="MUG26" s="1852"/>
      <c r="MUJ26" s="1852"/>
      <c r="MUM26" s="1852"/>
      <c r="MUP26" s="1852"/>
      <c r="MUS26" s="1852"/>
      <c r="MUV26" s="1852"/>
      <c r="MUY26" s="1852"/>
      <c r="MVB26" s="1852"/>
      <c r="MVE26" s="1852"/>
      <c r="MVH26" s="1852"/>
      <c r="MVK26" s="1852"/>
      <c r="MVN26" s="1852"/>
      <c r="MVQ26" s="1852"/>
      <c r="MVT26" s="1852"/>
      <c r="MVW26" s="1852"/>
      <c r="MVZ26" s="1852"/>
      <c r="MWC26" s="1852"/>
      <c r="MWF26" s="1852"/>
      <c r="MWI26" s="1852"/>
      <c r="MWL26" s="1852"/>
      <c r="MWO26" s="1852"/>
      <c r="MWR26" s="1852"/>
      <c r="MWU26" s="1852"/>
      <c r="MWX26" s="1852"/>
      <c r="MXA26" s="1852"/>
      <c r="MXD26" s="1852"/>
      <c r="MXG26" s="1852"/>
      <c r="MXJ26" s="1852"/>
      <c r="MXM26" s="1852"/>
      <c r="MXP26" s="1852"/>
      <c r="MXS26" s="1852"/>
      <c r="MXV26" s="1852"/>
      <c r="MXY26" s="1852"/>
      <c r="MYB26" s="1852"/>
      <c r="MYE26" s="1852"/>
      <c r="MYH26" s="1852"/>
      <c r="MYK26" s="1852"/>
      <c r="MYN26" s="1852"/>
      <c r="MYQ26" s="1852"/>
      <c r="MYT26" s="1852"/>
      <c r="MYW26" s="1852"/>
      <c r="MYZ26" s="1852"/>
      <c r="MZC26" s="1852"/>
      <c r="MZF26" s="1852"/>
      <c r="MZI26" s="1852"/>
      <c r="MZL26" s="1852"/>
      <c r="MZO26" s="1852"/>
      <c r="MZR26" s="1852"/>
      <c r="MZU26" s="1852"/>
      <c r="MZX26" s="1852"/>
      <c r="NAA26" s="1852"/>
      <c r="NAD26" s="1852"/>
      <c r="NAG26" s="1852"/>
      <c r="NAJ26" s="1852"/>
      <c r="NAM26" s="1852"/>
      <c r="NAP26" s="1852"/>
      <c r="NAS26" s="1852"/>
      <c r="NAV26" s="1852"/>
      <c r="NAY26" s="1852"/>
      <c r="NBB26" s="1852"/>
      <c r="NBE26" s="1852"/>
      <c r="NBH26" s="1852"/>
      <c r="NBK26" s="1852"/>
      <c r="NBN26" s="1852"/>
      <c r="NBQ26" s="1852"/>
      <c r="NBT26" s="1852"/>
      <c r="NBW26" s="1852"/>
      <c r="NBZ26" s="1852"/>
      <c r="NCC26" s="1852"/>
      <c r="NCF26" s="1852"/>
      <c r="NCI26" s="1852"/>
      <c r="NCL26" s="1852"/>
      <c r="NCO26" s="1852"/>
      <c r="NCR26" s="1852"/>
      <c r="NCU26" s="1852"/>
      <c r="NCX26" s="1852"/>
      <c r="NDA26" s="1852"/>
      <c r="NDD26" s="1852"/>
      <c r="NDG26" s="1852"/>
      <c r="NDJ26" s="1852"/>
      <c r="NDM26" s="1852"/>
      <c r="NDP26" s="1852"/>
      <c r="NDS26" s="1852"/>
      <c r="NDV26" s="1852"/>
      <c r="NDY26" s="1852"/>
      <c r="NEB26" s="1852"/>
      <c r="NEE26" s="1852"/>
      <c r="NEH26" s="1852"/>
      <c r="NEK26" s="1852"/>
      <c r="NEN26" s="1852"/>
      <c r="NEQ26" s="1852"/>
      <c r="NET26" s="1852"/>
      <c r="NEW26" s="1852"/>
      <c r="NEZ26" s="1852"/>
      <c r="NFC26" s="1852"/>
      <c r="NFF26" s="1852"/>
      <c r="NFI26" s="1852"/>
      <c r="NFL26" s="1852"/>
      <c r="NFO26" s="1852"/>
      <c r="NFR26" s="1852"/>
      <c r="NFU26" s="1852"/>
      <c r="NFX26" s="1852"/>
      <c r="NGA26" s="1852"/>
      <c r="NGD26" s="1852"/>
      <c r="NGG26" s="1852"/>
      <c r="NGJ26" s="1852"/>
      <c r="NGM26" s="1852"/>
      <c r="NGP26" s="1852"/>
      <c r="NGS26" s="1852"/>
      <c r="NGV26" s="1852"/>
      <c r="NGY26" s="1852"/>
      <c r="NHB26" s="1852"/>
      <c r="NHE26" s="1852"/>
      <c r="NHH26" s="1852"/>
      <c r="NHK26" s="1852"/>
      <c r="NHN26" s="1852"/>
      <c r="NHQ26" s="1852"/>
      <c r="NHT26" s="1852"/>
      <c r="NHW26" s="1852"/>
      <c r="NHZ26" s="1852"/>
      <c r="NIC26" s="1852"/>
      <c r="NIF26" s="1852"/>
      <c r="NII26" s="1852"/>
      <c r="NIL26" s="1852"/>
      <c r="NIO26" s="1852"/>
      <c r="NIR26" s="1852"/>
      <c r="NIU26" s="1852"/>
      <c r="NIX26" s="1852"/>
      <c r="NJA26" s="1852"/>
      <c r="NJD26" s="1852"/>
      <c r="NJG26" s="1852"/>
      <c r="NJJ26" s="1852"/>
      <c r="NJM26" s="1852"/>
      <c r="NJP26" s="1852"/>
      <c r="NJS26" s="1852"/>
      <c r="NJV26" s="1852"/>
      <c r="NJY26" s="1852"/>
      <c r="NKB26" s="1852"/>
      <c r="NKE26" s="1852"/>
      <c r="NKH26" s="1852"/>
      <c r="NKK26" s="1852"/>
      <c r="NKN26" s="1852"/>
      <c r="NKQ26" s="1852"/>
      <c r="NKT26" s="1852"/>
      <c r="NKW26" s="1852"/>
      <c r="NKZ26" s="1852"/>
      <c r="NLC26" s="1852"/>
      <c r="NLF26" s="1852"/>
      <c r="NLI26" s="1852"/>
      <c r="NLL26" s="1852"/>
      <c r="NLO26" s="1852"/>
      <c r="NLR26" s="1852"/>
      <c r="NLU26" s="1852"/>
      <c r="NLX26" s="1852"/>
      <c r="NMA26" s="1852"/>
      <c r="NMD26" s="1852"/>
      <c r="NMG26" s="1852"/>
      <c r="NMJ26" s="1852"/>
      <c r="NMM26" s="1852"/>
      <c r="NMP26" s="1852"/>
      <c r="NMS26" s="1852"/>
      <c r="NMV26" s="1852"/>
      <c r="NMY26" s="1852"/>
      <c r="NNB26" s="1852"/>
      <c r="NNE26" s="1852"/>
      <c r="NNH26" s="1852"/>
      <c r="NNK26" s="1852"/>
      <c r="NNN26" s="1852"/>
      <c r="NNQ26" s="1852"/>
      <c r="NNT26" s="1852"/>
      <c r="NNW26" s="1852"/>
      <c r="NNZ26" s="1852"/>
      <c r="NOC26" s="1852"/>
      <c r="NOF26" s="1852"/>
      <c r="NOI26" s="1852"/>
      <c r="NOL26" s="1852"/>
      <c r="NOO26" s="1852"/>
      <c r="NOR26" s="1852"/>
      <c r="NOU26" s="1852"/>
      <c r="NOX26" s="1852"/>
      <c r="NPA26" s="1852"/>
      <c r="NPD26" s="1852"/>
      <c r="NPG26" s="1852"/>
      <c r="NPJ26" s="1852"/>
      <c r="NPM26" s="1852"/>
      <c r="NPP26" s="1852"/>
      <c r="NPS26" s="1852"/>
      <c r="NPV26" s="1852"/>
      <c r="NPY26" s="1852"/>
      <c r="NQB26" s="1852"/>
      <c r="NQE26" s="1852"/>
      <c r="NQH26" s="1852"/>
      <c r="NQK26" s="1852"/>
      <c r="NQN26" s="1852"/>
      <c r="NQQ26" s="1852"/>
      <c r="NQT26" s="1852"/>
      <c r="NQW26" s="1852"/>
      <c r="NQZ26" s="1852"/>
      <c r="NRC26" s="1852"/>
      <c r="NRF26" s="1852"/>
      <c r="NRI26" s="1852"/>
      <c r="NRL26" s="1852"/>
      <c r="NRO26" s="1852"/>
      <c r="NRR26" s="1852"/>
      <c r="NRU26" s="1852"/>
      <c r="NRX26" s="1852"/>
      <c r="NSA26" s="1852"/>
      <c r="NSD26" s="1852"/>
      <c r="NSG26" s="1852"/>
      <c r="NSJ26" s="1852"/>
      <c r="NSM26" s="1852"/>
      <c r="NSP26" s="1852"/>
      <c r="NSS26" s="1852"/>
      <c r="NSV26" s="1852"/>
      <c r="NSY26" s="1852"/>
      <c r="NTB26" s="1852"/>
      <c r="NTE26" s="1852"/>
      <c r="NTH26" s="1852"/>
      <c r="NTK26" s="1852"/>
      <c r="NTN26" s="1852"/>
      <c r="NTQ26" s="1852"/>
      <c r="NTT26" s="1852"/>
      <c r="NTW26" s="1852"/>
      <c r="NTZ26" s="1852"/>
      <c r="NUC26" s="1852"/>
      <c r="NUF26" s="1852"/>
      <c r="NUI26" s="1852"/>
      <c r="NUL26" s="1852"/>
      <c r="NUO26" s="1852"/>
      <c r="NUR26" s="1852"/>
      <c r="NUU26" s="1852"/>
      <c r="NUX26" s="1852"/>
      <c r="NVA26" s="1852"/>
      <c r="NVD26" s="1852"/>
      <c r="NVG26" s="1852"/>
      <c r="NVJ26" s="1852"/>
      <c r="NVM26" s="1852"/>
      <c r="NVP26" s="1852"/>
      <c r="NVS26" s="1852"/>
      <c r="NVV26" s="1852"/>
      <c r="NVY26" s="1852"/>
      <c r="NWB26" s="1852"/>
      <c r="NWE26" s="1852"/>
      <c r="NWH26" s="1852"/>
      <c r="NWK26" s="1852"/>
      <c r="NWN26" s="1852"/>
      <c r="NWQ26" s="1852"/>
      <c r="NWT26" s="1852"/>
      <c r="NWW26" s="1852"/>
      <c r="NWZ26" s="1852"/>
      <c r="NXC26" s="1852"/>
      <c r="NXF26" s="1852"/>
      <c r="NXI26" s="1852"/>
      <c r="NXL26" s="1852"/>
      <c r="NXO26" s="1852"/>
      <c r="NXR26" s="1852"/>
      <c r="NXU26" s="1852"/>
      <c r="NXX26" s="1852"/>
      <c r="NYA26" s="1852"/>
      <c r="NYD26" s="1852"/>
      <c r="NYG26" s="1852"/>
      <c r="NYJ26" s="1852"/>
      <c r="NYM26" s="1852"/>
      <c r="NYP26" s="1852"/>
      <c r="NYS26" s="1852"/>
      <c r="NYV26" s="1852"/>
      <c r="NYY26" s="1852"/>
      <c r="NZB26" s="1852"/>
      <c r="NZE26" s="1852"/>
      <c r="NZH26" s="1852"/>
      <c r="NZK26" s="1852"/>
      <c r="NZN26" s="1852"/>
      <c r="NZQ26" s="1852"/>
      <c r="NZT26" s="1852"/>
      <c r="NZW26" s="1852"/>
      <c r="NZZ26" s="1852"/>
      <c r="OAC26" s="1852"/>
      <c r="OAF26" s="1852"/>
      <c r="OAI26" s="1852"/>
      <c r="OAL26" s="1852"/>
      <c r="OAO26" s="1852"/>
      <c r="OAR26" s="1852"/>
      <c r="OAU26" s="1852"/>
      <c r="OAX26" s="1852"/>
      <c r="OBA26" s="1852"/>
      <c r="OBD26" s="1852"/>
      <c r="OBG26" s="1852"/>
      <c r="OBJ26" s="1852"/>
      <c r="OBM26" s="1852"/>
      <c r="OBP26" s="1852"/>
      <c r="OBS26" s="1852"/>
      <c r="OBV26" s="1852"/>
      <c r="OBY26" s="1852"/>
      <c r="OCB26" s="1852"/>
      <c r="OCE26" s="1852"/>
      <c r="OCH26" s="1852"/>
      <c r="OCK26" s="1852"/>
      <c r="OCN26" s="1852"/>
      <c r="OCQ26" s="1852"/>
      <c r="OCT26" s="1852"/>
      <c r="OCW26" s="1852"/>
      <c r="OCZ26" s="1852"/>
      <c r="ODC26" s="1852"/>
      <c r="ODF26" s="1852"/>
      <c r="ODI26" s="1852"/>
      <c r="ODL26" s="1852"/>
      <c r="ODO26" s="1852"/>
      <c r="ODR26" s="1852"/>
      <c r="ODU26" s="1852"/>
      <c r="ODX26" s="1852"/>
      <c r="OEA26" s="1852"/>
      <c r="OED26" s="1852"/>
      <c r="OEG26" s="1852"/>
      <c r="OEJ26" s="1852"/>
      <c r="OEM26" s="1852"/>
      <c r="OEP26" s="1852"/>
      <c r="OES26" s="1852"/>
      <c r="OEV26" s="1852"/>
      <c r="OEY26" s="1852"/>
      <c r="OFB26" s="1852"/>
      <c r="OFE26" s="1852"/>
      <c r="OFH26" s="1852"/>
      <c r="OFK26" s="1852"/>
      <c r="OFN26" s="1852"/>
      <c r="OFQ26" s="1852"/>
      <c r="OFT26" s="1852"/>
      <c r="OFW26" s="1852"/>
      <c r="OFZ26" s="1852"/>
      <c r="OGC26" s="1852"/>
      <c r="OGF26" s="1852"/>
      <c r="OGI26" s="1852"/>
      <c r="OGL26" s="1852"/>
      <c r="OGO26" s="1852"/>
      <c r="OGR26" s="1852"/>
      <c r="OGU26" s="1852"/>
      <c r="OGX26" s="1852"/>
      <c r="OHA26" s="1852"/>
      <c r="OHD26" s="1852"/>
      <c r="OHG26" s="1852"/>
      <c r="OHJ26" s="1852"/>
      <c r="OHM26" s="1852"/>
      <c r="OHP26" s="1852"/>
      <c r="OHS26" s="1852"/>
      <c r="OHV26" s="1852"/>
      <c r="OHY26" s="1852"/>
      <c r="OIB26" s="1852"/>
      <c r="OIE26" s="1852"/>
      <c r="OIH26" s="1852"/>
      <c r="OIK26" s="1852"/>
      <c r="OIN26" s="1852"/>
      <c r="OIQ26" s="1852"/>
      <c r="OIT26" s="1852"/>
      <c r="OIW26" s="1852"/>
      <c r="OIZ26" s="1852"/>
      <c r="OJC26" s="1852"/>
      <c r="OJF26" s="1852"/>
      <c r="OJI26" s="1852"/>
      <c r="OJL26" s="1852"/>
      <c r="OJO26" s="1852"/>
      <c r="OJR26" s="1852"/>
      <c r="OJU26" s="1852"/>
      <c r="OJX26" s="1852"/>
      <c r="OKA26" s="1852"/>
      <c r="OKD26" s="1852"/>
      <c r="OKG26" s="1852"/>
      <c r="OKJ26" s="1852"/>
      <c r="OKM26" s="1852"/>
      <c r="OKP26" s="1852"/>
      <c r="OKS26" s="1852"/>
      <c r="OKV26" s="1852"/>
      <c r="OKY26" s="1852"/>
      <c r="OLB26" s="1852"/>
      <c r="OLE26" s="1852"/>
      <c r="OLH26" s="1852"/>
      <c r="OLK26" s="1852"/>
      <c r="OLN26" s="1852"/>
      <c r="OLQ26" s="1852"/>
      <c r="OLT26" s="1852"/>
      <c r="OLW26" s="1852"/>
      <c r="OLZ26" s="1852"/>
      <c r="OMC26" s="1852"/>
      <c r="OMF26" s="1852"/>
      <c r="OMI26" s="1852"/>
      <c r="OML26" s="1852"/>
      <c r="OMO26" s="1852"/>
      <c r="OMR26" s="1852"/>
      <c r="OMU26" s="1852"/>
      <c r="OMX26" s="1852"/>
      <c r="ONA26" s="1852"/>
      <c r="OND26" s="1852"/>
      <c r="ONG26" s="1852"/>
      <c r="ONJ26" s="1852"/>
      <c r="ONM26" s="1852"/>
      <c r="ONP26" s="1852"/>
      <c r="ONS26" s="1852"/>
      <c r="ONV26" s="1852"/>
      <c r="ONY26" s="1852"/>
      <c r="OOB26" s="1852"/>
      <c r="OOE26" s="1852"/>
      <c r="OOH26" s="1852"/>
      <c r="OOK26" s="1852"/>
      <c r="OON26" s="1852"/>
      <c r="OOQ26" s="1852"/>
      <c r="OOT26" s="1852"/>
      <c r="OOW26" s="1852"/>
      <c r="OOZ26" s="1852"/>
      <c r="OPC26" s="1852"/>
      <c r="OPF26" s="1852"/>
      <c r="OPI26" s="1852"/>
      <c r="OPL26" s="1852"/>
      <c r="OPO26" s="1852"/>
      <c r="OPR26" s="1852"/>
      <c r="OPU26" s="1852"/>
      <c r="OPX26" s="1852"/>
      <c r="OQA26" s="1852"/>
      <c r="OQD26" s="1852"/>
      <c r="OQG26" s="1852"/>
      <c r="OQJ26" s="1852"/>
      <c r="OQM26" s="1852"/>
      <c r="OQP26" s="1852"/>
      <c r="OQS26" s="1852"/>
      <c r="OQV26" s="1852"/>
      <c r="OQY26" s="1852"/>
      <c r="ORB26" s="1852"/>
      <c r="ORE26" s="1852"/>
      <c r="ORH26" s="1852"/>
      <c r="ORK26" s="1852"/>
      <c r="ORN26" s="1852"/>
      <c r="ORQ26" s="1852"/>
      <c r="ORT26" s="1852"/>
      <c r="ORW26" s="1852"/>
      <c r="ORZ26" s="1852"/>
      <c r="OSC26" s="1852"/>
      <c r="OSF26" s="1852"/>
      <c r="OSI26" s="1852"/>
      <c r="OSL26" s="1852"/>
      <c r="OSO26" s="1852"/>
      <c r="OSR26" s="1852"/>
      <c r="OSU26" s="1852"/>
      <c r="OSX26" s="1852"/>
      <c r="OTA26" s="1852"/>
      <c r="OTD26" s="1852"/>
      <c r="OTG26" s="1852"/>
      <c r="OTJ26" s="1852"/>
      <c r="OTM26" s="1852"/>
      <c r="OTP26" s="1852"/>
      <c r="OTS26" s="1852"/>
      <c r="OTV26" s="1852"/>
      <c r="OTY26" s="1852"/>
      <c r="OUB26" s="1852"/>
      <c r="OUE26" s="1852"/>
      <c r="OUH26" s="1852"/>
      <c r="OUK26" s="1852"/>
      <c r="OUN26" s="1852"/>
      <c r="OUQ26" s="1852"/>
      <c r="OUT26" s="1852"/>
      <c r="OUW26" s="1852"/>
      <c r="OUZ26" s="1852"/>
      <c r="OVC26" s="1852"/>
      <c r="OVF26" s="1852"/>
      <c r="OVI26" s="1852"/>
      <c r="OVL26" s="1852"/>
      <c r="OVO26" s="1852"/>
      <c r="OVR26" s="1852"/>
      <c r="OVU26" s="1852"/>
      <c r="OVX26" s="1852"/>
      <c r="OWA26" s="1852"/>
      <c r="OWD26" s="1852"/>
      <c r="OWG26" s="1852"/>
      <c r="OWJ26" s="1852"/>
      <c r="OWM26" s="1852"/>
      <c r="OWP26" s="1852"/>
      <c r="OWS26" s="1852"/>
      <c r="OWV26" s="1852"/>
      <c r="OWY26" s="1852"/>
      <c r="OXB26" s="1852"/>
      <c r="OXE26" s="1852"/>
      <c r="OXH26" s="1852"/>
      <c r="OXK26" s="1852"/>
      <c r="OXN26" s="1852"/>
      <c r="OXQ26" s="1852"/>
      <c r="OXT26" s="1852"/>
      <c r="OXW26" s="1852"/>
      <c r="OXZ26" s="1852"/>
      <c r="OYC26" s="1852"/>
      <c r="OYF26" s="1852"/>
      <c r="OYI26" s="1852"/>
      <c r="OYL26" s="1852"/>
      <c r="OYO26" s="1852"/>
      <c r="OYR26" s="1852"/>
      <c r="OYU26" s="1852"/>
      <c r="OYX26" s="1852"/>
      <c r="OZA26" s="1852"/>
      <c r="OZD26" s="1852"/>
      <c r="OZG26" s="1852"/>
      <c r="OZJ26" s="1852"/>
      <c r="OZM26" s="1852"/>
      <c r="OZP26" s="1852"/>
      <c r="OZS26" s="1852"/>
      <c r="OZV26" s="1852"/>
      <c r="OZY26" s="1852"/>
      <c r="PAB26" s="1852"/>
      <c r="PAE26" s="1852"/>
      <c r="PAH26" s="1852"/>
      <c r="PAK26" s="1852"/>
      <c r="PAN26" s="1852"/>
      <c r="PAQ26" s="1852"/>
      <c r="PAT26" s="1852"/>
      <c r="PAW26" s="1852"/>
      <c r="PAZ26" s="1852"/>
      <c r="PBC26" s="1852"/>
      <c r="PBF26" s="1852"/>
      <c r="PBI26" s="1852"/>
      <c r="PBL26" s="1852"/>
      <c r="PBO26" s="1852"/>
      <c r="PBR26" s="1852"/>
      <c r="PBU26" s="1852"/>
      <c r="PBX26" s="1852"/>
      <c r="PCA26" s="1852"/>
      <c r="PCD26" s="1852"/>
      <c r="PCG26" s="1852"/>
      <c r="PCJ26" s="1852"/>
      <c r="PCM26" s="1852"/>
      <c r="PCP26" s="1852"/>
      <c r="PCS26" s="1852"/>
      <c r="PCV26" s="1852"/>
      <c r="PCY26" s="1852"/>
      <c r="PDB26" s="1852"/>
      <c r="PDE26" s="1852"/>
      <c r="PDH26" s="1852"/>
      <c r="PDK26" s="1852"/>
      <c r="PDN26" s="1852"/>
      <c r="PDQ26" s="1852"/>
      <c r="PDT26" s="1852"/>
      <c r="PDW26" s="1852"/>
      <c r="PDZ26" s="1852"/>
      <c r="PEC26" s="1852"/>
      <c r="PEF26" s="1852"/>
      <c r="PEI26" s="1852"/>
      <c r="PEL26" s="1852"/>
      <c r="PEO26" s="1852"/>
      <c r="PER26" s="1852"/>
      <c r="PEU26" s="1852"/>
      <c r="PEX26" s="1852"/>
      <c r="PFA26" s="1852"/>
      <c r="PFD26" s="1852"/>
      <c r="PFG26" s="1852"/>
      <c r="PFJ26" s="1852"/>
      <c r="PFM26" s="1852"/>
      <c r="PFP26" s="1852"/>
      <c r="PFS26" s="1852"/>
      <c r="PFV26" s="1852"/>
      <c r="PFY26" s="1852"/>
      <c r="PGB26" s="1852"/>
      <c r="PGE26" s="1852"/>
      <c r="PGH26" s="1852"/>
      <c r="PGK26" s="1852"/>
      <c r="PGN26" s="1852"/>
      <c r="PGQ26" s="1852"/>
      <c r="PGT26" s="1852"/>
      <c r="PGW26" s="1852"/>
      <c r="PGZ26" s="1852"/>
      <c r="PHC26" s="1852"/>
      <c r="PHF26" s="1852"/>
      <c r="PHI26" s="1852"/>
      <c r="PHL26" s="1852"/>
      <c r="PHO26" s="1852"/>
      <c r="PHR26" s="1852"/>
      <c r="PHU26" s="1852"/>
      <c r="PHX26" s="1852"/>
      <c r="PIA26" s="1852"/>
      <c r="PID26" s="1852"/>
      <c r="PIG26" s="1852"/>
      <c r="PIJ26" s="1852"/>
      <c r="PIM26" s="1852"/>
      <c r="PIP26" s="1852"/>
      <c r="PIS26" s="1852"/>
      <c r="PIV26" s="1852"/>
      <c r="PIY26" s="1852"/>
      <c r="PJB26" s="1852"/>
      <c r="PJE26" s="1852"/>
      <c r="PJH26" s="1852"/>
      <c r="PJK26" s="1852"/>
      <c r="PJN26" s="1852"/>
      <c r="PJQ26" s="1852"/>
      <c r="PJT26" s="1852"/>
      <c r="PJW26" s="1852"/>
      <c r="PJZ26" s="1852"/>
      <c r="PKC26" s="1852"/>
      <c r="PKF26" s="1852"/>
      <c r="PKI26" s="1852"/>
      <c r="PKL26" s="1852"/>
      <c r="PKO26" s="1852"/>
      <c r="PKR26" s="1852"/>
      <c r="PKU26" s="1852"/>
      <c r="PKX26" s="1852"/>
      <c r="PLA26" s="1852"/>
      <c r="PLD26" s="1852"/>
      <c r="PLG26" s="1852"/>
      <c r="PLJ26" s="1852"/>
      <c r="PLM26" s="1852"/>
      <c r="PLP26" s="1852"/>
      <c r="PLS26" s="1852"/>
      <c r="PLV26" s="1852"/>
      <c r="PLY26" s="1852"/>
      <c r="PMB26" s="1852"/>
      <c r="PME26" s="1852"/>
      <c r="PMH26" s="1852"/>
      <c r="PMK26" s="1852"/>
      <c r="PMN26" s="1852"/>
      <c r="PMQ26" s="1852"/>
      <c r="PMT26" s="1852"/>
      <c r="PMW26" s="1852"/>
      <c r="PMZ26" s="1852"/>
      <c r="PNC26" s="1852"/>
      <c r="PNF26" s="1852"/>
      <c r="PNI26" s="1852"/>
      <c r="PNL26" s="1852"/>
      <c r="PNO26" s="1852"/>
      <c r="PNR26" s="1852"/>
      <c r="PNU26" s="1852"/>
      <c r="PNX26" s="1852"/>
      <c r="POA26" s="1852"/>
      <c r="POD26" s="1852"/>
      <c r="POG26" s="1852"/>
      <c r="POJ26" s="1852"/>
      <c r="POM26" s="1852"/>
      <c r="POP26" s="1852"/>
      <c r="POS26" s="1852"/>
      <c r="POV26" s="1852"/>
      <c r="POY26" s="1852"/>
      <c r="PPB26" s="1852"/>
      <c r="PPE26" s="1852"/>
      <c r="PPH26" s="1852"/>
      <c r="PPK26" s="1852"/>
      <c r="PPN26" s="1852"/>
      <c r="PPQ26" s="1852"/>
      <c r="PPT26" s="1852"/>
      <c r="PPW26" s="1852"/>
      <c r="PPZ26" s="1852"/>
      <c r="PQC26" s="1852"/>
      <c r="PQF26" s="1852"/>
      <c r="PQI26" s="1852"/>
      <c r="PQL26" s="1852"/>
      <c r="PQO26" s="1852"/>
      <c r="PQR26" s="1852"/>
      <c r="PQU26" s="1852"/>
      <c r="PQX26" s="1852"/>
      <c r="PRA26" s="1852"/>
      <c r="PRD26" s="1852"/>
      <c r="PRG26" s="1852"/>
      <c r="PRJ26" s="1852"/>
      <c r="PRM26" s="1852"/>
      <c r="PRP26" s="1852"/>
      <c r="PRS26" s="1852"/>
      <c r="PRV26" s="1852"/>
      <c r="PRY26" s="1852"/>
      <c r="PSB26" s="1852"/>
      <c r="PSE26" s="1852"/>
      <c r="PSH26" s="1852"/>
      <c r="PSK26" s="1852"/>
      <c r="PSN26" s="1852"/>
      <c r="PSQ26" s="1852"/>
      <c r="PST26" s="1852"/>
      <c r="PSW26" s="1852"/>
      <c r="PSZ26" s="1852"/>
      <c r="PTC26" s="1852"/>
      <c r="PTF26" s="1852"/>
      <c r="PTI26" s="1852"/>
      <c r="PTL26" s="1852"/>
      <c r="PTO26" s="1852"/>
      <c r="PTR26" s="1852"/>
      <c r="PTU26" s="1852"/>
      <c r="PTX26" s="1852"/>
      <c r="PUA26" s="1852"/>
      <c r="PUD26" s="1852"/>
      <c r="PUG26" s="1852"/>
      <c r="PUJ26" s="1852"/>
      <c r="PUM26" s="1852"/>
      <c r="PUP26" s="1852"/>
      <c r="PUS26" s="1852"/>
      <c r="PUV26" s="1852"/>
      <c r="PUY26" s="1852"/>
      <c r="PVB26" s="1852"/>
      <c r="PVE26" s="1852"/>
      <c r="PVH26" s="1852"/>
      <c r="PVK26" s="1852"/>
      <c r="PVN26" s="1852"/>
      <c r="PVQ26" s="1852"/>
      <c r="PVT26" s="1852"/>
      <c r="PVW26" s="1852"/>
      <c r="PVZ26" s="1852"/>
      <c r="PWC26" s="1852"/>
      <c r="PWF26" s="1852"/>
      <c r="PWI26" s="1852"/>
      <c r="PWL26" s="1852"/>
      <c r="PWO26" s="1852"/>
      <c r="PWR26" s="1852"/>
      <c r="PWU26" s="1852"/>
      <c r="PWX26" s="1852"/>
      <c r="PXA26" s="1852"/>
      <c r="PXD26" s="1852"/>
      <c r="PXG26" s="1852"/>
      <c r="PXJ26" s="1852"/>
      <c r="PXM26" s="1852"/>
      <c r="PXP26" s="1852"/>
      <c r="PXS26" s="1852"/>
      <c r="PXV26" s="1852"/>
      <c r="PXY26" s="1852"/>
      <c r="PYB26" s="1852"/>
      <c r="PYE26" s="1852"/>
      <c r="PYH26" s="1852"/>
      <c r="PYK26" s="1852"/>
      <c r="PYN26" s="1852"/>
      <c r="PYQ26" s="1852"/>
      <c r="PYT26" s="1852"/>
      <c r="PYW26" s="1852"/>
      <c r="PYZ26" s="1852"/>
      <c r="PZC26" s="1852"/>
      <c r="PZF26" s="1852"/>
      <c r="PZI26" s="1852"/>
      <c r="PZL26" s="1852"/>
      <c r="PZO26" s="1852"/>
      <c r="PZR26" s="1852"/>
      <c r="PZU26" s="1852"/>
      <c r="PZX26" s="1852"/>
      <c r="QAA26" s="1852"/>
      <c r="QAD26" s="1852"/>
      <c r="QAG26" s="1852"/>
      <c r="QAJ26" s="1852"/>
      <c r="QAM26" s="1852"/>
      <c r="QAP26" s="1852"/>
      <c r="QAS26" s="1852"/>
      <c r="QAV26" s="1852"/>
      <c r="QAY26" s="1852"/>
      <c r="QBB26" s="1852"/>
      <c r="QBE26" s="1852"/>
      <c r="QBH26" s="1852"/>
      <c r="QBK26" s="1852"/>
      <c r="QBN26" s="1852"/>
      <c r="QBQ26" s="1852"/>
      <c r="QBT26" s="1852"/>
      <c r="QBW26" s="1852"/>
      <c r="QBZ26" s="1852"/>
      <c r="QCC26" s="1852"/>
      <c r="QCF26" s="1852"/>
      <c r="QCI26" s="1852"/>
      <c r="QCL26" s="1852"/>
      <c r="QCO26" s="1852"/>
      <c r="QCR26" s="1852"/>
      <c r="QCU26" s="1852"/>
      <c r="QCX26" s="1852"/>
      <c r="QDA26" s="1852"/>
      <c r="QDD26" s="1852"/>
      <c r="QDG26" s="1852"/>
      <c r="QDJ26" s="1852"/>
      <c r="QDM26" s="1852"/>
      <c r="QDP26" s="1852"/>
      <c r="QDS26" s="1852"/>
      <c r="QDV26" s="1852"/>
      <c r="QDY26" s="1852"/>
      <c r="QEB26" s="1852"/>
      <c r="QEE26" s="1852"/>
      <c r="QEH26" s="1852"/>
      <c r="QEK26" s="1852"/>
      <c r="QEN26" s="1852"/>
      <c r="QEQ26" s="1852"/>
      <c r="QET26" s="1852"/>
      <c r="QEW26" s="1852"/>
      <c r="QEZ26" s="1852"/>
      <c r="QFC26" s="1852"/>
      <c r="QFF26" s="1852"/>
      <c r="QFI26" s="1852"/>
      <c r="QFL26" s="1852"/>
      <c r="QFO26" s="1852"/>
      <c r="QFR26" s="1852"/>
      <c r="QFU26" s="1852"/>
      <c r="QFX26" s="1852"/>
      <c r="QGA26" s="1852"/>
      <c r="QGD26" s="1852"/>
      <c r="QGG26" s="1852"/>
      <c r="QGJ26" s="1852"/>
      <c r="QGM26" s="1852"/>
      <c r="QGP26" s="1852"/>
      <c r="QGS26" s="1852"/>
      <c r="QGV26" s="1852"/>
      <c r="QGY26" s="1852"/>
      <c r="QHB26" s="1852"/>
      <c r="QHE26" s="1852"/>
      <c r="QHH26" s="1852"/>
      <c r="QHK26" s="1852"/>
      <c r="QHN26" s="1852"/>
      <c r="QHQ26" s="1852"/>
      <c r="QHT26" s="1852"/>
      <c r="QHW26" s="1852"/>
      <c r="QHZ26" s="1852"/>
      <c r="QIC26" s="1852"/>
      <c r="QIF26" s="1852"/>
      <c r="QII26" s="1852"/>
      <c r="QIL26" s="1852"/>
      <c r="QIO26" s="1852"/>
      <c r="QIR26" s="1852"/>
      <c r="QIU26" s="1852"/>
      <c r="QIX26" s="1852"/>
      <c r="QJA26" s="1852"/>
      <c r="QJD26" s="1852"/>
      <c r="QJG26" s="1852"/>
      <c r="QJJ26" s="1852"/>
      <c r="QJM26" s="1852"/>
      <c r="QJP26" s="1852"/>
      <c r="QJS26" s="1852"/>
      <c r="QJV26" s="1852"/>
      <c r="QJY26" s="1852"/>
      <c r="QKB26" s="1852"/>
      <c r="QKE26" s="1852"/>
      <c r="QKH26" s="1852"/>
      <c r="QKK26" s="1852"/>
      <c r="QKN26" s="1852"/>
      <c r="QKQ26" s="1852"/>
      <c r="QKT26" s="1852"/>
      <c r="QKW26" s="1852"/>
      <c r="QKZ26" s="1852"/>
      <c r="QLC26" s="1852"/>
      <c r="QLF26" s="1852"/>
      <c r="QLI26" s="1852"/>
      <c r="QLL26" s="1852"/>
      <c r="QLO26" s="1852"/>
      <c r="QLR26" s="1852"/>
      <c r="QLU26" s="1852"/>
      <c r="QLX26" s="1852"/>
      <c r="QMA26" s="1852"/>
      <c r="QMD26" s="1852"/>
      <c r="QMG26" s="1852"/>
      <c r="QMJ26" s="1852"/>
      <c r="QMM26" s="1852"/>
      <c r="QMP26" s="1852"/>
      <c r="QMS26" s="1852"/>
      <c r="QMV26" s="1852"/>
      <c r="QMY26" s="1852"/>
      <c r="QNB26" s="1852"/>
      <c r="QNE26" s="1852"/>
      <c r="QNH26" s="1852"/>
      <c r="QNK26" s="1852"/>
      <c r="QNN26" s="1852"/>
      <c r="QNQ26" s="1852"/>
      <c r="QNT26" s="1852"/>
      <c r="QNW26" s="1852"/>
      <c r="QNZ26" s="1852"/>
      <c r="QOC26" s="1852"/>
      <c r="QOF26" s="1852"/>
      <c r="QOI26" s="1852"/>
      <c r="QOL26" s="1852"/>
      <c r="QOO26" s="1852"/>
      <c r="QOR26" s="1852"/>
      <c r="QOU26" s="1852"/>
      <c r="QOX26" s="1852"/>
      <c r="QPA26" s="1852"/>
      <c r="QPD26" s="1852"/>
      <c r="QPG26" s="1852"/>
      <c r="QPJ26" s="1852"/>
      <c r="QPM26" s="1852"/>
      <c r="QPP26" s="1852"/>
      <c r="QPS26" s="1852"/>
      <c r="QPV26" s="1852"/>
      <c r="QPY26" s="1852"/>
      <c r="QQB26" s="1852"/>
      <c r="QQE26" s="1852"/>
      <c r="QQH26" s="1852"/>
      <c r="QQK26" s="1852"/>
      <c r="QQN26" s="1852"/>
      <c r="QQQ26" s="1852"/>
      <c r="QQT26" s="1852"/>
      <c r="QQW26" s="1852"/>
      <c r="QQZ26" s="1852"/>
      <c r="QRC26" s="1852"/>
      <c r="QRF26" s="1852"/>
      <c r="QRI26" s="1852"/>
      <c r="QRL26" s="1852"/>
      <c r="QRO26" s="1852"/>
      <c r="QRR26" s="1852"/>
      <c r="QRU26" s="1852"/>
      <c r="QRX26" s="1852"/>
      <c r="QSA26" s="1852"/>
      <c r="QSD26" s="1852"/>
      <c r="QSG26" s="1852"/>
      <c r="QSJ26" s="1852"/>
      <c r="QSM26" s="1852"/>
      <c r="QSP26" s="1852"/>
      <c r="QSS26" s="1852"/>
      <c r="QSV26" s="1852"/>
      <c r="QSY26" s="1852"/>
      <c r="QTB26" s="1852"/>
      <c r="QTE26" s="1852"/>
      <c r="QTH26" s="1852"/>
      <c r="QTK26" s="1852"/>
      <c r="QTN26" s="1852"/>
      <c r="QTQ26" s="1852"/>
      <c r="QTT26" s="1852"/>
      <c r="QTW26" s="1852"/>
      <c r="QTZ26" s="1852"/>
      <c r="QUC26" s="1852"/>
      <c r="QUF26" s="1852"/>
      <c r="QUI26" s="1852"/>
      <c r="QUL26" s="1852"/>
      <c r="QUO26" s="1852"/>
      <c r="QUR26" s="1852"/>
      <c r="QUU26" s="1852"/>
      <c r="QUX26" s="1852"/>
      <c r="QVA26" s="1852"/>
      <c r="QVD26" s="1852"/>
      <c r="QVG26" s="1852"/>
      <c r="QVJ26" s="1852"/>
      <c r="QVM26" s="1852"/>
      <c r="QVP26" s="1852"/>
      <c r="QVS26" s="1852"/>
      <c r="QVV26" s="1852"/>
      <c r="QVY26" s="1852"/>
      <c r="QWB26" s="1852"/>
      <c r="QWE26" s="1852"/>
      <c r="QWH26" s="1852"/>
      <c r="QWK26" s="1852"/>
      <c r="QWN26" s="1852"/>
      <c r="QWQ26" s="1852"/>
      <c r="QWT26" s="1852"/>
      <c r="QWW26" s="1852"/>
      <c r="QWZ26" s="1852"/>
      <c r="QXC26" s="1852"/>
      <c r="QXF26" s="1852"/>
      <c r="QXI26" s="1852"/>
      <c r="QXL26" s="1852"/>
      <c r="QXO26" s="1852"/>
      <c r="QXR26" s="1852"/>
      <c r="QXU26" s="1852"/>
      <c r="QXX26" s="1852"/>
      <c r="QYA26" s="1852"/>
      <c r="QYD26" s="1852"/>
      <c r="QYG26" s="1852"/>
      <c r="QYJ26" s="1852"/>
      <c r="QYM26" s="1852"/>
      <c r="QYP26" s="1852"/>
      <c r="QYS26" s="1852"/>
      <c r="QYV26" s="1852"/>
      <c r="QYY26" s="1852"/>
      <c r="QZB26" s="1852"/>
      <c r="QZE26" s="1852"/>
      <c r="QZH26" s="1852"/>
      <c r="QZK26" s="1852"/>
      <c r="QZN26" s="1852"/>
      <c r="QZQ26" s="1852"/>
      <c r="QZT26" s="1852"/>
      <c r="QZW26" s="1852"/>
      <c r="QZZ26" s="1852"/>
      <c r="RAC26" s="1852"/>
      <c r="RAF26" s="1852"/>
      <c r="RAI26" s="1852"/>
      <c r="RAL26" s="1852"/>
      <c r="RAO26" s="1852"/>
      <c r="RAR26" s="1852"/>
      <c r="RAU26" s="1852"/>
      <c r="RAX26" s="1852"/>
      <c r="RBA26" s="1852"/>
      <c r="RBD26" s="1852"/>
      <c r="RBG26" s="1852"/>
      <c r="RBJ26" s="1852"/>
      <c r="RBM26" s="1852"/>
      <c r="RBP26" s="1852"/>
      <c r="RBS26" s="1852"/>
      <c r="RBV26" s="1852"/>
      <c r="RBY26" s="1852"/>
      <c r="RCB26" s="1852"/>
      <c r="RCE26" s="1852"/>
      <c r="RCH26" s="1852"/>
      <c r="RCK26" s="1852"/>
      <c r="RCN26" s="1852"/>
      <c r="RCQ26" s="1852"/>
      <c r="RCT26" s="1852"/>
      <c r="RCW26" s="1852"/>
      <c r="RCZ26" s="1852"/>
      <c r="RDC26" s="1852"/>
      <c r="RDF26" s="1852"/>
      <c r="RDI26" s="1852"/>
      <c r="RDL26" s="1852"/>
      <c r="RDO26" s="1852"/>
      <c r="RDR26" s="1852"/>
      <c r="RDU26" s="1852"/>
      <c r="RDX26" s="1852"/>
      <c r="REA26" s="1852"/>
      <c r="RED26" s="1852"/>
      <c r="REG26" s="1852"/>
      <c r="REJ26" s="1852"/>
      <c r="REM26" s="1852"/>
      <c r="REP26" s="1852"/>
      <c r="RES26" s="1852"/>
      <c r="REV26" s="1852"/>
      <c r="REY26" s="1852"/>
      <c r="RFB26" s="1852"/>
      <c r="RFE26" s="1852"/>
      <c r="RFH26" s="1852"/>
      <c r="RFK26" s="1852"/>
      <c r="RFN26" s="1852"/>
      <c r="RFQ26" s="1852"/>
      <c r="RFT26" s="1852"/>
      <c r="RFW26" s="1852"/>
      <c r="RFZ26" s="1852"/>
      <c r="RGC26" s="1852"/>
      <c r="RGF26" s="1852"/>
      <c r="RGI26" s="1852"/>
      <c r="RGL26" s="1852"/>
      <c r="RGO26" s="1852"/>
      <c r="RGR26" s="1852"/>
      <c r="RGU26" s="1852"/>
      <c r="RGX26" s="1852"/>
      <c r="RHA26" s="1852"/>
      <c r="RHD26" s="1852"/>
      <c r="RHG26" s="1852"/>
      <c r="RHJ26" s="1852"/>
      <c r="RHM26" s="1852"/>
      <c r="RHP26" s="1852"/>
      <c r="RHS26" s="1852"/>
      <c r="RHV26" s="1852"/>
      <c r="RHY26" s="1852"/>
      <c r="RIB26" s="1852"/>
      <c r="RIE26" s="1852"/>
      <c r="RIH26" s="1852"/>
      <c r="RIK26" s="1852"/>
      <c r="RIN26" s="1852"/>
      <c r="RIQ26" s="1852"/>
      <c r="RIT26" s="1852"/>
      <c r="RIW26" s="1852"/>
      <c r="RIZ26" s="1852"/>
      <c r="RJC26" s="1852"/>
      <c r="RJF26" s="1852"/>
      <c r="RJI26" s="1852"/>
      <c r="RJL26" s="1852"/>
      <c r="RJO26" s="1852"/>
      <c r="RJR26" s="1852"/>
      <c r="RJU26" s="1852"/>
      <c r="RJX26" s="1852"/>
      <c r="RKA26" s="1852"/>
      <c r="RKD26" s="1852"/>
      <c r="RKG26" s="1852"/>
      <c r="RKJ26" s="1852"/>
      <c r="RKM26" s="1852"/>
      <c r="RKP26" s="1852"/>
      <c r="RKS26" s="1852"/>
      <c r="RKV26" s="1852"/>
      <c r="RKY26" s="1852"/>
      <c r="RLB26" s="1852"/>
      <c r="RLE26" s="1852"/>
      <c r="RLH26" s="1852"/>
      <c r="RLK26" s="1852"/>
      <c r="RLN26" s="1852"/>
      <c r="RLQ26" s="1852"/>
      <c r="RLT26" s="1852"/>
      <c r="RLW26" s="1852"/>
      <c r="RLZ26" s="1852"/>
      <c r="RMC26" s="1852"/>
      <c r="RMF26" s="1852"/>
      <c r="RMI26" s="1852"/>
      <c r="RML26" s="1852"/>
      <c r="RMO26" s="1852"/>
      <c r="RMR26" s="1852"/>
      <c r="RMU26" s="1852"/>
      <c r="RMX26" s="1852"/>
      <c r="RNA26" s="1852"/>
      <c r="RND26" s="1852"/>
      <c r="RNG26" s="1852"/>
      <c r="RNJ26" s="1852"/>
      <c r="RNM26" s="1852"/>
      <c r="RNP26" s="1852"/>
      <c r="RNS26" s="1852"/>
      <c r="RNV26" s="1852"/>
      <c r="RNY26" s="1852"/>
      <c r="ROB26" s="1852"/>
      <c r="ROE26" s="1852"/>
      <c r="ROH26" s="1852"/>
      <c r="ROK26" s="1852"/>
      <c r="RON26" s="1852"/>
      <c r="ROQ26" s="1852"/>
      <c r="ROT26" s="1852"/>
      <c r="ROW26" s="1852"/>
      <c r="ROZ26" s="1852"/>
      <c r="RPC26" s="1852"/>
      <c r="RPF26" s="1852"/>
      <c r="RPI26" s="1852"/>
      <c r="RPL26" s="1852"/>
      <c r="RPO26" s="1852"/>
      <c r="RPR26" s="1852"/>
      <c r="RPU26" s="1852"/>
      <c r="RPX26" s="1852"/>
      <c r="RQA26" s="1852"/>
      <c r="RQD26" s="1852"/>
      <c r="RQG26" s="1852"/>
      <c r="RQJ26" s="1852"/>
      <c r="RQM26" s="1852"/>
      <c r="RQP26" s="1852"/>
      <c r="RQS26" s="1852"/>
      <c r="RQV26" s="1852"/>
      <c r="RQY26" s="1852"/>
      <c r="RRB26" s="1852"/>
      <c r="RRE26" s="1852"/>
      <c r="RRH26" s="1852"/>
      <c r="RRK26" s="1852"/>
      <c r="RRN26" s="1852"/>
      <c r="RRQ26" s="1852"/>
      <c r="RRT26" s="1852"/>
      <c r="RRW26" s="1852"/>
      <c r="RRZ26" s="1852"/>
      <c r="RSC26" s="1852"/>
      <c r="RSF26" s="1852"/>
      <c r="RSI26" s="1852"/>
      <c r="RSL26" s="1852"/>
      <c r="RSO26" s="1852"/>
      <c r="RSR26" s="1852"/>
      <c r="RSU26" s="1852"/>
      <c r="RSX26" s="1852"/>
      <c r="RTA26" s="1852"/>
      <c r="RTD26" s="1852"/>
      <c r="RTG26" s="1852"/>
      <c r="RTJ26" s="1852"/>
      <c r="RTM26" s="1852"/>
      <c r="RTP26" s="1852"/>
      <c r="RTS26" s="1852"/>
      <c r="RTV26" s="1852"/>
      <c r="RTY26" s="1852"/>
      <c r="RUB26" s="1852"/>
      <c r="RUE26" s="1852"/>
      <c r="RUH26" s="1852"/>
      <c r="RUK26" s="1852"/>
      <c r="RUN26" s="1852"/>
      <c r="RUQ26" s="1852"/>
      <c r="RUT26" s="1852"/>
      <c r="RUW26" s="1852"/>
      <c r="RUZ26" s="1852"/>
      <c r="RVC26" s="1852"/>
      <c r="RVF26" s="1852"/>
      <c r="RVI26" s="1852"/>
      <c r="RVL26" s="1852"/>
      <c r="RVO26" s="1852"/>
      <c r="RVR26" s="1852"/>
      <c r="RVU26" s="1852"/>
      <c r="RVX26" s="1852"/>
      <c r="RWA26" s="1852"/>
      <c r="RWD26" s="1852"/>
      <c r="RWG26" s="1852"/>
      <c r="RWJ26" s="1852"/>
      <c r="RWM26" s="1852"/>
      <c r="RWP26" s="1852"/>
      <c r="RWS26" s="1852"/>
      <c r="RWV26" s="1852"/>
      <c r="RWY26" s="1852"/>
      <c r="RXB26" s="1852"/>
      <c r="RXE26" s="1852"/>
      <c r="RXH26" s="1852"/>
      <c r="RXK26" s="1852"/>
      <c r="RXN26" s="1852"/>
      <c r="RXQ26" s="1852"/>
      <c r="RXT26" s="1852"/>
      <c r="RXW26" s="1852"/>
      <c r="RXZ26" s="1852"/>
      <c r="RYC26" s="1852"/>
      <c r="RYF26" s="1852"/>
      <c r="RYI26" s="1852"/>
      <c r="RYL26" s="1852"/>
      <c r="RYO26" s="1852"/>
      <c r="RYR26" s="1852"/>
      <c r="RYU26" s="1852"/>
      <c r="RYX26" s="1852"/>
      <c r="RZA26" s="1852"/>
      <c r="RZD26" s="1852"/>
      <c r="RZG26" s="1852"/>
      <c r="RZJ26" s="1852"/>
      <c r="RZM26" s="1852"/>
      <c r="RZP26" s="1852"/>
      <c r="RZS26" s="1852"/>
      <c r="RZV26" s="1852"/>
      <c r="RZY26" s="1852"/>
      <c r="SAB26" s="1852"/>
      <c r="SAE26" s="1852"/>
      <c r="SAH26" s="1852"/>
      <c r="SAK26" s="1852"/>
      <c r="SAN26" s="1852"/>
      <c r="SAQ26" s="1852"/>
      <c r="SAT26" s="1852"/>
      <c r="SAW26" s="1852"/>
      <c r="SAZ26" s="1852"/>
      <c r="SBC26" s="1852"/>
      <c r="SBF26" s="1852"/>
      <c r="SBI26" s="1852"/>
      <c r="SBL26" s="1852"/>
      <c r="SBO26" s="1852"/>
      <c r="SBR26" s="1852"/>
      <c r="SBU26" s="1852"/>
      <c r="SBX26" s="1852"/>
      <c r="SCA26" s="1852"/>
      <c r="SCD26" s="1852"/>
      <c r="SCG26" s="1852"/>
      <c r="SCJ26" s="1852"/>
      <c r="SCM26" s="1852"/>
      <c r="SCP26" s="1852"/>
      <c r="SCS26" s="1852"/>
      <c r="SCV26" s="1852"/>
      <c r="SCY26" s="1852"/>
      <c r="SDB26" s="1852"/>
      <c r="SDE26" s="1852"/>
      <c r="SDH26" s="1852"/>
      <c r="SDK26" s="1852"/>
      <c r="SDN26" s="1852"/>
      <c r="SDQ26" s="1852"/>
      <c r="SDT26" s="1852"/>
      <c r="SDW26" s="1852"/>
      <c r="SDZ26" s="1852"/>
      <c r="SEC26" s="1852"/>
      <c r="SEF26" s="1852"/>
      <c r="SEI26" s="1852"/>
      <c r="SEL26" s="1852"/>
      <c r="SEO26" s="1852"/>
      <c r="SER26" s="1852"/>
      <c r="SEU26" s="1852"/>
      <c r="SEX26" s="1852"/>
      <c r="SFA26" s="1852"/>
      <c r="SFD26" s="1852"/>
      <c r="SFG26" s="1852"/>
      <c r="SFJ26" s="1852"/>
      <c r="SFM26" s="1852"/>
      <c r="SFP26" s="1852"/>
      <c r="SFS26" s="1852"/>
      <c r="SFV26" s="1852"/>
      <c r="SFY26" s="1852"/>
      <c r="SGB26" s="1852"/>
      <c r="SGE26" s="1852"/>
      <c r="SGH26" s="1852"/>
      <c r="SGK26" s="1852"/>
      <c r="SGN26" s="1852"/>
      <c r="SGQ26" s="1852"/>
      <c r="SGT26" s="1852"/>
      <c r="SGW26" s="1852"/>
      <c r="SGZ26" s="1852"/>
      <c r="SHC26" s="1852"/>
      <c r="SHF26" s="1852"/>
      <c r="SHI26" s="1852"/>
      <c r="SHL26" s="1852"/>
      <c r="SHO26" s="1852"/>
      <c r="SHR26" s="1852"/>
      <c r="SHU26" s="1852"/>
      <c r="SHX26" s="1852"/>
      <c r="SIA26" s="1852"/>
      <c r="SID26" s="1852"/>
      <c r="SIG26" s="1852"/>
      <c r="SIJ26" s="1852"/>
      <c r="SIM26" s="1852"/>
      <c r="SIP26" s="1852"/>
      <c r="SIS26" s="1852"/>
      <c r="SIV26" s="1852"/>
      <c r="SIY26" s="1852"/>
      <c r="SJB26" s="1852"/>
      <c r="SJE26" s="1852"/>
      <c r="SJH26" s="1852"/>
      <c r="SJK26" s="1852"/>
      <c r="SJN26" s="1852"/>
      <c r="SJQ26" s="1852"/>
      <c r="SJT26" s="1852"/>
      <c r="SJW26" s="1852"/>
      <c r="SJZ26" s="1852"/>
      <c r="SKC26" s="1852"/>
      <c r="SKF26" s="1852"/>
      <c r="SKI26" s="1852"/>
      <c r="SKL26" s="1852"/>
      <c r="SKO26" s="1852"/>
      <c r="SKR26" s="1852"/>
      <c r="SKU26" s="1852"/>
      <c r="SKX26" s="1852"/>
      <c r="SLA26" s="1852"/>
      <c r="SLD26" s="1852"/>
      <c r="SLG26" s="1852"/>
      <c r="SLJ26" s="1852"/>
      <c r="SLM26" s="1852"/>
      <c r="SLP26" s="1852"/>
      <c r="SLS26" s="1852"/>
      <c r="SLV26" s="1852"/>
      <c r="SLY26" s="1852"/>
      <c r="SMB26" s="1852"/>
      <c r="SME26" s="1852"/>
      <c r="SMH26" s="1852"/>
      <c r="SMK26" s="1852"/>
      <c r="SMN26" s="1852"/>
      <c r="SMQ26" s="1852"/>
      <c r="SMT26" s="1852"/>
      <c r="SMW26" s="1852"/>
      <c r="SMZ26" s="1852"/>
      <c r="SNC26" s="1852"/>
      <c r="SNF26" s="1852"/>
      <c r="SNI26" s="1852"/>
      <c r="SNL26" s="1852"/>
      <c r="SNO26" s="1852"/>
      <c r="SNR26" s="1852"/>
      <c r="SNU26" s="1852"/>
      <c r="SNX26" s="1852"/>
      <c r="SOA26" s="1852"/>
      <c r="SOD26" s="1852"/>
      <c r="SOG26" s="1852"/>
      <c r="SOJ26" s="1852"/>
      <c r="SOM26" s="1852"/>
      <c r="SOP26" s="1852"/>
      <c r="SOS26" s="1852"/>
      <c r="SOV26" s="1852"/>
      <c r="SOY26" s="1852"/>
      <c r="SPB26" s="1852"/>
      <c r="SPE26" s="1852"/>
      <c r="SPH26" s="1852"/>
      <c r="SPK26" s="1852"/>
      <c r="SPN26" s="1852"/>
      <c r="SPQ26" s="1852"/>
      <c r="SPT26" s="1852"/>
      <c r="SPW26" s="1852"/>
      <c r="SPZ26" s="1852"/>
      <c r="SQC26" s="1852"/>
      <c r="SQF26" s="1852"/>
      <c r="SQI26" s="1852"/>
      <c r="SQL26" s="1852"/>
      <c r="SQO26" s="1852"/>
      <c r="SQR26" s="1852"/>
      <c r="SQU26" s="1852"/>
      <c r="SQX26" s="1852"/>
      <c r="SRA26" s="1852"/>
      <c r="SRD26" s="1852"/>
      <c r="SRG26" s="1852"/>
      <c r="SRJ26" s="1852"/>
      <c r="SRM26" s="1852"/>
      <c r="SRP26" s="1852"/>
      <c r="SRS26" s="1852"/>
      <c r="SRV26" s="1852"/>
      <c r="SRY26" s="1852"/>
      <c r="SSB26" s="1852"/>
      <c r="SSE26" s="1852"/>
      <c r="SSH26" s="1852"/>
      <c r="SSK26" s="1852"/>
      <c r="SSN26" s="1852"/>
      <c r="SSQ26" s="1852"/>
      <c r="SST26" s="1852"/>
      <c r="SSW26" s="1852"/>
      <c r="SSZ26" s="1852"/>
      <c r="STC26" s="1852"/>
      <c r="STF26" s="1852"/>
      <c r="STI26" s="1852"/>
      <c r="STL26" s="1852"/>
      <c r="STO26" s="1852"/>
      <c r="STR26" s="1852"/>
      <c r="STU26" s="1852"/>
      <c r="STX26" s="1852"/>
      <c r="SUA26" s="1852"/>
      <c r="SUD26" s="1852"/>
      <c r="SUG26" s="1852"/>
      <c r="SUJ26" s="1852"/>
      <c r="SUM26" s="1852"/>
      <c r="SUP26" s="1852"/>
      <c r="SUS26" s="1852"/>
      <c r="SUV26" s="1852"/>
      <c r="SUY26" s="1852"/>
      <c r="SVB26" s="1852"/>
      <c r="SVE26" s="1852"/>
      <c r="SVH26" s="1852"/>
      <c r="SVK26" s="1852"/>
      <c r="SVN26" s="1852"/>
      <c r="SVQ26" s="1852"/>
      <c r="SVT26" s="1852"/>
      <c r="SVW26" s="1852"/>
      <c r="SVZ26" s="1852"/>
      <c r="SWC26" s="1852"/>
      <c r="SWF26" s="1852"/>
      <c r="SWI26" s="1852"/>
      <c r="SWL26" s="1852"/>
      <c r="SWO26" s="1852"/>
      <c r="SWR26" s="1852"/>
      <c r="SWU26" s="1852"/>
      <c r="SWX26" s="1852"/>
      <c r="SXA26" s="1852"/>
      <c r="SXD26" s="1852"/>
      <c r="SXG26" s="1852"/>
      <c r="SXJ26" s="1852"/>
      <c r="SXM26" s="1852"/>
      <c r="SXP26" s="1852"/>
      <c r="SXS26" s="1852"/>
      <c r="SXV26" s="1852"/>
      <c r="SXY26" s="1852"/>
      <c r="SYB26" s="1852"/>
      <c r="SYE26" s="1852"/>
      <c r="SYH26" s="1852"/>
      <c r="SYK26" s="1852"/>
      <c r="SYN26" s="1852"/>
      <c r="SYQ26" s="1852"/>
      <c r="SYT26" s="1852"/>
      <c r="SYW26" s="1852"/>
      <c r="SYZ26" s="1852"/>
      <c r="SZC26" s="1852"/>
      <c r="SZF26" s="1852"/>
      <c r="SZI26" s="1852"/>
      <c r="SZL26" s="1852"/>
      <c r="SZO26" s="1852"/>
      <c r="SZR26" s="1852"/>
      <c r="SZU26" s="1852"/>
      <c r="SZX26" s="1852"/>
      <c r="TAA26" s="1852"/>
      <c r="TAD26" s="1852"/>
      <c r="TAG26" s="1852"/>
      <c r="TAJ26" s="1852"/>
      <c r="TAM26" s="1852"/>
      <c r="TAP26" s="1852"/>
      <c r="TAS26" s="1852"/>
      <c r="TAV26" s="1852"/>
      <c r="TAY26" s="1852"/>
      <c r="TBB26" s="1852"/>
      <c r="TBE26" s="1852"/>
      <c r="TBH26" s="1852"/>
      <c r="TBK26" s="1852"/>
      <c r="TBN26" s="1852"/>
      <c r="TBQ26" s="1852"/>
      <c r="TBT26" s="1852"/>
      <c r="TBW26" s="1852"/>
      <c r="TBZ26" s="1852"/>
      <c r="TCC26" s="1852"/>
      <c r="TCF26" s="1852"/>
      <c r="TCI26" s="1852"/>
      <c r="TCL26" s="1852"/>
      <c r="TCO26" s="1852"/>
      <c r="TCR26" s="1852"/>
      <c r="TCU26" s="1852"/>
      <c r="TCX26" s="1852"/>
      <c r="TDA26" s="1852"/>
      <c r="TDD26" s="1852"/>
      <c r="TDG26" s="1852"/>
      <c r="TDJ26" s="1852"/>
      <c r="TDM26" s="1852"/>
      <c r="TDP26" s="1852"/>
      <c r="TDS26" s="1852"/>
      <c r="TDV26" s="1852"/>
      <c r="TDY26" s="1852"/>
      <c r="TEB26" s="1852"/>
      <c r="TEE26" s="1852"/>
      <c r="TEH26" s="1852"/>
      <c r="TEK26" s="1852"/>
      <c r="TEN26" s="1852"/>
      <c r="TEQ26" s="1852"/>
      <c r="TET26" s="1852"/>
      <c r="TEW26" s="1852"/>
      <c r="TEZ26" s="1852"/>
      <c r="TFC26" s="1852"/>
      <c r="TFF26" s="1852"/>
      <c r="TFI26" s="1852"/>
      <c r="TFL26" s="1852"/>
      <c r="TFO26" s="1852"/>
      <c r="TFR26" s="1852"/>
      <c r="TFU26" s="1852"/>
      <c r="TFX26" s="1852"/>
      <c r="TGA26" s="1852"/>
      <c r="TGD26" s="1852"/>
      <c r="TGG26" s="1852"/>
      <c r="TGJ26" s="1852"/>
      <c r="TGM26" s="1852"/>
      <c r="TGP26" s="1852"/>
      <c r="TGS26" s="1852"/>
      <c r="TGV26" s="1852"/>
      <c r="TGY26" s="1852"/>
      <c r="THB26" s="1852"/>
      <c r="THE26" s="1852"/>
      <c r="THH26" s="1852"/>
      <c r="THK26" s="1852"/>
      <c r="THN26" s="1852"/>
      <c r="THQ26" s="1852"/>
      <c r="THT26" s="1852"/>
      <c r="THW26" s="1852"/>
      <c r="THZ26" s="1852"/>
      <c r="TIC26" s="1852"/>
      <c r="TIF26" s="1852"/>
      <c r="TII26" s="1852"/>
      <c r="TIL26" s="1852"/>
      <c r="TIO26" s="1852"/>
      <c r="TIR26" s="1852"/>
      <c r="TIU26" s="1852"/>
      <c r="TIX26" s="1852"/>
      <c r="TJA26" s="1852"/>
      <c r="TJD26" s="1852"/>
      <c r="TJG26" s="1852"/>
      <c r="TJJ26" s="1852"/>
      <c r="TJM26" s="1852"/>
      <c r="TJP26" s="1852"/>
      <c r="TJS26" s="1852"/>
      <c r="TJV26" s="1852"/>
      <c r="TJY26" s="1852"/>
      <c r="TKB26" s="1852"/>
      <c r="TKE26" s="1852"/>
      <c r="TKH26" s="1852"/>
      <c r="TKK26" s="1852"/>
      <c r="TKN26" s="1852"/>
      <c r="TKQ26" s="1852"/>
      <c r="TKT26" s="1852"/>
      <c r="TKW26" s="1852"/>
      <c r="TKZ26" s="1852"/>
      <c r="TLC26" s="1852"/>
      <c r="TLF26" s="1852"/>
      <c r="TLI26" s="1852"/>
      <c r="TLL26" s="1852"/>
      <c r="TLO26" s="1852"/>
      <c r="TLR26" s="1852"/>
      <c r="TLU26" s="1852"/>
      <c r="TLX26" s="1852"/>
      <c r="TMA26" s="1852"/>
      <c r="TMD26" s="1852"/>
      <c r="TMG26" s="1852"/>
      <c r="TMJ26" s="1852"/>
      <c r="TMM26" s="1852"/>
      <c r="TMP26" s="1852"/>
      <c r="TMS26" s="1852"/>
      <c r="TMV26" s="1852"/>
      <c r="TMY26" s="1852"/>
      <c r="TNB26" s="1852"/>
      <c r="TNE26" s="1852"/>
      <c r="TNH26" s="1852"/>
      <c r="TNK26" s="1852"/>
      <c r="TNN26" s="1852"/>
      <c r="TNQ26" s="1852"/>
      <c r="TNT26" s="1852"/>
      <c r="TNW26" s="1852"/>
      <c r="TNZ26" s="1852"/>
      <c r="TOC26" s="1852"/>
      <c r="TOF26" s="1852"/>
      <c r="TOI26" s="1852"/>
      <c r="TOL26" s="1852"/>
      <c r="TOO26" s="1852"/>
      <c r="TOR26" s="1852"/>
      <c r="TOU26" s="1852"/>
      <c r="TOX26" s="1852"/>
      <c r="TPA26" s="1852"/>
      <c r="TPD26" s="1852"/>
      <c r="TPG26" s="1852"/>
      <c r="TPJ26" s="1852"/>
      <c r="TPM26" s="1852"/>
      <c r="TPP26" s="1852"/>
      <c r="TPS26" s="1852"/>
      <c r="TPV26" s="1852"/>
      <c r="TPY26" s="1852"/>
      <c r="TQB26" s="1852"/>
      <c r="TQE26" s="1852"/>
      <c r="TQH26" s="1852"/>
      <c r="TQK26" s="1852"/>
      <c r="TQN26" s="1852"/>
      <c r="TQQ26" s="1852"/>
      <c r="TQT26" s="1852"/>
      <c r="TQW26" s="1852"/>
      <c r="TQZ26" s="1852"/>
      <c r="TRC26" s="1852"/>
      <c r="TRF26" s="1852"/>
      <c r="TRI26" s="1852"/>
      <c r="TRL26" s="1852"/>
      <c r="TRO26" s="1852"/>
      <c r="TRR26" s="1852"/>
      <c r="TRU26" s="1852"/>
      <c r="TRX26" s="1852"/>
      <c r="TSA26" s="1852"/>
      <c r="TSD26" s="1852"/>
      <c r="TSG26" s="1852"/>
      <c r="TSJ26" s="1852"/>
      <c r="TSM26" s="1852"/>
      <c r="TSP26" s="1852"/>
      <c r="TSS26" s="1852"/>
      <c r="TSV26" s="1852"/>
      <c r="TSY26" s="1852"/>
      <c r="TTB26" s="1852"/>
      <c r="TTE26" s="1852"/>
      <c r="TTH26" s="1852"/>
      <c r="TTK26" s="1852"/>
      <c r="TTN26" s="1852"/>
      <c r="TTQ26" s="1852"/>
      <c r="TTT26" s="1852"/>
      <c r="TTW26" s="1852"/>
      <c r="TTZ26" s="1852"/>
      <c r="TUC26" s="1852"/>
      <c r="TUF26" s="1852"/>
      <c r="TUI26" s="1852"/>
      <c r="TUL26" s="1852"/>
      <c r="TUO26" s="1852"/>
      <c r="TUR26" s="1852"/>
      <c r="TUU26" s="1852"/>
      <c r="TUX26" s="1852"/>
      <c r="TVA26" s="1852"/>
      <c r="TVD26" s="1852"/>
      <c r="TVG26" s="1852"/>
      <c r="TVJ26" s="1852"/>
      <c r="TVM26" s="1852"/>
      <c r="TVP26" s="1852"/>
      <c r="TVS26" s="1852"/>
      <c r="TVV26" s="1852"/>
      <c r="TVY26" s="1852"/>
      <c r="TWB26" s="1852"/>
      <c r="TWE26" s="1852"/>
      <c r="TWH26" s="1852"/>
      <c r="TWK26" s="1852"/>
      <c r="TWN26" s="1852"/>
      <c r="TWQ26" s="1852"/>
      <c r="TWT26" s="1852"/>
      <c r="TWW26" s="1852"/>
      <c r="TWZ26" s="1852"/>
      <c r="TXC26" s="1852"/>
      <c r="TXF26" s="1852"/>
      <c r="TXI26" s="1852"/>
      <c r="TXL26" s="1852"/>
      <c r="TXO26" s="1852"/>
      <c r="TXR26" s="1852"/>
      <c r="TXU26" s="1852"/>
      <c r="TXX26" s="1852"/>
      <c r="TYA26" s="1852"/>
      <c r="TYD26" s="1852"/>
      <c r="TYG26" s="1852"/>
      <c r="TYJ26" s="1852"/>
      <c r="TYM26" s="1852"/>
      <c r="TYP26" s="1852"/>
      <c r="TYS26" s="1852"/>
      <c r="TYV26" s="1852"/>
      <c r="TYY26" s="1852"/>
      <c r="TZB26" s="1852"/>
      <c r="TZE26" s="1852"/>
      <c r="TZH26" s="1852"/>
      <c r="TZK26" s="1852"/>
      <c r="TZN26" s="1852"/>
      <c r="TZQ26" s="1852"/>
      <c r="TZT26" s="1852"/>
      <c r="TZW26" s="1852"/>
      <c r="TZZ26" s="1852"/>
      <c r="UAC26" s="1852"/>
      <c r="UAF26" s="1852"/>
      <c r="UAI26" s="1852"/>
      <c r="UAL26" s="1852"/>
      <c r="UAO26" s="1852"/>
      <c r="UAR26" s="1852"/>
      <c r="UAU26" s="1852"/>
      <c r="UAX26" s="1852"/>
      <c r="UBA26" s="1852"/>
      <c r="UBD26" s="1852"/>
      <c r="UBG26" s="1852"/>
      <c r="UBJ26" s="1852"/>
      <c r="UBM26" s="1852"/>
      <c r="UBP26" s="1852"/>
      <c r="UBS26" s="1852"/>
      <c r="UBV26" s="1852"/>
      <c r="UBY26" s="1852"/>
      <c r="UCB26" s="1852"/>
      <c r="UCE26" s="1852"/>
      <c r="UCH26" s="1852"/>
      <c r="UCK26" s="1852"/>
      <c r="UCN26" s="1852"/>
      <c r="UCQ26" s="1852"/>
      <c r="UCT26" s="1852"/>
      <c r="UCW26" s="1852"/>
      <c r="UCZ26" s="1852"/>
      <c r="UDC26" s="1852"/>
      <c r="UDF26" s="1852"/>
      <c r="UDI26" s="1852"/>
      <c r="UDL26" s="1852"/>
      <c r="UDO26" s="1852"/>
      <c r="UDR26" s="1852"/>
      <c r="UDU26" s="1852"/>
      <c r="UDX26" s="1852"/>
      <c r="UEA26" s="1852"/>
      <c r="UED26" s="1852"/>
      <c r="UEG26" s="1852"/>
      <c r="UEJ26" s="1852"/>
      <c r="UEM26" s="1852"/>
      <c r="UEP26" s="1852"/>
      <c r="UES26" s="1852"/>
      <c r="UEV26" s="1852"/>
      <c r="UEY26" s="1852"/>
      <c r="UFB26" s="1852"/>
      <c r="UFE26" s="1852"/>
      <c r="UFH26" s="1852"/>
      <c r="UFK26" s="1852"/>
      <c r="UFN26" s="1852"/>
      <c r="UFQ26" s="1852"/>
      <c r="UFT26" s="1852"/>
      <c r="UFW26" s="1852"/>
      <c r="UFZ26" s="1852"/>
      <c r="UGC26" s="1852"/>
      <c r="UGF26" s="1852"/>
      <c r="UGI26" s="1852"/>
      <c r="UGL26" s="1852"/>
      <c r="UGO26" s="1852"/>
      <c r="UGR26" s="1852"/>
      <c r="UGU26" s="1852"/>
      <c r="UGX26" s="1852"/>
      <c r="UHA26" s="1852"/>
      <c r="UHD26" s="1852"/>
      <c r="UHG26" s="1852"/>
      <c r="UHJ26" s="1852"/>
      <c r="UHM26" s="1852"/>
      <c r="UHP26" s="1852"/>
      <c r="UHS26" s="1852"/>
      <c r="UHV26" s="1852"/>
      <c r="UHY26" s="1852"/>
      <c r="UIB26" s="1852"/>
      <c r="UIE26" s="1852"/>
      <c r="UIH26" s="1852"/>
      <c r="UIK26" s="1852"/>
      <c r="UIN26" s="1852"/>
      <c r="UIQ26" s="1852"/>
      <c r="UIT26" s="1852"/>
      <c r="UIW26" s="1852"/>
      <c r="UIZ26" s="1852"/>
      <c r="UJC26" s="1852"/>
      <c r="UJF26" s="1852"/>
      <c r="UJI26" s="1852"/>
      <c r="UJL26" s="1852"/>
      <c r="UJO26" s="1852"/>
      <c r="UJR26" s="1852"/>
      <c r="UJU26" s="1852"/>
      <c r="UJX26" s="1852"/>
      <c r="UKA26" s="1852"/>
      <c r="UKD26" s="1852"/>
      <c r="UKG26" s="1852"/>
      <c r="UKJ26" s="1852"/>
      <c r="UKM26" s="1852"/>
      <c r="UKP26" s="1852"/>
      <c r="UKS26" s="1852"/>
      <c r="UKV26" s="1852"/>
      <c r="UKY26" s="1852"/>
      <c r="ULB26" s="1852"/>
      <c r="ULE26" s="1852"/>
      <c r="ULH26" s="1852"/>
      <c r="ULK26" s="1852"/>
      <c r="ULN26" s="1852"/>
      <c r="ULQ26" s="1852"/>
      <c r="ULT26" s="1852"/>
      <c r="ULW26" s="1852"/>
      <c r="ULZ26" s="1852"/>
      <c r="UMC26" s="1852"/>
      <c r="UMF26" s="1852"/>
      <c r="UMI26" s="1852"/>
      <c r="UML26" s="1852"/>
      <c r="UMO26" s="1852"/>
      <c r="UMR26" s="1852"/>
      <c r="UMU26" s="1852"/>
      <c r="UMX26" s="1852"/>
      <c r="UNA26" s="1852"/>
      <c r="UND26" s="1852"/>
      <c r="UNG26" s="1852"/>
      <c r="UNJ26" s="1852"/>
      <c r="UNM26" s="1852"/>
      <c r="UNP26" s="1852"/>
      <c r="UNS26" s="1852"/>
      <c r="UNV26" s="1852"/>
      <c r="UNY26" s="1852"/>
      <c r="UOB26" s="1852"/>
      <c r="UOE26" s="1852"/>
      <c r="UOH26" s="1852"/>
      <c r="UOK26" s="1852"/>
      <c r="UON26" s="1852"/>
      <c r="UOQ26" s="1852"/>
      <c r="UOT26" s="1852"/>
      <c r="UOW26" s="1852"/>
      <c r="UOZ26" s="1852"/>
      <c r="UPC26" s="1852"/>
      <c r="UPF26" s="1852"/>
      <c r="UPI26" s="1852"/>
      <c r="UPL26" s="1852"/>
      <c r="UPO26" s="1852"/>
      <c r="UPR26" s="1852"/>
      <c r="UPU26" s="1852"/>
      <c r="UPX26" s="1852"/>
      <c r="UQA26" s="1852"/>
      <c r="UQD26" s="1852"/>
      <c r="UQG26" s="1852"/>
      <c r="UQJ26" s="1852"/>
      <c r="UQM26" s="1852"/>
      <c r="UQP26" s="1852"/>
      <c r="UQS26" s="1852"/>
      <c r="UQV26" s="1852"/>
      <c r="UQY26" s="1852"/>
      <c r="URB26" s="1852"/>
      <c r="URE26" s="1852"/>
      <c r="URH26" s="1852"/>
      <c r="URK26" s="1852"/>
      <c r="URN26" s="1852"/>
      <c r="URQ26" s="1852"/>
      <c r="URT26" s="1852"/>
      <c r="URW26" s="1852"/>
      <c r="URZ26" s="1852"/>
      <c r="USC26" s="1852"/>
      <c r="USF26" s="1852"/>
      <c r="USI26" s="1852"/>
      <c r="USL26" s="1852"/>
      <c r="USO26" s="1852"/>
      <c r="USR26" s="1852"/>
      <c r="USU26" s="1852"/>
      <c r="USX26" s="1852"/>
      <c r="UTA26" s="1852"/>
      <c r="UTD26" s="1852"/>
      <c r="UTG26" s="1852"/>
      <c r="UTJ26" s="1852"/>
      <c r="UTM26" s="1852"/>
      <c r="UTP26" s="1852"/>
      <c r="UTS26" s="1852"/>
      <c r="UTV26" s="1852"/>
      <c r="UTY26" s="1852"/>
      <c r="UUB26" s="1852"/>
      <c r="UUE26" s="1852"/>
      <c r="UUH26" s="1852"/>
      <c r="UUK26" s="1852"/>
      <c r="UUN26" s="1852"/>
      <c r="UUQ26" s="1852"/>
      <c r="UUT26" s="1852"/>
      <c r="UUW26" s="1852"/>
      <c r="UUZ26" s="1852"/>
      <c r="UVC26" s="1852"/>
      <c r="UVF26" s="1852"/>
      <c r="UVI26" s="1852"/>
      <c r="UVL26" s="1852"/>
      <c r="UVO26" s="1852"/>
      <c r="UVR26" s="1852"/>
      <c r="UVU26" s="1852"/>
      <c r="UVX26" s="1852"/>
      <c r="UWA26" s="1852"/>
      <c r="UWD26" s="1852"/>
      <c r="UWG26" s="1852"/>
      <c r="UWJ26" s="1852"/>
      <c r="UWM26" s="1852"/>
      <c r="UWP26" s="1852"/>
      <c r="UWS26" s="1852"/>
      <c r="UWV26" s="1852"/>
      <c r="UWY26" s="1852"/>
      <c r="UXB26" s="1852"/>
      <c r="UXE26" s="1852"/>
      <c r="UXH26" s="1852"/>
      <c r="UXK26" s="1852"/>
      <c r="UXN26" s="1852"/>
      <c r="UXQ26" s="1852"/>
      <c r="UXT26" s="1852"/>
      <c r="UXW26" s="1852"/>
      <c r="UXZ26" s="1852"/>
      <c r="UYC26" s="1852"/>
      <c r="UYF26" s="1852"/>
      <c r="UYI26" s="1852"/>
      <c r="UYL26" s="1852"/>
      <c r="UYO26" s="1852"/>
      <c r="UYR26" s="1852"/>
      <c r="UYU26" s="1852"/>
      <c r="UYX26" s="1852"/>
      <c r="UZA26" s="1852"/>
      <c r="UZD26" s="1852"/>
      <c r="UZG26" s="1852"/>
      <c r="UZJ26" s="1852"/>
      <c r="UZM26" s="1852"/>
      <c r="UZP26" s="1852"/>
      <c r="UZS26" s="1852"/>
      <c r="UZV26" s="1852"/>
      <c r="UZY26" s="1852"/>
      <c r="VAB26" s="1852"/>
      <c r="VAE26" s="1852"/>
      <c r="VAH26" s="1852"/>
      <c r="VAK26" s="1852"/>
      <c r="VAN26" s="1852"/>
      <c r="VAQ26" s="1852"/>
      <c r="VAT26" s="1852"/>
      <c r="VAW26" s="1852"/>
      <c r="VAZ26" s="1852"/>
      <c r="VBC26" s="1852"/>
      <c r="VBF26" s="1852"/>
      <c r="VBI26" s="1852"/>
      <c r="VBL26" s="1852"/>
      <c r="VBO26" s="1852"/>
      <c r="VBR26" s="1852"/>
      <c r="VBU26" s="1852"/>
      <c r="VBX26" s="1852"/>
      <c r="VCA26" s="1852"/>
      <c r="VCD26" s="1852"/>
      <c r="VCG26" s="1852"/>
      <c r="VCJ26" s="1852"/>
      <c r="VCM26" s="1852"/>
      <c r="VCP26" s="1852"/>
      <c r="VCS26" s="1852"/>
      <c r="VCV26" s="1852"/>
      <c r="VCY26" s="1852"/>
      <c r="VDB26" s="1852"/>
      <c r="VDE26" s="1852"/>
      <c r="VDH26" s="1852"/>
      <c r="VDK26" s="1852"/>
      <c r="VDN26" s="1852"/>
      <c r="VDQ26" s="1852"/>
      <c r="VDT26" s="1852"/>
      <c r="VDW26" s="1852"/>
      <c r="VDZ26" s="1852"/>
      <c r="VEC26" s="1852"/>
      <c r="VEF26" s="1852"/>
      <c r="VEI26" s="1852"/>
      <c r="VEL26" s="1852"/>
      <c r="VEO26" s="1852"/>
      <c r="VER26" s="1852"/>
      <c r="VEU26" s="1852"/>
      <c r="VEX26" s="1852"/>
      <c r="VFA26" s="1852"/>
      <c r="VFD26" s="1852"/>
      <c r="VFG26" s="1852"/>
      <c r="VFJ26" s="1852"/>
      <c r="VFM26" s="1852"/>
      <c r="VFP26" s="1852"/>
      <c r="VFS26" s="1852"/>
      <c r="VFV26" s="1852"/>
      <c r="VFY26" s="1852"/>
      <c r="VGB26" s="1852"/>
      <c r="VGE26" s="1852"/>
      <c r="VGH26" s="1852"/>
      <c r="VGK26" s="1852"/>
      <c r="VGN26" s="1852"/>
      <c r="VGQ26" s="1852"/>
      <c r="VGT26" s="1852"/>
      <c r="VGW26" s="1852"/>
      <c r="VGZ26" s="1852"/>
      <c r="VHC26" s="1852"/>
      <c r="VHF26" s="1852"/>
      <c r="VHI26" s="1852"/>
      <c r="VHL26" s="1852"/>
      <c r="VHO26" s="1852"/>
      <c r="VHR26" s="1852"/>
      <c r="VHU26" s="1852"/>
      <c r="VHX26" s="1852"/>
      <c r="VIA26" s="1852"/>
      <c r="VID26" s="1852"/>
      <c r="VIG26" s="1852"/>
      <c r="VIJ26" s="1852"/>
      <c r="VIM26" s="1852"/>
      <c r="VIP26" s="1852"/>
      <c r="VIS26" s="1852"/>
      <c r="VIV26" s="1852"/>
      <c r="VIY26" s="1852"/>
      <c r="VJB26" s="1852"/>
      <c r="VJE26" s="1852"/>
      <c r="VJH26" s="1852"/>
      <c r="VJK26" s="1852"/>
      <c r="VJN26" s="1852"/>
      <c r="VJQ26" s="1852"/>
      <c r="VJT26" s="1852"/>
      <c r="VJW26" s="1852"/>
      <c r="VJZ26" s="1852"/>
      <c r="VKC26" s="1852"/>
      <c r="VKF26" s="1852"/>
      <c r="VKI26" s="1852"/>
      <c r="VKL26" s="1852"/>
      <c r="VKO26" s="1852"/>
      <c r="VKR26" s="1852"/>
      <c r="VKU26" s="1852"/>
      <c r="VKX26" s="1852"/>
      <c r="VLA26" s="1852"/>
      <c r="VLD26" s="1852"/>
      <c r="VLG26" s="1852"/>
      <c r="VLJ26" s="1852"/>
      <c r="VLM26" s="1852"/>
      <c r="VLP26" s="1852"/>
      <c r="VLS26" s="1852"/>
      <c r="VLV26" s="1852"/>
      <c r="VLY26" s="1852"/>
      <c r="VMB26" s="1852"/>
      <c r="VME26" s="1852"/>
      <c r="VMH26" s="1852"/>
      <c r="VMK26" s="1852"/>
      <c r="VMN26" s="1852"/>
      <c r="VMQ26" s="1852"/>
      <c r="VMT26" s="1852"/>
      <c r="VMW26" s="1852"/>
      <c r="VMZ26" s="1852"/>
      <c r="VNC26" s="1852"/>
      <c r="VNF26" s="1852"/>
      <c r="VNI26" s="1852"/>
      <c r="VNL26" s="1852"/>
      <c r="VNO26" s="1852"/>
      <c r="VNR26" s="1852"/>
      <c r="VNU26" s="1852"/>
      <c r="VNX26" s="1852"/>
      <c r="VOA26" s="1852"/>
      <c r="VOD26" s="1852"/>
      <c r="VOG26" s="1852"/>
      <c r="VOJ26" s="1852"/>
      <c r="VOM26" s="1852"/>
      <c r="VOP26" s="1852"/>
      <c r="VOS26" s="1852"/>
      <c r="VOV26" s="1852"/>
      <c r="VOY26" s="1852"/>
      <c r="VPB26" s="1852"/>
      <c r="VPE26" s="1852"/>
      <c r="VPH26" s="1852"/>
      <c r="VPK26" s="1852"/>
      <c r="VPN26" s="1852"/>
      <c r="VPQ26" s="1852"/>
      <c r="VPT26" s="1852"/>
      <c r="VPW26" s="1852"/>
      <c r="VPZ26" s="1852"/>
      <c r="VQC26" s="1852"/>
      <c r="VQF26" s="1852"/>
      <c r="VQI26" s="1852"/>
      <c r="VQL26" s="1852"/>
      <c r="VQO26" s="1852"/>
      <c r="VQR26" s="1852"/>
      <c r="VQU26" s="1852"/>
      <c r="VQX26" s="1852"/>
      <c r="VRA26" s="1852"/>
      <c r="VRD26" s="1852"/>
      <c r="VRG26" s="1852"/>
      <c r="VRJ26" s="1852"/>
      <c r="VRM26" s="1852"/>
      <c r="VRP26" s="1852"/>
      <c r="VRS26" s="1852"/>
      <c r="VRV26" s="1852"/>
      <c r="VRY26" s="1852"/>
      <c r="VSB26" s="1852"/>
      <c r="VSE26" s="1852"/>
      <c r="VSH26" s="1852"/>
      <c r="VSK26" s="1852"/>
      <c r="VSN26" s="1852"/>
      <c r="VSQ26" s="1852"/>
      <c r="VST26" s="1852"/>
      <c r="VSW26" s="1852"/>
      <c r="VSZ26" s="1852"/>
      <c r="VTC26" s="1852"/>
      <c r="VTF26" s="1852"/>
      <c r="VTI26" s="1852"/>
      <c r="VTL26" s="1852"/>
      <c r="VTO26" s="1852"/>
      <c r="VTR26" s="1852"/>
      <c r="VTU26" s="1852"/>
      <c r="VTX26" s="1852"/>
      <c r="VUA26" s="1852"/>
      <c r="VUD26" s="1852"/>
      <c r="VUG26" s="1852"/>
      <c r="VUJ26" s="1852"/>
      <c r="VUM26" s="1852"/>
      <c r="VUP26" s="1852"/>
      <c r="VUS26" s="1852"/>
      <c r="VUV26" s="1852"/>
      <c r="VUY26" s="1852"/>
      <c r="VVB26" s="1852"/>
      <c r="VVE26" s="1852"/>
      <c r="VVH26" s="1852"/>
      <c r="VVK26" s="1852"/>
      <c r="VVN26" s="1852"/>
      <c r="VVQ26" s="1852"/>
      <c r="VVT26" s="1852"/>
      <c r="VVW26" s="1852"/>
      <c r="VVZ26" s="1852"/>
      <c r="VWC26" s="1852"/>
      <c r="VWF26" s="1852"/>
      <c r="VWI26" s="1852"/>
      <c r="VWL26" s="1852"/>
      <c r="VWO26" s="1852"/>
      <c r="VWR26" s="1852"/>
      <c r="VWU26" s="1852"/>
      <c r="VWX26" s="1852"/>
      <c r="VXA26" s="1852"/>
      <c r="VXD26" s="1852"/>
      <c r="VXG26" s="1852"/>
      <c r="VXJ26" s="1852"/>
      <c r="VXM26" s="1852"/>
      <c r="VXP26" s="1852"/>
      <c r="VXS26" s="1852"/>
      <c r="VXV26" s="1852"/>
      <c r="VXY26" s="1852"/>
      <c r="VYB26" s="1852"/>
      <c r="VYE26" s="1852"/>
      <c r="VYH26" s="1852"/>
      <c r="VYK26" s="1852"/>
      <c r="VYN26" s="1852"/>
      <c r="VYQ26" s="1852"/>
      <c r="VYT26" s="1852"/>
      <c r="VYW26" s="1852"/>
      <c r="VYZ26" s="1852"/>
      <c r="VZC26" s="1852"/>
      <c r="VZF26" s="1852"/>
      <c r="VZI26" s="1852"/>
      <c r="VZL26" s="1852"/>
      <c r="VZO26" s="1852"/>
      <c r="VZR26" s="1852"/>
      <c r="VZU26" s="1852"/>
      <c r="VZX26" s="1852"/>
      <c r="WAA26" s="1852"/>
      <c r="WAD26" s="1852"/>
      <c r="WAG26" s="1852"/>
      <c r="WAJ26" s="1852"/>
      <c r="WAM26" s="1852"/>
      <c r="WAP26" s="1852"/>
      <c r="WAS26" s="1852"/>
      <c r="WAV26" s="1852"/>
      <c r="WAY26" s="1852"/>
      <c r="WBB26" s="1852"/>
      <c r="WBE26" s="1852"/>
      <c r="WBH26" s="1852"/>
      <c r="WBK26" s="1852"/>
      <c r="WBN26" s="1852"/>
      <c r="WBQ26" s="1852"/>
      <c r="WBT26" s="1852"/>
      <c r="WBW26" s="1852"/>
      <c r="WBZ26" s="1852"/>
      <c r="WCC26" s="1852"/>
      <c r="WCF26" s="1852"/>
      <c r="WCI26" s="1852"/>
      <c r="WCL26" s="1852"/>
      <c r="WCO26" s="1852"/>
      <c r="WCR26" s="1852"/>
      <c r="WCU26" s="1852"/>
      <c r="WCX26" s="1852"/>
      <c r="WDA26" s="1852"/>
      <c r="WDD26" s="1852"/>
      <c r="WDG26" s="1852"/>
      <c r="WDJ26" s="1852"/>
      <c r="WDM26" s="1852"/>
      <c r="WDP26" s="1852"/>
      <c r="WDS26" s="1852"/>
      <c r="WDV26" s="1852"/>
      <c r="WDY26" s="1852"/>
      <c r="WEB26" s="1852"/>
      <c r="WEE26" s="1852"/>
      <c r="WEH26" s="1852"/>
      <c r="WEK26" s="1852"/>
      <c r="WEN26" s="1852"/>
      <c r="WEQ26" s="1852"/>
      <c r="WET26" s="1852"/>
      <c r="WEW26" s="1852"/>
      <c r="WEZ26" s="1852"/>
      <c r="WFC26" s="1852"/>
      <c r="WFF26" s="1852"/>
      <c r="WFI26" s="1852"/>
      <c r="WFL26" s="1852"/>
      <c r="WFO26" s="1852"/>
      <c r="WFR26" s="1852"/>
      <c r="WFU26" s="1852"/>
      <c r="WFX26" s="1852"/>
      <c r="WGA26" s="1852"/>
      <c r="WGD26" s="1852"/>
      <c r="WGG26" s="1852"/>
      <c r="WGJ26" s="1852"/>
      <c r="WGM26" s="1852"/>
      <c r="WGP26" s="1852"/>
      <c r="WGS26" s="1852"/>
      <c r="WGV26" s="1852"/>
      <c r="WGY26" s="1852"/>
      <c r="WHB26" s="1852"/>
      <c r="WHE26" s="1852"/>
      <c r="WHH26" s="1852"/>
      <c r="WHK26" s="1852"/>
      <c r="WHN26" s="1852"/>
      <c r="WHQ26" s="1852"/>
      <c r="WHT26" s="1852"/>
      <c r="WHW26" s="1852"/>
      <c r="WHZ26" s="1852"/>
      <c r="WIC26" s="1852"/>
      <c r="WIF26" s="1852"/>
      <c r="WII26" s="1852"/>
      <c r="WIL26" s="1852"/>
      <c r="WIO26" s="1852"/>
      <c r="WIR26" s="1852"/>
      <c r="WIU26" s="1852"/>
      <c r="WIX26" s="1852"/>
      <c r="WJA26" s="1852"/>
      <c r="WJD26" s="1852"/>
      <c r="WJG26" s="1852"/>
      <c r="WJJ26" s="1852"/>
      <c r="WJM26" s="1852"/>
      <c r="WJP26" s="1852"/>
      <c r="WJS26" s="1852"/>
      <c r="WJV26" s="1852"/>
      <c r="WJY26" s="1852"/>
      <c r="WKB26" s="1852"/>
      <c r="WKE26" s="1852"/>
      <c r="WKH26" s="1852"/>
      <c r="WKK26" s="1852"/>
      <c r="WKN26" s="1852"/>
      <c r="WKQ26" s="1852"/>
      <c r="WKT26" s="1852"/>
      <c r="WKW26" s="1852"/>
      <c r="WKZ26" s="1852"/>
      <c r="WLC26" s="1852"/>
      <c r="WLF26" s="1852"/>
      <c r="WLI26" s="1852"/>
      <c r="WLL26" s="1852"/>
      <c r="WLO26" s="1852"/>
      <c r="WLR26" s="1852"/>
      <c r="WLU26" s="1852"/>
      <c r="WLX26" s="1852"/>
      <c r="WMA26" s="1852"/>
      <c r="WMD26" s="1852"/>
      <c r="WMG26" s="1852"/>
      <c r="WMJ26" s="1852"/>
      <c r="WMM26" s="1852"/>
      <c r="WMP26" s="1852"/>
      <c r="WMS26" s="1852"/>
      <c r="WMV26" s="1852"/>
      <c r="WMY26" s="1852"/>
      <c r="WNB26" s="1852"/>
      <c r="WNE26" s="1852"/>
      <c r="WNH26" s="1852"/>
      <c r="WNK26" s="1852"/>
      <c r="WNN26" s="1852"/>
      <c r="WNQ26" s="1852"/>
      <c r="WNT26" s="1852"/>
      <c r="WNW26" s="1852"/>
      <c r="WNZ26" s="1852"/>
      <c r="WOC26" s="1852"/>
      <c r="WOF26" s="1852"/>
      <c r="WOI26" s="1852"/>
      <c r="WOL26" s="1852"/>
      <c r="WOO26" s="1852"/>
      <c r="WOR26" s="1852"/>
      <c r="WOU26" s="1852"/>
      <c r="WOX26" s="1852"/>
      <c r="WPA26" s="1852"/>
      <c r="WPD26" s="1852"/>
      <c r="WPG26" s="1852"/>
      <c r="WPJ26" s="1852"/>
      <c r="WPM26" s="1852"/>
      <c r="WPP26" s="1852"/>
      <c r="WPS26" s="1852"/>
      <c r="WPV26" s="1852"/>
      <c r="WPY26" s="1852"/>
      <c r="WQB26" s="1852"/>
      <c r="WQE26" s="1852"/>
      <c r="WQH26" s="1852"/>
      <c r="WQK26" s="1852"/>
      <c r="WQN26" s="1852"/>
      <c r="WQQ26" s="1852"/>
      <c r="WQT26" s="1852"/>
      <c r="WQW26" s="1852"/>
      <c r="WQZ26" s="1852"/>
      <c r="WRC26" s="1852"/>
      <c r="WRF26" s="1852"/>
      <c r="WRI26" s="1852"/>
      <c r="WRL26" s="1852"/>
      <c r="WRO26" s="1852"/>
      <c r="WRR26" s="1852"/>
      <c r="WRU26" s="1852"/>
      <c r="WRX26" s="1852"/>
      <c r="WSA26" s="1852"/>
      <c r="WSD26" s="1852"/>
      <c r="WSG26" s="1852"/>
      <c r="WSJ26" s="1852"/>
      <c r="WSM26" s="1852"/>
      <c r="WSP26" s="1852"/>
      <c r="WSS26" s="1852"/>
      <c r="WSV26" s="1852"/>
      <c r="WSY26" s="1852"/>
      <c r="WTB26" s="1852"/>
      <c r="WTE26" s="1852"/>
      <c r="WTH26" s="1852"/>
      <c r="WTK26" s="1852"/>
      <c r="WTN26" s="1852"/>
      <c r="WTQ26" s="1852"/>
      <c r="WTT26" s="1852"/>
      <c r="WTW26" s="1852"/>
      <c r="WTZ26" s="1852"/>
      <c r="WUC26" s="1852"/>
      <c r="WUF26" s="1852"/>
      <c r="WUI26" s="1852"/>
      <c r="WUL26" s="1852"/>
      <c r="WUO26" s="1852"/>
      <c r="WUR26" s="1852"/>
      <c r="WUU26" s="1852"/>
      <c r="WUX26" s="1852"/>
      <c r="WVA26" s="1852"/>
      <c r="WVD26" s="1852"/>
      <c r="WVG26" s="1852"/>
      <c r="WVJ26" s="1852"/>
      <c r="WVM26" s="1852"/>
      <c r="WVP26" s="1852"/>
      <c r="WVS26" s="1852"/>
      <c r="WVV26" s="1852"/>
      <c r="WVY26" s="1852"/>
      <c r="WWB26" s="1852"/>
      <c r="WWE26" s="1852"/>
      <c r="WWH26" s="1852"/>
      <c r="WWK26" s="1852"/>
      <c r="WWN26" s="1852"/>
      <c r="WWQ26" s="1852"/>
      <c r="WWT26" s="1852"/>
      <c r="WWW26" s="1852"/>
      <c r="WWZ26" s="1852"/>
      <c r="WXC26" s="1852"/>
      <c r="WXF26" s="1852"/>
      <c r="WXI26" s="1852"/>
      <c r="WXL26" s="1852"/>
      <c r="WXO26" s="1852"/>
      <c r="WXR26" s="1852"/>
      <c r="WXU26" s="1852"/>
      <c r="WXX26" s="1852"/>
      <c r="WYA26" s="1852"/>
      <c r="WYD26" s="1852"/>
      <c r="WYG26" s="1852"/>
      <c r="WYJ26" s="1852"/>
      <c r="WYM26" s="1852"/>
      <c r="WYP26" s="1852"/>
      <c r="WYS26" s="1852"/>
      <c r="WYV26" s="1852"/>
      <c r="WYY26" s="1852"/>
      <c r="WZB26" s="1852"/>
      <c r="WZE26" s="1852"/>
      <c r="WZH26" s="1852"/>
      <c r="WZK26" s="1852"/>
      <c r="WZN26" s="1852"/>
      <c r="WZQ26" s="1852"/>
      <c r="WZT26" s="1852"/>
      <c r="WZW26" s="1852"/>
      <c r="WZZ26" s="1852"/>
      <c r="XAC26" s="1852"/>
      <c r="XAF26" s="1852"/>
      <c r="XAI26" s="1852"/>
      <c r="XAL26" s="1852"/>
      <c r="XAO26" s="1852"/>
      <c r="XAR26" s="1852"/>
      <c r="XAU26" s="1852"/>
      <c r="XAX26" s="1852"/>
      <c r="XBA26" s="1852"/>
      <c r="XBD26" s="1852"/>
      <c r="XBG26" s="1852"/>
      <c r="XBJ26" s="1852"/>
      <c r="XBM26" s="1852"/>
      <c r="XBP26" s="1852"/>
      <c r="XBS26" s="1852"/>
      <c r="XBV26" s="1852"/>
      <c r="XBY26" s="1852"/>
      <c r="XCB26" s="1852"/>
      <c r="XCE26" s="1852"/>
      <c r="XCH26" s="1852"/>
      <c r="XCK26" s="1852"/>
      <c r="XCN26" s="1852"/>
      <c r="XCQ26" s="1852"/>
      <c r="XCT26" s="1852"/>
      <c r="XCW26" s="1852"/>
      <c r="XCZ26" s="1852"/>
      <c r="XDC26" s="1852"/>
      <c r="XDF26" s="1852"/>
      <c r="XDI26" s="1852"/>
      <c r="XDL26" s="1852"/>
      <c r="XDO26" s="1852"/>
      <c r="XDR26" s="1852"/>
      <c r="XDU26" s="1852"/>
      <c r="XDX26" s="1852"/>
      <c r="XEA26" s="1852"/>
      <c r="XED26" s="1852"/>
      <c r="XEG26" s="1852"/>
      <c r="XEJ26" s="1852"/>
      <c r="XEM26" s="1852"/>
      <c r="XEP26" s="1852"/>
      <c r="XES26" s="1852"/>
      <c r="XEV26" s="1852"/>
      <c r="XEY26" s="1852"/>
      <c r="XFB26" s="1852"/>
    </row>
    <row r="27" spans="1:16384" ht="7.5" customHeight="1" x14ac:dyDescent="0.25">
      <c r="A27" s="1175"/>
      <c r="B27" s="1627"/>
      <c r="C27" s="1628"/>
    </row>
    <row r="28" spans="1:16384" x14ac:dyDescent="0.25">
      <c r="A28" s="1664" t="s">
        <v>1249</v>
      </c>
      <c r="B28" s="1627"/>
      <c r="C28" s="1628"/>
    </row>
    <row r="29" spans="1:16384" ht="29.25" customHeight="1" x14ac:dyDescent="0.25">
      <c r="A29" s="2824" t="s">
        <v>2555</v>
      </c>
      <c r="B29" s="2825"/>
      <c r="C29" s="2826"/>
    </row>
    <row r="30" spans="1:16384" ht="30" customHeight="1" x14ac:dyDescent="0.25">
      <c r="A30" s="2824" t="s">
        <v>2388</v>
      </c>
      <c r="B30" s="2825"/>
      <c r="C30" s="2826"/>
    </row>
    <row r="31" spans="1:16384" x14ac:dyDescent="0.25">
      <c r="A31" s="2824" t="s">
        <v>2554</v>
      </c>
      <c r="B31" s="2825"/>
      <c r="C31" s="2826"/>
    </row>
    <row r="32" spans="1:16384" ht="30.75" customHeight="1" x14ac:dyDescent="0.25">
      <c r="A32" s="2824" t="s">
        <v>2583</v>
      </c>
      <c r="B32" s="2825"/>
      <c r="C32" s="2826"/>
    </row>
    <row r="33" spans="1:5" ht="3.9" customHeight="1" thickBot="1" x14ac:dyDescent="0.3">
      <c r="A33" s="1177"/>
      <c r="B33" s="1670"/>
      <c r="C33" s="1671"/>
    </row>
    <row r="34" spans="1:5" x14ac:dyDescent="0.25">
      <c r="A34" s="198"/>
      <c r="B34" s="198"/>
      <c r="C34" s="198"/>
      <c r="E34" s="1" t="s">
        <v>176</v>
      </c>
    </row>
    <row r="35" spans="1:5" x14ac:dyDescent="0.25">
      <c r="A35" s="1672"/>
      <c r="B35" s="198"/>
      <c r="C35" s="198"/>
    </row>
    <row r="36" spans="1:5" x14ac:dyDescent="0.25">
      <c r="A36" s="198"/>
      <c r="B36" s="198"/>
      <c r="C36" s="198"/>
    </row>
    <row r="37" spans="1:5" x14ac:dyDescent="0.25">
      <c r="A37" s="198"/>
      <c r="B37" s="198"/>
      <c r="C37" s="198"/>
    </row>
  </sheetData>
  <mergeCells count="5477">
    <mergeCell ref="A18:C18"/>
    <mergeCell ref="A20:C20"/>
    <mergeCell ref="A21:C21"/>
    <mergeCell ref="D21:F21"/>
    <mergeCell ref="G21:I21"/>
    <mergeCell ref="J21:L21"/>
    <mergeCell ref="A3:C3"/>
    <mergeCell ref="A14:C14"/>
    <mergeCell ref="A15:C15"/>
    <mergeCell ref="A16:C16"/>
    <mergeCell ref="A17:C17"/>
    <mergeCell ref="A19:C19"/>
    <mergeCell ref="AW21:AY21"/>
    <mergeCell ref="AZ21:BB21"/>
    <mergeCell ref="BC21:BE21"/>
    <mergeCell ref="BF21:BH21"/>
    <mergeCell ref="BI21:BK21"/>
    <mergeCell ref="BL21:BN21"/>
    <mergeCell ref="AE21:AG21"/>
    <mergeCell ref="AH21:AJ21"/>
    <mergeCell ref="AK21:AM21"/>
    <mergeCell ref="AN21:AP21"/>
    <mergeCell ref="AQ21:AS21"/>
    <mergeCell ref="AT21:AV21"/>
    <mergeCell ref="M21:O21"/>
    <mergeCell ref="P21:R21"/>
    <mergeCell ref="S21:U21"/>
    <mergeCell ref="V21:X21"/>
    <mergeCell ref="Y21:AA21"/>
    <mergeCell ref="AB21:AD21"/>
    <mergeCell ref="CY21:DA21"/>
    <mergeCell ref="DB21:DD21"/>
    <mergeCell ref="DE21:DG21"/>
    <mergeCell ref="DH21:DJ21"/>
    <mergeCell ref="DK21:DM21"/>
    <mergeCell ref="DN21:DP21"/>
    <mergeCell ref="CG21:CI21"/>
    <mergeCell ref="CJ21:CL21"/>
    <mergeCell ref="CM21:CO21"/>
    <mergeCell ref="CP21:CR21"/>
    <mergeCell ref="CS21:CU21"/>
    <mergeCell ref="CV21:CX21"/>
    <mergeCell ref="BO21:BQ21"/>
    <mergeCell ref="BR21:BT21"/>
    <mergeCell ref="BU21:BW21"/>
    <mergeCell ref="BX21:BZ21"/>
    <mergeCell ref="CA21:CC21"/>
    <mergeCell ref="CD21:CF21"/>
    <mergeCell ref="FA21:FC21"/>
    <mergeCell ref="FD21:FF21"/>
    <mergeCell ref="FG21:FI21"/>
    <mergeCell ref="FS21:FU21"/>
    <mergeCell ref="FV21:FX21"/>
    <mergeCell ref="FY21:GA21"/>
    <mergeCell ref="GB21:GD21"/>
    <mergeCell ref="GE21:GG21"/>
    <mergeCell ref="GH21:GJ21"/>
    <mergeCell ref="JE21:JG21"/>
    <mergeCell ref="FJ21:FL21"/>
    <mergeCell ref="FM21:FO21"/>
    <mergeCell ref="FP21:FR21"/>
    <mergeCell ref="EI21:EK21"/>
    <mergeCell ref="EL21:EN21"/>
    <mergeCell ref="EO21:EQ21"/>
    <mergeCell ref="ER21:ET21"/>
    <mergeCell ref="EU21:EW21"/>
    <mergeCell ref="EX21:EZ21"/>
    <mergeCell ref="DQ21:DS21"/>
    <mergeCell ref="DT21:DV21"/>
    <mergeCell ref="DW21:DY21"/>
    <mergeCell ref="DZ21:EB21"/>
    <mergeCell ref="EC21:EE21"/>
    <mergeCell ref="EF21:EH21"/>
    <mergeCell ref="HC21:HE21"/>
    <mergeCell ref="HF21:HH21"/>
    <mergeCell ref="IM21:IO21"/>
    <mergeCell ref="IP21:IR21"/>
    <mergeCell ref="IS21:IU21"/>
    <mergeCell ref="IV21:IX21"/>
    <mergeCell ref="IY21:JA21"/>
    <mergeCell ref="JB21:JD21"/>
    <mergeCell ref="HU21:HW21"/>
    <mergeCell ref="HX21:HZ21"/>
    <mergeCell ref="IA21:IC21"/>
    <mergeCell ref="ID21:IF21"/>
    <mergeCell ref="IG21:II21"/>
    <mergeCell ref="IJ21:IL21"/>
    <mergeCell ref="HI21:HK21"/>
    <mergeCell ref="HL21:HN21"/>
    <mergeCell ref="HO21:HQ21"/>
    <mergeCell ref="HR21:HT21"/>
    <mergeCell ref="GK21:GM21"/>
    <mergeCell ref="GN21:GP21"/>
    <mergeCell ref="GQ21:GS21"/>
    <mergeCell ref="GT21:GV21"/>
    <mergeCell ref="GW21:GY21"/>
    <mergeCell ref="GZ21:HB21"/>
    <mergeCell ref="KO21:KQ21"/>
    <mergeCell ref="KR21:KT21"/>
    <mergeCell ref="KU21:KW21"/>
    <mergeCell ref="KX21:KZ21"/>
    <mergeCell ref="LA21:LC21"/>
    <mergeCell ref="LD21:LF21"/>
    <mergeCell ref="JW21:JY21"/>
    <mergeCell ref="JZ21:KB21"/>
    <mergeCell ref="KC21:KE21"/>
    <mergeCell ref="KF21:KH21"/>
    <mergeCell ref="KI21:KK21"/>
    <mergeCell ref="KL21:KN21"/>
    <mergeCell ref="JH21:JJ21"/>
    <mergeCell ref="JK21:JM21"/>
    <mergeCell ref="JN21:JP21"/>
    <mergeCell ref="JQ21:JS21"/>
    <mergeCell ref="JT21:JV21"/>
    <mergeCell ref="MQ21:MS21"/>
    <mergeCell ref="MT21:MV21"/>
    <mergeCell ref="MW21:MY21"/>
    <mergeCell ref="MZ21:NB21"/>
    <mergeCell ref="NC21:NE21"/>
    <mergeCell ref="NF21:NH21"/>
    <mergeCell ref="LY21:MA21"/>
    <mergeCell ref="MB21:MD21"/>
    <mergeCell ref="ME21:MG21"/>
    <mergeCell ref="MH21:MJ21"/>
    <mergeCell ref="MK21:MM21"/>
    <mergeCell ref="MN21:MP21"/>
    <mergeCell ref="LG21:LI21"/>
    <mergeCell ref="LJ21:LL21"/>
    <mergeCell ref="LM21:LO21"/>
    <mergeCell ref="LP21:LR21"/>
    <mergeCell ref="LS21:LU21"/>
    <mergeCell ref="LV21:LX21"/>
    <mergeCell ref="OS21:OU21"/>
    <mergeCell ref="OV21:OX21"/>
    <mergeCell ref="OY21:PA21"/>
    <mergeCell ref="PB21:PD21"/>
    <mergeCell ref="PE21:PG21"/>
    <mergeCell ref="PH21:PJ21"/>
    <mergeCell ref="OA21:OC21"/>
    <mergeCell ref="OD21:OF21"/>
    <mergeCell ref="OG21:OI21"/>
    <mergeCell ref="OJ21:OL21"/>
    <mergeCell ref="OM21:OO21"/>
    <mergeCell ref="OP21:OR21"/>
    <mergeCell ref="NI21:NK21"/>
    <mergeCell ref="NL21:NN21"/>
    <mergeCell ref="NO21:NQ21"/>
    <mergeCell ref="NR21:NT21"/>
    <mergeCell ref="NU21:NW21"/>
    <mergeCell ref="NX21:NZ21"/>
    <mergeCell ref="QU21:QW21"/>
    <mergeCell ref="QX21:QZ21"/>
    <mergeCell ref="RA21:RC21"/>
    <mergeCell ref="RD21:RF21"/>
    <mergeCell ref="RG21:RI21"/>
    <mergeCell ref="RJ21:RL21"/>
    <mergeCell ref="QC21:QE21"/>
    <mergeCell ref="QF21:QH21"/>
    <mergeCell ref="QI21:QK21"/>
    <mergeCell ref="QL21:QN21"/>
    <mergeCell ref="QO21:QQ21"/>
    <mergeCell ref="QR21:QT21"/>
    <mergeCell ref="PK21:PM21"/>
    <mergeCell ref="PN21:PP21"/>
    <mergeCell ref="PQ21:PS21"/>
    <mergeCell ref="PT21:PV21"/>
    <mergeCell ref="PW21:PY21"/>
    <mergeCell ref="PZ21:QB21"/>
    <mergeCell ref="SW21:SY21"/>
    <mergeCell ref="SZ21:TB21"/>
    <mergeCell ref="TC21:TE21"/>
    <mergeCell ref="TF21:TH21"/>
    <mergeCell ref="TI21:TK21"/>
    <mergeCell ref="TL21:TN21"/>
    <mergeCell ref="SE21:SG21"/>
    <mergeCell ref="SH21:SJ21"/>
    <mergeCell ref="SK21:SM21"/>
    <mergeCell ref="SN21:SP21"/>
    <mergeCell ref="SQ21:SS21"/>
    <mergeCell ref="ST21:SV21"/>
    <mergeCell ref="RM21:RO21"/>
    <mergeCell ref="RP21:RR21"/>
    <mergeCell ref="RS21:RU21"/>
    <mergeCell ref="RV21:RX21"/>
    <mergeCell ref="RY21:SA21"/>
    <mergeCell ref="SB21:SD21"/>
    <mergeCell ref="UY21:VA21"/>
    <mergeCell ref="VB21:VD21"/>
    <mergeCell ref="VE21:VG21"/>
    <mergeCell ref="VH21:VJ21"/>
    <mergeCell ref="VK21:VM21"/>
    <mergeCell ref="VN21:VP21"/>
    <mergeCell ref="UG21:UI21"/>
    <mergeCell ref="UJ21:UL21"/>
    <mergeCell ref="UM21:UO21"/>
    <mergeCell ref="UP21:UR21"/>
    <mergeCell ref="US21:UU21"/>
    <mergeCell ref="UV21:UX21"/>
    <mergeCell ref="TO21:TQ21"/>
    <mergeCell ref="TR21:TT21"/>
    <mergeCell ref="TU21:TW21"/>
    <mergeCell ref="TX21:TZ21"/>
    <mergeCell ref="UA21:UC21"/>
    <mergeCell ref="UD21:UF21"/>
    <mergeCell ref="XA21:XC21"/>
    <mergeCell ref="XD21:XF21"/>
    <mergeCell ref="XG21:XI21"/>
    <mergeCell ref="XJ21:XL21"/>
    <mergeCell ref="XM21:XO21"/>
    <mergeCell ref="XP21:XR21"/>
    <mergeCell ref="WI21:WK21"/>
    <mergeCell ref="WL21:WN21"/>
    <mergeCell ref="WO21:WQ21"/>
    <mergeCell ref="WR21:WT21"/>
    <mergeCell ref="WU21:WW21"/>
    <mergeCell ref="WX21:WZ21"/>
    <mergeCell ref="VQ21:VS21"/>
    <mergeCell ref="VT21:VV21"/>
    <mergeCell ref="VW21:VY21"/>
    <mergeCell ref="VZ21:WB21"/>
    <mergeCell ref="WC21:WE21"/>
    <mergeCell ref="WF21:WH21"/>
    <mergeCell ref="ZC21:ZE21"/>
    <mergeCell ref="ZF21:ZH21"/>
    <mergeCell ref="ZI21:ZK21"/>
    <mergeCell ref="ZL21:ZN21"/>
    <mergeCell ref="ZO21:ZQ21"/>
    <mergeCell ref="ZR21:ZT21"/>
    <mergeCell ref="YK21:YM21"/>
    <mergeCell ref="YN21:YP21"/>
    <mergeCell ref="YQ21:YS21"/>
    <mergeCell ref="YT21:YV21"/>
    <mergeCell ref="YW21:YY21"/>
    <mergeCell ref="YZ21:ZB21"/>
    <mergeCell ref="XS21:XU21"/>
    <mergeCell ref="XV21:XX21"/>
    <mergeCell ref="XY21:YA21"/>
    <mergeCell ref="YB21:YD21"/>
    <mergeCell ref="YE21:YG21"/>
    <mergeCell ref="YH21:YJ21"/>
    <mergeCell ref="ABE21:ABG21"/>
    <mergeCell ref="ABH21:ABJ21"/>
    <mergeCell ref="ABK21:ABM21"/>
    <mergeCell ref="ABN21:ABP21"/>
    <mergeCell ref="ABQ21:ABS21"/>
    <mergeCell ref="ABT21:ABV21"/>
    <mergeCell ref="AAM21:AAO21"/>
    <mergeCell ref="AAP21:AAR21"/>
    <mergeCell ref="AAS21:AAU21"/>
    <mergeCell ref="AAV21:AAX21"/>
    <mergeCell ref="AAY21:ABA21"/>
    <mergeCell ref="ABB21:ABD21"/>
    <mergeCell ref="ZU21:ZW21"/>
    <mergeCell ref="ZX21:ZZ21"/>
    <mergeCell ref="AAA21:AAC21"/>
    <mergeCell ref="AAD21:AAF21"/>
    <mergeCell ref="AAG21:AAI21"/>
    <mergeCell ref="AAJ21:AAL21"/>
    <mergeCell ref="ADG21:ADI21"/>
    <mergeCell ref="ADJ21:ADL21"/>
    <mergeCell ref="ADM21:ADO21"/>
    <mergeCell ref="ADP21:ADR21"/>
    <mergeCell ref="ADS21:ADU21"/>
    <mergeCell ref="ADV21:ADX21"/>
    <mergeCell ref="ACO21:ACQ21"/>
    <mergeCell ref="ACR21:ACT21"/>
    <mergeCell ref="ACU21:ACW21"/>
    <mergeCell ref="ACX21:ACZ21"/>
    <mergeCell ref="ADA21:ADC21"/>
    <mergeCell ref="ADD21:ADF21"/>
    <mergeCell ref="ABW21:ABY21"/>
    <mergeCell ref="ABZ21:ACB21"/>
    <mergeCell ref="ACC21:ACE21"/>
    <mergeCell ref="ACF21:ACH21"/>
    <mergeCell ref="ACI21:ACK21"/>
    <mergeCell ref="ACL21:ACN21"/>
    <mergeCell ref="AFI21:AFK21"/>
    <mergeCell ref="AFL21:AFN21"/>
    <mergeCell ref="AFO21:AFQ21"/>
    <mergeCell ref="AFR21:AFT21"/>
    <mergeCell ref="AFU21:AFW21"/>
    <mergeCell ref="AFX21:AFZ21"/>
    <mergeCell ref="AEQ21:AES21"/>
    <mergeCell ref="AET21:AEV21"/>
    <mergeCell ref="AEW21:AEY21"/>
    <mergeCell ref="AEZ21:AFB21"/>
    <mergeCell ref="AFC21:AFE21"/>
    <mergeCell ref="AFF21:AFH21"/>
    <mergeCell ref="ADY21:AEA21"/>
    <mergeCell ref="AEB21:AED21"/>
    <mergeCell ref="AEE21:AEG21"/>
    <mergeCell ref="AEH21:AEJ21"/>
    <mergeCell ref="AEK21:AEM21"/>
    <mergeCell ref="AEN21:AEP21"/>
    <mergeCell ref="AHK21:AHM21"/>
    <mergeCell ref="AHN21:AHP21"/>
    <mergeCell ref="AHQ21:AHS21"/>
    <mergeCell ref="AHT21:AHV21"/>
    <mergeCell ref="AHW21:AHY21"/>
    <mergeCell ref="AHZ21:AIB21"/>
    <mergeCell ref="AGS21:AGU21"/>
    <mergeCell ref="AGV21:AGX21"/>
    <mergeCell ref="AGY21:AHA21"/>
    <mergeCell ref="AHB21:AHD21"/>
    <mergeCell ref="AHE21:AHG21"/>
    <mergeCell ref="AHH21:AHJ21"/>
    <mergeCell ref="AGA21:AGC21"/>
    <mergeCell ref="AGD21:AGF21"/>
    <mergeCell ref="AGG21:AGI21"/>
    <mergeCell ref="AGJ21:AGL21"/>
    <mergeCell ref="AGM21:AGO21"/>
    <mergeCell ref="AGP21:AGR21"/>
    <mergeCell ref="AJM21:AJO21"/>
    <mergeCell ref="AJP21:AJR21"/>
    <mergeCell ref="AJS21:AJU21"/>
    <mergeCell ref="AJV21:AJX21"/>
    <mergeCell ref="AJY21:AKA21"/>
    <mergeCell ref="AKB21:AKD21"/>
    <mergeCell ref="AIU21:AIW21"/>
    <mergeCell ref="AIX21:AIZ21"/>
    <mergeCell ref="AJA21:AJC21"/>
    <mergeCell ref="AJD21:AJF21"/>
    <mergeCell ref="AJG21:AJI21"/>
    <mergeCell ref="AJJ21:AJL21"/>
    <mergeCell ref="AIC21:AIE21"/>
    <mergeCell ref="AIF21:AIH21"/>
    <mergeCell ref="AII21:AIK21"/>
    <mergeCell ref="AIL21:AIN21"/>
    <mergeCell ref="AIO21:AIQ21"/>
    <mergeCell ref="AIR21:AIT21"/>
    <mergeCell ref="ALO21:ALQ21"/>
    <mergeCell ref="ALR21:ALT21"/>
    <mergeCell ref="ALU21:ALW21"/>
    <mergeCell ref="ALX21:ALZ21"/>
    <mergeCell ref="AMA21:AMC21"/>
    <mergeCell ref="AMD21:AMF21"/>
    <mergeCell ref="AKW21:AKY21"/>
    <mergeCell ref="AKZ21:ALB21"/>
    <mergeCell ref="ALC21:ALE21"/>
    <mergeCell ref="ALF21:ALH21"/>
    <mergeCell ref="ALI21:ALK21"/>
    <mergeCell ref="ALL21:ALN21"/>
    <mergeCell ref="AKE21:AKG21"/>
    <mergeCell ref="AKH21:AKJ21"/>
    <mergeCell ref="AKK21:AKM21"/>
    <mergeCell ref="AKN21:AKP21"/>
    <mergeCell ref="AKQ21:AKS21"/>
    <mergeCell ref="AKT21:AKV21"/>
    <mergeCell ref="ANQ21:ANS21"/>
    <mergeCell ref="ANT21:ANV21"/>
    <mergeCell ref="ANW21:ANY21"/>
    <mergeCell ref="ANZ21:AOB21"/>
    <mergeCell ref="AOC21:AOE21"/>
    <mergeCell ref="AOF21:AOH21"/>
    <mergeCell ref="AMY21:ANA21"/>
    <mergeCell ref="ANB21:AND21"/>
    <mergeCell ref="ANE21:ANG21"/>
    <mergeCell ref="ANH21:ANJ21"/>
    <mergeCell ref="ANK21:ANM21"/>
    <mergeCell ref="ANN21:ANP21"/>
    <mergeCell ref="AMG21:AMI21"/>
    <mergeCell ref="AMJ21:AML21"/>
    <mergeCell ref="AMM21:AMO21"/>
    <mergeCell ref="AMP21:AMR21"/>
    <mergeCell ref="AMS21:AMU21"/>
    <mergeCell ref="AMV21:AMX21"/>
    <mergeCell ref="APS21:APU21"/>
    <mergeCell ref="APV21:APX21"/>
    <mergeCell ref="APY21:AQA21"/>
    <mergeCell ref="AQB21:AQD21"/>
    <mergeCell ref="AQE21:AQG21"/>
    <mergeCell ref="AQH21:AQJ21"/>
    <mergeCell ref="APA21:APC21"/>
    <mergeCell ref="APD21:APF21"/>
    <mergeCell ref="APG21:API21"/>
    <mergeCell ref="APJ21:APL21"/>
    <mergeCell ref="APM21:APO21"/>
    <mergeCell ref="APP21:APR21"/>
    <mergeCell ref="AOI21:AOK21"/>
    <mergeCell ref="AOL21:AON21"/>
    <mergeCell ref="AOO21:AOQ21"/>
    <mergeCell ref="AOR21:AOT21"/>
    <mergeCell ref="AOU21:AOW21"/>
    <mergeCell ref="AOX21:AOZ21"/>
    <mergeCell ref="ARU21:ARW21"/>
    <mergeCell ref="ARX21:ARZ21"/>
    <mergeCell ref="ASA21:ASC21"/>
    <mergeCell ref="ASD21:ASF21"/>
    <mergeCell ref="ASG21:ASI21"/>
    <mergeCell ref="ASJ21:ASL21"/>
    <mergeCell ref="ARC21:ARE21"/>
    <mergeCell ref="ARF21:ARH21"/>
    <mergeCell ref="ARI21:ARK21"/>
    <mergeCell ref="ARL21:ARN21"/>
    <mergeCell ref="ARO21:ARQ21"/>
    <mergeCell ref="ARR21:ART21"/>
    <mergeCell ref="AQK21:AQM21"/>
    <mergeCell ref="AQN21:AQP21"/>
    <mergeCell ref="AQQ21:AQS21"/>
    <mergeCell ref="AQT21:AQV21"/>
    <mergeCell ref="AQW21:AQY21"/>
    <mergeCell ref="AQZ21:ARB21"/>
    <mergeCell ref="ATW21:ATY21"/>
    <mergeCell ref="ATZ21:AUB21"/>
    <mergeCell ref="AUC21:AUE21"/>
    <mergeCell ref="AUF21:AUH21"/>
    <mergeCell ref="AUI21:AUK21"/>
    <mergeCell ref="AUL21:AUN21"/>
    <mergeCell ref="ATE21:ATG21"/>
    <mergeCell ref="ATH21:ATJ21"/>
    <mergeCell ref="ATK21:ATM21"/>
    <mergeCell ref="ATN21:ATP21"/>
    <mergeCell ref="ATQ21:ATS21"/>
    <mergeCell ref="ATT21:ATV21"/>
    <mergeCell ref="ASM21:ASO21"/>
    <mergeCell ref="ASP21:ASR21"/>
    <mergeCell ref="ASS21:ASU21"/>
    <mergeCell ref="ASV21:ASX21"/>
    <mergeCell ref="ASY21:ATA21"/>
    <mergeCell ref="ATB21:ATD21"/>
    <mergeCell ref="AVY21:AWA21"/>
    <mergeCell ref="AWB21:AWD21"/>
    <mergeCell ref="AWE21:AWG21"/>
    <mergeCell ref="AWH21:AWJ21"/>
    <mergeCell ref="AWK21:AWM21"/>
    <mergeCell ref="AWN21:AWP21"/>
    <mergeCell ref="AVG21:AVI21"/>
    <mergeCell ref="AVJ21:AVL21"/>
    <mergeCell ref="AVM21:AVO21"/>
    <mergeCell ref="AVP21:AVR21"/>
    <mergeCell ref="AVS21:AVU21"/>
    <mergeCell ref="AVV21:AVX21"/>
    <mergeCell ref="AUO21:AUQ21"/>
    <mergeCell ref="AUR21:AUT21"/>
    <mergeCell ref="AUU21:AUW21"/>
    <mergeCell ref="AUX21:AUZ21"/>
    <mergeCell ref="AVA21:AVC21"/>
    <mergeCell ref="AVD21:AVF21"/>
    <mergeCell ref="AYA21:AYC21"/>
    <mergeCell ref="AYD21:AYF21"/>
    <mergeCell ref="AYG21:AYI21"/>
    <mergeCell ref="AYJ21:AYL21"/>
    <mergeCell ref="AYM21:AYO21"/>
    <mergeCell ref="AYP21:AYR21"/>
    <mergeCell ref="AXI21:AXK21"/>
    <mergeCell ref="AXL21:AXN21"/>
    <mergeCell ref="AXO21:AXQ21"/>
    <mergeCell ref="AXR21:AXT21"/>
    <mergeCell ref="AXU21:AXW21"/>
    <mergeCell ref="AXX21:AXZ21"/>
    <mergeCell ref="AWQ21:AWS21"/>
    <mergeCell ref="AWT21:AWV21"/>
    <mergeCell ref="AWW21:AWY21"/>
    <mergeCell ref="AWZ21:AXB21"/>
    <mergeCell ref="AXC21:AXE21"/>
    <mergeCell ref="AXF21:AXH21"/>
    <mergeCell ref="BAC21:BAE21"/>
    <mergeCell ref="BAF21:BAH21"/>
    <mergeCell ref="BAI21:BAK21"/>
    <mergeCell ref="BAL21:BAN21"/>
    <mergeCell ref="BAO21:BAQ21"/>
    <mergeCell ref="BAR21:BAT21"/>
    <mergeCell ref="AZK21:AZM21"/>
    <mergeCell ref="AZN21:AZP21"/>
    <mergeCell ref="AZQ21:AZS21"/>
    <mergeCell ref="AZT21:AZV21"/>
    <mergeCell ref="AZW21:AZY21"/>
    <mergeCell ref="AZZ21:BAB21"/>
    <mergeCell ref="AYS21:AYU21"/>
    <mergeCell ref="AYV21:AYX21"/>
    <mergeCell ref="AYY21:AZA21"/>
    <mergeCell ref="AZB21:AZD21"/>
    <mergeCell ref="AZE21:AZG21"/>
    <mergeCell ref="AZH21:AZJ21"/>
    <mergeCell ref="BCE21:BCG21"/>
    <mergeCell ref="BCH21:BCJ21"/>
    <mergeCell ref="BCK21:BCM21"/>
    <mergeCell ref="BCN21:BCP21"/>
    <mergeCell ref="BCQ21:BCS21"/>
    <mergeCell ref="BCT21:BCV21"/>
    <mergeCell ref="BBM21:BBO21"/>
    <mergeCell ref="BBP21:BBR21"/>
    <mergeCell ref="BBS21:BBU21"/>
    <mergeCell ref="BBV21:BBX21"/>
    <mergeCell ref="BBY21:BCA21"/>
    <mergeCell ref="BCB21:BCD21"/>
    <mergeCell ref="BAU21:BAW21"/>
    <mergeCell ref="BAX21:BAZ21"/>
    <mergeCell ref="BBA21:BBC21"/>
    <mergeCell ref="BBD21:BBF21"/>
    <mergeCell ref="BBG21:BBI21"/>
    <mergeCell ref="BBJ21:BBL21"/>
    <mergeCell ref="BEG21:BEI21"/>
    <mergeCell ref="BEJ21:BEL21"/>
    <mergeCell ref="BEM21:BEO21"/>
    <mergeCell ref="BEP21:BER21"/>
    <mergeCell ref="BES21:BEU21"/>
    <mergeCell ref="BEV21:BEX21"/>
    <mergeCell ref="BDO21:BDQ21"/>
    <mergeCell ref="BDR21:BDT21"/>
    <mergeCell ref="BDU21:BDW21"/>
    <mergeCell ref="BDX21:BDZ21"/>
    <mergeCell ref="BEA21:BEC21"/>
    <mergeCell ref="BED21:BEF21"/>
    <mergeCell ref="BCW21:BCY21"/>
    <mergeCell ref="BCZ21:BDB21"/>
    <mergeCell ref="BDC21:BDE21"/>
    <mergeCell ref="BDF21:BDH21"/>
    <mergeCell ref="BDI21:BDK21"/>
    <mergeCell ref="BDL21:BDN21"/>
    <mergeCell ref="BGI21:BGK21"/>
    <mergeCell ref="BGL21:BGN21"/>
    <mergeCell ref="BGO21:BGQ21"/>
    <mergeCell ref="BGR21:BGT21"/>
    <mergeCell ref="BGU21:BGW21"/>
    <mergeCell ref="BGX21:BGZ21"/>
    <mergeCell ref="BFQ21:BFS21"/>
    <mergeCell ref="BFT21:BFV21"/>
    <mergeCell ref="BFW21:BFY21"/>
    <mergeCell ref="BFZ21:BGB21"/>
    <mergeCell ref="BGC21:BGE21"/>
    <mergeCell ref="BGF21:BGH21"/>
    <mergeCell ref="BEY21:BFA21"/>
    <mergeCell ref="BFB21:BFD21"/>
    <mergeCell ref="BFE21:BFG21"/>
    <mergeCell ref="BFH21:BFJ21"/>
    <mergeCell ref="BFK21:BFM21"/>
    <mergeCell ref="BFN21:BFP21"/>
    <mergeCell ref="BIK21:BIM21"/>
    <mergeCell ref="BIN21:BIP21"/>
    <mergeCell ref="BIQ21:BIS21"/>
    <mergeCell ref="BIT21:BIV21"/>
    <mergeCell ref="BIW21:BIY21"/>
    <mergeCell ref="BIZ21:BJB21"/>
    <mergeCell ref="BHS21:BHU21"/>
    <mergeCell ref="BHV21:BHX21"/>
    <mergeCell ref="BHY21:BIA21"/>
    <mergeCell ref="BIB21:BID21"/>
    <mergeCell ref="BIE21:BIG21"/>
    <mergeCell ref="BIH21:BIJ21"/>
    <mergeCell ref="BHA21:BHC21"/>
    <mergeCell ref="BHD21:BHF21"/>
    <mergeCell ref="BHG21:BHI21"/>
    <mergeCell ref="BHJ21:BHL21"/>
    <mergeCell ref="BHM21:BHO21"/>
    <mergeCell ref="BHP21:BHR21"/>
    <mergeCell ref="BKM21:BKO21"/>
    <mergeCell ref="BKP21:BKR21"/>
    <mergeCell ref="BKS21:BKU21"/>
    <mergeCell ref="BKV21:BKX21"/>
    <mergeCell ref="BKY21:BLA21"/>
    <mergeCell ref="BLB21:BLD21"/>
    <mergeCell ref="BJU21:BJW21"/>
    <mergeCell ref="BJX21:BJZ21"/>
    <mergeCell ref="BKA21:BKC21"/>
    <mergeCell ref="BKD21:BKF21"/>
    <mergeCell ref="BKG21:BKI21"/>
    <mergeCell ref="BKJ21:BKL21"/>
    <mergeCell ref="BJC21:BJE21"/>
    <mergeCell ref="BJF21:BJH21"/>
    <mergeCell ref="BJI21:BJK21"/>
    <mergeCell ref="BJL21:BJN21"/>
    <mergeCell ref="BJO21:BJQ21"/>
    <mergeCell ref="BJR21:BJT21"/>
    <mergeCell ref="BMO21:BMQ21"/>
    <mergeCell ref="BMR21:BMT21"/>
    <mergeCell ref="BMU21:BMW21"/>
    <mergeCell ref="BMX21:BMZ21"/>
    <mergeCell ref="BNA21:BNC21"/>
    <mergeCell ref="BND21:BNF21"/>
    <mergeCell ref="BLW21:BLY21"/>
    <mergeCell ref="BLZ21:BMB21"/>
    <mergeCell ref="BMC21:BME21"/>
    <mergeCell ref="BMF21:BMH21"/>
    <mergeCell ref="BMI21:BMK21"/>
    <mergeCell ref="BML21:BMN21"/>
    <mergeCell ref="BLE21:BLG21"/>
    <mergeCell ref="BLH21:BLJ21"/>
    <mergeCell ref="BLK21:BLM21"/>
    <mergeCell ref="BLN21:BLP21"/>
    <mergeCell ref="BLQ21:BLS21"/>
    <mergeCell ref="BLT21:BLV21"/>
    <mergeCell ref="BOQ21:BOS21"/>
    <mergeCell ref="BOT21:BOV21"/>
    <mergeCell ref="BOW21:BOY21"/>
    <mergeCell ref="BOZ21:BPB21"/>
    <mergeCell ref="BPC21:BPE21"/>
    <mergeCell ref="BPF21:BPH21"/>
    <mergeCell ref="BNY21:BOA21"/>
    <mergeCell ref="BOB21:BOD21"/>
    <mergeCell ref="BOE21:BOG21"/>
    <mergeCell ref="BOH21:BOJ21"/>
    <mergeCell ref="BOK21:BOM21"/>
    <mergeCell ref="BON21:BOP21"/>
    <mergeCell ref="BNG21:BNI21"/>
    <mergeCell ref="BNJ21:BNL21"/>
    <mergeCell ref="BNM21:BNO21"/>
    <mergeCell ref="BNP21:BNR21"/>
    <mergeCell ref="BNS21:BNU21"/>
    <mergeCell ref="BNV21:BNX21"/>
    <mergeCell ref="BQS21:BQU21"/>
    <mergeCell ref="BQV21:BQX21"/>
    <mergeCell ref="BQY21:BRA21"/>
    <mergeCell ref="BRB21:BRD21"/>
    <mergeCell ref="BRE21:BRG21"/>
    <mergeCell ref="BRH21:BRJ21"/>
    <mergeCell ref="BQA21:BQC21"/>
    <mergeCell ref="BQD21:BQF21"/>
    <mergeCell ref="BQG21:BQI21"/>
    <mergeCell ref="BQJ21:BQL21"/>
    <mergeCell ref="BQM21:BQO21"/>
    <mergeCell ref="BQP21:BQR21"/>
    <mergeCell ref="BPI21:BPK21"/>
    <mergeCell ref="BPL21:BPN21"/>
    <mergeCell ref="BPO21:BPQ21"/>
    <mergeCell ref="BPR21:BPT21"/>
    <mergeCell ref="BPU21:BPW21"/>
    <mergeCell ref="BPX21:BPZ21"/>
    <mergeCell ref="BSU21:BSW21"/>
    <mergeCell ref="BSX21:BSZ21"/>
    <mergeCell ref="BTA21:BTC21"/>
    <mergeCell ref="BTD21:BTF21"/>
    <mergeCell ref="BTG21:BTI21"/>
    <mergeCell ref="BTJ21:BTL21"/>
    <mergeCell ref="BSC21:BSE21"/>
    <mergeCell ref="BSF21:BSH21"/>
    <mergeCell ref="BSI21:BSK21"/>
    <mergeCell ref="BSL21:BSN21"/>
    <mergeCell ref="BSO21:BSQ21"/>
    <mergeCell ref="BSR21:BST21"/>
    <mergeCell ref="BRK21:BRM21"/>
    <mergeCell ref="BRN21:BRP21"/>
    <mergeCell ref="BRQ21:BRS21"/>
    <mergeCell ref="BRT21:BRV21"/>
    <mergeCell ref="BRW21:BRY21"/>
    <mergeCell ref="BRZ21:BSB21"/>
    <mergeCell ref="BUW21:BUY21"/>
    <mergeCell ref="BUZ21:BVB21"/>
    <mergeCell ref="BVC21:BVE21"/>
    <mergeCell ref="BVF21:BVH21"/>
    <mergeCell ref="BVI21:BVK21"/>
    <mergeCell ref="BVL21:BVN21"/>
    <mergeCell ref="BUE21:BUG21"/>
    <mergeCell ref="BUH21:BUJ21"/>
    <mergeCell ref="BUK21:BUM21"/>
    <mergeCell ref="BUN21:BUP21"/>
    <mergeCell ref="BUQ21:BUS21"/>
    <mergeCell ref="BUT21:BUV21"/>
    <mergeCell ref="BTM21:BTO21"/>
    <mergeCell ref="BTP21:BTR21"/>
    <mergeCell ref="BTS21:BTU21"/>
    <mergeCell ref="BTV21:BTX21"/>
    <mergeCell ref="BTY21:BUA21"/>
    <mergeCell ref="BUB21:BUD21"/>
    <mergeCell ref="BWY21:BXA21"/>
    <mergeCell ref="BXB21:BXD21"/>
    <mergeCell ref="BXE21:BXG21"/>
    <mergeCell ref="BXH21:BXJ21"/>
    <mergeCell ref="BXK21:BXM21"/>
    <mergeCell ref="BXN21:BXP21"/>
    <mergeCell ref="BWG21:BWI21"/>
    <mergeCell ref="BWJ21:BWL21"/>
    <mergeCell ref="BWM21:BWO21"/>
    <mergeCell ref="BWP21:BWR21"/>
    <mergeCell ref="BWS21:BWU21"/>
    <mergeCell ref="BWV21:BWX21"/>
    <mergeCell ref="BVO21:BVQ21"/>
    <mergeCell ref="BVR21:BVT21"/>
    <mergeCell ref="BVU21:BVW21"/>
    <mergeCell ref="BVX21:BVZ21"/>
    <mergeCell ref="BWA21:BWC21"/>
    <mergeCell ref="BWD21:BWF21"/>
    <mergeCell ref="BZA21:BZC21"/>
    <mergeCell ref="BZD21:BZF21"/>
    <mergeCell ref="BZG21:BZI21"/>
    <mergeCell ref="BZJ21:BZL21"/>
    <mergeCell ref="BZM21:BZO21"/>
    <mergeCell ref="BZP21:BZR21"/>
    <mergeCell ref="BYI21:BYK21"/>
    <mergeCell ref="BYL21:BYN21"/>
    <mergeCell ref="BYO21:BYQ21"/>
    <mergeCell ref="BYR21:BYT21"/>
    <mergeCell ref="BYU21:BYW21"/>
    <mergeCell ref="BYX21:BYZ21"/>
    <mergeCell ref="BXQ21:BXS21"/>
    <mergeCell ref="BXT21:BXV21"/>
    <mergeCell ref="BXW21:BXY21"/>
    <mergeCell ref="BXZ21:BYB21"/>
    <mergeCell ref="BYC21:BYE21"/>
    <mergeCell ref="BYF21:BYH21"/>
    <mergeCell ref="CBC21:CBE21"/>
    <mergeCell ref="CBF21:CBH21"/>
    <mergeCell ref="CBI21:CBK21"/>
    <mergeCell ref="CBL21:CBN21"/>
    <mergeCell ref="CBO21:CBQ21"/>
    <mergeCell ref="CBR21:CBT21"/>
    <mergeCell ref="CAK21:CAM21"/>
    <mergeCell ref="CAN21:CAP21"/>
    <mergeCell ref="CAQ21:CAS21"/>
    <mergeCell ref="CAT21:CAV21"/>
    <mergeCell ref="CAW21:CAY21"/>
    <mergeCell ref="CAZ21:CBB21"/>
    <mergeCell ref="BZS21:BZU21"/>
    <mergeCell ref="BZV21:BZX21"/>
    <mergeCell ref="BZY21:CAA21"/>
    <mergeCell ref="CAB21:CAD21"/>
    <mergeCell ref="CAE21:CAG21"/>
    <mergeCell ref="CAH21:CAJ21"/>
    <mergeCell ref="CDE21:CDG21"/>
    <mergeCell ref="CDH21:CDJ21"/>
    <mergeCell ref="CDK21:CDM21"/>
    <mergeCell ref="CDN21:CDP21"/>
    <mergeCell ref="CDQ21:CDS21"/>
    <mergeCell ref="CDT21:CDV21"/>
    <mergeCell ref="CCM21:CCO21"/>
    <mergeCell ref="CCP21:CCR21"/>
    <mergeCell ref="CCS21:CCU21"/>
    <mergeCell ref="CCV21:CCX21"/>
    <mergeCell ref="CCY21:CDA21"/>
    <mergeCell ref="CDB21:CDD21"/>
    <mergeCell ref="CBU21:CBW21"/>
    <mergeCell ref="CBX21:CBZ21"/>
    <mergeCell ref="CCA21:CCC21"/>
    <mergeCell ref="CCD21:CCF21"/>
    <mergeCell ref="CCG21:CCI21"/>
    <mergeCell ref="CCJ21:CCL21"/>
    <mergeCell ref="CFG21:CFI21"/>
    <mergeCell ref="CFJ21:CFL21"/>
    <mergeCell ref="CFM21:CFO21"/>
    <mergeCell ref="CFP21:CFR21"/>
    <mergeCell ref="CFS21:CFU21"/>
    <mergeCell ref="CFV21:CFX21"/>
    <mergeCell ref="CEO21:CEQ21"/>
    <mergeCell ref="CER21:CET21"/>
    <mergeCell ref="CEU21:CEW21"/>
    <mergeCell ref="CEX21:CEZ21"/>
    <mergeCell ref="CFA21:CFC21"/>
    <mergeCell ref="CFD21:CFF21"/>
    <mergeCell ref="CDW21:CDY21"/>
    <mergeCell ref="CDZ21:CEB21"/>
    <mergeCell ref="CEC21:CEE21"/>
    <mergeCell ref="CEF21:CEH21"/>
    <mergeCell ref="CEI21:CEK21"/>
    <mergeCell ref="CEL21:CEN21"/>
    <mergeCell ref="CHI21:CHK21"/>
    <mergeCell ref="CHL21:CHN21"/>
    <mergeCell ref="CHO21:CHQ21"/>
    <mergeCell ref="CHR21:CHT21"/>
    <mergeCell ref="CHU21:CHW21"/>
    <mergeCell ref="CHX21:CHZ21"/>
    <mergeCell ref="CGQ21:CGS21"/>
    <mergeCell ref="CGT21:CGV21"/>
    <mergeCell ref="CGW21:CGY21"/>
    <mergeCell ref="CGZ21:CHB21"/>
    <mergeCell ref="CHC21:CHE21"/>
    <mergeCell ref="CHF21:CHH21"/>
    <mergeCell ref="CFY21:CGA21"/>
    <mergeCell ref="CGB21:CGD21"/>
    <mergeCell ref="CGE21:CGG21"/>
    <mergeCell ref="CGH21:CGJ21"/>
    <mergeCell ref="CGK21:CGM21"/>
    <mergeCell ref="CGN21:CGP21"/>
    <mergeCell ref="CJK21:CJM21"/>
    <mergeCell ref="CJN21:CJP21"/>
    <mergeCell ref="CJQ21:CJS21"/>
    <mergeCell ref="CJT21:CJV21"/>
    <mergeCell ref="CJW21:CJY21"/>
    <mergeCell ref="CJZ21:CKB21"/>
    <mergeCell ref="CIS21:CIU21"/>
    <mergeCell ref="CIV21:CIX21"/>
    <mergeCell ref="CIY21:CJA21"/>
    <mergeCell ref="CJB21:CJD21"/>
    <mergeCell ref="CJE21:CJG21"/>
    <mergeCell ref="CJH21:CJJ21"/>
    <mergeCell ref="CIA21:CIC21"/>
    <mergeCell ref="CID21:CIF21"/>
    <mergeCell ref="CIG21:CII21"/>
    <mergeCell ref="CIJ21:CIL21"/>
    <mergeCell ref="CIM21:CIO21"/>
    <mergeCell ref="CIP21:CIR21"/>
    <mergeCell ref="CLM21:CLO21"/>
    <mergeCell ref="CLP21:CLR21"/>
    <mergeCell ref="CLS21:CLU21"/>
    <mergeCell ref="CLV21:CLX21"/>
    <mergeCell ref="CLY21:CMA21"/>
    <mergeCell ref="CMB21:CMD21"/>
    <mergeCell ref="CKU21:CKW21"/>
    <mergeCell ref="CKX21:CKZ21"/>
    <mergeCell ref="CLA21:CLC21"/>
    <mergeCell ref="CLD21:CLF21"/>
    <mergeCell ref="CLG21:CLI21"/>
    <mergeCell ref="CLJ21:CLL21"/>
    <mergeCell ref="CKC21:CKE21"/>
    <mergeCell ref="CKF21:CKH21"/>
    <mergeCell ref="CKI21:CKK21"/>
    <mergeCell ref="CKL21:CKN21"/>
    <mergeCell ref="CKO21:CKQ21"/>
    <mergeCell ref="CKR21:CKT21"/>
    <mergeCell ref="CNO21:CNQ21"/>
    <mergeCell ref="CNR21:CNT21"/>
    <mergeCell ref="CNU21:CNW21"/>
    <mergeCell ref="CNX21:CNZ21"/>
    <mergeCell ref="COA21:COC21"/>
    <mergeCell ref="COD21:COF21"/>
    <mergeCell ref="CMW21:CMY21"/>
    <mergeCell ref="CMZ21:CNB21"/>
    <mergeCell ref="CNC21:CNE21"/>
    <mergeCell ref="CNF21:CNH21"/>
    <mergeCell ref="CNI21:CNK21"/>
    <mergeCell ref="CNL21:CNN21"/>
    <mergeCell ref="CME21:CMG21"/>
    <mergeCell ref="CMH21:CMJ21"/>
    <mergeCell ref="CMK21:CMM21"/>
    <mergeCell ref="CMN21:CMP21"/>
    <mergeCell ref="CMQ21:CMS21"/>
    <mergeCell ref="CMT21:CMV21"/>
    <mergeCell ref="CPQ21:CPS21"/>
    <mergeCell ref="CPT21:CPV21"/>
    <mergeCell ref="CPW21:CPY21"/>
    <mergeCell ref="CPZ21:CQB21"/>
    <mergeCell ref="CQC21:CQE21"/>
    <mergeCell ref="CQF21:CQH21"/>
    <mergeCell ref="COY21:CPA21"/>
    <mergeCell ref="CPB21:CPD21"/>
    <mergeCell ref="CPE21:CPG21"/>
    <mergeCell ref="CPH21:CPJ21"/>
    <mergeCell ref="CPK21:CPM21"/>
    <mergeCell ref="CPN21:CPP21"/>
    <mergeCell ref="COG21:COI21"/>
    <mergeCell ref="COJ21:COL21"/>
    <mergeCell ref="COM21:COO21"/>
    <mergeCell ref="COP21:COR21"/>
    <mergeCell ref="COS21:COU21"/>
    <mergeCell ref="COV21:COX21"/>
    <mergeCell ref="CRS21:CRU21"/>
    <mergeCell ref="CRV21:CRX21"/>
    <mergeCell ref="CRY21:CSA21"/>
    <mergeCell ref="CSB21:CSD21"/>
    <mergeCell ref="CSE21:CSG21"/>
    <mergeCell ref="CSH21:CSJ21"/>
    <mergeCell ref="CRA21:CRC21"/>
    <mergeCell ref="CRD21:CRF21"/>
    <mergeCell ref="CRG21:CRI21"/>
    <mergeCell ref="CRJ21:CRL21"/>
    <mergeCell ref="CRM21:CRO21"/>
    <mergeCell ref="CRP21:CRR21"/>
    <mergeCell ref="CQI21:CQK21"/>
    <mergeCell ref="CQL21:CQN21"/>
    <mergeCell ref="CQO21:CQQ21"/>
    <mergeCell ref="CQR21:CQT21"/>
    <mergeCell ref="CQU21:CQW21"/>
    <mergeCell ref="CQX21:CQZ21"/>
    <mergeCell ref="CTU21:CTW21"/>
    <mergeCell ref="CTX21:CTZ21"/>
    <mergeCell ref="CUA21:CUC21"/>
    <mergeCell ref="CUD21:CUF21"/>
    <mergeCell ref="CUG21:CUI21"/>
    <mergeCell ref="CUJ21:CUL21"/>
    <mergeCell ref="CTC21:CTE21"/>
    <mergeCell ref="CTF21:CTH21"/>
    <mergeCell ref="CTI21:CTK21"/>
    <mergeCell ref="CTL21:CTN21"/>
    <mergeCell ref="CTO21:CTQ21"/>
    <mergeCell ref="CTR21:CTT21"/>
    <mergeCell ref="CSK21:CSM21"/>
    <mergeCell ref="CSN21:CSP21"/>
    <mergeCell ref="CSQ21:CSS21"/>
    <mergeCell ref="CST21:CSV21"/>
    <mergeCell ref="CSW21:CSY21"/>
    <mergeCell ref="CSZ21:CTB21"/>
    <mergeCell ref="CVW21:CVY21"/>
    <mergeCell ref="CVZ21:CWB21"/>
    <mergeCell ref="CWC21:CWE21"/>
    <mergeCell ref="CWF21:CWH21"/>
    <mergeCell ref="CWI21:CWK21"/>
    <mergeCell ref="CWL21:CWN21"/>
    <mergeCell ref="CVE21:CVG21"/>
    <mergeCell ref="CVH21:CVJ21"/>
    <mergeCell ref="CVK21:CVM21"/>
    <mergeCell ref="CVN21:CVP21"/>
    <mergeCell ref="CVQ21:CVS21"/>
    <mergeCell ref="CVT21:CVV21"/>
    <mergeCell ref="CUM21:CUO21"/>
    <mergeCell ref="CUP21:CUR21"/>
    <mergeCell ref="CUS21:CUU21"/>
    <mergeCell ref="CUV21:CUX21"/>
    <mergeCell ref="CUY21:CVA21"/>
    <mergeCell ref="CVB21:CVD21"/>
    <mergeCell ref="CXY21:CYA21"/>
    <mergeCell ref="CYB21:CYD21"/>
    <mergeCell ref="CYE21:CYG21"/>
    <mergeCell ref="CYH21:CYJ21"/>
    <mergeCell ref="CYK21:CYM21"/>
    <mergeCell ref="CYN21:CYP21"/>
    <mergeCell ref="CXG21:CXI21"/>
    <mergeCell ref="CXJ21:CXL21"/>
    <mergeCell ref="CXM21:CXO21"/>
    <mergeCell ref="CXP21:CXR21"/>
    <mergeCell ref="CXS21:CXU21"/>
    <mergeCell ref="CXV21:CXX21"/>
    <mergeCell ref="CWO21:CWQ21"/>
    <mergeCell ref="CWR21:CWT21"/>
    <mergeCell ref="CWU21:CWW21"/>
    <mergeCell ref="CWX21:CWZ21"/>
    <mergeCell ref="CXA21:CXC21"/>
    <mergeCell ref="CXD21:CXF21"/>
    <mergeCell ref="DAA21:DAC21"/>
    <mergeCell ref="DAD21:DAF21"/>
    <mergeCell ref="DAG21:DAI21"/>
    <mergeCell ref="DAJ21:DAL21"/>
    <mergeCell ref="DAM21:DAO21"/>
    <mergeCell ref="DAP21:DAR21"/>
    <mergeCell ref="CZI21:CZK21"/>
    <mergeCell ref="CZL21:CZN21"/>
    <mergeCell ref="CZO21:CZQ21"/>
    <mergeCell ref="CZR21:CZT21"/>
    <mergeCell ref="CZU21:CZW21"/>
    <mergeCell ref="CZX21:CZZ21"/>
    <mergeCell ref="CYQ21:CYS21"/>
    <mergeCell ref="CYT21:CYV21"/>
    <mergeCell ref="CYW21:CYY21"/>
    <mergeCell ref="CYZ21:CZB21"/>
    <mergeCell ref="CZC21:CZE21"/>
    <mergeCell ref="CZF21:CZH21"/>
    <mergeCell ref="DCC21:DCE21"/>
    <mergeCell ref="DCF21:DCH21"/>
    <mergeCell ref="DCI21:DCK21"/>
    <mergeCell ref="DCL21:DCN21"/>
    <mergeCell ref="DCO21:DCQ21"/>
    <mergeCell ref="DCR21:DCT21"/>
    <mergeCell ref="DBK21:DBM21"/>
    <mergeCell ref="DBN21:DBP21"/>
    <mergeCell ref="DBQ21:DBS21"/>
    <mergeCell ref="DBT21:DBV21"/>
    <mergeCell ref="DBW21:DBY21"/>
    <mergeCell ref="DBZ21:DCB21"/>
    <mergeCell ref="DAS21:DAU21"/>
    <mergeCell ref="DAV21:DAX21"/>
    <mergeCell ref="DAY21:DBA21"/>
    <mergeCell ref="DBB21:DBD21"/>
    <mergeCell ref="DBE21:DBG21"/>
    <mergeCell ref="DBH21:DBJ21"/>
    <mergeCell ref="DEE21:DEG21"/>
    <mergeCell ref="DEH21:DEJ21"/>
    <mergeCell ref="DEK21:DEM21"/>
    <mergeCell ref="DEN21:DEP21"/>
    <mergeCell ref="DEQ21:DES21"/>
    <mergeCell ref="DET21:DEV21"/>
    <mergeCell ref="DDM21:DDO21"/>
    <mergeCell ref="DDP21:DDR21"/>
    <mergeCell ref="DDS21:DDU21"/>
    <mergeCell ref="DDV21:DDX21"/>
    <mergeCell ref="DDY21:DEA21"/>
    <mergeCell ref="DEB21:DED21"/>
    <mergeCell ref="DCU21:DCW21"/>
    <mergeCell ref="DCX21:DCZ21"/>
    <mergeCell ref="DDA21:DDC21"/>
    <mergeCell ref="DDD21:DDF21"/>
    <mergeCell ref="DDG21:DDI21"/>
    <mergeCell ref="DDJ21:DDL21"/>
    <mergeCell ref="DGG21:DGI21"/>
    <mergeCell ref="DGJ21:DGL21"/>
    <mergeCell ref="DGM21:DGO21"/>
    <mergeCell ref="DGP21:DGR21"/>
    <mergeCell ref="DGS21:DGU21"/>
    <mergeCell ref="DGV21:DGX21"/>
    <mergeCell ref="DFO21:DFQ21"/>
    <mergeCell ref="DFR21:DFT21"/>
    <mergeCell ref="DFU21:DFW21"/>
    <mergeCell ref="DFX21:DFZ21"/>
    <mergeCell ref="DGA21:DGC21"/>
    <mergeCell ref="DGD21:DGF21"/>
    <mergeCell ref="DEW21:DEY21"/>
    <mergeCell ref="DEZ21:DFB21"/>
    <mergeCell ref="DFC21:DFE21"/>
    <mergeCell ref="DFF21:DFH21"/>
    <mergeCell ref="DFI21:DFK21"/>
    <mergeCell ref="DFL21:DFN21"/>
    <mergeCell ref="DII21:DIK21"/>
    <mergeCell ref="DIL21:DIN21"/>
    <mergeCell ref="DIO21:DIQ21"/>
    <mergeCell ref="DIR21:DIT21"/>
    <mergeCell ref="DIU21:DIW21"/>
    <mergeCell ref="DIX21:DIZ21"/>
    <mergeCell ref="DHQ21:DHS21"/>
    <mergeCell ref="DHT21:DHV21"/>
    <mergeCell ref="DHW21:DHY21"/>
    <mergeCell ref="DHZ21:DIB21"/>
    <mergeCell ref="DIC21:DIE21"/>
    <mergeCell ref="DIF21:DIH21"/>
    <mergeCell ref="DGY21:DHA21"/>
    <mergeCell ref="DHB21:DHD21"/>
    <mergeCell ref="DHE21:DHG21"/>
    <mergeCell ref="DHH21:DHJ21"/>
    <mergeCell ref="DHK21:DHM21"/>
    <mergeCell ref="DHN21:DHP21"/>
    <mergeCell ref="DKK21:DKM21"/>
    <mergeCell ref="DKN21:DKP21"/>
    <mergeCell ref="DKQ21:DKS21"/>
    <mergeCell ref="DKT21:DKV21"/>
    <mergeCell ref="DKW21:DKY21"/>
    <mergeCell ref="DKZ21:DLB21"/>
    <mergeCell ref="DJS21:DJU21"/>
    <mergeCell ref="DJV21:DJX21"/>
    <mergeCell ref="DJY21:DKA21"/>
    <mergeCell ref="DKB21:DKD21"/>
    <mergeCell ref="DKE21:DKG21"/>
    <mergeCell ref="DKH21:DKJ21"/>
    <mergeCell ref="DJA21:DJC21"/>
    <mergeCell ref="DJD21:DJF21"/>
    <mergeCell ref="DJG21:DJI21"/>
    <mergeCell ref="DJJ21:DJL21"/>
    <mergeCell ref="DJM21:DJO21"/>
    <mergeCell ref="DJP21:DJR21"/>
    <mergeCell ref="DMM21:DMO21"/>
    <mergeCell ref="DMP21:DMR21"/>
    <mergeCell ref="DMS21:DMU21"/>
    <mergeCell ref="DMV21:DMX21"/>
    <mergeCell ref="DMY21:DNA21"/>
    <mergeCell ref="DNB21:DND21"/>
    <mergeCell ref="DLU21:DLW21"/>
    <mergeCell ref="DLX21:DLZ21"/>
    <mergeCell ref="DMA21:DMC21"/>
    <mergeCell ref="DMD21:DMF21"/>
    <mergeCell ref="DMG21:DMI21"/>
    <mergeCell ref="DMJ21:DML21"/>
    <mergeCell ref="DLC21:DLE21"/>
    <mergeCell ref="DLF21:DLH21"/>
    <mergeCell ref="DLI21:DLK21"/>
    <mergeCell ref="DLL21:DLN21"/>
    <mergeCell ref="DLO21:DLQ21"/>
    <mergeCell ref="DLR21:DLT21"/>
    <mergeCell ref="DOO21:DOQ21"/>
    <mergeCell ref="DOR21:DOT21"/>
    <mergeCell ref="DOU21:DOW21"/>
    <mergeCell ref="DOX21:DOZ21"/>
    <mergeCell ref="DPA21:DPC21"/>
    <mergeCell ref="DPD21:DPF21"/>
    <mergeCell ref="DNW21:DNY21"/>
    <mergeCell ref="DNZ21:DOB21"/>
    <mergeCell ref="DOC21:DOE21"/>
    <mergeCell ref="DOF21:DOH21"/>
    <mergeCell ref="DOI21:DOK21"/>
    <mergeCell ref="DOL21:DON21"/>
    <mergeCell ref="DNE21:DNG21"/>
    <mergeCell ref="DNH21:DNJ21"/>
    <mergeCell ref="DNK21:DNM21"/>
    <mergeCell ref="DNN21:DNP21"/>
    <mergeCell ref="DNQ21:DNS21"/>
    <mergeCell ref="DNT21:DNV21"/>
    <mergeCell ref="DQQ21:DQS21"/>
    <mergeCell ref="DQT21:DQV21"/>
    <mergeCell ref="DQW21:DQY21"/>
    <mergeCell ref="DQZ21:DRB21"/>
    <mergeCell ref="DRC21:DRE21"/>
    <mergeCell ref="DRF21:DRH21"/>
    <mergeCell ref="DPY21:DQA21"/>
    <mergeCell ref="DQB21:DQD21"/>
    <mergeCell ref="DQE21:DQG21"/>
    <mergeCell ref="DQH21:DQJ21"/>
    <mergeCell ref="DQK21:DQM21"/>
    <mergeCell ref="DQN21:DQP21"/>
    <mergeCell ref="DPG21:DPI21"/>
    <mergeCell ref="DPJ21:DPL21"/>
    <mergeCell ref="DPM21:DPO21"/>
    <mergeCell ref="DPP21:DPR21"/>
    <mergeCell ref="DPS21:DPU21"/>
    <mergeCell ref="DPV21:DPX21"/>
    <mergeCell ref="DSS21:DSU21"/>
    <mergeCell ref="DSV21:DSX21"/>
    <mergeCell ref="DSY21:DTA21"/>
    <mergeCell ref="DTB21:DTD21"/>
    <mergeCell ref="DTE21:DTG21"/>
    <mergeCell ref="DTH21:DTJ21"/>
    <mergeCell ref="DSA21:DSC21"/>
    <mergeCell ref="DSD21:DSF21"/>
    <mergeCell ref="DSG21:DSI21"/>
    <mergeCell ref="DSJ21:DSL21"/>
    <mergeCell ref="DSM21:DSO21"/>
    <mergeCell ref="DSP21:DSR21"/>
    <mergeCell ref="DRI21:DRK21"/>
    <mergeCell ref="DRL21:DRN21"/>
    <mergeCell ref="DRO21:DRQ21"/>
    <mergeCell ref="DRR21:DRT21"/>
    <mergeCell ref="DRU21:DRW21"/>
    <mergeCell ref="DRX21:DRZ21"/>
    <mergeCell ref="DUU21:DUW21"/>
    <mergeCell ref="DUX21:DUZ21"/>
    <mergeCell ref="DVA21:DVC21"/>
    <mergeCell ref="DVD21:DVF21"/>
    <mergeCell ref="DVG21:DVI21"/>
    <mergeCell ref="DVJ21:DVL21"/>
    <mergeCell ref="DUC21:DUE21"/>
    <mergeCell ref="DUF21:DUH21"/>
    <mergeCell ref="DUI21:DUK21"/>
    <mergeCell ref="DUL21:DUN21"/>
    <mergeCell ref="DUO21:DUQ21"/>
    <mergeCell ref="DUR21:DUT21"/>
    <mergeCell ref="DTK21:DTM21"/>
    <mergeCell ref="DTN21:DTP21"/>
    <mergeCell ref="DTQ21:DTS21"/>
    <mergeCell ref="DTT21:DTV21"/>
    <mergeCell ref="DTW21:DTY21"/>
    <mergeCell ref="DTZ21:DUB21"/>
    <mergeCell ref="DWW21:DWY21"/>
    <mergeCell ref="DWZ21:DXB21"/>
    <mergeCell ref="DXC21:DXE21"/>
    <mergeCell ref="DXF21:DXH21"/>
    <mergeCell ref="DXI21:DXK21"/>
    <mergeCell ref="DXL21:DXN21"/>
    <mergeCell ref="DWE21:DWG21"/>
    <mergeCell ref="DWH21:DWJ21"/>
    <mergeCell ref="DWK21:DWM21"/>
    <mergeCell ref="DWN21:DWP21"/>
    <mergeCell ref="DWQ21:DWS21"/>
    <mergeCell ref="DWT21:DWV21"/>
    <mergeCell ref="DVM21:DVO21"/>
    <mergeCell ref="DVP21:DVR21"/>
    <mergeCell ref="DVS21:DVU21"/>
    <mergeCell ref="DVV21:DVX21"/>
    <mergeCell ref="DVY21:DWA21"/>
    <mergeCell ref="DWB21:DWD21"/>
    <mergeCell ref="DYY21:DZA21"/>
    <mergeCell ref="DZB21:DZD21"/>
    <mergeCell ref="DZE21:DZG21"/>
    <mergeCell ref="DZH21:DZJ21"/>
    <mergeCell ref="DZK21:DZM21"/>
    <mergeCell ref="DZN21:DZP21"/>
    <mergeCell ref="DYG21:DYI21"/>
    <mergeCell ref="DYJ21:DYL21"/>
    <mergeCell ref="DYM21:DYO21"/>
    <mergeCell ref="DYP21:DYR21"/>
    <mergeCell ref="DYS21:DYU21"/>
    <mergeCell ref="DYV21:DYX21"/>
    <mergeCell ref="DXO21:DXQ21"/>
    <mergeCell ref="DXR21:DXT21"/>
    <mergeCell ref="DXU21:DXW21"/>
    <mergeCell ref="DXX21:DXZ21"/>
    <mergeCell ref="DYA21:DYC21"/>
    <mergeCell ref="DYD21:DYF21"/>
    <mergeCell ref="EBA21:EBC21"/>
    <mergeCell ref="EBD21:EBF21"/>
    <mergeCell ref="EBG21:EBI21"/>
    <mergeCell ref="EBJ21:EBL21"/>
    <mergeCell ref="EBM21:EBO21"/>
    <mergeCell ref="EBP21:EBR21"/>
    <mergeCell ref="EAI21:EAK21"/>
    <mergeCell ref="EAL21:EAN21"/>
    <mergeCell ref="EAO21:EAQ21"/>
    <mergeCell ref="EAR21:EAT21"/>
    <mergeCell ref="EAU21:EAW21"/>
    <mergeCell ref="EAX21:EAZ21"/>
    <mergeCell ref="DZQ21:DZS21"/>
    <mergeCell ref="DZT21:DZV21"/>
    <mergeCell ref="DZW21:DZY21"/>
    <mergeCell ref="DZZ21:EAB21"/>
    <mergeCell ref="EAC21:EAE21"/>
    <mergeCell ref="EAF21:EAH21"/>
    <mergeCell ref="EDC21:EDE21"/>
    <mergeCell ref="EDF21:EDH21"/>
    <mergeCell ref="EDI21:EDK21"/>
    <mergeCell ref="EDL21:EDN21"/>
    <mergeCell ref="EDO21:EDQ21"/>
    <mergeCell ref="EDR21:EDT21"/>
    <mergeCell ref="ECK21:ECM21"/>
    <mergeCell ref="ECN21:ECP21"/>
    <mergeCell ref="ECQ21:ECS21"/>
    <mergeCell ref="ECT21:ECV21"/>
    <mergeCell ref="ECW21:ECY21"/>
    <mergeCell ref="ECZ21:EDB21"/>
    <mergeCell ref="EBS21:EBU21"/>
    <mergeCell ref="EBV21:EBX21"/>
    <mergeCell ref="EBY21:ECA21"/>
    <mergeCell ref="ECB21:ECD21"/>
    <mergeCell ref="ECE21:ECG21"/>
    <mergeCell ref="ECH21:ECJ21"/>
    <mergeCell ref="EFE21:EFG21"/>
    <mergeCell ref="EFH21:EFJ21"/>
    <mergeCell ref="EFK21:EFM21"/>
    <mergeCell ref="EFN21:EFP21"/>
    <mergeCell ref="EFQ21:EFS21"/>
    <mergeCell ref="EFT21:EFV21"/>
    <mergeCell ref="EEM21:EEO21"/>
    <mergeCell ref="EEP21:EER21"/>
    <mergeCell ref="EES21:EEU21"/>
    <mergeCell ref="EEV21:EEX21"/>
    <mergeCell ref="EEY21:EFA21"/>
    <mergeCell ref="EFB21:EFD21"/>
    <mergeCell ref="EDU21:EDW21"/>
    <mergeCell ref="EDX21:EDZ21"/>
    <mergeCell ref="EEA21:EEC21"/>
    <mergeCell ref="EED21:EEF21"/>
    <mergeCell ref="EEG21:EEI21"/>
    <mergeCell ref="EEJ21:EEL21"/>
    <mergeCell ref="EHG21:EHI21"/>
    <mergeCell ref="EHJ21:EHL21"/>
    <mergeCell ref="EHM21:EHO21"/>
    <mergeCell ref="EHP21:EHR21"/>
    <mergeCell ref="EHS21:EHU21"/>
    <mergeCell ref="EHV21:EHX21"/>
    <mergeCell ref="EGO21:EGQ21"/>
    <mergeCell ref="EGR21:EGT21"/>
    <mergeCell ref="EGU21:EGW21"/>
    <mergeCell ref="EGX21:EGZ21"/>
    <mergeCell ref="EHA21:EHC21"/>
    <mergeCell ref="EHD21:EHF21"/>
    <mergeCell ref="EFW21:EFY21"/>
    <mergeCell ref="EFZ21:EGB21"/>
    <mergeCell ref="EGC21:EGE21"/>
    <mergeCell ref="EGF21:EGH21"/>
    <mergeCell ref="EGI21:EGK21"/>
    <mergeCell ref="EGL21:EGN21"/>
    <mergeCell ref="EJI21:EJK21"/>
    <mergeCell ref="EJL21:EJN21"/>
    <mergeCell ref="EJO21:EJQ21"/>
    <mergeCell ref="EJR21:EJT21"/>
    <mergeCell ref="EJU21:EJW21"/>
    <mergeCell ref="EJX21:EJZ21"/>
    <mergeCell ref="EIQ21:EIS21"/>
    <mergeCell ref="EIT21:EIV21"/>
    <mergeCell ref="EIW21:EIY21"/>
    <mergeCell ref="EIZ21:EJB21"/>
    <mergeCell ref="EJC21:EJE21"/>
    <mergeCell ref="EJF21:EJH21"/>
    <mergeCell ref="EHY21:EIA21"/>
    <mergeCell ref="EIB21:EID21"/>
    <mergeCell ref="EIE21:EIG21"/>
    <mergeCell ref="EIH21:EIJ21"/>
    <mergeCell ref="EIK21:EIM21"/>
    <mergeCell ref="EIN21:EIP21"/>
    <mergeCell ref="ELK21:ELM21"/>
    <mergeCell ref="ELN21:ELP21"/>
    <mergeCell ref="ELQ21:ELS21"/>
    <mergeCell ref="ELT21:ELV21"/>
    <mergeCell ref="ELW21:ELY21"/>
    <mergeCell ref="ELZ21:EMB21"/>
    <mergeCell ref="EKS21:EKU21"/>
    <mergeCell ref="EKV21:EKX21"/>
    <mergeCell ref="EKY21:ELA21"/>
    <mergeCell ref="ELB21:ELD21"/>
    <mergeCell ref="ELE21:ELG21"/>
    <mergeCell ref="ELH21:ELJ21"/>
    <mergeCell ref="EKA21:EKC21"/>
    <mergeCell ref="EKD21:EKF21"/>
    <mergeCell ref="EKG21:EKI21"/>
    <mergeCell ref="EKJ21:EKL21"/>
    <mergeCell ref="EKM21:EKO21"/>
    <mergeCell ref="EKP21:EKR21"/>
    <mergeCell ref="ENM21:ENO21"/>
    <mergeCell ref="ENP21:ENR21"/>
    <mergeCell ref="ENS21:ENU21"/>
    <mergeCell ref="ENV21:ENX21"/>
    <mergeCell ref="ENY21:EOA21"/>
    <mergeCell ref="EOB21:EOD21"/>
    <mergeCell ref="EMU21:EMW21"/>
    <mergeCell ref="EMX21:EMZ21"/>
    <mergeCell ref="ENA21:ENC21"/>
    <mergeCell ref="END21:ENF21"/>
    <mergeCell ref="ENG21:ENI21"/>
    <mergeCell ref="ENJ21:ENL21"/>
    <mergeCell ref="EMC21:EME21"/>
    <mergeCell ref="EMF21:EMH21"/>
    <mergeCell ref="EMI21:EMK21"/>
    <mergeCell ref="EML21:EMN21"/>
    <mergeCell ref="EMO21:EMQ21"/>
    <mergeCell ref="EMR21:EMT21"/>
    <mergeCell ref="EPO21:EPQ21"/>
    <mergeCell ref="EPR21:EPT21"/>
    <mergeCell ref="EPU21:EPW21"/>
    <mergeCell ref="EPX21:EPZ21"/>
    <mergeCell ref="EQA21:EQC21"/>
    <mergeCell ref="EQD21:EQF21"/>
    <mergeCell ref="EOW21:EOY21"/>
    <mergeCell ref="EOZ21:EPB21"/>
    <mergeCell ref="EPC21:EPE21"/>
    <mergeCell ref="EPF21:EPH21"/>
    <mergeCell ref="EPI21:EPK21"/>
    <mergeCell ref="EPL21:EPN21"/>
    <mergeCell ref="EOE21:EOG21"/>
    <mergeCell ref="EOH21:EOJ21"/>
    <mergeCell ref="EOK21:EOM21"/>
    <mergeCell ref="EON21:EOP21"/>
    <mergeCell ref="EOQ21:EOS21"/>
    <mergeCell ref="EOT21:EOV21"/>
    <mergeCell ref="ERQ21:ERS21"/>
    <mergeCell ref="ERT21:ERV21"/>
    <mergeCell ref="ERW21:ERY21"/>
    <mergeCell ref="ERZ21:ESB21"/>
    <mergeCell ref="ESC21:ESE21"/>
    <mergeCell ref="ESF21:ESH21"/>
    <mergeCell ref="EQY21:ERA21"/>
    <mergeCell ref="ERB21:ERD21"/>
    <mergeCell ref="ERE21:ERG21"/>
    <mergeCell ref="ERH21:ERJ21"/>
    <mergeCell ref="ERK21:ERM21"/>
    <mergeCell ref="ERN21:ERP21"/>
    <mergeCell ref="EQG21:EQI21"/>
    <mergeCell ref="EQJ21:EQL21"/>
    <mergeCell ref="EQM21:EQO21"/>
    <mergeCell ref="EQP21:EQR21"/>
    <mergeCell ref="EQS21:EQU21"/>
    <mergeCell ref="EQV21:EQX21"/>
    <mergeCell ref="ETS21:ETU21"/>
    <mergeCell ref="ETV21:ETX21"/>
    <mergeCell ref="ETY21:EUA21"/>
    <mergeCell ref="EUB21:EUD21"/>
    <mergeCell ref="EUE21:EUG21"/>
    <mergeCell ref="EUH21:EUJ21"/>
    <mergeCell ref="ETA21:ETC21"/>
    <mergeCell ref="ETD21:ETF21"/>
    <mergeCell ref="ETG21:ETI21"/>
    <mergeCell ref="ETJ21:ETL21"/>
    <mergeCell ref="ETM21:ETO21"/>
    <mergeCell ref="ETP21:ETR21"/>
    <mergeCell ref="ESI21:ESK21"/>
    <mergeCell ref="ESL21:ESN21"/>
    <mergeCell ref="ESO21:ESQ21"/>
    <mergeCell ref="ESR21:EST21"/>
    <mergeCell ref="ESU21:ESW21"/>
    <mergeCell ref="ESX21:ESZ21"/>
    <mergeCell ref="EVU21:EVW21"/>
    <mergeCell ref="EVX21:EVZ21"/>
    <mergeCell ref="EWA21:EWC21"/>
    <mergeCell ref="EWD21:EWF21"/>
    <mergeCell ref="EWG21:EWI21"/>
    <mergeCell ref="EWJ21:EWL21"/>
    <mergeCell ref="EVC21:EVE21"/>
    <mergeCell ref="EVF21:EVH21"/>
    <mergeCell ref="EVI21:EVK21"/>
    <mergeCell ref="EVL21:EVN21"/>
    <mergeCell ref="EVO21:EVQ21"/>
    <mergeCell ref="EVR21:EVT21"/>
    <mergeCell ref="EUK21:EUM21"/>
    <mergeCell ref="EUN21:EUP21"/>
    <mergeCell ref="EUQ21:EUS21"/>
    <mergeCell ref="EUT21:EUV21"/>
    <mergeCell ref="EUW21:EUY21"/>
    <mergeCell ref="EUZ21:EVB21"/>
    <mergeCell ref="EXW21:EXY21"/>
    <mergeCell ref="EXZ21:EYB21"/>
    <mergeCell ref="EYC21:EYE21"/>
    <mergeCell ref="EYF21:EYH21"/>
    <mergeCell ref="EYI21:EYK21"/>
    <mergeCell ref="EYL21:EYN21"/>
    <mergeCell ref="EXE21:EXG21"/>
    <mergeCell ref="EXH21:EXJ21"/>
    <mergeCell ref="EXK21:EXM21"/>
    <mergeCell ref="EXN21:EXP21"/>
    <mergeCell ref="EXQ21:EXS21"/>
    <mergeCell ref="EXT21:EXV21"/>
    <mergeCell ref="EWM21:EWO21"/>
    <mergeCell ref="EWP21:EWR21"/>
    <mergeCell ref="EWS21:EWU21"/>
    <mergeCell ref="EWV21:EWX21"/>
    <mergeCell ref="EWY21:EXA21"/>
    <mergeCell ref="EXB21:EXD21"/>
    <mergeCell ref="EZY21:FAA21"/>
    <mergeCell ref="FAB21:FAD21"/>
    <mergeCell ref="FAE21:FAG21"/>
    <mergeCell ref="FAH21:FAJ21"/>
    <mergeCell ref="FAK21:FAM21"/>
    <mergeCell ref="FAN21:FAP21"/>
    <mergeCell ref="EZG21:EZI21"/>
    <mergeCell ref="EZJ21:EZL21"/>
    <mergeCell ref="EZM21:EZO21"/>
    <mergeCell ref="EZP21:EZR21"/>
    <mergeCell ref="EZS21:EZU21"/>
    <mergeCell ref="EZV21:EZX21"/>
    <mergeCell ref="EYO21:EYQ21"/>
    <mergeCell ref="EYR21:EYT21"/>
    <mergeCell ref="EYU21:EYW21"/>
    <mergeCell ref="EYX21:EYZ21"/>
    <mergeCell ref="EZA21:EZC21"/>
    <mergeCell ref="EZD21:EZF21"/>
    <mergeCell ref="FCA21:FCC21"/>
    <mergeCell ref="FCD21:FCF21"/>
    <mergeCell ref="FCG21:FCI21"/>
    <mergeCell ref="FCJ21:FCL21"/>
    <mergeCell ref="FCM21:FCO21"/>
    <mergeCell ref="FCP21:FCR21"/>
    <mergeCell ref="FBI21:FBK21"/>
    <mergeCell ref="FBL21:FBN21"/>
    <mergeCell ref="FBO21:FBQ21"/>
    <mergeCell ref="FBR21:FBT21"/>
    <mergeCell ref="FBU21:FBW21"/>
    <mergeCell ref="FBX21:FBZ21"/>
    <mergeCell ref="FAQ21:FAS21"/>
    <mergeCell ref="FAT21:FAV21"/>
    <mergeCell ref="FAW21:FAY21"/>
    <mergeCell ref="FAZ21:FBB21"/>
    <mergeCell ref="FBC21:FBE21"/>
    <mergeCell ref="FBF21:FBH21"/>
    <mergeCell ref="FEC21:FEE21"/>
    <mergeCell ref="FEF21:FEH21"/>
    <mergeCell ref="FEI21:FEK21"/>
    <mergeCell ref="FEL21:FEN21"/>
    <mergeCell ref="FEO21:FEQ21"/>
    <mergeCell ref="FER21:FET21"/>
    <mergeCell ref="FDK21:FDM21"/>
    <mergeCell ref="FDN21:FDP21"/>
    <mergeCell ref="FDQ21:FDS21"/>
    <mergeCell ref="FDT21:FDV21"/>
    <mergeCell ref="FDW21:FDY21"/>
    <mergeCell ref="FDZ21:FEB21"/>
    <mergeCell ref="FCS21:FCU21"/>
    <mergeCell ref="FCV21:FCX21"/>
    <mergeCell ref="FCY21:FDA21"/>
    <mergeCell ref="FDB21:FDD21"/>
    <mergeCell ref="FDE21:FDG21"/>
    <mergeCell ref="FDH21:FDJ21"/>
    <mergeCell ref="FGE21:FGG21"/>
    <mergeCell ref="FGH21:FGJ21"/>
    <mergeCell ref="FGK21:FGM21"/>
    <mergeCell ref="FGN21:FGP21"/>
    <mergeCell ref="FGQ21:FGS21"/>
    <mergeCell ref="FGT21:FGV21"/>
    <mergeCell ref="FFM21:FFO21"/>
    <mergeCell ref="FFP21:FFR21"/>
    <mergeCell ref="FFS21:FFU21"/>
    <mergeCell ref="FFV21:FFX21"/>
    <mergeCell ref="FFY21:FGA21"/>
    <mergeCell ref="FGB21:FGD21"/>
    <mergeCell ref="FEU21:FEW21"/>
    <mergeCell ref="FEX21:FEZ21"/>
    <mergeCell ref="FFA21:FFC21"/>
    <mergeCell ref="FFD21:FFF21"/>
    <mergeCell ref="FFG21:FFI21"/>
    <mergeCell ref="FFJ21:FFL21"/>
    <mergeCell ref="FIG21:FII21"/>
    <mergeCell ref="FIJ21:FIL21"/>
    <mergeCell ref="FIM21:FIO21"/>
    <mergeCell ref="FIP21:FIR21"/>
    <mergeCell ref="FIS21:FIU21"/>
    <mergeCell ref="FIV21:FIX21"/>
    <mergeCell ref="FHO21:FHQ21"/>
    <mergeCell ref="FHR21:FHT21"/>
    <mergeCell ref="FHU21:FHW21"/>
    <mergeCell ref="FHX21:FHZ21"/>
    <mergeCell ref="FIA21:FIC21"/>
    <mergeCell ref="FID21:FIF21"/>
    <mergeCell ref="FGW21:FGY21"/>
    <mergeCell ref="FGZ21:FHB21"/>
    <mergeCell ref="FHC21:FHE21"/>
    <mergeCell ref="FHF21:FHH21"/>
    <mergeCell ref="FHI21:FHK21"/>
    <mergeCell ref="FHL21:FHN21"/>
    <mergeCell ref="FKI21:FKK21"/>
    <mergeCell ref="FKL21:FKN21"/>
    <mergeCell ref="FKO21:FKQ21"/>
    <mergeCell ref="FKR21:FKT21"/>
    <mergeCell ref="FKU21:FKW21"/>
    <mergeCell ref="FKX21:FKZ21"/>
    <mergeCell ref="FJQ21:FJS21"/>
    <mergeCell ref="FJT21:FJV21"/>
    <mergeCell ref="FJW21:FJY21"/>
    <mergeCell ref="FJZ21:FKB21"/>
    <mergeCell ref="FKC21:FKE21"/>
    <mergeCell ref="FKF21:FKH21"/>
    <mergeCell ref="FIY21:FJA21"/>
    <mergeCell ref="FJB21:FJD21"/>
    <mergeCell ref="FJE21:FJG21"/>
    <mergeCell ref="FJH21:FJJ21"/>
    <mergeCell ref="FJK21:FJM21"/>
    <mergeCell ref="FJN21:FJP21"/>
    <mergeCell ref="FMK21:FMM21"/>
    <mergeCell ref="FMN21:FMP21"/>
    <mergeCell ref="FMQ21:FMS21"/>
    <mergeCell ref="FMT21:FMV21"/>
    <mergeCell ref="FMW21:FMY21"/>
    <mergeCell ref="FMZ21:FNB21"/>
    <mergeCell ref="FLS21:FLU21"/>
    <mergeCell ref="FLV21:FLX21"/>
    <mergeCell ref="FLY21:FMA21"/>
    <mergeCell ref="FMB21:FMD21"/>
    <mergeCell ref="FME21:FMG21"/>
    <mergeCell ref="FMH21:FMJ21"/>
    <mergeCell ref="FLA21:FLC21"/>
    <mergeCell ref="FLD21:FLF21"/>
    <mergeCell ref="FLG21:FLI21"/>
    <mergeCell ref="FLJ21:FLL21"/>
    <mergeCell ref="FLM21:FLO21"/>
    <mergeCell ref="FLP21:FLR21"/>
    <mergeCell ref="FOM21:FOO21"/>
    <mergeCell ref="FOP21:FOR21"/>
    <mergeCell ref="FOS21:FOU21"/>
    <mergeCell ref="FOV21:FOX21"/>
    <mergeCell ref="FOY21:FPA21"/>
    <mergeCell ref="FPB21:FPD21"/>
    <mergeCell ref="FNU21:FNW21"/>
    <mergeCell ref="FNX21:FNZ21"/>
    <mergeCell ref="FOA21:FOC21"/>
    <mergeCell ref="FOD21:FOF21"/>
    <mergeCell ref="FOG21:FOI21"/>
    <mergeCell ref="FOJ21:FOL21"/>
    <mergeCell ref="FNC21:FNE21"/>
    <mergeCell ref="FNF21:FNH21"/>
    <mergeCell ref="FNI21:FNK21"/>
    <mergeCell ref="FNL21:FNN21"/>
    <mergeCell ref="FNO21:FNQ21"/>
    <mergeCell ref="FNR21:FNT21"/>
    <mergeCell ref="FQO21:FQQ21"/>
    <mergeCell ref="FQR21:FQT21"/>
    <mergeCell ref="FQU21:FQW21"/>
    <mergeCell ref="FQX21:FQZ21"/>
    <mergeCell ref="FRA21:FRC21"/>
    <mergeCell ref="FRD21:FRF21"/>
    <mergeCell ref="FPW21:FPY21"/>
    <mergeCell ref="FPZ21:FQB21"/>
    <mergeCell ref="FQC21:FQE21"/>
    <mergeCell ref="FQF21:FQH21"/>
    <mergeCell ref="FQI21:FQK21"/>
    <mergeCell ref="FQL21:FQN21"/>
    <mergeCell ref="FPE21:FPG21"/>
    <mergeCell ref="FPH21:FPJ21"/>
    <mergeCell ref="FPK21:FPM21"/>
    <mergeCell ref="FPN21:FPP21"/>
    <mergeCell ref="FPQ21:FPS21"/>
    <mergeCell ref="FPT21:FPV21"/>
    <mergeCell ref="FSQ21:FSS21"/>
    <mergeCell ref="FST21:FSV21"/>
    <mergeCell ref="FSW21:FSY21"/>
    <mergeCell ref="FSZ21:FTB21"/>
    <mergeCell ref="FTC21:FTE21"/>
    <mergeCell ref="FTF21:FTH21"/>
    <mergeCell ref="FRY21:FSA21"/>
    <mergeCell ref="FSB21:FSD21"/>
    <mergeCell ref="FSE21:FSG21"/>
    <mergeCell ref="FSH21:FSJ21"/>
    <mergeCell ref="FSK21:FSM21"/>
    <mergeCell ref="FSN21:FSP21"/>
    <mergeCell ref="FRG21:FRI21"/>
    <mergeCell ref="FRJ21:FRL21"/>
    <mergeCell ref="FRM21:FRO21"/>
    <mergeCell ref="FRP21:FRR21"/>
    <mergeCell ref="FRS21:FRU21"/>
    <mergeCell ref="FRV21:FRX21"/>
    <mergeCell ref="FUS21:FUU21"/>
    <mergeCell ref="FUV21:FUX21"/>
    <mergeCell ref="FUY21:FVA21"/>
    <mergeCell ref="FVB21:FVD21"/>
    <mergeCell ref="FVE21:FVG21"/>
    <mergeCell ref="FVH21:FVJ21"/>
    <mergeCell ref="FUA21:FUC21"/>
    <mergeCell ref="FUD21:FUF21"/>
    <mergeCell ref="FUG21:FUI21"/>
    <mergeCell ref="FUJ21:FUL21"/>
    <mergeCell ref="FUM21:FUO21"/>
    <mergeCell ref="FUP21:FUR21"/>
    <mergeCell ref="FTI21:FTK21"/>
    <mergeCell ref="FTL21:FTN21"/>
    <mergeCell ref="FTO21:FTQ21"/>
    <mergeCell ref="FTR21:FTT21"/>
    <mergeCell ref="FTU21:FTW21"/>
    <mergeCell ref="FTX21:FTZ21"/>
    <mergeCell ref="FWU21:FWW21"/>
    <mergeCell ref="FWX21:FWZ21"/>
    <mergeCell ref="FXA21:FXC21"/>
    <mergeCell ref="FXD21:FXF21"/>
    <mergeCell ref="FXG21:FXI21"/>
    <mergeCell ref="FXJ21:FXL21"/>
    <mergeCell ref="FWC21:FWE21"/>
    <mergeCell ref="FWF21:FWH21"/>
    <mergeCell ref="FWI21:FWK21"/>
    <mergeCell ref="FWL21:FWN21"/>
    <mergeCell ref="FWO21:FWQ21"/>
    <mergeCell ref="FWR21:FWT21"/>
    <mergeCell ref="FVK21:FVM21"/>
    <mergeCell ref="FVN21:FVP21"/>
    <mergeCell ref="FVQ21:FVS21"/>
    <mergeCell ref="FVT21:FVV21"/>
    <mergeCell ref="FVW21:FVY21"/>
    <mergeCell ref="FVZ21:FWB21"/>
    <mergeCell ref="FYW21:FYY21"/>
    <mergeCell ref="FYZ21:FZB21"/>
    <mergeCell ref="FZC21:FZE21"/>
    <mergeCell ref="FZF21:FZH21"/>
    <mergeCell ref="FZI21:FZK21"/>
    <mergeCell ref="FZL21:FZN21"/>
    <mergeCell ref="FYE21:FYG21"/>
    <mergeCell ref="FYH21:FYJ21"/>
    <mergeCell ref="FYK21:FYM21"/>
    <mergeCell ref="FYN21:FYP21"/>
    <mergeCell ref="FYQ21:FYS21"/>
    <mergeCell ref="FYT21:FYV21"/>
    <mergeCell ref="FXM21:FXO21"/>
    <mergeCell ref="FXP21:FXR21"/>
    <mergeCell ref="FXS21:FXU21"/>
    <mergeCell ref="FXV21:FXX21"/>
    <mergeCell ref="FXY21:FYA21"/>
    <mergeCell ref="FYB21:FYD21"/>
    <mergeCell ref="GAY21:GBA21"/>
    <mergeCell ref="GBB21:GBD21"/>
    <mergeCell ref="GBE21:GBG21"/>
    <mergeCell ref="GBH21:GBJ21"/>
    <mergeCell ref="GBK21:GBM21"/>
    <mergeCell ref="GBN21:GBP21"/>
    <mergeCell ref="GAG21:GAI21"/>
    <mergeCell ref="GAJ21:GAL21"/>
    <mergeCell ref="GAM21:GAO21"/>
    <mergeCell ref="GAP21:GAR21"/>
    <mergeCell ref="GAS21:GAU21"/>
    <mergeCell ref="GAV21:GAX21"/>
    <mergeCell ref="FZO21:FZQ21"/>
    <mergeCell ref="FZR21:FZT21"/>
    <mergeCell ref="FZU21:FZW21"/>
    <mergeCell ref="FZX21:FZZ21"/>
    <mergeCell ref="GAA21:GAC21"/>
    <mergeCell ref="GAD21:GAF21"/>
    <mergeCell ref="GDA21:GDC21"/>
    <mergeCell ref="GDD21:GDF21"/>
    <mergeCell ref="GDG21:GDI21"/>
    <mergeCell ref="GDJ21:GDL21"/>
    <mergeCell ref="GDM21:GDO21"/>
    <mergeCell ref="GDP21:GDR21"/>
    <mergeCell ref="GCI21:GCK21"/>
    <mergeCell ref="GCL21:GCN21"/>
    <mergeCell ref="GCO21:GCQ21"/>
    <mergeCell ref="GCR21:GCT21"/>
    <mergeCell ref="GCU21:GCW21"/>
    <mergeCell ref="GCX21:GCZ21"/>
    <mergeCell ref="GBQ21:GBS21"/>
    <mergeCell ref="GBT21:GBV21"/>
    <mergeCell ref="GBW21:GBY21"/>
    <mergeCell ref="GBZ21:GCB21"/>
    <mergeCell ref="GCC21:GCE21"/>
    <mergeCell ref="GCF21:GCH21"/>
    <mergeCell ref="GFC21:GFE21"/>
    <mergeCell ref="GFF21:GFH21"/>
    <mergeCell ref="GFI21:GFK21"/>
    <mergeCell ref="GFL21:GFN21"/>
    <mergeCell ref="GFO21:GFQ21"/>
    <mergeCell ref="GFR21:GFT21"/>
    <mergeCell ref="GEK21:GEM21"/>
    <mergeCell ref="GEN21:GEP21"/>
    <mergeCell ref="GEQ21:GES21"/>
    <mergeCell ref="GET21:GEV21"/>
    <mergeCell ref="GEW21:GEY21"/>
    <mergeCell ref="GEZ21:GFB21"/>
    <mergeCell ref="GDS21:GDU21"/>
    <mergeCell ref="GDV21:GDX21"/>
    <mergeCell ref="GDY21:GEA21"/>
    <mergeCell ref="GEB21:GED21"/>
    <mergeCell ref="GEE21:GEG21"/>
    <mergeCell ref="GEH21:GEJ21"/>
    <mergeCell ref="GHE21:GHG21"/>
    <mergeCell ref="GHH21:GHJ21"/>
    <mergeCell ref="GHK21:GHM21"/>
    <mergeCell ref="GHN21:GHP21"/>
    <mergeCell ref="GHQ21:GHS21"/>
    <mergeCell ref="GHT21:GHV21"/>
    <mergeCell ref="GGM21:GGO21"/>
    <mergeCell ref="GGP21:GGR21"/>
    <mergeCell ref="GGS21:GGU21"/>
    <mergeCell ref="GGV21:GGX21"/>
    <mergeCell ref="GGY21:GHA21"/>
    <mergeCell ref="GHB21:GHD21"/>
    <mergeCell ref="GFU21:GFW21"/>
    <mergeCell ref="GFX21:GFZ21"/>
    <mergeCell ref="GGA21:GGC21"/>
    <mergeCell ref="GGD21:GGF21"/>
    <mergeCell ref="GGG21:GGI21"/>
    <mergeCell ref="GGJ21:GGL21"/>
    <mergeCell ref="GJG21:GJI21"/>
    <mergeCell ref="GJJ21:GJL21"/>
    <mergeCell ref="GJM21:GJO21"/>
    <mergeCell ref="GJP21:GJR21"/>
    <mergeCell ref="GJS21:GJU21"/>
    <mergeCell ref="GJV21:GJX21"/>
    <mergeCell ref="GIO21:GIQ21"/>
    <mergeCell ref="GIR21:GIT21"/>
    <mergeCell ref="GIU21:GIW21"/>
    <mergeCell ref="GIX21:GIZ21"/>
    <mergeCell ref="GJA21:GJC21"/>
    <mergeCell ref="GJD21:GJF21"/>
    <mergeCell ref="GHW21:GHY21"/>
    <mergeCell ref="GHZ21:GIB21"/>
    <mergeCell ref="GIC21:GIE21"/>
    <mergeCell ref="GIF21:GIH21"/>
    <mergeCell ref="GII21:GIK21"/>
    <mergeCell ref="GIL21:GIN21"/>
    <mergeCell ref="GLI21:GLK21"/>
    <mergeCell ref="GLL21:GLN21"/>
    <mergeCell ref="GLO21:GLQ21"/>
    <mergeCell ref="GLR21:GLT21"/>
    <mergeCell ref="GLU21:GLW21"/>
    <mergeCell ref="GLX21:GLZ21"/>
    <mergeCell ref="GKQ21:GKS21"/>
    <mergeCell ref="GKT21:GKV21"/>
    <mergeCell ref="GKW21:GKY21"/>
    <mergeCell ref="GKZ21:GLB21"/>
    <mergeCell ref="GLC21:GLE21"/>
    <mergeCell ref="GLF21:GLH21"/>
    <mergeCell ref="GJY21:GKA21"/>
    <mergeCell ref="GKB21:GKD21"/>
    <mergeCell ref="GKE21:GKG21"/>
    <mergeCell ref="GKH21:GKJ21"/>
    <mergeCell ref="GKK21:GKM21"/>
    <mergeCell ref="GKN21:GKP21"/>
    <mergeCell ref="GNK21:GNM21"/>
    <mergeCell ref="GNN21:GNP21"/>
    <mergeCell ref="GNQ21:GNS21"/>
    <mergeCell ref="GNT21:GNV21"/>
    <mergeCell ref="GNW21:GNY21"/>
    <mergeCell ref="GNZ21:GOB21"/>
    <mergeCell ref="GMS21:GMU21"/>
    <mergeCell ref="GMV21:GMX21"/>
    <mergeCell ref="GMY21:GNA21"/>
    <mergeCell ref="GNB21:GND21"/>
    <mergeCell ref="GNE21:GNG21"/>
    <mergeCell ref="GNH21:GNJ21"/>
    <mergeCell ref="GMA21:GMC21"/>
    <mergeCell ref="GMD21:GMF21"/>
    <mergeCell ref="GMG21:GMI21"/>
    <mergeCell ref="GMJ21:GML21"/>
    <mergeCell ref="GMM21:GMO21"/>
    <mergeCell ref="GMP21:GMR21"/>
    <mergeCell ref="GPM21:GPO21"/>
    <mergeCell ref="GPP21:GPR21"/>
    <mergeCell ref="GPS21:GPU21"/>
    <mergeCell ref="GPV21:GPX21"/>
    <mergeCell ref="GPY21:GQA21"/>
    <mergeCell ref="GQB21:GQD21"/>
    <mergeCell ref="GOU21:GOW21"/>
    <mergeCell ref="GOX21:GOZ21"/>
    <mergeCell ref="GPA21:GPC21"/>
    <mergeCell ref="GPD21:GPF21"/>
    <mergeCell ref="GPG21:GPI21"/>
    <mergeCell ref="GPJ21:GPL21"/>
    <mergeCell ref="GOC21:GOE21"/>
    <mergeCell ref="GOF21:GOH21"/>
    <mergeCell ref="GOI21:GOK21"/>
    <mergeCell ref="GOL21:GON21"/>
    <mergeCell ref="GOO21:GOQ21"/>
    <mergeCell ref="GOR21:GOT21"/>
    <mergeCell ref="GRO21:GRQ21"/>
    <mergeCell ref="GRR21:GRT21"/>
    <mergeCell ref="GRU21:GRW21"/>
    <mergeCell ref="GRX21:GRZ21"/>
    <mergeCell ref="GSA21:GSC21"/>
    <mergeCell ref="GSD21:GSF21"/>
    <mergeCell ref="GQW21:GQY21"/>
    <mergeCell ref="GQZ21:GRB21"/>
    <mergeCell ref="GRC21:GRE21"/>
    <mergeCell ref="GRF21:GRH21"/>
    <mergeCell ref="GRI21:GRK21"/>
    <mergeCell ref="GRL21:GRN21"/>
    <mergeCell ref="GQE21:GQG21"/>
    <mergeCell ref="GQH21:GQJ21"/>
    <mergeCell ref="GQK21:GQM21"/>
    <mergeCell ref="GQN21:GQP21"/>
    <mergeCell ref="GQQ21:GQS21"/>
    <mergeCell ref="GQT21:GQV21"/>
    <mergeCell ref="GTQ21:GTS21"/>
    <mergeCell ref="GTT21:GTV21"/>
    <mergeCell ref="GTW21:GTY21"/>
    <mergeCell ref="GTZ21:GUB21"/>
    <mergeCell ref="GUC21:GUE21"/>
    <mergeCell ref="GUF21:GUH21"/>
    <mergeCell ref="GSY21:GTA21"/>
    <mergeCell ref="GTB21:GTD21"/>
    <mergeCell ref="GTE21:GTG21"/>
    <mergeCell ref="GTH21:GTJ21"/>
    <mergeCell ref="GTK21:GTM21"/>
    <mergeCell ref="GTN21:GTP21"/>
    <mergeCell ref="GSG21:GSI21"/>
    <mergeCell ref="GSJ21:GSL21"/>
    <mergeCell ref="GSM21:GSO21"/>
    <mergeCell ref="GSP21:GSR21"/>
    <mergeCell ref="GSS21:GSU21"/>
    <mergeCell ref="GSV21:GSX21"/>
    <mergeCell ref="GVS21:GVU21"/>
    <mergeCell ref="GVV21:GVX21"/>
    <mergeCell ref="GVY21:GWA21"/>
    <mergeCell ref="GWB21:GWD21"/>
    <mergeCell ref="GWE21:GWG21"/>
    <mergeCell ref="GWH21:GWJ21"/>
    <mergeCell ref="GVA21:GVC21"/>
    <mergeCell ref="GVD21:GVF21"/>
    <mergeCell ref="GVG21:GVI21"/>
    <mergeCell ref="GVJ21:GVL21"/>
    <mergeCell ref="GVM21:GVO21"/>
    <mergeCell ref="GVP21:GVR21"/>
    <mergeCell ref="GUI21:GUK21"/>
    <mergeCell ref="GUL21:GUN21"/>
    <mergeCell ref="GUO21:GUQ21"/>
    <mergeCell ref="GUR21:GUT21"/>
    <mergeCell ref="GUU21:GUW21"/>
    <mergeCell ref="GUX21:GUZ21"/>
    <mergeCell ref="GXU21:GXW21"/>
    <mergeCell ref="GXX21:GXZ21"/>
    <mergeCell ref="GYA21:GYC21"/>
    <mergeCell ref="GYD21:GYF21"/>
    <mergeCell ref="GYG21:GYI21"/>
    <mergeCell ref="GYJ21:GYL21"/>
    <mergeCell ref="GXC21:GXE21"/>
    <mergeCell ref="GXF21:GXH21"/>
    <mergeCell ref="GXI21:GXK21"/>
    <mergeCell ref="GXL21:GXN21"/>
    <mergeCell ref="GXO21:GXQ21"/>
    <mergeCell ref="GXR21:GXT21"/>
    <mergeCell ref="GWK21:GWM21"/>
    <mergeCell ref="GWN21:GWP21"/>
    <mergeCell ref="GWQ21:GWS21"/>
    <mergeCell ref="GWT21:GWV21"/>
    <mergeCell ref="GWW21:GWY21"/>
    <mergeCell ref="GWZ21:GXB21"/>
    <mergeCell ref="GZW21:GZY21"/>
    <mergeCell ref="GZZ21:HAB21"/>
    <mergeCell ref="HAC21:HAE21"/>
    <mergeCell ref="HAF21:HAH21"/>
    <mergeCell ref="HAI21:HAK21"/>
    <mergeCell ref="HAL21:HAN21"/>
    <mergeCell ref="GZE21:GZG21"/>
    <mergeCell ref="GZH21:GZJ21"/>
    <mergeCell ref="GZK21:GZM21"/>
    <mergeCell ref="GZN21:GZP21"/>
    <mergeCell ref="GZQ21:GZS21"/>
    <mergeCell ref="GZT21:GZV21"/>
    <mergeCell ref="GYM21:GYO21"/>
    <mergeCell ref="GYP21:GYR21"/>
    <mergeCell ref="GYS21:GYU21"/>
    <mergeCell ref="GYV21:GYX21"/>
    <mergeCell ref="GYY21:GZA21"/>
    <mergeCell ref="GZB21:GZD21"/>
    <mergeCell ref="HBY21:HCA21"/>
    <mergeCell ref="HCB21:HCD21"/>
    <mergeCell ref="HCE21:HCG21"/>
    <mergeCell ref="HCH21:HCJ21"/>
    <mergeCell ref="HCK21:HCM21"/>
    <mergeCell ref="HCN21:HCP21"/>
    <mergeCell ref="HBG21:HBI21"/>
    <mergeCell ref="HBJ21:HBL21"/>
    <mergeCell ref="HBM21:HBO21"/>
    <mergeCell ref="HBP21:HBR21"/>
    <mergeCell ref="HBS21:HBU21"/>
    <mergeCell ref="HBV21:HBX21"/>
    <mergeCell ref="HAO21:HAQ21"/>
    <mergeCell ref="HAR21:HAT21"/>
    <mergeCell ref="HAU21:HAW21"/>
    <mergeCell ref="HAX21:HAZ21"/>
    <mergeCell ref="HBA21:HBC21"/>
    <mergeCell ref="HBD21:HBF21"/>
    <mergeCell ref="HEA21:HEC21"/>
    <mergeCell ref="HED21:HEF21"/>
    <mergeCell ref="HEG21:HEI21"/>
    <mergeCell ref="HEJ21:HEL21"/>
    <mergeCell ref="HEM21:HEO21"/>
    <mergeCell ref="HEP21:HER21"/>
    <mergeCell ref="HDI21:HDK21"/>
    <mergeCell ref="HDL21:HDN21"/>
    <mergeCell ref="HDO21:HDQ21"/>
    <mergeCell ref="HDR21:HDT21"/>
    <mergeCell ref="HDU21:HDW21"/>
    <mergeCell ref="HDX21:HDZ21"/>
    <mergeCell ref="HCQ21:HCS21"/>
    <mergeCell ref="HCT21:HCV21"/>
    <mergeCell ref="HCW21:HCY21"/>
    <mergeCell ref="HCZ21:HDB21"/>
    <mergeCell ref="HDC21:HDE21"/>
    <mergeCell ref="HDF21:HDH21"/>
    <mergeCell ref="HGC21:HGE21"/>
    <mergeCell ref="HGF21:HGH21"/>
    <mergeCell ref="HGI21:HGK21"/>
    <mergeCell ref="HGL21:HGN21"/>
    <mergeCell ref="HGO21:HGQ21"/>
    <mergeCell ref="HGR21:HGT21"/>
    <mergeCell ref="HFK21:HFM21"/>
    <mergeCell ref="HFN21:HFP21"/>
    <mergeCell ref="HFQ21:HFS21"/>
    <mergeCell ref="HFT21:HFV21"/>
    <mergeCell ref="HFW21:HFY21"/>
    <mergeCell ref="HFZ21:HGB21"/>
    <mergeCell ref="HES21:HEU21"/>
    <mergeCell ref="HEV21:HEX21"/>
    <mergeCell ref="HEY21:HFA21"/>
    <mergeCell ref="HFB21:HFD21"/>
    <mergeCell ref="HFE21:HFG21"/>
    <mergeCell ref="HFH21:HFJ21"/>
    <mergeCell ref="HIE21:HIG21"/>
    <mergeCell ref="HIH21:HIJ21"/>
    <mergeCell ref="HIK21:HIM21"/>
    <mergeCell ref="HIN21:HIP21"/>
    <mergeCell ref="HIQ21:HIS21"/>
    <mergeCell ref="HIT21:HIV21"/>
    <mergeCell ref="HHM21:HHO21"/>
    <mergeCell ref="HHP21:HHR21"/>
    <mergeCell ref="HHS21:HHU21"/>
    <mergeCell ref="HHV21:HHX21"/>
    <mergeCell ref="HHY21:HIA21"/>
    <mergeCell ref="HIB21:HID21"/>
    <mergeCell ref="HGU21:HGW21"/>
    <mergeCell ref="HGX21:HGZ21"/>
    <mergeCell ref="HHA21:HHC21"/>
    <mergeCell ref="HHD21:HHF21"/>
    <mergeCell ref="HHG21:HHI21"/>
    <mergeCell ref="HHJ21:HHL21"/>
    <mergeCell ref="HKG21:HKI21"/>
    <mergeCell ref="HKJ21:HKL21"/>
    <mergeCell ref="HKM21:HKO21"/>
    <mergeCell ref="HKP21:HKR21"/>
    <mergeCell ref="HKS21:HKU21"/>
    <mergeCell ref="HKV21:HKX21"/>
    <mergeCell ref="HJO21:HJQ21"/>
    <mergeCell ref="HJR21:HJT21"/>
    <mergeCell ref="HJU21:HJW21"/>
    <mergeCell ref="HJX21:HJZ21"/>
    <mergeCell ref="HKA21:HKC21"/>
    <mergeCell ref="HKD21:HKF21"/>
    <mergeCell ref="HIW21:HIY21"/>
    <mergeCell ref="HIZ21:HJB21"/>
    <mergeCell ref="HJC21:HJE21"/>
    <mergeCell ref="HJF21:HJH21"/>
    <mergeCell ref="HJI21:HJK21"/>
    <mergeCell ref="HJL21:HJN21"/>
    <mergeCell ref="HMI21:HMK21"/>
    <mergeCell ref="HML21:HMN21"/>
    <mergeCell ref="HMO21:HMQ21"/>
    <mergeCell ref="HMR21:HMT21"/>
    <mergeCell ref="HMU21:HMW21"/>
    <mergeCell ref="HMX21:HMZ21"/>
    <mergeCell ref="HLQ21:HLS21"/>
    <mergeCell ref="HLT21:HLV21"/>
    <mergeCell ref="HLW21:HLY21"/>
    <mergeCell ref="HLZ21:HMB21"/>
    <mergeCell ref="HMC21:HME21"/>
    <mergeCell ref="HMF21:HMH21"/>
    <mergeCell ref="HKY21:HLA21"/>
    <mergeCell ref="HLB21:HLD21"/>
    <mergeCell ref="HLE21:HLG21"/>
    <mergeCell ref="HLH21:HLJ21"/>
    <mergeCell ref="HLK21:HLM21"/>
    <mergeCell ref="HLN21:HLP21"/>
    <mergeCell ref="HOK21:HOM21"/>
    <mergeCell ref="HON21:HOP21"/>
    <mergeCell ref="HOQ21:HOS21"/>
    <mergeCell ref="HOT21:HOV21"/>
    <mergeCell ref="HOW21:HOY21"/>
    <mergeCell ref="HOZ21:HPB21"/>
    <mergeCell ref="HNS21:HNU21"/>
    <mergeCell ref="HNV21:HNX21"/>
    <mergeCell ref="HNY21:HOA21"/>
    <mergeCell ref="HOB21:HOD21"/>
    <mergeCell ref="HOE21:HOG21"/>
    <mergeCell ref="HOH21:HOJ21"/>
    <mergeCell ref="HNA21:HNC21"/>
    <mergeCell ref="HND21:HNF21"/>
    <mergeCell ref="HNG21:HNI21"/>
    <mergeCell ref="HNJ21:HNL21"/>
    <mergeCell ref="HNM21:HNO21"/>
    <mergeCell ref="HNP21:HNR21"/>
    <mergeCell ref="HQM21:HQO21"/>
    <mergeCell ref="HQP21:HQR21"/>
    <mergeCell ref="HQS21:HQU21"/>
    <mergeCell ref="HQV21:HQX21"/>
    <mergeCell ref="HQY21:HRA21"/>
    <mergeCell ref="HRB21:HRD21"/>
    <mergeCell ref="HPU21:HPW21"/>
    <mergeCell ref="HPX21:HPZ21"/>
    <mergeCell ref="HQA21:HQC21"/>
    <mergeCell ref="HQD21:HQF21"/>
    <mergeCell ref="HQG21:HQI21"/>
    <mergeCell ref="HQJ21:HQL21"/>
    <mergeCell ref="HPC21:HPE21"/>
    <mergeCell ref="HPF21:HPH21"/>
    <mergeCell ref="HPI21:HPK21"/>
    <mergeCell ref="HPL21:HPN21"/>
    <mergeCell ref="HPO21:HPQ21"/>
    <mergeCell ref="HPR21:HPT21"/>
    <mergeCell ref="HSO21:HSQ21"/>
    <mergeCell ref="HSR21:HST21"/>
    <mergeCell ref="HSU21:HSW21"/>
    <mergeCell ref="HSX21:HSZ21"/>
    <mergeCell ref="HTA21:HTC21"/>
    <mergeCell ref="HTD21:HTF21"/>
    <mergeCell ref="HRW21:HRY21"/>
    <mergeCell ref="HRZ21:HSB21"/>
    <mergeCell ref="HSC21:HSE21"/>
    <mergeCell ref="HSF21:HSH21"/>
    <mergeCell ref="HSI21:HSK21"/>
    <mergeCell ref="HSL21:HSN21"/>
    <mergeCell ref="HRE21:HRG21"/>
    <mergeCell ref="HRH21:HRJ21"/>
    <mergeCell ref="HRK21:HRM21"/>
    <mergeCell ref="HRN21:HRP21"/>
    <mergeCell ref="HRQ21:HRS21"/>
    <mergeCell ref="HRT21:HRV21"/>
    <mergeCell ref="HUQ21:HUS21"/>
    <mergeCell ref="HUT21:HUV21"/>
    <mergeCell ref="HUW21:HUY21"/>
    <mergeCell ref="HUZ21:HVB21"/>
    <mergeCell ref="HVC21:HVE21"/>
    <mergeCell ref="HVF21:HVH21"/>
    <mergeCell ref="HTY21:HUA21"/>
    <mergeCell ref="HUB21:HUD21"/>
    <mergeCell ref="HUE21:HUG21"/>
    <mergeCell ref="HUH21:HUJ21"/>
    <mergeCell ref="HUK21:HUM21"/>
    <mergeCell ref="HUN21:HUP21"/>
    <mergeCell ref="HTG21:HTI21"/>
    <mergeCell ref="HTJ21:HTL21"/>
    <mergeCell ref="HTM21:HTO21"/>
    <mergeCell ref="HTP21:HTR21"/>
    <mergeCell ref="HTS21:HTU21"/>
    <mergeCell ref="HTV21:HTX21"/>
    <mergeCell ref="HWS21:HWU21"/>
    <mergeCell ref="HWV21:HWX21"/>
    <mergeCell ref="HWY21:HXA21"/>
    <mergeCell ref="HXB21:HXD21"/>
    <mergeCell ref="HXE21:HXG21"/>
    <mergeCell ref="HXH21:HXJ21"/>
    <mergeCell ref="HWA21:HWC21"/>
    <mergeCell ref="HWD21:HWF21"/>
    <mergeCell ref="HWG21:HWI21"/>
    <mergeCell ref="HWJ21:HWL21"/>
    <mergeCell ref="HWM21:HWO21"/>
    <mergeCell ref="HWP21:HWR21"/>
    <mergeCell ref="HVI21:HVK21"/>
    <mergeCell ref="HVL21:HVN21"/>
    <mergeCell ref="HVO21:HVQ21"/>
    <mergeCell ref="HVR21:HVT21"/>
    <mergeCell ref="HVU21:HVW21"/>
    <mergeCell ref="HVX21:HVZ21"/>
    <mergeCell ref="HYU21:HYW21"/>
    <mergeCell ref="HYX21:HYZ21"/>
    <mergeCell ref="HZA21:HZC21"/>
    <mergeCell ref="HZD21:HZF21"/>
    <mergeCell ref="HZG21:HZI21"/>
    <mergeCell ref="HZJ21:HZL21"/>
    <mergeCell ref="HYC21:HYE21"/>
    <mergeCell ref="HYF21:HYH21"/>
    <mergeCell ref="HYI21:HYK21"/>
    <mergeCell ref="HYL21:HYN21"/>
    <mergeCell ref="HYO21:HYQ21"/>
    <mergeCell ref="HYR21:HYT21"/>
    <mergeCell ref="HXK21:HXM21"/>
    <mergeCell ref="HXN21:HXP21"/>
    <mergeCell ref="HXQ21:HXS21"/>
    <mergeCell ref="HXT21:HXV21"/>
    <mergeCell ref="HXW21:HXY21"/>
    <mergeCell ref="HXZ21:HYB21"/>
    <mergeCell ref="IAW21:IAY21"/>
    <mergeCell ref="IAZ21:IBB21"/>
    <mergeCell ref="IBC21:IBE21"/>
    <mergeCell ref="IBF21:IBH21"/>
    <mergeCell ref="IBI21:IBK21"/>
    <mergeCell ref="IBL21:IBN21"/>
    <mergeCell ref="IAE21:IAG21"/>
    <mergeCell ref="IAH21:IAJ21"/>
    <mergeCell ref="IAK21:IAM21"/>
    <mergeCell ref="IAN21:IAP21"/>
    <mergeCell ref="IAQ21:IAS21"/>
    <mergeCell ref="IAT21:IAV21"/>
    <mergeCell ref="HZM21:HZO21"/>
    <mergeCell ref="HZP21:HZR21"/>
    <mergeCell ref="HZS21:HZU21"/>
    <mergeCell ref="HZV21:HZX21"/>
    <mergeCell ref="HZY21:IAA21"/>
    <mergeCell ref="IAB21:IAD21"/>
    <mergeCell ref="ICY21:IDA21"/>
    <mergeCell ref="IDB21:IDD21"/>
    <mergeCell ref="IDE21:IDG21"/>
    <mergeCell ref="IDH21:IDJ21"/>
    <mergeCell ref="IDK21:IDM21"/>
    <mergeCell ref="IDN21:IDP21"/>
    <mergeCell ref="ICG21:ICI21"/>
    <mergeCell ref="ICJ21:ICL21"/>
    <mergeCell ref="ICM21:ICO21"/>
    <mergeCell ref="ICP21:ICR21"/>
    <mergeCell ref="ICS21:ICU21"/>
    <mergeCell ref="ICV21:ICX21"/>
    <mergeCell ref="IBO21:IBQ21"/>
    <mergeCell ref="IBR21:IBT21"/>
    <mergeCell ref="IBU21:IBW21"/>
    <mergeCell ref="IBX21:IBZ21"/>
    <mergeCell ref="ICA21:ICC21"/>
    <mergeCell ref="ICD21:ICF21"/>
    <mergeCell ref="IFA21:IFC21"/>
    <mergeCell ref="IFD21:IFF21"/>
    <mergeCell ref="IFG21:IFI21"/>
    <mergeCell ref="IFJ21:IFL21"/>
    <mergeCell ref="IFM21:IFO21"/>
    <mergeCell ref="IFP21:IFR21"/>
    <mergeCell ref="IEI21:IEK21"/>
    <mergeCell ref="IEL21:IEN21"/>
    <mergeCell ref="IEO21:IEQ21"/>
    <mergeCell ref="IER21:IET21"/>
    <mergeCell ref="IEU21:IEW21"/>
    <mergeCell ref="IEX21:IEZ21"/>
    <mergeCell ref="IDQ21:IDS21"/>
    <mergeCell ref="IDT21:IDV21"/>
    <mergeCell ref="IDW21:IDY21"/>
    <mergeCell ref="IDZ21:IEB21"/>
    <mergeCell ref="IEC21:IEE21"/>
    <mergeCell ref="IEF21:IEH21"/>
    <mergeCell ref="IHC21:IHE21"/>
    <mergeCell ref="IHF21:IHH21"/>
    <mergeCell ref="IHI21:IHK21"/>
    <mergeCell ref="IHL21:IHN21"/>
    <mergeCell ref="IHO21:IHQ21"/>
    <mergeCell ref="IHR21:IHT21"/>
    <mergeCell ref="IGK21:IGM21"/>
    <mergeCell ref="IGN21:IGP21"/>
    <mergeCell ref="IGQ21:IGS21"/>
    <mergeCell ref="IGT21:IGV21"/>
    <mergeCell ref="IGW21:IGY21"/>
    <mergeCell ref="IGZ21:IHB21"/>
    <mergeCell ref="IFS21:IFU21"/>
    <mergeCell ref="IFV21:IFX21"/>
    <mergeCell ref="IFY21:IGA21"/>
    <mergeCell ref="IGB21:IGD21"/>
    <mergeCell ref="IGE21:IGG21"/>
    <mergeCell ref="IGH21:IGJ21"/>
    <mergeCell ref="IJE21:IJG21"/>
    <mergeCell ref="IJH21:IJJ21"/>
    <mergeCell ref="IJK21:IJM21"/>
    <mergeCell ref="IJN21:IJP21"/>
    <mergeCell ref="IJQ21:IJS21"/>
    <mergeCell ref="IJT21:IJV21"/>
    <mergeCell ref="IIM21:IIO21"/>
    <mergeCell ref="IIP21:IIR21"/>
    <mergeCell ref="IIS21:IIU21"/>
    <mergeCell ref="IIV21:IIX21"/>
    <mergeCell ref="IIY21:IJA21"/>
    <mergeCell ref="IJB21:IJD21"/>
    <mergeCell ref="IHU21:IHW21"/>
    <mergeCell ref="IHX21:IHZ21"/>
    <mergeCell ref="IIA21:IIC21"/>
    <mergeCell ref="IID21:IIF21"/>
    <mergeCell ref="IIG21:III21"/>
    <mergeCell ref="IIJ21:IIL21"/>
    <mergeCell ref="ILG21:ILI21"/>
    <mergeCell ref="ILJ21:ILL21"/>
    <mergeCell ref="ILM21:ILO21"/>
    <mergeCell ref="ILP21:ILR21"/>
    <mergeCell ref="ILS21:ILU21"/>
    <mergeCell ref="ILV21:ILX21"/>
    <mergeCell ref="IKO21:IKQ21"/>
    <mergeCell ref="IKR21:IKT21"/>
    <mergeCell ref="IKU21:IKW21"/>
    <mergeCell ref="IKX21:IKZ21"/>
    <mergeCell ref="ILA21:ILC21"/>
    <mergeCell ref="ILD21:ILF21"/>
    <mergeCell ref="IJW21:IJY21"/>
    <mergeCell ref="IJZ21:IKB21"/>
    <mergeCell ref="IKC21:IKE21"/>
    <mergeCell ref="IKF21:IKH21"/>
    <mergeCell ref="IKI21:IKK21"/>
    <mergeCell ref="IKL21:IKN21"/>
    <mergeCell ref="INI21:INK21"/>
    <mergeCell ref="INL21:INN21"/>
    <mergeCell ref="INO21:INQ21"/>
    <mergeCell ref="INR21:INT21"/>
    <mergeCell ref="INU21:INW21"/>
    <mergeCell ref="INX21:INZ21"/>
    <mergeCell ref="IMQ21:IMS21"/>
    <mergeCell ref="IMT21:IMV21"/>
    <mergeCell ref="IMW21:IMY21"/>
    <mergeCell ref="IMZ21:INB21"/>
    <mergeCell ref="INC21:INE21"/>
    <mergeCell ref="INF21:INH21"/>
    <mergeCell ref="ILY21:IMA21"/>
    <mergeCell ref="IMB21:IMD21"/>
    <mergeCell ref="IME21:IMG21"/>
    <mergeCell ref="IMH21:IMJ21"/>
    <mergeCell ref="IMK21:IMM21"/>
    <mergeCell ref="IMN21:IMP21"/>
    <mergeCell ref="IPK21:IPM21"/>
    <mergeCell ref="IPN21:IPP21"/>
    <mergeCell ref="IPQ21:IPS21"/>
    <mergeCell ref="IPT21:IPV21"/>
    <mergeCell ref="IPW21:IPY21"/>
    <mergeCell ref="IPZ21:IQB21"/>
    <mergeCell ref="IOS21:IOU21"/>
    <mergeCell ref="IOV21:IOX21"/>
    <mergeCell ref="IOY21:IPA21"/>
    <mergeCell ref="IPB21:IPD21"/>
    <mergeCell ref="IPE21:IPG21"/>
    <mergeCell ref="IPH21:IPJ21"/>
    <mergeCell ref="IOA21:IOC21"/>
    <mergeCell ref="IOD21:IOF21"/>
    <mergeCell ref="IOG21:IOI21"/>
    <mergeCell ref="IOJ21:IOL21"/>
    <mergeCell ref="IOM21:IOO21"/>
    <mergeCell ref="IOP21:IOR21"/>
    <mergeCell ref="IRM21:IRO21"/>
    <mergeCell ref="IRP21:IRR21"/>
    <mergeCell ref="IRS21:IRU21"/>
    <mergeCell ref="IRV21:IRX21"/>
    <mergeCell ref="IRY21:ISA21"/>
    <mergeCell ref="ISB21:ISD21"/>
    <mergeCell ref="IQU21:IQW21"/>
    <mergeCell ref="IQX21:IQZ21"/>
    <mergeCell ref="IRA21:IRC21"/>
    <mergeCell ref="IRD21:IRF21"/>
    <mergeCell ref="IRG21:IRI21"/>
    <mergeCell ref="IRJ21:IRL21"/>
    <mergeCell ref="IQC21:IQE21"/>
    <mergeCell ref="IQF21:IQH21"/>
    <mergeCell ref="IQI21:IQK21"/>
    <mergeCell ref="IQL21:IQN21"/>
    <mergeCell ref="IQO21:IQQ21"/>
    <mergeCell ref="IQR21:IQT21"/>
    <mergeCell ref="ITO21:ITQ21"/>
    <mergeCell ref="ITR21:ITT21"/>
    <mergeCell ref="ITU21:ITW21"/>
    <mergeCell ref="ITX21:ITZ21"/>
    <mergeCell ref="IUA21:IUC21"/>
    <mergeCell ref="IUD21:IUF21"/>
    <mergeCell ref="ISW21:ISY21"/>
    <mergeCell ref="ISZ21:ITB21"/>
    <mergeCell ref="ITC21:ITE21"/>
    <mergeCell ref="ITF21:ITH21"/>
    <mergeCell ref="ITI21:ITK21"/>
    <mergeCell ref="ITL21:ITN21"/>
    <mergeCell ref="ISE21:ISG21"/>
    <mergeCell ref="ISH21:ISJ21"/>
    <mergeCell ref="ISK21:ISM21"/>
    <mergeCell ref="ISN21:ISP21"/>
    <mergeCell ref="ISQ21:ISS21"/>
    <mergeCell ref="IST21:ISV21"/>
    <mergeCell ref="IVQ21:IVS21"/>
    <mergeCell ref="IVT21:IVV21"/>
    <mergeCell ref="IVW21:IVY21"/>
    <mergeCell ref="IVZ21:IWB21"/>
    <mergeCell ref="IWC21:IWE21"/>
    <mergeCell ref="IWF21:IWH21"/>
    <mergeCell ref="IUY21:IVA21"/>
    <mergeCell ref="IVB21:IVD21"/>
    <mergeCell ref="IVE21:IVG21"/>
    <mergeCell ref="IVH21:IVJ21"/>
    <mergeCell ref="IVK21:IVM21"/>
    <mergeCell ref="IVN21:IVP21"/>
    <mergeCell ref="IUG21:IUI21"/>
    <mergeCell ref="IUJ21:IUL21"/>
    <mergeCell ref="IUM21:IUO21"/>
    <mergeCell ref="IUP21:IUR21"/>
    <mergeCell ref="IUS21:IUU21"/>
    <mergeCell ref="IUV21:IUX21"/>
    <mergeCell ref="IXS21:IXU21"/>
    <mergeCell ref="IXV21:IXX21"/>
    <mergeCell ref="IXY21:IYA21"/>
    <mergeCell ref="IYB21:IYD21"/>
    <mergeCell ref="IYE21:IYG21"/>
    <mergeCell ref="IYH21:IYJ21"/>
    <mergeCell ref="IXA21:IXC21"/>
    <mergeCell ref="IXD21:IXF21"/>
    <mergeCell ref="IXG21:IXI21"/>
    <mergeCell ref="IXJ21:IXL21"/>
    <mergeCell ref="IXM21:IXO21"/>
    <mergeCell ref="IXP21:IXR21"/>
    <mergeCell ref="IWI21:IWK21"/>
    <mergeCell ref="IWL21:IWN21"/>
    <mergeCell ref="IWO21:IWQ21"/>
    <mergeCell ref="IWR21:IWT21"/>
    <mergeCell ref="IWU21:IWW21"/>
    <mergeCell ref="IWX21:IWZ21"/>
    <mergeCell ref="IZU21:IZW21"/>
    <mergeCell ref="IZX21:IZZ21"/>
    <mergeCell ref="JAA21:JAC21"/>
    <mergeCell ref="JAD21:JAF21"/>
    <mergeCell ref="JAG21:JAI21"/>
    <mergeCell ref="JAJ21:JAL21"/>
    <mergeCell ref="IZC21:IZE21"/>
    <mergeCell ref="IZF21:IZH21"/>
    <mergeCell ref="IZI21:IZK21"/>
    <mergeCell ref="IZL21:IZN21"/>
    <mergeCell ref="IZO21:IZQ21"/>
    <mergeCell ref="IZR21:IZT21"/>
    <mergeCell ref="IYK21:IYM21"/>
    <mergeCell ref="IYN21:IYP21"/>
    <mergeCell ref="IYQ21:IYS21"/>
    <mergeCell ref="IYT21:IYV21"/>
    <mergeCell ref="IYW21:IYY21"/>
    <mergeCell ref="IYZ21:IZB21"/>
    <mergeCell ref="JBW21:JBY21"/>
    <mergeCell ref="JBZ21:JCB21"/>
    <mergeCell ref="JCC21:JCE21"/>
    <mergeCell ref="JCF21:JCH21"/>
    <mergeCell ref="JCI21:JCK21"/>
    <mergeCell ref="JCL21:JCN21"/>
    <mergeCell ref="JBE21:JBG21"/>
    <mergeCell ref="JBH21:JBJ21"/>
    <mergeCell ref="JBK21:JBM21"/>
    <mergeCell ref="JBN21:JBP21"/>
    <mergeCell ref="JBQ21:JBS21"/>
    <mergeCell ref="JBT21:JBV21"/>
    <mergeCell ref="JAM21:JAO21"/>
    <mergeCell ref="JAP21:JAR21"/>
    <mergeCell ref="JAS21:JAU21"/>
    <mergeCell ref="JAV21:JAX21"/>
    <mergeCell ref="JAY21:JBA21"/>
    <mergeCell ref="JBB21:JBD21"/>
    <mergeCell ref="JDY21:JEA21"/>
    <mergeCell ref="JEB21:JED21"/>
    <mergeCell ref="JEE21:JEG21"/>
    <mergeCell ref="JEH21:JEJ21"/>
    <mergeCell ref="JEK21:JEM21"/>
    <mergeCell ref="JEN21:JEP21"/>
    <mergeCell ref="JDG21:JDI21"/>
    <mergeCell ref="JDJ21:JDL21"/>
    <mergeCell ref="JDM21:JDO21"/>
    <mergeCell ref="JDP21:JDR21"/>
    <mergeCell ref="JDS21:JDU21"/>
    <mergeCell ref="JDV21:JDX21"/>
    <mergeCell ref="JCO21:JCQ21"/>
    <mergeCell ref="JCR21:JCT21"/>
    <mergeCell ref="JCU21:JCW21"/>
    <mergeCell ref="JCX21:JCZ21"/>
    <mergeCell ref="JDA21:JDC21"/>
    <mergeCell ref="JDD21:JDF21"/>
    <mergeCell ref="JGA21:JGC21"/>
    <mergeCell ref="JGD21:JGF21"/>
    <mergeCell ref="JGG21:JGI21"/>
    <mergeCell ref="JGJ21:JGL21"/>
    <mergeCell ref="JGM21:JGO21"/>
    <mergeCell ref="JGP21:JGR21"/>
    <mergeCell ref="JFI21:JFK21"/>
    <mergeCell ref="JFL21:JFN21"/>
    <mergeCell ref="JFO21:JFQ21"/>
    <mergeCell ref="JFR21:JFT21"/>
    <mergeCell ref="JFU21:JFW21"/>
    <mergeCell ref="JFX21:JFZ21"/>
    <mergeCell ref="JEQ21:JES21"/>
    <mergeCell ref="JET21:JEV21"/>
    <mergeCell ref="JEW21:JEY21"/>
    <mergeCell ref="JEZ21:JFB21"/>
    <mergeCell ref="JFC21:JFE21"/>
    <mergeCell ref="JFF21:JFH21"/>
    <mergeCell ref="JIC21:JIE21"/>
    <mergeCell ref="JIF21:JIH21"/>
    <mergeCell ref="JII21:JIK21"/>
    <mergeCell ref="JIL21:JIN21"/>
    <mergeCell ref="JIO21:JIQ21"/>
    <mergeCell ref="JIR21:JIT21"/>
    <mergeCell ref="JHK21:JHM21"/>
    <mergeCell ref="JHN21:JHP21"/>
    <mergeCell ref="JHQ21:JHS21"/>
    <mergeCell ref="JHT21:JHV21"/>
    <mergeCell ref="JHW21:JHY21"/>
    <mergeCell ref="JHZ21:JIB21"/>
    <mergeCell ref="JGS21:JGU21"/>
    <mergeCell ref="JGV21:JGX21"/>
    <mergeCell ref="JGY21:JHA21"/>
    <mergeCell ref="JHB21:JHD21"/>
    <mergeCell ref="JHE21:JHG21"/>
    <mergeCell ref="JHH21:JHJ21"/>
    <mergeCell ref="JKE21:JKG21"/>
    <mergeCell ref="JKH21:JKJ21"/>
    <mergeCell ref="JKK21:JKM21"/>
    <mergeCell ref="JKN21:JKP21"/>
    <mergeCell ref="JKQ21:JKS21"/>
    <mergeCell ref="JKT21:JKV21"/>
    <mergeCell ref="JJM21:JJO21"/>
    <mergeCell ref="JJP21:JJR21"/>
    <mergeCell ref="JJS21:JJU21"/>
    <mergeCell ref="JJV21:JJX21"/>
    <mergeCell ref="JJY21:JKA21"/>
    <mergeCell ref="JKB21:JKD21"/>
    <mergeCell ref="JIU21:JIW21"/>
    <mergeCell ref="JIX21:JIZ21"/>
    <mergeCell ref="JJA21:JJC21"/>
    <mergeCell ref="JJD21:JJF21"/>
    <mergeCell ref="JJG21:JJI21"/>
    <mergeCell ref="JJJ21:JJL21"/>
    <mergeCell ref="JMG21:JMI21"/>
    <mergeCell ref="JMJ21:JML21"/>
    <mergeCell ref="JMM21:JMO21"/>
    <mergeCell ref="JMP21:JMR21"/>
    <mergeCell ref="JMS21:JMU21"/>
    <mergeCell ref="JMV21:JMX21"/>
    <mergeCell ref="JLO21:JLQ21"/>
    <mergeCell ref="JLR21:JLT21"/>
    <mergeCell ref="JLU21:JLW21"/>
    <mergeCell ref="JLX21:JLZ21"/>
    <mergeCell ref="JMA21:JMC21"/>
    <mergeCell ref="JMD21:JMF21"/>
    <mergeCell ref="JKW21:JKY21"/>
    <mergeCell ref="JKZ21:JLB21"/>
    <mergeCell ref="JLC21:JLE21"/>
    <mergeCell ref="JLF21:JLH21"/>
    <mergeCell ref="JLI21:JLK21"/>
    <mergeCell ref="JLL21:JLN21"/>
    <mergeCell ref="JOI21:JOK21"/>
    <mergeCell ref="JOL21:JON21"/>
    <mergeCell ref="JOO21:JOQ21"/>
    <mergeCell ref="JOR21:JOT21"/>
    <mergeCell ref="JOU21:JOW21"/>
    <mergeCell ref="JOX21:JOZ21"/>
    <mergeCell ref="JNQ21:JNS21"/>
    <mergeCell ref="JNT21:JNV21"/>
    <mergeCell ref="JNW21:JNY21"/>
    <mergeCell ref="JNZ21:JOB21"/>
    <mergeCell ref="JOC21:JOE21"/>
    <mergeCell ref="JOF21:JOH21"/>
    <mergeCell ref="JMY21:JNA21"/>
    <mergeCell ref="JNB21:JND21"/>
    <mergeCell ref="JNE21:JNG21"/>
    <mergeCell ref="JNH21:JNJ21"/>
    <mergeCell ref="JNK21:JNM21"/>
    <mergeCell ref="JNN21:JNP21"/>
    <mergeCell ref="JQK21:JQM21"/>
    <mergeCell ref="JQN21:JQP21"/>
    <mergeCell ref="JQQ21:JQS21"/>
    <mergeCell ref="JQT21:JQV21"/>
    <mergeCell ref="JQW21:JQY21"/>
    <mergeCell ref="JQZ21:JRB21"/>
    <mergeCell ref="JPS21:JPU21"/>
    <mergeCell ref="JPV21:JPX21"/>
    <mergeCell ref="JPY21:JQA21"/>
    <mergeCell ref="JQB21:JQD21"/>
    <mergeCell ref="JQE21:JQG21"/>
    <mergeCell ref="JQH21:JQJ21"/>
    <mergeCell ref="JPA21:JPC21"/>
    <mergeCell ref="JPD21:JPF21"/>
    <mergeCell ref="JPG21:JPI21"/>
    <mergeCell ref="JPJ21:JPL21"/>
    <mergeCell ref="JPM21:JPO21"/>
    <mergeCell ref="JPP21:JPR21"/>
    <mergeCell ref="JSM21:JSO21"/>
    <mergeCell ref="JSP21:JSR21"/>
    <mergeCell ref="JSS21:JSU21"/>
    <mergeCell ref="JSV21:JSX21"/>
    <mergeCell ref="JSY21:JTA21"/>
    <mergeCell ref="JTB21:JTD21"/>
    <mergeCell ref="JRU21:JRW21"/>
    <mergeCell ref="JRX21:JRZ21"/>
    <mergeCell ref="JSA21:JSC21"/>
    <mergeCell ref="JSD21:JSF21"/>
    <mergeCell ref="JSG21:JSI21"/>
    <mergeCell ref="JSJ21:JSL21"/>
    <mergeCell ref="JRC21:JRE21"/>
    <mergeCell ref="JRF21:JRH21"/>
    <mergeCell ref="JRI21:JRK21"/>
    <mergeCell ref="JRL21:JRN21"/>
    <mergeCell ref="JRO21:JRQ21"/>
    <mergeCell ref="JRR21:JRT21"/>
    <mergeCell ref="JUO21:JUQ21"/>
    <mergeCell ref="JUR21:JUT21"/>
    <mergeCell ref="JUU21:JUW21"/>
    <mergeCell ref="JUX21:JUZ21"/>
    <mergeCell ref="JVA21:JVC21"/>
    <mergeCell ref="JVD21:JVF21"/>
    <mergeCell ref="JTW21:JTY21"/>
    <mergeCell ref="JTZ21:JUB21"/>
    <mergeCell ref="JUC21:JUE21"/>
    <mergeCell ref="JUF21:JUH21"/>
    <mergeCell ref="JUI21:JUK21"/>
    <mergeCell ref="JUL21:JUN21"/>
    <mergeCell ref="JTE21:JTG21"/>
    <mergeCell ref="JTH21:JTJ21"/>
    <mergeCell ref="JTK21:JTM21"/>
    <mergeCell ref="JTN21:JTP21"/>
    <mergeCell ref="JTQ21:JTS21"/>
    <mergeCell ref="JTT21:JTV21"/>
    <mergeCell ref="JWQ21:JWS21"/>
    <mergeCell ref="JWT21:JWV21"/>
    <mergeCell ref="JWW21:JWY21"/>
    <mergeCell ref="JWZ21:JXB21"/>
    <mergeCell ref="JXC21:JXE21"/>
    <mergeCell ref="JXF21:JXH21"/>
    <mergeCell ref="JVY21:JWA21"/>
    <mergeCell ref="JWB21:JWD21"/>
    <mergeCell ref="JWE21:JWG21"/>
    <mergeCell ref="JWH21:JWJ21"/>
    <mergeCell ref="JWK21:JWM21"/>
    <mergeCell ref="JWN21:JWP21"/>
    <mergeCell ref="JVG21:JVI21"/>
    <mergeCell ref="JVJ21:JVL21"/>
    <mergeCell ref="JVM21:JVO21"/>
    <mergeCell ref="JVP21:JVR21"/>
    <mergeCell ref="JVS21:JVU21"/>
    <mergeCell ref="JVV21:JVX21"/>
    <mergeCell ref="JYS21:JYU21"/>
    <mergeCell ref="JYV21:JYX21"/>
    <mergeCell ref="JYY21:JZA21"/>
    <mergeCell ref="JZB21:JZD21"/>
    <mergeCell ref="JZE21:JZG21"/>
    <mergeCell ref="JZH21:JZJ21"/>
    <mergeCell ref="JYA21:JYC21"/>
    <mergeCell ref="JYD21:JYF21"/>
    <mergeCell ref="JYG21:JYI21"/>
    <mergeCell ref="JYJ21:JYL21"/>
    <mergeCell ref="JYM21:JYO21"/>
    <mergeCell ref="JYP21:JYR21"/>
    <mergeCell ref="JXI21:JXK21"/>
    <mergeCell ref="JXL21:JXN21"/>
    <mergeCell ref="JXO21:JXQ21"/>
    <mergeCell ref="JXR21:JXT21"/>
    <mergeCell ref="JXU21:JXW21"/>
    <mergeCell ref="JXX21:JXZ21"/>
    <mergeCell ref="KAU21:KAW21"/>
    <mergeCell ref="KAX21:KAZ21"/>
    <mergeCell ref="KBA21:KBC21"/>
    <mergeCell ref="KBD21:KBF21"/>
    <mergeCell ref="KBG21:KBI21"/>
    <mergeCell ref="KBJ21:KBL21"/>
    <mergeCell ref="KAC21:KAE21"/>
    <mergeCell ref="KAF21:KAH21"/>
    <mergeCell ref="KAI21:KAK21"/>
    <mergeCell ref="KAL21:KAN21"/>
    <mergeCell ref="KAO21:KAQ21"/>
    <mergeCell ref="KAR21:KAT21"/>
    <mergeCell ref="JZK21:JZM21"/>
    <mergeCell ref="JZN21:JZP21"/>
    <mergeCell ref="JZQ21:JZS21"/>
    <mergeCell ref="JZT21:JZV21"/>
    <mergeCell ref="JZW21:JZY21"/>
    <mergeCell ref="JZZ21:KAB21"/>
    <mergeCell ref="KCW21:KCY21"/>
    <mergeCell ref="KCZ21:KDB21"/>
    <mergeCell ref="KDC21:KDE21"/>
    <mergeCell ref="KDF21:KDH21"/>
    <mergeCell ref="KDI21:KDK21"/>
    <mergeCell ref="KDL21:KDN21"/>
    <mergeCell ref="KCE21:KCG21"/>
    <mergeCell ref="KCH21:KCJ21"/>
    <mergeCell ref="KCK21:KCM21"/>
    <mergeCell ref="KCN21:KCP21"/>
    <mergeCell ref="KCQ21:KCS21"/>
    <mergeCell ref="KCT21:KCV21"/>
    <mergeCell ref="KBM21:KBO21"/>
    <mergeCell ref="KBP21:KBR21"/>
    <mergeCell ref="KBS21:KBU21"/>
    <mergeCell ref="KBV21:KBX21"/>
    <mergeCell ref="KBY21:KCA21"/>
    <mergeCell ref="KCB21:KCD21"/>
    <mergeCell ref="KEY21:KFA21"/>
    <mergeCell ref="KFB21:KFD21"/>
    <mergeCell ref="KFE21:KFG21"/>
    <mergeCell ref="KFH21:KFJ21"/>
    <mergeCell ref="KFK21:KFM21"/>
    <mergeCell ref="KFN21:KFP21"/>
    <mergeCell ref="KEG21:KEI21"/>
    <mergeCell ref="KEJ21:KEL21"/>
    <mergeCell ref="KEM21:KEO21"/>
    <mergeCell ref="KEP21:KER21"/>
    <mergeCell ref="KES21:KEU21"/>
    <mergeCell ref="KEV21:KEX21"/>
    <mergeCell ref="KDO21:KDQ21"/>
    <mergeCell ref="KDR21:KDT21"/>
    <mergeCell ref="KDU21:KDW21"/>
    <mergeCell ref="KDX21:KDZ21"/>
    <mergeCell ref="KEA21:KEC21"/>
    <mergeCell ref="KED21:KEF21"/>
    <mergeCell ref="KHA21:KHC21"/>
    <mergeCell ref="KHD21:KHF21"/>
    <mergeCell ref="KHG21:KHI21"/>
    <mergeCell ref="KHJ21:KHL21"/>
    <mergeCell ref="KHM21:KHO21"/>
    <mergeCell ref="KHP21:KHR21"/>
    <mergeCell ref="KGI21:KGK21"/>
    <mergeCell ref="KGL21:KGN21"/>
    <mergeCell ref="KGO21:KGQ21"/>
    <mergeCell ref="KGR21:KGT21"/>
    <mergeCell ref="KGU21:KGW21"/>
    <mergeCell ref="KGX21:KGZ21"/>
    <mergeCell ref="KFQ21:KFS21"/>
    <mergeCell ref="KFT21:KFV21"/>
    <mergeCell ref="KFW21:KFY21"/>
    <mergeCell ref="KFZ21:KGB21"/>
    <mergeCell ref="KGC21:KGE21"/>
    <mergeCell ref="KGF21:KGH21"/>
    <mergeCell ref="KJC21:KJE21"/>
    <mergeCell ref="KJF21:KJH21"/>
    <mergeCell ref="KJI21:KJK21"/>
    <mergeCell ref="KJL21:KJN21"/>
    <mergeCell ref="KJO21:KJQ21"/>
    <mergeCell ref="KJR21:KJT21"/>
    <mergeCell ref="KIK21:KIM21"/>
    <mergeCell ref="KIN21:KIP21"/>
    <mergeCell ref="KIQ21:KIS21"/>
    <mergeCell ref="KIT21:KIV21"/>
    <mergeCell ref="KIW21:KIY21"/>
    <mergeCell ref="KIZ21:KJB21"/>
    <mergeCell ref="KHS21:KHU21"/>
    <mergeCell ref="KHV21:KHX21"/>
    <mergeCell ref="KHY21:KIA21"/>
    <mergeCell ref="KIB21:KID21"/>
    <mergeCell ref="KIE21:KIG21"/>
    <mergeCell ref="KIH21:KIJ21"/>
    <mergeCell ref="KLE21:KLG21"/>
    <mergeCell ref="KLH21:KLJ21"/>
    <mergeCell ref="KLK21:KLM21"/>
    <mergeCell ref="KLN21:KLP21"/>
    <mergeCell ref="KLQ21:KLS21"/>
    <mergeCell ref="KLT21:KLV21"/>
    <mergeCell ref="KKM21:KKO21"/>
    <mergeCell ref="KKP21:KKR21"/>
    <mergeCell ref="KKS21:KKU21"/>
    <mergeCell ref="KKV21:KKX21"/>
    <mergeCell ref="KKY21:KLA21"/>
    <mergeCell ref="KLB21:KLD21"/>
    <mergeCell ref="KJU21:KJW21"/>
    <mergeCell ref="KJX21:KJZ21"/>
    <mergeCell ref="KKA21:KKC21"/>
    <mergeCell ref="KKD21:KKF21"/>
    <mergeCell ref="KKG21:KKI21"/>
    <mergeCell ref="KKJ21:KKL21"/>
    <mergeCell ref="KNG21:KNI21"/>
    <mergeCell ref="KNJ21:KNL21"/>
    <mergeCell ref="KNM21:KNO21"/>
    <mergeCell ref="KNP21:KNR21"/>
    <mergeCell ref="KNS21:KNU21"/>
    <mergeCell ref="KNV21:KNX21"/>
    <mergeCell ref="KMO21:KMQ21"/>
    <mergeCell ref="KMR21:KMT21"/>
    <mergeCell ref="KMU21:KMW21"/>
    <mergeCell ref="KMX21:KMZ21"/>
    <mergeCell ref="KNA21:KNC21"/>
    <mergeCell ref="KND21:KNF21"/>
    <mergeCell ref="KLW21:KLY21"/>
    <mergeCell ref="KLZ21:KMB21"/>
    <mergeCell ref="KMC21:KME21"/>
    <mergeCell ref="KMF21:KMH21"/>
    <mergeCell ref="KMI21:KMK21"/>
    <mergeCell ref="KML21:KMN21"/>
    <mergeCell ref="KPI21:KPK21"/>
    <mergeCell ref="KPL21:KPN21"/>
    <mergeCell ref="KPO21:KPQ21"/>
    <mergeCell ref="KPR21:KPT21"/>
    <mergeCell ref="KPU21:KPW21"/>
    <mergeCell ref="KPX21:KPZ21"/>
    <mergeCell ref="KOQ21:KOS21"/>
    <mergeCell ref="KOT21:KOV21"/>
    <mergeCell ref="KOW21:KOY21"/>
    <mergeCell ref="KOZ21:KPB21"/>
    <mergeCell ref="KPC21:KPE21"/>
    <mergeCell ref="KPF21:KPH21"/>
    <mergeCell ref="KNY21:KOA21"/>
    <mergeCell ref="KOB21:KOD21"/>
    <mergeCell ref="KOE21:KOG21"/>
    <mergeCell ref="KOH21:KOJ21"/>
    <mergeCell ref="KOK21:KOM21"/>
    <mergeCell ref="KON21:KOP21"/>
    <mergeCell ref="KRK21:KRM21"/>
    <mergeCell ref="KRN21:KRP21"/>
    <mergeCell ref="KRQ21:KRS21"/>
    <mergeCell ref="KRT21:KRV21"/>
    <mergeCell ref="KRW21:KRY21"/>
    <mergeCell ref="KRZ21:KSB21"/>
    <mergeCell ref="KQS21:KQU21"/>
    <mergeCell ref="KQV21:KQX21"/>
    <mergeCell ref="KQY21:KRA21"/>
    <mergeCell ref="KRB21:KRD21"/>
    <mergeCell ref="KRE21:KRG21"/>
    <mergeCell ref="KRH21:KRJ21"/>
    <mergeCell ref="KQA21:KQC21"/>
    <mergeCell ref="KQD21:KQF21"/>
    <mergeCell ref="KQG21:KQI21"/>
    <mergeCell ref="KQJ21:KQL21"/>
    <mergeCell ref="KQM21:KQO21"/>
    <mergeCell ref="KQP21:KQR21"/>
    <mergeCell ref="KTM21:KTO21"/>
    <mergeCell ref="KTP21:KTR21"/>
    <mergeCell ref="KTS21:KTU21"/>
    <mergeCell ref="KTV21:KTX21"/>
    <mergeCell ref="KTY21:KUA21"/>
    <mergeCell ref="KUB21:KUD21"/>
    <mergeCell ref="KSU21:KSW21"/>
    <mergeCell ref="KSX21:KSZ21"/>
    <mergeCell ref="KTA21:KTC21"/>
    <mergeCell ref="KTD21:KTF21"/>
    <mergeCell ref="KTG21:KTI21"/>
    <mergeCell ref="KTJ21:KTL21"/>
    <mergeCell ref="KSC21:KSE21"/>
    <mergeCell ref="KSF21:KSH21"/>
    <mergeCell ref="KSI21:KSK21"/>
    <mergeCell ref="KSL21:KSN21"/>
    <mergeCell ref="KSO21:KSQ21"/>
    <mergeCell ref="KSR21:KST21"/>
    <mergeCell ref="KVO21:KVQ21"/>
    <mergeCell ref="KVR21:KVT21"/>
    <mergeCell ref="KVU21:KVW21"/>
    <mergeCell ref="KVX21:KVZ21"/>
    <mergeCell ref="KWA21:KWC21"/>
    <mergeCell ref="KWD21:KWF21"/>
    <mergeCell ref="KUW21:KUY21"/>
    <mergeCell ref="KUZ21:KVB21"/>
    <mergeCell ref="KVC21:KVE21"/>
    <mergeCell ref="KVF21:KVH21"/>
    <mergeCell ref="KVI21:KVK21"/>
    <mergeCell ref="KVL21:KVN21"/>
    <mergeCell ref="KUE21:KUG21"/>
    <mergeCell ref="KUH21:KUJ21"/>
    <mergeCell ref="KUK21:KUM21"/>
    <mergeCell ref="KUN21:KUP21"/>
    <mergeCell ref="KUQ21:KUS21"/>
    <mergeCell ref="KUT21:KUV21"/>
    <mergeCell ref="KXQ21:KXS21"/>
    <mergeCell ref="KXT21:KXV21"/>
    <mergeCell ref="KXW21:KXY21"/>
    <mergeCell ref="KXZ21:KYB21"/>
    <mergeCell ref="KYC21:KYE21"/>
    <mergeCell ref="KYF21:KYH21"/>
    <mergeCell ref="KWY21:KXA21"/>
    <mergeCell ref="KXB21:KXD21"/>
    <mergeCell ref="KXE21:KXG21"/>
    <mergeCell ref="KXH21:KXJ21"/>
    <mergeCell ref="KXK21:KXM21"/>
    <mergeCell ref="KXN21:KXP21"/>
    <mergeCell ref="KWG21:KWI21"/>
    <mergeCell ref="KWJ21:KWL21"/>
    <mergeCell ref="KWM21:KWO21"/>
    <mergeCell ref="KWP21:KWR21"/>
    <mergeCell ref="KWS21:KWU21"/>
    <mergeCell ref="KWV21:KWX21"/>
    <mergeCell ref="KZS21:KZU21"/>
    <mergeCell ref="KZV21:KZX21"/>
    <mergeCell ref="KZY21:LAA21"/>
    <mergeCell ref="LAB21:LAD21"/>
    <mergeCell ref="LAE21:LAG21"/>
    <mergeCell ref="LAH21:LAJ21"/>
    <mergeCell ref="KZA21:KZC21"/>
    <mergeCell ref="KZD21:KZF21"/>
    <mergeCell ref="KZG21:KZI21"/>
    <mergeCell ref="KZJ21:KZL21"/>
    <mergeCell ref="KZM21:KZO21"/>
    <mergeCell ref="KZP21:KZR21"/>
    <mergeCell ref="KYI21:KYK21"/>
    <mergeCell ref="KYL21:KYN21"/>
    <mergeCell ref="KYO21:KYQ21"/>
    <mergeCell ref="KYR21:KYT21"/>
    <mergeCell ref="KYU21:KYW21"/>
    <mergeCell ref="KYX21:KYZ21"/>
    <mergeCell ref="LBU21:LBW21"/>
    <mergeCell ref="LBX21:LBZ21"/>
    <mergeCell ref="LCA21:LCC21"/>
    <mergeCell ref="LCD21:LCF21"/>
    <mergeCell ref="LCG21:LCI21"/>
    <mergeCell ref="LCJ21:LCL21"/>
    <mergeCell ref="LBC21:LBE21"/>
    <mergeCell ref="LBF21:LBH21"/>
    <mergeCell ref="LBI21:LBK21"/>
    <mergeCell ref="LBL21:LBN21"/>
    <mergeCell ref="LBO21:LBQ21"/>
    <mergeCell ref="LBR21:LBT21"/>
    <mergeCell ref="LAK21:LAM21"/>
    <mergeCell ref="LAN21:LAP21"/>
    <mergeCell ref="LAQ21:LAS21"/>
    <mergeCell ref="LAT21:LAV21"/>
    <mergeCell ref="LAW21:LAY21"/>
    <mergeCell ref="LAZ21:LBB21"/>
    <mergeCell ref="LDW21:LDY21"/>
    <mergeCell ref="LDZ21:LEB21"/>
    <mergeCell ref="LEC21:LEE21"/>
    <mergeCell ref="LEF21:LEH21"/>
    <mergeCell ref="LEI21:LEK21"/>
    <mergeCell ref="LEL21:LEN21"/>
    <mergeCell ref="LDE21:LDG21"/>
    <mergeCell ref="LDH21:LDJ21"/>
    <mergeCell ref="LDK21:LDM21"/>
    <mergeCell ref="LDN21:LDP21"/>
    <mergeCell ref="LDQ21:LDS21"/>
    <mergeCell ref="LDT21:LDV21"/>
    <mergeCell ref="LCM21:LCO21"/>
    <mergeCell ref="LCP21:LCR21"/>
    <mergeCell ref="LCS21:LCU21"/>
    <mergeCell ref="LCV21:LCX21"/>
    <mergeCell ref="LCY21:LDA21"/>
    <mergeCell ref="LDB21:LDD21"/>
    <mergeCell ref="LFY21:LGA21"/>
    <mergeCell ref="LGB21:LGD21"/>
    <mergeCell ref="LGE21:LGG21"/>
    <mergeCell ref="LGH21:LGJ21"/>
    <mergeCell ref="LGK21:LGM21"/>
    <mergeCell ref="LGN21:LGP21"/>
    <mergeCell ref="LFG21:LFI21"/>
    <mergeCell ref="LFJ21:LFL21"/>
    <mergeCell ref="LFM21:LFO21"/>
    <mergeCell ref="LFP21:LFR21"/>
    <mergeCell ref="LFS21:LFU21"/>
    <mergeCell ref="LFV21:LFX21"/>
    <mergeCell ref="LEO21:LEQ21"/>
    <mergeCell ref="LER21:LET21"/>
    <mergeCell ref="LEU21:LEW21"/>
    <mergeCell ref="LEX21:LEZ21"/>
    <mergeCell ref="LFA21:LFC21"/>
    <mergeCell ref="LFD21:LFF21"/>
    <mergeCell ref="LIA21:LIC21"/>
    <mergeCell ref="LID21:LIF21"/>
    <mergeCell ref="LIG21:LII21"/>
    <mergeCell ref="LIJ21:LIL21"/>
    <mergeCell ref="LIM21:LIO21"/>
    <mergeCell ref="LIP21:LIR21"/>
    <mergeCell ref="LHI21:LHK21"/>
    <mergeCell ref="LHL21:LHN21"/>
    <mergeCell ref="LHO21:LHQ21"/>
    <mergeCell ref="LHR21:LHT21"/>
    <mergeCell ref="LHU21:LHW21"/>
    <mergeCell ref="LHX21:LHZ21"/>
    <mergeCell ref="LGQ21:LGS21"/>
    <mergeCell ref="LGT21:LGV21"/>
    <mergeCell ref="LGW21:LGY21"/>
    <mergeCell ref="LGZ21:LHB21"/>
    <mergeCell ref="LHC21:LHE21"/>
    <mergeCell ref="LHF21:LHH21"/>
    <mergeCell ref="LKC21:LKE21"/>
    <mergeCell ref="LKF21:LKH21"/>
    <mergeCell ref="LKI21:LKK21"/>
    <mergeCell ref="LKL21:LKN21"/>
    <mergeCell ref="LKO21:LKQ21"/>
    <mergeCell ref="LKR21:LKT21"/>
    <mergeCell ref="LJK21:LJM21"/>
    <mergeCell ref="LJN21:LJP21"/>
    <mergeCell ref="LJQ21:LJS21"/>
    <mergeCell ref="LJT21:LJV21"/>
    <mergeCell ref="LJW21:LJY21"/>
    <mergeCell ref="LJZ21:LKB21"/>
    <mergeCell ref="LIS21:LIU21"/>
    <mergeCell ref="LIV21:LIX21"/>
    <mergeCell ref="LIY21:LJA21"/>
    <mergeCell ref="LJB21:LJD21"/>
    <mergeCell ref="LJE21:LJG21"/>
    <mergeCell ref="LJH21:LJJ21"/>
    <mergeCell ref="LME21:LMG21"/>
    <mergeCell ref="LMH21:LMJ21"/>
    <mergeCell ref="LMK21:LMM21"/>
    <mergeCell ref="LMN21:LMP21"/>
    <mergeCell ref="LMQ21:LMS21"/>
    <mergeCell ref="LMT21:LMV21"/>
    <mergeCell ref="LLM21:LLO21"/>
    <mergeCell ref="LLP21:LLR21"/>
    <mergeCell ref="LLS21:LLU21"/>
    <mergeCell ref="LLV21:LLX21"/>
    <mergeCell ref="LLY21:LMA21"/>
    <mergeCell ref="LMB21:LMD21"/>
    <mergeCell ref="LKU21:LKW21"/>
    <mergeCell ref="LKX21:LKZ21"/>
    <mergeCell ref="LLA21:LLC21"/>
    <mergeCell ref="LLD21:LLF21"/>
    <mergeCell ref="LLG21:LLI21"/>
    <mergeCell ref="LLJ21:LLL21"/>
    <mergeCell ref="LOG21:LOI21"/>
    <mergeCell ref="LOJ21:LOL21"/>
    <mergeCell ref="LOM21:LOO21"/>
    <mergeCell ref="LOP21:LOR21"/>
    <mergeCell ref="LOS21:LOU21"/>
    <mergeCell ref="LOV21:LOX21"/>
    <mergeCell ref="LNO21:LNQ21"/>
    <mergeCell ref="LNR21:LNT21"/>
    <mergeCell ref="LNU21:LNW21"/>
    <mergeCell ref="LNX21:LNZ21"/>
    <mergeCell ref="LOA21:LOC21"/>
    <mergeCell ref="LOD21:LOF21"/>
    <mergeCell ref="LMW21:LMY21"/>
    <mergeCell ref="LMZ21:LNB21"/>
    <mergeCell ref="LNC21:LNE21"/>
    <mergeCell ref="LNF21:LNH21"/>
    <mergeCell ref="LNI21:LNK21"/>
    <mergeCell ref="LNL21:LNN21"/>
    <mergeCell ref="LQI21:LQK21"/>
    <mergeCell ref="LQL21:LQN21"/>
    <mergeCell ref="LQO21:LQQ21"/>
    <mergeCell ref="LQR21:LQT21"/>
    <mergeCell ref="LQU21:LQW21"/>
    <mergeCell ref="LQX21:LQZ21"/>
    <mergeCell ref="LPQ21:LPS21"/>
    <mergeCell ref="LPT21:LPV21"/>
    <mergeCell ref="LPW21:LPY21"/>
    <mergeCell ref="LPZ21:LQB21"/>
    <mergeCell ref="LQC21:LQE21"/>
    <mergeCell ref="LQF21:LQH21"/>
    <mergeCell ref="LOY21:LPA21"/>
    <mergeCell ref="LPB21:LPD21"/>
    <mergeCell ref="LPE21:LPG21"/>
    <mergeCell ref="LPH21:LPJ21"/>
    <mergeCell ref="LPK21:LPM21"/>
    <mergeCell ref="LPN21:LPP21"/>
    <mergeCell ref="LSK21:LSM21"/>
    <mergeCell ref="LSN21:LSP21"/>
    <mergeCell ref="LSQ21:LSS21"/>
    <mergeCell ref="LST21:LSV21"/>
    <mergeCell ref="LSW21:LSY21"/>
    <mergeCell ref="LSZ21:LTB21"/>
    <mergeCell ref="LRS21:LRU21"/>
    <mergeCell ref="LRV21:LRX21"/>
    <mergeCell ref="LRY21:LSA21"/>
    <mergeCell ref="LSB21:LSD21"/>
    <mergeCell ref="LSE21:LSG21"/>
    <mergeCell ref="LSH21:LSJ21"/>
    <mergeCell ref="LRA21:LRC21"/>
    <mergeCell ref="LRD21:LRF21"/>
    <mergeCell ref="LRG21:LRI21"/>
    <mergeCell ref="LRJ21:LRL21"/>
    <mergeCell ref="LRM21:LRO21"/>
    <mergeCell ref="LRP21:LRR21"/>
    <mergeCell ref="LUM21:LUO21"/>
    <mergeCell ref="LUP21:LUR21"/>
    <mergeCell ref="LUS21:LUU21"/>
    <mergeCell ref="LUV21:LUX21"/>
    <mergeCell ref="LUY21:LVA21"/>
    <mergeCell ref="LVB21:LVD21"/>
    <mergeCell ref="LTU21:LTW21"/>
    <mergeCell ref="LTX21:LTZ21"/>
    <mergeCell ref="LUA21:LUC21"/>
    <mergeCell ref="LUD21:LUF21"/>
    <mergeCell ref="LUG21:LUI21"/>
    <mergeCell ref="LUJ21:LUL21"/>
    <mergeCell ref="LTC21:LTE21"/>
    <mergeCell ref="LTF21:LTH21"/>
    <mergeCell ref="LTI21:LTK21"/>
    <mergeCell ref="LTL21:LTN21"/>
    <mergeCell ref="LTO21:LTQ21"/>
    <mergeCell ref="LTR21:LTT21"/>
    <mergeCell ref="LWO21:LWQ21"/>
    <mergeCell ref="LWR21:LWT21"/>
    <mergeCell ref="LWU21:LWW21"/>
    <mergeCell ref="LWX21:LWZ21"/>
    <mergeCell ref="LXA21:LXC21"/>
    <mergeCell ref="LXD21:LXF21"/>
    <mergeCell ref="LVW21:LVY21"/>
    <mergeCell ref="LVZ21:LWB21"/>
    <mergeCell ref="LWC21:LWE21"/>
    <mergeCell ref="LWF21:LWH21"/>
    <mergeCell ref="LWI21:LWK21"/>
    <mergeCell ref="LWL21:LWN21"/>
    <mergeCell ref="LVE21:LVG21"/>
    <mergeCell ref="LVH21:LVJ21"/>
    <mergeCell ref="LVK21:LVM21"/>
    <mergeCell ref="LVN21:LVP21"/>
    <mergeCell ref="LVQ21:LVS21"/>
    <mergeCell ref="LVT21:LVV21"/>
    <mergeCell ref="LYQ21:LYS21"/>
    <mergeCell ref="LYT21:LYV21"/>
    <mergeCell ref="LYW21:LYY21"/>
    <mergeCell ref="LYZ21:LZB21"/>
    <mergeCell ref="LZC21:LZE21"/>
    <mergeCell ref="LZF21:LZH21"/>
    <mergeCell ref="LXY21:LYA21"/>
    <mergeCell ref="LYB21:LYD21"/>
    <mergeCell ref="LYE21:LYG21"/>
    <mergeCell ref="LYH21:LYJ21"/>
    <mergeCell ref="LYK21:LYM21"/>
    <mergeCell ref="LYN21:LYP21"/>
    <mergeCell ref="LXG21:LXI21"/>
    <mergeCell ref="LXJ21:LXL21"/>
    <mergeCell ref="LXM21:LXO21"/>
    <mergeCell ref="LXP21:LXR21"/>
    <mergeCell ref="LXS21:LXU21"/>
    <mergeCell ref="LXV21:LXX21"/>
    <mergeCell ref="MAS21:MAU21"/>
    <mergeCell ref="MAV21:MAX21"/>
    <mergeCell ref="MAY21:MBA21"/>
    <mergeCell ref="MBB21:MBD21"/>
    <mergeCell ref="MBE21:MBG21"/>
    <mergeCell ref="MBH21:MBJ21"/>
    <mergeCell ref="MAA21:MAC21"/>
    <mergeCell ref="MAD21:MAF21"/>
    <mergeCell ref="MAG21:MAI21"/>
    <mergeCell ref="MAJ21:MAL21"/>
    <mergeCell ref="MAM21:MAO21"/>
    <mergeCell ref="MAP21:MAR21"/>
    <mergeCell ref="LZI21:LZK21"/>
    <mergeCell ref="LZL21:LZN21"/>
    <mergeCell ref="LZO21:LZQ21"/>
    <mergeCell ref="LZR21:LZT21"/>
    <mergeCell ref="LZU21:LZW21"/>
    <mergeCell ref="LZX21:LZZ21"/>
    <mergeCell ref="MCU21:MCW21"/>
    <mergeCell ref="MCX21:MCZ21"/>
    <mergeCell ref="MDA21:MDC21"/>
    <mergeCell ref="MDD21:MDF21"/>
    <mergeCell ref="MDG21:MDI21"/>
    <mergeCell ref="MDJ21:MDL21"/>
    <mergeCell ref="MCC21:MCE21"/>
    <mergeCell ref="MCF21:MCH21"/>
    <mergeCell ref="MCI21:MCK21"/>
    <mergeCell ref="MCL21:MCN21"/>
    <mergeCell ref="MCO21:MCQ21"/>
    <mergeCell ref="MCR21:MCT21"/>
    <mergeCell ref="MBK21:MBM21"/>
    <mergeCell ref="MBN21:MBP21"/>
    <mergeCell ref="MBQ21:MBS21"/>
    <mergeCell ref="MBT21:MBV21"/>
    <mergeCell ref="MBW21:MBY21"/>
    <mergeCell ref="MBZ21:MCB21"/>
    <mergeCell ref="MEW21:MEY21"/>
    <mergeCell ref="MEZ21:MFB21"/>
    <mergeCell ref="MFC21:MFE21"/>
    <mergeCell ref="MFF21:MFH21"/>
    <mergeCell ref="MFI21:MFK21"/>
    <mergeCell ref="MFL21:MFN21"/>
    <mergeCell ref="MEE21:MEG21"/>
    <mergeCell ref="MEH21:MEJ21"/>
    <mergeCell ref="MEK21:MEM21"/>
    <mergeCell ref="MEN21:MEP21"/>
    <mergeCell ref="MEQ21:MES21"/>
    <mergeCell ref="MET21:MEV21"/>
    <mergeCell ref="MDM21:MDO21"/>
    <mergeCell ref="MDP21:MDR21"/>
    <mergeCell ref="MDS21:MDU21"/>
    <mergeCell ref="MDV21:MDX21"/>
    <mergeCell ref="MDY21:MEA21"/>
    <mergeCell ref="MEB21:MED21"/>
    <mergeCell ref="MGY21:MHA21"/>
    <mergeCell ref="MHB21:MHD21"/>
    <mergeCell ref="MHE21:MHG21"/>
    <mergeCell ref="MHH21:MHJ21"/>
    <mergeCell ref="MHK21:MHM21"/>
    <mergeCell ref="MHN21:MHP21"/>
    <mergeCell ref="MGG21:MGI21"/>
    <mergeCell ref="MGJ21:MGL21"/>
    <mergeCell ref="MGM21:MGO21"/>
    <mergeCell ref="MGP21:MGR21"/>
    <mergeCell ref="MGS21:MGU21"/>
    <mergeCell ref="MGV21:MGX21"/>
    <mergeCell ref="MFO21:MFQ21"/>
    <mergeCell ref="MFR21:MFT21"/>
    <mergeCell ref="MFU21:MFW21"/>
    <mergeCell ref="MFX21:MFZ21"/>
    <mergeCell ref="MGA21:MGC21"/>
    <mergeCell ref="MGD21:MGF21"/>
    <mergeCell ref="MJA21:MJC21"/>
    <mergeCell ref="MJD21:MJF21"/>
    <mergeCell ref="MJG21:MJI21"/>
    <mergeCell ref="MJJ21:MJL21"/>
    <mergeCell ref="MJM21:MJO21"/>
    <mergeCell ref="MJP21:MJR21"/>
    <mergeCell ref="MII21:MIK21"/>
    <mergeCell ref="MIL21:MIN21"/>
    <mergeCell ref="MIO21:MIQ21"/>
    <mergeCell ref="MIR21:MIT21"/>
    <mergeCell ref="MIU21:MIW21"/>
    <mergeCell ref="MIX21:MIZ21"/>
    <mergeCell ref="MHQ21:MHS21"/>
    <mergeCell ref="MHT21:MHV21"/>
    <mergeCell ref="MHW21:MHY21"/>
    <mergeCell ref="MHZ21:MIB21"/>
    <mergeCell ref="MIC21:MIE21"/>
    <mergeCell ref="MIF21:MIH21"/>
    <mergeCell ref="MLC21:MLE21"/>
    <mergeCell ref="MLF21:MLH21"/>
    <mergeCell ref="MLI21:MLK21"/>
    <mergeCell ref="MLL21:MLN21"/>
    <mergeCell ref="MLO21:MLQ21"/>
    <mergeCell ref="MLR21:MLT21"/>
    <mergeCell ref="MKK21:MKM21"/>
    <mergeCell ref="MKN21:MKP21"/>
    <mergeCell ref="MKQ21:MKS21"/>
    <mergeCell ref="MKT21:MKV21"/>
    <mergeCell ref="MKW21:MKY21"/>
    <mergeCell ref="MKZ21:MLB21"/>
    <mergeCell ref="MJS21:MJU21"/>
    <mergeCell ref="MJV21:MJX21"/>
    <mergeCell ref="MJY21:MKA21"/>
    <mergeCell ref="MKB21:MKD21"/>
    <mergeCell ref="MKE21:MKG21"/>
    <mergeCell ref="MKH21:MKJ21"/>
    <mergeCell ref="MNE21:MNG21"/>
    <mergeCell ref="MNH21:MNJ21"/>
    <mergeCell ref="MNK21:MNM21"/>
    <mergeCell ref="MNN21:MNP21"/>
    <mergeCell ref="MNQ21:MNS21"/>
    <mergeCell ref="MNT21:MNV21"/>
    <mergeCell ref="MMM21:MMO21"/>
    <mergeCell ref="MMP21:MMR21"/>
    <mergeCell ref="MMS21:MMU21"/>
    <mergeCell ref="MMV21:MMX21"/>
    <mergeCell ref="MMY21:MNA21"/>
    <mergeCell ref="MNB21:MND21"/>
    <mergeCell ref="MLU21:MLW21"/>
    <mergeCell ref="MLX21:MLZ21"/>
    <mergeCell ref="MMA21:MMC21"/>
    <mergeCell ref="MMD21:MMF21"/>
    <mergeCell ref="MMG21:MMI21"/>
    <mergeCell ref="MMJ21:MML21"/>
    <mergeCell ref="MPG21:MPI21"/>
    <mergeCell ref="MPJ21:MPL21"/>
    <mergeCell ref="MPM21:MPO21"/>
    <mergeCell ref="MPP21:MPR21"/>
    <mergeCell ref="MPS21:MPU21"/>
    <mergeCell ref="MPV21:MPX21"/>
    <mergeCell ref="MOO21:MOQ21"/>
    <mergeCell ref="MOR21:MOT21"/>
    <mergeCell ref="MOU21:MOW21"/>
    <mergeCell ref="MOX21:MOZ21"/>
    <mergeCell ref="MPA21:MPC21"/>
    <mergeCell ref="MPD21:MPF21"/>
    <mergeCell ref="MNW21:MNY21"/>
    <mergeCell ref="MNZ21:MOB21"/>
    <mergeCell ref="MOC21:MOE21"/>
    <mergeCell ref="MOF21:MOH21"/>
    <mergeCell ref="MOI21:MOK21"/>
    <mergeCell ref="MOL21:MON21"/>
    <mergeCell ref="MRI21:MRK21"/>
    <mergeCell ref="MRL21:MRN21"/>
    <mergeCell ref="MRO21:MRQ21"/>
    <mergeCell ref="MRR21:MRT21"/>
    <mergeCell ref="MRU21:MRW21"/>
    <mergeCell ref="MRX21:MRZ21"/>
    <mergeCell ref="MQQ21:MQS21"/>
    <mergeCell ref="MQT21:MQV21"/>
    <mergeCell ref="MQW21:MQY21"/>
    <mergeCell ref="MQZ21:MRB21"/>
    <mergeCell ref="MRC21:MRE21"/>
    <mergeCell ref="MRF21:MRH21"/>
    <mergeCell ref="MPY21:MQA21"/>
    <mergeCell ref="MQB21:MQD21"/>
    <mergeCell ref="MQE21:MQG21"/>
    <mergeCell ref="MQH21:MQJ21"/>
    <mergeCell ref="MQK21:MQM21"/>
    <mergeCell ref="MQN21:MQP21"/>
    <mergeCell ref="MTK21:MTM21"/>
    <mergeCell ref="MTN21:MTP21"/>
    <mergeCell ref="MTQ21:MTS21"/>
    <mergeCell ref="MTT21:MTV21"/>
    <mergeCell ref="MTW21:MTY21"/>
    <mergeCell ref="MTZ21:MUB21"/>
    <mergeCell ref="MSS21:MSU21"/>
    <mergeCell ref="MSV21:MSX21"/>
    <mergeCell ref="MSY21:MTA21"/>
    <mergeCell ref="MTB21:MTD21"/>
    <mergeCell ref="MTE21:MTG21"/>
    <mergeCell ref="MTH21:MTJ21"/>
    <mergeCell ref="MSA21:MSC21"/>
    <mergeCell ref="MSD21:MSF21"/>
    <mergeCell ref="MSG21:MSI21"/>
    <mergeCell ref="MSJ21:MSL21"/>
    <mergeCell ref="MSM21:MSO21"/>
    <mergeCell ref="MSP21:MSR21"/>
    <mergeCell ref="MVM21:MVO21"/>
    <mergeCell ref="MVP21:MVR21"/>
    <mergeCell ref="MVS21:MVU21"/>
    <mergeCell ref="MVV21:MVX21"/>
    <mergeCell ref="MVY21:MWA21"/>
    <mergeCell ref="MWB21:MWD21"/>
    <mergeCell ref="MUU21:MUW21"/>
    <mergeCell ref="MUX21:MUZ21"/>
    <mergeCell ref="MVA21:MVC21"/>
    <mergeCell ref="MVD21:MVF21"/>
    <mergeCell ref="MVG21:MVI21"/>
    <mergeCell ref="MVJ21:MVL21"/>
    <mergeCell ref="MUC21:MUE21"/>
    <mergeCell ref="MUF21:MUH21"/>
    <mergeCell ref="MUI21:MUK21"/>
    <mergeCell ref="MUL21:MUN21"/>
    <mergeCell ref="MUO21:MUQ21"/>
    <mergeCell ref="MUR21:MUT21"/>
    <mergeCell ref="MXO21:MXQ21"/>
    <mergeCell ref="MXR21:MXT21"/>
    <mergeCell ref="MXU21:MXW21"/>
    <mergeCell ref="MXX21:MXZ21"/>
    <mergeCell ref="MYA21:MYC21"/>
    <mergeCell ref="MYD21:MYF21"/>
    <mergeCell ref="MWW21:MWY21"/>
    <mergeCell ref="MWZ21:MXB21"/>
    <mergeCell ref="MXC21:MXE21"/>
    <mergeCell ref="MXF21:MXH21"/>
    <mergeCell ref="MXI21:MXK21"/>
    <mergeCell ref="MXL21:MXN21"/>
    <mergeCell ref="MWE21:MWG21"/>
    <mergeCell ref="MWH21:MWJ21"/>
    <mergeCell ref="MWK21:MWM21"/>
    <mergeCell ref="MWN21:MWP21"/>
    <mergeCell ref="MWQ21:MWS21"/>
    <mergeCell ref="MWT21:MWV21"/>
    <mergeCell ref="MZQ21:MZS21"/>
    <mergeCell ref="MZT21:MZV21"/>
    <mergeCell ref="MZW21:MZY21"/>
    <mergeCell ref="MZZ21:NAB21"/>
    <mergeCell ref="NAC21:NAE21"/>
    <mergeCell ref="NAF21:NAH21"/>
    <mergeCell ref="MYY21:MZA21"/>
    <mergeCell ref="MZB21:MZD21"/>
    <mergeCell ref="MZE21:MZG21"/>
    <mergeCell ref="MZH21:MZJ21"/>
    <mergeCell ref="MZK21:MZM21"/>
    <mergeCell ref="MZN21:MZP21"/>
    <mergeCell ref="MYG21:MYI21"/>
    <mergeCell ref="MYJ21:MYL21"/>
    <mergeCell ref="MYM21:MYO21"/>
    <mergeCell ref="MYP21:MYR21"/>
    <mergeCell ref="MYS21:MYU21"/>
    <mergeCell ref="MYV21:MYX21"/>
    <mergeCell ref="NBS21:NBU21"/>
    <mergeCell ref="NBV21:NBX21"/>
    <mergeCell ref="NBY21:NCA21"/>
    <mergeCell ref="NCB21:NCD21"/>
    <mergeCell ref="NCE21:NCG21"/>
    <mergeCell ref="NCH21:NCJ21"/>
    <mergeCell ref="NBA21:NBC21"/>
    <mergeCell ref="NBD21:NBF21"/>
    <mergeCell ref="NBG21:NBI21"/>
    <mergeCell ref="NBJ21:NBL21"/>
    <mergeCell ref="NBM21:NBO21"/>
    <mergeCell ref="NBP21:NBR21"/>
    <mergeCell ref="NAI21:NAK21"/>
    <mergeCell ref="NAL21:NAN21"/>
    <mergeCell ref="NAO21:NAQ21"/>
    <mergeCell ref="NAR21:NAT21"/>
    <mergeCell ref="NAU21:NAW21"/>
    <mergeCell ref="NAX21:NAZ21"/>
    <mergeCell ref="NDU21:NDW21"/>
    <mergeCell ref="NDX21:NDZ21"/>
    <mergeCell ref="NEA21:NEC21"/>
    <mergeCell ref="NED21:NEF21"/>
    <mergeCell ref="NEG21:NEI21"/>
    <mergeCell ref="NEJ21:NEL21"/>
    <mergeCell ref="NDC21:NDE21"/>
    <mergeCell ref="NDF21:NDH21"/>
    <mergeCell ref="NDI21:NDK21"/>
    <mergeCell ref="NDL21:NDN21"/>
    <mergeCell ref="NDO21:NDQ21"/>
    <mergeCell ref="NDR21:NDT21"/>
    <mergeCell ref="NCK21:NCM21"/>
    <mergeCell ref="NCN21:NCP21"/>
    <mergeCell ref="NCQ21:NCS21"/>
    <mergeCell ref="NCT21:NCV21"/>
    <mergeCell ref="NCW21:NCY21"/>
    <mergeCell ref="NCZ21:NDB21"/>
    <mergeCell ref="NFW21:NFY21"/>
    <mergeCell ref="NFZ21:NGB21"/>
    <mergeCell ref="NGC21:NGE21"/>
    <mergeCell ref="NGF21:NGH21"/>
    <mergeCell ref="NGI21:NGK21"/>
    <mergeCell ref="NGL21:NGN21"/>
    <mergeCell ref="NFE21:NFG21"/>
    <mergeCell ref="NFH21:NFJ21"/>
    <mergeCell ref="NFK21:NFM21"/>
    <mergeCell ref="NFN21:NFP21"/>
    <mergeCell ref="NFQ21:NFS21"/>
    <mergeCell ref="NFT21:NFV21"/>
    <mergeCell ref="NEM21:NEO21"/>
    <mergeCell ref="NEP21:NER21"/>
    <mergeCell ref="NES21:NEU21"/>
    <mergeCell ref="NEV21:NEX21"/>
    <mergeCell ref="NEY21:NFA21"/>
    <mergeCell ref="NFB21:NFD21"/>
    <mergeCell ref="NHY21:NIA21"/>
    <mergeCell ref="NIB21:NID21"/>
    <mergeCell ref="NIE21:NIG21"/>
    <mergeCell ref="NIH21:NIJ21"/>
    <mergeCell ref="NIK21:NIM21"/>
    <mergeCell ref="NIN21:NIP21"/>
    <mergeCell ref="NHG21:NHI21"/>
    <mergeCell ref="NHJ21:NHL21"/>
    <mergeCell ref="NHM21:NHO21"/>
    <mergeCell ref="NHP21:NHR21"/>
    <mergeCell ref="NHS21:NHU21"/>
    <mergeCell ref="NHV21:NHX21"/>
    <mergeCell ref="NGO21:NGQ21"/>
    <mergeCell ref="NGR21:NGT21"/>
    <mergeCell ref="NGU21:NGW21"/>
    <mergeCell ref="NGX21:NGZ21"/>
    <mergeCell ref="NHA21:NHC21"/>
    <mergeCell ref="NHD21:NHF21"/>
    <mergeCell ref="NKA21:NKC21"/>
    <mergeCell ref="NKD21:NKF21"/>
    <mergeCell ref="NKG21:NKI21"/>
    <mergeCell ref="NKJ21:NKL21"/>
    <mergeCell ref="NKM21:NKO21"/>
    <mergeCell ref="NKP21:NKR21"/>
    <mergeCell ref="NJI21:NJK21"/>
    <mergeCell ref="NJL21:NJN21"/>
    <mergeCell ref="NJO21:NJQ21"/>
    <mergeCell ref="NJR21:NJT21"/>
    <mergeCell ref="NJU21:NJW21"/>
    <mergeCell ref="NJX21:NJZ21"/>
    <mergeCell ref="NIQ21:NIS21"/>
    <mergeCell ref="NIT21:NIV21"/>
    <mergeCell ref="NIW21:NIY21"/>
    <mergeCell ref="NIZ21:NJB21"/>
    <mergeCell ref="NJC21:NJE21"/>
    <mergeCell ref="NJF21:NJH21"/>
    <mergeCell ref="NMC21:NME21"/>
    <mergeCell ref="NMF21:NMH21"/>
    <mergeCell ref="NMI21:NMK21"/>
    <mergeCell ref="NML21:NMN21"/>
    <mergeCell ref="NMO21:NMQ21"/>
    <mergeCell ref="NMR21:NMT21"/>
    <mergeCell ref="NLK21:NLM21"/>
    <mergeCell ref="NLN21:NLP21"/>
    <mergeCell ref="NLQ21:NLS21"/>
    <mergeCell ref="NLT21:NLV21"/>
    <mergeCell ref="NLW21:NLY21"/>
    <mergeCell ref="NLZ21:NMB21"/>
    <mergeCell ref="NKS21:NKU21"/>
    <mergeCell ref="NKV21:NKX21"/>
    <mergeCell ref="NKY21:NLA21"/>
    <mergeCell ref="NLB21:NLD21"/>
    <mergeCell ref="NLE21:NLG21"/>
    <mergeCell ref="NLH21:NLJ21"/>
    <mergeCell ref="NOE21:NOG21"/>
    <mergeCell ref="NOH21:NOJ21"/>
    <mergeCell ref="NOK21:NOM21"/>
    <mergeCell ref="NON21:NOP21"/>
    <mergeCell ref="NOQ21:NOS21"/>
    <mergeCell ref="NOT21:NOV21"/>
    <mergeCell ref="NNM21:NNO21"/>
    <mergeCell ref="NNP21:NNR21"/>
    <mergeCell ref="NNS21:NNU21"/>
    <mergeCell ref="NNV21:NNX21"/>
    <mergeCell ref="NNY21:NOA21"/>
    <mergeCell ref="NOB21:NOD21"/>
    <mergeCell ref="NMU21:NMW21"/>
    <mergeCell ref="NMX21:NMZ21"/>
    <mergeCell ref="NNA21:NNC21"/>
    <mergeCell ref="NND21:NNF21"/>
    <mergeCell ref="NNG21:NNI21"/>
    <mergeCell ref="NNJ21:NNL21"/>
    <mergeCell ref="NQG21:NQI21"/>
    <mergeCell ref="NQJ21:NQL21"/>
    <mergeCell ref="NQM21:NQO21"/>
    <mergeCell ref="NQP21:NQR21"/>
    <mergeCell ref="NQS21:NQU21"/>
    <mergeCell ref="NQV21:NQX21"/>
    <mergeCell ref="NPO21:NPQ21"/>
    <mergeCell ref="NPR21:NPT21"/>
    <mergeCell ref="NPU21:NPW21"/>
    <mergeCell ref="NPX21:NPZ21"/>
    <mergeCell ref="NQA21:NQC21"/>
    <mergeCell ref="NQD21:NQF21"/>
    <mergeCell ref="NOW21:NOY21"/>
    <mergeCell ref="NOZ21:NPB21"/>
    <mergeCell ref="NPC21:NPE21"/>
    <mergeCell ref="NPF21:NPH21"/>
    <mergeCell ref="NPI21:NPK21"/>
    <mergeCell ref="NPL21:NPN21"/>
    <mergeCell ref="NSI21:NSK21"/>
    <mergeCell ref="NSL21:NSN21"/>
    <mergeCell ref="NSO21:NSQ21"/>
    <mergeCell ref="NSR21:NST21"/>
    <mergeCell ref="NSU21:NSW21"/>
    <mergeCell ref="NSX21:NSZ21"/>
    <mergeCell ref="NRQ21:NRS21"/>
    <mergeCell ref="NRT21:NRV21"/>
    <mergeCell ref="NRW21:NRY21"/>
    <mergeCell ref="NRZ21:NSB21"/>
    <mergeCell ref="NSC21:NSE21"/>
    <mergeCell ref="NSF21:NSH21"/>
    <mergeCell ref="NQY21:NRA21"/>
    <mergeCell ref="NRB21:NRD21"/>
    <mergeCell ref="NRE21:NRG21"/>
    <mergeCell ref="NRH21:NRJ21"/>
    <mergeCell ref="NRK21:NRM21"/>
    <mergeCell ref="NRN21:NRP21"/>
    <mergeCell ref="NUK21:NUM21"/>
    <mergeCell ref="NUN21:NUP21"/>
    <mergeCell ref="NUQ21:NUS21"/>
    <mergeCell ref="NUT21:NUV21"/>
    <mergeCell ref="NUW21:NUY21"/>
    <mergeCell ref="NUZ21:NVB21"/>
    <mergeCell ref="NTS21:NTU21"/>
    <mergeCell ref="NTV21:NTX21"/>
    <mergeCell ref="NTY21:NUA21"/>
    <mergeCell ref="NUB21:NUD21"/>
    <mergeCell ref="NUE21:NUG21"/>
    <mergeCell ref="NUH21:NUJ21"/>
    <mergeCell ref="NTA21:NTC21"/>
    <mergeCell ref="NTD21:NTF21"/>
    <mergeCell ref="NTG21:NTI21"/>
    <mergeCell ref="NTJ21:NTL21"/>
    <mergeCell ref="NTM21:NTO21"/>
    <mergeCell ref="NTP21:NTR21"/>
    <mergeCell ref="NWM21:NWO21"/>
    <mergeCell ref="NWP21:NWR21"/>
    <mergeCell ref="NWS21:NWU21"/>
    <mergeCell ref="NWV21:NWX21"/>
    <mergeCell ref="NWY21:NXA21"/>
    <mergeCell ref="NXB21:NXD21"/>
    <mergeCell ref="NVU21:NVW21"/>
    <mergeCell ref="NVX21:NVZ21"/>
    <mergeCell ref="NWA21:NWC21"/>
    <mergeCell ref="NWD21:NWF21"/>
    <mergeCell ref="NWG21:NWI21"/>
    <mergeCell ref="NWJ21:NWL21"/>
    <mergeCell ref="NVC21:NVE21"/>
    <mergeCell ref="NVF21:NVH21"/>
    <mergeCell ref="NVI21:NVK21"/>
    <mergeCell ref="NVL21:NVN21"/>
    <mergeCell ref="NVO21:NVQ21"/>
    <mergeCell ref="NVR21:NVT21"/>
    <mergeCell ref="NYO21:NYQ21"/>
    <mergeCell ref="NYR21:NYT21"/>
    <mergeCell ref="NYU21:NYW21"/>
    <mergeCell ref="NYX21:NYZ21"/>
    <mergeCell ref="NZA21:NZC21"/>
    <mergeCell ref="NZD21:NZF21"/>
    <mergeCell ref="NXW21:NXY21"/>
    <mergeCell ref="NXZ21:NYB21"/>
    <mergeCell ref="NYC21:NYE21"/>
    <mergeCell ref="NYF21:NYH21"/>
    <mergeCell ref="NYI21:NYK21"/>
    <mergeCell ref="NYL21:NYN21"/>
    <mergeCell ref="NXE21:NXG21"/>
    <mergeCell ref="NXH21:NXJ21"/>
    <mergeCell ref="NXK21:NXM21"/>
    <mergeCell ref="NXN21:NXP21"/>
    <mergeCell ref="NXQ21:NXS21"/>
    <mergeCell ref="NXT21:NXV21"/>
    <mergeCell ref="OAQ21:OAS21"/>
    <mergeCell ref="OAT21:OAV21"/>
    <mergeCell ref="OAW21:OAY21"/>
    <mergeCell ref="OAZ21:OBB21"/>
    <mergeCell ref="OBC21:OBE21"/>
    <mergeCell ref="OBF21:OBH21"/>
    <mergeCell ref="NZY21:OAA21"/>
    <mergeCell ref="OAB21:OAD21"/>
    <mergeCell ref="OAE21:OAG21"/>
    <mergeCell ref="OAH21:OAJ21"/>
    <mergeCell ref="OAK21:OAM21"/>
    <mergeCell ref="OAN21:OAP21"/>
    <mergeCell ref="NZG21:NZI21"/>
    <mergeCell ref="NZJ21:NZL21"/>
    <mergeCell ref="NZM21:NZO21"/>
    <mergeCell ref="NZP21:NZR21"/>
    <mergeCell ref="NZS21:NZU21"/>
    <mergeCell ref="NZV21:NZX21"/>
    <mergeCell ref="OCS21:OCU21"/>
    <mergeCell ref="OCV21:OCX21"/>
    <mergeCell ref="OCY21:ODA21"/>
    <mergeCell ref="ODB21:ODD21"/>
    <mergeCell ref="ODE21:ODG21"/>
    <mergeCell ref="ODH21:ODJ21"/>
    <mergeCell ref="OCA21:OCC21"/>
    <mergeCell ref="OCD21:OCF21"/>
    <mergeCell ref="OCG21:OCI21"/>
    <mergeCell ref="OCJ21:OCL21"/>
    <mergeCell ref="OCM21:OCO21"/>
    <mergeCell ref="OCP21:OCR21"/>
    <mergeCell ref="OBI21:OBK21"/>
    <mergeCell ref="OBL21:OBN21"/>
    <mergeCell ref="OBO21:OBQ21"/>
    <mergeCell ref="OBR21:OBT21"/>
    <mergeCell ref="OBU21:OBW21"/>
    <mergeCell ref="OBX21:OBZ21"/>
    <mergeCell ref="OEU21:OEW21"/>
    <mergeCell ref="OEX21:OEZ21"/>
    <mergeCell ref="OFA21:OFC21"/>
    <mergeCell ref="OFD21:OFF21"/>
    <mergeCell ref="OFG21:OFI21"/>
    <mergeCell ref="OFJ21:OFL21"/>
    <mergeCell ref="OEC21:OEE21"/>
    <mergeCell ref="OEF21:OEH21"/>
    <mergeCell ref="OEI21:OEK21"/>
    <mergeCell ref="OEL21:OEN21"/>
    <mergeCell ref="OEO21:OEQ21"/>
    <mergeCell ref="OER21:OET21"/>
    <mergeCell ref="ODK21:ODM21"/>
    <mergeCell ref="ODN21:ODP21"/>
    <mergeCell ref="ODQ21:ODS21"/>
    <mergeCell ref="ODT21:ODV21"/>
    <mergeCell ref="ODW21:ODY21"/>
    <mergeCell ref="ODZ21:OEB21"/>
    <mergeCell ref="OGW21:OGY21"/>
    <mergeCell ref="OGZ21:OHB21"/>
    <mergeCell ref="OHC21:OHE21"/>
    <mergeCell ref="OHF21:OHH21"/>
    <mergeCell ref="OHI21:OHK21"/>
    <mergeCell ref="OHL21:OHN21"/>
    <mergeCell ref="OGE21:OGG21"/>
    <mergeCell ref="OGH21:OGJ21"/>
    <mergeCell ref="OGK21:OGM21"/>
    <mergeCell ref="OGN21:OGP21"/>
    <mergeCell ref="OGQ21:OGS21"/>
    <mergeCell ref="OGT21:OGV21"/>
    <mergeCell ref="OFM21:OFO21"/>
    <mergeCell ref="OFP21:OFR21"/>
    <mergeCell ref="OFS21:OFU21"/>
    <mergeCell ref="OFV21:OFX21"/>
    <mergeCell ref="OFY21:OGA21"/>
    <mergeCell ref="OGB21:OGD21"/>
    <mergeCell ref="OIY21:OJA21"/>
    <mergeCell ref="OJB21:OJD21"/>
    <mergeCell ref="OJE21:OJG21"/>
    <mergeCell ref="OJH21:OJJ21"/>
    <mergeCell ref="OJK21:OJM21"/>
    <mergeCell ref="OJN21:OJP21"/>
    <mergeCell ref="OIG21:OII21"/>
    <mergeCell ref="OIJ21:OIL21"/>
    <mergeCell ref="OIM21:OIO21"/>
    <mergeCell ref="OIP21:OIR21"/>
    <mergeCell ref="OIS21:OIU21"/>
    <mergeCell ref="OIV21:OIX21"/>
    <mergeCell ref="OHO21:OHQ21"/>
    <mergeCell ref="OHR21:OHT21"/>
    <mergeCell ref="OHU21:OHW21"/>
    <mergeCell ref="OHX21:OHZ21"/>
    <mergeCell ref="OIA21:OIC21"/>
    <mergeCell ref="OID21:OIF21"/>
    <mergeCell ref="OLA21:OLC21"/>
    <mergeCell ref="OLD21:OLF21"/>
    <mergeCell ref="OLG21:OLI21"/>
    <mergeCell ref="OLJ21:OLL21"/>
    <mergeCell ref="OLM21:OLO21"/>
    <mergeCell ref="OLP21:OLR21"/>
    <mergeCell ref="OKI21:OKK21"/>
    <mergeCell ref="OKL21:OKN21"/>
    <mergeCell ref="OKO21:OKQ21"/>
    <mergeCell ref="OKR21:OKT21"/>
    <mergeCell ref="OKU21:OKW21"/>
    <mergeCell ref="OKX21:OKZ21"/>
    <mergeCell ref="OJQ21:OJS21"/>
    <mergeCell ref="OJT21:OJV21"/>
    <mergeCell ref="OJW21:OJY21"/>
    <mergeCell ref="OJZ21:OKB21"/>
    <mergeCell ref="OKC21:OKE21"/>
    <mergeCell ref="OKF21:OKH21"/>
    <mergeCell ref="ONC21:ONE21"/>
    <mergeCell ref="ONF21:ONH21"/>
    <mergeCell ref="ONI21:ONK21"/>
    <mergeCell ref="ONL21:ONN21"/>
    <mergeCell ref="ONO21:ONQ21"/>
    <mergeCell ref="ONR21:ONT21"/>
    <mergeCell ref="OMK21:OMM21"/>
    <mergeCell ref="OMN21:OMP21"/>
    <mergeCell ref="OMQ21:OMS21"/>
    <mergeCell ref="OMT21:OMV21"/>
    <mergeCell ref="OMW21:OMY21"/>
    <mergeCell ref="OMZ21:ONB21"/>
    <mergeCell ref="OLS21:OLU21"/>
    <mergeCell ref="OLV21:OLX21"/>
    <mergeCell ref="OLY21:OMA21"/>
    <mergeCell ref="OMB21:OMD21"/>
    <mergeCell ref="OME21:OMG21"/>
    <mergeCell ref="OMH21:OMJ21"/>
    <mergeCell ref="OPE21:OPG21"/>
    <mergeCell ref="OPH21:OPJ21"/>
    <mergeCell ref="OPK21:OPM21"/>
    <mergeCell ref="OPN21:OPP21"/>
    <mergeCell ref="OPQ21:OPS21"/>
    <mergeCell ref="OPT21:OPV21"/>
    <mergeCell ref="OOM21:OOO21"/>
    <mergeCell ref="OOP21:OOR21"/>
    <mergeCell ref="OOS21:OOU21"/>
    <mergeCell ref="OOV21:OOX21"/>
    <mergeCell ref="OOY21:OPA21"/>
    <mergeCell ref="OPB21:OPD21"/>
    <mergeCell ref="ONU21:ONW21"/>
    <mergeCell ref="ONX21:ONZ21"/>
    <mergeCell ref="OOA21:OOC21"/>
    <mergeCell ref="OOD21:OOF21"/>
    <mergeCell ref="OOG21:OOI21"/>
    <mergeCell ref="OOJ21:OOL21"/>
    <mergeCell ref="ORG21:ORI21"/>
    <mergeCell ref="ORJ21:ORL21"/>
    <mergeCell ref="ORM21:ORO21"/>
    <mergeCell ref="ORP21:ORR21"/>
    <mergeCell ref="ORS21:ORU21"/>
    <mergeCell ref="ORV21:ORX21"/>
    <mergeCell ref="OQO21:OQQ21"/>
    <mergeCell ref="OQR21:OQT21"/>
    <mergeCell ref="OQU21:OQW21"/>
    <mergeCell ref="OQX21:OQZ21"/>
    <mergeCell ref="ORA21:ORC21"/>
    <mergeCell ref="ORD21:ORF21"/>
    <mergeCell ref="OPW21:OPY21"/>
    <mergeCell ref="OPZ21:OQB21"/>
    <mergeCell ref="OQC21:OQE21"/>
    <mergeCell ref="OQF21:OQH21"/>
    <mergeCell ref="OQI21:OQK21"/>
    <mergeCell ref="OQL21:OQN21"/>
    <mergeCell ref="OTI21:OTK21"/>
    <mergeCell ref="OTL21:OTN21"/>
    <mergeCell ref="OTO21:OTQ21"/>
    <mergeCell ref="OTR21:OTT21"/>
    <mergeCell ref="OTU21:OTW21"/>
    <mergeCell ref="OTX21:OTZ21"/>
    <mergeCell ref="OSQ21:OSS21"/>
    <mergeCell ref="OST21:OSV21"/>
    <mergeCell ref="OSW21:OSY21"/>
    <mergeCell ref="OSZ21:OTB21"/>
    <mergeCell ref="OTC21:OTE21"/>
    <mergeCell ref="OTF21:OTH21"/>
    <mergeCell ref="ORY21:OSA21"/>
    <mergeCell ref="OSB21:OSD21"/>
    <mergeCell ref="OSE21:OSG21"/>
    <mergeCell ref="OSH21:OSJ21"/>
    <mergeCell ref="OSK21:OSM21"/>
    <mergeCell ref="OSN21:OSP21"/>
    <mergeCell ref="OVK21:OVM21"/>
    <mergeCell ref="OVN21:OVP21"/>
    <mergeCell ref="OVQ21:OVS21"/>
    <mergeCell ref="OVT21:OVV21"/>
    <mergeCell ref="OVW21:OVY21"/>
    <mergeCell ref="OVZ21:OWB21"/>
    <mergeCell ref="OUS21:OUU21"/>
    <mergeCell ref="OUV21:OUX21"/>
    <mergeCell ref="OUY21:OVA21"/>
    <mergeCell ref="OVB21:OVD21"/>
    <mergeCell ref="OVE21:OVG21"/>
    <mergeCell ref="OVH21:OVJ21"/>
    <mergeCell ref="OUA21:OUC21"/>
    <mergeCell ref="OUD21:OUF21"/>
    <mergeCell ref="OUG21:OUI21"/>
    <mergeCell ref="OUJ21:OUL21"/>
    <mergeCell ref="OUM21:OUO21"/>
    <mergeCell ref="OUP21:OUR21"/>
    <mergeCell ref="OXM21:OXO21"/>
    <mergeCell ref="OXP21:OXR21"/>
    <mergeCell ref="OXS21:OXU21"/>
    <mergeCell ref="OXV21:OXX21"/>
    <mergeCell ref="OXY21:OYA21"/>
    <mergeCell ref="OYB21:OYD21"/>
    <mergeCell ref="OWU21:OWW21"/>
    <mergeCell ref="OWX21:OWZ21"/>
    <mergeCell ref="OXA21:OXC21"/>
    <mergeCell ref="OXD21:OXF21"/>
    <mergeCell ref="OXG21:OXI21"/>
    <mergeCell ref="OXJ21:OXL21"/>
    <mergeCell ref="OWC21:OWE21"/>
    <mergeCell ref="OWF21:OWH21"/>
    <mergeCell ref="OWI21:OWK21"/>
    <mergeCell ref="OWL21:OWN21"/>
    <mergeCell ref="OWO21:OWQ21"/>
    <mergeCell ref="OWR21:OWT21"/>
    <mergeCell ref="OZO21:OZQ21"/>
    <mergeCell ref="OZR21:OZT21"/>
    <mergeCell ref="OZU21:OZW21"/>
    <mergeCell ref="OZX21:OZZ21"/>
    <mergeCell ref="PAA21:PAC21"/>
    <mergeCell ref="PAD21:PAF21"/>
    <mergeCell ref="OYW21:OYY21"/>
    <mergeCell ref="OYZ21:OZB21"/>
    <mergeCell ref="OZC21:OZE21"/>
    <mergeCell ref="OZF21:OZH21"/>
    <mergeCell ref="OZI21:OZK21"/>
    <mergeCell ref="OZL21:OZN21"/>
    <mergeCell ref="OYE21:OYG21"/>
    <mergeCell ref="OYH21:OYJ21"/>
    <mergeCell ref="OYK21:OYM21"/>
    <mergeCell ref="OYN21:OYP21"/>
    <mergeCell ref="OYQ21:OYS21"/>
    <mergeCell ref="OYT21:OYV21"/>
    <mergeCell ref="PBQ21:PBS21"/>
    <mergeCell ref="PBT21:PBV21"/>
    <mergeCell ref="PBW21:PBY21"/>
    <mergeCell ref="PBZ21:PCB21"/>
    <mergeCell ref="PCC21:PCE21"/>
    <mergeCell ref="PCF21:PCH21"/>
    <mergeCell ref="PAY21:PBA21"/>
    <mergeCell ref="PBB21:PBD21"/>
    <mergeCell ref="PBE21:PBG21"/>
    <mergeCell ref="PBH21:PBJ21"/>
    <mergeCell ref="PBK21:PBM21"/>
    <mergeCell ref="PBN21:PBP21"/>
    <mergeCell ref="PAG21:PAI21"/>
    <mergeCell ref="PAJ21:PAL21"/>
    <mergeCell ref="PAM21:PAO21"/>
    <mergeCell ref="PAP21:PAR21"/>
    <mergeCell ref="PAS21:PAU21"/>
    <mergeCell ref="PAV21:PAX21"/>
    <mergeCell ref="PDS21:PDU21"/>
    <mergeCell ref="PDV21:PDX21"/>
    <mergeCell ref="PDY21:PEA21"/>
    <mergeCell ref="PEB21:PED21"/>
    <mergeCell ref="PEE21:PEG21"/>
    <mergeCell ref="PEH21:PEJ21"/>
    <mergeCell ref="PDA21:PDC21"/>
    <mergeCell ref="PDD21:PDF21"/>
    <mergeCell ref="PDG21:PDI21"/>
    <mergeCell ref="PDJ21:PDL21"/>
    <mergeCell ref="PDM21:PDO21"/>
    <mergeCell ref="PDP21:PDR21"/>
    <mergeCell ref="PCI21:PCK21"/>
    <mergeCell ref="PCL21:PCN21"/>
    <mergeCell ref="PCO21:PCQ21"/>
    <mergeCell ref="PCR21:PCT21"/>
    <mergeCell ref="PCU21:PCW21"/>
    <mergeCell ref="PCX21:PCZ21"/>
    <mergeCell ref="PFU21:PFW21"/>
    <mergeCell ref="PFX21:PFZ21"/>
    <mergeCell ref="PGA21:PGC21"/>
    <mergeCell ref="PGD21:PGF21"/>
    <mergeCell ref="PGG21:PGI21"/>
    <mergeCell ref="PGJ21:PGL21"/>
    <mergeCell ref="PFC21:PFE21"/>
    <mergeCell ref="PFF21:PFH21"/>
    <mergeCell ref="PFI21:PFK21"/>
    <mergeCell ref="PFL21:PFN21"/>
    <mergeCell ref="PFO21:PFQ21"/>
    <mergeCell ref="PFR21:PFT21"/>
    <mergeCell ref="PEK21:PEM21"/>
    <mergeCell ref="PEN21:PEP21"/>
    <mergeCell ref="PEQ21:PES21"/>
    <mergeCell ref="PET21:PEV21"/>
    <mergeCell ref="PEW21:PEY21"/>
    <mergeCell ref="PEZ21:PFB21"/>
    <mergeCell ref="PHW21:PHY21"/>
    <mergeCell ref="PHZ21:PIB21"/>
    <mergeCell ref="PIC21:PIE21"/>
    <mergeCell ref="PIF21:PIH21"/>
    <mergeCell ref="PII21:PIK21"/>
    <mergeCell ref="PIL21:PIN21"/>
    <mergeCell ref="PHE21:PHG21"/>
    <mergeCell ref="PHH21:PHJ21"/>
    <mergeCell ref="PHK21:PHM21"/>
    <mergeCell ref="PHN21:PHP21"/>
    <mergeCell ref="PHQ21:PHS21"/>
    <mergeCell ref="PHT21:PHV21"/>
    <mergeCell ref="PGM21:PGO21"/>
    <mergeCell ref="PGP21:PGR21"/>
    <mergeCell ref="PGS21:PGU21"/>
    <mergeCell ref="PGV21:PGX21"/>
    <mergeCell ref="PGY21:PHA21"/>
    <mergeCell ref="PHB21:PHD21"/>
    <mergeCell ref="PJY21:PKA21"/>
    <mergeCell ref="PKB21:PKD21"/>
    <mergeCell ref="PKE21:PKG21"/>
    <mergeCell ref="PKH21:PKJ21"/>
    <mergeCell ref="PKK21:PKM21"/>
    <mergeCell ref="PKN21:PKP21"/>
    <mergeCell ref="PJG21:PJI21"/>
    <mergeCell ref="PJJ21:PJL21"/>
    <mergeCell ref="PJM21:PJO21"/>
    <mergeCell ref="PJP21:PJR21"/>
    <mergeCell ref="PJS21:PJU21"/>
    <mergeCell ref="PJV21:PJX21"/>
    <mergeCell ref="PIO21:PIQ21"/>
    <mergeCell ref="PIR21:PIT21"/>
    <mergeCell ref="PIU21:PIW21"/>
    <mergeCell ref="PIX21:PIZ21"/>
    <mergeCell ref="PJA21:PJC21"/>
    <mergeCell ref="PJD21:PJF21"/>
    <mergeCell ref="PMA21:PMC21"/>
    <mergeCell ref="PMD21:PMF21"/>
    <mergeCell ref="PMG21:PMI21"/>
    <mergeCell ref="PMJ21:PML21"/>
    <mergeCell ref="PMM21:PMO21"/>
    <mergeCell ref="PMP21:PMR21"/>
    <mergeCell ref="PLI21:PLK21"/>
    <mergeCell ref="PLL21:PLN21"/>
    <mergeCell ref="PLO21:PLQ21"/>
    <mergeCell ref="PLR21:PLT21"/>
    <mergeCell ref="PLU21:PLW21"/>
    <mergeCell ref="PLX21:PLZ21"/>
    <mergeCell ref="PKQ21:PKS21"/>
    <mergeCell ref="PKT21:PKV21"/>
    <mergeCell ref="PKW21:PKY21"/>
    <mergeCell ref="PKZ21:PLB21"/>
    <mergeCell ref="PLC21:PLE21"/>
    <mergeCell ref="PLF21:PLH21"/>
    <mergeCell ref="POC21:POE21"/>
    <mergeCell ref="POF21:POH21"/>
    <mergeCell ref="POI21:POK21"/>
    <mergeCell ref="POL21:PON21"/>
    <mergeCell ref="POO21:POQ21"/>
    <mergeCell ref="POR21:POT21"/>
    <mergeCell ref="PNK21:PNM21"/>
    <mergeCell ref="PNN21:PNP21"/>
    <mergeCell ref="PNQ21:PNS21"/>
    <mergeCell ref="PNT21:PNV21"/>
    <mergeCell ref="PNW21:PNY21"/>
    <mergeCell ref="PNZ21:POB21"/>
    <mergeCell ref="PMS21:PMU21"/>
    <mergeCell ref="PMV21:PMX21"/>
    <mergeCell ref="PMY21:PNA21"/>
    <mergeCell ref="PNB21:PND21"/>
    <mergeCell ref="PNE21:PNG21"/>
    <mergeCell ref="PNH21:PNJ21"/>
    <mergeCell ref="PQE21:PQG21"/>
    <mergeCell ref="PQH21:PQJ21"/>
    <mergeCell ref="PQK21:PQM21"/>
    <mergeCell ref="PQN21:PQP21"/>
    <mergeCell ref="PQQ21:PQS21"/>
    <mergeCell ref="PQT21:PQV21"/>
    <mergeCell ref="PPM21:PPO21"/>
    <mergeCell ref="PPP21:PPR21"/>
    <mergeCell ref="PPS21:PPU21"/>
    <mergeCell ref="PPV21:PPX21"/>
    <mergeCell ref="PPY21:PQA21"/>
    <mergeCell ref="PQB21:PQD21"/>
    <mergeCell ref="POU21:POW21"/>
    <mergeCell ref="POX21:POZ21"/>
    <mergeCell ref="PPA21:PPC21"/>
    <mergeCell ref="PPD21:PPF21"/>
    <mergeCell ref="PPG21:PPI21"/>
    <mergeCell ref="PPJ21:PPL21"/>
    <mergeCell ref="PSG21:PSI21"/>
    <mergeCell ref="PSJ21:PSL21"/>
    <mergeCell ref="PSM21:PSO21"/>
    <mergeCell ref="PSP21:PSR21"/>
    <mergeCell ref="PSS21:PSU21"/>
    <mergeCell ref="PSV21:PSX21"/>
    <mergeCell ref="PRO21:PRQ21"/>
    <mergeCell ref="PRR21:PRT21"/>
    <mergeCell ref="PRU21:PRW21"/>
    <mergeCell ref="PRX21:PRZ21"/>
    <mergeCell ref="PSA21:PSC21"/>
    <mergeCell ref="PSD21:PSF21"/>
    <mergeCell ref="PQW21:PQY21"/>
    <mergeCell ref="PQZ21:PRB21"/>
    <mergeCell ref="PRC21:PRE21"/>
    <mergeCell ref="PRF21:PRH21"/>
    <mergeCell ref="PRI21:PRK21"/>
    <mergeCell ref="PRL21:PRN21"/>
    <mergeCell ref="PUI21:PUK21"/>
    <mergeCell ref="PUL21:PUN21"/>
    <mergeCell ref="PUO21:PUQ21"/>
    <mergeCell ref="PUR21:PUT21"/>
    <mergeCell ref="PUU21:PUW21"/>
    <mergeCell ref="PUX21:PUZ21"/>
    <mergeCell ref="PTQ21:PTS21"/>
    <mergeCell ref="PTT21:PTV21"/>
    <mergeCell ref="PTW21:PTY21"/>
    <mergeCell ref="PTZ21:PUB21"/>
    <mergeCell ref="PUC21:PUE21"/>
    <mergeCell ref="PUF21:PUH21"/>
    <mergeCell ref="PSY21:PTA21"/>
    <mergeCell ref="PTB21:PTD21"/>
    <mergeCell ref="PTE21:PTG21"/>
    <mergeCell ref="PTH21:PTJ21"/>
    <mergeCell ref="PTK21:PTM21"/>
    <mergeCell ref="PTN21:PTP21"/>
    <mergeCell ref="PWK21:PWM21"/>
    <mergeCell ref="PWN21:PWP21"/>
    <mergeCell ref="PWQ21:PWS21"/>
    <mergeCell ref="PWT21:PWV21"/>
    <mergeCell ref="PWW21:PWY21"/>
    <mergeCell ref="PWZ21:PXB21"/>
    <mergeCell ref="PVS21:PVU21"/>
    <mergeCell ref="PVV21:PVX21"/>
    <mergeCell ref="PVY21:PWA21"/>
    <mergeCell ref="PWB21:PWD21"/>
    <mergeCell ref="PWE21:PWG21"/>
    <mergeCell ref="PWH21:PWJ21"/>
    <mergeCell ref="PVA21:PVC21"/>
    <mergeCell ref="PVD21:PVF21"/>
    <mergeCell ref="PVG21:PVI21"/>
    <mergeCell ref="PVJ21:PVL21"/>
    <mergeCell ref="PVM21:PVO21"/>
    <mergeCell ref="PVP21:PVR21"/>
    <mergeCell ref="PYM21:PYO21"/>
    <mergeCell ref="PYP21:PYR21"/>
    <mergeCell ref="PYS21:PYU21"/>
    <mergeCell ref="PYV21:PYX21"/>
    <mergeCell ref="PYY21:PZA21"/>
    <mergeCell ref="PZB21:PZD21"/>
    <mergeCell ref="PXU21:PXW21"/>
    <mergeCell ref="PXX21:PXZ21"/>
    <mergeCell ref="PYA21:PYC21"/>
    <mergeCell ref="PYD21:PYF21"/>
    <mergeCell ref="PYG21:PYI21"/>
    <mergeCell ref="PYJ21:PYL21"/>
    <mergeCell ref="PXC21:PXE21"/>
    <mergeCell ref="PXF21:PXH21"/>
    <mergeCell ref="PXI21:PXK21"/>
    <mergeCell ref="PXL21:PXN21"/>
    <mergeCell ref="PXO21:PXQ21"/>
    <mergeCell ref="PXR21:PXT21"/>
    <mergeCell ref="QAO21:QAQ21"/>
    <mergeCell ref="QAR21:QAT21"/>
    <mergeCell ref="QAU21:QAW21"/>
    <mergeCell ref="QAX21:QAZ21"/>
    <mergeCell ref="QBA21:QBC21"/>
    <mergeCell ref="QBD21:QBF21"/>
    <mergeCell ref="PZW21:PZY21"/>
    <mergeCell ref="PZZ21:QAB21"/>
    <mergeCell ref="QAC21:QAE21"/>
    <mergeCell ref="QAF21:QAH21"/>
    <mergeCell ref="QAI21:QAK21"/>
    <mergeCell ref="QAL21:QAN21"/>
    <mergeCell ref="PZE21:PZG21"/>
    <mergeCell ref="PZH21:PZJ21"/>
    <mergeCell ref="PZK21:PZM21"/>
    <mergeCell ref="PZN21:PZP21"/>
    <mergeCell ref="PZQ21:PZS21"/>
    <mergeCell ref="PZT21:PZV21"/>
    <mergeCell ref="QCQ21:QCS21"/>
    <mergeCell ref="QCT21:QCV21"/>
    <mergeCell ref="QCW21:QCY21"/>
    <mergeCell ref="QCZ21:QDB21"/>
    <mergeCell ref="QDC21:QDE21"/>
    <mergeCell ref="QDF21:QDH21"/>
    <mergeCell ref="QBY21:QCA21"/>
    <mergeCell ref="QCB21:QCD21"/>
    <mergeCell ref="QCE21:QCG21"/>
    <mergeCell ref="QCH21:QCJ21"/>
    <mergeCell ref="QCK21:QCM21"/>
    <mergeCell ref="QCN21:QCP21"/>
    <mergeCell ref="QBG21:QBI21"/>
    <mergeCell ref="QBJ21:QBL21"/>
    <mergeCell ref="QBM21:QBO21"/>
    <mergeCell ref="QBP21:QBR21"/>
    <mergeCell ref="QBS21:QBU21"/>
    <mergeCell ref="QBV21:QBX21"/>
    <mergeCell ref="QES21:QEU21"/>
    <mergeCell ref="QEV21:QEX21"/>
    <mergeCell ref="QEY21:QFA21"/>
    <mergeCell ref="QFB21:QFD21"/>
    <mergeCell ref="QFE21:QFG21"/>
    <mergeCell ref="QFH21:QFJ21"/>
    <mergeCell ref="QEA21:QEC21"/>
    <mergeCell ref="QED21:QEF21"/>
    <mergeCell ref="QEG21:QEI21"/>
    <mergeCell ref="QEJ21:QEL21"/>
    <mergeCell ref="QEM21:QEO21"/>
    <mergeCell ref="QEP21:QER21"/>
    <mergeCell ref="QDI21:QDK21"/>
    <mergeCell ref="QDL21:QDN21"/>
    <mergeCell ref="QDO21:QDQ21"/>
    <mergeCell ref="QDR21:QDT21"/>
    <mergeCell ref="QDU21:QDW21"/>
    <mergeCell ref="QDX21:QDZ21"/>
    <mergeCell ref="QGU21:QGW21"/>
    <mergeCell ref="QGX21:QGZ21"/>
    <mergeCell ref="QHA21:QHC21"/>
    <mergeCell ref="QHD21:QHF21"/>
    <mergeCell ref="QHG21:QHI21"/>
    <mergeCell ref="QHJ21:QHL21"/>
    <mergeCell ref="QGC21:QGE21"/>
    <mergeCell ref="QGF21:QGH21"/>
    <mergeCell ref="QGI21:QGK21"/>
    <mergeCell ref="QGL21:QGN21"/>
    <mergeCell ref="QGO21:QGQ21"/>
    <mergeCell ref="QGR21:QGT21"/>
    <mergeCell ref="QFK21:QFM21"/>
    <mergeCell ref="QFN21:QFP21"/>
    <mergeCell ref="QFQ21:QFS21"/>
    <mergeCell ref="QFT21:QFV21"/>
    <mergeCell ref="QFW21:QFY21"/>
    <mergeCell ref="QFZ21:QGB21"/>
    <mergeCell ref="QIW21:QIY21"/>
    <mergeCell ref="QIZ21:QJB21"/>
    <mergeCell ref="QJC21:QJE21"/>
    <mergeCell ref="QJF21:QJH21"/>
    <mergeCell ref="QJI21:QJK21"/>
    <mergeCell ref="QJL21:QJN21"/>
    <mergeCell ref="QIE21:QIG21"/>
    <mergeCell ref="QIH21:QIJ21"/>
    <mergeCell ref="QIK21:QIM21"/>
    <mergeCell ref="QIN21:QIP21"/>
    <mergeCell ref="QIQ21:QIS21"/>
    <mergeCell ref="QIT21:QIV21"/>
    <mergeCell ref="QHM21:QHO21"/>
    <mergeCell ref="QHP21:QHR21"/>
    <mergeCell ref="QHS21:QHU21"/>
    <mergeCell ref="QHV21:QHX21"/>
    <mergeCell ref="QHY21:QIA21"/>
    <mergeCell ref="QIB21:QID21"/>
    <mergeCell ref="QKY21:QLA21"/>
    <mergeCell ref="QLB21:QLD21"/>
    <mergeCell ref="QLE21:QLG21"/>
    <mergeCell ref="QLH21:QLJ21"/>
    <mergeCell ref="QLK21:QLM21"/>
    <mergeCell ref="QLN21:QLP21"/>
    <mergeCell ref="QKG21:QKI21"/>
    <mergeCell ref="QKJ21:QKL21"/>
    <mergeCell ref="QKM21:QKO21"/>
    <mergeCell ref="QKP21:QKR21"/>
    <mergeCell ref="QKS21:QKU21"/>
    <mergeCell ref="QKV21:QKX21"/>
    <mergeCell ref="QJO21:QJQ21"/>
    <mergeCell ref="QJR21:QJT21"/>
    <mergeCell ref="QJU21:QJW21"/>
    <mergeCell ref="QJX21:QJZ21"/>
    <mergeCell ref="QKA21:QKC21"/>
    <mergeCell ref="QKD21:QKF21"/>
    <mergeCell ref="QNA21:QNC21"/>
    <mergeCell ref="QND21:QNF21"/>
    <mergeCell ref="QNG21:QNI21"/>
    <mergeCell ref="QNJ21:QNL21"/>
    <mergeCell ref="QNM21:QNO21"/>
    <mergeCell ref="QNP21:QNR21"/>
    <mergeCell ref="QMI21:QMK21"/>
    <mergeCell ref="QML21:QMN21"/>
    <mergeCell ref="QMO21:QMQ21"/>
    <mergeCell ref="QMR21:QMT21"/>
    <mergeCell ref="QMU21:QMW21"/>
    <mergeCell ref="QMX21:QMZ21"/>
    <mergeCell ref="QLQ21:QLS21"/>
    <mergeCell ref="QLT21:QLV21"/>
    <mergeCell ref="QLW21:QLY21"/>
    <mergeCell ref="QLZ21:QMB21"/>
    <mergeCell ref="QMC21:QME21"/>
    <mergeCell ref="QMF21:QMH21"/>
    <mergeCell ref="QPC21:QPE21"/>
    <mergeCell ref="QPF21:QPH21"/>
    <mergeCell ref="QPI21:QPK21"/>
    <mergeCell ref="QPL21:QPN21"/>
    <mergeCell ref="QPO21:QPQ21"/>
    <mergeCell ref="QPR21:QPT21"/>
    <mergeCell ref="QOK21:QOM21"/>
    <mergeCell ref="QON21:QOP21"/>
    <mergeCell ref="QOQ21:QOS21"/>
    <mergeCell ref="QOT21:QOV21"/>
    <mergeCell ref="QOW21:QOY21"/>
    <mergeCell ref="QOZ21:QPB21"/>
    <mergeCell ref="QNS21:QNU21"/>
    <mergeCell ref="QNV21:QNX21"/>
    <mergeCell ref="QNY21:QOA21"/>
    <mergeCell ref="QOB21:QOD21"/>
    <mergeCell ref="QOE21:QOG21"/>
    <mergeCell ref="QOH21:QOJ21"/>
    <mergeCell ref="QRE21:QRG21"/>
    <mergeCell ref="QRH21:QRJ21"/>
    <mergeCell ref="QRK21:QRM21"/>
    <mergeCell ref="QRN21:QRP21"/>
    <mergeCell ref="QRQ21:QRS21"/>
    <mergeCell ref="QRT21:QRV21"/>
    <mergeCell ref="QQM21:QQO21"/>
    <mergeCell ref="QQP21:QQR21"/>
    <mergeCell ref="QQS21:QQU21"/>
    <mergeCell ref="QQV21:QQX21"/>
    <mergeCell ref="QQY21:QRA21"/>
    <mergeCell ref="QRB21:QRD21"/>
    <mergeCell ref="QPU21:QPW21"/>
    <mergeCell ref="QPX21:QPZ21"/>
    <mergeCell ref="QQA21:QQC21"/>
    <mergeCell ref="QQD21:QQF21"/>
    <mergeCell ref="QQG21:QQI21"/>
    <mergeCell ref="QQJ21:QQL21"/>
    <mergeCell ref="QTG21:QTI21"/>
    <mergeCell ref="QTJ21:QTL21"/>
    <mergeCell ref="QTM21:QTO21"/>
    <mergeCell ref="QTP21:QTR21"/>
    <mergeCell ref="QTS21:QTU21"/>
    <mergeCell ref="QTV21:QTX21"/>
    <mergeCell ref="QSO21:QSQ21"/>
    <mergeCell ref="QSR21:QST21"/>
    <mergeCell ref="QSU21:QSW21"/>
    <mergeCell ref="QSX21:QSZ21"/>
    <mergeCell ref="QTA21:QTC21"/>
    <mergeCell ref="QTD21:QTF21"/>
    <mergeCell ref="QRW21:QRY21"/>
    <mergeCell ref="QRZ21:QSB21"/>
    <mergeCell ref="QSC21:QSE21"/>
    <mergeCell ref="QSF21:QSH21"/>
    <mergeCell ref="QSI21:QSK21"/>
    <mergeCell ref="QSL21:QSN21"/>
    <mergeCell ref="QVI21:QVK21"/>
    <mergeCell ref="QVL21:QVN21"/>
    <mergeCell ref="QVO21:QVQ21"/>
    <mergeCell ref="QVR21:QVT21"/>
    <mergeCell ref="QVU21:QVW21"/>
    <mergeCell ref="QVX21:QVZ21"/>
    <mergeCell ref="QUQ21:QUS21"/>
    <mergeCell ref="QUT21:QUV21"/>
    <mergeCell ref="QUW21:QUY21"/>
    <mergeCell ref="QUZ21:QVB21"/>
    <mergeCell ref="QVC21:QVE21"/>
    <mergeCell ref="QVF21:QVH21"/>
    <mergeCell ref="QTY21:QUA21"/>
    <mergeCell ref="QUB21:QUD21"/>
    <mergeCell ref="QUE21:QUG21"/>
    <mergeCell ref="QUH21:QUJ21"/>
    <mergeCell ref="QUK21:QUM21"/>
    <mergeCell ref="QUN21:QUP21"/>
    <mergeCell ref="QXK21:QXM21"/>
    <mergeCell ref="QXN21:QXP21"/>
    <mergeCell ref="QXQ21:QXS21"/>
    <mergeCell ref="QXT21:QXV21"/>
    <mergeCell ref="QXW21:QXY21"/>
    <mergeCell ref="QXZ21:QYB21"/>
    <mergeCell ref="QWS21:QWU21"/>
    <mergeCell ref="QWV21:QWX21"/>
    <mergeCell ref="QWY21:QXA21"/>
    <mergeCell ref="QXB21:QXD21"/>
    <mergeCell ref="QXE21:QXG21"/>
    <mergeCell ref="QXH21:QXJ21"/>
    <mergeCell ref="QWA21:QWC21"/>
    <mergeCell ref="QWD21:QWF21"/>
    <mergeCell ref="QWG21:QWI21"/>
    <mergeCell ref="QWJ21:QWL21"/>
    <mergeCell ref="QWM21:QWO21"/>
    <mergeCell ref="QWP21:QWR21"/>
    <mergeCell ref="QZM21:QZO21"/>
    <mergeCell ref="QZP21:QZR21"/>
    <mergeCell ref="QZS21:QZU21"/>
    <mergeCell ref="QZV21:QZX21"/>
    <mergeCell ref="QZY21:RAA21"/>
    <mergeCell ref="RAB21:RAD21"/>
    <mergeCell ref="QYU21:QYW21"/>
    <mergeCell ref="QYX21:QYZ21"/>
    <mergeCell ref="QZA21:QZC21"/>
    <mergeCell ref="QZD21:QZF21"/>
    <mergeCell ref="QZG21:QZI21"/>
    <mergeCell ref="QZJ21:QZL21"/>
    <mergeCell ref="QYC21:QYE21"/>
    <mergeCell ref="QYF21:QYH21"/>
    <mergeCell ref="QYI21:QYK21"/>
    <mergeCell ref="QYL21:QYN21"/>
    <mergeCell ref="QYO21:QYQ21"/>
    <mergeCell ref="QYR21:QYT21"/>
    <mergeCell ref="RBO21:RBQ21"/>
    <mergeCell ref="RBR21:RBT21"/>
    <mergeCell ref="RBU21:RBW21"/>
    <mergeCell ref="RBX21:RBZ21"/>
    <mergeCell ref="RCA21:RCC21"/>
    <mergeCell ref="RCD21:RCF21"/>
    <mergeCell ref="RAW21:RAY21"/>
    <mergeCell ref="RAZ21:RBB21"/>
    <mergeCell ref="RBC21:RBE21"/>
    <mergeCell ref="RBF21:RBH21"/>
    <mergeCell ref="RBI21:RBK21"/>
    <mergeCell ref="RBL21:RBN21"/>
    <mergeCell ref="RAE21:RAG21"/>
    <mergeCell ref="RAH21:RAJ21"/>
    <mergeCell ref="RAK21:RAM21"/>
    <mergeCell ref="RAN21:RAP21"/>
    <mergeCell ref="RAQ21:RAS21"/>
    <mergeCell ref="RAT21:RAV21"/>
    <mergeCell ref="RDQ21:RDS21"/>
    <mergeCell ref="RDT21:RDV21"/>
    <mergeCell ref="RDW21:RDY21"/>
    <mergeCell ref="RDZ21:REB21"/>
    <mergeCell ref="REC21:REE21"/>
    <mergeCell ref="REF21:REH21"/>
    <mergeCell ref="RCY21:RDA21"/>
    <mergeCell ref="RDB21:RDD21"/>
    <mergeCell ref="RDE21:RDG21"/>
    <mergeCell ref="RDH21:RDJ21"/>
    <mergeCell ref="RDK21:RDM21"/>
    <mergeCell ref="RDN21:RDP21"/>
    <mergeCell ref="RCG21:RCI21"/>
    <mergeCell ref="RCJ21:RCL21"/>
    <mergeCell ref="RCM21:RCO21"/>
    <mergeCell ref="RCP21:RCR21"/>
    <mergeCell ref="RCS21:RCU21"/>
    <mergeCell ref="RCV21:RCX21"/>
    <mergeCell ref="RFS21:RFU21"/>
    <mergeCell ref="RFV21:RFX21"/>
    <mergeCell ref="RFY21:RGA21"/>
    <mergeCell ref="RGB21:RGD21"/>
    <mergeCell ref="RGE21:RGG21"/>
    <mergeCell ref="RGH21:RGJ21"/>
    <mergeCell ref="RFA21:RFC21"/>
    <mergeCell ref="RFD21:RFF21"/>
    <mergeCell ref="RFG21:RFI21"/>
    <mergeCell ref="RFJ21:RFL21"/>
    <mergeCell ref="RFM21:RFO21"/>
    <mergeCell ref="RFP21:RFR21"/>
    <mergeCell ref="REI21:REK21"/>
    <mergeCell ref="REL21:REN21"/>
    <mergeCell ref="REO21:REQ21"/>
    <mergeCell ref="RER21:RET21"/>
    <mergeCell ref="REU21:REW21"/>
    <mergeCell ref="REX21:REZ21"/>
    <mergeCell ref="RHU21:RHW21"/>
    <mergeCell ref="RHX21:RHZ21"/>
    <mergeCell ref="RIA21:RIC21"/>
    <mergeCell ref="RID21:RIF21"/>
    <mergeCell ref="RIG21:RII21"/>
    <mergeCell ref="RIJ21:RIL21"/>
    <mergeCell ref="RHC21:RHE21"/>
    <mergeCell ref="RHF21:RHH21"/>
    <mergeCell ref="RHI21:RHK21"/>
    <mergeCell ref="RHL21:RHN21"/>
    <mergeCell ref="RHO21:RHQ21"/>
    <mergeCell ref="RHR21:RHT21"/>
    <mergeCell ref="RGK21:RGM21"/>
    <mergeCell ref="RGN21:RGP21"/>
    <mergeCell ref="RGQ21:RGS21"/>
    <mergeCell ref="RGT21:RGV21"/>
    <mergeCell ref="RGW21:RGY21"/>
    <mergeCell ref="RGZ21:RHB21"/>
    <mergeCell ref="RJW21:RJY21"/>
    <mergeCell ref="RJZ21:RKB21"/>
    <mergeCell ref="RKC21:RKE21"/>
    <mergeCell ref="RKF21:RKH21"/>
    <mergeCell ref="RKI21:RKK21"/>
    <mergeCell ref="RKL21:RKN21"/>
    <mergeCell ref="RJE21:RJG21"/>
    <mergeCell ref="RJH21:RJJ21"/>
    <mergeCell ref="RJK21:RJM21"/>
    <mergeCell ref="RJN21:RJP21"/>
    <mergeCell ref="RJQ21:RJS21"/>
    <mergeCell ref="RJT21:RJV21"/>
    <mergeCell ref="RIM21:RIO21"/>
    <mergeCell ref="RIP21:RIR21"/>
    <mergeCell ref="RIS21:RIU21"/>
    <mergeCell ref="RIV21:RIX21"/>
    <mergeCell ref="RIY21:RJA21"/>
    <mergeCell ref="RJB21:RJD21"/>
    <mergeCell ref="RLY21:RMA21"/>
    <mergeCell ref="RMB21:RMD21"/>
    <mergeCell ref="RME21:RMG21"/>
    <mergeCell ref="RMH21:RMJ21"/>
    <mergeCell ref="RMK21:RMM21"/>
    <mergeCell ref="RMN21:RMP21"/>
    <mergeCell ref="RLG21:RLI21"/>
    <mergeCell ref="RLJ21:RLL21"/>
    <mergeCell ref="RLM21:RLO21"/>
    <mergeCell ref="RLP21:RLR21"/>
    <mergeCell ref="RLS21:RLU21"/>
    <mergeCell ref="RLV21:RLX21"/>
    <mergeCell ref="RKO21:RKQ21"/>
    <mergeCell ref="RKR21:RKT21"/>
    <mergeCell ref="RKU21:RKW21"/>
    <mergeCell ref="RKX21:RKZ21"/>
    <mergeCell ref="RLA21:RLC21"/>
    <mergeCell ref="RLD21:RLF21"/>
    <mergeCell ref="ROA21:ROC21"/>
    <mergeCell ref="ROD21:ROF21"/>
    <mergeCell ref="ROG21:ROI21"/>
    <mergeCell ref="ROJ21:ROL21"/>
    <mergeCell ref="ROM21:ROO21"/>
    <mergeCell ref="ROP21:ROR21"/>
    <mergeCell ref="RNI21:RNK21"/>
    <mergeCell ref="RNL21:RNN21"/>
    <mergeCell ref="RNO21:RNQ21"/>
    <mergeCell ref="RNR21:RNT21"/>
    <mergeCell ref="RNU21:RNW21"/>
    <mergeCell ref="RNX21:RNZ21"/>
    <mergeCell ref="RMQ21:RMS21"/>
    <mergeCell ref="RMT21:RMV21"/>
    <mergeCell ref="RMW21:RMY21"/>
    <mergeCell ref="RMZ21:RNB21"/>
    <mergeCell ref="RNC21:RNE21"/>
    <mergeCell ref="RNF21:RNH21"/>
    <mergeCell ref="RQC21:RQE21"/>
    <mergeCell ref="RQF21:RQH21"/>
    <mergeCell ref="RQI21:RQK21"/>
    <mergeCell ref="RQL21:RQN21"/>
    <mergeCell ref="RQO21:RQQ21"/>
    <mergeCell ref="RQR21:RQT21"/>
    <mergeCell ref="RPK21:RPM21"/>
    <mergeCell ref="RPN21:RPP21"/>
    <mergeCell ref="RPQ21:RPS21"/>
    <mergeCell ref="RPT21:RPV21"/>
    <mergeCell ref="RPW21:RPY21"/>
    <mergeCell ref="RPZ21:RQB21"/>
    <mergeCell ref="ROS21:ROU21"/>
    <mergeCell ref="ROV21:ROX21"/>
    <mergeCell ref="ROY21:RPA21"/>
    <mergeCell ref="RPB21:RPD21"/>
    <mergeCell ref="RPE21:RPG21"/>
    <mergeCell ref="RPH21:RPJ21"/>
    <mergeCell ref="RSE21:RSG21"/>
    <mergeCell ref="RSH21:RSJ21"/>
    <mergeCell ref="RSK21:RSM21"/>
    <mergeCell ref="RSN21:RSP21"/>
    <mergeCell ref="RSQ21:RSS21"/>
    <mergeCell ref="RST21:RSV21"/>
    <mergeCell ref="RRM21:RRO21"/>
    <mergeCell ref="RRP21:RRR21"/>
    <mergeCell ref="RRS21:RRU21"/>
    <mergeCell ref="RRV21:RRX21"/>
    <mergeCell ref="RRY21:RSA21"/>
    <mergeCell ref="RSB21:RSD21"/>
    <mergeCell ref="RQU21:RQW21"/>
    <mergeCell ref="RQX21:RQZ21"/>
    <mergeCell ref="RRA21:RRC21"/>
    <mergeCell ref="RRD21:RRF21"/>
    <mergeCell ref="RRG21:RRI21"/>
    <mergeCell ref="RRJ21:RRL21"/>
    <mergeCell ref="RUG21:RUI21"/>
    <mergeCell ref="RUJ21:RUL21"/>
    <mergeCell ref="RUM21:RUO21"/>
    <mergeCell ref="RUP21:RUR21"/>
    <mergeCell ref="RUS21:RUU21"/>
    <mergeCell ref="RUV21:RUX21"/>
    <mergeCell ref="RTO21:RTQ21"/>
    <mergeCell ref="RTR21:RTT21"/>
    <mergeCell ref="RTU21:RTW21"/>
    <mergeCell ref="RTX21:RTZ21"/>
    <mergeCell ref="RUA21:RUC21"/>
    <mergeCell ref="RUD21:RUF21"/>
    <mergeCell ref="RSW21:RSY21"/>
    <mergeCell ref="RSZ21:RTB21"/>
    <mergeCell ref="RTC21:RTE21"/>
    <mergeCell ref="RTF21:RTH21"/>
    <mergeCell ref="RTI21:RTK21"/>
    <mergeCell ref="RTL21:RTN21"/>
    <mergeCell ref="RWI21:RWK21"/>
    <mergeCell ref="RWL21:RWN21"/>
    <mergeCell ref="RWO21:RWQ21"/>
    <mergeCell ref="RWR21:RWT21"/>
    <mergeCell ref="RWU21:RWW21"/>
    <mergeCell ref="RWX21:RWZ21"/>
    <mergeCell ref="RVQ21:RVS21"/>
    <mergeCell ref="RVT21:RVV21"/>
    <mergeCell ref="RVW21:RVY21"/>
    <mergeCell ref="RVZ21:RWB21"/>
    <mergeCell ref="RWC21:RWE21"/>
    <mergeCell ref="RWF21:RWH21"/>
    <mergeCell ref="RUY21:RVA21"/>
    <mergeCell ref="RVB21:RVD21"/>
    <mergeCell ref="RVE21:RVG21"/>
    <mergeCell ref="RVH21:RVJ21"/>
    <mergeCell ref="RVK21:RVM21"/>
    <mergeCell ref="RVN21:RVP21"/>
    <mergeCell ref="RYK21:RYM21"/>
    <mergeCell ref="RYN21:RYP21"/>
    <mergeCell ref="RYQ21:RYS21"/>
    <mergeCell ref="RYT21:RYV21"/>
    <mergeCell ref="RYW21:RYY21"/>
    <mergeCell ref="RYZ21:RZB21"/>
    <mergeCell ref="RXS21:RXU21"/>
    <mergeCell ref="RXV21:RXX21"/>
    <mergeCell ref="RXY21:RYA21"/>
    <mergeCell ref="RYB21:RYD21"/>
    <mergeCell ref="RYE21:RYG21"/>
    <mergeCell ref="RYH21:RYJ21"/>
    <mergeCell ref="RXA21:RXC21"/>
    <mergeCell ref="RXD21:RXF21"/>
    <mergeCell ref="RXG21:RXI21"/>
    <mergeCell ref="RXJ21:RXL21"/>
    <mergeCell ref="RXM21:RXO21"/>
    <mergeCell ref="RXP21:RXR21"/>
    <mergeCell ref="SAM21:SAO21"/>
    <mergeCell ref="SAP21:SAR21"/>
    <mergeCell ref="SAS21:SAU21"/>
    <mergeCell ref="SAV21:SAX21"/>
    <mergeCell ref="SAY21:SBA21"/>
    <mergeCell ref="SBB21:SBD21"/>
    <mergeCell ref="RZU21:RZW21"/>
    <mergeCell ref="RZX21:RZZ21"/>
    <mergeCell ref="SAA21:SAC21"/>
    <mergeCell ref="SAD21:SAF21"/>
    <mergeCell ref="SAG21:SAI21"/>
    <mergeCell ref="SAJ21:SAL21"/>
    <mergeCell ref="RZC21:RZE21"/>
    <mergeCell ref="RZF21:RZH21"/>
    <mergeCell ref="RZI21:RZK21"/>
    <mergeCell ref="RZL21:RZN21"/>
    <mergeCell ref="RZO21:RZQ21"/>
    <mergeCell ref="RZR21:RZT21"/>
    <mergeCell ref="SCO21:SCQ21"/>
    <mergeCell ref="SCR21:SCT21"/>
    <mergeCell ref="SCU21:SCW21"/>
    <mergeCell ref="SCX21:SCZ21"/>
    <mergeCell ref="SDA21:SDC21"/>
    <mergeCell ref="SDD21:SDF21"/>
    <mergeCell ref="SBW21:SBY21"/>
    <mergeCell ref="SBZ21:SCB21"/>
    <mergeCell ref="SCC21:SCE21"/>
    <mergeCell ref="SCF21:SCH21"/>
    <mergeCell ref="SCI21:SCK21"/>
    <mergeCell ref="SCL21:SCN21"/>
    <mergeCell ref="SBE21:SBG21"/>
    <mergeCell ref="SBH21:SBJ21"/>
    <mergeCell ref="SBK21:SBM21"/>
    <mergeCell ref="SBN21:SBP21"/>
    <mergeCell ref="SBQ21:SBS21"/>
    <mergeCell ref="SBT21:SBV21"/>
    <mergeCell ref="SEQ21:SES21"/>
    <mergeCell ref="SET21:SEV21"/>
    <mergeCell ref="SEW21:SEY21"/>
    <mergeCell ref="SEZ21:SFB21"/>
    <mergeCell ref="SFC21:SFE21"/>
    <mergeCell ref="SFF21:SFH21"/>
    <mergeCell ref="SDY21:SEA21"/>
    <mergeCell ref="SEB21:SED21"/>
    <mergeCell ref="SEE21:SEG21"/>
    <mergeCell ref="SEH21:SEJ21"/>
    <mergeCell ref="SEK21:SEM21"/>
    <mergeCell ref="SEN21:SEP21"/>
    <mergeCell ref="SDG21:SDI21"/>
    <mergeCell ref="SDJ21:SDL21"/>
    <mergeCell ref="SDM21:SDO21"/>
    <mergeCell ref="SDP21:SDR21"/>
    <mergeCell ref="SDS21:SDU21"/>
    <mergeCell ref="SDV21:SDX21"/>
    <mergeCell ref="SGS21:SGU21"/>
    <mergeCell ref="SGV21:SGX21"/>
    <mergeCell ref="SGY21:SHA21"/>
    <mergeCell ref="SHB21:SHD21"/>
    <mergeCell ref="SHE21:SHG21"/>
    <mergeCell ref="SHH21:SHJ21"/>
    <mergeCell ref="SGA21:SGC21"/>
    <mergeCell ref="SGD21:SGF21"/>
    <mergeCell ref="SGG21:SGI21"/>
    <mergeCell ref="SGJ21:SGL21"/>
    <mergeCell ref="SGM21:SGO21"/>
    <mergeCell ref="SGP21:SGR21"/>
    <mergeCell ref="SFI21:SFK21"/>
    <mergeCell ref="SFL21:SFN21"/>
    <mergeCell ref="SFO21:SFQ21"/>
    <mergeCell ref="SFR21:SFT21"/>
    <mergeCell ref="SFU21:SFW21"/>
    <mergeCell ref="SFX21:SFZ21"/>
    <mergeCell ref="SIU21:SIW21"/>
    <mergeCell ref="SIX21:SIZ21"/>
    <mergeCell ref="SJA21:SJC21"/>
    <mergeCell ref="SJD21:SJF21"/>
    <mergeCell ref="SJG21:SJI21"/>
    <mergeCell ref="SJJ21:SJL21"/>
    <mergeCell ref="SIC21:SIE21"/>
    <mergeCell ref="SIF21:SIH21"/>
    <mergeCell ref="SII21:SIK21"/>
    <mergeCell ref="SIL21:SIN21"/>
    <mergeCell ref="SIO21:SIQ21"/>
    <mergeCell ref="SIR21:SIT21"/>
    <mergeCell ref="SHK21:SHM21"/>
    <mergeCell ref="SHN21:SHP21"/>
    <mergeCell ref="SHQ21:SHS21"/>
    <mergeCell ref="SHT21:SHV21"/>
    <mergeCell ref="SHW21:SHY21"/>
    <mergeCell ref="SHZ21:SIB21"/>
    <mergeCell ref="SKW21:SKY21"/>
    <mergeCell ref="SKZ21:SLB21"/>
    <mergeCell ref="SLC21:SLE21"/>
    <mergeCell ref="SLF21:SLH21"/>
    <mergeCell ref="SLI21:SLK21"/>
    <mergeCell ref="SLL21:SLN21"/>
    <mergeCell ref="SKE21:SKG21"/>
    <mergeCell ref="SKH21:SKJ21"/>
    <mergeCell ref="SKK21:SKM21"/>
    <mergeCell ref="SKN21:SKP21"/>
    <mergeCell ref="SKQ21:SKS21"/>
    <mergeCell ref="SKT21:SKV21"/>
    <mergeCell ref="SJM21:SJO21"/>
    <mergeCell ref="SJP21:SJR21"/>
    <mergeCell ref="SJS21:SJU21"/>
    <mergeCell ref="SJV21:SJX21"/>
    <mergeCell ref="SJY21:SKA21"/>
    <mergeCell ref="SKB21:SKD21"/>
    <mergeCell ref="SMY21:SNA21"/>
    <mergeCell ref="SNB21:SND21"/>
    <mergeCell ref="SNE21:SNG21"/>
    <mergeCell ref="SNH21:SNJ21"/>
    <mergeCell ref="SNK21:SNM21"/>
    <mergeCell ref="SNN21:SNP21"/>
    <mergeCell ref="SMG21:SMI21"/>
    <mergeCell ref="SMJ21:SML21"/>
    <mergeCell ref="SMM21:SMO21"/>
    <mergeCell ref="SMP21:SMR21"/>
    <mergeCell ref="SMS21:SMU21"/>
    <mergeCell ref="SMV21:SMX21"/>
    <mergeCell ref="SLO21:SLQ21"/>
    <mergeCell ref="SLR21:SLT21"/>
    <mergeCell ref="SLU21:SLW21"/>
    <mergeCell ref="SLX21:SLZ21"/>
    <mergeCell ref="SMA21:SMC21"/>
    <mergeCell ref="SMD21:SMF21"/>
    <mergeCell ref="SPA21:SPC21"/>
    <mergeCell ref="SPD21:SPF21"/>
    <mergeCell ref="SPG21:SPI21"/>
    <mergeCell ref="SPJ21:SPL21"/>
    <mergeCell ref="SPM21:SPO21"/>
    <mergeCell ref="SPP21:SPR21"/>
    <mergeCell ref="SOI21:SOK21"/>
    <mergeCell ref="SOL21:SON21"/>
    <mergeCell ref="SOO21:SOQ21"/>
    <mergeCell ref="SOR21:SOT21"/>
    <mergeCell ref="SOU21:SOW21"/>
    <mergeCell ref="SOX21:SOZ21"/>
    <mergeCell ref="SNQ21:SNS21"/>
    <mergeCell ref="SNT21:SNV21"/>
    <mergeCell ref="SNW21:SNY21"/>
    <mergeCell ref="SNZ21:SOB21"/>
    <mergeCell ref="SOC21:SOE21"/>
    <mergeCell ref="SOF21:SOH21"/>
    <mergeCell ref="SRC21:SRE21"/>
    <mergeCell ref="SRF21:SRH21"/>
    <mergeCell ref="SRI21:SRK21"/>
    <mergeCell ref="SRL21:SRN21"/>
    <mergeCell ref="SRO21:SRQ21"/>
    <mergeCell ref="SRR21:SRT21"/>
    <mergeCell ref="SQK21:SQM21"/>
    <mergeCell ref="SQN21:SQP21"/>
    <mergeCell ref="SQQ21:SQS21"/>
    <mergeCell ref="SQT21:SQV21"/>
    <mergeCell ref="SQW21:SQY21"/>
    <mergeCell ref="SQZ21:SRB21"/>
    <mergeCell ref="SPS21:SPU21"/>
    <mergeCell ref="SPV21:SPX21"/>
    <mergeCell ref="SPY21:SQA21"/>
    <mergeCell ref="SQB21:SQD21"/>
    <mergeCell ref="SQE21:SQG21"/>
    <mergeCell ref="SQH21:SQJ21"/>
    <mergeCell ref="STE21:STG21"/>
    <mergeCell ref="STH21:STJ21"/>
    <mergeCell ref="STK21:STM21"/>
    <mergeCell ref="STN21:STP21"/>
    <mergeCell ref="STQ21:STS21"/>
    <mergeCell ref="STT21:STV21"/>
    <mergeCell ref="SSM21:SSO21"/>
    <mergeCell ref="SSP21:SSR21"/>
    <mergeCell ref="SSS21:SSU21"/>
    <mergeCell ref="SSV21:SSX21"/>
    <mergeCell ref="SSY21:STA21"/>
    <mergeCell ref="STB21:STD21"/>
    <mergeCell ref="SRU21:SRW21"/>
    <mergeCell ref="SRX21:SRZ21"/>
    <mergeCell ref="SSA21:SSC21"/>
    <mergeCell ref="SSD21:SSF21"/>
    <mergeCell ref="SSG21:SSI21"/>
    <mergeCell ref="SSJ21:SSL21"/>
    <mergeCell ref="SVG21:SVI21"/>
    <mergeCell ref="SVJ21:SVL21"/>
    <mergeCell ref="SVM21:SVO21"/>
    <mergeCell ref="SVP21:SVR21"/>
    <mergeCell ref="SVS21:SVU21"/>
    <mergeCell ref="SVV21:SVX21"/>
    <mergeCell ref="SUO21:SUQ21"/>
    <mergeCell ref="SUR21:SUT21"/>
    <mergeCell ref="SUU21:SUW21"/>
    <mergeCell ref="SUX21:SUZ21"/>
    <mergeCell ref="SVA21:SVC21"/>
    <mergeCell ref="SVD21:SVF21"/>
    <mergeCell ref="STW21:STY21"/>
    <mergeCell ref="STZ21:SUB21"/>
    <mergeCell ref="SUC21:SUE21"/>
    <mergeCell ref="SUF21:SUH21"/>
    <mergeCell ref="SUI21:SUK21"/>
    <mergeCell ref="SUL21:SUN21"/>
    <mergeCell ref="SXI21:SXK21"/>
    <mergeCell ref="SXL21:SXN21"/>
    <mergeCell ref="SXO21:SXQ21"/>
    <mergeCell ref="SXR21:SXT21"/>
    <mergeCell ref="SXU21:SXW21"/>
    <mergeCell ref="SXX21:SXZ21"/>
    <mergeCell ref="SWQ21:SWS21"/>
    <mergeCell ref="SWT21:SWV21"/>
    <mergeCell ref="SWW21:SWY21"/>
    <mergeCell ref="SWZ21:SXB21"/>
    <mergeCell ref="SXC21:SXE21"/>
    <mergeCell ref="SXF21:SXH21"/>
    <mergeCell ref="SVY21:SWA21"/>
    <mergeCell ref="SWB21:SWD21"/>
    <mergeCell ref="SWE21:SWG21"/>
    <mergeCell ref="SWH21:SWJ21"/>
    <mergeCell ref="SWK21:SWM21"/>
    <mergeCell ref="SWN21:SWP21"/>
    <mergeCell ref="SZK21:SZM21"/>
    <mergeCell ref="SZN21:SZP21"/>
    <mergeCell ref="SZQ21:SZS21"/>
    <mergeCell ref="SZT21:SZV21"/>
    <mergeCell ref="SZW21:SZY21"/>
    <mergeCell ref="SZZ21:TAB21"/>
    <mergeCell ref="SYS21:SYU21"/>
    <mergeCell ref="SYV21:SYX21"/>
    <mergeCell ref="SYY21:SZA21"/>
    <mergeCell ref="SZB21:SZD21"/>
    <mergeCell ref="SZE21:SZG21"/>
    <mergeCell ref="SZH21:SZJ21"/>
    <mergeCell ref="SYA21:SYC21"/>
    <mergeCell ref="SYD21:SYF21"/>
    <mergeCell ref="SYG21:SYI21"/>
    <mergeCell ref="SYJ21:SYL21"/>
    <mergeCell ref="SYM21:SYO21"/>
    <mergeCell ref="SYP21:SYR21"/>
    <mergeCell ref="TBM21:TBO21"/>
    <mergeCell ref="TBP21:TBR21"/>
    <mergeCell ref="TBS21:TBU21"/>
    <mergeCell ref="TBV21:TBX21"/>
    <mergeCell ref="TBY21:TCA21"/>
    <mergeCell ref="TCB21:TCD21"/>
    <mergeCell ref="TAU21:TAW21"/>
    <mergeCell ref="TAX21:TAZ21"/>
    <mergeCell ref="TBA21:TBC21"/>
    <mergeCell ref="TBD21:TBF21"/>
    <mergeCell ref="TBG21:TBI21"/>
    <mergeCell ref="TBJ21:TBL21"/>
    <mergeCell ref="TAC21:TAE21"/>
    <mergeCell ref="TAF21:TAH21"/>
    <mergeCell ref="TAI21:TAK21"/>
    <mergeCell ref="TAL21:TAN21"/>
    <mergeCell ref="TAO21:TAQ21"/>
    <mergeCell ref="TAR21:TAT21"/>
    <mergeCell ref="TDO21:TDQ21"/>
    <mergeCell ref="TDR21:TDT21"/>
    <mergeCell ref="TDU21:TDW21"/>
    <mergeCell ref="TDX21:TDZ21"/>
    <mergeCell ref="TEA21:TEC21"/>
    <mergeCell ref="TED21:TEF21"/>
    <mergeCell ref="TCW21:TCY21"/>
    <mergeCell ref="TCZ21:TDB21"/>
    <mergeCell ref="TDC21:TDE21"/>
    <mergeCell ref="TDF21:TDH21"/>
    <mergeCell ref="TDI21:TDK21"/>
    <mergeCell ref="TDL21:TDN21"/>
    <mergeCell ref="TCE21:TCG21"/>
    <mergeCell ref="TCH21:TCJ21"/>
    <mergeCell ref="TCK21:TCM21"/>
    <mergeCell ref="TCN21:TCP21"/>
    <mergeCell ref="TCQ21:TCS21"/>
    <mergeCell ref="TCT21:TCV21"/>
    <mergeCell ref="TFQ21:TFS21"/>
    <mergeCell ref="TFT21:TFV21"/>
    <mergeCell ref="TFW21:TFY21"/>
    <mergeCell ref="TFZ21:TGB21"/>
    <mergeCell ref="TGC21:TGE21"/>
    <mergeCell ref="TGF21:TGH21"/>
    <mergeCell ref="TEY21:TFA21"/>
    <mergeCell ref="TFB21:TFD21"/>
    <mergeCell ref="TFE21:TFG21"/>
    <mergeCell ref="TFH21:TFJ21"/>
    <mergeCell ref="TFK21:TFM21"/>
    <mergeCell ref="TFN21:TFP21"/>
    <mergeCell ref="TEG21:TEI21"/>
    <mergeCell ref="TEJ21:TEL21"/>
    <mergeCell ref="TEM21:TEO21"/>
    <mergeCell ref="TEP21:TER21"/>
    <mergeCell ref="TES21:TEU21"/>
    <mergeCell ref="TEV21:TEX21"/>
    <mergeCell ref="THS21:THU21"/>
    <mergeCell ref="THV21:THX21"/>
    <mergeCell ref="THY21:TIA21"/>
    <mergeCell ref="TIB21:TID21"/>
    <mergeCell ref="TIE21:TIG21"/>
    <mergeCell ref="TIH21:TIJ21"/>
    <mergeCell ref="THA21:THC21"/>
    <mergeCell ref="THD21:THF21"/>
    <mergeCell ref="THG21:THI21"/>
    <mergeCell ref="THJ21:THL21"/>
    <mergeCell ref="THM21:THO21"/>
    <mergeCell ref="THP21:THR21"/>
    <mergeCell ref="TGI21:TGK21"/>
    <mergeCell ref="TGL21:TGN21"/>
    <mergeCell ref="TGO21:TGQ21"/>
    <mergeCell ref="TGR21:TGT21"/>
    <mergeCell ref="TGU21:TGW21"/>
    <mergeCell ref="TGX21:TGZ21"/>
    <mergeCell ref="TJU21:TJW21"/>
    <mergeCell ref="TJX21:TJZ21"/>
    <mergeCell ref="TKA21:TKC21"/>
    <mergeCell ref="TKD21:TKF21"/>
    <mergeCell ref="TKG21:TKI21"/>
    <mergeCell ref="TKJ21:TKL21"/>
    <mergeCell ref="TJC21:TJE21"/>
    <mergeCell ref="TJF21:TJH21"/>
    <mergeCell ref="TJI21:TJK21"/>
    <mergeCell ref="TJL21:TJN21"/>
    <mergeCell ref="TJO21:TJQ21"/>
    <mergeCell ref="TJR21:TJT21"/>
    <mergeCell ref="TIK21:TIM21"/>
    <mergeCell ref="TIN21:TIP21"/>
    <mergeCell ref="TIQ21:TIS21"/>
    <mergeCell ref="TIT21:TIV21"/>
    <mergeCell ref="TIW21:TIY21"/>
    <mergeCell ref="TIZ21:TJB21"/>
    <mergeCell ref="TLW21:TLY21"/>
    <mergeCell ref="TLZ21:TMB21"/>
    <mergeCell ref="TMC21:TME21"/>
    <mergeCell ref="TMF21:TMH21"/>
    <mergeCell ref="TMI21:TMK21"/>
    <mergeCell ref="TML21:TMN21"/>
    <mergeCell ref="TLE21:TLG21"/>
    <mergeCell ref="TLH21:TLJ21"/>
    <mergeCell ref="TLK21:TLM21"/>
    <mergeCell ref="TLN21:TLP21"/>
    <mergeCell ref="TLQ21:TLS21"/>
    <mergeCell ref="TLT21:TLV21"/>
    <mergeCell ref="TKM21:TKO21"/>
    <mergeCell ref="TKP21:TKR21"/>
    <mergeCell ref="TKS21:TKU21"/>
    <mergeCell ref="TKV21:TKX21"/>
    <mergeCell ref="TKY21:TLA21"/>
    <mergeCell ref="TLB21:TLD21"/>
    <mergeCell ref="TNY21:TOA21"/>
    <mergeCell ref="TOB21:TOD21"/>
    <mergeCell ref="TOE21:TOG21"/>
    <mergeCell ref="TOH21:TOJ21"/>
    <mergeCell ref="TOK21:TOM21"/>
    <mergeCell ref="TON21:TOP21"/>
    <mergeCell ref="TNG21:TNI21"/>
    <mergeCell ref="TNJ21:TNL21"/>
    <mergeCell ref="TNM21:TNO21"/>
    <mergeCell ref="TNP21:TNR21"/>
    <mergeCell ref="TNS21:TNU21"/>
    <mergeCell ref="TNV21:TNX21"/>
    <mergeCell ref="TMO21:TMQ21"/>
    <mergeCell ref="TMR21:TMT21"/>
    <mergeCell ref="TMU21:TMW21"/>
    <mergeCell ref="TMX21:TMZ21"/>
    <mergeCell ref="TNA21:TNC21"/>
    <mergeCell ref="TND21:TNF21"/>
    <mergeCell ref="TQA21:TQC21"/>
    <mergeCell ref="TQD21:TQF21"/>
    <mergeCell ref="TQG21:TQI21"/>
    <mergeCell ref="TQJ21:TQL21"/>
    <mergeCell ref="TQM21:TQO21"/>
    <mergeCell ref="TQP21:TQR21"/>
    <mergeCell ref="TPI21:TPK21"/>
    <mergeCell ref="TPL21:TPN21"/>
    <mergeCell ref="TPO21:TPQ21"/>
    <mergeCell ref="TPR21:TPT21"/>
    <mergeCell ref="TPU21:TPW21"/>
    <mergeCell ref="TPX21:TPZ21"/>
    <mergeCell ref="TOQ21:TOS21"/>
    <mergeCell ref="TOT21:TOV21"/>
    <mergeCell ref="TOW21:TOY21"/>
    <mergeCell ref="TOZ21:TPB21"/>
    <mergeCell ref="TPC21:TPE21"/>
    <mergeCell ref="TPF21:TPH21"/>
    <mergeCell ref="TSC21:TSE21"/>
    <mergeCell ref="TSF21:TSH21"/>
    <mergeCell ref="TSI21:TSK21"/>
    <mergeCell ref="TSL21:TSN21"/>
    <mergeCell ref="TSO21:TSQ21"/>
    <mergeCell ref="TSR21:TST21"/>
    <mergeCell ref="TRK21:TRM21"/>
    <mergeCell ref="TRN21:TRP21"/>
    <mergeCell ref="TRQ21:TRS21"/>
    <mergeCell ref="TRT21:TRV21"/>
    <mergeCell ref="TRW21:TRY21"/>
    <mergeCell ref="TRZ21:TSB21"/>
    <mergeCell ref="TQS21:TQU21"/>
    <mergeCell ref="TQV21:TQX21"/>
    <mergeCell ref="TQY21:TRA21"/>
    <mergeCell ref="TRB21:TRD21"/>
    <mergeCell ref="TRE21:TRG21"/>
    <mergeCell ref="TRH21:TRJ21"/>
    <mergeCell ref="TUE21:TUG21"/>
    <mergeCell ref="TUH21:TUJ21"/>
    <mergeCell ref="TUK21:TUM21"/>
    <mergeCell ref="TUN21:TUP21"/>
    <mergeCell ref="TUQ21:TUS21"/>
    <mergeCell ref="TUT21:TUV21"/>
    <mergeCell ref="TTM21:TTO21"/>
    <mergeCell ref="TTP21:TTR21"/>
    <mergeCell ref="TTS21:TTU21"/>
    <mergeCell ref="TTV21:TTX21"/>
    <mergeCell ref="TTY21:TUA21"/>
    <mergeCell ref="TUB21:TUD21"/>
    <mergeCell ref="TSU21:TSW21"/>
    <mergeCell ref="TSX21:TSZ21"/>
    <mergeCell ref="TTA21:TTC21"/>
    <mergeCell ref="TTD21:TTF21"/>
    <mergeCell ref="TTG21:TTI21"/>
    <mergeCell ref="TTJ21:TTL21"/>
    <mergeCell ref="TWG21:TWI21"/>
    <mergeCell ref="TWJ21:TWL21"/>
    <mergeCell ref="TWM21:TWO21"/>
    <mergeCell ref="TWP21:TWR21"/>
    <mergeCell ref="TWS21:TWU21"/>
    <mergeCell ref="TWV21:TWX21"/>
    <mergeCell ref="TVO21:TVQ21"/>
    <mergeCell ref="TVR21:TVT21"/>
    <mergeCell ref="TVU21:TVW21"/>
    <mergeCell ref="TVX21:TVZ21"/>
    <mergeCell ref="TWA21:TWC21"/>
    <mergeCell ref="TWD21:TWF21"/>
    <mergeCell ref="TUW21:TUY21"/>
    <mergeCell ref="TUZ21:TVB21"/>
    <mergeCell ref="TVC21:TVE21"/>
    <mergeCell ref="TVF21:TVH21"/>
    <mergeCell ref="TVI21:TVK21"/>
    <mergeCell ref="TVL21:TVN21"/>
    <mergeCell ref="TYI21:TYK21"/>
    <mergeCell ref="TYL21:TYN21"/>
    <mergeCell ref="TYO21:TYQ21"/>
    <mergeCell ref="TYR21:TYT21"/>
    <mergeCell ref="TYU21:TYW21"/>
    <mergeCell ref="TYX21:TYZ21"/>
    <mergeCell ref="TXQ21:TXS21"/>
    <mergeCell ref="TXT21:TXV21"/>
    <mergeCell ref="TXW21:TXY21"/>
    <mergeCell ref="TXZ21:TYB21"/>
    <mergeCell ref="TYC21:TYE21"/>
    <mergeCell ref="TYF21:TYH21"/>
    <mergeCell ref="TWY21:TXA21"/>
    <mergeCell ref="TXB21:TXD21"/>
    <mergeCell ref="TXE21:TXG21"/>
    <mergeCell ref="TXH21:TXJ21"/>
    <mergeCell ref="TXK21:TXM21"/>
    <mergeCell ref="TXN21:TXP21"/>
    <mergeCell ref="UAK21:UAM21"/>
    <mergeCell ref="UAN21:UAP21"/>
    <mergeCell ref="UAQ21:UAS21"/>
    <mergeCell ref="UAT21:UAV21"/>
    <mergeCell ref="UAW21:UAY21"/>
    <mergeCell ref="UAZ21:UBB21"/>
    <mergeCell ref="TZS21:TZU21"/>
    <mergeCell ref="TZV21:TZX21"/>
    <mergeCell ref="TZY21:UAA21"/>
    <mergeCell ref="UAB21:UAD21"/>
    <mergeCell ref="UAE21:UAG21"/>
    <mergeCell ref="UAH21:UAJ21"/>
    <mergeCell ref="TZA21:TZC21"/>
    <mergeCell ref="TZD21:TZF21"/>
    <mergeCell ref="TZG21:TZI21"/>
    <mergeCell ref="TZJ21:TZL21"/>
    <mergeCell ref="TZM21:TZO21"/>
    <mergeCell ref="TZP21:TZR21"/>
    <mergeCell ref="UCM21:UCO21"/>
    <mergeCell ref="UCP21:UCR21"/>
    <mergeCell ref="UCS21:UCU21"/>
    <mergeCell ref="UCV21:UCX21"/>
    <mergeCell ref="UCY21:UDA21"/>
    <mergeCell ref="UDB21:UDD21"/>
    <mergeCell ref="UBU21:UBW21"/>
    <mergeCell ref="UBX21:UBZ21"/>
    <mergeCell ref="UCA21:UCC21"/>
    <mergeCell ref="UCD21:UCF21"/>
    <mergeCell ref="UCG21:UCI21"/>
    <mergeCell ref="UCJ21:UCL21"/>
    <mergeCell ref="UBC21:UBE21"/>
    <mergeCell ref="UBF21:UBH21"/>
    <mergeCell ref="UBI21:UBK21"/>
    <mergeCell ref="UBL21:UBN21"/>
    <mergeCell ref="UBO21:UBQ21"/>
    <mergeCell ref="UBR21:UBT21"/>
    <mergeCell ref="UEO21:UEQ21"/>
    <mergeCell ref="UER21:UET21"/>
    <mergeCell ref="UEU21:UEW21"/>
    <mergeCell ref="UEX21:UEZ21"/>
    <mergeCell ref="UFA21:UFC21"/>
    <mergeCell ref="UFD21:UFF21"/>
    <mergeCell ref="UDW21:UDY21"/>
    <mergeCell ref="UDZ21:UEB21"/>
    <mergeCell ref="UEC21:UEE21"/>
    <mergeCell ref="UEF21:UEH21"/>
    <mergeCell ref="UEI21:UEK21"/>
    <mergeCell ref="UEL21:UEN21"/>
    <mergeCell ref="UDE21:UDG21"/>
    <mergeCell ref="UDH21:UDJ21"/>
    <mergeCell ref="UDK21:UDM21"/>
    <mergeCell ref="UDN21:UDP21"/>
    <mergeCell ref="UDQ21:UDS21"/>
    <mergeCell ref="UDT21:UDV21"/>
    <mergeCell ref="UGQ21:UGS21"/>
    <mergeCell ref="UGT21:UGV21"/>
    <mergeCell ref="UGW21:UGY21"/>
    <mergeCell ref="UGZ21:UHB21"/>
    <mergeCell ref="UHC21:UHE21"/>
    <mergeCell ref="UHF21:UHH21"/>
    <mergeCell ref="UFY21:UGA21"/>
    <mergeCell ref="UGB21:UGD21"/>
    <mergeCell ref="UGE21:UGG21"/>
    <mergeCell ref="UGH21:UGJ21"/>
    <mergeCell ref="UGK21:UGM21"/>
    <mergeCell ref="UGN21:UGP21"/>
    <mergeCell ref="UFG21:UFI21"/>
    <mergeCell ref="UFJ21:UFL21"/>
    <mergeCell ref="UFM21:UFO21"/>
    <mergeCell ref="UFP21:UFR21"/>
    <mergeCell ref="UFS21:UFU21"/>
    <mergeCell ref="UFV21:UFX21"/>
    <mergeCell ref="UIS21:UIU21"/>
    <mergeCell ref="UIV21:UIX21"/>
    <mergeCell ref="UIY21:UJA21"/>
    <mergeCell ref="UJB21:UJD21"/>
    <mergeCell ref="UJE21:UJG21"/>
    <mergeCell ref="UJH21:UJJ21"/>
    <mergeCell ref="UIA21:UIC21"/>
    <mergeCell ref="UID21:UIF21"/>
    <mergeCell ref="UIG21:UII21"/>
    <mergeCell ref="UIJ21:UIL21"/>
    <mergeCell ref="UIM21:UIO21"/>
    <mergeCell ref="UIP21:UIR21"/>
    <mergeCell ref="UHI21:UHK21"/>
    <mergeCell ref="UHL21:UHN21"/>
    <mergeCell ref="UHO21:UHQ21"/>
    <mergeCell ref="UHR21:UHT21"/>
    <mergeCell ref="UHU21:UHW21"/>
    <mergeCell ref="UHX21:UHZ21"/>
    <mergeCell ref="UKU21:UKW21"/>
    <mergeCell ref="UKX21:UKZ21"/>
    <mergeCell ref="ULA21:ULC21"/>
    <mergeCell ref="ULD21:ULF21"/>
    <mergeCell ref="ULG21:ULI21"/>
    <mergeCell ref="ULJ21:ULL21"/>
    <mergeCell ref="UKC21:UKE21"/>
    <mergeCell ref="UKF21:UKH21"/>
    <mergeCell ref="UKI21:UKK21"/>
    <mergeCell ref="UKL21:UKN21"/>
    <mergeCell ref="UKO21:UKQ21"/>
    <mergeCell ref="UKR21:UKT21"/>
    <mergeCell ref="UJK21:UJM21"/>
    <mergeCell ref="UJN21:UJP21"/>
    <mergeCell ref="UJQ21:UJS21"/>
    <mergeCell ref="UJT21:UJV21"/>
    <mergeCell ref="UJW21:UJY21"/>
    <mergeCell ref="UJZ21:UKB21"/>
    <mergeCell ref="UMW21:UMY21"/>
    <mergeCell ref="UMZ21:UNB21"/>
    <mergeCell ref="UNC21:UNE21"/>
    <mergeCell ref="UNF21:UNH21"/>
    <mergeCell ref="UNI21:UNK21"/>
    <mergeCell ref="UNL21:UNN21"/>
    <mergeCell ref="UME21:UMG21"/>
    <mergeCell ref="UMH21:UMJ21"/>
    <mergeCell ref="UMK21:UMM21"/>
    <mergeCell ref="UMN21:UMP21"/>
    <mergeCell ref="UMQ21:UMS21"/>
    <mergeCell ref="UMT21:UMV21"/>
    <mergeCell ref="ULM21:ULO21"/>
    <mergeCell ref="ULP21:ULR21"/>
    <mergeCell ref="ULS21:ULU21"/>
    <mergeCell ref="ULV21:ULX21"/>
    <mergeCell ref="ULY21:UMA21"/>
    <mergeCell ref="UMB21:UMD21"/>
    <mergeCell ref="UOY21:UPA21"/>
    <mergeCell ref="UPB21:UPD21"/>
    <mergeCell ref="UPE21:UPG21"/>
    <mergeCell ref="UPH21:UPJ21"/>
    <mergeCell ref="UPK21:UPM21"/>
    <mergeCell ref="UPN21:UPP21"/>
    <mergeCell ref="UOG21:UOI21"/>
    <mergeCell ref="UOJ21:UOL21"/>
    <mergeCell ref="UOM21:UOO21"/>
    <mergeCell ref="UOP21:UOR21"/>
    <mergeCell ref="UOS21:UOU21"/>
    <mergeCell ref="UOV21:UOX21"/>
    <mergeCell ref="UNO21:UNQ21"/>
    <mergeCell ref="UNR21:UNT21"/>
    <mergeCell ref="UNU21:UNW21"/>
    <mergeCell ref="UNX21:UNZ21"/>
    <mergeCell ref="UOA21:UOC21"/>
    <mergeCell ref="UOD21:UOF21"/>
    <mergeCell ref="URA21:URC21"/>
    <mergeCell ref="URD21:URF21"/>
    <mergeCell ref="URG21:URI21"/>
    <mergeCell ref="URJ21:URL21"/>
    <mergeCell ref="URM21:URO21"/>
    <mergeCell ref="URP21:URR21"/>
    <mergeCell ref="UQI21:UQK21"/>
    <mergeCell ref="UQL21:UQN21"/>
    <mergeCell ref="UQO21:UQQ21"/>
    <mergeCell ref="UQR21:UQT21"/>
    <mergeCell ref="UQU21:UQW21"/>
    <mergeCell ref="UQX21:UQZ21"/>
    <mergeCell ref="UPQ21:UPS21"/>
    <mergeCell ref="UPT21:UPV21"/>
    <mergeCell ref="UPW21:UPY21"/>
    <mergeCell ref="UPZ21:UQB21"/>
    <mergeCell ref="UQC21:UQE21"/>
    <mergeCell ref="UQF21:UQH21"/>
    <mergeCell ref="UTC21:UTE21"/>
    <mergeCell ref="UTF21:UTH21"/>
    <mergeCell ref="UTI21:UTK21"/>
    <mergeCell ref="UTL21:UTN21"/>
    <mergeCell ref="UTO21:UTQ21"/>
    <mergeCell ref="UTR21:UTT21"/>
    <mergeCell ref="USK21:USM21"/>
    <mergeCell ref="USN21:USP21"/>
    <mergeCell ref="USQ21:USS21"/>
    <mergeCell ref="UST21:USV21"/>
    <mergeCell ref="USW21:USY21"/>
    <mergeCell ref="USZ21:UTB21"/>
    <mergeCell ref="URS21:URU21"/>
    <mergeCell ref="URV21:URX21"/>
    <mergeCell ref="URY21:USA21"/>
    <mergeCell ref="USB21:USD21"/>
    <mergeCell ref="USE21:USG21"/>
    <mergeCell ref="USH21:USJ21"/>
    <mergeCell ref="UVE21:UVG21"/>
    <mergeCell ref="UVH21:UVJ21"/>
    <mergeCell ref="UVK21:UVM21"/>
    <mergeCell ref="UVN21:UVP21"/>
    <mergeCell ref="UVQ21:UVS21"/>
    <mergeCell ref="UVT21:UVV21"/>
    <mergeCell ref="UUM21:UUO21"/>
    <mergeCell ref="UUP21:UUR21"/>
    <mergeCell ref="UUS21:UUU21"/>
    <mergeCell ref="UUV21:UUX21"/>
    <mergeCell ref="UUY21:UVA21"/>
    <mergeCell ref="UVB21:UVD21"/>
    <mergeCell ref="UTU21:UTW21"/>
    <mergeCell ref="UTX21:UTZ21"/>
    <mergeCell ref="UUA21:UUC21"/>
    <mergeCell ref="UUD21:UUF21"/>
    <mergeCell ref="UUG21:UUI21"/>
    <mergeCell ref="UUJ21:UUL21"/>
    <mergeCell ref="UXG21:UXI21"/>
    <mergeCell ref="UXJ21:UXL21"/>
    <mergeCell ref="UXM21:UXO21"/>
    <mergeCell ref="UXP21:UXR21"/>
    <mergeCell ref="UXS21:UXU21"/>
    <mergeCell ref="UXV21:UXX21"/>
    <mergeCell ref="UWO21:UWQ21"/>
    <mergeCell ref="UWR21:UWT21"/>
    <mergeCell ref="UWU21:UWW21"/>
    <mergeCell ref="UWX21:UWZ21"/>
    <mergeCell ref="UXA21:UXC21"/>
    <mergeCell ref="UXD21:UXF21"/>
    <mergeCell ref="UVW21:UVY21"/>
    <mergeCell ref="UVZ21:UWB21"/>
    <mergeCell ref="UWC21:UWE21"/>
    <mergeCell ref="UWF21:UWH21"/>
    <mergeCell ref="UWI21:UWK21"/>
    <mergeCell ref="UWL21:UWN21"/>
    <mergeCell ref="UZI21:UZK21"/>
    <mergeCell ref="UZL21:UZN21"/>
    <mergeCell ref="UZO21:UZQ21"/>
    <mergeCell ref="UZR21:UZT21"/>
    <mergeCell ref="UZU21:UZW21"/>
    <mergeCell ref="UZX21:UZZ21"/>
    <mergeCell ref="UYQ21:UYS21"/>
    <mergeCell ref="UYT21:UYV21"/>
    <mergeCell ref="UYW21:UYY21"/>
    <mergeCell ref="UYZ21:UZB21"/>
    <mergeCell ref="UZC21:UZE21"/>
    <mergeCell ref="UZF21:UZH21"/>
    <mergeCell ref="UXY21:UYA21"/>
    <mergeCell ref="UYB21:UYD21"/>
    <mergeCell ref="UYE21:UYG21"/>
    <mergeCell ref="UYH21:UYJ21"/>
    <mergeCell ref="UYK21:UYM21"/>
    <mergeCell ref="UYN21:UYP21"/>
    <mergeCell ref="VBK21:VBM21"/>
    <mergeCell ref="VBN21:VBP21"/>
    <mergeCell ref="VBQ21:VBS21"/>
    <mergeCell ref="VBT21:VBV21"/>
    <mergeCell ref="VBW21:VBY21"/>
    <mergeCell ref="VBZ21:VCB21"/>
    <mergeCell ref="VAS21:VAU21"/>
    <mergeCell ref="VAV21:VAX21"/>
    <mergeCell ref="VAY21:VBA21"/>
    <mergeCell ref="VBB21:VBD21"/>
    <mergeCell ref="VBE21:VBG21"/>
    <mergeCell ref="VBH21:VBJ21"/>
    <mergeCell ref="VAA21:VAC21"/>
    <mergeCell ref="VAD21:VAF21"/>
    <mergeCell ref="VAG21:VAI21"/>
    <mergeCell ref="VAJ21:VAL21"/>
    <mergeCell ref="VAM21:VAO21"/>
    <mergeCell ref="VAP21:VAR21"/>
    <mergeCell ref="VDM21:VDO21"/>
    <mergeCell ref="VDP21:VDR21"/>
    <mergeCell ref="VDS21:VDU21"/>
    <mergeCell ref="VDV21:VDX21"/>
    <mergeCell ref="VDY21:VEA21"/>
    <mergeCell ref="VEB21:VED21"/>
    <mergeCell ref="VCU21:VCW21"/>
    <mergeCell ref="VCX21:VCZ21"/>
    <mergeCell ref="VDA21:VDC21"/>
    <mergeCell ref="VDD21:VDF21"/>
    <mergeCell ref="VDG21:VDI21"/>
    <mergeCell ref="VDJ21:VDL21"/>
    <mergeCell ref="VCC21:VCE21"/>
    <mergeCell ref="VCF21:VCH21"/>
    <mergeCell ref="VCI21:VCK21"/>
    <mergeCell ref="VCL21:VCN21"/>
    <mergeCell ref="VCO21:VCQ21"/>
    <mergeCell ref="VCR21:VCT21"/>
    <mergeCell ref="VFO21:VFQ21"/>
    <mergeCell ref="VFR21:VFT21"/>
    <mergeCell ref="VFU21:VFW21"/>
    <mergeCell ref="VFX21:VFZ21"/>
    <mergeCell ref="VGA21:VGC21"/>
    <mergeCell ref="VGD21:VGF21"/>
    <mergeCell ref="VEW21:VEY21"/>
    <mergeCell ref="VEZ21:VFB21"/>
    <mergeCell ref="VFC21:VFE21"/>
    <mergeCell ref="VFF21:VFH21"/>
    <mergeCell ref="VFI21:VFK21"/>
    <mergeCell ref="VFL21:VFN21"/>
    <mergeCell ref="VEE21:VEG21"/>
    <mergeCell ref="VEH21:VEJ21"/>
    <mergeCell ref="VEK21:VEM21"/>
    <mergeCell ref="VEN21:VEP21"/>
    <mergeCell ref="VEQ21:VES21"/>
    <mergeCell ref="VET21:VEV21"/>
    <mergeCell ref="VHQ21:VHS21"/>
    <mergeCell ref="VHT21:VHV21"/>
    <mergeCell ref="VHW21:VHY21"/>
    <mergeCell ref="VHZ21:VIB21"/>
    <mergeCell ref="VIC21:VIE21"/>
    <mergeCell ref="VIF21:VIH21"/>
    <mergeCell ref="VGY21:VHA21"/>
    <mergeCell ref="VHB21:VHD21"/>
    <mergeCell ref="VHE21:VHG21"/>
    <mergeCell ref="VHH21:VHJ21"/>
    <mergeCell ref="VHK21:VHM21"/>
    <mergeCell ref="VHN21:VHP21"/>
    <mergeCell ref="VGG21:VGI21"/>
    <mergeCell ref="VGJ21:VGL21"/>
    <mergeCell ref="VGM21:VGO21"/>
    <mergeCell ref="VGP21:VGR21"/>
    <mergeCell ref="VGS21:VGU21"/>
    <mergeCell ref="VGV21:VGX21"/>
    <mergeCell ref="VJS21:VJU21"/>
    <mergeCell ref="VJV21:VJX21"/>
    <mergeCell ref="VJY21:VKA21"/>
    <mergeCell ref="VKB21:VKD21"/>
    <mergeCell ref="VKE21:VKG21"/>
    <mergeCell ref="VKH21:VKJ21"/>
    <mergeCell ref="VJA21:VJC21"/>
    <mergeCell ref="VJD21:VJF21"/>
    <mergeCell ref="VJG21:VJI21"/>
    <mergeCell ref="VJJ21:VJL21"/>
    <mergeCell ref="VJM21:VJO21"/>
    <mergeCell ref="VJP21:VJR21"/>
    <mergeCell ref="VII21:VIK21"/>
    <mergeCell ref="VIL21:VIN21"/>
    <mergeCell ref="VIO21:VIQ21"/>
    <mergeCell ref="VIR21:VIT21"/>
    <mergeCell ref="VIU21:VIW21"/>
    <mergeCell ref="VIX21:VIZ21"/>
    <mergeCell ref="VLU21:VLW21"/>
    <mergeCell ref="VLX21:VLZ21"/>
    <mergeCell ref="VMA21:VMC21"/>
    <mergeCell ref="VMD21:VMF21"/>
    <mergeCell ref="VMG21:VMI21"/>
    <mergeCell ref="VMJ21:VML21"/>
    <mergeCell ref="VLC21:VLE21"/>
    <mergeCell ref="VLF21:VLH21"/>
    <mergeCell ref="VLI21:VLK21"/>
    <mergeCell ref="VLL21:VLN21"/>
    <mergeCell ref="VLO21:VLQ21"/>
    <mergeCell ref="VLR21:VLT21"/>
    <mergeCell ref="VKK21:VKM21"/>
    <mergeCell ref="VKN21:VKP21"/>
    <mergeCell ref="VKQ21:VKS21"/>
    <mergeCell ref="VKT21:VKV21"/>
    <mergeCell ref="VKW21:VKY21"/>
    <mergeCell ref="VKZ21:VLB21"/>
    <mergeCell ref="VNW21:VNY21"/>
    <mergeCell ref="VNZ21:VOB21"/>
    <mergeCell ref="VOC21:VOE21"/>
    <mergeCell ref="VOF21:VOH21"/>
    <mergeCell ref="VOI21:VOK21"/>
    <mergeCell ref="VOL21:VON21"/>
    <mergeCell ref="VNE21:VNG21"/>
    <mergeCell ref="VNH21:VNJ21"/>
    <mergeCell ref="VNK21:VNM21"/>
    <mergeCell ref="VNN21:VNP21"/>
    <mergeCell ref="VNQ21:VNS21"/>
    <mergeCell ref="VNT21:VNV21"/>
    <mergeCell ref="VMM21:VMO21"/>
    <mergeCell ref="VMP21:VMR21"/>
    <mergeCell ref="VMS21:VMU21"/>
    <mergeCell ref="VMV21:VMX21"/>
    <mergeCell ref="VMY21:VNA21"/>
    <mergeCell ref="VNB21:VND21"/>
    <mergeCell ref="VPY21:VQA21"/>
    <mergeCell ref="VQB21:VQD21"/>
    <mergeCell ref="VQE21:VQG21"/>
    <mergeCell ref="VQH21:VQJ21"/>
    <mergeCell ref="VQK21:VQM21"/>
    <mergeCell ref="VQN21:VQP21"/>
    <mergeCell ref="VPG21:VPI21"/>
    <mergeCell ref="VPJ21:VPL21"/>
    <mergeCell ref="VPM21:VPO21"/>
    <mergeCell ref="VPP21:VPR21"/>
    <mergeCell ref="VPS21:VPU21"/>
    <mergeCell ref="VPV21:VPX21"/>
    <mergeCell ref="VOO21:VOQ21"/>
    <mergeCell ref="VOR21:VOT21"/>
    <mergeCell ref="VOU21:VOW21"/>
    <mergeCell ref="VOX21:VOZ21"/>
    <mergeCell ref="VPA21:VPC21"/>
    <mergeCell ref="VPD21:VPF21"/>
    <mergeCell ref="VSA21:VSC21"/>
    <mergeCell ref="VSD21:VSF21"/>
    <mergeCell ref="VSG21:VSI21"/>
    <mergeCell ref="VSJ21:VSL21"/>
    <mergeCell ref="VSM21:VSO21"/>
    <mergeCell ref="VSP21:VSR21"/>
    <mergeCell ref="VRI21:VRK21"/>
    <mergeCell ref="VRL21:VRN21"/>
    <mergeCell ref="VRO21:VRQ21"/>
    <mergeCell ref="VRR21:VRT21"/>
    <mergeCell ref="VRU21:VRW21"/>
    <mergeCell ref="VRX21:VRZ21"/>
    <mergeCell ref="VQQ21:VQS21"/>
    <mergeCell ref="VQT21:VQV21"/>
    <mergeCell ref="VQW21:VQY21"/>
    <mergeCell ref="VQZ21:VRB21"/>
    <mergeCell ref="VRC21:VRE21"/>
    <mergeCell ref="VRF21:VRH21"/>
    <mergeCell ref="VUC21:VUE21"/>
    <mergeCell ref="VUF21:VUH21"/>
    <mergeCell ref="VUI21:VUK21"/>
    <mergeCell ref="VUL21:VUN21"/>
    <mergeCell ref="VUO21:VUQ21"/>
    <mergeCell ref="VUR21:VUT21"/>
    <mergeCell ref="VTK21:VTM21"/>
    <mergeCell ref="VTN21:VTP21"/>
    <mergeCell ref="VTQ21:VTS21"/>
    <mergeCell ref="VTT21:VTV21"/>
    <mergeCell ref="VTW21:VTY21"/>
    <mergeCell ref="VTZ21:VUB21"/>
    <mergeCell ref="VSS21:VSU21"/>
    <mergeCell ref="VSV21:VSX21"/>
    <mergeCell ref="VSY21:VTA21"/>
    <mergeCell ref="VTB21:VTD21"/>
    <mergeCell ref="VTE21:VTG21"/>
    <mergeCell ref="VTH21:VTJ21"/>
    <mergeCell ref="VWE21:VWG21"/>
    <mergeCell ref="VWH21:VWJ21"/>
    <mergeCell ref="VWK21:VWM21"/>
    <mergeCell ref="VWN21:VWP21"/>
    <mergeCell ref="VWQ21:VWS21"/>
    <mergeCell ref="VWT21:VWV21"/>
    <mergeCell ref="VVM21:VVO21"/>
    <mergeCell ref="VVP21:VVR21"/>
    <mergeCell ref="VVS21:VVU21"/>
    <mergeCell ref="VVV21:VVX21"/>
    <mergeCell ref="VVY21:VWA21"/>
    <mergeCell ref="VWB21:VWD21"/>
    <mergeCell ref="VUU21:VUW21"/>
    <mergeCell ref="VUX21:VUZ21"/>
    <mergeCell ref="VVA21:VVC21"/>
    <mergeCell ref="VVD21:VVF21"/>
    <mergeCell ref="VVG21:VVI21"/>
    <mergeCell ref="VVJ21:VVL21"/>
    <mergeCell ref="VYG21:VYI21"/>
    <mergeCell ref="VYJ21:VYL21"/>
    <mergeCell ref="VYM21:VYO21"/>
    <mergeCell ref="VYP21:VYR21"/>
    <mergeCell ref="VYS21:VYU21"/>
    <mergeCell ref="VYV21:VYX21"/>
    <mergeCell ref="VXO21:VXQ21"/>
    <mergeCell ref="VXR21:VXT21"/>
    <mergeCell ref="VXU21:VXW21"/>
    <mergeCell ref="VXX21:VXZ21"/>
    <mergeCell ref="VYA21:VYC21"/>
    <mergeCell ref="VYD21:VYF21"/>
    <mergeCell ref="VWW21:VWY21"/>
    <mergeCell ref="VWZ21:VXB21"/>
    <mergeCell ref="VXC21:VXE21"/>
    <mergeCell ref="VXF21:VXH21"/>
    <mergeCell ref="VXI21:VXK21"/>
    <mergeCell ref="VXL21:VXN21"/>
    <mergeCell ref="WAI21:WAK21"/>
    <mergeCell ref="WAL21:WAN21"/>
    <mergeCell ref="WAO21:WAQ21"/>
    <mergeCell ref="WAR21:WAT21"/>
    <mergeCell ref="WAU21:WAW21"/>
    <mergeCell ref="WAX21:WAZ21"/>
    <mergeCell ref="VZQ21:VZS21"/>
    <mergeCell ref="VZT21:VZV21"/>
    <mergeCell ref="VZW21:VZY21"/>
    <mergeCell ref="VZZ21:WAB21"/>
    <mergeCell ref="WAC21:WAE21"/>
    <mergeCell ref="WAF21:WAH21"/>
    <mergeCell ref="VYY21:VZA21"/>
    <mergeCell ref="VZB21:VZD21"/>
    <mergeCell ref="VZE21:VZG21"/>
    <mergeCell ref="VZH21:VZJ21"/>
    <mergeCell ref="VZK21:VZM21"/>
    <mergeCell ref="VZN21:VZP21"/>
    <mergeCell ref="WCK21:WCM21"/>
    <mergeCell ref="WCN21:WCP21"/>
    <mergeCell ref="WCQ21:WCS21"/>
    <mergeCell ref="WCT21:WCV21"/>
    <mergeCell ref="WCW21:WCY21"/>
    <mergeCell ref="WCZ21:WDB21"/>
    <mergeCell ref="WBS21:WBU21"/>
    <mergeCell ref="WBV21:WBX21"/>
    <mergeCell ref="WBY21:WCA21"/>
    <mergeCell ref="WCB21:WCD21"/>
    <mergeCell ref="WCE21:WCG21"/>
    <mergeCell ref="WCH21:WCJ21"/>
    <mergeCell ref="WBA21:WBC21"/>
    <mergeCell ref="WBD21:WBF21"/>
    <mergeCell ref="WBG21:WBI21"/>
    <mergeCell ref="WBJ21:WBL21"/>
    <mergeCell ref="WBM21:WBO21"/>
    <mergeCell ref="WBP21:WBR21"/>
    <mergeCell ref="WEM21:WEO21"/>
    <mergeCell ref="WEP21:WER21"/>
    <mergeCell ref="WES21:WEU21"/>
    <mergeCell ref="WEV21:WEX21"/>
    <mergeCell ref="WEY21:WFA21"/>
    <mergeCell ref="WFB21:WFD21"/>
    <mergeCell ref="WDU21:WDW21"/>
    <mergeCell ref="WDX21:WDZ21"/>
    <mergeCell ref="WEA21:WEC21"/>
    <mergeCell ref="WED21:WEF21"/>
    <mergeCell ref="WEG21:WEI21"/>
    <mergeCell ref="WEJ21:WEL21"/>
    <mergeCell ref="WDC21:WDE21"/>
    <mergeCell ref="WDF21:WDH21"/>
    <mergeCell ref="WDI21:WDK21"/>
    <mergeCell ref="WDL21:WDN21"/>
    <mergeCell ref="WDO21:WDQ21"/>
    <mergeCell ref="WDR21:WDT21"/>
    <mergeCell ref="WGO21:WGQ21"/>
    <mergeCell ref="WGR21:WGT21"/>
    <mergeCell ref="WGU21:WGW21"/>
    <mergeCell ref="WGX21:WGZ21"/>
    <mergeCell ref="WHA21:WHC21"/>
    <mergeCell ref="WHD21:WHF21"/>
    <mergeCell ref="WFW21:WFY21"/>
    <mergeCell ref="WFZ21:WGB21"/>
    <mergeCell ref="WGC21:WGE21"/>
    <mergeCell ref="WGF21:WGH21"/>
    <mergeCell ref="WGI21:WGK21"/>
    <mergeCell ref="WGL21:WGN21"/>
    <mergeCell ref="WFE21:WFG21"/>
    <mergeCell ref="WFH21:WFJ21"/>
    <mergeCell ref="WFK21:WFM21"/>
    <mergeCell ref="WFN21:WFP21"/>
    <mergeCell ref="WFQ21:WFS21"/>
    <mergeCell ref="WFT21:WFV21"/>
    <mergeCell ref="WIQ21:WIS21"/>
    <mergeCell ref="WIT21:WIV21"/>
    <mergeCell ref="WIW21:WIY21"/>
    <mergeCell ref="WIZ21:WJB21"/>
    <mergeCell ref="WJC21:WJE21"/>
    <mergeCell ref="WJF21:WJH21"/>
    <mergeCell ref="WHY21:WIA21"/>
    <mergeCell ref="WIB21:WID21"/>
    <mergeCell ref="WIE21:WIG21"/>
    <mergeCell ref="WIH21:WIJ21"/>
    <mergeCell ref="WIK21:WIM21"/>
    <mergeCell ref="WIN21:WIP21"/>
    <mergeCell ref="WHG21:WHI21"/>
    <mergeCell ref="WHJ21:WHL21"/>
    <mergeCell ref="WHM21:WHO21"/>
    <mergeCell ref="WHP21:WHR21"/>
    <mergeCell ref="WHS21:WHU21"/>
    <mergeCell ref="WHV21:WHX21"/>
    <mergeCell ref="WKS21:WKU21"/>
    <mergeCell ref="WKV21:WKX21"/>
    <mergeCell ref="WKY21:WLA21"/>
    <mergeCell ref="WLB21:WLD21"/>
    <mergeCell ref="WLE21:WLG21"/>
    <mergeCell ref="WLH21:WLJ21"/>
    <mergeCell ref="WKA21:WKC21"/>
    <mergeCell ref="WKD21:WKF21"/>
    <mergeCell ref="WKG21:WKI21"/>
    <mergeCell ref="WKJ21:WKL21"/>
    <mergeCell ref="WKM21:WKO21"/>
    <mergeCell ref="WKP21:WKR21"/>
    <mergeCell ref="WJI21:WJK21"/>
    <mergeCell ref="WJL21:WJN21"/>
    <mergeCell ref="WJO21:WJQ21"/>
    <mergeCell ref="WJR21:WJT21"/>
    <mergeCell ref="WJU21:WJW21"/>
    <mergeCell ref="WJX21:WJZ21"/>
    <mergeCell ref="WMU21:WMW21"/>
    <mergeCell ref="WMX21:WMZ21"/>
    <mergeCell ref="WNA21:WNC21"/>
    <mergeCell ref="WND21:WNF21"/>
    <mergeCell ref="WNG21:WNI21"/>
    <mergeCell ref="WNJ21:WNL21"/>
    <mergeCell ref="WMC21:WME21"/>
    <mergeCell ref="WMF21:WMH21"/>
    <mergeCell ref="WMI21:WMK21"/>
    <mergeCell ref="WML21:WMN21"/>
    <mergeCell ref="WMO21:WMQ21"/>
    <mergeCell ref="WMR21:WMT21"/>
    <mergeCell ref="WLK21:WLM21"/>
    <mergeCell ref="WLN21:WLP21"/>
    <mergeCell ref="WLQ21:WLS21"/>
    <mergeCell ref="WLT21:WLV21"/>
    <mergeCell ref="WLW21:WLY21"/>
    <mergeCell ref="WLZ21:WMB21"/>
    <mergeCell ref="WOW21:WOY21"/>
    <mergeCell ref="WOZ21:WPB21"/>
    <mergeCell ref="WPC21:WPE21"/>
    <mergeCell ref="WPF21:WPH21"/>
    <mergeCell ref="WPI21:WPK21"/>
    <mergeCell ref="WPL21:WPN21"/>
    <mergeCell ref="WOE21:WOG21"/>
    <mergeCell ref="WOH21:WOJ21"/>
    <mergeCell ref="WOK21:WOM21"/>
    <mergeCell ref="WON21:WOP21"/>
    <mergeCell ref="WOQ21:WOS21"/>
    <mergeCell ref="WOT21:WOV21"/>
    <mergeCell ref="WNM21:WNO21"/>
    <mergeCell ref="WNP21:WNR21"/>
    <mergeCell ref="WNS21:WNU21"/>
    <mergeCell ref="WNV21:WNX21"/>
    <mergeCell ref="WNY21:WOA21"/>
    <mergeCell ref="WOB21:WOD21"/>
    <mergeCell ref="WQY21:WRA21"/>
    <mergeCell ref="WRB21:WRD21"/>
    <mergeCell ref="WRE21:WRG21"/>
    <mergeCell ref="WRH21:WRJ21"/>
    <mergeCell ref="WRK21:WRM21"/>
    <mergeCell ref="WRN21:WRP21"/>
    <mergeCell ref="WQG21:WQI21"/>
    <mergeCell ref="WQJ21:WQL21"/>
    <mergeCell ref="WQM21:WQO21"/>
    <mergeCell ref="WQP21:WQR21"/>
    <mergeCell ref="WQS21:WQU21"/>
    <mergeCell ref="WQV21:WQX21"/>
    <mergeCell ref="WPO21:WPQ21"/>
    <mergeCell ref="WPR21:WPT21"/>
    <mergeCell ref="WPU21:WPW21"/>
    <mergeCell ref="WPX21:WPZ21"/>
    <mergeCell ref="WQA21:WQC21"/>
    <mergeCell ref="WQD21:WQF21"/>
    <mergeCell ref="WTA21:WTC21"/>
    <mergeCell ref="WTD21:WTF21"/>
    <mergeCell ref="WTG21:WTI21"/>
    <mergeCell ref="WTJ21:WTL21"/>
    <mergeCell ref="WTM21:WTO21"/>
    <mergeCell ref="WTP21:WTR21"/>
    <mergeCell ref="WSI21:WSK21"/>
    <mergeCell ref="WSL21:WSN21"/>
    <mergeCell ref="WSO21:WSQ21"/>
    <mergeCell ref="WSR21:WST21"/>
    <mergeCell ref="WSU21:WSW21"/>
    <mergeCell ref="WSX21:WSZ21"/>
    <mergeCell ref="WRQ21:WRS21"/>
    <mergeCell ref="WRT21:WRV21"/>
    <mergeCell ref="WRW21:WRY21"/>
    <mergeCell ref="WRZ21:WSB21"/>
    <mergeCell ref="WSC21:WSE21"/>
    <mergeCell ref="WSF21:WSH21"/>
    <mergeCell ref="WVC21:WVE21"/>
    <mergeCell ref="WVF21:WVH21"/>
    <mergeCell ref="WVI21:WVK21"/>
    <mergeCell ref="WVL21:WVN21"/>
    <mergeCell ref="WVO21:WVQ21"/>
    <mergeCell ref="WVR21:WVT21"/>
    <mergeCell ref="WUK21:WUM21"/>
    <mergeCell ref="WUN21:WUP21"/>
    <mergeCell ref="WUQ21:WUS21"/>
    <mergeCell ref="WUT21:WUV21"/>
    <mergeCell ref="WUW21:WUY21"/>
    <mergeCell ref="WUZ21:WVB21"/>
    <mergeCell ref="WTS21:WTU21"/>
    <mergeCell ref="WTV21:WTX21"/>
    <mergeCell ref="WTY21:WUA21"/>
    <mergeCell ref="WUB21:WUD21"/>
    <mergeCell ref="WUE21:WUG21"/>
    <mergeCell ref="WUH21:WUJ21"/>
    <mergeCell ref="WXE21:WXG21"/>
    <mergeCell ref="WXH21:WXJ21"/>
    <mergeCell ref="WXK21:WXM21"/>
    <mergeCell ref="WXN21:WXP21"/>
    <mergeCell ref="WXQ21:WXS21"/>
    <mergeCell ref="WXT21:WXV21"/>
    <mergeCell ref="WWM21:WWO21"/>
    <mergeCell ref="WWP21:WWR21"/>
    <mergeCell ref="WWS21:WWU21"/>
    <mergeCell ref="WWV21:WWX21"/>
    <mergeCell ref="WWY21:WXA21"/>
    <mergeCell ref="WXB21:WXD21"/>
    <mergeCell ref="WVU21:WVW21"/>
    <mergeCell ref="WVX21:WVZ21"/>
    <mergeCell ref="WWA21:WWC21"/>
    <mergeCell ref="WWD21:WWF21"/>
    <mergeCell ref="WWG21:WWI21"/>
    <mergeCell ref="WWJ21:WWL21"/>
    <mergeCell ref="WZG21:WZI21"/>
    <mergeCell ref="WZJ21:WZL21"/>
    <mergeCell ref="WZM21:WZO21"/>
    <mergeCell ref="WZP21:WZR21"/>
    <mergeCell ref="WZS21:WZU21"/>
    <mergeCell ref="WZV21:WZX21"/>
    <mergeCell ref="WYO21:WYQ21"/>
    <mergeCell ref="WYR21:WYT21"/>
    <mergeCell ref="WYU21:WYW21"/>
    <mergeCell ref="WYX21:WYZ21"/>
    <mergeCell ref="WZA21:WZC21"/>
    <mergeCell ref="WZD21:WZF21"/>
    <mergeCell ref="WXW21:WXY21"/>
    <mergeCell ref="WXZ21:WYB21"/>
    <mergeCell ref="WYC21:WYE21"/>
    <mergeCell ref="WYF21:WYH21"/>
    <mergeCell ref="WYI21:WYK21"/>
    <mergeCell ref="WYL21:WYN21"/>
    <mergeCell ref="XCJ21:XCL21"/>
    <mergeCell ref="XCM21:XCO21"/>
    <mergeCell ref="XCP21:XCR21"/>
    <mergeCell ref="XBI21:XBK21"/>
    <mergeCell ref="XBL21:XBN21"/>
    <mergeCell ref="XBO21:XBQ21"/>
    <mergeCell ref="XBR21:XBT21"/>
    <mergeCell ref="XBU21:XBW21"/>
    <mergeCell ref="XBX21:XBZ21"/>
    <mergeCell ref="XAQ21:XAS21"/>
    <mergeCell ref="XAT21:XAV21"/>
    <mergeCell ref="XAW21:XAY21"/>
    <mergeCell ref="XAZ21:XBB21"/>
    <mergeCell ref="XBC21:XBE21"/>
    <mergeCell ref="XBF21:XBH21"/>
    <mergeCell ref="WZY21:XAA21"/>
    <mergeCell ref="XAB21:XAD21"/>
    <mergeCell ref="XAE21:XAG21"/>
    <mergeCell ref="XAH21:XAJ21"/>
    <mergeCell ref="XAK21:XAM21"/>
    <mergeCell ref="XAN21:XAP21"/>
    <mergeCell ref="A32:C32"/>
    <mergeCell ref="A31:C31"/>
    <mergeCell ref="A23:C23"/>
    <mergeCell ref="A24:C24"/>
    <mergeCell ref="A25:C25"/>
    <mergeCell ref="XEU21:XEW21"/>
    <mergeCell ref="XEX21:XEZ21"/>
    <mergeCell ref="XFA21:XFC21"/>
    <mergeCell ref="A22:C22"/>
    <mergeCell ref="A29:C29"/>
    <mergeCell ref="A30:C30"/>
    <mergeCell ref="XEC21:XEE21"/>
    <mergeCell ref="XEF21:XEH21"/>
    <mergeCell ref="XEI21:XEK21"/>
    <mergeCell ref="XEL21:XEN21"/>
    <mergeCell ref="XEO21:XEQ21"/>
    <mergeCell ref="XER21:XET21"/>
    <mergeCell ref="XDK21:XDM21"/>
    <mergeCell ref="XDN21:XDP21"/>
    <mergeCell ref="XDQ21:XDS21"/>
    <mergeCell ref="XDT21:XDV21"/>
    <mergeCell ref="XDW21:XDY21"/>
    <mergeCell ref="XDZ21:XEB21"/>
    <mergeCell ref="XCS21:XCU21"/>
    <mergeCell ref="XCV21:XCX21"/>
    <mergeCell ref="XCY21:XDA21"/>
    <mergeCell ref="XDB21:XDD21"/>
    <mergeCell ref="XDE21:XDG21"/>
    <mergeCell ref="XDH21:XDJ21"/>
    <mergeCell ref="XCA21:XCC21"/>
    <mergeCell ref="XCD21:XCF21"/>
    <mergeCell ref="XCG21:XCI21"/>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8A936-DB41-4E8A-9F58-556B1C48BDFF}">
  <sheetPr>
    <tabColor theme="4"/>
  </sheetPr>
  <dimension ref="A1:O53"/>
  <sheetViews>
    <sheetView showGridLines="0" zoomScale="85" zoomScaleNormal="85" workbookViewId="0">
      <pane xSplit="1" ySplit="6" topLeftCell="B7" activePane="bottomRight" state="frozen"/>
      <selection pane="topRight" activeCell="B1" sqref="B1"/>
      <selection pane="bottomLeft" activeCell="A7" sqref="A7"/>
      <selection pane="bottomRight" activeCell="O31" sqref="O31"/>
    </sheetView>
  </sheetViews>
  <sheetFormatPr defaultColWidth="9.109375" defaultRowHeight="15.6" outlineLevelRow="1" x14ac:dyDescent="0.3"/>
  <cols>
    <col min="1" max="1" width="39.109375" style="211" customWidth="1"/>
    <col min="2" max="7" width="11" style="211" customWidth="1"/>
    <col min="8" max="16384" width="9.109375" style="211"/>
  </cols>
  <sheetData>
    <row r="1" spans="1:7" s="1632" customFormat="1" x14ac:dyDescent="0.3">
      <c r="A1" s="1632" t="s">
        <v>556</v>
      </c>
      <c r="B1" s="1632">
        <v>2019</v>
      </c>
      <c r="C1" s="1632">
        <v>2019</v>
      </c>
      <c r="D1" s="1632">
        <v>2017</v>
      </c>
      <c r="E1" s="1632">
        <v>2016</v>
      </c>
      <c r="F1" s="1632">
        <v>2016</v>
      </c>
      <c r="G1" s="1632">
        <v>2014</v>
      </c>
    </row>
    <row r="2" spans="1:7" s="499" customFormat="1" x14ac:dyDescent="0.3"/>
    <row r="3" spans="1:7" x14ac:dyDescent="0.3">
      <c r="A3" s="499" t="s">
        <v>2418</v>
      </c>
      <c r="B3" s="499"/>
      <c r="C3" s="499"/>
      <c r="D3" s="499"/>
      <c r="E3" s="499"/>
      <c r="F3" s="499"/>
    </row>
    <row r="4" spans="1:7" x14ac:dyDescent="0.3">
      <c r="A4" s="152" t="s">
        <v>2226</v>
      </c>
      <c r="B4" s="152"/>
      <c r="C4" s="152"/>
      <c r="D4" s="152"/>
      <c r="E4" s="152"/>
      <c r="F4" s="152"/>
    </row>
    <row r="5" spans="1:7" ht="8.25" customHeight="1" thickBot="1" x14ac:dyDescent="0.35"/>
    <row r="6" spans="1:7" x14ac:dyDescent="0.3">
      <c r="A6" s="212" t="s">
        <v>1250</v>
      </c>
      <c r="B6" s="1745">
        <v>2019</v>
      </c>
      <c r="C6" s="1745">
        <v>2018</v>
      </c>
      <c r="D6" s="1745">
        <v>2017</v>
      </c>
      <c r="E6" s="1745">
        <v>2016</v>
      </c>
      <c r="F6" s="1745">
        <v>2015</v>
      </c>
      <c r="G6" s="1746">
        <v>2014</v>
      </c>
    </row>
    <row r="7" spans="1:7" x14ac:dyDescent="0.3">
      <c r="A7" s="214" t="s">
        <v>2204</v>
      </c>
      <c r="B7" s="220"/>
      <c r="C7" s="220"/>
      <c r="D7" s="220"/>
      <c r="E7" s="220"/>
      <c r="F7" s="220"/>
      <c r="G7" s="927"/>
    </row>
    <row r="8" spans="1:7" x14ac:dyDescent="0.3">
      <c r="A8" s="214" t="s">
        <v>2205</v>
      </c>
      <c r="B8" s="220"/>
      <c r="C8" s="220"/>
      <c r="D8" s="220"/>
      <c r="E8" s="220"/>
      <c r="F8" s="220"/>
      <c r="G8" s="927"/>
    </row>
    <row r="9" spans="1:7" x14ac:dyDescent="0.3">
      <c r="A9" s="214" t="s">
        <v>2206</v>
      </c>
      <c r="B9" s="1417">
        <v>1506</v>
      </c>
      <c r="C9" s="1417">
        <v>2449</v>
      </c>
      <c r="D9" s="1417">
        <v>-310</v>
      </c>
      <c r="E9" s="1417">
        <v>462</v>
      </c>
      <c r="F9" s="1417">
        <v>460</v>
      </c>
      <c r="G9" s="1422">
        <v>1159</v>
      </c>
    </row>
    <row r="10" spans="1:7" x14ac:dyDescent="0.3">
      <c r="A10" s="214" t="s">
        <v>2207</v>
      </c>
      <c r="B10" s="2970" t="s">
        <v>2421</v>
      </c>
      <c r="C10" s="2971"/>
      <c r="D10" s="2972"/>
      <c r="E10" s="926">
        <v>190</v>
      </c>
      <c r="F10" s="926">
        <v>132</v>
      </c>
      <c r="G10" s="927">
        <v>277</v>
      </c>
    </row>
    <row r="11" spans="1:7" x14ac:dyDescent="0.3">
      <c r="A11" s="214" t="s">
        <v>2208</v>
      </c>
      <c r="B11" s="926">
        <v>-1472</v>
      </c>
      <c r="C11" s="926">
        <v>-1109</v>
      </c>
      <c r="D11" s="926">
        <v>-3648</v>
      </c>
      <c r="E11" s="926">
        <v>822</v>
      </c>
      <c r="F11" s="926">
        <v>421</v>
      </c>
      <c r="G11" s="927">
        <v>606</v>
      </c>
    </row>
    <row r="12" spans="1:7" x14ac:dyDescent="0.3">
      <c r="A12" s="214" t="s">
        <v>2209</v>
      </c>
      <c r="B12" s="926">
        <v>383</v>
      </c>
      <c r="C12" s="926">
        <v>670</v>
      </c>
      <c r="D12" s="926">
        <v>719</v>
      </c>
      <c r="E12" s="926">
        <v>657</v>
      </c>
      <c r="F12" s="926">
        <v>824</v>
      </c>
      <c r="G12" s="927">
        <v>626</v>
      </c>
    </row>
    <row r="13" spans="1:7" x14ac:dyDescent="0.3">
      <c r="A13" s="214" t="s">
        <v>2419</v>
      </c>
      <c r="B13" s="1630">
        <f t="shared" ref="B13:D13" si="0">SUM(B9:B12)</f>
        <v>417</v>
      </c>
      <c r="C13" s="1630">
        <f t="shared" si="0"/>
        <v>2010</v>
      </c>
      <c r="D13" s="1630">
        <f t="shared" si="0"/>
        <v>-3239</v>
      </c>
      <c r="E13" s="1630">
        <f>SUM(E9:E12)</f>
        <v>2131</v>
      </c>
      <c r="F13" s="1630">
        <f t="shared" ref="F13:G13" si="1">SUM(F9:F12)</f>
        <v>1837</v>
      </c>
      <c r="G13" s="1635">
        <f t="shared" si="1"/>
        <v>2668</v>
      </c>
    </row>
    <row r="14" spans="1:7" x14ac:dyDescent="0.3">
      <c r="A14" s="214" t="s">
        <v>2210</v>
      </c>
      <c r="B14" s="926">
        <v>6600</v>
      </c>
      <c r="C14" s="926">
        <v>5503</v>
      </c>
      <c r="D14" s="926">
        <v>4902</v>
      </c>
      <c r="E14" s="926">
        <v>4482</v>
      </c>
      <c r="F14" s="926">
        <v>4550</v>
      </c>
      <c r="G14" s="927">
        <v>4357</v>
      </c>
    </row>
    <row r="15" spans="1:7" x14ac:dyDescent="0.3">
      <c r="A15" s="214" t="s">
        <v>2225</v>
      </c>
      <c r="B15" s="1630">
        <f t="shared" ref="B15:D15" si="2">SUM(B13:B14)</f>
        <v>7017</v>
      </c>
      <c r="C15" s="1630">
        <f t="shared" si="2"/>
        <v>7513</v>
      </c>
      <c r="D15" s="1630">
        <f t="shared" si="2"/>
        <v>1663</v>
      </c>
      <c r="E15" s="1630">
        <f>SUM(E13:E14)</f>
        <v>6613</v>
      </c>
      <c r="F15" s="1630">
        <f t="shared" ref="F15:G15" si="3">SUM(F13:F14)</f>
        <v>6387</v>
      </c>
      <c r="G15" s="1635">
        <f t="shared" si="3"/>
        <v>7025</v>
      </c>
    </row>
    <row r="16" spans="1:7" ht="9" customHeight="1" x14ac:dyDescent="0.3">
      <c r="A16" s="214"/>
      <c r="B16" s="926"/>
      <c r="C16" s="926"/>
      <c r="D16" s="926"/>
      <c r="E16" s="926"/>
      <c r="F16" s="926"/>
      <c r="G16" s="927"/>
    </row>
    <row r="17" spans="1:15" x14ac:dyDescent="0.3">
      <c r="A17" s="214" t="s">
        <v>2425</v>
      </c>
      <c r="B17" s="926">
        <v>7250</v>
      </c>
      <c r="C17" s="926">
        <v>6863</v>
      </c>
      <c r="D17" s="926">
        <v>6328</v>
      </c>
      <c r="E17" s="926">
        <v>5693</v>
      </c>
      <c r="F17" s="926">
        <v>6775</v>
      </c>
      <c r="G17" s="927">
        <v>6169</v>
      </c>
    </row>
    <row r="18" spans="1:15" ht="18.600000000000001" x14ac:dyDescent="0.3">
      <c r="A18" s="214" t="s">
        <v>2426</v>
      </c>
      <c r="B18" s="926">
        <v>2618</v>
      </c>
      <c r="C18" s="926">
        <v>2472</v>
      </c>
      <c r="D18" s="926">
        <v>2584</v>
      </c>
      <c r="E18" s="926">
        <v>2973</v>
      </c>
      <c r="F18" s="926">
        <v>2851</v>
      </c>
      <c r="G18" s="927">
        <v>2711</v>
      </c>
      <c r="O18" s="211" t="s">
        <v>176</v>
      </c>
    </row>
    <row r="19" spans="1:15" s="1744" customFormat="1" hidden="1" outlineLevel="1" x14ac:dyDescent="0.3">
      <c r="A19" s="1747" t="s">
        <v>2219</v>
      </c>
      <c r="B19" s="1748"/>
      <c r="C19" s="1748"/>
      <c r="D19" s="1748"/>
      <c r="E19" s="1748"/>
      <c r="F19" s="1748"/>
      <c r="G19" s="1751"/>
    </row>
    <row r="20" spans="1:15" s="1744" customFormat="1" hidden="1" outlineLevel="1" x14ac:dyDescent="0.3">
      <c r="A20" s="1747" t="s">
        <v>2211</v>
      </c>
      <c r="B20" s="1750">
        <v>288</v>
      </c>
      <c r="C20" s="1750">
        <v>246</v>
      </c>
      <c r="D20" s="1750">
        <v>299</v>
      </c>
      <c r="E20" s="1750">
        <v>431</v>
      </c>
      <c r="F20" s="1750">
        <v>502</v>
      </c>
      <c r="G20" s="1752">
        <v>435</v>
      </c>
    </row>
    <row r="21" spans="1:15" s="1744" customFormat="1" hidden="1" outlineLevel="1" x14ac:dyDescent="0.3">
      <c r="A21" s="1747" t="s">
        <v>1839</v>
      </c>
      <c r="B21" s="1750">
        <v>9522</v>
      </c>
      <c r="C21" s="1750">
        <v>9366</v>
      </c>
      <c r="D21" s="1750">
        <v>6861</v>
      </c>
      <c r="E21" s="1750">
        <v>6211</v>
      </c>
      <c r="F21" s="1750">
        <v>4893</v>
      </c>
      <c r="G21" s="1752">
        <v>4811</v>
      </c>
    </row>
    <row r="22" spans="1:15" s="1744" customFormat="1" hidden="1" outlineLevel="1" x14ac:dyDescent="0.3">
      <c r="A22" s="1747" t="s">
        <v>2222</v>
      </c>
      <c r="B22" s="1750"/>
      <c r="C22" s="1750"/>
      <c r="D22" s="1750"/>
      <c r="E22" s="1750"/>
      <c r="F22" s="1750"/>
      <c r="G22" s="1752"/>
    </row>
    <row r="23" spans="1:15" s="1744" customFormat="1" hidden="1" outlineLevel="1" x14ac:dyDescent="0.3">
      <c r="A23" s="1747" t="s">
        <v>985</v>
      </c>
      <c r="B23" s="1750"/>
      <c r="C23" s="1750"/>
      <c r="D23" s="1750"/>
      <c r="E23" s="1750"/>
      <c r="F23" s="1750"/>
      <c r="G23" s="1752"/>
    </row>
    <row r="24" spans="1:15" s="1744" customFormat="1" hidden="1" outlineLevel="1" x14ac:dyDescent="0.3">
      <c r="A24" s="1747" t="s">
        <v>2212</v>
      </c>
      <c r="B24" s="1750">
        <v>2555</v>
      </c>
      <c r="C24" s="1750">
        <v>2696</v>
      </c>
      <c r="D24" s="1750">
        <v>2083</v>
      </c>
      <c r="E24" s="1750">
        <v>1820</v>
      </c>
      <c r="F24" s="1750">
        <v>1720</v>
      </c>
      <c r="G24" s="1752">
        <v>1546</v>
      </c>
    </row>
    <row r="25" spans="1:15" ht="18.600000000000001" collapsed="1" x14ac:dyDescent="0.3">
      <c r="A25" s="214" t="s">
        <v>2564</v>
      </c>
      <c r="B25" s="926">
        <f t="shared" ref="B25:C25" si="4">SUM(B19:B24)</f>
        <v>12365</v>
      </c>
      <c r="C25" s="926">
        <f t="shared" si="4"/>
        <v>12308</v>
      </c>
      <c r="D25" s="926">
        <f>SUM(D19:D24)</f>
        <v>9243</v>
      </c>
      <c r="E25" s="926">
        <f>SUM(E19:E24)</f>
        <v>8462</v>
      </c>
      <c r="F25" s="926">
        <f t="shared" ref="F25:G25" si="5">SUM(F19:F24)</f>
        <v>7115</v>
      </c>
      <c r="G25" s="927">
        <f t="shared" si="5"/>
        <v>6792</v>
      </c>
    </row>
    <row r="26" spans="1:15" ht="18.600000000000001" x14ac:dyDescent="0.3">
      <c r="A26" s="214" t="s">
        <v>2221</v>
      </c>
      <c r="B26" s="2973" t="s">
        <v>2422</v>
      </c>
      <c r="C26" s="2974"/>
      <c r="D26" s="926">
        <v>2058</v>
      </c>
      <c r="E26" s="926">
        <v>2130</v>
      </c>
      <c r="F26" s="926">
        <v>2086</v>
      </c>
      <c r="G26" s="927">
        <v>1839</v>
      </c>
      <c r="K26" s="211" t="s">
        <v>176</v>
      </c>
    </row>
    <row r="27" spans="1:15" x14ac:dyDescent="0.3">
      <c r="A27" s="214" t="s">
        <v>2215</v>
      </c>
      <c r="B27" s="926">
        <v>-416</v>
      </c>
      <c r="C27" s="926">
        <v>-458</v>
      </c>
      <c r="D27" s="926">
        <v>-1494</v>
      </c>
      <c r="E27" s="926">
        <v>-230</v>
      </c>
      <c r="F27" s="926">
        <v>-374</v>
      </c>
      <c r="G27" s="927">
        <v>-313</v>
      </c>
    </row>
    <row r="28" spans="1:15" ht="18.600000000000001" x14ac:dyDescent="0.3">
      <c r="A28" s="214" t="s">
        <v>2423</v>
      </c>
      <c r="B28" s="926">
        <v>1176</v>
      </c>
      <c r="C28" s="926">
        <v>-2167</v>
      </c>
      <c r="D28" s="926">
        <v>2938</v>
      </c>
      <c r="E28" s="926">
        <v>1103</v>
      </c>
      <c r="F28" s="926">
        <v>730</v>
      </c>
      <c r="G28" s="927">
        <v>694</v>
      </c>
    </row>
    <row r="29" spans="1:15" x14ac:dyDescent="0.3">
      <c r="A29" s="214" t="s">
        <v>2420</v>
      </c>
      <c r="B29" s="926">
        <v>79</v>
      </c>
      <c r="C29" s="926">
        <v>-75</v>
      </c>
      <c r="D29" s="926">
        <v>-1610</v>
      </c>
      <c r="E29" s="926">
        <v>-1381</v>
      </c>
      <c r="F29" s="926">
        <v>-971</v>
      </c>
      <c r="G29" s="927">
        <v>-893</v>
      </c>
    </row>
    <row r="30" spans="1:15" x14ac:dyDescent="0.3">
      <c r="A30" s="214" t="s">
        <v>2213</v>
      </c>
      <c r="B30" s="1630">
        <f>B15+B17+B18+B25+B27+B28+B29</f>
        <v>30089</v>
      </c>
      <c r="C30" s="1630">
        <f>C15+C17+C18+C25+C27+C28+C29</f>
        <v>26456</v>
      </c>
      <c r="D30" s="1630">
        <f>D15+D17+D18+D25+D26+D27+D28+D29</f>
        <v>21710</v>
      </c>
      <c r="E30" s="1630">
        <f>E15+E17+E18+E25+E26+E27+E28+E29</f>
        <v>25363</v>
      </c>
      <c r="F30" s="1630">
        <f t="shared" ref="F30" si="6">F15+F17+F18+F25+F26+F27+F28+F29</f>
        <v>24599</v>
      </c>
      <c r="G30" s="1635">
        <f t="shared" ref="G30" si="7">G15+G17+G18+G25+G26+G27+G28+G29</f>
        <v>24024</v>
      </c>
    </row>
    <row r="31" spans="1:15" ht="9" customHeight="1" x14ac:dyDescent="0.3">
      <c r="A31" s="214"/>
      <c r="B31" s="926"/>
      <c r="C31" s="926"/>
      <c r="D31" s="926"/>
      <c r="E31" s="926"/>
      <c r="F31" s="926"/>
      <c r="G31" s="927"/>
    </row>
    <row r="32" spans="1:15" x14ac:dyDescent="0.3">
      <c r="A32" s="214" t="s">
        <v>2214</v>
      </c>
      <c r="B32" s="926">
        <v>72607</v>
      </c>
      <c r="C32" s="926">
        <v>-22455</v>
      </c>
      <c r="D32" s="926">
        <v>2128</v>
      </c>
      <c r="E32" s="926">
        <v>8304</v>
      </c>
      <c r="F32" s="926">
        <v>10347</v>
      </c>
      <c r="G32" s="927">
        <v>4081</v>
      </c>
    </row>
    <row r="33" spans="1:8" x14ac:dyDescent="0.3">
      <c r="A33" s="214" t="s">
        <v>2217</v>
      </c>
      <c r="B33" s="1630">
        <f t="shared" ref="B33:G33" si="8">SUM(B30:B32)</f>
        <v>102696</v>
      </c>
      <c r="C33" s="1630">
        <f t="shared" si="8"/>
        <v>4001</v>
      </c>
      <c r="D33" s="1630">
        <f t="shared" si="8"/>
        <v>23838</v>
      </c>
      <c r="E33" s="1630">
        <f t="shared" si="8"/>
        <v>33667</v>
      </c>
      <c r="F33" s="1630">
        <f t="shared" si="8"/>
        <v>34946</v>
      </c>
      <c r="G33" s="1635">
        <f t="shared" si="8"/>
        <v>28105</v>
      </c>
    </row>
    <row r="34" spans="1:8" ht="8.25" customHeight="1" x14ac:dyDescent="0.3">
      <c r="A34" s="214"/>
      <c r="B34" s="926"/>
      <c r="C34" s="926"/>
      <c r="D34" s="926"/>
      <c r="E34" s="926"/>
      <c r="F34" s="926"/>
      <c r="G34" s="927"/>
    </row>
    <row r="35" spans="1:8" ht="18.600000000000001" x14ac:dyDescent="0.3">
      <c r="A35" s="214" t="s">
        <v>2424</v>
      </c>
      <c r="B35" s="926">
        <f t="shared" ref="B35:F35" si="9">B33-B36</f>
        <v>21279</v>
      </c>
      <c r="C35" s="926">
        <f t="shared" si="9"/>
        <v>-20</v>
      </c>
      <c r="D35" s="926">
        <f t="shared" si="9"/>
        <v>-21102</v>
      </c>
      <c r="E35" s="926">
        <f t="shared" si="9"/>
        <v>9593</v>
      </c>
      <c r="F35" s="926">
        <f t="shared" si="9"/>
        <v>10863</v>
      </c>
      <c r="G35" s="927">
        <f>G33-G36</f>
        <v>8233</v>
      </c>
    </row>
    <row r="36" spans="1:8" ht="16.2" thickBot="1" x14ac:dyDescent="0.35">
      <c r="A36" s="214" t="s">
        <v>99</v>
      </c>
      <c r="B36" s="1419">
        <v>81417</v>
      </c>
      <c r="C36" s="1419">
        <v>4021</v>
      </c>
      <c r="D36" s="1419">
        <v>44940</v>
      </c>
      <c r="E36" s="1419">
        <v>24074</v>
      </c>
      <c r="F36" s="1419">
        <v>24083</v>
      </c>
      <c r="G36" s="1732">
        <v>19872</v>
      </c>
    </row>
    <row r="37" spans="1:8" s="1" customFormat="1" ht="14.4" thickTop="1" x14ac:dyDescent="0.25">
      <c r="A37" s="6"/>
      <c r="B37" s="205"/>
      <c r="C37" s="205"/>
      <c r="D37" s="205"/>
      <c r="E37" s="205"/>
      <c r="F37" s="205"/>
      <c r="G37" s="1754"/>
    </row>
    <row r="38" spans="1:8" s="1" customFormat="1" ht="13.8" x14ac:dyDescent="0.25">
      <c r="A38" s="1175" t="s">
        <v>1398</v>
      </c>
      <c r="B38" s="1627"/>
      <c r="C38" s="1627"/>
      <c r="D38" s="1627"/>
      <c r="E38" s="1627"/>
      <c r="F38" s="1627"/>
      <c r="G38" s="1628"/>
    </row>
    <row r="39" spans="1:8" s="1" customFormat="1" ht="13.8" x14ac:dyDescent="0.25">
      <c r="A39" s="1175" t="s">
        <v>2427</v>
      </c>
      <c r="B39" s="1627"/>
      <c r="C39" s="1627"/>
      <c r="D39" s="1627"/>
      <c r="E39" s="1627"/>
      <c r="F39" s="1627"/>
      <c r="G39" s="1628"/>
      <c r="H39" s="198"/>
    </row>
    <row r="40" spans="1:8" s="1" customFormat="1" ht="15.75" customHeight="1" x14ac:dyDescent="0.25">
      <c r="A40" s="2824" t="s">
        <v>2563</v>
      </c>
      <c r="B40" s="2825"/>
      <c r="C40" s="2825"/>
      <c r="D40" s="2825"/>
      <c r="E40" s="2825"/>
      <c r="F40" s="2825"/>
      <c r="G40" s="2826"/>
      <c r="H40" s="198"/>
    </row>
    <row r="41" spans="1:8" s="1" customFormat="1" ht="15.75" customHeight="1" x14ac:dyDescent="0.25">
      <c r="A41" s="2824" t="s">
        <v>2428</v>
      </c>
      <c r="B41" s="2825"/>
      <c r="C41" s="2825"/>
      <c r="D41" s="2825"/>
      <c r="E41" s="2825"/>
      <c r="F41" s="2825"/>
      <c r="G41" s="2826"/>
      <c r="H41" s="198"/>
    </row>
    <row r="42" spans="1:8" s="1" customFormat="1" ht="15.75" customHeight="1" x14ac:dyDescent="0.25">
      <c r="A42" s="2824" t="s">
        <v>2429</v>
      </c>
      <c r="B42" s="2825"/>
      <c r="C42" s="2825"/>
      <c r="D42" s="2825"/>
      <c r="E42" s="2825"/>
      <c r="F42" s="2825"/>
      <c r="G42" s="2826"/>
      <c r="H42" s="198"/>
    </row>
    <row r="43" spans="1:8" s="1" customFormat="1" ht="15.75" customHeight="1" thickBot="1" x14ac:dyDescent="0.3">
      <c r="A43" s="2918" t="s">
        <v>2582</v>
      </c>
      <c r="B43" s="2919"/>
      <c r="C43" s="2919"/>
      <c r="D43" s="2919"/>
      <c r="E43" s="2919"/>
      <c r="F43" s="2919"/>
      <c r="G43" s="2920"/>
      <c r="H43" s="198"/>
    </row>
    <row r="44" spans="1:8" s="1" customFormat="1" ht="13.8" x14ac:dyDescent="0.25">
      <c r="A44" s="804" t="s">
        <v>2430</v>
      </c>
      <c r="B44" s="804"/>
      <c r="C44" s="804"/>
      <c r="D44" s="804"/>
      <c r="E44" s="804"/>
      <c r="F44" s="804"/>
      <c r="G44" s="198"/>
      <c r="H44" s="198"/>
    </row>
    <row r="45" spans="1:8" s="1" customFormat="1" ht="13.8" x14ac:dyDescent="0.25"/>
    <row r="46" spans="1:8" s="1" customFormat="1" ht="13.8" x14ac:dyDescent="0.25"/>
    <row r="47" spans="1:8" s="1" customFormat="1" ht="13.8" x14ac:dyDescent="0.25">
      <c r="A47" s="1" t="s">
        <v>176</v>
      </c>
    </row>
    <row r="48" spans="1:8" s="1" customFormat="1" ht="13.8" x14ac:dyDescent="0.25"/>
    <row r="49" s="1" customFormat="1" ht="13.8" x14ac:dyDescent="0.25"/>
    <row r="50" s="1" customFormat="1" ht="13.8" x14ac:dyDescent="0.25"/>
    <row r="51" s="1" customFormat="1" ht="13.8" x14ac:dyDescent="0.25"/>
    <row r="52" s="1" customFormat="1" ht="13.8" x14ac:dyDescent="0.25"/>
    <row r="53" s="1" customFormat="1" ht="13.8" x14ac:dyDescent="0.25"/>
  </sheetData>
  <mergeCells count="6">
    <mergeCell ref="B10:D10"/>
    <mergeCell ref="A42:G42"/>
    <mergeCell ref="A43:G43"/>
    <mergeCell ref="B26:C26"/>
    <mergeCell ref="A40:G40"/>
    <mergeCell ref="A41:G41"/>
  </mergeCells>
  <pageMargins left="0.7" right="0.7" top="0.75" bottom="0.75" header="0.3" footer="0.3"/>
  <pageSetup orientation="portrait" r:id="rId1"/>
  <ignoredErrors>
    <ignoredError sqref="B25:D25 E25:G25" formulaRange="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5D73-9292-4D14-B5AD-1475FE563E4C}">
  <sheetPr>
    <tabColor theme="4"/>
  </sheetPr>
  <dimension ref="A1:Y50"/>
  <sheetViews>
    <sheetView showGridLines="0" zoomScale="115" zoomScaleNormal="115" workbookViewId="0">
      <pane xSplit="1" ySplit="5" topLeftCell="C6" activePane="bottomRight" state="frozen"/>
      <selection pane="topRight" activeCell="B1" sqref="B1"/>
      <selection pane="bottomLeft" activeCell="A6" sqref="A6"/>
      <selection pane="bottomRight" activeCell="W18" sqref="W18"/>
    </sheetView>
  </sheetViews>
  <sheetFormatPr defaultColWidth="9.109375" defaultRowHeight="15.6" outlineLevelCol="1" x14ac:dyDescent="0.3"/>
  <cols>
    <col min="1" max="1" width="44" style="211" customWidth="1"/>
    <col min="2" max="7" width="9.109375" style="211"/>
    <col min="8" max="11" width="0" style="211" hidden="1" customWidth="1" outlineLevel="1"/>
    <col min="12" max="13" width="8.5546875" style="211" hidden="1" customWidth="1" outlineLevel="1"/>
    <col min="14" max="15" width="9.109375" style="211" hidden="1" customWidth="1" outlineLevel="1"/>
    <col min="16" max="17" width="8.5546875" style="211" hidden="1" customWidth="1" outlineLevel="1"/>
    <col min="18" max="18" width="9.109375" style="211" collapsed="1"/>
    <col min="19" max="23" width="9.109375" style="211"/>
    <col min="24" max="24" width="2.44140625" style="211" customWidth="1"/>
    <col min="25" max="16384" width="9.109375" style="211"/>
  </cols>
  <sheetData>
    <row r="1" spans="1:25" s="1632" customFormat="1" x14ac:dyDescent="0.3">
      <c r="A1" s="1632" t="s">
        <v>556</v>
      </c>
      <c r="B1" s="1632">
        <v>2019</v>
      </c>
      <c r="C1" s="1632">
        <v>2019</v>
      </c>
      <c r="D1" s="1632">
        <v>2017</v>
      </c>
      <c r="E1" s="1632">
        <v>2017</v>
      </c>
      <c r="F1" s="1632">
        <v>2017</v>
      </c>
      <c r="G1" s="1632">
        <v>2014</v>
      </c>
      <c r="H1" s="1632">
        <v>2014</v>
      </c>
      <c r="I1" s="1632">
        <v>2014</v>
      </c>
      <c r="J1" s="1632">
        <v>2013</v>
      </c>
      <c r="K1" s="1632">
        <v>2012</v>
      </c>
      <c r="L1" s="1632">
        <v>2011</v>
      </c>
      <c r="M1" s="1632">
        <v>2010</v>
      </c>
      <c r="N1" s="1632">
        <v>2009</v>
      </c>
      <c r="O1" s="1632">
        <v>2008</v>
      </c>
      <c r="P1" s="1632">
        <v>2007</v>
      </c>
      <c r="Q1" s="1632">
        <v>2006</v>
      </c>
    </row>
    <row r="2" spans="1:25" x14ac:dyDescent="0.3">
      <c r="A2" s="499" t="s">
        <v>2478</v>
      </c>
    </row>
    <row r="3" spans="1:25" x14ac:dyDescent="0.3">
      <c r="A3" s="152" t="s">
        <v>2479</v>
      </c>
    </row>
    <row r="4" spans="1:25" ht="8.25" customHeight="1" thickBot="1" x14ac:dyDescent="0.35"/>
    <row r="5" spans="1:25" x14ac:dyDescent="0.3">
      <c r="A5" s="212" t="s">
        <v>1250</v>
      </c>
      <c r="B5" s="712">
        <v>2019</v>
      </c>
      <c r="C5" s="712">
        <v>2018</v>
      </c>
      <c r="D5" s="712">
        <v>2017</v>
      </c>
      <c r="E5" s="712">
        <v>2016</v>
      </c>
      <c r="F5" s="712">
        <v>2015</v>
      </c>
      <c r="G5" s="713">
        <v>2014</v>
      </c>
      <c r="H5" s="712">
        <v>2013</v>
      </c>
      <c r="I5" s="712">
        <v>2012</v>
      </c>
      <c r="J5" s="712">
        <v>2011</v>
      </c>
      <c r="K5" s="712">
        <v>2010</v>
      </c>
      <c r="L5" s="712">
        <v>2009</v>
      </c>
      <c r="M5" s="712">
        <v>2008</v>
      </c>
      <c r="N5" s="712">
        <v>2007</v>
      </c>
      <c r="O5" s="712">
        <v>2006</v>
      </c>
      <c r="P5" s="712">
        <v>2005</v>
      </c>
      <c r="Q5" s="713">
        <v>2004</v>
      </c>
      <c r="S5" s="211" t="s">
        <v>2465</v>
      </c>
      <c r="V5" s="211" t="s">
        <v>2466</v>
      </c>
    </row>
    <row r="6" spans="1:25" x14ac:dyDescent="0.3">
      <c r="A6" s="214" t="s">
        <v>944</v>
      </c>
      <c r="B6" s="1417">
        <v>325</v>
      </c>
      <c r="C6" s="1417">
        <v>1566</v>
      </c>
      <c r="D6" s="1417">
        <v>-2219</v>
      </c>
      <c r="E6" s="1417">
        <v>1370</v>
      </c>
      <c r="F6" s="1417">
        <v>1162</v>
      </c>
      <c r="G6" s="1422">
        <v>1692</v>
      </c>
      <c r="H6" s="1417">
        <v>1995</v>
      </c>
      <c r="I6" s="1417">
        <v>1046</v>
      </c>
      <c r="J6" s="1417">
        <v>154</v>
      </c>
      <c r="K6" s="1417">
        <v>1301</v>
      </c>
      <c r="L6" s="1417">
        <v>949</v>
      </c>
      <c r="M6" s="1417">
        <v>1739</v>
      </c>
      <c r="N6" s="1417">
        <v>2184</v>
      </c>
      <c r="O6" s="1417">
        <v>2485</v>
      </c>
      <c r="P6" s="1417">
        <v>27</v>
      </c>
      <c r="Q6" s="1422">
        <v>1008</v>
      </c>
      <c r="S6" s="1303">
        <f>SUM(B6:F6)</f>
        <v>2204</v>
      </c>
      <c r="T6" s="1909">
        <f t="shared" ref="T6:T12" si="0">S6/$S$13</f>
        <v>2.3170244528079729E-2</v>
      </c>
      <c r="V6" s="1303">
        <f>S6</f>
        <v>2204</v>
      </c>
      <c r="W6" s="1909">
        <f t="shared" ref="W6:W9" si="1">V6/$S$13</f>
        <v>2.3170244528079729E-2</v>
      </c>
      <c r="Y6" s="211" t="s">
        <v>2584</v>
      </c>
    </row>
    <row r="7" spans="1:25" x14ac:dyDescent="0.3">
      <c r="A7" s="214" t="s">
        <v>945</v>
      </c>
      <c r="B7" s="926">
        <v>5530</v>
      </c>
      <c r="C7" s="926">
        <v>4554</v>
      </c>
      <c r="D7" s="926">
        <v>3917</v>
      </c>
      <c r="E7" s="926">
        <v>3636</v>
      </c>
      <c r="F7" s="926">
        <v>3725</v>
      </c>
      <c r="G7" s="927">
        <v>3542</v>
      </c>
      <c r="H7" s="926">
        <v>3708</v>
      </c>
      <c r="I7" s="926">
        <v>3397</v>
      </c>
      <c r="J7" s="926">
        <v>3555</v>
      </c>
      <c r="K7" s="926">
        <v>3860</v>
      </c>
      <c r="L7" s="926">
        <v>4271</v>
      </c>
      <c r="M7" s="926">
        <v>3610</v>
      </c>
      <c r="N7" s="926">
        <v>3510</v>
      </c>
      <c r="O7" s="926">
        <v>3120</v>
      </c>
      <c r="P7" s="926">
        <v>2412</v>
      </c>
      <c r="Q7" s="927">
        <v>2045</v>
      </c>
      <c r="S7" s="926">
        <f t="shared" ref="S7:S13" si="2">SUM(B7:F7)</f>
        <v>21362</v>
      </c>
      <c r="T7" s="1909">
        <f t="shared" si="0"/>
        <v>0.22457475662832993</v>
      </c>
      <c r="V7" s="1303">
        <f t="shared" ref="V7:V12" si="3">S7</f>
        <v>21362</v>
      </c>
      <c r="W7" s="1909">
        <f t="shared" si="1"/>
        <v>0.22457475662832993</v>
      </c>
      <c r="Y7" s="211" t="s">
        <v>2585</v>
      </c>
    </row>
    <row r="8" spans="1:25" x14ac:dyDescent="0.3">
      <c r="A8" s="214" t="s">
        <v>2432</v>
      </c>
      <c r="B8" s="926">
        <v>5481</v>
      </c>
      <c r="C8" s="926">
        <v>5219</v>
      </c>
      <c r="D8" s="926">
        <v>3959</v>
      </c>
      <c r="E8" s="926">
        <v>3569</v>
      </c>
      <c r="F8" s="926">
        <v>4248</v>
      </c>
      <c r="G8" s="927">
        <v>3869</v>
      </c>
      <c r="H8" s="926">
        <v>3793</v>
      </c>
      <c r="I8" s="926">
        <v>3372</v>
      </c>
      <c r="J8" s="926">
        <v>2972</v>
      </c>
      <c r="K8" s="926">
        <v>2235</v>
      </c>
      <c r="L8" s="1633"/>
      <c r="M8" s="1633"/>
      <c r="N8" s="1633"/>
      <c r="O8" s="1633"/>
      <c r="P8" s="1633"/>
      <c r="Q8" s="1634"/>
      <c r="S8" s="926">
        <f t="shared" si="2"/>
        <v>22476</v>
      </c>
      <c r="T8" s="1909">
        <f t="shared" si="0"/>
        <v>0.23628603267382939</v>
      </c>
      <c r="V8" s="1303">
        <f t="shared" si="3"/>
        <v>22476</v>
      </c>
      <c r="W8" s="1909">
        <f>V8/$S$13</f>
        <v>0.23628603267382939</v>
      </c>
      <c r="Y8" s="211" t="s">
        <v>2586</v>
      </c>
    </row>
    <row r="9" spans="1:25" x14ac:dyDescent="0.3">
      <c r="A9" s="214" t="s">
        <v>946</v>
      </c>
      <c r="B9" s="926">
        <v>2840</v>
      </c>
      <c r="C9" s="926">
        <v>2621</v>
      </c>
      <c r="D9" s="926">
        <v>2083</v>
      </c>
      <c r="E9" s="926">
        <v>2287</v>
      </c>
      <c r="F9" s="926">
        <v>2132</v>
      </c>
      <c r="G9" s="927">
        <v>1882</v>
      </c>
      <c r="H9" s="926">
        <v>1470</v>
      </c>
      <c r="I9" s="926">
        <v>1323</v>
      </c>
      <c r="J9" s="926">
        <v>1204</v>
      </c>
      <c r="K9" s="926">
        <v>1131</v>
      </c>
      <c r="L9" s="926">
        <v>1071</v>
      </c>
      <c r="M9" s="926">
        <v>1704</v>
      </c>
      <c r="N9" s="926">
        <v>1114</v>
      </c>
      <c r="O9" s="926">
        <v>885</v>
      </c>
      <c r="P9" s="926">
        <v>523</v>
      </c>
      <c r="Q9" s="927">
        <v>237</v>
      </c>
      <c r="S9" s="926">
        <f t="shared" si="2"/>
        <v>11963</v>
      </c>
      <c r="T9" s="1909">
        <f t="shared" si="0"/>
        <v>0.12576480730009881</v>
      </c>
      <c r="V9" s="1303">
        <f t="shared" si="3"/>
        <v>11963</v>
      </c>
      <c r="W9" s="1909">
        <f t="shared" si="1"/>
        <v>0.12576480730009881</v>
      </c>
      <c r="Y9" s="211" t="s">
        <v>2587</v>
      </c>
    </row>
    <row r="10" spans="1:25" x14ac:dyDescent="0.3">
      <c r="A10" s="214" t="s">
        <v>2565</v>
      </c>
      <c r="B10" s="926">
        <v>9372</v>
      </c>
      <c r="C10" s="926">
        <v>9364</v>
      </c>
      <c r="D10" s="926">
        <v>6208</v>
      </c>
      <c r="E10" s="926">
        <v>5631</v>
      </c>
      <c r="F10" s="926">
        <v>4683</v>
      </c>
      <c r="G10" s="927">
        <v>4468</v>
      </c>
      <c r="H10" s="926">
        <v>3877</v>
      </c>
      <c r="I10" s="926">
        <v>3357</v>
      </c>
      <c r="J10" s="926">
        <v>3039</v>
      </c>
      <c r="K10" s="926">
        <v>2462</v>
      </c>
      <c r="L10" s="926">
        <v>1113</v>
      </c>
      <c r="M10" s="926">
        <v>2283</v>
      </c>
      <c r="N10" s="926">
        <v>2353</v>
      </c>
      <c r="O10" s="926">
        <v>2131</v>
      </c>
      <c r="P10" s="926">
        <v>1646</v>
      </c>
      <c r="Q10" s="927">
        <v>1540</v>
      </c>
      <c r="S10" s="926">
        <f t="shared" si="2"/>
        <v>35258</v>
      </c>
      <c r="T10" s="1909">
        <f t="shared" si="0"/>
        <v>0.37066083555854584</v>
      </c>
      <c r="V10" s="1303">
        <f>S10+S11</f>
        <v>39398</v>
      </c>
      <c r="W10" s="1909">
        <f t="shared" ref="W10:W12" si="4">V10/$S$13</f>
        <v>0.4141838901621076</v>
      </c>
      <c r="Y10" s="211" t="s">
        <v>2588</v>
      </c>
    </row>
    <row r="11" spans="1:25" ht="18.600000000000001" x14ac:dyDescent="0.3">
      <c r="A11" s="214" t="s">
        <v>2433</v>
      </c>
      <c r="B11" s="2975" t="s">
        <v>2422</v>
      </c>
      <c r="C11" s="2976"/>
      <c r="D11" s="926">
        <v>1335</v>
      </c>
      <c r="E11" s="926">
        <v>1427</v>
      </c>
      <c r="F11" s="926">
        <v>1378</v>
      </c>
      <c r="G11" s="927">
        <v>1243</v>
      </c>
      <c r="H11" s="926">
        <v>1008</v>
      </c>
      <c r="I11" s="926">
        <v>899</v>
      </c>
      <c r="J11" s="926">
        <v>516</v>
      </c>
      <c r="K11" s="926">
        <v>441</v>
      </c>
      <c r="L11" s="926">
        <v>411</v>
      </c>
      <c r="M11" s="926">
        <v>469</v>
      </c>
      <c r="N11" s="926">
        <v>632</v>
      </c>
      <c r="O11" s="926">
        <v>732</v>
      </c>
      <c r="P11" s="926">
        <v>514</v>
      </c>
      <c r="Q11" s="927">
        <v>373</v>
      </c>
      <c r="S11" s="926">
        <f t="shared" si="2"/>
        <v>4140</v>
      </c>
      <c r="T11" s="1909">
        <f t="shared" si="0"/>
        <v>4.3523054603561741E-2</v>
      </c>
      <c r="V11" s="1303"/>
      <c r="W11" s="1910"/>
    </row>
    <row r="12" spans="1:25" ht="18.600000000000001" x14ac:dyDescent="0.3">
      <c r="A12" s="214" t="s">
        <v>2434</v>
      </c>
      <c r="B12" s="926">
        <v>424</v>
      </c>
      <c r="C12" s="926">
        <v>-1566</v>
      </c>
      <c r="D12" s="926">
        <v>-826</v>
      </c>
      <c r="E12" s="926">
        <v>-343</v>
      </c>
      <c r="F12" s="926">
        <v>30</v>
      </c>
      <c r="G12" s="927">
        <v>-145</v>
      </c>
      <c r="H12" s="926">
        <v>-712</v>
      </c>
      <c r="I12" s="926">
        <v>-797</v>
      </c>
      <c r="J12" s="926">
        <v>-665</v>
      </c>
      <c r="K12" s="926">
        <v>-337</v>
      </c>
      <c r="L12" s="926">
        <v>-246</v>
      </c>
      <c r="M12" s="926">
        <v>-166</v>
      </c>
      <c r="N12" s="926">
        <v>-159</v>
      </c>
      <c r="O12" s="926">
        <v>-47</v>
      </c>
      <c r="P12" s="926">
        <v>-124</v>
      </c>
      <c r="Q12" s="927">
        <v>-154</v>
      </c>
      <c r="S12" s="926">
        <f t="shared" si="2"/>
        <v>-2281</v>
      </c>
      <c r="T12" s="1909">
        <f t="shared" si="0"/>
        <v>-2.3979731292445492E-2</v>
      </c>
      <c r="V12" s="1303">
        <f t="shared" si="3"/>
        <v>-2281</v>
      </c>
      <c r="W12" s="1909">
        <f t="shared" si="4"/>
        <v>-2.3979731292445492E-2</v>
      </c>
      <c r="Y12" s="211" t="s">
        <v>2589</v>
      </c>
    </row>
    <row r="13" spans="1:25" x14ac:dyDescent="0.3">
      <c r="A13" s="214" t="s">
        <v>2020</v>
      </c>
      <c r="B13" s="1630">
        <f>SUM(B6:B12)</f>
        <v>23972</v>
      </c>
      <c r="C13" s="1630">
        <f>SUM(C6:C12)</f>
        <v>21758</v>
      </c>
      <c r="D13" s="1630">
        <f t="shared" ref="D13:P13" si="5">SUM(D6:D12)</f>
        <v>14457</v>
      </c>
      <c r="E13" s="1630">
        <f t="shared" si="5"/>
        <v>17577</v>
      </c>
      <c r="F13" s="1630">
        <f t="shared" si="5"/>
        <v>17358</v>
      </c>
      <c r="G13" s="1635">
        <f t="shared" si="5"/>
        <v>16551</v>
      </c>
      <c r="H13" s="1630">
        <f t="shared" si="5"/>
        <v>15139</v>
      </c>
      <c r="I13" s="1630">
        <f t="shared" si="5"/>
        <v>12597</v>
      </c>
      <c r="J13" s="1630">
        <f t="shared" si="5"/>
        <v>10775</v>
      </c>
      <c r="K13" s="1630">
        <f t="shared" si="5"/>
        <v>11093</v>
      </c>
      <c r="L13" s="1630">
        <f t="shared" si="5"/>
        <v>7569</v>
      </c>
      <c r="M13" s="1630">
        <f t="shared" si="5"/>
        <v>9639</v>
      </c>
      <c r="N13" s="1630">
        <f t="shared" si="5"/>
        <v>9634</v>
      </c>
      <c r="O13" s="1630">
        <f t="shared" si="5"/>
        <v>9306</v>
      </c>
      <c r="P13" s="1630">
        <f t="shared" si="5"/>
        <v>4998</v>
      </c>
      <c r="Q13" s="1635">
        <f>SUM(Q6:Q12)</f>
        <v>5049</v>
      </c>
      <c r="S13" s="1631">
        <f t="shared" si="2"/>
        <v>95122</v>
      </c>
      <c r="T13" s="227">
        <f>S13/$S$13</f>
        <v>1</v>
      </c>
      <c r="V13" s="1631">
        <f>SUM(V6:V12)</f>
        <v>95122</v>
      </c>
      <c r="W13" s="227">
        <f>V13/$V$13</f>
        <v>1</v>
      </c>
    </row>
    <row r="14" spans="1:25" x14ac:dyDescent="0.3">
      <c r="A14" s="214"/>
      <c r="B14" s="926"/>
      <c r="C14" s="926"/>
      <c r="D14" s="926"/>
      <c r="E14" s="926"/>
      <c r="F14" s="926"/>
      <c r="G14" s="927"/>
      <c r="H14" s="926"/>
      <c r="I14" s="926"/>
      <c r="J14" s="926"/>
      <c r="K14" s="926"/>
      <c r="L14" s="926"/>
      <c r="M14" s="926"/>
      <c r="N14" s="926"/>
      <c r="O14" s="926"/>
      <c r="P14" s="926"/>
      <c r="Q14" s="927"/>
    </row>
    <row r="15" spans="1:25" x14ac:dyDescent="0.3">
      <c r="A15" s="214" t="s">
        <v>948</v>
      </c>
      <c r="B15" s="926">
        <v>57445</v>
      </c>
      <c r="C15" s="926">
        <v>-17737</v>
      </c>
      <c r="D15" s="926">
        <v>1377</v>
      </c>
      <c r="E15" s="926">
        <v>6497</v>
      </c>
      <c r="F15" s="926">
        <v>6725</v>
      </c>
      <c r="G15" s="927">
        <v>3321</v>
      </c>
      <c r="H15" s="926">
        <v>4337</v>
      </c>
      <c r="I15" s="926">
        <v>2227</v>
      </c>
      <c r="J15" s="926">
        <v>-521</v>
      </c>
      <c r="K15" s="926">
        <v>1874</v>
      </c>
      <c r="L15" s="926">
        <v>486</v>
      </c>
      <c r="M15" s="926">
        <v>-4645</v>
      </c>
      <c r="N15" s="926">
        <v>3579</v>
      </c>
      <c r="O15" s="926">
        <v>1709</v>
      </c>
      <c r="P15" s="926">
        <v>3530</v>
      </c>
      <c r="Q15" s="927">
        <v>2259</v>
      </c>
    </row>
    <row r="16" spans="1:25" x14ac:dyDescent="0.3">
      <c r="A16" s="214" t="s">
        <v>2257</v>
      </c>
      <c r="B16" s="926"/>
      <c r="C16" s="926"/>
      <c r="D16" s="926">
        <v>29106</v>
      </c>
      <c r="E16" s="926"/>
      <c r="F16" s="926"/>
      <c r="G16" s="927"/>
      <c r="H16" s="926"/>
      <c r="I16" s="926"/>
      <c r="J16" s="926"/>
      <c r="K16" s="926"/>
      <c r="L16" s="926"/>
      <c r="M16" s="926"/>
      <c r="N16" s="926"/>
      <c r="O16" s="926"/>
      <c r="P16" s="926"/>
      <c r="Q16" s="927"/>
    </row>
    <row r="17" spans="1:19" x14ac:dyDescent="0.3">
      <c r="A17" s="214" t="s">
        <v>2021</v>
      </c>
      <c r="B17" s="1631">
        <f t="shared" ref="B17:F17" si="6">B13+B15</f>
        <v>81417</v>
      </c>
      <c r="C17" s="1631">
        <f t="shared" si="6"/>
        <v>4021</v>
      </c>
      <c r="D17" s="1631">
        <f>D13+D15+D16</f>
        <v>44940</v>
      </c>
      <c r="E17" s="1631">
        <f t="shared" si="6"/>
        <v>24074</v>
      </c>
      <c r="F17" s="1631">
        <f t="shared" si="6"/>
        <v>24083</v>
      </c>
      <c r="G17" s="1636">
        <f>G13+G15</f>
        <v>19872</v>
      </c>
      <c r="H17" s="1631">
        <f>H13+H15</f>
        <v>19476</v>
      </c>
      <c r="I17" s="1631">
        <f>I13+I15</f>
        <v>14824</v>
      </c>
      <c r="J17" s="1631">
        <f>J13+J15</f>
        <v>10254</v>
      </c>
      <c r="K17" s="1631">
        <f>K13+K15</f>
        <v>12967</v>
      </c>
      <c r="L17" s="1631">
        <f t="shared" ref="L17:Q17" si="7">L13+L15</f>
        <v>8055</v>
      </c>
      <c r="M17" s="1631">
        <f t="shared" si="7"/>
        <v>4994</v>
      </c>
      <c r="N17" s="1631">
        <f t="shared" si="7"/>
        <v>13213</v>
      </c>
      <c r="O17" s="1631">
        <f t="shared" si="7"/>
        <v>11015</v>
      </c>
      <c r="P17" s="1631">
        <f t="shared" si="7"/>
        <v>8528</v>
      </c>
      <c r="Q17" s="1636">
        <f t="shared" si="7"/>
        <v>7308</v>
      </c>
      <c r="S17" s="1224"/>
    </row>
    <row r="18" spans="1:19" ht="4.5" customHeight="1" x14ac:dyDescent="0.3">
      <c r="A18" s="214"/>
      <c r="B18" s="1417"/>
      <c r="C18" s="1417"/>
      <c r="D18" s="1417"/>
      <c r="E18" s="1417"/>
      <c r="F18" s="1417"/>
      <c r="G18" s="1422"/>
      <c r="H18" s="1417"/>
      <c r="I18" s="1417"/>
      <c r="J18" s="1417"/>
      <c r="K18" s="1417"/>
      <c r="L18" s="1417"/>
      <c r="M18" s="1417"/>
      <c r="N18" s="1417"/>
      <c r="O18" s="1417"/>
      <c r="P18" s="1417"/>
      <c r="Q18" s="1422"/>
    </row>
    <row r="19" spans="1:19" ht="4.5" customHeight="1" x14ac:dyDescent="0.3">
      <c r="A19" s="1155"/>
      <c r="B19" s="1528"/>
      <c r="C19" s="1528"/>
      <c r="D19" s="1528"/>
      <c r="E19" s="1528"/>
      <c r="F19" s="1528"/>
      <c r="G19" s="1529"/>
      <c r="H19" s="1528"/>
      <c r="I19" s="1528"/>
      <c r="J19" s="1528"/>
      <c r="K19" s="1528"/>
      <c r="L19" s="1528"/>
      <c r="M19" s="1528"/>
      <c r="N19" s="1528"/>
      <c r="O19" s="1528"/>
      <c r="P19" s="1528"/>
      <c r="Q19" s="1529"/>
    </row>
    <row r="20" spans="1:19" ht="4.5" customHeight="1" x14ac:dyDescent="0.3">
      <c r="A20" s="214"/>
      <c r="B20" s="1417"/>
      <c r="C20" s="1417"/>
      <c r="D20" s="1417"/>
      <c r="E20" s="1417"/>
      <c r="F20" s="1417"/>
      <c r="G20" s="1422"/>
      <c r="H20" s="1417"/>
      <c r="I20" s="1417"/>
      <c r="J20" s="1417"/>
      <c r="K20" s="1417"/>
      <c r="L20" s="1417"/>
      <c r="M20" s="1417"/>
      <c r="N20" s="1417"/>
      <c r="O20" s="1417"/>
      <c r="P20" s="1417"/>
      <c r="Q20" s="1422"/>
    </row>
    <row r="21" spans="1:19" ht="18.600000000000001" x14ac:dyDescent="0.3">
      <c r="A21" s="214" t="s">
        <v>2025</v>
      </c>
      <c r="B21" s="1387">
        <v>1625</v>
      </c>
      <c r="C21" s="1387">
        <v>1641</v>
      </c>
      <c r="D21" s="1387">
        <v>1645</v>
      </c>
      <c r="E21" s="1387">
        <v>1644</v>
      </c>
      <c r="F21" s="1387">
        <v>1643</v>
      </c>
      <c r="G21" s="927">
        <v>1643</v>
      </c>
      <c r="H21" s="926">
        <v>1644</v>
      </c>
      <c r="I21" s="926">
        <v>1643</v>
      </c>
      <c r="J21" s="926">
        <v>1651</v>
      </c>
      <c r="K21" s="926">
        <v>1648</v>
      </c>
      <c r="L21" s="926">
        <v>1552</v>
      </c>
      <c r="M21" s="926">
        <v>1549</v>
      </c>
      <c r="N21" s="926">
        <v>1548</v>
      </c>
      <c r="O21" s="926">
        <v>1543</v>
      </c>
      <c r="P21" s="926">
        <v>1541</v>
      </c>
      <c r="Q21" s="927">
        <v>1539</v>
      </c>
    </row>
    <row r="22" spans="1:19" ht="4.5" customHeight="1" x14ac:dyDescent="0.3">
      <c r="A22" s="214"/>
      <c r="B22" s="1417"/>
      <c r="C22" s="1417"/>
      <c r="D22" s="1417"/>
      <c r="E22" s="1417"/>
      <c r="F22" s="1417"/>
      <c r="G22" s="1422"/>
      <c r="H22" s="1417"/>
      <c r="I22" s="1417"/>
      <c r="J22" s="1417"/>
      <c r="K22" s="1417"/>
      <c r="L22" s="1417"/>
      <c r="M22" s="1417"/>
      <c r="N22" s="1417"/>
      <c r="O22" s="1417"/>
      <c r="P22" s="1417"/>
      <c r="Q22" s="1422"/>
    </row>
    <row r="23" spans="1:19" ht="4.5" customHeight="1" x14ac:dyDescent="0.3">
      <c r="A23" s="1155"/>
      <c r="B23" s="1528"/>
      <c r="C23" s="1528"/>
      <c r="D23" s="1528"/>
      <c r="E23" s="1528"/>
      <c r="F23" s="1528"/>
      <c r="G23" s="1529"/>
      <c r="H23" s="1528"/>
      <c r="I23" s="1528"/>
      <c r="J23" s="1528"/>
      <c r="K23" s="1528"/>
      <c r="L23" s="1528"/>
      <c r="M23" s="1528"/>
      <c r="N23" s="1528"/>
      <c r="O23" s="1528"/>
      <c r="P23" s="1528"/>
      <c r="Q23" s="1529"/>
    </row>
    <row r="24" spans="1:19" ht="4.5" customHeight="1" x14ac:dyDescent="0.3">
      <c r="A24" s="214"/>
      <c r="B24" s="1417"/>
      <c r="C24" s="1417"/>
      <c r="D24" s="1417"/>
      <c r="E24" s="1417"/>
      <c r="F24" s="1417"/>
      <c r="G24" s="1422"/>
      <c r="H24" s="1417"/>
      <c r="I24" s="1417"/>
      <c r="J24" s="1417"/>
      <c r="K24" s="1417"/>
      <c r="L24" s="1417"/>
      <c r="M24" s="1417"/>
      <c r="N24" s="1417"/>
      <c r="O24" s="1417"/>
      <c r="P24" s="1417"/>
      <c r="Q24" s="1422"/>
    </row>
    <row r="25" spans="1:19" s="320" customFormat="1" x14ac:dyDescent="0.3">
      <c r="A25" s="214" t="s">
        <v>1398</v>
      </c>
      <c r="B25" s="765"/>
      <c r="C25" s="765"/>
      <c r="D25" s="765"/>
      <c r="E25" s="765"/>
      <c r="F25" s="765"/>
      <c r="G25" s="222"/>
      <c r="H25" s="765"/>
      <c r="I25" s="765"/>
      <c r="J25" s="765"/>
      <c r="K25" s="765"/>
      <c r="L25" s="765"/>
      <c r="M25" s="765"/>
      <c r="N25" s="765"/>
      <c r="O25" s="765"/>
      <c r="P25" s="765"/>
      <c r="Q25" s="222"/>
    </row>
    <row r="26" spans="1:19" s="320" customFormat="1" ht="31.5" customHeight="1" x14ac:dyDescent="0.3">
      <c r="A26" s="2977" t="s">
        <v>2435</v>
      </c>
      <c r="B26" s="2978"/>
      <c r="C26" s="2978"/>
      <c r="D26" s="2978"/>
      <c r="E26" s="2978"/>
      <c r="F26" s="2978"/>
      <c r="G26" s="2979"/>
      <c r="H26" s="765"/>
      <c r="I26" s="765"/>
      <c r="J26" s="765"/>
      <c r="K26" s="765"/>
      <c r="L26" s="765"/>
      <c r="M26" s="765"/>
      <c r="N26" s="765"/>
      <c r="O26" s="765"/>
      <c r="P26" s="765"/>
      <c r="Q26" s="222"/>
    </row>
    <row r="27" spans="1:19" s="320" customFormat="1" x14ac:dyDescent="0.3">
      <c r="A27" s="214" t="s">
        <v>2436</v>
      </c>
      <c r="B27" s="765"/>
      <c r="C27" s="765"/>
      <c r="D27" s="765"/>
      <c r="E27" s="765"/>
      <c r="F27" s="765"/>
      <c r="G27" s="222"/>
      <c r="H27" s="765"/>
      <c r="I27" s="765"/>
      <c r="J27" s="765"/>
      <c r="K27" s="765"/>
      <c r="L27" s="765"/>
      <c r="M27" s="765"/>
      <c r="N27" s="765"/>
      <c r="O27" s="765"/>
      <c r="P27" s="765"/>
      <c r="Q27" s="222"/>
    </row>
    <row r="28" spans="1:19" s="320" customFormat="1" ht="16.2" thickBot="1" x14ac:dyDescent="0.35">
      <c r="A28" s="224" t="s">
        <v>2026</v>
      </c>
      <c r="B28" s="1637"/>
      <c r="C28" s="1637"/>
      <c r="D28" s="1637"/>
      <c r="E28" s="1637"/>
      <c r="F28" s="1637"/>
      <c r="G28" s="1638"/>
      <c r="H28" s="1637"/>
      <c r="I28" s="1637"/>
      <c r="J28" s="1637"/>
      <c r="K28" s="1637"/>
      <c r="L28" s="1637"/>
      <c r="M28" s="1637"/>
      <c r="N28" s="1637"/>
      <c r="O28" s="1637"/>
      <c r="P28" s="1637"/>
      <c r="Q28" s="1638"/>
    </row>
    <row r="29" spans="1:19" s="320" customFormat="1" x14ac:dyDescent="0.3">
      <c r="A29" s="12" t="s">
        <v>2431</v>
      </c>
    </row>
    <row r="30" spans="1:19" s="320" customFormat="1" x14ac:dyDescent="0.3"/>
    <row r="31" spans="1:19" s="12" customFormat="1" ht="13.8" x14ac:dyDescent="0.25"/>
    <row r="32" spans="1:19" x14ac:dyDescent="0.3">
      <c r="H32" s="211" t="s">
        <v>176</v>
      </c>
    </row>
    <row r="33" spans="1:7" x14ac:dyDescent="0.3">
      <c r="A33" s="320" t="s">
        <v>2258</v>
      </c>
    </row>
    <row r="34" spans="1:7" x14ac:dyDescent="0.3">
      <c r="A34" s="214" t="s">
        <v>944</v>
      </c>
      <c r="B34" s="227">
        <f>B6/B$13</f>
        <v>1.3557483731019523E-2</v>
      </c>
      <c r="C34" s="227">
        <f>C6/C$13</f>
        <v>7.1973526978582586E-2</v>
      </c>
      <c r="D34" s="227">
        <f t="shared" ref="D34:G34" si="8">D6/D$13</f>
        <v>-0.15348965898872519</v>
      </c>
      <c r="E34" s="227">
        <f t="shared" si="8"/>
        <v>7.7942766114809131E-2</v>
      </c>
      <c r="F34" s="227">
        <f t="shared" si="8"/>
        <v>6.6943196220762766E-2</v>
      </c>
      <c r="G34" s="227">
        <f t="shared" si="8"/>
        <v>0.1022294725394236</v>
      </c>
    </row>
    <row r="35" spans="1:7" x14ac:dyDescent="0.3">
      <c r="A35" s="214" t="s">
        <v>945</v>
      </c>
      <c r="B35" s="227">
        <f t="shared" ref="B35:C41" si="9">B7/B$13</f>
        <v>0.2306858001001168</v>
      </c>
      <c r="C35" s="227">
        <f t="shared" si="9"/>
        <v>0.20930232558139536</v>
      </c>
      <c r="D35" s="227">
        <f t="shared" ref="D35:G35" si="10">D7/D$13</f>
        <v>0.27094141246455006</v>
      </c>
      <c r="E35" s="227">
        <f t="shared" si="10"/>
        <v>0.20686123911930362</v>
      </c>
      <c r="F35" s="227">
        <f t="shared" si="10"/>
        <v>0.21459845604332298</v>
      </c>
      <c r="G35" s="227">
        <f t="shared" si="10"/>
        <v>0.21400519606066098</v>
      </c>
    </row>
    <row r="36" spans="1:7" ht="18.600000000000001" x14ac:dyDescent="0.3">
      <c r="A36" s="214" t="s">
        <v>2095</v>
      </c>
      <c r="B36" s="227">
        <f t="shared" si="9"/>
        <v>0.22864174870682463</v>
      </c>
      <c r="C36" s="227">
        <f t="shared" si="9"/>
        <v>0.23986579648864786</v>
      </c>
      <c r="D36" s="227">
        <f t="shared" ref="D36:G36" si="11">D8/D$13</f>
        <v>0.27384657951165525</v>
      </c>
      <c r="E36" s="227">
        <f t="shared" si="11"/>
        <v>0.20304943960857941</v>
      </c>
      <c r="F36" s="227">
        <f t="shared" si="11"/>
        <v>0.24472865537504321</v>
      </c>
      <c r="G36" s="227">
        <f t="shared" si="11"/>
        <v>0.23376231043441484</v>
      </c>
    </row>
    <row r="37" spans="1:7" x14ac:dyDescent="0.3">
      <c r="A37" s="214" t="s">
        <v>946</v>
      </c>
      <c r="B37" s="227">
        <f t="shared" si="9"/>
        <v>0.11847155014183214</v>
      </c>
      <c r="C37" s="227">
        <f t="shared" si="9"/>
        <v>0.12046143947053957</v>
      </c>
      <c r="D37" s="227">
        <f t="shared" ref="D37:G37" si="12">D9/D$13</f>
        <v>0.1440824514076226</v>
      </c>
      <c r="E37" s="227">
        <f t="shared" si="12"/>
        <v>0.13011321613472152</v>
      </c>
      <c r="F37" s="227">
        <f t="shared" si="12"/>
        <v>0.12282521027768176</v>
      </c>
      <c r="G37" s="227">
        <f t="shared" si="12"/>
        <v>0.11370914144160474</v>
      </c>
    </row>
    <row r="38" spans="1:7" ht="18.600000000000001" x14ac:dyDescent="0.3">
      <c r="A38" s="214" t="s">
        <v>2023</v>
      </c>
      <c r="B38" s="227">
        <f t="shared" si="9"/>
        <v>0.39095611546804604</v>
      </c>
      <c r="C38" s="227">
        <f t="shared" si="9"/>
        <v>0.43037043845941725</v>
      </c>
      <c r="D38" s="227">
        <f t="shared" ref="D38:G38" si="13">D10/D$13</f>
        <v>0.42941135781974132</v>
      </c>
      <c r="E38" s="227">
        <f t="shared" si="13"/>
        <v>0.32036183649086875</v>
      </c>
      <c r="F38" s="227">
        <f t="shared" si="13"/>
        <v>0.26978914621500172</v>
      </c>
      <c r="G38" s="227">
        <f t="shared" si="13"/>
        <v>0.26995347713129114</v>
      </c>
    </row>
    <row r="39" spans="1:7" x14ac:dyDescent="0.3">
      <c r="A39" s="214" t="s">
        <v>2019</v>
      </c>
      <c r="B39" s="227"/>
      <c r="C39" s="227"/>
      <c r="D39" s="227">
        <f t="shared" ref="D39:G39" si="14">D11/D$13</f>
        <v>9.2342809711558421E-2</v>
      </c>
      <c r="E39" s="227">
        <f t="shared" si="14"/>
        <v>8.1185640325425273E-2</v>
      </c>
      <c r="F39" s="227">
        <f t="shared" si="14"/>
        <v>7.9387026155086998E-2</v>
      </c>
      <c r="G39" s="227">
        <f t="shared" si="14"/>
        <v>7.510120234426923E-2</v>
      </c>
    </row>
    <row r="40" spans="1:7" x14ac:dyDescent="0.3">
      <c r="A40" s="214" t="s">
        <v>15</v>
      </c>
      <c r="B40" s="227">
        <f t="shared" si="9"/>
        <v>1.7687301852160855E-2</v>
      </c>
      <c r="C40" s="227">
        <f t="shared" si="9"/>
        <v>-7.1973526978582586E-2</v>
      </c>
      <c r="D40" s="227">
        <f t="shared" ref="D40:G40" si="15">D12/D$13</f>
        <v>-5.7134951926402437E-2</v>
      </c>
      <c r="E40" s="227">
        <f t="shared" si="15"/>
        <v>-1.9514137793707687E-2</v>
      </c>
      <c r="F40" s="227">
        <f t="shared" si="15"/>
        <v>1.7283097131005876E-3</v>
      </c>
      <c r="G40" s="227">
        <f t="shared" si="15"/>
        <v>-8.7607999516645524E-3</v>
      </c>
    </row>
    <row r="41" spans="1:7" x14ac:dyDescent="0.3">
      <c r="A41" s="214" t="s">
        <v>2020</v>
      </c>
      <c r="B41" s="228">
        <f t="shared" si="9"/>
        <v>1</v>
      </c>
      <c r="C41" s="228">
        <f t="shared" si="9"/>
        <v>1</v>
      </c>
      <c r="D41" s="228">
        <f t="shared" ref="D41:G41" si="16">D13/D$13</f>
        <v>1</v>
      </c>
      <c r="E41" s="228">
        <f t="shared" si="16"/>
        <v>1</v>
      </c>
      <c r="F41" s="228">
        <f t="shared" si="16"/>
        <v>1</v>
      </c>
      <c r="G41" s="228">
        <f t="shared" si="16"/>
        <v>1</v>
      </c>
    </row>
    <row r="44" spans="1:7" x14ac:dyDescent="0.3">
      <c r="A44" s="211" t="s">
        <v>2374</v>
      </c>
      <c r="B44" s="227">
        <f>B13/C13-1</f>
        <v>0.1017556760731686</v>
      </c>
      <c r="C44" s="227">
        <f t="shared" ref="C44:G44" si="17">C13/D13-1</f>
        <v>0.50501487168845549</v>
      </c>
      <c r="D44" s="227">
        <f t="shared" si="17"/>
        <v>-0.1775046936337259</v>
      </c>
      <c r="E44" s="227">
        <f t="shared" si="17"/>
        <v>1.2616660905634181E-2</v>
      </c>
      <c r="F44" s="227">
        <f t="shared" si="17"/>
        <v>4.8758383179264175E-2</v>
      </c>
      <c r="G44" s="227">
        <f t="shared" si="17"/>
        <v>9.3269040227227595E-2</v>
      </c>
    </row>
    <row r="47" spans="1:7" x14ac:dyDescent="0.3">
      <c r="A47" s="211" t="s">
        <v>2375</v>
      </c>
      <c r="B47" s="1224">
        <f>B13</f>
        <v>23972</v>
      </c>
      <c r="C47" s="1224">
        <f>C13</f>
        <v>21758</v>
      </c>
    </row>
    <row r="48" spans="1:7" x14ac:dyDescent="0.3">
      <c r="A48" s="211" t="s">
        <v>2378</v>
      </c>
      <c r="B48" s="1849"/>
      <c r="C48" s="1849">
        <f>2700+323</f>
        <v>3023</v>
      </c>
      <c r="D48" s="211" t="s">
        <v>2379</v>
      </c>
    </row>
    <row r="49" spans="2:3" x14ac:dyDescent="0.3">
      <c r="B49" s="1224">
        <f>B47</f>
        <v>23972</v>
      </c>
      <c r="C49" s="1224">
        <f>SUM(C47:C48)</f>
        <v>24781</v>
      </c>
    </row>
    <row r="50" spans="2:3" x14ac:dyDescent="0.3">
      <c r="B50" s="227">
        <f>B49/C49-1</f>
        <v>-3.2645978774060724E-2</v>
      </c>
    </row>
  </sheetData>
  <mergeCells count="2">
    <mergeCell ref="B11:C11"/>
    <mergeCell ref="A26:G26"/>
  </mergeCells>
  <pageMargins left="0.7" right="0.7" top="0.75" bottom="0.75" header="0.3" footer="0.3"/>
  <pageSetup orientation="portrait" horizontalDpi="1200" verticalDpi="1200" r:id="rId1"/>
  <ignoredErrors>
    <ignoredError sqref="C13:Q13 S6:S12" formulaRange="1"/>
    <ignoredError sqref="D17" formula="1"/>
  </ignoredError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55E12-B6BB-475B-8EEC-9FC2C62CA2C0}">
  <sheetPr>
    <tabColor theme="4"/>
  </sheetPr>
  <dimension ref="A1:M36"/>
  <sheetViews>
    <sheetView showGridLines="0" zoomScale="85" zoomScaleNormal="85" workbookViewId="0">
      <selection activeCell="Q36" sqref="Q36"/>
    </sheetView>
  </sheetViews>
  <sheetFormatPr defaultColWidth="9.109375" defaultRowHeight="15.6" x14ac:dyDescent="0.3"/>
  <cols>
    <col min="1" max="1" width="48" style="211" customWidth="1"/>
    <col min="2" max="3" width="12.6640625" style="211" customWidth="1"/>
    <col min="4" max="4" width="1.88671875" style="211" customWidth="1"/>
    <col min="5" max="6" width="12.21875" style="211" customWidth="1"/>
    <col min="7" max="16384" width="9.109375" style="211"/>
  </cols>
  <sheetData>
    <row r="1" spans="1:8" x14ac:dyDescent="0.3">
      <c r="A1" s="459" t="s">
        <v>2240</v>
      </c>
      <c r="B1" s="459"/>
    </row>
    <row r="2" spans="1:8" x14ac:dyDescent="0.3">
      <c r="A2" s="152" t="s">
        <v>1698</v>
      </c>
      <c r="B2" s="152"/>
    </row>
    <row r="3" spans="1:8" ht="5.4" customHeight="1" thickBot="1" x14ac:dyDescent="0.35"/>
    <row r="4" spans="1:8" x14ac:dyDescent="0.3">
      <c r="A4" s="453"/>
      <c r="B4" s="2594" t="s">
        <v>3363</v>
      </c>
      <c r="C4" s="2594"/>
      <c r="D4" s="522"/>
      <c r="E4" s="2594" t="s">
        <v>3365</v>
      </c>
      <c r="F4" s="2595"/>
    </row>
    <row r="5" spans="1:8" x14ac:dyDescent="0.3">
      <c r="A5" s="221" t="s">
        <v>3190</v>
      </c>
      <c r="B5" s="1067">
        <v>2015</v>
      </c>
      <c r="C5" s="1067">
        <v>2014</v>
      </c>
      <c r="D5" s="220"/>
      <c r="E5" s="1067">
        <v>2015</v>
      </c>
      <c r="F5" s="1470">
        <v>2014</v>
      </c>
    </row>
    <row r="6" spans="1:8" x14ac:dyDescent="0.3">
      <c r="A6" s="214" t="s">
        <v>3366</v>
      </c>
      <c r="B6" s="1160">
        <v>159794</v>
      </c>
      <c r="C6" s="1160">
        <v>140123</v>
      </c>
      <c r="D6" s="220"/>
      <c r="E6" s="1160">
        <v>159794</v>
      </c>
      <c r="F6" s="1161">
        <v>140123</v>
      </c>
    </row>
    <row r="7" spans="1:8" x14ac:dyDescent="0.3">
      <c r="A7" s="282" t="s">
        <v>1048</v>
      </c>
      <c r="B7" s="1319">
        <f>12304</f>
        <v>12304</v>
      </c>
      <c r="C7" s="1319">
        <f>10847+C34</f>
        <v>12470.948739705</v>
      </c>
      <c r="D7" s="220"/>
      <c r="E7" s="1319">
        <f>12304-1118</f>
        <v>11186</v>
      </c>
      <c r="F7" s="1320">
        <v>10847</v>
      </c>
    </row>
    <row r="8" spans="1:8" ht="31.2" x14ac:dyDescent="0.3">
      <c r="A8" s="282" t="s">
        <v>1693</v>
      </c>
      <c r="B8" s="1321">
        <f>B6+(10*B7)</f>
        <v>282834</v>
      </c>
      <c r="C8" s="1321">
        <f>C6+(10*C7)</f>
        <v>264832.48739705002</v>
      </c>
      <c r="D8" s="220"/>
      <c r="E8" s="1321">
        <f>E6+(10*E7)</f>
        <v>271654</v>
      </c>
      <c r="F8" s="1318">
        <f>F6+(10*F7)</f>
        <v>248593</v>
      </c>
      <c r="H8" s="227">
        <f>B8/E8-1</f>
        <v>4.1155293130231918E-2</v>
      </c>
    </row>
    <row r="9" spans="1:8" ht="4.5" customHeight="1" x14ac:dyDescent="0.3">
      <c r="A9" s="214"/>
      <c r="B9" s="460"/>
      <c r="C9" s="460"/>
      <c r="D9" s="220"/>
      <c r="E9" s="460"/>
      <c r="F9" s="461"/>
    </row>
    <row r="10" spans="1:8" ht="4.5" customHeight="1" x14ac:dyDescent="0.3">
      <c r="A10" s="1155"/>
      <c r="B10" s="1653"/>
      <c r="C10" s="1653"/>
      <c r="D10" s="1653"/>
      <c r="E10" s="1653"/>
      <c r="F10" s="1324"/>
    </row>
    <row r="11" spans="1:8" ht="4.5" customHeight="1" x14ac:dyDescent="0.3">
      <c r="A11" s="214"/>
      <c r="B11" s="460"/>
      <c r="C11" s="460"/>
      <c r="D11" s="220"/>
      <c r="E11" s="460"/>
      <c r="F11" s="461"/>
    </row>
    <row r="12" spans="1:8" x14ac:dyDescent="0.3">
      <c r="A12" s="214" t="s">
        <v>927</v>
      </c>
      <c r="B12" s="1321">
        <v>197800</v>
      </c>
      <c r="C12" s="1321">
        <v>226000</v>
      </c>
      <c r="D12" s="220"/>
      <c r="E12" s="1321">
        <v>197800</v>
      </c>
      <c r="F12" s="1318">
        <v>226000</v>
      </c>
    </row>
    <row r="13" spans="1:8" x14ac:dyDescent="0.3">
      <c r="A13" s="214" t="s">
        <v>1691</v>
      </c>
      <c r="B13" s="1321">
        <v>155501</v>
      </c>
      <c r="C13" s="1321">
        <v>146186</v>
      </c>
      <c r="D13" s="220"/>
      <c r="E13" s="1321">
        <v>155501</v>
      </c>
      <c r="F13" s="1318">
        <v>146186</v>
      </c>
    </row>
    <row r="14" spans="1:8" ht="4.5" customHeight="1" x14ac:dyDescent="0.3">
      <c r="A14" s="214"/>
      <c r="B14" s="460"/>
      <c r="C14" s="460"/>
      <c r="D14" s="220"/>
      <c r="E14" s="460"/>
      <c r="F14" s="461"/>
    </row>
    <row r="15" spans="1:8" ht="4.5" customHeight="1" x14ac:dyDescent="0.3">
      <c r="A15" s="1155"/>
      <c r="B15" s="1653"/>
      <c r="C15" s="1653"/>
      <c r="D15" s="1653"/>
      <c r="E15" s="1653"/>
      <c r="F15" s="1324"/>
    </row>
    <row r="16" spans="1:8" ht="4.5" customHeight="1" x14ac:dyDescent="0.3">
      <c r="A16" s="214"/>
      <c r="B16" s="460"/>
      <c r="C16" s="460"/>
      <c r="D16" s="220"/>
      <c r="E16" s="460"/>
      <c r="F16" s="461"/>
    </row>
    <row r="17" spans="1:13" x14ac:dyDescent="0.3">
      <c r="A17" s="214" t="s">
        <v>1694</v>
      </c>
      <c r="B17" s="2711">
        <f>B12/B8</f>
        <v>0.69935014885056257</v>
      </c>
      <c r="C17" s="2711">
        <f>C12/C8</f>
        <v>0.85336962327121735</v>
      </c>
      <c r="D17" s="2758"/>
      <c r="E17" s="2711">
        <f>E12/E8</f>
        <v>0.72813210922717864</v>
      </c>
      <c r="F17" s="2709">
        <f>F12/F8</f>
        <v>0.90911650770536578</v>
      </c>
    </row>
    <row r="18" spans="1:13" x14ac:dyDescent="0.3">
      <c r="A18" s="214" t="s">
        <v>1695</v>
      </c>
      <c r="B18" s="2711">
        <f>B12/B13</f>
        <v>1.2720175432955414</v>
      </c>
      <c r="C18" s="2711">
        <f>C12/C13</f>
        <v>1.5459756748252227</v>
      </c>
      <c r="D18" s="2758"/>
      <c r="E18" s="2711">
        <f>E12/E13</f>
        <v>1.2720175432955414</v>
      </c>
      <c r="F18" s="2709">
        <f>F12/F13</f>
        <v>1.5459756748252227</v>
      </c>
    </row>
    <row r="19" spans="1:13" x14ac:dyDescent="0.3">
      <c r="A19" s="214" t="s">
        <v>1696</v>
      </c>
      <c r="B19" s="2711">
        <f>B8/B13</f>
        <v>1.8188564703763963</v>
      </c>
      <c r="C19" s="2711">
        <f>C8/C13</f>
        <v>1.8116132009703394</v>
      </c>
      <c r="D19" s="2758"/>
      <c r="E19" s="2711">
        <f>E8/E13</f>
        <v>1.7469598266249091</v>
      </c>
      <c r="F19" s="2709">
        <f>F8/F13</f>
        <v>1.7005253581054274</v>
      </c>
    </row>
    <row r="20" spans="1:13" ht="4.5" customHeight="1" x14ac:dyDescent="0.3">
      <c r="A20" s="214"/>
      <c r="B20" s="460"/>
      <c r="C20" s="460"/>
      <c r="D20" s="220"/>
      <c r="E20" s="460"/>
      <c r="F20" s="461"/>
    </row>
    <row r="21" spans="1:13" ht="4.5" customHeight="1" x14ac:dyDescent="0.3">
      <c r="A21" s="1155"/>
      <c r="B21" s="1653"/>
      <c r="C21" s="1653"/>
      <c r="D21" s="1653"/>
      <c r="E21" s="1653"/>
      <c r="F21" s="1324"/>
    </row>
    <row r="22" spans="1:13" ht="4.5" customHeight="1" x14ac:dyDescent="0.3">
      <c r="A22" s="214"/>
      <c r="B22" s="460"/>
      <c r="C22" s="460"/>
      <c r="D22" s="220"/>
      <c r="E22" s="460"/>
      <c r="F22" s="461"/>
    </row>
    <row r="23" spans="1:13" x14ac:dyDescent="0.3">
      <c r="A23" s="214" t="s">
        <v>937</v>
      </c>
      <c r="B23" s="1793">
        <f>B8/C8-1</f>
        <v>6.7973203665006698E-2</v>
      </c>
      <c r="C23" s="2591"/>
      <c r="D23" s="1792"/>
      <c r="E23" s="1793">
        <f>E8/F8-1</f>
        <v>9.2766087540678832E-2</v>
      </c>
      <c r="F23" s="1324"/>
      <c r="H23" s="211" t="s">
        <v>176</v>
      </c>
    </row>
    <row r="24" spans="1:13" ht="16.2" thickBot="1" x14ac:dyDescent="0.35">
      <c r="A24" s="224" t="s">
        <v>928</v>
      </c>
      <c r="B24" s="1795">
        <f>B12/C12-1</f>
        <v>-0.12477876106194685</v>
      </c>
      <c r="C24" s="2592"/>
      <c r="D24" s="2561"/>
      <c r="E24" s="1795">
        <f>E12/F12-1</f>
        <v>-0.12477876106194685</v>
      </c>
      <c r="F24" s="2593"/>
    </row>
    <row r="25" spans="1:13" ht="15.6" customHeight="1" x14ac:dyDescent="0.3">
      <c r="A25" s="2811" t="s">
        <v>3364</v>
      </c>
      <c r="B25" s="2811"/>
      <c r="C25" s="2811"/>
      <c r="D25" s="2811"/>
      <c r="E25" s="2811"/>
      <c r="F25" s="2811"/>
    </row>
    <row r="26" spans="1:13" x14ac:dyDescent="0.3">
      <c r="A26" s="904"/>
      <c r="B26" s="904"/>
      <c r="C26" s="904"/>
    </row>
    <row r="27" spans="1:13" x14ac:dyDescent="0.3">
      <c r="E27" s="211" t="s">
        <v>176</v>
      </c>
      <c r="M27" s="211" t="s">
        <v>176</v>
      </c>
    </row>
    <row r="29" spans="1:13" x14ac:dyDescent="0.3">
      <c r="A29" s="211" t="s">
        <v>3362</v>
      </c>
      <c r="B29" s="211">
        <f>460+132+421+824</f>
        <v>1837</v>
      </c>
      <c r="C29" s="211">
        <f>1159+277+606+626</f>
        <v>2668</v>
      </c>
    </row>
    <row r="30" spans="1:13" x14ac:dyDescent="0.3">
      <c r="A30" s="211" t="s">
        <v>955</v>
      </c>
    </row>
    <row r="31" spans="1:13" x14ac:dyDescent="0.3">
      <c r="A31" s="211" t="s">
        <v>453</v>
      </c>
    </row>
    <row r="32" spans="1:13" x14ac:dyDescent="0.3">
      <c r="A32" s="211" t="s">
        <v>1258</v>
      </c>
      <c r="B32" s="211">
        <v>1643393</v>
      </c>
      <c r="C32" s="211">
        <v>1642909</v>
      </c>
    </row>
    <row r="34" spans="1:3" x14ac:dyDescent="0.3">
      <c r="A34" s="211" t="s">
        <v>3361</v>
      </c>
      <c r="B34" s="230">
        <f>B29*1000000/B32</f>
        <v>1117.809312805884</v>
      </c>
      <c r="C34" s="230">
        <f>C29*1000000/C32</f>
        <v>1623.9487397049988</v>
      </c>
    </row>
    <row r="35" spans="1:3" x14ac:dyDescent="0.3">
      <c r="A35" s="211" t="s">
        <v>3360</v>
      </c>
      <c r="B35" s="230"/>
      <c r="C35" s="230"/>
    </row>
    <row r="36" spans="1:3" x14ac:dyDescent="0.3">
      <c r="A36" s="211" t="s">
        <v>3</v>
      </c>
      <c r="B36" s="278"/>
      <c r="C36" s="278"/>
    </row>
  </sheetData>
  <mergeCells count="1">
    <mergeCell ref="A25:F25"/>
  </mergeCell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101D-9A76-4DD0-8571-288D6AB2BD29}">
  <sheetPr>
    <tabColor theme="4"/>
  </sheetPr>
  <dimension ref="A1:L24"/>
  <sheetViews>
    <sheetView showGridLines="0" workbookViewId="0">
      <selection activeCell="Q23" sqref="Q23"/>
    </sheetView>
  </sheetViews>
  <sheetFormatPr defaultColWidth="9.109375" defaultRowHeight="15.6" x14ac:dyDescent="0.3"/>
  <cols>
    <col min="1" max="1" width="38.21875" style="211" customWidth="1"/>
    <col min="2" max="2" width="10" style="211" customWidth="1"/>
    <col min="3" max="3" width="1.6640625" style="211" customWidth="1"/>
    <col min="4" max="4" width="9.109375" style="211"/>
    <col min="5" max="5" width="1.6640625" style="211" customWidth="1"/>
    <col min="6" max="6" width="9.88671875" style="211" bestFit="1" customWidth="1"/>
    <col min="7" max="16384" width="9.109375" style="211"/>
  </cols>
  <sheetData>
    <row r="1" spans="1:6" x14ac:dyDescent="0.3">
      <c r="A1" s="459" t="s">
        <v>2240</v>
      </c>
    </row>
    <row r="2" spans="1:6" x14ac:dyDescent="0.3">
      <c r="A2" s="152" t="s">
        <v>2259</v>
      </c>
    </row>
    <row r="3" spans="1:6" ht="8.25" customHeight="1" thickBot="1" x14ac:dyDescent="0.35"/>
    <row r="4" spans="1:6" x14ac:dyDescent="0.3">
      <c r="A4" s="212" t="s">
        <v>1250</v>
      </c>
      <c r="B4" s="712">
        <v>2015</v>
      </c>
      <c r="C4" s="712"/>
      <c r="D4" s="712">
        <v>2014</v>
      </c>
      <c r="E4" s="712"/>
      <c r="F4" s="713" t="s">
        <v>1290</v>
      </c>
    </row>
    <row r="5" spans="1:6" x14ac:dyDescent="0.3">
      <c r="A5" s="214" t="s">
        <v>2260</v>
      </c>
      <c r="B5" s="2759">
        <v>2994</v>
      </c>
      <c r="C5" s="2759"/>
      <c r="D5" s="2759">
        <v>3159</v>
      </c>
      <c r="E5" s="2168"/>
      <c r="F5" s="2625">
        <f>B5/D5-1</f>
        <v>-5.2231718898385515E-2</v>
      </c>
    </row>
    <row r="6" spans="1:6" x14ac:dyDescent="0.3">
      <c r="A6" s="214" t="s">
        <v>2261</v>
      </c>
      <c r="B6" s="2761">
        <v>1167</v>
      </c>
      <c r="C6" s="2761"/>
      <c r="D6" s="2761">
        <v>896</v>
      </c>
      <c r="E6" s="1622"/>
      <c r="F6" s="2625">
        <f>B6/D6-1</f>
        <v>0.30245535714285721</v>
      </c>
    </row>
    <row r="7" spans="1:6" x14ac:dyDescent="0.3">
      <c r="A7" s="214" t="s">
        <v>2262</v>
      </c>
      <c r="B7" s="2761">
        <v>732</v>
      </c>
      <c r="C7" s="2761"/>
      <c r="D7" s="2761">
        <v>756</v>
      </c>
      <c r="E7" s="1622"/>
      <c r="F7" s="2625">
        <f>B7/D7-1</f>
        <v>-3.1746031746031744E-2</v>
      </c>
    </row>
    <row r="8" spans="1:6" x14ac:dyDescent="0.3">
      <c r="A8" s="214" t="s">
        <v>2263</v>
      </c>
      <c r="B8" s="2762">
        <f>SUM(B5:B7)</f>
        <v>4893</v>
      </c>
      <c r="C8" s="2761"/>
      <c r="D8" s="2762">
        <f>SUM(D5:D7)</f>
        <v>4811</v>
      </c>
      <c r="E8" s="1622"/>
      <c r="F8" s="2624">
        <f>B8/D8-1</f>
        <v>1.7044273539804644E-2</v>
      </c>
    </row>
    <row r="9" spans="1:6" x14ac:dyDescent="0.3">
      <c r="A9" s="214"/>
      <c r="B9" s="2761"/>
      <c r="C9" s="2761"/>
      <c r="D9" s="2761"/>
      <c r="E9" s="1622"/>
      <c r="F9" s="2623"/>
    </row>
    <row r="10" spans="1:6" x14ac:dyDescent="0.3">
      <c r="A10" s="214" t="s">
        <v>2264</v>
      </c>
      <c r="B10" s="2761">
        <v>1156</v>
      </c>
      <c r="C10" s="2761"/>
      <c r="D10" s="2761">
        <v>1202</v>
      </c>
      <c r="E10" s="1622"/>
      <c r="F10" s="2625">
        <f>B10/D10-1</f>
        <v>-3.8269550748752046E-2</v>
      </c>
    </row>
    <row r="11" spans="1:6" x14ac:dyDescent="0.3">
      <c r="A11" s="214" t="s">
        <v>2265</v>
      </c>
      <c r="B11" s="2761">
        <v>564</v>
      </c>
      <c r="C11" s="2761"/>
      <c r="D11" s="2761">
        <v>344</v>
      </c>
      <c r="E11" s="1622"/>
      <c r="F11" s="2625">
        <f>B11/D11-1</f>
        <v>0.63953488372093026</v>
      </c>
    </row>
    <row r="12" spans="1:6" x14ac:dyDescent="0.3">
      <c r="A12" s="214" t="s">
        <v>1075</v>
      </c>
      <c r="B12" s="2761">
        <v>502</v>
      </c>
      <c r="C12" s="2761"/>
      <c r="D12" s="2761">
        <v>435</v>
      </c>
      <c r="E12" s="1622"/>
      <c r="F12" s="2625">
        <f>B12/D12-1</f>
        <v>0.15402298850574714</v>
      </c>
    </row>
    <row r="13" spans="1:6" x14ac:dyDescent="0.3">
      <c r="A13" s="214" t="s">
        <v>2266</v>
      </c>
      <c r="B13" s="2762">
        <f>SUM(B10:B12)</f>
        <v>2222</v>
      </c>
      <c r="C13" s="2761"/>
      <c r="D13" s="2762">
        <f>SUM(D10:D12)</f>
        <v>1981</v>
      </c>
      <c r="E13" s="1622"/>
      <c r="F13" s="2624">
        <f>B13/D13-1</f>
        <v>0.12165572942958103</v>
      </c>
    </row>
    <row r="14" spans="1:6" x14ac:dyDescent="0.3">
      <c r="A14" s="214"/>
      <c r="B14" s="2761"/>
      <c r="C14" s="2761"/>
      <c r="D14" s="2761"/>
      <c r="F14" s="2623"/>
    </row>
    <row r="15" spans="1:6" x14ac:dyDescent="0.3">
      <c r="A15" s="214" t="s">
        <v>2217</v>
      </c>
      <c r="B15" s="2762">
        <f>B8+B13</f>
        <v>7115</v>
      </c>
      <c r="C15" s="2761"/>
      <c r="D15" s="2762">
        <f>D8+D13</f>
        <v>6792</v>
      </c>
      <c r="E15" s="2168"/>
      <c r="F15" s="2624">
        <f>B15/D15-1</f>
        <v>4.7555948174322626E-2</v>
      </c>
    </row>
    <row r="16" spans="1:6" x14ac:dyDescent="0.3">
      <c r="A16" s="214" t="s">
        <v>3770</v>
      </c>
      <c r="B16" s="2763">
        <v>-2432</v>
      </c>
      <c r="C16" s="2761"/>
      <c r="D16" s="2763">
        <v>-2324</v>
      </c>
      <c r="E16" s="2168"/>
      <c r="F16" s="2765">
        <f>B16/D16-1</f>
        <v>4.6471600688468229E-2</v>
      </c>
    </row>
    <row r="17" spans="1:12" ht="16.2" thickBot="1" x14ac:dyDescent="0.35">
      <c r="A17" s="214" t="s">
        <v>3771</v>
      </c>
      <c r="B17" s="2764">
        <f>B15+B16</f>
        <v>4683</v>
      </c>
      <c r="C17" s="2760">
        <f t="shared" ref="C17:D17" si="0">C15+C16</f>
        <v>0</v>
      </c>
      <c r="D17" s="2764">
        <f t="shared" si="0"/>
        <v>4468</v>
      </c>
      <c r="E17" s="2168"/>
      <c r="F17" s="2625">
        <f>B17/D17-1</f>
        <v>4.8119964189794029E-2</v>
      </c>
    </row>
    <row r="18" spans="1:12" ht="9" customHeight="1" thickTop="1" thickBot="1" x14ac:dyDescent="0.35">
      <c r="A18" s="224"/>
      <c r="B18" s="520"/>
      <c r="C18" s="520"/>
      <c r="D18" s="520"/>
      <c r="E18" s="520"/>
      <c r="F18" s="2596"/>
    </row>
    <row r="19" spans="1:12" x14ac:dyDescent="0.3">
      <c r="A19" s="2805" t="s">
        <v>3367</v>
      </c>
      <c r="B19" s="2805"/>
      <c r="C19" s="2805"/>
      <c r="D19" s="2805"/>
      <c r="E19" s="2805"/>
      <c r="F19" s="2805"/>
    </row>
    <row r="20" spans="1:12" x14ac:dyDescent="0.3">
      <c r="A20" s="2805"/>
      <c r="B20" s="2805"/>
      <c r="C20" s="2805"/>
      <c r="D20" s="2805"/>
      <c r="E20" s="2805"/>
      <c r="F20" s="2805"/>
    </row>
    <row r="23" spans="1:12" x14ac:dyDescent="0.3">
      <c r="L23" s="211" t="s">
        <v>176</v>
      </c>
    </row>
    <row r="24" spans="1:12" x14ac:dyDescent="0.3">
      <c r="B24" s="211" t="s">
        <v>176</v>
      </c>
      <c r="D24" s="211" t="s">
        <v>176</v>
      </c>
    </row>
  </sheetData>
  <mergeCells count="1">
    <mergeCell ref="A19:F20"/>
  </mergeCells>
  <pageMargins left="0.7" right="0.7" top="0.75" bottom="0.75" header="0.3" footer="0.3"/>
  <ignoredErrors>
    <ignoredError sqref="B8:D8" formulaRange="1"/>
  </ignoredError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D71D5-068C-4B5A-9742-0CE256BD6EF8}">
  <sheetPr>
    <tabColor theme="4"/>
  </sheetPr>
  <dimension ref="A1:S85"/>
  <sheetViews>
    <sheetView showGridLines="0" zoomScaleNormal="100" workbookViewId="0">
      <selection activeCell="K37" sqref="K37"/>
    </sheetView>
  </sheetViews>
  <sheetFormatPr defaultColWidth="9.109375" defaultRowHeight="15.6" outlineLevelRow="1" x14ac:dyDescent="0.3"/>
  <cols>
    <col min="1" max="1" width="43.44140625" style="211" customWidth="1"/>
    <col min="2" max="6" width="9.109375" style="211" bestFit="1" customWidth="1"/>
    <col min="7" max="7" width="7.88671875" style="211" customWidth="1"/>
    <col min="8" max="8" width="35.33203125" style="211" customWidth="1"/>
    <col min="9" max="9" width="11.33203125" style="211" bestFit="1" customWidth="1"/>
    <col min="10" max="10" width="18.88671875" style="211" customWidth="1"/>
    <col min="11" max="11" width="22.44140625" style="211" customWidth="1"/>
    <col min="12" max="12" width="10.109375" style="211" bestFit="1" customWidth="1"/>
    <col min="13" max="15" width="9.109375" style="211"/>
    <col min="16" max="16" width="10.109375" style="211" bestFit="1" customWidth="1"/>
    <col min="17" max="17" width="14" style="211" bestFit="1" customWidth="1"/>
    <col min="18" max="16384" width="9.109375" style="211"/>
  </cols>
  <sheetData>
    <row r="1" spans="1:18" s="309" customFormat="1" x14ac:dyDescent="0.3">
      <c r="A1" s="309" t="s">
        <v>556</v>
      </c>
      <c r="B1" s="309">
        <v>2013</v>
      </c>
      <c r="C1" s="309">
        <v>2013</v>
      </c>
      <c r="D1" s="309">
        <v>2013</v>
      </c>
      <c r="E1" s="309">
        <v>2012</v>
      </c>
      <c r="F1" s="309">
        <v>2011</v>
      </c>
    </row>
    <row r="2" spans="1:18" x14ac:dyDescent="0.3">
      <c r="A2" s="459" t="s">
        <v>2240</v>
      </c>
    </row>
    <row r="3" spans="1:18" x14ac:dyDescent="0.3">
      <c r="A3" s="152" t="s">
        <v>2267</v>
      </c>
    </row>
    <row r="4" spans="1:18" ht="8.25" customHeight="1" thickBot="1" x14ac:dyDescent="0.35"/>
    <row r="5" spans="1:18" ht="16.2" thickBot="1" x14ac:dyDescent="0.35">
      <c r="A5" s="1818" t="s">
        <v>1250</v>
      </c>
      <c r="B5" s="1819">
        <v>2014</v>
      </c>
      <c r="C5" s="1819">
        <v>2013</v>
      </c>
      <c r="D5" s="1819">
        <v>2012</v>
      </c>
      <c r="E5" s="1819">
        <v>2011</v>
      </c>
      <c r="F5" s="1820">
        <v>2010</v>
      </c>
      <c r="H5" s="211" t="s">
        <v>176</v>
      </c>
    </row>
    <row r="6" spans="1:18" ht="16.2" thickBot="1" x14ac:dyDescent="0.35">
      <c r="A6" s="1821" t="s">
        <v>289</v>
      </c>
      <c r="B6" s="1822">
        <v>18205</v>
      </c>
      <c r="C6" s="1822">
        <v>18218</v>
      </c>
      <c r="D6" s="1822">
        <v>18271</v>
      </c>
      <c r="E6" s="1822">
        <v>18576</v>
      </c>
      <c r="F6" s="1823">
        <v>17797</v>
      </c>
      <c r="G6" s="1339"/>
      <c r="H6" s="464"/>
      <c r="K6" s="453" t="s">
        <v>2287</v>
      </c>
      <c r="L6" s="522"/>
      <c r="M6" s="522"/>
      <c r="N6" s="522"/>
      <c r="O6" s="522"/>
      <c r="P6" s="522"/>
      <c r="Q6" s="522"/>
      <c r="R6" s="389"/>
    </row>
    <row r="7" spans="1:18" ht="18.600000000000001" x14ac:dyDescent="0.3">
      <c r="A7" s="734" t="s">
        <v>1737</v>
      </c>
      <c r="B7" s="1341">
        <f>B6/B83</f>
        <v>3.2728089887640448</v>
      </c>
      <c r="C7" s="1341">
        <f>C6/C83</f>
        <v>3.3513612950699043</v>
      </c>
      <c r="D7" s="1341">
        <f>D6/D83</f>
        <v>3.6338504375497216</v>
      </c>
      <c r="E7" s="2766" t="s">
        <v>3651</v>
      </c>
      <c r="F7" s="2767" t="s">
        <v>3651</v>
      </c>
      <c r="G7" s="1341"/>
      <c r="H7" s="453" t="s">
        <v>2282</v>
      </c>
      <c r="I7" s="389"/>
      <c r="K7" s="214" t="s">
        <v>2286</v>
      </c>
      <c r="L7" s="1344">
        <v>4250</v>
      </c>
      <c r="M7" s="220"/>
      <c r="N7" s="220"/>
      <c r="O7" s="220"/>
      <c r="P7" s="220"/>
      <c r="Q7" s="220"/>
      <c r="R7" s="223"/>
    </row>
    <row r="8" spans="1:18" hidden="1" outlineLevel="1" x14ac:dyDescent="0.3">
      <c r="A8" s="734" t="s">
        <v>2269</v>
      </c>
      <c r="B8" s="1341"/>
      <c r="C8" s="1341"/>
      <c r="D8" s="1341"/>
      <c r="E8" s="2768"/>
      <c r="F8" s="2769"/>
      <c r="G8" s="1341"/>
      <c r="H8" s="214"/>
      <c r="I8" s="223"/>
      <c r="K8" s="214"/>
      <c r="L8" s="220"/>
      <c r="M8" s="220"/>
      <c r="N8" s="220"/>
      <c r="O8" s="220"/>
      <c r="P8" s="220"/>
      <c r="Q8" s="220"/>
      <c r="R8" s="223"/>
    </row>
    <row r="9" spans="1:18" hidden="1" outlineLevel="1" x14ac:dyDescent="0.3">
      <c r="A9" s="734" t="s">
        <v>2270</v>
      </c>
      <c r="B9" s="1344">
        <v>656</v>
      </c>
      <c r="C9" s="1344">
        <v>634</v>
      </c>
      <c r="D9" s="1344">
        <v>618</v>
      </c>
      <c r="E9" s="2770">
        <v>629</v>
      </c>
      <c r="F9" s="2771">
        <v>598</v>
      </c>
      <c r="G9" s="1341"/>
      <c r="H9" s="214"/>
      <c r="I9" s="223"/>
      <c r="K9" s="214"/>
      <c r="L9" s="220"/>
      <c r="M9" s="220"/>
      <c r="N9" s="220"/>
      <c r="O9" s="220"/>
      <c r="P9" s="220"/>
      <c r="Q9" s="220"/>
      <c r="R9" s="223"/>
    </row>
    <row r="10" spans="1:18" hidden="1" outlineLevel="1" x14ac:dyDescent="0.3">
      <c r="A10" s="734" t="s">
        <v>2271</v>
      </c>
      <c r="B10" s="1344">
        <v>378</v>
      </c>
      <c r="C10" s="1344">
        <v>329</v>
      </c>
      <c r="D10" s="1344">
        <v>379</v>
      </c>
      <c r="E10" s="2770">
        <v>319</v>
      </c>
      <c r="F10" s="2771">
        <v>268</v>
      </c>
      <c r="G10" s="1341"/>
      <c r="H10" s="214"/>
      <c r="I10" s="223"/>
      <c r="K10" s="214"/>
      <c r="L10" s="220"/>
      <c r="M10" s="220"/>
      <c r="N10" s="220"/>
      <c r="O10" s="220"/>
      <c r="P10" s="220"/>
      <c r="Q10" s="220"/>
      <c r="R10" s="223"/>
    </row>
    <row r="11" spans="1:18" hidden="1" outlineLevel="1" x14ac:dyDescent="0.3">
      <c r="A11" s="734" t="s">
        <v>2272</v>
      </c>
      <c r="B11" s="1344">
        <v>384</v>
      </c>
      <c r="C11" s="1344">
        <v>349</v>
      </c>
      <c r="D11" s="1344">
        <v>260</v>
      </c>
      <c r="E11" s="2770">
        <v>450</v>
      </c>
      <c r="F11" s="2771">
        <v>564</v>
      </c>
      <c r="G11" s="1341"/>
      <c r="H11" s="214"/>
      <c r="I11" s="223"/>
      <c r="K11" s="214"/>
      <c r="L11" s="220"/>
      <c r="M11" s="220"/>
      <c r="N11" s="220"/>
      <c r="O11" s="220"/>
      <c r="P11" s="220"/>
      <c r="Q11" s="220"/>
      <c r="R11" s="223"/>
    </row>
    <row r="12" spans="1:18" hidden="1" outlineLevel="1" x14ac:dyDescent="0.3">
      <c r="A12" s="734" t="s">
        <v>2273</v>
      </c>
      <c r="B12" s="1344">
        <v>611</v>
      </c>
      <c r="C12" s="1344">
        <v>665</v>
      </c>
      <c r="D12" s="1344">
        <v>712</v>
      </c>
      <c r="E12" s="2770"/>
      <c r="F12" s="2771"/>
      <c r="G12" s="1341"/>
      <c r="H12" s="214"/>
      <c r="I12" s="223"/>
      <c r="K12" s="214"/>
      <c r="L12" s="220"/>
      <c r="M12" s="220"/>
      <c r="N12" s="220"/>
      <c r="O12" s="220"/>
      <c r="P12" s="220"/>
      <c r="Q12" s="220"/>
      <c r="R12" s="223"/>
    </row>
    <row r="13" spans="1:18" hidden="1" outlineLevel="1" x14ac:dyDescent="0.3">
      <c r="A13" s="734" t="s">
        <v>2274</v>
      </c>
      <c r="B13" s="1344">
        <v>577</v>
      </c>
      <c r="C13" s="1344">
        <v>529</v>
      </c>
      <c r="D13" s="1344">
        <v>592</v>
      </c>
      <c r="E13" s="2770"/>
      <c r="F13" s="2771"/>
      <c r="G13" s="1341"/>
      <c r="H13" s="214"/>
      <c r="I13" s="223"/>
      <c r="K13" s="214"/>
      <c r="L13" s="220"/>
      <c r="M13" s="220"/>
      <c r="N13" s="220"/>
      <c r="O13" s="220"/>
      <c r="P13" s="220"/>
      <c r="Q13" s="220"/>
      <c r="R13" s="223"/>
    </row>
    <row r="14" spans="1:18" hidden="1" outlineLevel="1" x14ac:dyDescent="0.3">
      <c r="A14" s="734" t="s">
        <v>2275</v>
      </c>
      <c r="B14" s="1344">
        <v>370</v>
      </c>
      <c r="C14" s="1344">
        <v>373</v>
      </c>
      <c r="D14" s="1344">
        <v>301</v>
      </c>
      <c r="E14" s="2770"/>
      <c r="F14" s="2771"/>
      <c r="G14" s="1341"/>
      <c r="H14" s="214"/>
      <c r="I14" s="223"/>
      <c r="K14" s="214"/>
      <c r="L14" s="220"/>
      <c r="M14" s="220"/>
      <c r="N14" s="220"/>
      <c r="O14" s="220"/>
      <c r="P14" s="220"/>
      <c r="Q14" s="220"/>
      <c r="R14" s="223"/>
    </row>
    <row r="15" spans="1:18" hidden="1" outlineLevel="1" x14ac:dyDescent="0.3">
      <c r="A15" s="734" t="s">
        <v>985</v>
      </c>
      <c r="B15" s="1344">
        <v>263</v>
      </c>
      <c r="C15" s="1344">
        <v>227</v>
      </c>
      <c r="D15" s="1344">
        <v>180</v>
      </c>
      <c r="E15" s="2770"/>
      <c r="F15" s="2771"/>
      <c r="G15" s="1341"/>
      <c r="H15" s="214"/>
      <c r="I15" s="223"/>
      <c r="K15" s="214"/>
      <c r="L15" s="220"/>
      <c r="M15" s="220"/>
      <c r="N15" s="220"/>
      <c r="O15" s="220"/>
      <c r="P15" s="220"/>
      <c r="Q15" s="220"/>
      <c r="R15" s="223"/>
    </row>
    <row r="16" spans="1:18" hidden="1" outlineLevel="1" x14ac:dyDescent="0.3">
      <c r="A16" s="734" t="s">
        <v>2276</v>
      </c>
      <c r="B16" s="1344">
        <v>-93</v>
      </c>
      <c r="C16" s="1344">
        <v>-158</v>
      </c>
      <c r="D16" s="1344">
        <v>-80</v>
      </c>
      <c r="E16" s="2770">
        <v>-66</v>
      </c>
      <c r="F16" s="2771">
        <v>-85</v>
      </c>
      <c r="G16" s="1341"/>
      <c r="H16" s="214"/>
      <c r="I16" s="223"/>
      <c r="K16" s="214"/>
      <c r="L16" s="220"/>
      <c r="M16" s="220"/>
      <c r="N16" s="220"/>
      <c r="O16" s="220"/>
      <c r="P16" s="220"/>
      <c r="Q16" s="220"/>
      <c r="R16" s="223"/>
    </row>
    <row r="17" spans="1:18" hidden="1" outlineLevel="1" x14ac:dyDescent="0.3">
      <c r="A17" s="734" t="s">
        <v>2278</v>
      </c>
      <c r="B17" s="1344"/>
      <c r="C17" s="1344"/>
      <c r="D17" s="1344"/>
      <c r="E17" s="2770">
        <v>1316</v>
      </c>
      <c r="F17" s="2771">
        <v>1246</v>
      </c>
      <c r="G17" s="1341"/>
      <c r="H17" s="214"/>
      <c r="I17" s="223"/>
      <c r="K17" s="214"/>
      <c r="L17" s="220"/>
      <c r="M17" s="220"/>
      <c r="N17" s="220"/>
      <c r="O17" s="220"/>
      <c r="P17" s="220"/>
      <c r="Q17" s="220"/>
      <c r="R17" s="223"/>
    </row>
    <row r="18" spans="1:18" hidden="1" outlineLevel="1" x14ac:dyDescent="0.3">
      <c r="A18" s="734" t="s">
        <v>2279</v>
      </c>
      <c r="B18" s="1344"/>
      <c r="C18" s="1344"/>
      <c r="D18" s="1344"/>
      <c r="E18" s="2770">
        <v>484</v>
      </c>
      <c r="F18" s="2771">
        <v>476</v>
      </c>
      <c r="G18" s="1341"/>
      <c r="H18" s="214"/>
      <c r="I18" s="223"/>
      <c r="K18" s="214"/>
      <c r="L18" s="220"/>
      <c r="M18" s="220"/>
      <c r="N18" s="220"/>
      <c r="O18" s="220"/>
      <c r="P18" s="220"/>
      <c r="Q18" s="220"/>
      <c r="R18" s="223"/>
    </row>
    <row r="19" spans="1:18" hidden="1" outlineLevel="1" x14ac:dyDescent="0.3">
      <c r="A19" s="734" t="s">
        <v>2280</v>
      </c>
      <c r="B19" s="1344">
        <v>-79</v>
      </c>
      <c r="C19" s="1344">
        <v>21</v>
      </c>
      <c r="D19" s="1344">
        <v>13</v>
      </c>
      <c r="E19" s="2770">
        <v>-64</v>
      </c>
      <c r="F19" s="2771">
        <v>28</v>
      </c>
      <c r="G19" s="1341"/>
      <c r="H19" s="214"/>
      <c r="I19" s="223"/>
      <c r="K19" s="214"/>
      <c r="L19" s="220"/>
      <c r="M19" s="220"/>
      <c r="N19" s="220"/>
      <c r="O19" s="220"/>
      <c r="P19" s="220"/>
      <c r="Q19" s="220"/>
      <c r="R19" s="223"/>
    </row>
    <row r="20" spans="1:18" hidden="1" outlineLevel="1" x14ac:dyDescent="0.3">
      <c r="A20" s="734" t="s">
        <v>2277</v>
      </c>
      <c r="B20" s="1344">
        <f>SUM(B9:B19)</f>
        <v>3067</v>
      </c>
      <c r="C20" s="1344">
        <f>SUM(C9:C19)</f>
        <v>2969</v>
      </c>
      <c r="D20" s="1344">
        <f>SUM(D9:D19)</f>
        <v>2975</v>
      </c>
      <c r="E20" s="2770">
        <f>SUM(E9:E19)</f>
        <v>3068</v>
      </c>
      <c r="F20" s="2771">
        <f>SUM(F9:F19)</f>
        <v>3095</v>
      </c>
      <c r="G20" s="1380"/>
      <c r="H20" s="214"/>
      <c r="I20" s="223"/>
      <c r="K20" s="214"/>
      <c r="L20" s="220"/>
      <c r="M20" s="220"/>
      <c r="N20" s="220"/>
      <c r="O20" s="220"/>
      <c r="P20" s="220"/>
      <c r="Q20" s="220"/>
      <c r="R20" s="223"/>
    </row>
    <row r="21" spans="1:18" ht="18.600000000000001" collapsed="1" x14ac:dyDescent="0.3">
      <c r="A21" s="734" t="s">
        <v>2306</v>
      </c>
      <c r="B21" s="1824">
        <f>B20/B6</f>
        <v>0.16847020049436967</v>
      </c>
      <c r="C21" s="1824">
        <f t="shared" ref="C21:F21" si="0">C20/C6</f>
        <v>0.16297068833022285</v>
      </c>
      <c r="D21" s="1824">
        <f t="shared" si="0"/>
        <v>0.16282633681790817</v>
      </c>
      <c r="E21" s="2772">
        <f t="shared" si="0"/>
        <v>0.16515934539190352</v>
      </c>
      <c r="F21" s="2773">
        <f t="shared" si="0"/>
        <v>0.17390571444625499</v>
      </c>
      <c r="G21" s="464"/>
      <c r="H21" s="214" t="s">
        <v>95</v>
      </c>
      <c r="I21" s="1695">
        <v>7336</v>
      </c>
      <c r="K21" s="214" t="s">
        <v>2288</v>
      </c>
      <c r="L21" s="1344">
        <v>5260</v>
      </c>
      <c r="M21" s="220"/>
      <c r="N21" s="220"/>
      <c r="O21" s="220"/>
      <c r="P21" s="220"/>
      <c r="Q21" s="220"/>
      <c r="R21" s="223"/>
    </row>
    <row r="22" spans="1:18" x14ac:dyDescent="0.3">
      <c r="A22" s="734" t="s">
        <v>1563</v>
      </c>
      <c r="B22" s="1824">
        <f>B21*B7</f>
        <v>0.55137078651685389</v>
      </c>
      <c r="C22" s="1824">
        <f>C21*C7</f>
        <v>0.54617365710080945</v>
      </c>
      <c r="D22" s="1824">
        <f>D21*D7</f>
        <v>0.59168655529037395</v>
      </c>
      <c r="E22" s="2766" t="s">
        <v>3651</v>
      </c>
      <c r="F22" s="2767" t="s">
        <v>3651</v>
      </c>
      <c r="G22" s="827"/>
      <c r="H22" s="214" t="s">
        <v>2015</v>
      </c>
      <c r="I22" s="1695">
        <f>11+13586</f>
        <v>13597</v>
      </c>
      <c r="K22" s="214" t="s">
        <v>256</v>
      </c>
      <c r="L22" s="1344">
        <f>SUM(L7:L21)</f>
        <v>9510</v>
      </c>
      <c r="M22" s="220"/>
      <c r="N22" s="220"/>
      <c r="O22" s="220"/>
      <c r="P22" s="220"/>
      <c r="Q22" s="220"/>
      <c r="R22" s="223"/>
    </row>
    <row r="23" spans="1:18" ht="4.5" customHeight="1" x14ac:dyDescent="0.3">
      <c r="A23" s="734"/>
      <c r="B23" s="397"/>
      <c r="C23" s="397"/>
      <c r="D23" s="397"/>
      <c r="E23" s="397"/>
      <c r="F23" s="1281"/>
      <c r="G23" s="397"/>
      <c r="H23" s="214"/>
      <c r="I23" s="1695"/>
      <c r="K23" s="214"/>
      <c r="L23" s="1344"/>
      <c r="M23" s="220"/>
      <c r="N23" s="220"/>
      <c r="O23" s="220"/>
      <c r="P23" s="220"/>
      <c r="Q23" s="220"/>
      <c r="R23" s="223"/>
    </row>
    <row r="24" spans="1:18" ht="4.5" customHeight="1" x14ac:dyDescent="0.3">
      <c r="A24" s="734"/>
      <c r="B24" s="397"/>
      <c r="C24" s="397"/>
      <c r="D24" s="397"/>
      <c r="E24" s="397"/>
      <c r="F24" s="1281"/>
      <c r="G24" s="397"/>
      <c r="H24" s="214"/>
      <c r="I24" s="1695"/>
      <c r="K24" s="214"/>
      <c r="L24" s="220"/>
      <c r="M24" s="220"/>
      <c r="N24" s="220"/>
      <c r="O24" s="220"/>
      <c r="P24" s="220"/>
      <c r="Q24" s="220"/>
      <c r="R24" s="223"/>
    </row>
    <row r="25" spans="1:18" ht="4.5" customHeight="1" x14ac:dyDescent="0.3">
      <c r="A25" s="734"/>
      <c r="B25" s="397"/>
      <c r="C25" s="397"/>
      <c r="D25" s="397"/>
      <c r="E25" s="397"/>
      <c r="F25" s="1281"/>
      <c r="G25" s="397"/>
      <c r="H25" s="214"/>
      <c r="I25" s="1695"/>
      <c r="K25" s="214"/>
      <c r="L25" s="220"/>
      <c r="M25" s="220"/>
      <c r="N25" s="220"/>
      <c r="O25" s="220"/>
      <c r="P25" s="220"/>
      <c r="Q25" s="220"/>
      <c r="R25" s="223"/>
    </row>
    <row r="26" spans="1:18" ht="18.600000000000001" x14ac:dyDescent="0.3">
      <c r="A26" s="734" t="s">
        <v>2307</v>
      </c>
      <c r="B26" s="1339">
        <f>0.49*I27</f>
        <v>14333.97</v>
      </c>
      <c r="C26" s="397"/>
      <c r="D26" s="397"/>
      <c r="E26" s="397"/>
      <c r="F26" s="1281"/>
      <c r="G26" s="397"/>
      <c r="H26" s="214" t="s">
        <v>669</v>
      </c>
      <c r="I26" s="1695">
        <v>8320</v>
      </c>
      <c r="K26" s="214" t="s">
        <v>2289</v>
      </c>
      <c r="L26" s="1830">
        <v>0.26800000000000002</v>
      </c>
      <c r="M26" s="220"/>
      <c r="N26" s="220"/>
      <c r="O26" s="220"/>
      <c r="P26" s="220"/>
      <c r="Q26" s="220"/>
      <c r="R26" s="223"/>
    </row>
    <row r="27" spans="1:18" ht="19.2" thickBot="1" x14ac:dyDescent="0.35">
      <c r="A27" s="734" t="s">
        <v>2308</v>
      </c>
      <c r="B27" s="1344">
        <f>5260+4740</f>
        <v>10000</v>
      </c>
      <c r="C27" s="1344"/>
      <c r="D27" s="397"/>
      <c r="E27" s="397"/>
      <c r="F27" s="1281"/>
      <c r="G27" s="397"/>
      <c r="H27" s="224" t="s">
        <v>2283</v>
      </c>
      <c r="I27" s="1835">
        <f>SUM(I21:I26)</f>
        <v>29253</v>
      </c>
      <c r="K27" s="214" t="s">
        <v>2290</v>
      </c>
      <c r="L27" s="1344">
        <f>L22/L26</f>
        <v>35485.074626865673</v>
      </c>
      <c r="M27" s="220"/>
      <c r="N27" s="220"/>
      <c r="O27" s="220"/>
      <c r="P27" s="220"/>
      <c r="Q27" s="220"/>
      <c r="R27" s="223"/>
    </row>
    <row r="28" spans="1:18" x14ac:dyDescent="0.3">
      <c r="A28" s="734" t="s">
        <v>2284</v>
      </c>
      <c r="B28" s="1825">
        <f>B26+B27</f>
        <v>24333.97</v>
      </c>
      <c r="C28" s="1344"/>
      <c r="D28" s="397"/>
      <c r="E28" s="397"/>
      <c r="F28" s="1281"/>
      <c r="G28" s="397"/>
      <c r="H28" s="220"/>
      <c r="I28" s="220"/>
      <c r="K28" s="214"/>
      <c r="L28" s="1344"/>
      <c r="M28" s="220"/>
      <c r="N28" s="220"/>
      <c r="O28" s="220"/>
      <c r="P28" s="220"/>
      <c r="Q28" s="220"/>
      <c r="R28" s="223"/>
    </row>
    <row r="29" spans="1:18" x14ac:dyDescent="0.3">
      <c r="A29" s="734"/>
      <c r="B29" s="397"/>
      <c r="C29" s="397"/>
      <c r="D29" s="397"/>
      <c r="E29" s="397"/>
      <c r="F29" s="1281"/>
      <c r="G29" s="397"/>
      <c r="K29" s="214" t="s">
        <v>2291</v>
      </c>
      <c r="L29" s="1344">
        <f>I26</f>
        <v>8320</v>
      </c>
      <c r="M29" s="220"/>
      <c r="N29" s="220"/>
      <c r="O29" s="220"/>
      <c r="P29" s="220"/>
      <c r="Q29" s="220"/>
      <c r="R29" s="223"/>
    </row>
    <row r="30" spans="1:18" x14ac:dyDescent="0.3">
      <c r="A30" s="734" t="s">
        <v>2285</v>
      </c>
      <c r="B30" s="1339">
        <f>B28/0.51</f>
        <v>47713.666666666672</v>
      </c>
      <c r="C30" s="397"/>
      <c r="D30" s="397"/>
      <c r="E30" s="397"/>
      <c r="F30" s="1281"/>
      <c r="G30" s="397"/>
      <c r="K30" s="214" t="s">
        <v>2292</v>
      </c>
      <c r="L30" s="1344">
        <f>I22</f>
        <v>13597</v>
      </c>
      <c r="M30" s="220"/>
      <c r="N30" s="220" t="s">
        <v>2294</v>
      </c>
      <c r="O30" s="220"/>
      <c r="P30" s="1831"/>
      <c r="Q30" s="521">
        <v>1568</v>
      </c>
      <c r="R30" s="223"/>
    </row>
    <row r="31" spans="1:18" x14ac:dyDescent="0.3">
      <c r="A31" s="734" t="s">
        <v>23</v>
      </c>
      <c r="B31" s="1344">
        <v>9286</v>
      </c>
      <c r="C31" s="1344"/>
      <c r="D31" s="397"/>
      <c r="E31" s="397"/>
      <c r="F31" s="1281"/>
      <c r="G31" s="397"/>
      <c r="K31" s="214" t="s">
        <v>2293</v>
      </c>
      <c r="L31" s="1344">
        <f>9286</f>
        <v>9286</v>
      </c>
      <c r="M31" s="220"/>
      <c r="N31" s="1830" t="s">
        <v>2295</v>
      </c>
      <c r="O31" s="220"/>
      <c r="P31" s="220"/>
      <c r="Q31" s="521">
        <f>B20</f>
        <v>3067</v>
      </c>
      <c r="R31" s="223"/>
    </row>
    <row r="32" spans="1:18" ht="16.2" thickBot="1" x14ac:dyDescent="0.35">
      <c r="A32" s="734" t="s">
        <v>1708</v>
      </c>
      <c r="B32" s="1343">
        <f>B30+B31</f>
        <v>56999.666666666672</v>
      </c>
      <c r="C32" s="1826"/>
      <c r="D32" s="397"/>
      <c r="E32" s="397"/>
      <c r="F32" s="1281"/>
      <c r="G32" s="397"/>
      <c r="K32" s="224" t="s">
        <v>3</v>
      </c>
      <c r="L32" s="1832">
        <f>SUM(L27:L31)</f>
        <v>66688.07462686568</v>
      </c>
      <c r="M32" s="218"/>
      <c r="N32" s="218" t="s">
        <v>2296</v>
      </c>
      <c r="O32" s="218"/>
      <c r="P32" s="1833"/>
      <c r="Q32" s="1834">
        <f>Q30+Q31</f>
        <v>4635</v>
      </c>
      <c r="R32" s="366">
        <f>Q32/L32</f>
        <v>6.9502681340462086E-2</v>
      </c>
    </row>
    <row r="33" spans="1:16" ht="4.5" customHeight="1" x14ac:dyDescent="0.3">
      <c r="A33" s="734"/>
      <c r="B33" s="397"/>
      <c r="C33" s="397"/>
      <c r="D33" s="397"/>
      <c r="E33" s="397"/>
      <c r="F33" s="1281"/>
      <c r="G33" s="397"/>
    </row>
    <row r="34" spans="1:16" ht="4.5" customHeight="1" x14ac:dyDescent="0.3">
      <c r="A34" s="734"/>
      <c r="B34" s="397"/>
      <c r="C34" s="397"/>
      <c r="D34" s="397"/>
      <c r="E34" s="397"/>
      <c r="F34" s="1281"/>
      <c r="G34" s="397"/>
    </row>
    <row r="35" spans="1:16" ht="4.5" customHeight="1" x14ac:dyDescent="0.3">
      <c r="A35" s="734"/>
      <c r="B35" s="397"/>
      <c r="C35" s="397"/>
      <c r="D35" s="397"/>
      <c r="E35" s="397"/>
      <c r="F35" s="1281"/>
      <c r="G35" s="397"/>
    </row>
    <row r="36" spans="1:16" x14ac:dyDescent="0.3">
      <c r="A36" s="734" t="s">
        <v>1705</v>
      </c>
      <c r="B36" s="2361">
        <f>B32/B56</f>
        <v>10.785178177231158</v>
      </c>
      <c r="C36" s="397"/>
      <c r="D36" s="397"/>
      <c r="E36" s="397"/>
      <c r="F36" s="1281"/>
      <c r="G36" s="397"/>
      <c r="L36" s="1621"/>
      <c r="P36" s="1620"/>
    </row>
    <row r="37" spans="1:16" x14ac:dyDescent="0.3">
      <c r="A37" s="734" t="s">
        <v>2281</v>
      </c>
      <c r="B37" s="827">
        <f>B22/B36</f>
        <v>5.1123011363953696E-2</v>
      </c>
      <c r="C37" s="397"/>
      <c r="D37" s="397"/>
      <c r="E37" s="397"/>
      <c r="F37" s="1281"/>
      <c r="G37" s="220"/>
      <c r="I37" s="1620"/>
      <c r="P37" s="1329"/>
    </row>
    <row r="38" spans="1:16" ht="4.5" customHeight="1" x14ac:dyDescent="0.3">
      <c r="A38" s="734"/>
      <c r="B38" s="397"/>
      <c r="C38" s="397"/>
      <c r="D38" s="397"/>
      <c r="E38" s="397"/>
      <c r="F38" s="1281"/>
      <c r="G38" s="397"/>
    </row>
    <row r="39" spans="1:16" s="612" customFormat="1" x14ac:dyDescent="0.3">
      <c r="A39" s="1175" t="s">
        <v>2298</v>
      </c>
      <c r="B39" s="1627"/>
      <c r="C39" s="1627"/>
      <c r="D39" s="1627"/>
      <c r="E39" s="1627"/>
      <c r="F39" s="1628"/>
      <c r="G39" s="397"/>
    </row>
    <row r="40" spans="1:16" ht="9" customHeight="1" x14ac:dyDescent="0.3">
      <c r="A40" s="734"/>
      <c r="B40" s="1627"/>
      <c r="C40" s="1627"/>
      <c r="D40" s="1627"/>
      <c r="E40" s="1627"/>
      <c r="F40" s="1628"/>
      <c r="G40" s="397"/>
    </row>
    <row r="41" spans="1:16" x14ac:dyDescent="0.3">
      <c r="A41" s="1175" t="s">
        <v>1398</v>
      </c>
      <c r="B41" s="1627"/>
      <c r="C41" s="1627"/>
      <c r="D41" s="1627"/>
      <c r="E41" s="1627"/>
      <c r="F41" s="1628"/>
      <c r="G41" s="397"/>
    </row>
    <row r="42" spans="1:16" ht="47.25" customHeight="1" x14ac:dyDescent="0.3">
      <c r="A42" s="2824" t="s">
        <v>2312</v>
      </c>
      <c r="B42" s="2825"/>
      <c r="C42" s="2825"/>
      <c r="D42" s="2825"/>
      <c r="E42" s="2825"/>
      <c r="F42" s="2826"/>
      <c r="G42" s="397"/>
    </row>
    <row r="43" spans="1:16" x14ac:dyDescent="0.3">
      <c r="A43" s="2824" t="s">
        <v>2311</v>
      </c>
      <c r="B43" s="2825"/>
      <c r="C43" s="2825"/>
      <c r="D43" s="2825"/>
      <c r="E43" s="2825"/>
      <c r="F43" s="2826"/>
      <c r="G43" s="220"/>
      <c r="J43" s="152"/>
    </row>
    <row r="44" spans="1:16" ht="31.5" customHeight="1" x14ac:dyDescent="0.3">
      <c r="A44" s="2824" t="s">
        <v>2309</v>
      </c>
      <c r="B44" s="2825"/>
      <c r="C44" s="2825"/>
      <c r="D44" s="2825"/>
      <c r="E44" s="2825"/>
      <c r="F44" s="2826"/>
      <c r="G44" s="220"/>
      <c r="J44" s="152"/>
    </row>
    <row r="45" spans="1:16" x14ac:dyDescent="0.3">
      <c r="A45" s="1175" t="s">
        <v>2310</v>
      </c>
      <c r="B45" s="1769"/>
      <c r="C45" s="1769"/>
      <c r="D45" s="1769"/>
      <c r="E45" s="1769"/>
      <c r="F45" s="1770"/>
      <c r="G45" s="220"/>
      <c r="J45" s="152"/>
    </row>
    <row r="46" spans="1:16" ht="6" customHeight="1" thickBot="1" x14ac:dyDescent="0.35">
      <c r="A46" s="1177"/>
      <c r="B46" s="1772"/>
      <c r="C46" s="1772"/>
      <c r="D46" s="1772"/>
      <c r="E46" s="1772"/>
      <c r="F46" s="1773"/>
      <c r="G46" s="220"/>
      <c r="J46" s="152"/>
    </row>
    <row r="47" spans="1:16" ht="30.75" customHeight="1" x14ac:dyDescent="0.3">
      <c r="A47" s="2936" t="s">
        <v>2297</v>
      </c>
      <c r="B47" s="2936"/>
      <c r="C47" s="2936"/>
      <c r="D47" s="2936"/>
      <c r="E47" s="2936"/>
      <c r="F47" s="2936"/>
      <c r="G47" s="397"/>
    </row>
    <row r="48" spans="1:16" ht="30.75" customHeight="1" x14ac:dyDescent="0.3">
      <c r="A48" s="1775"/>
      <c r="B48" s="1775"/>
      <c r="C48" s="1775"/>
      <c r="D48" s="1775"/>
      <c r="E48" s="1775"/>
      <c r="F48" s="1775"/>
      <c r="G48" s="397"/>
    </row>
    <row r="49" spans="1:15" x14ac:dyDescent="0.3">
      <c r="D49" s="309">
        <v>2012</v>
      </c>
      <c r="E49" s="309">
        <v>2011</v>
      </c>
      <c r="F49" s="309">
        <v>2010</v>
      </c>
      <c r="G49" s="309">
        <v>2009</v>
      </c>
    </row>
    <row r="50" spans="1:15" x14ac:dyDescent="0.3">
      <c r="B50" s="1332">
        <f>B5</f>
        <v>2014</v>
      </c>
      <c r="C50" s="1332">
        <f>C5</f>
        <v>2013</v>
      </c>
      <c r="D50" s="1332">
        <f>D5</f>
        <v>2012</v>
      </c>
      <c r="E50" s="1332">
        <f>E5</f>
        <v>2011</v>
      </c>
      <c r="F50" s="1332">
        <f>F5</f>
        <v>2010</v>
      </c>
      <c r="G50" s="1332">
        <v>2008</v>
      </c>
    </row>
    <row r="51" spans="1:15" x14ac:dyDescent="0.3">
      <c r="A51" s="612" t="s">
        <v>1766</v>
      </c>
      <c r="B51" s="1836">
        <v>4365</v>
      </c>
      <c r="C51" s="1836">
        <v>5187</v>
      </c>
      <c r="D51" s="1836">
        <v>3572</v>
      </c>
      <c r="E51" s="1836">
        <f>16588</f>
        <v>16588</v>
      </c>
      <c r="F51" s="1836"/>
      <c r="G51" s="1836"/>
    </row>
    <row r="52" spans="1:15" x14ac:dyDescent="0.3">
      <c r="A52" s="612" t="s">
        <v>23</v>
      </c>
      <c r="B52" s="1836">
        <f>1405+8627</f>
        <v>10032</v>
      </c>
      <c r="C52" s="1836">
        <f>4+9976</f>
        <v>9980</v>
      </c>
      <c r="D52" s="1836">
        <f>5+9966</f>
        <v>9971</v>
      </c>
      <c r="E52" s="1836">
        <f>8+27</f>
        <v>35</v>
      </c>
      <c r="F52" s="1836"/>
      <c r="G52" s="1836"/>
    </row>
    <row r="53" spans="1:15" x14ac:dyDescent="0.3">
      <c r="A53" s="612" t="s">
        <v>2305</v>
      </c>
      <c r="B53" s="1836">
        <f>192+3399+1105</f>
        <v>4696</v>
      </c>
      <c r="C53" s="1836">
        <f>197+3080+405</f>
        <v>3682</v>
      </c>
      <c r="D53" s="1836">
        <f>236+3502+1990</f>
        <v>5728</v>
      </c>
      <c r="E53" s="1813">
        <f>0+0+117</f>
        <v>117</v>
      </c>
      <c r="F53" s="1836"/>
      <c r="G53" s="1836"/>
    </row>
    <row r="54" spans="1:15" x14ac:dyDescent="0.3">
      <c r="A54" s="612" t="s">
        <v>1980</v>
      </c>
      <c r="B54" s="1836">
        <f>-11404-2234</f>
        <v>-13638</v>
      </c>
      <c r="C54" s="1836">
        <f>-11505-2229</f>
        <v>-13734</v>
      </c>
      <c r="D54" s="1836">
        <f>-11346-2631</f>
        <v>-13977</v>
      </c>
      <c r="E54" s="1836">
        <f>-11316-2630</f>
        <v>-13946</v>
      </c>
      <c r="F54" s="1836"/>
      <c r="G54" s="1836"/>
    </row>
    <row r="55" spans="1:15" x14ac:dyDescent="0.3">
      <c r="A55" s="612" t="s">
        <v>257</v>
      </c>
      <c r="B55" s="1836">
        <f>B51+B52+B54+B53</f>
        <v>5455</v>
      </c>
      <c r="C55" s="1836">
        <f>C51+C52+C54+C53</f>
        <v>5115</v>
      </c>
      <c r="D55" s="1836">
        <f t="shared" ref="D55:G55" si="1">D51+D52+D54+D53</f>
        <v>5294</v>
      </c>
      <c r="E55" s="1836">
        <f t="shared" si="1"/>
        <v>2794</v>
      </c>
      <c r="F55" s="1836">
        <f t="shared" si="1"/>
        <v>0</v>
      </c>
      <c r="G55" s="1836">
        <f t="shared" si="1"/>
        <v>0</v>
      </c>
    </row>
    <row r="56" spans="1:15" x14ac:dyDescent="0.3">
      <c r="A56" s="612" t="s">
        <v>1767</v>
      </c>
      <c r="B56" s="1836">
        <f>AVERAGE(B55:C55)</f>
        <v>5285</v>
      </c>
      <c r="C56" s="1836">
        <f t="shared" ref="C56:F56" si="2">AVERAGE(C55:D55)</f>
        <v>5204.5</v>
      </c>
      <c r="D56" s="1836">
        <f t="shared" si="2"/>
        <v>4044</v>
      </c>
      <c r="E56" s="1836"/>
      <c r="F56" s="1836">
        <f t="shared" si="2"/>
        <v>0</v>
      </c>
      <c r="G56" s="1836">
        <f>AVERAGE(G55:G55)</f>
        <v>0</v>
      </c>
    </row>
    <row r="57" spans="1:15" x14ac:dyDescent="0.3">
      <c r="A57" s="612"/>
      <c r="B57" s="1836"/>
      <c r="C57" s="1836"/>
      <c r="D57" s="1836"/>
      <c r="E57" s="1836"/>
      <c r="F57" s="1836"/>
      <c r="G57" s="1836"/>
    </row>
    <row r="58" spans="1:15" x14ac:dyDescent="0.3">
      <c r="A58" s="612"/>
      <c r="B58" s="1836"/>
      <c r="C58" s="1836"/>
      <c r="D58" s="1836"/>
      <c r="E58" s="1836"/>
      <c r="F58" s="1836"/>
      <c r="G58" s="1836"/>
    </row>
    <row r="59" spans="1:15" x14ac:dyDescent="0.3">
      <c r="A59" s="612" t="s">
        <v>2268</v>
      </c>
      <c r="B59" s="1836"/>
      <c r="C59" s="1836"/>
      <c r="D59" s="1836"/>
      <c r="E59" s="1836"/>
      <c r="F59" s="1836"/>
      <c r="G59" s="1836"/>
      <c r="J59" s="459" t="s">
        <v>1994</v>
      </c>
      <c r="K59" s="356"/>
      <c r="L59" s="356"/>
      <c r="M59" s="356"/>
      <c r="N59" s="356"/>
      <c r="O59" s="356"/>
    </row>
    <row r="60" spans="1:15" x14ac:dyDescent="0.3">
      <c r="A60" s="612"/>
      <c r="B60" s="1836"/>
      <c r="C60" s="1836"/>
      <c r="D60" s="1836"/>
      <c r="E60" s="1836"/>
      <c r="F60" s="1836"/>
      <c r="G60" s="1836"/>
      <c r="J60" s="459" t="s">
        <v>1995</v>
      </c>
      <c r="K60" s="356"/>
      <c r="L60" s="356"/>
      <c r="M60" s="356"/>
      <c r="N60" s="356"/>
      <c r="O60" s="356"/>
    </row>
    <row r="61" spans="1:15" ht="8.25" customHeight="1" thickBot="1" x14ac:dyDescent="0.35">
      <c r="B61" s="1622"/>
      <c r="C61" s="1622"/>
      <c r="D61" s="1622"/>
      <c r="E61" s="1622"/>
      <c r="F61" s="1622"/>
      <c r="G61" s="1622"/>
      <c r="H61" s="211" t="s">
        <v>176</v>
      </c>
      <c r="I61" s="1622"/>
      <c r="J61" s="356"/>
      <c r="K61" s="356"/>
      <c r="L61" s="356"/>
      <c r="M61" s="356"/>
      <c r="N61" s="356"/>
      <c r="O61" s="356"/>
    </row>
    <row r="62" spans="1:15" ht="18.600000000000001" x14ac:dyDescent="0.3">
      <c r="B62" s="1622"/>
      <c r="C62" s="1622"/>
      <c r="D62" s="1622"/>
      <c r="E62" s="1622"/>
      <c r="F62" s="1622"/>
      <c r="G62" s="1622"/>
      <c r="I62" s="1622"/>
      <c r="J62" s="1811" t="s">
        <v>1250</v>
      </c>
      <c r="K62" s="1814" t="s">
        <v>688</v>
      </c>
      <c r="L62" s="1815" t="s">
        <v>1996</v>
      </c>
      <c r="M62" s="356"/>
      <c r="N62" s="356"/>
      <c r="O62" s="356"/>
    </row>
    <row r="63" spans="1:15" x14ac:dyDescent="0.3">
      <c r="A63" s="211" t="s">
        <v>2299</v>
      </c>
      <c r="B63" s="1622"/>
      <c r="C63" s="1622"/>
      <c r="D63" s="1622"/>
      <c r="E63" s="1622"/>
      <c r="F63" s="1622"/>
      <c r="G63" s="1622"/>
      <c r="I63" s="1622"/>
      <c r="J63" s="532" t="s">
        <v>23</v>
      </c>
      <c r="K63" s="1364">
        <v>12600</v>
      </c>
      <c r="L63" s="1816">
        <f>K63/K63</f>
        <v>1</v>
      </c>
      <c r="M63" s="356"/>
      <c r="N63" s="356">
        <f>(K66/SUM(K63:K65))</f>
        <v>1</v>
      </c>
      <c r="O63" s="356"/>
    </row>
    <row r="64" spans="1:15" x14ac:dyDescent="0.3">
      <c r="A64" s="211" t="s">
        <v>5</v>
      </c>
      <c r="B64" s="1836">
        <v>1293</v>
      </c>
      <c r="C64" s="1836">
        <v>1686</v>
      </c>
      <c r="D64" s="1836">
        <v>1255</v>
      </c>
      <c r="E64" s="1836">
        <v>0</v>
      </c>
      <c r="F64" s="1836"/>
      <c r="G64" s="1836"/>
      <c r="I64" s="1622"/>
      <c r="J64" s="532" t="s">
        <v>631</v>
      </c>
      <c r="K64" s="1366">
        <v>8000</v>
      </c>
      <c r="L64" s="1816">
        <f>K63/K64</f>
        <v>1.575</v>
      </c>
      <c r="M64" s="356"/>
      <c r="N64" s="1817">
        <f>K66/(K65+K64)</f>
        <v>1.7636363636363637</v>
      </c>
      <c r="O64" s="356"/>
    </row>
    <row r="65" spans="1:18" x14ac:dyDescent="0.3">
      <c r="A65" s="211" t="s">
        <v>618</v>
      </c>
      <c r="B65" s="1836">
        <v>1080</v>
      </c>
      <c r="C65" s="1836">
        <v>1048</v>
      </c>
      <c r="D65" s="1836">
        <v>1089</v>
      </c>
      <c r="E65" s="1836">
        <v>903</v>
      </c>
      <c r="F65" s="1836"/>
      <c r="G65" s="1836"/>
      <c r="I65" s="1622"/>
      <c r="J65" s="532" t="s">
        <v>95</v>
      </c>
      <c r="K65" s="1366">
        <v>8500</v>
      </c>
      <c r="L65" s="1816">
        <f>(K63+K64)/K65</f>
        <v>2.4235294117647057</v>
      </c>
      <c r="M65" s="356"/>
      <c r="N65" s="1817">
        <f>K66/K65</f>
        <v>3.4235294117647057</v>
      </c>
      <c r="O65" s="356"/>
      <c r="P65" s="211" t="s">
        <v>176</v>
      </c>
    </row>
    <row r="66" spans="1:18" x14ac:dyDescent="0.3">
      <c r="A66" s="211" t="s">
        <v>10</v>
      </c>
      <c r="B66" s="1836">
        <v>1775</v>
      </c>
      <c r="C66" s="1836">
        <v>1616</v>
      </c>
      <c r="D66" s="1836">
        <v>1928</v>
      </c>
      <c r="E66" s="1836">
        <v>1943</v>
      </c>
      <c r="F66" s="1836"/>
      <c r="G66" s="1836"/>
      <c r="I66" s="403"/>
      <c r="J66" s="532" t="s">
        <v>257</v>
      </c>
      <c r="K66" s="1367">
        <f>SUM(K63:K65)</f>
        <v>29100</v>
      </c>
      <c r="L66" s="1219"/>
      <c r="M66" s="356"/>
      <c r="N66" s="356"/>
      <c r="O66" s="356"/>
    </row>
    <row r="67" spans="1:18" x14ac:dyDescent="0.3">
      <c r="A67" s="211" t="s">
        <v>966</v>
      </c>
      <c r="B67" s="1836">
        <v>259</v>
      </c>
      <c r="C67" s="1836">
        <v>198</v>
      </c>
      <c r="D67" s="1836">
        <v>131</v>
      </c>
      <c r="E67" s="1836">
        <v>194</v>
      </c>
      <c r="F67" s="1836"/>
      <c r="G67" s="1836"/>
      <c r="I67" s="403"/>
      <c r="J67" s="532"/>
      <c r="K67" s="1364"/>
      <c r="L67" s="1219"/>
      <c r="M67" s="356"/>
      <c r="N67" s="356"/>
      <c r="O67" s="356"/>
    </row>
    <row r="68" spans="1:18" x14ac:dyDescent="0.3">
      <c r="A68" s="211" t="s">
        <v>967</v>
      </c>
      <c r="B68" s="1836">
        <f>SUM(B64:B67)</f>
        <v>4407</v>
      </c>
      <c r="C68" s="1836">
        <f>SUM(C64:C67)</f>
        <v>4548</v>
      </c>
      <c r="D68" s="1836">
        <f t="shared" ref="D68:E68" si="3">SUM(D64:D67)</f>
        <v>4403</v>
      </c>
      <c r="E68" s="1836">
        <f t="shared" si="3"/>
        <v>3040</v>
      </c>
      <c r="F68" s="1836"/>
      <c r="G68" s="1836"/>
      <c r="I68" s="403"/>
      <c r="J68" s="532"/>
      <c r="K68" s="1364"/>
      <c r="L68" s="1219"/>
      <c r="M68" s="356"/>
      <c r="N68" s="356"/>
      <c r="O68" s="356"/>
    </row>
    <row r="69" spans="1:18" x14ac:dyDescent="0.3">
      <c r="B69" s="1836"/>
      <c r="C69" s="1836"/>
      <c r="D69" s="1836"/>
      <c r="E69" s="1836"/>
      <c r="F69" s="1836"/>
      <c r="G69" s="1836"/>
      <c r="J69" s="532"/>
      <c r="K69" s="1812"/>
      <c r="L69" s="1219"/>
      <c r="M69" s="356"/>
      <c r="N69" s="356"/>
      <c r="O69" s="356"/>
    </row>
    <row r="70" spans="1:18" x14ac:dyDescent="0.3">
      <c r="A70" s="211" t="s">
        <v>1255</v>
      </c>
      <c r="B70" s="1836">
        <v>1537</v>
      </c>
      <c r="C70" s="1836">
        <v>1548</v>
      </c>
      <c r="D70" s="1836">
        <v>1556</v>
      </c>
      <c r="E70" s="1836">
        <v>1447</v>
      </c>
      <c r="F70" s="1836"/>
      <c r="G70" s="1836"/>
      <c r="J70" s="532" t="s">
        <v>1998</v>
      </c>
      <c r="K70" s="1812"/>
      <c r="L70" s="1219"/>
      <c r="M70" s="356"/>
      <c r="N70" s="356"/>
      <c r="O70" s="356"/>
    </row>
    <row r="71" spans="1:18" x14ac:dyDescent="0.3">
      <c r="A71" s="211" t="s">
        <v>2300</v>
      </c>
      <c r="B71" s="1836">
        <v>511</v>
      </c>
      <c r="C71" s="1836">
        <v>685</v>
      </c>
      <c r="D71" s="1836">
        <v>740</v>
      </c>
      <c r="E71" s="1836">
        <v>575</v>
      </c>
      <c r="F71" s="1836"/>
      <c r="G71" s="1836"/>
    </row>
    <row r="72" spans="1:18" x14ac:dyDescent="0.3">
      <c r="A72" s="211" t="s">
        <v>2301</v>
      </c>
      <c r="B72" s="1836">
        <v>163</v>
      </c>
      <c r="C72" s="1836">
        <v>184</v>
      </c>
      <c r="D72" s="1836">
        <v>194</v>
      </c>
      <c r="E72" s="1836">
        <v>242</v>
      </c>
      <c r="F72" s="1836"/>
      <c r="G72" s="1836"/>
    </row>
    <row r="73" spans="1:18" x14ac:dyDescent="0.3">
      <c r="A73" s="211" t="s">
        <v>2302</v>
      </c>
      <c r="B73" s="1836">
        <v>192</v>
      </c>
      <c r="C73" s="1836">
        <v>197</v>
      </c>
      <c r="D73" s="1836">
        <v>236</v>
      </c>
      <c r="E73" s="1836">
        <v>0</v>
      </c>
      <c r="F73" s="1836"/>
      <c r="G73" s="1836"/>
    </row>
    <row r="74" spans="1:18" x14ac:dyDescent="0.3">
      <c r="A74" s="211" t="s">
        <v>972</v>
      </c>
      <c r="B74" s="1836">
        <v>641</v>
      </c>
      <c r="C74" s="1836">
        <v>479</v>
      </c>
      <c r="D74" s="1836">
        <v>579</v>
      </c>
      <c r="E74" s="1836">
        <v>300</v>
      </c>
      <c r="F74" s="1836"/>
      <c r="G74" s="1836"/>
    </row>
    <row r="75" spans="1:18" x14ac:dyDescent="0.3">
      <c r="A75" s="211" t="s">
        <v>973</v>
      </c>
      <c r="B75" s="1836">
        <f>SUM(B70:B74)</f>
        <v>3044</v>
      </c>
      <c r="C75" s="1836">
        <f>SUM(C70:C74)</f>
        <v>3093</v>
      </c>
      <c r="D75" s="1836">
        <f t="shared" ref="D75:E75" si="4">SUM(D70:D74)</f>
        <v>3305</v>
      </c>
      <c r="E75" s="1836">
        <f t="shared" si="4"/>
        <v>2564</v>
      </c>
      <c r="F75" s="1836"/>
      <c r="G75" s="1836"/>
    </row>
    <row r="76" spans="1:18" x14ac:dyDescent="0.3">
      <c r="B76" s="1836"/>
      <c r="C76" s="1836"/>
      <c r="D76" s="1836"/>
      <c r="E76" s="1836"/>
      <c r="F76" s="1836"/>
      <c r="G76" s="1836"/>
      <c r="Q76" s="211" t="s">
        <v>2000</v>
      </c>
      <c r="R76" s="211">
        <v>425</v>
      </c>
    </row>
    <row r="77" spans="1:18" x14ac:dyDescent="0.3">
      <c r="A77" s="211" t="s">
        <v>2303</v>
      </c>
      <c r="B77" s="1836">
        <f>B68-B75</f>
        <v>1363</v>
      </c>
      <c r="C77" s="1836">
        <f>C68-C75</f>
        <v>1455</v>
      </c>
      <c r="D77" s="1836">
        <f t="shared" ref="D77:E77" si="5">D68-D75</f>
        <v>1098</v>
      </c>
      <c r="E77" s="1836">
        <f t="shared" si="5"/>
        <v>476</v>
      </c>
      <c r="F77" s="1836"/>
      <c r="G77" s="1836"/>
      <c r="Q77" s="211" t="s">
        <v>2001</v>
      </c>
      <c r="R77" s="211">
        <v>425</v>
      </c>
    </row>
    <row r="78" spans="1:18" x14ac:dyDescent="0.3">
      <c r="B78" s="1836"/>
      <c r="C78" s="1836"/>
      <c r="D78" s="1836"/>
      <c r="E78" s="1836"/>
      <c r="F78" s="1836"/>
      <c r="G78" s="1836"/>
      <c r="Q78" s="211" t="s">
        <v>2002</v>
      </c>
      <c r="R78" s="211">
        <v>46</v>
      </c>
    </row>
    <row r="79" spans="1:18" x14ac:dyDescent="0.3">
      <c r="A79" s="211" t="s">
        <v>2304</v>
      </c>
      <c r="B79" s="1836">
        <v>4192</v>
      </c>
      <c r="C79" s="1836">
        <v>4115</v>
      </c>
      <c r="D79" s="1836">
        <v>4204</v>
      </c>
      <c r="E79" s="1836">
        <v>4278</v>
      </c>
      <c r="F79" s="1836"/>
      <c r="G79" s="1836"/>
      <c r="Q79" s="211" t="s">
        <v>2003</v>
      </c>
      <c r="R79" s="211">
        <v>39.6</v>
      </c>
    </row>
    <row r="80" spans="1:18" x14ac:dyDescent="0.3">
      <c r="B80" s="1836"/>
      <c r="C80" s="1836"/>
      <c r="D80" s="1836"/>
      <c r="E80" s="1836"/>
      <c r="F80" s="1836"/>
      <c r="G80" s="1836"/>
      <c r="R80" s="211">
        <f>SUM(R76:R79)</f>
        <v>935.6</v>
      </c>
    </row>
    <row r="81" spans="1:19" x14ac:dyDescent="0.3">
      <c r="A81" s="211" t="s">
        <v>257</v>
      </c>
      <c r="B81" s="1622">
        <f>B77+B79</f>
        <v>5555</v>
      </c>
      <c r="C81" s="1622">
        <f>C77+C79</f>
        <v>5570</v>
      </c>
      <c r="D81" s="1622">
        <f t="shared" ref="D81:E81" si="6">D77+D79</f>
        <v>5302</v>
      </c>
      <c r="E81" s="1622">
        <f t="shared" si="6"/>
        <v>4754</v>
      </c>
    </row>
    <row r="82" spans="1:19" x14ac:dyDescent="0.3">
      <c r="Q82" s="211" t="s">
        <v>2004</v>
      </c>
      <c r="R82" s="211">
        <f>R76+R78</f>
        <v>471</v>
      </c>
      <c r="S82" s="211">
        <f>R82/R80</f>
        <v>0.50342026507054294</v>
      </c>
    </row>
    <row r="83" spans="1:19" x14ac:dyDescent="0.3">
      <c r="A83" s="211" t="s">
        <v>1767</v>
      </c>
      <c r="B83" s="1622">
        <f>AVERAGE(B81:C81)</f>
        <v>5562.5</v>
      </c>
      <c r="C83" s="1622">
        <f t="shared" ref="C83:D83" si="7">AVERAGE(C81:D81)</f>
        <v>5436</v>
      </c>
      <c r="D83" s="1622">
        <f t="shared" si="7"/>
        <v>5028</v>
      </c>
    </row>
    <row r="85" spans="1:19" ht="9" customHeight="1" x14ac:dyDescent="0.3"/>
  </sheetData>
  <mergeCells count="4">
    <mergeCell ref="A43:F43"/>
    <mergeCell ref="A47:F47"/>
    <mergeCell ref="A44:F44"/>
    <mergeCell ref="A42:F42"/>
  </mergeCells>
  <pageMargins left="0.7" right="0.7" top="0.75" bottom="0.75" header="0.3" footer="0.3"/>
  <pageSetup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16424-95A0-487D-BCDC-3D330A67D277}">
  <sheetPr>
    <tabColor theme="4"/>
  </sheetPr>
  <dimension ref="A2:H9"/>
  <sheetViews>
    <sheetView workbookViewId="0">
      <selection activeCell="B17" sqref="B17"/>
    </sheetView>
  </sheetViews>
  <sheetFormatPr defaultColWidth="9.109375" defaultRowHeight="15.6" x14ac:dyDescent="0.3"/>
  <cols>
    <col min="1" max="1" width="39.44140625" style="211" customWidth="1"/>
    <col min="2" max="2" width="11.5546875" style="211" bestFit="1" customWidth="1"/>
    <col min="3" max="16384" width="9.109375" style="211"/>
  </cols>
  <sheetData>
    <row r="2" spans="1:8" x14ac:dyDescent="0.3">
      <c r="A2" s="211" t="s">
        <v>3375</v>
      </c>
      <c r="B2" s="277">
        <v>4066</v>
      </c>
      <c r="C2" s="226">
        <f t="shared" ref="C2:C9" si="0">B2/$B$9</f>
        <v>0.22334523482559737</v>
      </c>
    </row>
    <row r="3" spans="1:8" x14ac:dyDescent="0.3">
      <c r="A3" s="211" t="s">
        <v>3374</v>
      </c>
      <c r="B3" s="277">
        <v>3433</v>
      </c>
      <c r="C3" s="226">
        <f t="shared" si="0"/>
        <v>0.18857456742653117</v>
      </c>
    </row>
    <row r="4" spans="1:8" x14ac:dyDescent="0.3">
      <c r="A4" s="211" t="s">
        <v>3373</v>
      </c>
      <c r="B4" s="277">
        <v>2627</v>
      </c>
      <c r="C4" s="226">
        <f t="shared" si="0"/>
        <v>0.14430101620433947</v>
      </c>
    </row>
    <row r="5" spans="1:8" x14ac:dyDescent="0.3">
      <c r="A5" s="211" t="s">
        <v>3372</v>
      </c>
      <c r="B5" s="277">
        <v>2155</v>
      </c>
      <c r="C5" s="226">
        <f t="shared" si="0"/>
        <v>0.11837407305685252</v>
      </c>
      <c r="H5" s="211" t="s">
        <v>176</v>
      </c>
    </row>
    <row r="6" spans="1:8" x14ac:dyDescent="0.3">
      <c r="A6" s="211" t="s">
        <v>3371</v>
      </c>
      <c r="B6" s="277">
        <v>2062</v>
      </c>
      <c r="C6" s="226">
        <f t="shared" si="0"/>
        <v>0.11326558637736886</v>
      </c>
    </row>
    <row r="7" spans="1:8" x14ac:dyDescent="0.3">
      <c r="A7" s="211" t="s">
        <v>3370</v>
      </c>
      <c r="B7" s="277">
        <v>1937</v>
      </c>
      <c r="C7" s="226">
        <f t="shared" si="0"/>
        <v>0.10639934084042846</v>
      </c>
    </row>
    <row r="8" spans="1:8" x14ac:dyDescent="0.3">
      <c r="A8" s="211" t="s">
        <v>3369</v>
      </c>
      <c r="B8" s="277">
        <v>1925</v>
      </c>
      <c r="C8" s="226">
        <f t="shared" si="0"/>
        <v>0.10574018126888217</v>
      </c>
    </row>
    <row r="9" spans="1:8" x14ac:dyDescent="0.3">
      <c r="B9" s="2597">
        <f>SUM(B2:B8)</f>
        <v>18205</v>
      </c>
      <c r="C9" s="226">
        <f t="shared" si="0"/>
        <v>1</v>
      </c>
    </row>
  </sheetData>
  <pageMargins left="0.7" right="0.7" top="0.75" bottom="0.75" header="0.3" footer="0.3"/>
  <pageSetup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E744-1605-4E8A-9B72-70DDAE371F30}">
  <sheetPr>
    <tabColor theme="4"/>
  </sheetPr>
  <dimension ref="A1:G26"/>
  <sheetViews>
    <sheetView topLeftCell="A7" zoomScale="115" zoomScaleNormal="115" workbookViewId="0">
      <selection activeCell="H21" sqref="H21"/>
    </sheetView>
  </sheetViews>
  <sheetFormatPr defaultColWidth="9.109375" defaultRowHeight="15.6" x14ac:dyDescent="0.3"/>
  <cols>
    <col min="1" max="1" width="9.109375" style="211"/>
    <col min="2" max="2" width="15.88671875" style="211" customWidth="1"/>
    <col min="3" max="3" width="17.5546875" style="211" customWidth="1"/>
    <col min="4" max="4" width="9.88671875" style="211" bestFit="1" customWidth="1"/>
    <col min="5" max="16384" width="9.109375" style="211"/>
  </cols>
  <sheetData>
    <row r="1" spans="1:5" x14ac:dyDescent="0.3">
      <c r="A1" s="211" t="s">
        <v>156</v>
      </c>
      <c r="B1" s="211" t="s">
        <v>3381</v>
      </c>
      <c r="C1" s="211" t="s">
        <v>3380</v>
      </c>
    </row>
    <row r="2" spans="1:5" x14ac:dyDescent="0.3">
      <c r="A2" s="211">
        <v>1999</v>
      </c>
      <c r="B2" s="252">
        <v>0.67</v>
      </c>
      <c r="C2" s="252">
        <v>0.89</v>
      </c>
      <c r="D2" s="211">
        <v>0</v>
      </c>
      <c r="E2" s="211">
        <v>0</v>
      </c>
    </row>
    <row r="3" spans="1:5" x14ac:dyDescent="0.3">
      <c r="A3" s="211">
        <v>2000</v>
      </c>
      <c r="B3" s="252">
        <v>0.94</v>
      </c>
      <c r="C3" s="252">
        <v>2.39</v>
      </c>
      <c r="D3" s="211">
        <v>0</v>
      </c>
      <c r="E3" s="211">
        <v>0</v>
      </c>
    </row>
    <row r="4" spans="1:5" x14ac:dyDescent="0.3">
      <c r="A4" s="211">
        <v>2001</v>
      </c>
      <c r="B4" s="252">
        <v>-0.13</v>
      </c>
      <c r="C4" s="252">
        <v>0.92</v>
      </c>
      <c r="D4" s="211">
        <v>0</v>
      </c>
      <c r="E4" s="211">
        <v>0</v>
      </c>
    </row>
    <row r="5" spans="1:5" x14ac:dyDescent="0.3">
      <c r="A5" s="211">
        <v>2002</v>
      </c>
      <c r="B5" s="252">
        <v>3.72</v>
      </c>
      <c r="C5" s="252">
        <v>0.56999999999999995</v>
      </c>
      <c r="D5" s="211">
        <v>0</v>
      </c>
      <c r="E5" s="211">
        <v>0</v>
      </c>
    </row>
    <row r="6" spans="1:5" x14ac:dyDescent="0.3">
      <c r="A6" s="211">
        <v>2003</v>
      </c>
      <c r="B6" s="252">
        <v>5.42</v>
      </c>
      <c r="C6" s="252">
        <v>2.73</v>
      </c>
      <c r="D6" s="211">
        <v>0</v>
      </c>
      <c r="E6" s="211">
        <v>0</v>
      </c>
    </row>
    <row r="7" spans="1:5" x14ac:dyDescent="0.3">
      <c r="A7" s="211">
        <v>2004</v>
      </c>
      <c r="B7" s="252">
        <v>5.05</v>
      </c>
      <c r="C7" s="252">
        <v>2.2599999999999998</v>
      </c>
      <c r="D7" s="211">
        <v>0</v>
      </c>
      <c r="E7" s="211">
        <v>0</v>
      </c>
    </row>
    <row r="8" spans="1:5" x14ac:dyDescent="0.3">
      <c r="A8" s="211">
        <v>2005</v>
      </c>
      <c r="B8" s="252">
        <v>5</v>
      </c>
      <c r="C8" s="252">
        <v>3.53</v>
      </c>
      <c r="D8" s="211">
        <v>0</v>
      </c>
      <c r="E8" s="211">
        <v>0</v>
      </c>
    </row>
    <row r="9" spans="1:5" x14ac:dyDescent="0.3">
      <c r="A9" s="211">
        <v>2006</v>
      </c>
      <c r="B9" s="252">
        <v>9.31</v>
      </c>
      <c r="C9" s="252">
        <v>1.71</v>
      </c>
      <c r="D9" s="211">
        <v>0</v>
      </c>
      <c r="E9" s="211">
        <v>0</v>
      </c>
    </row>
    <row r="10" spans="1:5" x14ac:dyDescent="0.3">
      <c r="A10" s="211">
        <v>2007</v>
      </c>
      <c r="B10" s="252">
        <v>9.6300000000000008</v>
      </c>
      <c r="C10" s="252">
        <v>3.58</v>
      </c>
      <c r="D10" s="211">
        <v>0</v>
      </c>
      <c r="E10" s="211">
        <v>0</v>
      </c>
    </row>
    <row r="11" spans="1:5" x14ac:dyDescent="0.3">
      <c r="A11" s="211">
        <v>2008</v>
      </c>
      <c r="B11" s="252">
        <v>9.64</v>
      </c>
      <c r="C11" s="252">
        <v>-4.6500000000000004</v>
      </c>
      <c r="D11" s="211">
        <v>0</v>
      </c>
      <c r="E11" s="211">
        <v>0</v>
      </c>
    </row>
    <row r="12" spans="1:5" x14ac:dyDescent="0.3">
      <c r="A12" s="211">
        <v>2009</v>
      </c>
      <c r="B12" s="252">
        <v>7.57</v>
      </c>
      <c r="C12" s="252">
        <v>0.49</v>
      </c>
      <c r="D12" s="211">
        <v>0</v>
      </c>
      <c r="E12" s="211">
        <v>0</v>
      </c>
    </row>
    <row r="13" spans="1:5" x14ac:dyDescent="0.3">
      <c r="A13" s="211">
        <v>2010</v>
      </c>
      <c r="B13" s="252">
        <v>11.09</v>
      </c>
      <c r="C13" s="252">
        <v>1.87</v>
      </c>
      <c r="D13" s="211">
        <v>0</v>
      </c>
      <c r="E13" s="211">
        <v>0</v>
      </c>
    </row>
    <row r="14" spans="1:5" x14ac:dyDescent="0.3">
      <c r="A14" s="211">
        <v>2011</v>
      </c>
      <c r="B14" s="252">
        <v>10.78</v>
      </c>
      <c r="C14" s="252">
        <v>-0.52</v>
      </c>
      <c r="D14" s="211">
        <v>0</v>
      </c>
      <c r="E14" s="211">
        <v>0</v>
      </c>
    </row>
    <row r="15" spans="1:5" x14ac:dyDescent="0.3">
      <c r="A15" s="211">
        <v>2012</v>
      </c>
      <c r="B15" s="252">
        <v>12.6</v>
      </c>
      <c r="C15" s="252">
        <v>2.23</v>
      </c>
      <c r="D15" s="211">
        <v>0</v>
      </c>
      <c r="E15" s="211">
        <v>0</v>
      </c>
    </row>
    <row r="16" spans="1:5" x14ac:dyDescent="0.3">
      <c r="A16" s="211">
        <v>2013</v>
      </c>
      <c r="B16" s="252">
        <v>15.14</v>
      </c>
      <c r="C16" s="252">
        <v>4.34</v>
      </c>
      <c r="D16" s="211">
        <v>0</v>
      </c>
      <c r="E16" s="211">
        <v>0</v>
      </c>
    </row>
    <row r="17" spans="1:7" x14ac:dyDescent="0.3">
      <c r="A17" s="211">
        <v>2014</v>
      </c>
      <c r="B17" s="252">
        <v>16.55</v>
      </c>
      <c r="C17" s="252">
        <v>3.32</v>
      </c>
      <c r="D17" s="211">
        <v>0</v>
      </c>
      <c r="E17" s="211">
        <v>0</v>
      </c>
    </row>
    <row r="18" spans="1:7" x14ac:dyDescent="0.3">
      <c r="A18" s="211">
        <v>2015</v>
      </c>
      <c r="B18" s="252">
        <v>17.36</v>
      </c>
      <c r="C18" s="252">
        <v>6.73</v>
      </c>
      <c r="D18" s="211">
        <v>0</v>
      </c>
      <c r="E18" s="211">
        <v>0</v>
      </c>
    </row>
    <row r="19" spans="1:7" x14ac:dyDescent="0.3">
      <c r="A19" s="211">
        <v>2016</v>
      </c>
      <c r="B19" s="252">
        <v>17.57</v>
      </c>
      <c r="C19" s="252">
        <v>6.5</v>
      </c>
      <c r="D19" s="211">
        <v>0</v>
      </c>
      <c r="E19" s="211">
        <v>0</v>
      </c>
      <c r="G19" s="227">
        <f>((B19/B2)^(1/(COUNT(B2:B19))))-1</f>
        <v>0.19899258620487825</v>
      </c>
    </row>
    <row r="20" spans="1:7" x14ac:dyDescent="0.3">
      <c r="A20" s="211" t="s">
        <v>3</v>
      </c>
      <c r="B20" s="252">
        <f>SUM(B2:B19)</f>
        <v>157.91</v>
      </c>
      <c r="C20" s="252">
        <f>SUM(C2:C19)</f>
        <v>38.89</v>
      </c>
    </row>
    <row r="21" spans="1:7" x14ac:dyDescent="0.3">
      <c r="D21" s="908">
        <f>B20</f>
        <v>157.91</v>
      </c>
      <c r="E21" s="908">
        <f>C20</f>
        <v>38.89</v>
      </c>
    </row>
    <row r="23" spans="1:7" x14ac:dyDescent="0.3">
      <c r="A23" s="211" t="s">
        <v>3379</v>
      </c>
    </row>
    <row r="24" spans="1:7" x14ac:dyDescent="0.3">
      <c r="A24" s="211" t="s">
        <v>3378</v>
      </c>
    </row>
    <row r="25" spans="1:7" x14ac:dyDescent="0.3">
      <c r="A25" s="211" t="s">
        <v>3377</v>
      </c>
    </row>
    <row r="26" spans="1:7" x14ac:dyDescent="0.3">
      <c r="A26" s="211" t="s">
        <v>3376</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2B4FA-2882-4659-BC38-33714416CBF8}">
  <sheetPr>
    <tabColor theme="4"/>
  </sheetPr>
  <dimension ref="A1:K26"/>
  <sheetViews>
    <sheetView showGridLines="0" zoomScale="85" zoomScaleNormal="85" workbookViewId="0">
      <selection activeCell="Q31" sqref="Q31"/>
    </sheetView>
  </sheetViews>
  <sheetFormatPr defaultColWidth="9.109375" defaultRowHeight="15.6" x14ac:dyDescent="0.3"/>
  <cols>
    <col min="1" max="1" width="27" style="211" customWidth="1"/>
    <col min="2" max="2" width="13.33203125" style="211" bestFit="1" customWidth="1"/>
    <col min="3" max="3" width="9.109375" style="211"/>
    <col min="4" max="4" width="32.109375" style="211" customWidth="1"/>
    <col min="5" max="16384" width="9.109375" style="211"/>
  </cols>
  <sheetData>
    <row r="1" spans="1:2" x14ac:dyDescent="0.3">
      <c r="A1" s="152" t="s">
        <v>2667</v>
      </c>
    </row>
    <row r="2" spans="1:2" x14ac:dyDescent="0.3">
      <c r="A2" s="2794" t="s">
        <v>2666</v>
      </c>
      <c r="B2" s="2794"/>
    </row>
    <row r="3" spans="1:2" x14ac:dyDescent="0.3">
      <c r="A3" s="2794"/>
      <c r="B3" s="2794"/>
    </row>
    <row r="4" spans="1:2" ht="7.2" customHeight="1" thickBot="1" x14ac:dyDescent="0.35"/>
    <row r="5" spans="1:2" x14ac:dyDescent="0.3">
      <c r="A5" s="212" t="s">
        <v>1204</v>
      </c>
      <c r="B5" s="389"/>
    </row>
    <row r="6" spans="1:2" x14ac:dyDescent="0.3">
      <c r="A6" s="214" t="s">
        <v>2665</v>
      </c>
      <c r="B6" s="1551">
        <v>2221</v>
      </c>
    </row>
    <row r="7" spans="1:2" ht="4.5" customHeight="1" x14ac:dyDescent="0.3">
      <c r="A7" s="214"/>
      <c r="B7" s="1551"/>
    </row>
    <row r="8" spans="1:2" ht="4.5" customHeight="1" x14ac:dyDescent="0.3">
      <c r="A8" s="1995"/>
      <c r="B8" s="1994"/>
    </row>
    <row r="9" spans="1:2" ht="4.5" customHeight="1" x14ac:dyDescent="0.3">
      <c r="A9" s="214"/>
      <c r="B9" s="1551"/>
    </row>
    <row r="10" spans="1:2" x14ac:dyDescent="0.3">
      <c r="A10" s="214" t="s">
        <v>1886</v>
      </c>
      <c r="B10" s="260">
        <v>119758</v>
      </c>
    </row>
    <row r="11" spans="1:2" x14ac:dyDescent="0.3">
      <c r="A11" s="214" t="s">
        <v>2664</v>
      </c>
      <c r="B11" s="347">
        <f>B6/B10</f>
        <v>1.854573389669166E-2</v>
      </c>
    </row>
    <row r="12" spans="1:2" ht="4.5" customHeight="1" x14ac:dyDescent="0.3">
      <c r="A12" s="214"/>
      <c r="B12" s="1551"/>
    </row>
    <row r="13" spans="1:2" ht="4.5" customHeight="1" x14ac:dyDescent="0.3">
      <c r="A13" s="1995"/>
      <c r="B13" s="1994"/>
    </row>
    <row r="14" spans="1:2" ht="4.5" customHeight="1" x14ac:dyDescent="0.3">
      <c r="A14" s="214"/>
      <c r="B14" s="1551"/>
    </row>
    <row r="15" spans="1:2" x14ac:dyDescent="0.3">
      <c r="A15" s="214" t="s">
        <v>1888</v>
      </c>
      <c r="B15" s="260">
        <v>17704</v>
      </c>
    </row>
    <row r="16" spans="1:2" x14ac:dyDescent="0.3">
      <c r="A16" s="214" t="s">
        <v>2663</v>
      </c>
      <c r="B16" s="1106">
        <f>B10/B15</f>
        <v>6.7644600090375056</v>
      </c>
    </row>
    <row r="17" spans="1:11" ht="16.2" thickBot="1" x14ac:dyDescent="0.35">
      <c r="A17" s="224" t="s">
        <v>1569</v>
      </c>
      <c r="B17" s="366">
        <f>B6/B15</f>
        <v>0.12545187528242205</v>
      </c>
    </row>
    <row r="18" spans="1:11" x14ac:dyDescent="0.3">
      <c r="A18" s="2811" t="s">
        <v>3700</v>
      </c>
      <c r="B18" s="2811"/>
    </row>
    <row r="19" spans="1:11" x14ac:dyDescent="0.3">
      <c r="A19" s="2805"/>
      <c r="B19" s="2805"/>
    </row>
    <row r="22" spans="1:11" x14ac:dyDescent="0.3">
      <c r="D22" s="459" t="s">
        <v>2662</v>
      </c>
    </row>
    <row r="23" spans="1:11" x14ac:dyDescent="0.3">
      <c r="D23" s="152" t="s">
        <v>2661</v>
      </c>
    </row>
    <row r="24" spans="1:11" ht="8.25" customHeight="1" thickBot="1" x14ac:dyDescent="0.35"/>
    <row r="25" spans="1:11" x14ac:dyDescent="0.3">
      <c r="D25" s="212" t="s">
        <v>2660</v>
      </c>
      <c r="E25" s="522"/>
      <c r="F25" s="522"/>
      <c r="G25" s="522"/>
      <c r="H25" s="522"/>
      <c r="I25" s="522"/>
      <c r="J25" s="522"/>
      <c r="K25" s="389"/>
    </row>
    <row r="26" spans="1:11" ht="16.2" thickBot="1" x14ac:dyDescent="0.35">
      <c r="D26" s="217" t="s">
        <v>2659</v>
      </c>
      <c r="E26" s="218"/>
      <c r="F26" s="218"/>
      <c r="G26" s="218"/>
      <c r="H26" s="218"/>
      <c r="I26" s="218"/>
      <c r="J26" s="218"/>
      <c r="K26" s="219"/>
    </row>
  </sheetData>
  <mergeCells count="2">
    <mergeCell ref="A2:B3"/>
    <mergeCell ref="A18:B19"/>
  </mergeCells>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6E67-AD36-4B57-9E02-6758ACB95D46}">
  <sheetPr>
    <tabColor theme="4"/>
  </sheetPr>
  <dimension ref="A1:I68"/>
  <sheetViews>
    <sheetView showGridLines="0" zoomScaleNormal="100" workbookViewId="0">
      <selection activeCell="I30" sqref="I30"/>
    </sheetView>
  </sheetViews>
  <sheetFormatPr defaultColWidth="9.109375" defaultRowHeight="15.6" outlineLevelRow="1" x14ac:dyDescent="0.3"/>
  <cols>
    <col min="1" max="1" width="34.88671875" style="211" customWidth="1"/>
    <col min="2" max="6" width="9.109375" style="211" bestFit="1" customWidth="1"/>
    <col min="7" max="7" width="7.88671875" style="211" customWidth="1"/>
    <col min="8" max="16384" width="9.109375" style="211"/>
  </cols>
  <sheetData>
    <row r="1" spans="1:7" s="309" customFormat="1" x14ac:dyDescent="0.3">
      <c r="A1" s="309" t="s">
        <v>556</v>
      </c>
      <c r="B1" s="309">
        <v>2015</v>
      </c>
      <c r="C1" s="309">
        <v>2015</v>
      </c>
      <c r="D1" s="309">
        <v>2015</v>
      </c>
    </row>
    <row r="2" spans="1:7" x14ac:dyDescent="0.3">
      <c r="A2" s="459" t="s">
        <v>2240</v>
      </c>
    </row>
    <row r="3" spans="1:7" x14ac:dyDescent="0.3">
      <c r="A3" s="152" t="s">
        <v>2317</v>
      </c>
    </row>
    <row r="4" spans="1:7" ht="8.25" customHeight="1" thickBot="1" x14ac:dyDescent="0.35"/>
    <row r="5" spans="1:7" x14ac:dyDescent="0.3">
      <c r="A5" s="1818" t="s">
        <v>1250</v>
      </c>
      <c r="B5" s="1819">
        <v>2015</v>
      </c>
      <c r="C5" s="1819">
        <v>2014</v>
      </c>
      <c r="D5" s="1819">
        <v>2013</v>
      </c>
      <c r="E5" s="1819">
        <v>2012</v>
      </c>
      <c r="F5" s="1820">
        <v>2011</v>
      </c>
    </row>
    <row r="6" spans="1:7" x14ac:dyDescent="0.3">
      <c r="A6" s="1821" t="s">
        <v>289</v>
      </c>
      <c r="B6" s="1822">
        <v>10005</v>
      </c>
      <c r="C6" s="1822">
        <v>9533</v>
      </c>
      <c r="D6" s="1822">
        <v>8347</v>
      </c>
      <c r="E6" s="1822">
        <v>7201.9</v>
      </c>
      <c r="F6" s="1823">
        <v>6208.7</v>
      </c>
      <c r="G6" s="1339"/>
    </row>
    <row r="7" spans="1:7" ht="18.600000000000001" x14ac:dyDescent="0.3">
      <c r="A7" s="734" t="s">
        <v>1737</v>
      </c>
      <c r="B7" s="1341">
        <f>B6/B41</f>
        <v>1.7883635713647332</v>
      </c>
      <c r="C7" s="1341">
        <f>C6/C41</f>
        <v>1.7993922120085317</v>
      </c>
      <c r="D7" s="1341">
        <f>D6/D41</f>
        <v>1.7736366244169863</v>
      </c>
      <c r="E7" s="1341">
        <f>E6/E41</f>
        <v>1.6948039723255044</v>
      </c>
      <c r="F7" s="1342">
        <f>F6/F41</f>
        <v>1.6710042927695763</v>
      </c>
      <c r="G7" s="1341"/>
    </row>
    <row r="8" spans="1:7" hidden="1" outlineLevel="1" x14ac:dyDescent="0.3">
      <c r="A8" s="734" t="s">
        <v>2269</v>
      </c>
      <c r="B8" s="1341"/>
      <c r="C8" s="1341"/>
      <c r="D8" s="1341"/>
      <c r="E8" s="1341"/>
      <c r="F8" s="1342"/>
      <c r="G8" s="1341"/>
    </row>
    <row r="9" spans="1:7" hidden="1" outlineLevel="1" x14ac:dyDescent="0.3">
      <c r="A9" s="734" t="s">
        <v>2319</v>
      </c>
      <c r="B9" s="1344">
        <v>2539</v>
      </c>
      <c r="C9" s="1344">
        <v>2588</v>
      </c>
      <c r="D9" s="1344">
        <v>2128</v>
      </c>
      <c r="E9" s="1344">
        <v>1810.7</v>
      </c>
      <c r="F9" s="1695">
        <v>1492.5</v>
      </c>
      <c r="G9" s="1341"/>
    </row>
    <row r="10" spans="1:7" hidden="1" outlineLevel="1" x14ac:dyDescent="0.3">
      <c r="A10" s="734" t="s">
        <v>2313</v>
      </c>
      <c r="B10" s="1344">
        <v>42</v>
      </c>
      <c r="C10" s="1344">
        <v>41</v>
      </c>
      <c r="D10" s="1344">
        <v>26</v>
      </c>
      <c r="E10" s="1344">
        <v>13.8</v>
      </c>
      <c r="F10" s="1695">
        <v>13.9</v>
      </c>
      <c r="G10" s="1341"/>
    </row>
    <row r="11" spans="1:7" hidden="1" outlineLevel="1" x14ac:dyDescent="0.3">
      <c r="A11" s="734" t="s">
        <v>2277</v>
      </c>
      <c r="B11" s="1344">
        <f>SUM(B9:B10)</f>
        <v>2581</v>
      </c>
      <c r="C11" s="1344">
        <f>SUM(C9:C10)</f>
        <v>2629</v>
      </c>
      <c r="D11" s="1344">
        <f>SUM(D9:D10)</f>
        <v>2154</v>
      </c>
      <c r="E11" s="1344">
        <f>SUM(E9:E10)</f>
        <v>1824.5</v>
      </c>
      <c r="F11" s="1695">
        <f>SUM(F9:F10)</f>
        <v>1506.4</v>
      </c>
      <c r="G11" s="1380"/>
    </row>
    <row r="12" spans="1:7" ht="18.600000000000001" collapsed="1" x14ac:dyDescent="0.3">
      <c r="A12" s="734" t="s">
        <v>1985</v>
      </c>
      <c r="B12" s="1824">
        <f>B11/B6</f>
        <v>0.25797101449275361</v>
      </c>
      <c r="C12" s="1824">
        <f>C11/C6</f>
        <v>0.27577887338718138</v>
      </c>
      <c r="D12" s="1824">
        <f>D11/D6</f>
        <v>0.25805678686953398</v>
      </c>
      <c r="E12" s="1824">
        <f>E11/E6</f>
        <v>0.25333592524195003</v>
      </c>
      <c r="F12" s="1837">
        <f>F11/F6</f>
        <v>0.24262728107333259</v>
      </c>
      <c r="G12" s="464"/>
    </row>
    <row r="13" spans="1:7" s="612" customFormat="1" x14ac:dyDescent="0.3">
      <c r="A13" s="734" t="s">
        <v>1563</v>
      </c>
      <c r="B13" s="1824">
        <f>B12*B7</f>
        <v>0.4613459647868442</v>
      </c>
      <c r="C13" s="1824">
        <f>C12*C7</f>
        <v>0.49623435700938112</v>
      </c>
      <c r="D13" s="1824">
        <f>D12*D7</f>
        <v>0.45769896837117391</v>
      </c>
      <c r="E13" s="1824">
        <f t="shared" ref="E13:F13" si="0">E12*E7</f>
        <v>0.42935473243281391</v>
      </c>
      <c r="F13" s="1837">
        <f t="shared" si="0"/>
        <v>0.40543122821654931</v>
      </c>
      <c r="G13" s="827"/>
    </row>
    <row r="14" spans="1:7" s="612" customFormat="1" ht="4.5" customHeight="1" x14ac:dyDescent="0.3">
      <c r="A14" s="734"/>
      <c r="B14" s="397"/>
      <c r="C14" s="397"/>
      <c r="D14" s="397"/>
      <c r="E14" s="397"/>
      <c r="F14" s="1281"/>
      <c r="G14" s="397"/>
    </row>
    <row r="15" spans="1:7" s="612" customFormat="1" ht="4.5" customHeight="1" x14ac:dyDescent="0.3">
      <c r="A15" s="1155"/>
      <c r="B15" s="684"/>
      <c r="C15" s="684"/>
      <c r="D15" s="684"/>
      <c r="E15" s="684"/>
      <c r="F15" s="1279"/>
      <c r="G15" s="397"/>
    </row>
    <row r="16" spans="1:7" s="612" customFormat="1" ht="4.5" customHeight="1" x14ac:dyDescent="0.3">
      <c r="A16" s="734"/>
      <c r="B16" s="397"/>
      <c r="C16" s="397"/>
      <c r="D16" s="397"/>
      <c r="E16" s="397"/>
      <c r="F16" s="1281"/>
      <c r="G16" s="397"/>
    </row>
    <row r="17" spans="1:7" s="612" customFormat="1" x14ac:dyDescent="0.3">
      <c r="A17" s="734" t="s">
        <v>1730</v>
      </c>
      <c r="B17" s="1339">
        <v>32658</v>
      </c>
      <c r="C17" s="397"/>
      <c r="D17" s="397"/>
      <c r="E17" s="397"/>
      <c r="F17" s="1281"/>
      <c r="G17" s="397"/>
    </row>
    <row r="18" spans="1:7" s="612" customFormat="1" x14ac:dyDescent="0.3">
      <c r="A18" s="734" t="s">
        <v>23</v>
      </c>
      <c r="B18" s="1344">
        <f>B37</f>
        <v>4586</v>
      </c>
      <c r="C18" s="1344"/>
      <c r="D18" s="397"/>
      <c r="E18" s="397"/>
      <c r="F18" s="1281"/>
      <c r="G18" s="397"/>
    </row>
    <row r="19" spans="1:7" s="612" customFormat="1" x14ac:dyDescent="0.3">
      <c r="A19" s="734" t="s">
        <v>1708</v>
      </c>
      <c r="B19" s="1343">
        <f>B17+B18</f>
        <v>37244</v>
      </c>
      <c r="C19" s="1826"/>
      <c r="D19" s="397"/>
      <c r="E19" s="397"/>
      <c r="F19" s="1281"/>
      <c r="G19" s="397"/>
    </row>
    <row r="20" spans="1:7" s="612" customFormat="1" ht="4.5" customHeight="1" x14ac:dyDescent="0.3">
      <c r="A20" s="734"/>
      <c r="B20" s="397"/>
      <c r="C20" s="397"/>
      <c r="D20" s="397"/>
      <c r="E20" s="397"/>
      <c r="F20" s="1281"/>
      <c r="G20" s="397"/>
    </row>
    <row r="21" spans="1:7" s="612" customFormat="1" ht="4.5" customHeight="1" x14ac:dyDescent="0.3">
      <c r="A21" s="734"/>
      <c r="B21" s="397"/>
      <c r="C21" s="397"/>
      <c r="D21" s="397"/>
      <c r="E21" s="397"/>
      <c r="F21" s="1281"/>
      <c r="G21" s="397"/>
    </row>
    <row r="22" spans="1:7" s="612" customFormat="1" ht="4.5" customHeight="1" x14ac:dyDescent="0.3">
      <c r="A22" s="734"/>
      <c r="B22" s="397"/>
      <c r="C22" s="397"/>
      <c r="D22" s="397"/>
      <c r="E22" s="397"/>
      <c r="F22" s="1281"/>
      <c r="G22" s="397"/>
    </row>
    <row r="23" spans="1:7" s="612" customFormat="1" x14ac:dyDescent="0.3">
      <c r="A23" s="734" t="s">
        <v>1705</v>
      </c>
      <c r="B23" s="2691">
        <f>B19/B41</f>
        <v>6.6572526588613821</v>
      </c>
      <c r="C23" s="397"/>
      <c r="D23" s="397"/>
      <c r="E23" s="397"/>
      <c r="F23" s="1281"/>
      <c r="G23" s="397"/>
    </row>
    <row r="24" spans="1:7" s="612" customFormat="1" x14ac:dyDescent="0.3">
      <c r="A24" s="734" t="s">
        <v>1706</v>
      </c>
      <c r="B24" s="827">
        <f>B13/B23</f>
        <v>6.9299752980345825E-2</v>
      </c>
      <c r="C24" s="397"/>
      <c r="D24" s="397"/>
      <c r="E24" s="397"/>
      <c r="F24" s="1281"/>
      <c r="G24" s="397"/>
    </row>
    <row r="25" spans="1:7" ht="4.5" customHeight="1" x14ac:dyDescent="0.3">
      <c r="A25" s="734"/>
      <c r="B25" s="397"/>
      <c r="C25" s="397"/>
      <c r="D25" s="397"/>
      <c r="E25" s="397"/>
      <c r="F25" s="1281"/>
      <c r="G25" s="397"/>
    </row>
    <row r="26" spans="1:7" ht="4.5" customHeight="1" x14ac:dyDescent="0.3">
      <c r="A26" s="1827"/>
      <c r="B26" s="1828"/>
      <c r="C26" s="1828"/>
      <c r="D26" s="1828"/>
      <c r="E26" s="1828"/>
      <c r="F26" s="1829"/>
      <c r="G26" s="397"/>
    </row>
    <row r="27" spans="1:7" ht="4.5" customHeight="1" x14ac:dyDescent="0.3">
      <c r="A27" s="734"/>
      <c r="B27" s="397"/>
      <c r="C27" s="397"/>
      <c r="D27" s="397"/>
      <c r="E27" s="397"/>
      <c r="F27" s="1281"/>
      <c r="G27" s="397"/>
    </row>
    <row r="28" spans="1:7" s="612" customFormat="1" x14ac:dyDescent="0.3">
      <c r="A28" s="1175" t="s">
        <v>2314</v>
      </c>
      <c r="B28" s="1627"/>
      <c r="C28" s="1627"/>
      <c r="D28" s="1627"/>
      <c r="E28" s="1627"/>
      <c r="F28" s="1628"/>
      <c r="G28" s="397"/>
    </row>
    <row r="29" spans="1:7" s="612" customFormat="1" ht="9" customHeight="1" x14ac:dyDescent="0.3">
      <c r="A29" s="734"/>
      <c r="B29" s="1627"/>
      <c r="C29" s="1627"/>
      <c r="D29" s="1627"/>
      <c r="E29" s="1627"/>
      <c r="F29" s="1628"/>
      <c r="G29" s="397"/>
    </row>
    <row r="30" spans="1:7" s="612" customFormat="1" x14ac:dyDescent="0.3">
      <c r="A30" s="1175" t="s">
        <v>1398</v>
      </c>
      <c r="B30" s="1627"/>
      <c r="C30" s="1627"/>
      <c r="D30" s="1627"/>
      <c r="E30" s="1627"/>
      <c r="F30" s="1628"/>
      <c r="G30" s="397" t="s">
        <v>176</v>
      </c>
    </row>
    <row r="31" spans="1:7" s="612" customFormat="1" x14ac:dyDescent="0.3">
      <c r="A31" s="2824" t="s">
        <v>2315</v>
      </c>
      <c r="B31" s="2825"/>
      <c r="C31" s="2825"/>
      <c r="D31" s="2825"/>
      <c r="E31" s="2825"/>
      <c r="F31" s="2826"/>
      <c r="G31" s="397"/>
    </row>
    <row r="32" spans="1:7" s="612" customFormat="1" ht="6" customHeight="1" thickBot="1" x14ac:dyDescent="0.35">
      <c r="A32" s="1177"/>
      <c r="B32" s="1787"/>
      <c r="C32" s="1787"/>
      <c r="D32" s="1787"/>
      <c r="E32" s="1787"/>
      <c r="F32" s="1788"/>
      <c r="G32" s="397"/>
    </row>
    <row r="33" spans="1:9" s="612" customFormat="1" ht="30.75" customHeight="1" x14ac:dyDescent="0.3">
      <c r="A33" s="2936" t="s">
        <v>2316</v>
      </c>
      <c r="B33" s="2936"/>
      <c r="C33" s="2936"/>
      <c r="D33" s="2936"/>
      <c r="E33" s="2936"/>
      <c r="F33" s="2936"/>
      <c r="G33" s="397"/>
    </row>
    <row r="34" spans="1:9" ht="30.75" customHeight="1" x14ac:dyDescent="0.3">
      <c r="A34" s="2784" t="s">
        <v>3797</v>
      </c>
      <c r="B34" s="1789"/>
      <c r="C34" s="1789"/>
      <c r="D34" s="1789"/>
      <c r="E34" s="1789"/>
      <c r="F34" s="1789"/>
      <c r="G34" s="397"/>
      <c r="H34" s="211" t="s">
        <v>176</v>
      </c>
    </row>
    <row r="35" spans="1:9" x14ac:dyDescent="0.3">
      <c r="B35" s="1332">
        <f>B5</f>
        <v>2015</v>
      </c>
      <c r="C35" s="1332">
        <f>C5</f>
        <v>2014</v>
      </c>
      <c r="D35" s="1332">
        <f>D5</f>
        <v>2013</v>
      </c>
      <c r="E35" s="1332">
        <f>E5</f>
        <v>2012</v>
      </c>
      <c r="F35" s="1332">
        <f>F5</f>
        <v>2011</v>
      </c>
      <c r="G35" s="1332">
        <v>2010</v>
      </c>
    </row>
    <row r="36" spans="1:9" x14ac:dyDescent="0.3">
      <c r="A36" s="612" t="s">
        <v>1766</v>
      </c>
      <c r="B36" s="1836">
        <v>10957</v>
      </c>
      <c r="C36" s="1836">
        <v>11413</v>
      </c>
      <c r="D36" s="1836">
        <v>9804.4</v>
      </c>
      <c r="E36" s="1836">
        <v>8364.7999999999993</v>
      </c>
      <c r="F36" s="1836">
        <v>7164.5</v>
      </c>
      <c r="G36" s="1836">
        <v>5891.7</v>
      </c>
      <c r="I36" s="612"/>
    </row>
    <row r="37" spans="1:9" x14ac:dyDescent="0.3">
      <c r="A37" s="612" t="s">
        <v>23</v>
      </c>
      <c r="B37" s="1836">
        <f>3493+1093</f>
        <v>4586</v>
      </c>
      <c r="C37" s="1836">
        <f>3569+2</f>
        <v>3571</v>
      </c>
      <c r="D37" s="1836">
        <f>3603.2+204</f>
        <v>3807.2</v>
      </c>
      <c r="E37" s="1836">
        <f>207.7+0.5</f>
        <v>208.2</v>
      </c>
      <c r="F37" s="1836">
        <f>221.9+14.7</f>
        <v>236.6</v>
      </c>
      <c r="G37" s="1836">
        <f>234.9+15.1</f>
        <v>250</v>
      </c>
    </row>
    <row r="38" spans="1:9" x14ac:dyDescent="0.3">
      <c r="A38" s="612" t="s">
        <v>2305</v>
      </c>
      <c r="B38" s="1836">
        <v>678</v>
      </c>
      <c r="C38" s="1836">
        <v>442</v>
      </c>
      <c r="D38" s="1836">
        <v>548.29999999999995</v>
      </c>
      <c r="E38" s="1836">
        <v>358.9</v>
      </c>
      <c r="F38" s="1836">
        <v>252.5</v>
      </c>
      <c r="G38" s="1836">
        <v>284.39999999999998</v>
      </c>
    </row>
    <row r="39" spans="1:9" x14ac:dyDescent="0.3">
      <c r="A39" s="612" t="s">
        <v>1980</v>
      </c>
      <c r="B39" s="1836">
        <f>-6661-3744</f>
        <v>-10405</v>
      </c>
      <c r="C39" s="1836">
        <f>-6613-3440</f>
        <v>-10053</v>
      </c>
      <c r="D39" s="1836">
        <f>-5906.7-3030.4</f>
        <v>-8937.1</v>
      </c>
      <c r="E39" s="1836">
        <f>-3514.3-1228.1</f>
        <v>-4742.3999999999996</v>
      </c>
      <c r="F39" s="1836">
        <f>-2889.2-455.1</f>
        <v>-3344.2999999999997</v>
      </c>
      <c r="G39" s="1836">
        <f>-2835.9-468.4</f>
        <v>-3304.3</v>
      </c>
    </row>
    <row r="40" spans="1:9" x14ac:dyDescent="0.3">
      <c r="A40" s="612" t="s">
        <v>257</v>
      </c>
      <c r="B40" s="1836">
        <f>B36+B37+B39+B38</f>
        <v>5816</v>
      </c>
      <c r="C40" s="1836">
        <f>C36+C37+C39+C38</f>
        <v>5373</v>
      </c>
      <c r="D40" s="1836">
        <f t="shared" ref="D40:G40" si="1">D36+D37+D39+D38</f>
        <v>5222.7999999999984</v>
      </c>
      <c r="E40" s="1836">
        <f t="shared" si="1"/>
        <v>4189.5</v>
      </c>
      <c r="F40" s="1836">
        <f t="shared" si="1"/>
        <v>4309.3000000000011</v>
      </c>
      <c r="G40" s="1836">
        <f t="shared" si="1"/>
        <v>3121.7999999999997</v>
      </c>
    </row>
    <row r="41" spans="1:9" x14ac:dyDescent="0.3">
      <c r="A41" s="612" t="s">
        <v>1767</v>
      </c>
      <c r="B41" s="1836">
        <f>AVERAGE(B40:C40)</f>
        <v>5594.5</v>
      </c>
      <c r="C41" s="1836">
        <f t="shared" ref="C41:E41" si="2">AVERAGE(C40:D40)</f>
        <v>5297.9</v>
      </c>
      <c r="D41" s="1836">
        <f t="shared" si="2"/>
        <v>4706.1499999999996</v>
      </c>
      <c r="E41" s="1836">
        <f t="shared" si="2"/>
        <v>4249.4000000000005</v>
      </c>
      <c r="F41" s="1836">
        <f>AVERAGE(F40:G40)</f>
        <v>3715.55</v>
      </c>
      <c r="G41" s="1836"/>
    </row>
    <row r="42" spans="1:9" x14ac:dyDescent="0.3">
      <c r="A42" s="612"/>
      <c r="B42" s="1836"/>
      <c r="C42" s="1836"/>
      <c r="D42" s="1836"/>
      <c r="E42" s="1836"/>
      <c r="F42" s="1836"/>
      <c r="G42" s="1836"/>
    </row>
    <row r="43" spans="1:9" x14ac:dyDescent="0.3">
      <c r="A43" s="612"/>
      <c r="B43" s="1836"/>
      <c r="C43" s="1836"/>
      <c r="D43" s="1836"/>
      <c r="E43" s="1836"/>
      <c r="F43" s="1836"/>
      <c r="G43" s="1836"/>
    </row>
    <row r="44" spans="1:9" x14ac:dyDescent="0.3">
      <c r="A44" s="612" t="s">
        <v>2268</v>
      </c>
      <c r="B44" s="1836"/>
      <c r="C44" s="1836"/>
      <c r="D44" s="1836"/>
      <c r="E44" s="1836"/>
      <c r="F44" s="1836"/>
      <c r="G44" s="1836"/>
    </row>
    <row r="45" spans="1:9" x14ac:dyDescent="0.3">
      <c r="A45" s="612"/>
      <c r="B45" s="1836"/>
      <c r="C45" s="1836"/>
      <c r="D45" s="1836"/>
      <c r="E45" s="1836"/>
      <c r="F45" s="1836"/>
      <c r="G45" s="1836"/>
    </row>
    <row r="46" spans="1:9" ht="8.25" customHeight="1" x14ac:dyDescent="0.3">
      <c r="B46" s="1622"/>
      <c r="C46" s="1622"/>
      <c r="D46" s="1622"/>
      <c r="E46" s="1622"/>
      <c r="F46" s="1622"/>
      <c r="G46" s="1622"/>
    </row>
    <row r="47" spans="1:9" x14ac:dyDescent="0.3">
      <c r="B47" s="1622"/>
      <c r="C47" s="1622"/>
      <c r="D47" s="1622"/>
      <c r="E47" s="1622"/>
      <c r="F47" s="1622"/>
      <c r="G47" s="1622"/>
    </row>
    <row r="48" spans="1:9" x14ac:dyDescent="0.3">
      <c r="A48" s="211" t="s">
        <v>2299</v>
      </c>
      <c r="B48" s="1622"/>
      <c r="C48" s="1622"/>
      <c r="D48" s="1622"/>
      <c r="E48" s="1622"/>
      <c r="F48" s="1622"/>
      <c r="G48" s="1622"/>
    </row>
    <row r="49" spans="1:7" x14ac:dyDescent="0.3">
      <c r="A49" s="211" t="s">
        <v>5</v>
      </c>
      <c r="B49" s="1836">
        <v>474</v>
      </c>
      <c r="C49" s="1836">
        <v>361</v>
      </c>
      <c r="D49" s="1836"/>
      <c r="E49" s="1836"/>
      <c r="F49" s="1836"/>
      <c r="G49" s="1836"/>
    </row>
    <row r="50" spans="1:7" x14ac:dyDescent="0.3">
      <c r="A50" s="211" t="s">
        <v>618</v>
      </c>
      <c r="B50" s="1836">
        <v>1710</v>
      </c>
      <c r="C50" s="1836">
        <v>1568</v>
      </c>
      <c r="D50" s="1836"/>
      <c r="E50" s="1836"/>
      <c r="F50" s="1836"/>
      <c r="G50" s="1836"/>
    </row>
    <row r="51" spans="1:7" x14ac:dyDescent="0.3">
      <c r="A51" s="211" t="s">
        <v>10</v>
      </c>
      <c r="B51" s="1836">
        <v>3640</v>
      </c>
      <c r="C51" s="1836">
        <v>3426</v>
      </c>
      <c r="D51" s="1836"/>
      <c r="E51" s="1836"/>
      <c r="F51" s="1836"/>
      <c r="G51" s="1836"/>
    </row>
    <row r="52" spans="1:7" x14ac:dyDescent="0.3">
      <c r="A52" s="211" t="s">
        <v>966</v>
      </c>
      <c r="B52" s="1836">
        <v>81</v>
      </c>
      <c r="C52" s="1836">
        <v>105</v>
      </c>
      <c r="D52" s="1836"/>
      <c r="E52" s="1836"/>
      <c r="F52" s="1836"/>
      <c r="G52" s="1836"/>
    </row>
    <row r="53" spans="1:7" x14ac:dyDescent="0.3">
      <c r="A53" s="211" t="s">
        <v>967</v>
      </c>
      <c r="B53" s="1836">
        <f>SUM(B49:B52)</f>
        <v>5905</v>
      </c>
      <c r="C53" s="1836">
        <f>SUM(C49:C52)</f>
        <v>5460</v>
      </c>
      <c r="D53" s="1836">
        <f t="shared" ref="D53:E53" si="3">SUM(D49:D52)</f>
        <v>0</v>
      </c>
      <c r="E53" s="1836">
        <f t="shared" si="3"/>
        <v>0</v>
      </c>
      <c r="F53" s="1836"/>
      <c r="G53" s="1836"/>
    </row>
    <row r="54" spans="1:7" x14ac:dyDescent="0.3">
      <c r="B54" s="1836"/>
      <c r="C54" s="1836"/>
      <c r="D54" s="1836"/>
      <c r="E54" s="1836"/>
      <c r="F54" s="1836"/>
      <c r="G54" s="1836"/>
    </row>
    <row r="55" spans="1:7" x14ac:dyDescent="0.3">
      <c r="A55" s="211" t="s">
        <v>1255</v>
      </c>
      <c r="B55" s="1836">
        <v>1162</v>
      </c>
      <c r="C55" s="1836">
        <v>1039</v>
      </c>
      <c r="D55" s="1836"/>
      <c r="E55" s="1836"/>
      <c r="F55" s="1836"/>
      <c r="G55" s="1836"/>
    </row>
    <row r="56" spans="1:7" x14ac:dyDescent="0.3">
      <c r="A56" s="211" t="s">
        <v>2318</v>
      </c>
      <c r="B56" s="1836">
        <v>559</v>
      </c>
      <c r="C56" s="1836">
        <v>554</v>
      </c>
      <c r="D56" s="1836"/>
      <c r="E56" s="1836"/>
      <c r="F56" s="1836"/>
      <c r="G56" s="1836"/>
    </row>
    <row r="57" spans="1:7" x14ac:dyDescent="0.3">
      <c r="A57" s="211" t="s">
        <v>972</v>
      </c>
      <c r="B57" s="1836">
        <v>0</v>
      </c>
      <c r="C57" s="1836">
        <v>0</v>
      </c>
      <c r="D57" s="1836"/>
      <c r="E57" s="1836"/>
      <c r="F57" s="1836"/>
      <c r="G57" s="1836"/>
    </row>
    <row r="58" spans="1:7" x14ac:dyDescent="0.3">
      <c r="A58" s="211" t="s">
        <v>973</v>
      </c>
      <c r="B58" s="1836">
        <f>SUM(B55:B57)</f>
        <v>1721</v>
      </c>
      <c r="C58" s="1836">
        <f>SUM(C55:C57)</f>
        <v>1593</v>
      </c>
      <c r="D58" s="1836">
        <f>SUM(D55:D57)</f>
        <v>0</v>
      </c>
      <c r="E58" s="1836">
        <f>SUM(E55:E57)</f>
        <v>0</v>
      </c>
      <c r="F58" s="1836"/>
      <c r="G58" s="1836"/>
    </row>
    <row r="59" spans="1:7" x14ac:dyDescent="0.3">
      <c r="B59" s="1836"/>
      <c r="C59" s="1836"/>
      <c r="D59" s="1836"/>
      <c r="E59" s="1836"/>
      <c r="F59" s="1836"/>
      <c r="G59" s="1836"/>
    </row>
    <row r="60" spans="1:7" x14ac:dyDescent="0.3">
      <c r="A60" s="211" t="s">
        <v>2303</v>
      </c>
      <c r="B60" s="1836">
        <f>B53-B58</f>
        <v>4184</v>
      </c>
      <c r="C60" s="1836">
        <f>C53-C58</f>
        <v>3867</v>
      </c>
      <c r="D60" s="1836">
        <f>D53-D58</f>
        <v>0</v>
      </c>
      <c r="E60" s="1836">
        <f>E53-E58</f>
        <v>0</v>
      </c>
      <c r="F60" s="1836"/>
      <c r="G60" s="1836"/>
    </row>
    <row r="61" spans="1:7" x14ac:dyDescent="0.3">
      <c r="B61" s="1836"/>
      <c r="C61" s="1836"/>
      <c r="D61" s="1836"/>
      <c r="E61" s="1836"/>
      <c r="F61" s="1836"/>
      <c r="G61" s="1836"/>
    </row>
    <row r="62" spans="1:7" x14ac:dyDescent="0.3">
      <c r="A62" s="211" t="s">
        <v>2304</v>
      </c>
      <c r="B62" s="1836">
        <v>2474</v>
      </c>
      <c r="C62" s="1836">
        <v>2300</v>
      </c>
      <c r="D62" s="1836"/>
      <c r="E62" s="1836"/>
      <c r="F62" s="1836"/>
      <c r="G62" s="1836"/>
    </row>
    <row r="63" spans="1:7" x14ac:dyDescent="0.3">
      <c r="B63" s="1836"/>
      <c r="C63" s="1836"/>
      <c r="D63" s="1836"/>
      <c r="E63" s="1836"/>
      <c r="F63" s="1836"/>
      <c r="G63" s="1836"/>
    </row>
    <row r="64" spans="1:7" x14ac:dyDescent="0.3">
      <c r="A64" s="211" t="s">
        <v>257</v>
      </c>
      <c r="B64" s="1622">
        <f>B60+B62</f>
        <v>6658</v>
      </c>
      <c r="C64" s="1622">
        <f>C60+C62</f>
        <v>6167</v>
      </c>
      <c r="D64" s="1622">
        <f t="shared" ref="D64:E64" si="4">D60+D62</f>
        <v>0</v>
      </c>
      <c r="E64" s="1622">
        <f t="shared" si="4"/>
        <v>0</v>
      </c>
    </row>
    <row r="66" spans="1:4" x14ac:dyDescent="0.3">
      <c r="A66" s="211" t="s">
        <v>1767</v>
      </c>
      <c r="B66" s="1622">
        <f>AVERAGE(B64:C64)</f>
        <v>6412.5</v>
      </c>
      <c r="C66" s="1622">
        <f t="shared" ref="C66:D66" si="5">AVERAGE(C64:D64)</f>
        <v>3083.5</v>
      </c>
      <c r="D66" s="1622">
        <f t="shared" si="5"/>
        <v>0</v>
      </c>
    </row>
    <row r="68" spans="1:4" ht="9" customHeight="1" x14ac:dyDescent="0.3"/>
  </sheetData>
  <mergeCells count="2">
    <mergeCell ref="A31:F31"/>
    <mergeCell ref="A33:F33"/>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B17FF-A7CA-425B-92EA-8CB39F7BCF8A}">
  <sheetPr>
    <tabColor theme="4"/>
  </sheetPr>
  <dimension ref="A1:L24"/>
  <sheetViews>
    <sheetView showGridLines="0" workbookViewId="0">
      <selection activeCell="L23" sqref="L23"/>
    </sheetView>
  </sheetViews>
  <sheetFormatPr defaultColWidth="9.109375" defaultRowHeight="15.6" x14ac:dyDescent="0.3"/>
  <cols>
    <col min="1" max="1" width="37.88671875" style="211" customWidth="1"/>
    <col min="2" max="2" width="10" style="211" customWidth="1"/>
    <col min="3" max="3" width="1.6640625" style="211" customWidth="1"/>
    <col min="4" max="4" width="9.109375" style="211"/>
    <col min="5" max="5" width="1.6640625" style="211" customWidth="1"/>
    <col min="6" max="6" width="10" style="211" bestFit="1" customWidth="1"/>
    <col min="7" max="16384" width="9.109375" style="211"/>
  </cols>
  <sheetData>
    <row r="1" spans="1:10" x14ac:dyDescent="0.3">
      <c r="A1" s="459" t="s">
        <v>2240</v>
      </c>
    </row>
    <row r="2" spans="1:10" x14ac:dyDescent="0.3">
      <c r="A2" s="152" t="s">
        <v>2259</v>
      </c>
    </row>
    <row r="3" spans="1:10" ht="8.25" customHeight="1" thickBot="1" x14ac:dyDescent="0.35"/>
    <row r="4" spans="1:10" x14ac:dyDescent="0.3">
      <c r="A4" s="212" t="s">
        <v>1250</v>
      </c>
      <c r="B4" s="712">
        <v>2016</v>
      </c>
      <c r="C4" s="712"/>
      <c r="D4" s="712">
        <v>2015</v>
      </c>
      <c r="E4" s="712"/>
      <c r="F4" s="713" t="s">
        <v>1290</v>
      </c>
    </row>
    <row r="5" spans="1:10" x14ac:dyDescent="0.3">
      <c r="A5" s="214" t="s">
        <v>2260</v>
      </c>
      <c r="B5" s="2759">
        <v>4209</v>
      </c>
      <c r="C5" s="2759"/>
      <c r="D5" s="2759">
        <v>2994</v>
      </c>
      <c r="E5" s="2168"/>
      <c r="F5" s="2625">
        <f>B5/D5-1</f>
        <v>0.405811623246493</v>
      </c>
    </row>
    <row r="6" spans="1:10" x14ac:dyDescent="0.3">
      <c r="A6" s="214" t="s">
        <v>2261</v>
      </c>
      <c r="B6" s="2761">
        <v>1178</v>
      </c>
      <c r="C6" s="2761"/>
      <c r="D6" s="2761">
        <v>1167</v>
      </c>
      <c r="E6" s="1622"/>
      <c r="F6" s="2625">
        <f>B6/D6-1</f>
        <v>9.425878320479919E-3</v>
      </c>
    </row>
    <row r="7" spans="1:10" x14ac:dyDescent="0.3">
      <c r="A7" s="214" t="s">
        <v>2262</v>
      </c>
      <c r="B7" s="2761">
        <v>824</v>
      </c>
      <c r="C7" s="2761"/>
      <c r="D7" s="2761">
        <v>732</v>
      </c>
      <c r="E7" s="1622"/>
      <c r="F7" s="2625">
        <f>B7/D7-1</f>
        <v>0.12568306010928953</v>
      </c>
    </row>
    <row r="8" spans="1:10" x14ac:dyDescent="0.3">
      <c r="A8" s="214" t="s">
        <v>2263</v>
      </c>
      <c r="B8" s="2762">
        <f>SUM(B5:B7)</f>
        <v>6211</v>
      </c>
      <c r="C8" s="2761"/>
      <c r="D8" s="2762">
        <f>SUM(D5:D7)</f>
        <v>4893</v>
      </c>
      <c r="E8" s="1622"/>
      <c r="F8" s="2624">
        <f>B8/D8-1</f>
        <v>0.26936439811976287</v>
      </c>
    </row>
    <row r="9" spans="1:10" x14ac:dyDescent="0.3">
      <c r="A9" s="214"/>
      <c r="B9" s="2761"/>
      <c r="C9" s="2761"/>
      <c r="D9" s="2761"/>
      <c r="E9" s="1622"/>
      <c r="F9" s="2623"/>
    </row>
    <row r="10" spans="1:10" x14ac:dyDescent="0.3">
      <c r="A10" s="214" t="s">
        <v>2264</v>
      </c>
      <c r="B10" s="2761">
        <v>1161</v>
      </c>
      <c r="C10" s="2761"/>
      <c r="D10" s="2761">
        <v>1156</v>
      </c>
      <c r="E10" s="1622"/>
      <c r="F10" s="2625">
        <f>B10/D10-1</f>
        <v>4.325259515570945E-3</v>
      </c>
    </row>
    <row r="11" spans="1:10" x14ac:dyDescent="0.3">
      <c r="A11" s="214" t="s">
        <v>2265</v>
      </c>
      <c r="B11" s="2761">
        <v>659</v>
      </c>
      <c r="C11" s="2761"/>
      <c r="D11" s="2761">
        <v>564</v>
      </c>
      <c r="E11" s="1622"/>
      <c r="F11" s="2625">
        <f>B11/D11-1</f>
        <v>0.16843971631205679</v>
      </c>
    </row>
    <row r="12" spans="1:10" x14ac:dyDescent="0.3">
      <c r="A12" s="214" t="s">
        <v>1075</v>
      </c>
      <c r="B12" s="2761">
        <v>431</v>
      </c>
      <c r="C12" s="2761"/>
      <c r="D12" s="2761">
        <v>502</v>
      </c>
      <c r="E12" s="1622"/>
      <c r="F12" s="2625">
        <f>B12/D12-1</f>
        <v>-0.14143426294820716</v>
      </c>
    </row>
    <row r="13" spans="1:10" x14ac:dyDescent="0.3">
      <c r="A13" s="214" t="s">
        <v>2266</v>
      </c>
      <c r="B13" s="2762">
        <f>SUM(B10:B12)</f>
        <v>2251</v>
      </c>
      <c r="C13" s="2761"/>
      <c r="D13" s="2762">
        <f>SUM(D10:D12)</f>
        <v>2222</v>
      </c>
      <c r="E13" s="1622"/>
      <c r="F13" s="2624">
        <f>B13/D13-1</f>
        <v>1.3051305130513002E-2</v>
      </c>
    </row>
    <row r="14" spans="1:10" x14ac:dyDescent="0.3">
      <c r="A14" s="214"/>
      <c r="B14" s="2761"/>
      <c r="C14" s="2761"/>
      <c r="D14" s="2761"/>
      <c r="F14" s="2623"/>
    </row>
    <row r="15" spans="1:10" x14ac:dyDescent="0.3">
      <c r="A15" s="214" t="s">
        <v>2217</v>
      </c>
      <c r="B15" s="2762">
        <f>B8+B13</f>
        <v>8462</v>
      </c>
      <c r="C15" s="2761"/>
      <c r="D15" s="2762">
        <f>D8+D13</f>
        <v>7115</v>
      </c>
      <c r="E15" s="2168"/>
      <c r="F15" s="2624">
        <f>B15/D15-1</f>
        <v>0.1893183415319748</v>
      </c>
      <c r="J15" s="211" t="s">
        <v>176</v>
      </c>
    </row>
    <row r="16" spans="1:10" x14ac:dyDescent="0.3">
      <c r="A16" s="214" t="s">
        <v>3770</v>
      </c>
      <c r="B16" s="2763">
        <v>-2831</v>
      </c>
      <c r="C16" s="2761"/>
      <c r="D16" s="2763">
        <v>-2432</v>
      </c>
      <c r="E16" s="2168"/>
      <c r="F16" s="2765">
        <f t="shared" ref="F16:F17" si="0">B16/D16-1</f>
        <v>0.1640625</v>
      </c>
    </row>
    <row r="17" spans="1:12" ht="16.2" thickBot="1" x14ac:dyDescent="0.35">
      <c r="A17" s="214" t="s">
        <v>3771</v>
      </c>
      <c r="B17" s="2764">
        <f>B15+B16</f>
        <v>5631</v>
      </c>
      <c r="C17" s="2760"/>
      <c r="D17" s="2764">
        <f>D15+D16</f>
        <v>4683</v>
      </c>
      <c r="E17" s="2168"/>
      <c r="F17" s="2625">
        <f t="shared" si="0"/>
        <v>0.2024343369634849</v>
      </c>
      <c r="I17" s="211" t="s">
        <v>176</v>
      </c>
    </row>
    <row r="18" spans="1:12" ht="16.8" thickTop="1" thickBot="1" x14ac:dyDescent="0.35">
      <c r="A18" s="224"/>
      <c r="B18" s="520"/>
      <c r="C18" s="520"/>
      <c r="D18" s="520"/>
      <c r="E18" s="520"/>
      <c r="F18" s="2596"/>
    </row>
    <row r="19" spans="1:12" x14ac:dyDescent="0.3">
      <c r="A19" s="2805" t="s">
        <v>3368</v>
      </c>
      <c r="B19" s="2805"/>
      <c r="C19" s="2805"/>
      <c r="D19" s="2805"/>
      <c r="E19" s="2805"/>
      <c r="F19" s="2805"/>
    </row>
    <row r="20" spans="1:12" x14ac:dyDescent="0.3">
      <c r="A20" s="2805"/>
      <c r="B20" s="2805"/>
      <c r="C20" s="2805"/>
      <c r="D20" s="2805"/>
      <c r="E20" s="2805"/>
      <c r="F20" s="2805"/>
    </row>
    <row r="23" spans="1:12" x14ac:dyDescent="0.3">
      <c r="L23" s="211" t="s">
        <v>176</v>
      </c>
    </row>
    <row r="24" spans="1:12" x14ac:dyDescent="0.3">
      <c r="D24" s="211" t="s">
        <v>176</v>
      </c>
    </row>
  </sheetData>
  <mergeCells count="1">
    <mergeCell ref="A19:F20"/>
  </mergeCells>
  <pageMargins left="0.7" right="0.7" top="0.75" bottom="0.75" header="0.3" footer="0.3"/>
  <ignoredErrors>
    <ignoredError sqref="B8:D8" formulaRange="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09B3-A25C-43B0-A079-560BE6DD514D}">
  <sheetPr>
    <tabColor theme="4"/>
  </sheetPr>
  <dimension ref="A1:K43"/>
  <sheetViews>
    <sheetView showGridLines="0" zoomScale="70" zoomScaleNormal="70" workbookViewId="0">
      <selection activeCell="U25" sqref="U25"/>
    </sheetView>
  </sheetViews>
  <sheetFormatPr defaultColWidth="8.6640625" defaultRowHeight="15.6" x14ac:dyDescent="0.3"/>
  <cols>
    <col min="1" max="1" width="28.44140625" style="211" customWidth="1"/>
    <col min="2" max="2" width="9.109375" style="211" bestFit="1" customWidth="1"/>
    <col min="3" max="3" width="10.33203125" style="211" bestFit="1" customWidth="1"/>
    <col min="4" max="4" width="1.6640625" style="211" customWidth="1"/>
    <col min="5" max="5" width="9.109375" style="211" bestFit="1" customWidth="1"/>
    <col min="6" max="6" width="10.33203125" style="211" bestFit="1" customWidth="1"/>
    <col min="7" max="7" width="1.44140625" style="211" customWidth="1"/>
    <col min="8" max="9" width="9.109375" style="211" bestFit="1" customWidth="1"/>
    <col min="10" max="16384" width="8.6640625" style="211"/>
  </cols>
  <sheetData>
    <row r="1" spans="1:11" x14ac:dyDescent="0.3">
      <c r="A1" s="459" t="s">
        <v>2240</v>
      </c>
    </row>
    <row r="2" spans="1:11" x14ac:dyDescent="0.3">
      <c r="A2" s="152" t="s">
        <v>1784</v>
      </c>
    </row>
    <row r="3" spans="1:11" ht="8.25" customHeight="1" thickBot="1" x14ac:dyDescent="0.35"/>
    <row r="4" spans="1:11" ht="16.2" x14ac:dyDescent="0.35">
      <c r="A4" s="1426"/>
      <c r="B4" s="2865">
        <v>2016</v>
      </c>
      <c r="C4" s="2865"/>
      <c r="D4" s="885"/>
      <c r="E4" s="2865">
        <v>2015</v>
      </c>
      <c r="F4" s="2865"/>
      <c r="G4" s="885"/>
      <c r="H4" s="2865" t="s">
        <v>32</v>
      </c>
      <c r="I4" s="2922"/>
    </row>
    <row r="5" spans="1:11" x14ac:dyDescent="0.3">
      <c r="A5" s="221" t="s">
        <v>1250</v>
      </c>
      <c r="B5" s="1435" t="s">
        <v>1017</v>
      </c>
      <c r="C5" s="1435" t="s">
        <v>1018</v>
      </c>
      <c r="D5" s="1435"/>
      <c r="E5" s="1435" t="s">
        <v>1017</v>
      </c>
      <c r="F5" s="1435" t="s">
        <v>1018</v>
      </c>
      <c r="G5" s="1435"/>
      <c r="H5" s="1435" t="s">
        <v>1017</v>
      </c>
      <c r="I5" s="1436" t="s">
        <v>1018</v>
      </c>
    </row>
    <row r="6" spans="1:11" x14ac:dyDescent="0.3">
      <c r="A6" s="214" t="s">
        <v>1019</v>
      </c>
      <c r="B6" s="1516">
        <v>1287</v>
      </c>
      <c r="C6" s="1516">
        <v>11231</v>
      </c>
      <c r="D6" s="1516"/>
      <c r="E6" s="1516">
        <v>1287</v>
      </c>
      <c r="F6" s="1516">
        <v>10545</v>
      </c>
      <c r="G6" s="1516"/>
      <c r="H6" s="1516">
        <f t="shared" ref="H6:H27" si="0">B6-E6</f>
        <v>0</v>
      </c>
      <c r="I6" s="1430">
        <f t="shared" ref="I6:I27" si="1">C6-F6</f>
        <v>686</v>
      </c>
      <c r="K6" s="211" t="s">
        <v>3400</v>
      </c>
    </row>
    <row r="7" spans="1:11" x14ac:dyDescent="0.3">
      <c r="A7" s="214" t="s">
        <v>2573</v>
      </c>
      <c r="B7" s="922">
        <v>6747</v>
      </c>
      <c r="C7" s="922">
        <v>7093</v>
      </c>
      <c r="D7" s="1516"/>
      <c r="E7" s="2464"/>
      <c r="F7" s="2464"/>
      <c r="G7" s="1516"/>
      <c r="H7" s="922">
        <f t="shared" si="0"/>
        <v>6747</v>
      </c>
      <c r="I7" s="923">
        <f t="shared" si="1"/>
        <v>7093</v>
      </c>
      <c r="K7" s="211" t="s">
        <v>3386</v>
      </c>
    </row>
    <row r="8" spans="1:11" x14ac:dyDescent="0.3">
      <c r="A8" s="214" t="s">
        <v>3399</v>
      </c>
      <c r="B8" s="2464"/>
      <c r="C8" s="2464"/>
      <c r="D8" s="1516"/>
      <c r="E8" s="922">
        <v>1283</v>
      </c>
      <c r="F8" s="922">
        <v>1603</v>
      </c>
      <c r="G8" s="922"/>
      <c r="H8" s="922">
        <f t="shared" si="0"/>
        <v>-1283</v>
      </c>
      <c r="I8" s="923">
        <f t="shared" si="1"/>
        <v>-1603</v>
      </c>
      <c r="K8" s="211" t="s">
        <v>3393</v>
      </c>
    </row>
    <row r="9" spans="1:11" x14ac:dyDescent="0.3">
      <c r="A9" s="214" t="s">
        <v>3398</v>
      </c>
      <c r="B9" s="922">
        <v>1210</v>
      </c>
      <c r="C9" s="922">
        <v>1955</v>
      </c>
      <c r="D9" s="1516"/>
      <c r="E9" s="922">
        <v>1202</v>
      </c>
      <c r="F9" s="922">
        <v>1367</v>
      </c>
      <c r="G9" s="1516"/>
      <c r="H9" s="922">
        <f t="shared" si="0"/>
        <v>8</v>
      </c>
      <c r="I9" s="923">
        <f t="shared" si="1"/>
        <v>588</v>
      </c>
    </row>
    <row r="10" spans="1:11" x14ac:dyDescent="0.3">
      <c r="A10" s="214" t="s">
        <v>1012</v>
      </c>
      <c r="B10" s="922">
        <v>1299</v>
      </c>
      <c r="C10" s="922">
        <v>16584</v>
      </c>
      <c r="D10" s="922"/>
      <c r="E10" s="922">
        <v>1299</v>
      </c>
      <c r="F10" s="922">
        <v>17184</v>
      </c>
      <c r="G10" s="922"/>
      <c r="H10" s="922">
        <f t="shared" si="0"/>
        <v>0</v>
      </c>
      <c r="I10" s="923">
        <f t="shared" si="1"/>
        <v>-600</v>
      </c>
      <c r="K10" s="211" t="s">
        <v>176</v>
      </c>
    </row>
    <row r="11" spans="1:11" x14ac:dyDescent="0.3">
      <c r="A11" s="214" t="s">
        <v>3397</v>
      </c>
      <c r="B11" s="2464"/>
      <c r="C11" s="2464"/>
      <c r="E11" s="922">
        <v>843</v>
      </c>
      <c r="F11" s="922">
        <v>1291</v>
      </c>
      <c r="G11" s="922"/>
      <c r="H11" s="922">
        <f t="shared" si="0"/>
        <v>-843</v>
      </c>
      <c r="I11" s="923">
        <f t="shared" si="1"/>
        <v>-1291</v>
      </c>
      <c r="K11" s="211" t="s">
        <v>3396</v>
      </c>
    </row>
    <row r="12" spans="1:11" x14ac:dyDescent="0.3">
      <c r="A12" s="214" t="s">
        <v>3395</v>
      </c>
      <c r="B12" s="922">
        <v>2299</v>
      </c>
      <c r="C12" s="922">
        <v>2702</v>
      </c>
      <c r="D12" s="1516"/>
      <c r="E12" s="2464"/>
      <c r="F12" s="2464"/>
      <c r="G12" s="1516"/>
      <c r="H12" s="922">
        <f t="shared" si="0"/>
        <v>2299</v>
      </c>
      <c r="I12" s="923">
        <f t="shared" si="1"/>
        <v>2702</v>
      </c>
      <c r="K12" s="211" t="s">
        <v>3386</v>
      </c>
    </row>
    <row r="13" spans="1:11" x14ac:dyDescent="0.3">
      <c r="A13" s="214" t="s">
        <v>3394</v>
      </c>
      <c r="B13" s="2464"/>
      <c r="C13" s="2464"/>
      <c r="E13" s="922">
        <v>1773</v>
      </c>
      <c r="F13" s="922">
        <v>1690</v>
      </c>
      <c r="G13" s="1516"/>
      <c r="H13" s="922">
        <f t="shared" si="0"/>
        <v>-1773</v>
      </c>
      <c r="I13" s="923">
        <f t="shared" si="1"/>
        <v>-1690</v>
      </c>
      <c r="K13" s="211" t="s">
        <v>3393</v>
      </c>
    </row>
    <row r="14" spans="1:11" x14ac:dyDescent="0.3">
      <c r="A14" s="214" t="s">
        <v>3392</v>
      </c>
      <c r="B14" s="922">
        <v>654</v>
      </c>
      <c r="C14" s="922">
        <v>2727</v>
      </c>
      <c r="D14" s="1516"/>
      <c r="E14" s="922">
        <v>654</v>
      </c>
      <c r="F14" s="922">
        <v>2053</v>
      </c>
      <c r="G14" s="1516"/>
      <c r="H14" s="922">
        <f t="shared" si="0"/>
        <v>0</v>
      </c>
      <c r="I14" s="923">
        <f t="shared" si="1"/>
        <v>674</v>
      </c>
    </row>
    <row r="15" spans="1:11" x14ac:dyDescent="0.3">
      <c r="A15" s="214" t="s">
        <v>2054</v>
      </c>
      <c r="B15" s="922">
        <v>13815</v>
      </c>
      <c r="C15" s="922">
        <v>13484</v>
      </c>
      <c r="E15" s="922">
        <v>13791</v>
      </c>
      <c r="F15" s="922">
        <v>11152</v>
      </c>
      <c r="H15" s="922">
        <f t="shared" si="0"/>
        <v>24</v>
      </c>
      <c r="I15" s="923">
        <f t="shared" si="1"/>
        <v>2332</v>
      </c>
    </row>
    <row r="16" spans="1:11" x14ac:dyDescent="0.3">
      <c r="A16" s="214" t="s">
        <v>1169</v>
      </c>
      <c r="B16" s="922">
        <v>248</v>
      </c>
      <c r="C16" s="922">
        <v>2326</v>
      </c>
      <c r="E16" s="922">
        <v>248</v>
      </c>
      <c r="F16" s="922">
        <v>2475</v>
      </c>
      <c r="H16" s="922">
        <f t="shared" si="0"/>
        <v>0</v>
      </c>
      <c r="I16" s="923">
        <f t="shared" si="1"/>
        <v>-149</v>
      </c>
    </row>
    <row r="17" spans="1:11" x14ac:dyDescent="0.3">
      <c r="A17" s="214" t="s">
        <v>3220</v>
      </c>
      <c r="B17" s="922">
        <v>5841</v>
      </c>
      <c r="C17" s="922">
        <v>6445</v>
      </c>
      <c r="E17" s="922">
        <v>4357</v>
      </c>
      <c r="F17" s="922">
        <v>4530</v>
      </c>
      <c r="H17" s="922">
        <f t="shared" si="0"/>
        <v>1484</v>
      </c>
      <c r="I17" s="923">
        <f t="shared" si="1"/>
        <v>1915</v>
      </c>
      <c r="K17" s="211" t="s">
        <v>3391</v>
      </c>
    </row>
    <row r="18" spans="1:11" x14ac:dyDescent="0.3">
      <c r="A18" s="214" t="s">
        <v>3390</v>
      </c>
      <c r="B18" s="922">
        <v>1692</v>
      </c>
      <c r="C18" s="922">
        <v>1791</v>
      </c>
      <c r="E18" s="922">
        <v>1701</v>
      </c>
      <c r="F18" s="922">
        <v>1896</v>
      </c>
      <c r="H18" s="922">
        <f t="shared" si="0"/>
        <v>-9</v>
      </c>
      <c r="I18" s="923">
        <f t="shared" si="1"/>
        <v>-105</v>
      </c>
    </row>
    <row r="19" spans="1:11" x14ac:dyDescent="0.3">
      <c r="A19" s="214" t="s">
        <v>3389</v>
      </c>
      <c r="B19" s="922">
        <v>1757</v>
      </c>
      <c r="C19" s="922">
        <v>2153</v>
      </c>
      <c r="E19" s="2464"/>
      <c r="F19" s="2464"/>
      <c r="H19" s="922">
        <f t="shared" si="0"/>
        <v>1757</v>
      </c>
      <c r="I19" s="923">
        <f t="shared" si="1"/>
        <v>2153</v>
      </c>
      <c r="K19" s="211" t="s">
        <v>3386</v>
      </c>
    </row>
    <row r="20" spans="1:11" x14ac:dyDescent="0.3">
      <c r="A20" s="214" t="s">
        <v>2056</v>
      </c>
      <c r="B20" s="2464"/>
      <c r="C20" s="2464"/>
      <c r="E20" s="922">
        <v>336</v>
      </c>
      <c r="F20" s="922">
        <v>4683</v>
      </c>
      <c r="H20" s="922">
        <f t="shared" si="0"/>
        <v>-336</v>
      </c>
      <c r="I20" s="923">
        <f t="shared" si="1"/>
        <v>-4683</v>
      </c>
      <c r="K20" s="211" t="s">
        <v>3388</v>
      </c>
    </row>
    <row r="21" spans="1:11" x14ac:dyDescent="0.3">
      <c r="A21" s="214" t="s">
        <v>2474</v>
      </c>
      <c r="B21" s="922">
        <v>3239</v>
      </c>
      <c r="C21" s="922">
        <v>5233</v>
      </c>
      <c r="E21" s="922">
        <v>3239</v>
      </c>
      <c r="F21" s="922">
        <v>4346</v>
      </c>
      <c r="H21" s="922">
        <f t="shared" si="0"/>
        <v>0</v>
      </c>
      <c r="I21" s="923">
        <f t="shared" si="1"/>
        <v>887</v>
      </c>
    </row>
    <row r="22" spans="1:11" x14ac:dyDescent="0.3">
      <c r="A22" s="214" t="s">
        <v>3387</v>
      </c>
      <c r="B22" s="922">
        <v>1477</v>
      </c>
      <c r="C22" s="922">
        <v>1940</v>
      </c>
      <c r="E22" s="2464"/>
      <c r="F22" s="2464"/>
      <c r="H22" s="922">
        <f t="shared" si="0"/>
        <v>1477</v>
      </c>
      <c r="I22" s="923">
        <f t="shared" si="1"/>
        <v>1940</v>
      </c>
      <c r="K22" s="211" t="s">
        <v>3386</v>
      </c>
    </row>
    <row r="23" spans="1:11" x14ac:dyDescent="0.3">
      <c r="A23" s="214" t="s">
        <v>1175</v>
      </c>
      <c r="B23" s="922">
        <v>836</v>
      </c>
      <c r="C23" s="922">
        <v>1253</v>
      </c>
      <c r="E23" s="2464"/>
      <c r="F23" s="2464"/>
      <c r="H23" s="922">
        <f t="shared" si="0"/>
        <v>836</v>
      </c>
      <c r="I23" s="923">
        <f t="shared" si="1"/>
        <v>1253</v>
      </c>
      <c r="K23" s="211" t="s">
        <v>3385</v>
      </c>
    </row>
    <row r="24" spans="1:11" x14ac:dyDescent="0.3">
      <c r="A24" s="214" t="s">
        <v>3384</v>
      </c>
      <c r="B24" s="2464"/>
      <c r="C24" s="2464"/>
      <c r="E24" s="922">
        <v>3593</v>
      </c>
      <c r="F24" s="922">
        <v>3893</v>
      </c>
      <c r="H24" s="922">
        <f t="shared" si="0"/>
        <v>-3593</v>
      </c>
      <c r="I24" s="923">
        <f t="shared" si="1"/>
        <v>-3893</v>
      </c>
      <c r="K24" s="211" t="s">
        <v>3383</v>
      </c>
    </row>
    <row r="25" spans="1:11" x14ac:dyDescent="0.3">
      <c r="A25" s="214" t="s">
        <v>1014</v>
      </c>
      <c r="B25" s="922">
        <v>12730</v>
      </c>
      <c r="C25" s="922">
        <v>27555</v>
      </c>
      <c r="E25" s="922">
        <v>12730</v>
      </c>
      <c r="F25" s="922">
        <v>27180</v>
      </c>
      <c r="H25" s="922">
        <f t="shared" si="0"/>
        <v>0</v>
      </c>
      <c r="I25" s="923">
        <f t="shared" si="1"/>
        <v>375</v>
      </c>
    </row>
    <row r="26" spans="1:11" x14ac:dyDescent="0.3">
      <c r="A26" s="214" t="s">
        <v>1015</v>
      </c>
      <c r="B26" s="922">
        <f>B27-SUM(B6:B25)</f>
        <v>10697</v>
      </c>
      <c r="C26" s="922">
        <f>C27-SUM(C6:C25)</f>
        <v>17560</v>
      </c>
      <c r="D26" s="1224"/>
      <c r="E26" s="922">
        <f>E27-SUM(E6:E25)</f>
        <v>10276</v>
      </c>
      <c r="F26" s="922">
        <f>F27-SUM(F6:F25)</f>
        <v>16450</v>
      </c>
      <c r="G26" s="1224"/>
      <c r="H26" s="922">
        <f t="shared" si="0"/>
        <v>421</v>
      </c>
      <c r="I26" s="923">
        <f t="shared" si="1"/>
        <v>1110</v>
      </c>
    </row>
    <row r="27" spans="1:11" x14ac:dyDescent="0.3">
      <c r="A27" s="214" t="s">
        <v>1016</v>
      </c>
      <c r="B27" s="2600">
        <v>65828</v>
      </c>
      <c r="C27" s="2600">
        <v>122032</v>
      </c>
      <c r="D27" s="1911"/>
      <c r="E27" s="2600">
        <v>58612</v>
      </c>
      <c r="F27" s="2600">
        <v>112338</v>
      </c>
      <c r="G27" s="1911"/>
      <c r="H27" s="2600">
        <f t="shared" si="0"/>
        <v>7216</v>
      </c>
      <c r="I27" s="2599">
        <f t="shared" si="1"/>
        <v>9694</v>
      </c>
    </row>
    <row r="28" spans="1:11" ht="7.5" customHeight="1" x14ac:dyDescent="0.3">
      <c r="A28" s="214"/>
      <c r="B28" s="1516"/>
      <c r="C28" s="1516"/>
      <c r="D28" s="1911"/>
      <c r="E28" s="1516"/>
      <c r="F28" s="1516"/>
      <c r="G28" s="1911"/>
      <c r="H28" s="1516"/>
      <c r="I28" s="1430"/>
    </row>
    <row r="29" spans="1:11" ht="16.2" thickBot="1" x14ac:dyDescent="0.35">
      <c r="A29" s="224"/>
      <c r="B29" s="1432"/>
      <c r="C29" s="1432"/>
      <c r="D29" s="1433"/>
      <c r="E29" s="1432"/>
      <c r="F29" s="1432"/>
      <c r="G29" s="1433"/>
      <c r="H29" s="1432"/>
      <c r="I29" s="1434"/>
    </row>
    <row r="30" spans="1:11" x14ac:dyDescent="0.3">
      <c r="A30" s="12" t="s">
        <v>3382</v>
      </c>
    </row>
    <row r="32" spans="1:11" x14ac:dyDescent="0.3">
      <c r="A32" s="211" t="s">
        <v>1022</v>
      </c>
      <c r="C32" s="226">
        <f>C33/C27</f>
        <v>0.56422905467418383</v>
      </c>
      <c r="F32" s="226">
        <f>F33/F27</f>
        <v>0.58805568908116579</v>
      </c>
    </row>
    <row r="33" spans="3:11" x14ac:dyDescent="0.3">
      <c r="C33" s="1911">
        <f>LARGE(C6:C25,1)+LARGE(C6:C25,2)+LARGE(C6:C25,3)+LARGE(C6:C25,4)</f>
        <v>68854</v>
      </c>
      <c r="F33" s="1911">
        <f>LARGE(F6:F25,1)+LARGE(F6:F25,2)+LARGE(F6:F25,3)+LARGE(F6:F25,4)</f>
        <v>66061</v>
      </c>
    </row>
    <row r="35" spans="3:11" x14ac:dyDescent="0.3">
      <c r="K35" s="211" t="s">
        <v>176</v>
      </c>
    </row>
    <row r="42" spans="3:11" x14ac:dyDescent="0.3">
      <c r="J42" s="211" t="s">
        <v>176</v>
      </c>
    </row>
    <row r="43" spans="3:11" x14ac:dyDescent="0.3">
      <c r="E43" s="211" t="s">
        <v>176</v>
      </c>
    </row>
  </sheetData>
  <mergeCells count="3">
    <mergeCell ref="B4:C4"/>
    <mergeCell ref="E4:F4"/>
    <mergeCell ref="H4:I4"/>
  </mergeCell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7030C-632F-4D30-88AB-7D0249C46C9B}">
  <sheetPr>
    <tabColor theme="4"/>
  </sheetPr>
  <dimension ref="A1:Q159"/>
  <sheetViews>
    <sheetView zoomScale="70" zoomScaleNormal="70" workbookViewId="0">
      <pane xSplit="1" ySplit="5" topLeftCell="C16" activePane="bottomRight" state="frozen"/>
      <selection activeCell="H36" sqref="H36"/>
      <selection pane="topRight" activeCell="H36" sqref="H36"/>
      <selection pane="bottomLeft" activeCell="H36" sqref="H36"/>
      <selection pane="bottomRight" activeCell="U36" sqref="U36"/>
    </sheetView>
  </sheetViews>
  <sheetFormatPr defaultColWidth="9.109375" defaultRowHeight="15.6" x14ac:dyDescent="0.3"/>
  <cols>
    <col min="1" max="1" width="18.88671875" style="2601" bestFit="1" customWidth="1"/>
    <col min="2" max="2" width="12.44140625" style="2601" bestFit="1" customWidth="1"/>
    <col min="3" max="3" width="12.5546875" style="2601" bestFit="1" customWidth="1"/>
    <col min="4" max="4" width="12.44140625" style="2601" bestFit="1" customWidth="1"/>
    <col min="5" max="5" width="13.5546875" style="2601" bestFit="1" customWidth="1"/>
    <col min="6" max="6" width="6" style="2601" bestFit="1" customWidth="1"/>
    <col min="7" max="7" width="7.109375" style="2601" bestFit="1" customWidth="1"/>
    <col min="8" max="9" width="10.109375" style="2601" bestFit="1" customWidth="1"/>
    <col min="10" max="10" width="13.5546875" style="2601" bestFit="1" customWidth="1"/>
    <col min="11" max="11" width="10" style="2601" bestFit="1" customWidth="1"/>
    <col min="12" max="12" width="8.109375" style="2601" bestFit="1" customWidth="1"/>
    <col min="13" max="14" width="9.109375" style="2601"/>
    <col min="15" max="15" width="14.44140625" style="2601" customWidth="1"/>
    <col min="16" max="16" width="11.109375" style="2601" bestFit="1" customWidth="1"/>
    <col min="17" max="17" width="12.44140625" style="2601" bestFit="1" customWidth="1"/>
    <col min="18" max="16384" width="9.109375" style="2601"/>
  </cols>
  <sheetData>
    <row r="1" spans="1:17" ht="56.25" customHeight="1" x14ac:dyDescent="0.3">
      <c r="A1" s="2981" t="s">
        <v>3523</v>
      </c>
      <c r="B1" s="2982"/>
      <c r="C1" s="2982"/>
      <c r="D1" s="2982"/>
      <c r="E1" s="2982"/>
      <c r="F1" s="2982"/>
      <c r="G1" s="2983"/>
    </row>
    <row r="2" spans="1:17" ht="37.5" customHeight="1" thickBot="1" x14ac:dyDescent="0.35">
      <c r="A2" s="2984" t="s">
        <v>3522</v>
      </c>
      <c r="B2" s="2985"/>
      <c r="C2" s="2985"/>
      <c r="D2" s="2985"/>
      <c r="E2" s="2985"/>
      <c r="F2" s="2985"/>
      <c r="G2" s="2986"/>
    </row>
    <row r="3" spans="1:17" ht="30" x14ac:dyDescent="0.3">
      <c r="A3" s="2610" t="s">
        <v>3521</v>
      </c>
      <c r="B3" s="2610" t="s">
        <v>3520</v>
      </c>
      <c r="C3" s="2610" t="s">
        <v>3519</v>
      </c>
      <c r="D3" s="2608" t="s">
        <v>3518</v>
      </c>
      <c r="E3" s="2980" t="s">
        <v>3517</v>
      </c>
      <c r="F3" s="2980"/>
      <c r="G3" s="2980"/>
      <c r="H3" s="2610" t="s">
        <v>3516</v>
      </c>
      <c r="I3" s="2608" t="s">
        <v>3515</v>
      </c>
      <c r="J3" s="2980" t="s">
        <v>3514</v>
      </c>
      <c r="K3" s="2980"/>
      <c r="L3" s="2980"/>
    </row>
    <row r="4" spans="1:17" ht="30" x14ac:dyDescent="0.3">
      <c r="A4" s="2609"/>
      <c r="B4" s="2609"/>
      <c r="C4" s="2609"/>
      <c r="D4" s="2608" t="s">
        <v>3513</v>
      </c>
      <c r="E4" s="2608" t="s">
        <v>3512</v>
      </c>
      <c r="F4" s="2609" t="s">
        <v>3511</v>
      </c>
      <c r="G4" s="2609" t="s">
        <v>3510</v>
      </c>
      <c r="H4" s="2609" t="s">
        <v>3509</v>
      </c>
      <c r="I4" s="2608" t="s">
        <v>3508</v>
      </c>
      <c r="J4" s="2980" t="s">
        <v>3507</v>
      </c>
      <c r="K4" s="2980"/>
      <c r="L4" s="2980"/>
    </row>
    <row r="5" spans="1:17" ht="30" x14ac:dyDescent="0.3">
      <c r="A5" s="2609" t="s">
        <v>3506</v>
      </c>
      <c r="B5" s="2609" t="s">
        <v>3505</v>
      </c>
      <c r="C5" s="2609" t="s">
        <v>3504</v>
      </c>
      <c r="D5" s="2608" t="s">
        <v>3503</v>
      </c>
      <c r="E5" s="2608" t="s">
        <v>3502</v>
      </c>
      <c r="F5" s="2609" t="s">
        <v>3501</v>
      </c>
      <c r="G5" s="2609" t="s">
        <v>3500</v>
      </c>
      <c r="H5" s="2609" t="s">
        <v>3499</v>
      </c>
      <c r="I5" s="2608" t="s">
        <v>3498</v>
      </c>
      <c r="J5" s="2608" t="s">
        <v>3497</v>
      </c>
      <c r="K5" s="2608" t="s">
        <v>3496</v>
      </c>
      <c r="L5" s="2608" t="s">
        <v>3495</v>
      </c>
      <c r="P5" s="2601" t="s">
        <v>2590</v>
      </c>
      <c r="Q5" s="2601" t="s">
        <v>3403</v>
      </c>
    </row>
    <row r="6" spans="1:17" ht="18" x14ac:dyDescent="0.3">
      <c r="A6" s="2604" t="s">
        <v>3494</v>
      </c>
      <c r="B6" s="2604" t="s">
        <v>3414</v>
      </c>
      <c r="C6" s="2604" t="s">
        <v>3493</v>
      </c>
      <c r="D6" s="2603">
        <v>1123050</v>
      </c>
      <c r="E6" s="2603">
        <v>32637320</v>
      </c>
      <c r="F6" s="2604" t="s">
        <v>3403</v>
      </c>
      <c r="G6" s="2605"/>
      <c r="H6" s="2604" t="s">
        <v>3402</v>
      </c>
      <c r="I6" s="2604" t="s">
        <v>3401</v>
      </c>
      <c r="J6" s="2603">
        <v>32637320</v>
      </c>
      <c r="K6" s="2602">
        <v>0</v>
      </c>
      <c r="L6" s="2602">
        <v>0</v>
      </c>
    </row>
    <row r="7" spans="1:17" ht="18" x14ac:dyDescent="0.3">
      <c r="A7" s="2604" t="s">
        <v>3494</v>
      </c>
      <c r="B7" s="2604" t="s">
        <v>3414</v>
      </c>
      <c r="C7" s="2604" t="s">
        <v>3493</v>
      </c>
      <c r="D7" s="2603">
        <v>450946</v>
      </c>
      <c r="E7" s="2603">
        <v>13105079</v>
      </c>
      <c r="F7" s="2604" t="s">
        <v>3403</v>
      </c>
      <c r="G7" s="2605"/>
      <c r="H7" s="2604" t="s">
        <v>3402</v>
      </c>
      <c r="I7" s="2604" t="s">
        <v>3421</v>
      </c>
      <c r="J7" s="2603">
        <v>13105079</v>
      </c>
      <c r="K7" s="2602">
        <v>0</v>
      </c>
      <c r="L7" s="2602">
        <v>0</v>
      </c>
    </row>
    <row r="8" spans="1:17" ht="18" x14ac:dyDescent="0.3">
      <c r="A8" s="2604" t="s">
        <v>3494</v>
      </c>
      <c r="B8" s="2604" t="s">
        <v>3414</v>
      </c>
      <c r="C8" s="2604" t="s">
        <v>3493</v>
      </c>
      <c r="D8" s="2603">
        <v>28723</v>
      </c>
      <c r="E8" s="2603">
        <v>834739</v>
      </c>
      <c r="F8" s="2604" t="s">
        <v>3403</v>
      </c>
      <c r="G8" s="2605"/>
      <c r="H8" s="2604" t="s">
        <v>3402</v>
      </c>
      <c r="I8" s="2604" t="s">
        <v>3420</v>
      </c>
      <c r="J8" s="2603">
        <v>834739</v>
      </c>
      <c r="K8" s="2602">
        <v>0</v>
      </c>
      <c r="L8" s="2602">
        <v>0</v>
      </c>
      <c r="O8" s="2601" t="str">
        <f>A8</f>
        <v>AT&amp;T INC</v>
      </c>
      <c r="P8" s="2606">
        <f>SUM(D6:D8)</f>
        <v>1602719</v>
      </c>
      <c r="Q8" s="2606">
        <f>SUM(E6:E8)</f>
        <v>46577138</v>
      </c>
    </row>
    <row r="9" spans="1:17" ht="31.2" x14ac:dyDescent="0.3">
      <c r="A9" s="2604" t="s">
        <v>3492</v>
      </c>
      <c r="B9" s="2604" t="s">
        <v>3414</v>
      </c>
      <c r="C9" s="2604">
        <v>25816109</v>
      </c>
      <c r="D9" s="2603">
        <v>135771</v>
      </c>
      <c r="E9" s="2603">
        <v>1952142</v>
      </c>
      <c r="F9" s="2604" t="s">
        <v>3403</v>
      </c>
      <c r="G9" s="2605"/>
      <c r="H9" s="2604" t="s">
        <v>3402</v>
      </c>
      <c r="I9" s="2604">
        <v>4</v>
      </c>
      <c r="J9" s="2603">
        <v>1952142</v>
      </c>
      <c r="K9" s="2602">
        <v>0</v>
      </c>
      <c r="L9" s="2602">
        <v>0</v>
      </c>
    </row>
    <row r="10" spans="1:17" ht="31.2" x14ac:dyDescent="0.3">
      <c r="A10" s="2604" t="s">
        <v>3492</v>
      </c>
      <c r="B10" s="2604" t="s">
        <v>3414</v>
      </c>
      <c r="C10" s="2604">
        <v>25816109</v>
      </c>
      <c r="D10" s="2603">
        <v>1198027</v>
      </c>
      <c r="E10" s="2603">
        <v>17225400</v>
      </c>
      <c r="F10" s="2604" t="s">
        <v>3403</v>
      </c>
      <c r="G10" s="2605"/>
      <c r="H10" s="2604" t="s">
        <v>3402</v>
      </c>
      <c r="I10" s="2604" t="s">
        <v>3425</v>
      </c>
      <c r="J10" s="2603">
        <v>17225400</v>
      </c>
      <c r="K10" s="2602">
        <v>0</v>
      </c>
      <c r="L10" s="2602">
        <v>0</v>
      </c>
    </row>
    <row r="11" spans="1:17" ht="31.2" x14ac:dyDescent="0.3">
      <c r="A11" s="2604" t="s">
        <v>3492</v>
      </c>
      <c r="B11" s="2604" t="s">
        <v>3414</v>
      </c>
      <c r="C11" s="2604">
        <v>25816109</v>
      </c>
      <c r="D11" s="2603">
        <v>58410</v>
      </c>
      <c r="E11" s="2603">
        <v>839832</v>
      </c>
      <c r="F11" s="2604" t="s">
        <v>3403</v>
      </c>
      <c r="G11" s="2605"/>
      <c r="H11" s="2604" t="s">
        <v>3402</v>
      </c>
      <c r="I11" s="2604" t="s">
        <v>3423</v>
      </c>
      <c r="J11" s="2603">
        <v>839832</v>
      </c>
      <c r="K11" s="2602">
        <v>0</v>
      </c>
      <c r="L11" s="2602">
        <v>0</v>
      </c>
    </row>
    <row r="12" spans="1:17" ht="31.2" x14ac:dyDescent="0.3">
      <c r="A12" s="2604" t="s">
        <v>3492</v>
      </c>
      <c r="B12" s="2604" t="s">
        <v>3414</v>
      </c>
      <c r="C12" s="2604">
        <v>25816109</v>
      </c>
      <c r="D12" s="2603">
        <v>143071</v>
      </c>
      <c r="E12" s="2603">
        <v>2057100</v>
      </c>
      <c r="F12" s="2604" t="s">
        <v>3403</v>
      </c>
      <c r="G12" s="2605"/>
      <c r="H12" s="2604" t="s">
        <v>3402</v>
      </c>
      <c r="I12" s="2604" t="s">
        <v>3401</v>
      </c>
      <c r="J12" s="2603">
        <v>2057100</v>
      </c>
      <c r="K12" s="2602">
        <v>0</v>
      </c>
      <c r="L12" s="2602">
        <v>0</v>
      </c>
    </row>
    <row r="13" spans="1:17" ht="31.2" x14ac:dyDescent="0.3">
      <c r="A13" s="2604" t="s">
        <v>3492</v>
      </c>
      <c r="B13" s="2604" t="s">
        <v>3414</v>
      </c>
      <c r="C13" s="2604">
        <v>25816109</v>
      </c>
      <c r="D13" s="2603">
        <v>556027</v>
      </c>
      <c r="E13" s="2603">
        <v>7994634</v>
      </c>
      <c r="F13" s="2604" t="s">
        <v>3403</v>
      </c>
      <c r="G13" s="2605"/>
      <c r="H13" s="2604" t="s">
        <v>3402</v>
      </c>
      <c r="I13" s="2604" t="s">
        <v>3421</v>
      </c>
      <c r="J13" s="2603">
        <v>7994634</v>
      </c>
      <c r="K13" s="2602">
        <v>0</v>
      </c>
      <c r="L13" s="2602">
        <v>0</v>
      </c>
    </row>
    <row r="14" spans="1:17" ht="31.2" x14ac:dyDescent="0.3">
      <c r="A14" s="2604" t="s">
        <v>3492</v>
      </c>
      <c r="B14" s="2604" t="s">
        <v>3414</v>
      </c>
      <c r="C14" s="2604">
        <v>25816109</v>
      </c>
      <c r="D14" s="2603">
        <v>8355868</v>
      </c>
      <c r="E14" s="2603">
        <v>120141879</v>
      </c>
      <c r="F14" s="2604" t="s">
        <v>3403</v>
      </c>
      <c r="G14" s="2605"/>
      <c r="H14" s="2604" t="s">
        <v>3402</v>
      </c>
      <c r="I14" s="2604" t="s">
        <v>3420</v>
      </c>
      <c r="J14" s="2603">
        <v>120141879</v>
      </c>
      <c r="K14" s="2602">
        <v>0</v>
      </c>
      <c r="L14" s="2602">
        <v>0</v>
      </c>
    </row>
    <row r="15" spans="1:17" ht="31.2" x14ac:dyDescent="0.3">
      <c r="A15" s="2604" t="s">
        <v>3492</v>
      </c>
      <c r="B15" s="2604" t="s">
        <v>3414</v>
      </c>
      <c r="C15" s="2604">
        <v>25816109</v>
      </c>
      <c r="D15" s="2603">
        <v>97350</v>
      </c>
      <c r="E15" s="2603">
        <v>1399713</v>
      </c>
      <c r="F15" s="2604" t="s">
        <v>3403</v>
      </c>
      <c r="G15" s="2605"/>
      <c r="H15" s="2604" t="s">
        <v>3402</v>
      </c>
      <c r="I15" s="2604" t="s">
        <v>3418</v>
      </c>
      <c r="J15" s="2603">
        <v>1399713</v>
      </c>
      <c r="K15" s="2602">
        <v>0</v>
      </c>
      <c r="L15" s="2602">
        <v>0</v>
      </c>
    </row>
    <row r="16" spans="1:17" ht="46.8" x14ac:dyDescent="0.3">
      <c r="A16" s="2604" t="s">
        <v>3491</v>
      </c>
      <c r="B16" s="2604" t="s">
        <v>3414</v>
      </c>
      <c r="C16" s="2604">
        <v>64058100</v>
      </c>
      <c r="D16" s="2603">
        <v>274793</v>
      </c>
      <c r="E16" s="2603">
        <v>6666492</v>
      </c>
      <c r="F16" s="2604" t="s">
        <v>3403</v>
      </c>
      <c r="G16" s="2605"/>
      <c r="H16" s="2604" t="s">
        <v>3402</v>
      </c>
      <c r="I16" s="2604">
        <v>4</v>
      </c>
      <c r="J16" s="2603">
        <v>6666492</v>
      </c>
      <c r="K16" s="2602">
        <v>0</v>
      </c>
      <c r="L16" s="2602">
        <v>0</v>
      </c>
    </row>
    <row r="17" spans="1:17" ht="46.8" x14ac:dyDescent="0.3">
      <c r="A17" s="2604" t="s">
        <v>3491</v>
      </c>
      <c r="B17" s="2604" t="s">
        <v>3414</v>
      </c>
      <c r="C17" s="2604">
        <v>64058100</v>
      </c>
      <c r="D17" s="2603">
        <v>73945</v>
      </c>
      <c r="E17" s="2603">
        <v>1793915</v>
      </c>
      <c r="F17" s="2604" t="s">
        <v>3403</v>
      </c>
      <c r="G17" s="2605"/>
      <c r="H17" s="2604" t="s">
        <v>3402</v>
      </c>
      <c r="I17" s="2604" t="s">
        <v>3427</v>
      </c>
      <c r="J17" s="2603">
        <v>1793915</v>
      </c>
      <c r="K17" s="2602">
        <v>0</v>
      </c>
      <c r="L17" s="2602">
        <v>0</v>
      </c>
    </row>
    <row r="18" spans="1:17" ht="46.8" x14ac:dyDescent="0.3">
      <c r="A18" s="2604" t="s">
        <v>3491</v>
      </c>
      <c r="B18" s="2604" t="s">
        <v>3414</v>
      </c>
      <c r="C18" s="2604">
        <v>64058100</v>
      </c>
      <c r="D18" s="2603">
        <v>224459</v>
      </c>
      <c r="E18" s="2603">
        <v>5445384</v>
      </c>
      <c r="F18" s="2604" t="s">
        <v>3403</v>
      </c>
      <c r="G18" s="2605"/>
      <c r="H18" s="2604" t="s">
        <v>3402</v>
      </c>
      <c r="I18" s="2604" t="s">
        <v>3401</v>
      </c>
      <c r="J18" s="2603">
        <v>5445384</v>
      </c>
      <c r="K18" s="2602">
        <v>0</v>
      </c>
      <c r="L18" s="2602">
        <v>0</v>
      </c>
    </row>
    <row r="19" spans="1:17" ht="46.8" x14ac:dyDescent="0.3">
      <c r="A19" s="2604" t="s">
        <v>3491</v>
      </c>
      <c r="B19" s="2604" t="s">
        <v>3414</v>
      </c>
      <c r="C19" s="2604">
        <v>64058100</v>
      </c>
      <c r="D19" s="2603">
        <v>22672</v>
      </c>
      <c r="E19" s="2603">
        <v>550021</v>
      </c>
      <c r="F19" s="2604" t="s">
        <v>3403</v>
      </c>
      <c r="G19" s="2605"/>
      <c r="H19" s="2604" t="s">
        <v>3402</v>
      </c>
      <c r="I19" s="2604" t="s">
        <v>3422</v>
      </c>
      <c r="J19" s="2603">
        <v>550021</v>
      </c>
      <c r="K19" s="2602">
        <v>0</v>
      </c>
      <c r="L19" s="2602">
        <v>0</v>
      </c>
    </row>
    <row r="20" spans="1:17" ht="46.8" x14ac:dyDescent="0.3">
      <c r="A20" s="2604" t="s">
        <v>3491</v>
      </c>
      <c r="B20" s="2604" t="s">
        <v>3414</v>
      </c>
      <c r="C20" s="2604">
        <v>64058100</v>
      </c>
      <c r="D20" s="2603">
        <v>233157</v>
      </c>
      <c r="E20" s="2603">
        <v>5656400</v>
      </c>
      <c r="F20" s="2604" t="s">
        <v>3403</v>
      </c>
      <c r="G20" s="2605"/>
      <c r="H20" s="2604" t="s">
        <v>3402</v>
      </c>
      <c r="I20" s="2604" t="s">
        <v>3420</v>
      </c>
      <c r="J20" s="2603">
        <v>5656400</v>
      </c>
      <c r="K20" s="2602">
        <v>0</v>
      </c>
      <c r="L20" s="2602">
        <v>0</v>
      </c>
    </row>
    <row r="21" spans="1:17" ht="46.8" x14ac:dyDescent="0.3">
      <c r="A21" s="2604" t="s">
        <v>3490</v>
      </c>
      <c r="B21" s="2604" t="s">
        <v>3489</v>
      </c>
      <c r="C21" s="2604" t="s">
        <v>3488</v>
      </c>
      <c r="D21" s="2603">
        <v>516057</v>
      </c>
      <c r="E21" s="2603">
        <v>2818446</v>
      </c>
      <c r="F21" s="2604" t="s">
        <v>3403</v>
      </c>
      <c r="G21" s="2605"/>
      <c r="H21" s="2604" t="s">
        <v>3402</v>
      </c>
      <c r="I21" s="2604">
        <v>4</v>
      </c>
      <c r="J21" s="2603">
        <v>2818446</v>
      </c>
      <c r="K21" s="2602">
        <v>0</v>
      </c>
      <c r="L21" s="2602">
        <v>0</v>
      </c>
    </row>
    <row r="22" spans="1:17" ht="46.8" x14ac:dyDescent="0.3">
      <c r="A22" s="2604" t="s">
        <v>3490</v>
      </c>
      <c r="B22" s="2604" t="s">
        <v>3489</v>
      </c>
      <c r="C22" s="2604" t="s">
        <v>3488</v>
      </c>
      <c r="D22" s="2603">
        <v>1366504</v>
      </c>
      <c r="E22" s="2603">
        <v>7463157</v>
      </c>
      <c r="F22" s="2604" t="s">
        <v>3403</v>
      </c>
      <c r="G22" s="2605"/>
      <c r="H22" s="2604" t="s">
        <v>3402</v>
      </c>
      <c r="I22" s="2604" t="s">
        <v>3401</v>
      </c>
      <c r="J22" s="2603">
        <v>7463157</v>
      </c>
      <c r="K22" s="2602">
        <v>0</v>
      </c>
      <c r="L22" s="2602">
        <v>0</v>
      </c>
      <c r="P22" s="2606">
        <f>SUM(D21:D22)</f>
        <v>1882561</v>
      </c>
      <c r="Q22" s="2606">
        <f>SUM(E21:E22)</f>
        <v>10281603</v>
      </c>
    </row>
    <row r="23" spans="1:17" ht="18" x14ac:dyDescent="0.3">
      <c r="A23" s="2604" t="s">
        <v>3487</v>
      </c>
      <c r="B23" s="2604" t="s">
        <v>3414</v>
      </c>
      <c r="C23" s="2604">
        <v>191216100</v>
      </c>
      <c r="D23" s="2603">
        <v>34368</v>
      </c>
      <c r="E23" s="2603">
        <v>800000</v>
      </c>
      <c r="F23" s="2604" t="s">
        <v>3403</v>
      </c>
      <c r="G23" s="2605"/>
      <c r="H23" s="2604" t="s">
        <v>3402</v>
      </c>
      <c r="I23" s="2604">
        <v>4</v>
      </c>
      <c r="J23" s="2603">
        <v>800000</v>
      </c>
      <c r="K23" s="2602">
        <v>0</v>
      </c>
      <c r="L23" s="2602">
        <v>0</v>
      </c>
    </row>
    <row r="24" spans="1:17" ht="18" x14ac:dyDescent="0.3">
      <c r="A24" s="2604" t="s">
        <v>3487</v>
      </c>
      <c r="B24" s="2604" t="s">
        <v>3414</v>
      </c>
      <c r="C24" s="2604">
        <v>191216100</v>
      </c>
      <c r="D24" s="2603">
        <v>3448966</v>
      </c>
      <c r="E24" s="2603">
        <v>80283200</v>
      </c>
      <c r="F24" s="2604" t="s">
        <v>3403</v>
      </c>
      <c r="G24" s="2605"/>
      <c r="H24" s="2604" t="s">
        <v>3402</v>
      </c>
      <c r="I24" s="2604" t="s">
        <v>3425</v>
      </c>
      <c r="J24" s="2603">
        <v>80283200</v>
      </c>
      <c r="K24" s="2602">
        <v>0</v>
      </c>
      <c r="L24" s="2602">
        <v>0</v>
      </c>
    </row>
    <row r="25" spans="1:17" ht="18" x14ac:dyDescent="0.3">
      <c r="A25" s="2604" t="s">
        <v>3487</v>
      </c>
      <c r="B25" s="2604" t="s">
        <v>3414</v>
      </c>
      <c r="C25" s="2604">
        <v>191216100</v>
      </c>
      <c r="D25" s="2603">
        <v>78359</v>
      </c>
      <c r="E25" s="2603">
        <v>1824000</v>
      </c>
      <c r="F25" s="2604" t="s">
        <v>3403</v>
      </c>
      <c r="G25" s="2605"/>
      <c r="H25" s="2604" t="s">
        <v>3402</v>
      </c>
      <c r="I25" s="2604" t="s">
        <v>3424</v>
      </c>
      <c r="J25" s="2603">
        <v>1824000</v>
      </c>
      <c r="K25" s="2602">
        <v>0</v>
      </c>
      <c r="L25" s="2602">
        <v>0</v>
      </c>
    </row>
    <row r="26" spans="1:17" ht="18" x14ac:dyDescent="0.3">
      <c r="A26" s="2604" t="s">
        <v>3487</v>
      </c>
      <c r="B26" s="2604" t="s">
        <v>3414</v>
      </c>
      <c r="C26" s="2604">
        <v>191216100</v>
      </c>
      <c r="D26" s="2603">
        <v>619105</v>
      </c>
      <c r="E26" s="2603">
        <v>14411200</v>
      </c>
      <c r="F26" s="2604" t="s">
        <v>3403</v>
      </c>
      <c r="G26" s="2605"/>
      <c r="H26" s="2604" t="s">
        <v>3402</v>
      </c>
      <c r="I26" s="2604" t="s">
        <v>3401</v>
      </c>
      <c r="J26" s="2603">
        <v>14411200</v>
      </c>
      <c r="K26" s="2602">
        <v>0</v>
      </c>
      <c r="L26" s="2602">
        <v>0</v>
      </c>
    </row>
    <row r="27" spans="1:17" ht="18" x14ac:dyDescent="0.3">
      <c r="A27" s="2604" t="s">
        <v>3487</v>
      </c>
      <c r="B27" s="2604" t="s">
        <v>3414</v>
      </c>
      <c r="C27" s="2604">
        <v>191216100</v>
      </c>
      <c r="D27" s="2603">
        <v>785240</v>
      </c>
      <c r="E27" s="2603">
        <v>18278400</v>
      </c>
      <c r="F27" s="2604" t="s">
        <v>3403</v>
      </c>
      <c r="G27" s="2605"/>
      <c r="H27" s="2604" t="s">
        <v>3402</v>
      </c>
      <c r="I27" s="2604" t="s">
        <v>3421</v>
      </c>
      <c r="J27" s="2603">
        <v>18278400</v>
      </c>
      <c r="K27" s="2602">
        <v>0</v>
      </c>
      <c r="L27" s="2602">
        <v>0</v>
      </c>
    </row>
    <row r="28" spans="1:17" ht="18" x14ac:dyDescent="0.3">
      <c r="A28" s="2604" t="s">
        <v>3487</v>
      </c>
      <c r="B28" s="2604" t="s">
        <v>3414</v>
      </c>
      <c r="C28" s="2604">
        <v>191216100</v>
      </c>
      <c r="D28" s="2603">
        <v>12024126</v>
      </c>
      <c r="E28" s="2603">
        <v>279891200</v>
      </c>
      <c r="F28" s="2604" t="s">
        <v>3403</v>
      </c>
      <c r="G28" s="2605"/>
      <c r="H28" s="2604" t="s">
        <v>3402</v>
      </c>
      <c r="I28" s="2604" t="s">
        <v>3420</v>
      </c>
      <c r="J28" s="2603">
        <v>279891200</v>
      </c>
      <c r="K28" s="2602">
        <v>0</v>
      </c>
      <c r="L28" s="2602">
        <v>0</v>
      </c>
    </row>
    <row r="29" spans="1:17" ht="18" x14ac:dyDescent="0.3">
      <c r="A29" s="2604" t="s">
        <v>3487</v>
      </c>
      <c r="B29" s="2604" t="s">
        <v>3414</v>
      </c>
      <c r="C29" s="2604">
        <v>191216100</v>
      </c>
      <c r="D29" s="2603">
        <v>152594</v>
      </c>
      <c r="E29" s="2603">
        <v>3552000</v>
      </c>
      <c r="F29" s="2604" t="s">
        <v>3403</v>
      </c>
      <c r="G29" s="2605"/>
      <c r="H29" s="2604" t="s">
        <v>3402</v>
      </c>
      <c r="I29" s="2604" t="s">
        <v>3419</v>
      </c>
      <c r="J29" s="2603">
        <v>3552000</v>
      </c>
      <c r="K29" s="2602">
        <v>0</v>
      </c>
      <c r="L29" s="2602">
        <v>0</v>
      </c>
    </row>
    <row r="30" spans="1:17" ht="18" x14ac:dyDescent="0.3">
      <c r="A30" s="2604" t="s">
        <v>3487</v>
      </c>
      <c r="B30" s="2604" t="s">
        <v>3414</v>
      </c>
      <c r="C30" s="2604">
        <v>191216100</v>
      </c>
      <c r="D30" s="2603">
        <v>41242</v>
      </c>
      <c r="E30" s="2603">
        <v>960000</v>
      </c>
      <c r="F30" s="2604" t="s">
        <v>3403</v>
      </c>
      <c r="G30" s="2605"/>
      <c r="H30" s="2604" t="s">
        <v>3402</v>
      </c>
      <c r="I30" s="2604" t="s">
        <v>3418</v>
      </c>
      <c r="J30" s="2603">
        <v>960000</v>
      </c>
      <c r="K30" s="2602">
        <v>0</v>
      </c>
      <c r="L30" s="2602">
        <v>0</v>
      </c>
    </row>
    <row r="31" spans="1:17" ht="31.2" x14ac:dyDescent="0.3">
      <c r="A31" s="2604" t="s">
        <v>3486</v>
      </c>
      <c r="B31" s="2604" t="s">
        <v>3414</v>
      </c>
      <c r="C31" s="2604" t="s">
        <v>3485</v>
      </c>
      <c r="D31" s="2603">
        <v>699838</v>
      </c>
      <c r="E31" s="2603">
        <v>4333363</v>
      </c>
      <c r="F31" s="2604" t="s">
        <v>3403</v>
      </c>
      <c r="G31" s="2605"/>
      <c r="H31" s="2604" t="s">
        <v>3402</v>
      </c>
      <c r="I31" s="2604" t="s">
        <v>3420</v>
      </c>
      <c r="J31" s="2603">
        <v>4333363</v>
      </c>
      <c r="K31" s="2602">
        <v>0</v>
      </c>
      <c r="L31" s="2602">
        <v>0</v>
      </c>
    </row>
    <row r="32" spans="1:17" ht="46.8" x14ac:dyDescent="0.3">
      <c r="A32" s="2604" t="s">
        <v>3484</v>
      </c>
      <c r="B32" s="2604" t="s">
        <v>3414</v>
      </c>
      <c r="C32" s="2604" t="s">
        <v>3483</v>
      </c>
      <c r="D32" s="2603">
        <v>1397831</v>
      </c>
      <c r="E32" s="2603">
        <v>20052088</v>
      </c>
      <c r="F32" s="2604" t="s">
        <v>3403</v>
      </c>
      <c r="G32" s="2605"/>
      <c r="H32" s="2604" t="s">
        <v>3402</v>
      </c>
      <c r="I32" s="2604">
        <v>4</v>
      </c>
      <c r="J32" s="2603">
        <v>20052088</v>
      </c>
      <c r="K32" s="2602">
        <v>0</v>
      </c>
      <c r="L32" s="2602">
        <v>0</v>
      </c>
    </row>
    <row r="33" spans="1:17" ht="46.8" x14ac:dyDescent="0.3">
      <c r="A33" s="2604" t="s">
        <v>3484</v>
      </c>
      <c r="B33" s="2604" t="s">
        <v>3414</v>
      </c>
      <c r="C33" s="2604" t="s">
        <v>3483</v>
      </c>
      <c r="D33" s="2603">
        <v>1290575</v>
      </c>
      <c r="E33" s="2603">
        <v>18513482</v>
      </c>
      <c r="F33" s="2604" t="s">
        <v>3403</v>
      </c>
      <c r="G33" s="2605"/>
      <c r="H33" s="2604" t="s">
        <v>3402</v>
      </c>
      <c r="I33" s="2604" t="s">
        <v>3401</v>
      </c>
      <c r="J33" s="2603">
        <v>18513482</v>
      </c>
      <c r="K33" s="2602">
        <v>0</v>
      </c>
      <c r="L33" s="2602">
        <v>0</v>
      </c>
      <c r="O33" s="2601" t="str">
        <f>A33</f>
        <v>DAVITA HEALTHCARE PARTNERS I</v>
      </c>
      <c r="P33" s="2606">
        <f>SUM(D32:D33)</f>
        <v>2688406</v>
      </c>
      <c r="Q33" s="2606">
        <f>SUM(E32:E33)</f>
        <v>38565570</v>
      </c>
    </row>
    <row r="34" spans="1:17" ht="18" x14ac:dyDescent="0.3">
      <c r="A34" s="2604" t="s">
        <v>3482</v>
      </c>
      <c r="B34" s="2604" t="s">
        <v>3414</v>
      </c>
      <c r="C34" s="2604">
        <v>244199105</v>
      </c>
      <c r="D34" s="2603">
        <v>54892</v>
      </c>
      <c r="E34" s="2603">
        <v>719700</v>
      </c>
      <c r="F34" s="2604" t="s">
        <v>3403</v>
      </c>
      <c r="G34" s="2605"/>
      <c r="H34" s="2604" t="s">
        <v>3402</v>
      </c>
      <c r="I34" s="2604">
        <v>4</v>
      </c>
      <c r="J34" s="2603">
        <v>719700</v>
      </c>
      <c r="K34" s="2602">
        <v>0</v>
      </c>
      <c r="L34" s="2602">
        <v>0</v>
      </c>
    </row>
    <row r="35" spans="1:17" ht="18" x14ac:dyDescent="0.3">
      <c r="A35" s="2604" t="s">
        <v>3482</v>
      </c>
      <c r="B35" s="2604" t="s">
        <v>3414</v>
      </c>
      <c r="C35" s="2604">
        <v>244199105</v>
      </c>
      <c r="D35" s="2603">
        <v>176372</v>
      </c>
      <c r="E35" s="2603">
        <v>2312467</v>
      </c>
      <c r="F35" s="2604" t="s">
        <v>3403</v>
      </c>
      <c r="G35" s="2605"/>
      <c r="H35" s="2604" t="s">
        <v>3402</v>
      </c>
      <c r="I35" s="2604" t="s">
        <v>3401</v>
      </c>
      <c r="J35" s="2603">
        <v>2312467</v>
      </c>
      <c r="K35" s="2602">
        <v>0</v>
      </c>
      <c r="L35" s="2602">
        <v>0</v>
      </c>
    </row>
    <row r="36" spans="1:17" ht="18" x14ac:dyDescent="0.3">
      <c r="A36" s="2604" t="s">
        <v>3482</v>
      </c>
      <c r="B36" s="2604" t="s">
        <v>3414</v>
      </c>
      <c r="C36" s="2604">
        <v>244199105</v>
      </c>
      <c r="D36" s="2603">
        <v>9165</v>
      </c>
      <c r="E36" s="2603">
        <v>120165</v>
      </c>
      <c r="F36" s="2604" t="s">
        <v>3403</v>
      </c>
      <c r="G36" s="2605"/>
      <c r="H36" s="2604" t="s">
        <v>3402</v>
      </c>
      <c r="I36" s="2604" t="s">
        <v>3421</v>
      </c>
      <c r="J36" s="2603">
        <v>120165</v>
      </c>
      <c r="K36" s="2602">
        <v>0</v>
      </c>
      <c r="L36" s="2602">
        <v>0</v>
      </c>
    </row>
    <row r="37" spans="1:17" ht="18" x14ac:dyDescent="0.3">
      <c r="A37" s="2604" t="s">
        <v>3482</v>
      </c>
      <c r="B37" s="2604" t="s">
        <v>3414</v>
      </c>
      <c r="C37" s="2604">
        <v>244199105</v>
      </c>
      <c r="D37" s="2603">
        <v>1504946</v>
      </c>
      <c r="E37" s="2603">
        <v>19731818</v>
      </c>
      <c r="F37" s="2604" t="s">
        <v>3403</v>
      </c>
      <c r="G37" s="2605"/>
      <c r="H37" s="2604" t="s">
        <v>3402</v>
      </c>
      <c r="I37" s="2604" t="s">
        <v>3420</v>
      </c>
      <c r="J37" s="2603">
        <v>19731818</v>
      </c>
      <c r="K37" s="2602">
        <v>0</v>
      </c>
      <c r="L37" s="2602">
        <v>0</v>
      </c>
    </row>
    <row r="38" spans="1:17" ht="31.2" x14ac:dyDescent="0.3">
      <c r="A38" s="2604" t="s">
        <v>3481</v>
      </c>
      <c r="B38" s="2604" t="s">
        <v>3414</v>
      </c>
      <c r="C38" s="2604">
        <v>369604103</v>
      </c>
      <c r="D38" s="2603">
        <v>18344</v>
      </c>
      <c r="E38" s="2603">
        <v>588900</v>
      </c>
      <c r="F38" s="2604" t="s">
        <v>3403</v>
      </c>
      <c r="G38" s="2605"/>
      <c r="H38" s="2604" t="s">
        <v>3402</v>
      </c>
      <c r="I38" s="2604">
        <v>4</v>
      </c>
      <c r="J38" s="2603">
        <v>588900</v>
      </c>
      <c r="K38" s="2602">
        <v>0</v>
      </c>
      <c r="L38" s="2602">
        <v>0</v>
      </c>
    </row>
    <row r="39" spans="1:17" ht="31.2" x14ac:dyDescent="0.3">
      <c r="A39" s="2604" t="s">
        <v>3481</v>
      </c>
      <c r="B39" s="2604" t="s">
        <v>3414</v>
      </c>
      <c r="C39" s="2604">
        <v>369604103</v>
      </c>
      <c r="D39" s="2603">
        <v>16682</v>
      </c>
      <c r="E39" s="2603">
        <v>535532</v>
      </c>
      <c r="F39" s="2604" t="s">
        <v>3403</v>
      </c>
      <c r="G39" s="2605"/>
      <c r="H39" s="2604" t="s">
        <v>3402</v>
      </c>
      <c r="I39" s="2604" t="s">
        <v>3425</v>
      </c>
      <c r="J39" s="2603">
        <v>535532</v>
      </c>
      <c r="K39" s="2602">
        <v>0</v>
      </c>
      <c r="L39" s="2602">
        <v>0</v>
      </c>
    </row>
    <row r="40" spans="1:17" ht="31.2" x14ac:dyDescent="0.3">
      <c r="A40" s="2604" t="s">
        <v>3481</v>
      </c>
      <c r="B40" s="2604" t="s">
        <v>3414</v>
      </c>
      <c r="C40" s="2604">
        <v>369604103</v>
      </c>
      <c r="D40" s="2603">
        <v>155697</v>
      </c>
      <c r="E40" s="2603">
        <v>4998302</v>
      </c>
      <c r="F40" s="2604" t="s">
        <v>3403</v>
      </c>
      <c r="G40" s="2605"/>
      <c r="H40" s="2604" t="s">
        <v>3402</v>
      </c>
      <c r="I40" s="2604" t="s">
        <v>3401</v>
      </c>
      <c r="J40" s="2603">
        <v>4998302</v>
      </c>
      <c r="K40" s="2602">
        <v>0</v>
      </c>
      <c r="L40" s="2602">
        <v>0</v>
      </c>
    </row>
    <row r="41" spans="1:17" ht="31.2" x14ac:dyDescent="0.3">
      <c r="A41" s="2604" t="s">
        <v>3481</v>
      </c>
      <c r="B41" s="2604" t="s">
        <v>3414</v>
      </c>
      <c r="C41" s="2604">
        <v>369604103</v>
      </c>
      <c r="D41" s="2603">
        <v>1112</v>
      </c>
      <c r="E41" s="2603">
        <v>35702</v>
      </c>
      <c r="F41" s="2604" t="s">
        <v>3403</v>
      </c>
      <c r="G41" s="2605"/>
      <c r="H41" s="2604" t="s">
        <v>3402</v>
      </c>
      <c r="I41" s="2604" t="s">
        <v>3421</v>
      </c>
      <c r="J41" s="2603">
        <v>35702</v>
      </c>
      <c r="K41" s="2602">
        <v>0</v>
      </c>
      <c r="L41" s="2602">
        <v>0</v>
      </c>
    </row>
    <row r="42" spans="1:17" ht="31.2" x14ac:dyDescent="0.3">
      <c r="A42" s="2604" t="s">
        <v>3481</v>
      </c>
      <c r="B42" s="2604" t="s">
        <v>3414</v>
      </c>
      <c r="C42" s="2604">
        <v>369604103</v>
      </c>
      <c r="D42" s="2603">
        <v>132343</v>
      </c>
      <c r="E42" s="2603">
        <v>4248556</v>
      </c>
      <c r="F42" s="2604" t="s">
        <v>3403</v>
      </c>
      <c r="G42" s="2605"/>
      <c r="H42" s="2604" t="s">
        <v>3402</v>
      </c>
      <c r="I42" s="2604" t="s">
        <v>3420</v>
      </c>
      <c r="J42" s="2603">
        <v>4248556</v>
      </c>
      <c r="K42" s="2602">
        <v>0</v>
      </c>
      <c r="L42" s="2602">
        <v>0</v>
      </c>
    </row>
    <row r="43" spans="1:17" ht="31.2" x14ac:dyDescent="0.3">
      <c r="A43" s="2604" t="s">
        <v>3481</v>
      </c>
      <c r="B43" s="2604" t="s">
        <v>3414</v>
      </c>
      <c r="C43" s="2604">
        <v>369604103</v>
      </c>
      <c r="D43" s="2603">
        <v>5561</v>
      </c>
      <c r="E43" s="2603">
        <v>178510</v>
      </c>
      <c r="F43" s="2604" t="s">
        <v>3403</v>
      </c>
      <c r="G43" s="2605"/>
      <c r="H43" s="2604" t="s">
        <v>3402</v>
      </c>
      <c r="I43" s="2604" t="s">
        <v>3419</v>
      </c>
      <c r="J43" s="2603">
        <v>178510</v>
      </c>
      <c r="K43" s="2602">
        <v>0</v>
      </c>
      <c r="L43" s="2602">
        <v>0</v>
      </c>
    </row>
    <row r="44" spans="1:17" ht="31.2" x14ac:dyDescent="0.3">
      <c r="A44" s="2604" t="s">
        <v>3480</v>
      </c>
      <c r="B44" s="2604" t="s">
        <v>3414</v>
      </c>
      <c r="C44" s="2604" t="s">
        <v>3479</v>
      </c>
      <c r="D44" s="2603">
        <v>471510</v>
      </c>
      <c r="E44" s="2603">
        <v>13863853</v>
      </c>
      <c r="F44" s="2604" t="s">
        <v>3403</v>
      </c>
      <c r="G44" s="2605"/>
      <c r="H44" s="2604" t="s">
        <v>3402</v>
      </c>
      <c r="I44" s="2604">
        <v>4</v>
      </c>
      <c r="J44" s="2603">
        <v>13863853</v>
      </c>
      <c r="K44" s="2602">
        <v>0</v>
      </c>
      <c r="L44" s="2602">
        <v>0</v>
      </c>
    </row>
    <row r="45" spans="1:17" ht="31.2" x14ac:dyDescent="0.3">
      <c r="A45" s="2604" t="s">
        <v>3480</v>
      </c>
      <c r="B45" s="2604" t="s">
        <v>3414</v>
      </c>
      <c r="C45" s="2604" t="s">
        <v>3479</v>
      </c>
      <c r="D45" s="2603">
        <v>846414</v>
      </c>
      <c r="E45" s="2603">
        <v>24887209</v>
      </c>
      <c r="F45" s="2604" t="s">
        <v>3403</v>
      </c>
      <c r="G45" s="2605"/>
      <c r="H45" s="2604" t="s">
        <v>3402</v>
      </c>
      <c r="I45" s="2604" t="s">
        <v>3401</v>
      </c>
      <c r="J45" s="2603">
        <v>24887209</v>
      </c>
      <c r="K45" s="2602">
        <v>0</v>
      </c>
      <c r="L45" s="2602">
        <v>0</v>
      </c>
    </row>
    <row r="46" spans="1:17" ht="31.2" x14ac:dyDescent="0.3">
      <c r="A46" s="2604" t="s">
        <v>3480</v>
      </c>
      <c r="B46" s="2604" t="s">
        <v>3414</v>
      </c>
      <c r="C46" s="2604" t="s">
        <v>3479</v>
      </c>
      <c r="D46" s="2603">
        <v>340486</v>
      </c>
      <c r="E46" s="2603">
        <v>10011338</v>
      </c>
      <c r="F46" s="2604" t="s">
        <v>3403</v>
      </c>
      <c r="G46" s="2605"/>
      <c r="H46" s="2604" t="s">
        <v>3402</v>
      </c>
      <c r="I46" s="2604" t="s">
        <v>3421</v>
      </c>
      <c r="J46" s="2603">
        <v>10011338</v>
      </c>
      <c r="K46" s="2602">
        <v>0</v>
      </c>
      <c r="L46" s="2602">
        <v>0</v>
      </c>
    </row>
    <row r="47" spans="1:17" ht="31.2" x14ac:dyDescent="0.3">
      <c r="A47" s="2604" t="s">
        <v>3480</v>
      </c>
      <c r="B47" s="2604" t="s">
        <v>3414</v>
      </c>
      <c r="C47" s="2604" t="s">
        <v>3479</v>
      </c>
      <c r="D47" s="2603">
        <v>42091</v>
      </c>
      <c r="E47" s="2603">
        <v>1237600</v>
      </c>
      <c r="F47" s="2604" t="s">
        <v>3403</v>
      </c>
      <c r="G47" s="2605"/>
      <c r="H47" s="2604" t="s">
        <v>3402</v>
      </c>
      <c r="I47" s="2604" t="s">
        <v>3420</v>
      </c>
      <c r="J47" s="2603">
        <v>1237600</v>
      </c>
      <c r="K47" s="2602">
        <v>0</v>
      </c>
      <c r="L47" s="2602">
        <v>0</v>
      </c>
    </row>
    <row r="48" spans="1:17" ht="46.8" x14ac:dyDescent="0.3">
      <c r="A48" s="2604" t="s">
        <v>3478</v>
      </c>
      <c r="B48" s="2604" t="s">
        <v>3414</v>
      </c>
      <c r="C48" s="2604" t="s">
        <v>3477</v>
      </c>
      <c r="D48" s="2603">
        <v>788681</v>
      </c>
      <c r="E48" s="2603">
        <v>4375968</v>
      </c>
      <c r="F48" s="2604" t="s">
        <v>3403</v>
      </c>
      <c r="G48" s="2605"/>
      <c r="H48" s="2604" t="s">
        <v>3402</v>
      </c>
      <c r="I48" s="2604" t="s">
        <v>3401</v>
      </c>
      <c r="J48" s="2603">
        <v>4375968</v>
      </c>
      <c r="K48" s="2602">
        <v>0</v>
      </c>
      <c r="L48" s="2602">
        <v>0</v>
      </c>
    </row>
    <row r="49" spans="1:12" ht="46.8" x14ac:dyDescent="0.3">
      <c r="A49" s="2604" t="s">
        <v>3478</v>
      </c>
      <c r="B49" s="2604" t="s">
        <v>3414</v>
      </c>
      <c r="C49" s="2604" t="s">
        <v>3477</v>
      </c>
      <c r="D49" s="2603">
        <v>1186553</v>
      </c>
      <c r="E49" s="2603">
        <v>6583551</v>
      </c>
      <c r="F49" s="2604" t="s">
        <v>3403</v>
      </c>
      <c r="G49" s="2605"/>
      <c r="H49" s="2604" t="s">
        <v>3402</v>
      </c>
      <c r="I49" s="2604" t="s">
        <v>3420</v>
      </c>
      <c r="J49" s="2603">
        <v>6583551</v>
      </c>
      <c r="K49" s="2602">
        <v>0</v>
      </c>
      <c r="L49" s="2602">
        <v>0</v>
      </c>
    </row>
    <row r="50" spans="1:12" ht="31.2" x14ac:dyDescent="0.3">
      <c r="A50" s="2604" t="s">
        <v>3476</v>
      </c>
      <c r="B50" s="2604" t="s">
        <v>3414</v>
      </c>
      <c r="C50" s="2604">
        <v>384637104</v>
      </c>
      <c r="D50" s="2603">
        <v>23359</v>
      </c>
      <c r="E50" s="2603">
        <v>48165</v>
      </c>
      <c r="F50" s="2604" t="s">
        <v>3403</v>
      </c>
      <c r="G50" s="2605"/>
      <c r="H50" s="2604" t="s">
        <v>3402</v>
      </c>
      <c r="I50" s="2604" t="s">
        <v>3421</v>
      </c>
      <c r="J50" s="2602">
        <v>0</v>
      </c>
      <c r="K50" s="2602">
        <v>0</v>
      </c>
      <c r="L50" s="2603">
        <v>48165</v>
      </c>
    </row>
    <row r="51" spans="1:12" ht="31.2" x14ac:dyDescent="0.3">
      <c r="A51" s="2604" t="s">
        <v>3476</v>
      </c>
      <c r="B51" s="2604" t="s">
        <v>3414</v>
      </c>
      <c r="C51" s="2604">
        <v>384637104</v>
      </c>
      <c r="D51" s="2603">
        <v>28812</v>
      </c>
      <c r="E51" s="2603">
        <v>59410</v>
      </c>
      <c r="F51" s="2604" t="s">
        <v>3403</v>
      </c>
      <c r="G51" s="2605"/>
      <c r="H51" s="2604" t="s">
        <v>3402</v>
      </c>
      <c r="I51" s="2604" t="s">
        <v>3420</v>
      </c>
      <c r="J51" s="2602">
        <v>0</v>
      </c>
      <c r="K51" s="2602">
        <v>0</v>
      </c>
      <c r="L51" s="2603">
        <v>59410</v>
      </c>
    </row>
    <row r="52" spans="1:12" ht="46.8" x14ac:dyDescent="0.3">
      <c r="A52" s="2604" t="s">
        <v>3475</v>
      </c>
      <c r="B52" s="2604" t="s">
        <v>3414</v>
      </c>
      <c r="C52" s="2604">
        <v>459200101</v>
      </c>
      <c r="D52" s="2603">
        <v>11626</v>
      </c>
      <c r="E52" s="2603">
        <v>84480</v>
      </c>
      <c r="F52" s="2604" t="s">
        <v>3403</v>
      </c>
      <c r="G52" s="2605"/>
      <c r="H52" s="2604" t="s">
        <v>3402</v>
      </c>
      <c r="I52" s="2604">
        <v>4</v>
      </c>
      <c r="J52" s="2603">
        <v>84480</v>
      </c>
      <c r="K52" s="2602">
        <v>0</v>
      </c>
      <c r="L52" s="2602">
        <v>0</v>
      </c>
    </row>
    <row r="53" spans="1:12" ht="46.8" x14ac:dyDescent="0.3">
      <c r="A53" s="2604" t="s">
        <v>3475</v>
      </c>
      <c r="B53" s="2604" t="s">
        <v>3414</v>
      </c>
      <c r="C53" s="2604">
        <v>459200101</v>
      </c>
      <c r="D53" s="2603">
        <v>38258</v>
      </c>
      <c r="E53" s="2603">
        <v>278000</v>
      </c>
      <c r="F53" s="2604" t="s">
        <v>3403</v>
      </c>
      <c r="G53" s="2605"/>
      <c r="H53" s="2604" t="s">
        <v>3402</v>
      </c>
      <c r="I53" s="2604" t="s">
        <v>3428</v>
      </c>
      <c r="J53" s="2603">
        <v>278000</v>
      </c>
      <c r="K53" s="2602">
        <v>0</v>
      </c>
      <c r="L53" s="2602">
        <v>0</v>
      </c>
    </row>
    <row r="54" spans="1:12" ht="46.8" x14ac:dyDescent="0.3">
      <c r="A54" s="2604" t="s">
        <v>3475</v>
      </c>
      <c r="B54" s="2604" t="s">
        <v>3414</v>
      </c>
      <c r="C54" s="2604">
        <v>459200101</v>
      </c>
      <c r="D54" s="2603">
        <v>99264</v>
      </c>
      <c r="E54" s="2603">
        <v>721288</v>
      </c>
      <c r="F54" s="2604" t="s">
        <v>3403</v>
      </c>
      <c r="G54" s="2605"/>
      <c r="H54" s="2604" t="s">
        <v>3402</v>
      </c>
      <c r="I54" s="2604" t="s">
        <v>3425</v>
      </c>
      <c r="J54" s="2603">
        <v>721288</v>
      </c>
      <c r="K54" s="2602">
        <v>0</v>
      </c>
      <c r="L54" s="2602">
        <v>0</v>
      </c>
    </row>
    <row r="55" spans="1:12" ht="46.8" x14ac:dyDescent="0.3">
      <c r="A55" s="2604" t="s">
        <v>3475</v>
      </c>
      <c r="B55" s="2604" t="s">
        <v>3414</v>
      </c>
      <c r="C55" s="2604">
        <v>459200101</v>
      </c>
      <c r="D55" s="2603">
        <v>70021</v>
      </c>
      <c r="E55" s="2603">
        <v>508800</v>
      </c>
      <c r="F55" s="2604" t="s">
        <v>3403</v>
      </c>
      <c r="G55" s="2605"/>
      <c r="H55" s="2604" t="s">
        <v>3402</v>
      </c>
      <c r="I55" s="2604" t="s">
        <v>3401</v>
      </c>
      <c r="J55" s="2603">
        <v>508800</v>
      </c>
      <c r="K55" s="2602">
        <v>0</v>
      </c>
      <c r="L55" s="2602">
        <v>0</v>
      </c>
    </row>
    <row r="56" spans="1:12" ht="46.8" x14ac:dyDescent="0.3">
      <c r="A56" s="2604" t="s">
        <v>3475</v>
      </c>
      <c r="B56" s="2604" t="s">
        <v>3414</v>
      </c>
      <c r="C56" s="2604">
        <v>459200101</v>
      </c>
      <c r="D56" s="2603">
        <v>116027</v>
      </c>
      <c r="E56" s="2603">
        <v>843100</v>
      </c>
      <c r="F56" s="2604" t="s">
        <v>3403</v>
      </c>
      <c r="G56" s="2605"/>
      <c r="H56" s="2604" t="s">
        <v>3402</v>
      </c>
      <c r="I56" s="2604" t="s">
        <v>3421</v>
      </c>
      <c r="J56" s="2603">
        <v>843100</v>
      </c>
      <c r="K56" s="2602">
        <v>0</v>
      </c>
      <c r="L56" s="2602">
        <v>0</v>
      </c>
    </row>
    <row r="57" spans="1:12" ht="46.8" x14ac:dyDescent="0.3">
      <c r="A57" s="2604" t="s">
        <v>3475</v>
      </c>
      <c r="B57" s="2604" t="s">
        <v>3414</v>
      </c>
      <c r="C57" s="2604">
        <v>459200101</v>
      </c>
      <c r="D57" s="2603">
        <v>10816627</v>
      </c>
      <c r="E57" s="2603">
        <v>78597782</v>
      </c>
      <c r="F57" s="2604" t="s">
        <v>3403</v>
      </c>
      <c r="G57" s="2605"/>
      <c r="H57" s="2604" t="s">
        <v>3402</v>
      </c>
      <c r="I57" s="2604" t="s">
        <v>3420</v>
      </c>
      <c r="J57" s="2603">
        <v>78597782</v>
      </c>
      <c r="K57" s="2602">
        <v>0</v>
      </c>
      <c r="L57" s="2602">
        <v>0</v>
      </c>
    </row>
    <row r="58" spans="1:12" ht="31.2" x14ac:dyDescent="0.3">
      <c r="A58" s="2604" t="s">
        <v>3474</v>
      </c>
      <c r="B58" s="2604" t="s">
        <v>3414</v>
      </c>
      <c r="C58" s="2604">
        <v>478160104</v>
      </c>
      <c r="D58" s="2603">
        <v>33600</v>
      </c>
      <c r="E58" s="2603">
        <v>327100</v>
      </c>
      <c r="F58" s="2604" t="s">
        <v>3403</v>
      </c>
      <c r="G58" s="2605"/>
      <c r="H58" s="2604" t="s">
        <v>3402</v>
      </c>
      <c r="I58" s="2604">
        <v>4</v>
      </c>
      <c r="J58" s="2603">
        <v>327100</v>
      </c>
      <c r="K58" s="2602">
        <v>0</v>
      </c>
      <c r="L58" s="2602">
        <v>0</v>
      </c>
    </row>
    <row r="59" spans="1:12" ht="46.8" x14ac:dyDescent="0.3">
      <c r="A59" s="2604" t="s">
        <v>3473</v>
      </c>
      <c r="B59" s="2604" t="s">
        <v>3414</v>
      </c>
      <c r="C59" s="2604" t="s">
        <v>3472</v>
      </c>
      <c r="D59" s="2603">
        <v>395880</v>
      </c>
      <c r="E59" s="2603">
        <v>26533525</v>
      </c>
      <c r="F59" s="2604" t="s">
        <v>3403</v>
      </c>
      <c r="G59" s="2605"/>
      <c r="H59" s="2604" t="s">
        <v>3402</v>
      </c>
      <c r="I59" s="2604">
        <v>4</v>
      </c>
      <c r="J59" s="2603">
        <v>26533525</v>
      </c>
      <c r="K59" s="2602">
        <v>0</v>
      </c>
      <c r="L59" s="2602">
        <v>0</v>
      </c>
    </row>
    <row r="60" spans="1:12" ht="18" x14ac:dyDescent="0.3">
      <c r="A60" s="2604" t="s">
        <v>3471</v>
      </c>
      <c r="B60" s="2604" t="s">
        <v>3414</v>
      </c>
      <c r="C60" s="2604">
        <v>500754106</v>
      </c>
      <c r="D60" s="2603">
        <v>23693189</v>
      </c>
      <c r="E60" s="2603">
        <v>325634818</v>
      </c>
      <c r="F60" s="2604" t="s">
        <v>3403</v>
      </c>
      <c r="G60" s="2605"/>
      <c r="H60" s="2604" t="s">
        <v>3402</v>
      </c>
      <c r="I60" s="2604">
        <v>4</v>
      </c>
      <c r="J60" s="2603">
        <v>325634818</v>
      </c>
      <c r="K60" s="2602">
        <v>0</v>
      </c>
      <c r="L60" s="2602">
        <v>0</v>
      </c>
    </row>
    <row r="61" spans="1:12" ht="46.8" x14ac:dyDescent="0.3">
      <c r="A61" s="2604" t="s">
        <v>3470</v>
      </c>
      <c r="B61" s="2604" t="s">
        <v>3414</v>
      </c>
      <c r="C61" s="2604">
        <v>523768109</v>
      </c>
      <c r="D61" s="2602">
        <v>149</v>
      </c>
      <c r="E61" s="2603">
        <v>88863</v>
      </c>
      <c r="F61" s="2604" t="s">
        <v>3403</v>
      </c>
      <c r="G61" s="2605"/>
      <c r="H61" s="2604" t="s">
        <v>3402</v>
      </c>
      <c r="I61" s="2604" t="s">
        <v>3425</v>
      </c>
      <c r="J61" s="2603">
        <v>88863</v>
      </c>
      <c r="K61" s="2602">
        <v>0</v>
      </c>
      <c r="L61" s="2602">
        <v>0</v>
      </c>
    </row>
    <row r="62" spans="1:12" ht="46.8" x14ac:dyDescent="0.3">
      <c r="A62" s="2604" t="s">
        <v>3469</v>
      </c>
      <c r="B62" s="2604" t="s">
        <v>3436</v>
      </c>
      <c r="C62" s="2604">
        <v>531229102</v>
      </c>
      <c r="D62" s="2603">
        <v>77126</v>
      </c>
      <c r="E62" s="2603">
        <v>1965000</v>
      </c>
      <c r="F62" s="2604" t="s">
        <v>3403</v>
      </c>
      <c r="G62" s="2605"/>
      <c r="H62" s="2604" t="s">
        <v>3402</v>
      </c>
      <c r="I62" s="2604">
        <v>4</v>
      </c>
      <c r="J62" s="2603">
        <v>1965000</v>
      </c>
      <c r="K62" s="2602">
        <v>0</v>
      </c>
      <c r="L62" s="2602">
        <v>0</v>
      </c>
    </row>
    <row r="63" spans="1:12" ht="46.8" x14ac:dyDescent="0.3">
      <c r="A63" s="2604" t="s">
        <v>3469</v>
      </c>
      <c r="B63" s="2604" t="s">
        <v>3436</v>
      </c>
      <c r="C63" s="2604">
        <v>531229102</v>
      </c>
      <c r="D63" s="2603">
        <v>187653</v>
      </c>
      <c r="E63" s="2603">
        <v>4780980</v>
      </c>
      <c r="F63" s="2604" t="s">
        <v>3403</v>
      </c>
      <c r="G63" s="2605"/>
      <c r="H63" s="2604" t="s">
        <v>3402</v>
      </c>
      <c r="I63" s="2604" t="s">
        <v>3401</v>
      </c>
      <c r="J63" s="2603">
        <v>4780980</v>
      </c>
      <c r="K63" s="2602">
        <v>0</v>
      </c>
      <c r="L63" s="2602">
        <v>0</v>
      </c>
    </row>
    <row r="64" spans="1:12" ht="46.8" x14ac:dyDescent="0.3">
      <c r="A64" s="2604" t="s">
        <v>3469</v>
      </c>
      <c r="B64" s="2604" t="s">
        <v>3436</v>
      </c>
      <c r="C64" s="2604">
        <v>531229102</v>
      </c>
      <c r="D64" s="2603">
        <v>36636</v>
      </c>
      <c r="E64" s="2603">
        <v>933391</v>
      </c>
      <c r="F64" s="2604" t="s">
        <v>3403</v>
      </c>
      <c r="G64" s="2605"/>
      <c r="H64" s="2604" t="s">
        <v>3402</v>
      </c>
      <c r="I64" s="2604" t="s">
        <v>3421</v>
      </c>
      <c r="J64" s="2603">
        <v>933391</v>
      </c>
      <c r="K64" s="2602">
        <v>0</v>
      </c>
      <c r="L64" s="2602">
        <v>0</v>
      </c>
    </row>
    <row r="65" spans="1:12" ht="46.8" x14ac:dyDescent="0.3">
      <c r="A65" s="2604" t="s">
        <v>3469</v>
      </c>
      <c r="B65" s="2604" t="s">
        <v>3436</v>
      </c>
      <c r="C65" s="2604">
        <v>531229102</v>
      </c>
      <c r="D65" s="2603">
        <v>4735</v>
      </c>
      <c r="E65" s="2603">
        <v>120629</v>
      </c>
      <c r="F65" s="2604" t="s">
        <v>3403</v>
      </c>
      <c r="G65" s="2605"/>
      <c r="H65" s="2604" t="s">
        <v>3402</v>
      </c>
      <c r="I65" s="2604" t="s">
        <v>3420</v>
      </c>
      <c r="J65" s="2603">
        <v>120629</v>
      </c>
      <c r="K65" s="2602">
        <v>0</v>
      </c>
      <c r="L65" s="2602">
        <v>0</v>
      </c>
    </row>
    <row r="66" spans="1:12" ht="46.8" x14ac:dyDescent="0.3">
      <c r="A66" s="2604" t="s">
        <v>3469</v>
      </c>
      <c r="B66" s="2604" t="s">
        <v>3468</v>
      </c>
      <c r="C66" s="2604">
        <v>531229300</v>
      </c>
      <c r="D66" s="2603">
        <v>119381</v>
      </c>
      <c r="E66" s="2603">
        <v>3135000</v>
      </c>
      <c r="F66" s="2604" t="s">
        <v>3403</v>
      </c>
      <c r="G66" s="2605"/>
      <c r="H66" s="2604" t="s">
        <v>3402</v>
      </c>
      <c r="I66" s="2604">
        <v>4</v>
      </c>
      <c r="J66" s="2603">
        <v>3135000</v>
      </c>
      <c r="K66" s="2602">
        <v>0</v>
      </c>
      <c r="L66" s="2602">
        <v>0</v>
      </c>
    </row>
    <row r="67" spans="1:12" ht="46.8" x14ac:dyDescent="0.3">
      <c r="A67" s="2604" t="s">
        <v>3469</v>
      </c>
      <c r="B67" s="2604" t="s">
        <v>3468</v>
      </c>
      <c r="C67" s="2604">
        <v>531229300</v>
      </c>
      <c r="D67" s="2603">
        <v>439141</v>
      </c>
      <c r="E67" s="2603">
        <v>11532074</v>
      </c>
      <c r="F67" s="2604" t="s">
        <v>3403</v>
      </c>
      <c r="G67" s="2605"/>
      <c r="H67" s="2604" t="s">
        <v>3402</v>
      </c>
      <c r="I67" s="2604" t="s">
        <v>3401</v>
      </c>
      <c r="J67" s="2603">
        <v>11532074</v>
      </c>
      <c r="K67" s="2602">
        <v>0</v>
      </c>
      <c r="L67" s="2602">
        <v>0</v>
      </c>
    </row>
    <row r="68" spans="1:12" ht="46.8" x14ac:dyDescent="0.3">
      <c r="A68" s="2604" t="s">
        <v>3469</v>
      </c>
      <c r="B68" s="2604" t="s">
        <v>3468</v>
      </c>
      <c r="C68" s="2604">
        <v>531229300</v>
      </c>
      <c r="D68" s="2603">
        <v>19370</v>
      </c>
      <c r="E68" s="2603">
        <v>508654</v>
      </c>
      <c r="F68" s="2604" t="s">
        <v>3403</v>
      </c>
      <c r="G68" s="2605"/>
      <c r="H68" s="2604" t="s">
        <v>3402</v>
      </c>
      <c r="I68" s="2604" t="s">
        <v>3421</v>
      </c>
      <c r="J68" s="2603">
        <v>508654</v>
      </c>
      <c r="K68" s="2602">
        <v>0</v>
      </c>
      <c r="L68" s="2602">
        <v>0</v>
      </c>
    </row>
    <row r="69" spans="1:12" ht="46.8" x14ac:dyDescent="0.3">
      <c r="A69" s="2604" t="s">
        <v>3469</v>
      </c>
      <c r="B69" s="2604" t="s">
        <v>3468</v>
      </c>
      <c r="C69" s="2604">
        <v>531229300</v>
      </c>
      <c r="D69" s="2603">
        <v>8017</v>
      </c>
      <c r="E69" s="2603">
        <v>210529</v>
      </c>
      <c r="F69" s="2604" t="s">
        <v>3403</v>
      </c>
      <c r="G69" s="2605"/>
      <c r="H69" s="2604" t="s">
        <v>3402</v>
      </c>
      <c r="I69" s="2604" t="s">
        <v>3420</v>
      </c>
      <c r="J69" s="2603">
        <v>210529</v>
      </c>
      <c r="K69" s="2602">
        <v>0</v>
      </c>
      <c r="L69" s="2602">
        <v>0</v>
      </c>
    </row>
    <row r="70" spans="1:12" ht="18" x14ac:dyDescent="0.3">
      <c r="A70" s="2604" t="s">
        <v>3467</v>
      </c>
      <c r="B70" s="2604" t="s">
        <v>3414</v>
      </c>
      <c r="C70" s="2604" t="s">
        <v>3466</v>
      </c>
      <c r="D70" s="2603">
        <v>66164</v>
      </c>
      <c r="E70" s="2603">
        <v>546000</v>
      </c>
      <c r="F70" s="2604" t="s">
        <v>3403</v>
      </c>
      <c r="G70" s="2605"/>
      <c r="H70" s="2604" t="s">
        <v>3402</v>
      </c>
      <c r="I70" s="2604" t="s">
        <v>3401</v>
      </c>
      <c r="J70" s="2603">
        <v>546000</v>
      </c>
      <c r="K70" s="2602">
        <v>0</v>
      </c>
      <c r="L70" s="2602">
        <v>0</v>
      </c>
    </row>
    <row r="71" spans="1:12" ht="18" x14ac:dyDescent="0.3">
      <c r="A71" s="2604" t="s">
        <v>3467</v>
      </c>
      <c r="B71" s="2604" t="s">
        <v>3414</v>
      </c>
      <c r="C71" s="2604" t="s">
        <v>3466</v>
      </c>
      <c r="D71" s="2603">
        <v>19970</v>
      </c>
      <c r="E71" s="2603">
        <v>164795</v>
      </c>
      <c r="F71" s="2604" t="s">
        <v>3403</v>
      </c>
      <c r="G71" s="2605"/>
      <c r="H71" s="2604" t="s">
        <v>3402</v>
      </c>
      <c r="I71" s="2604" t="s">
        <v>3421</v>
      </c>
      <c r="J71" s="2603">
        <v>164795</v>
      </c>
      <c r="K71" s="2602">
        <v>0</v>
      </c>
      <c r="L71" s="2602">
        <v>0</v>
      </c>
    </row>
    <row r="72" spans="1:12" ht="18" x14ac:dyDescent="0.3">
      <c r="A72" s="2604" t="s">
        <v>3467</v>
      </c>
      <c r="B72" s="2604" t="s">
        <v>3414</v>
      </c>
      <c r="C72" s="2604" t="s">
        <v>3466</v>
      </c>
      <c r="D72" s="2603">
        <v>566061</v>
      </c>
      <c r="E72" s="2603">
        <v>4671245</v>
      </c>
      <c r="F72" s="2604" t="s">
        <v>3403</v>
      </c>
      <c r="G72" s="2605"/>
      <c r="H72" s="2604" t="s">
        <v>3402</v>
      </c>
      <c r="I72" s="2604" t="s">
        <v>3420</v>
      </c>
      <c r="J72" s="2603">
        <v>4671245</v>
      </c>
      <c r="K72" s="2602">
        <v>0</v>
      </c>
      <c r="L72" s="2602">
        <v>0</v>
      </c>
    </row>
    <row r="73" spans="1:12" ht="31.2" x14ac:dyDescent="0.3">
      <c r="A73" s="2604" t="s">
        <v>3465</v>
      </c>
      <c r="B73" s="2604" t="s">
        <v>3436</v>
      </c>
      <c r="C73" s="2604" t="s">
        <v>3464</v>
      </c>
      <c r="D73" s="2603">
        <v>509169</v>
      </c>
      <c r="E73" s="2603">
        <v>5229756</v>
      </c>
      <c r="F73" s="2604" t="s">
        <v>3403</v>
      </c>
      <c r="G73" s="2605"/>
      <c r="H73" s="2604" t="s">
        <v>3402</v>
      </c>
      <c r="I73" s="2604" t="s">
        <v>3401</v>
      </c>
      <c r="J73" s="2603">
        <v>5229756</v>
      </c>
      <c r="K73" s="2602">
        <v>0</v>
      </c>
      <c r="L73" s="2602">
        <v>0</v>
      </c>
    </row>
    <row r="74" spans="1:12" ht="31.2" x14ac:dyDescent="0.3">
      <c r="A74" s="2604" t="s">
        <v>3463</v>
      </c>
      <c r="B74" s="2604" t="s">
        <v>3414</v>
      </c>
      <c r="C74" s="2604" t="s">
        <v>3462</v>
      </c>
      <c r="D74" s="2603">
        <v>56062</v>
      </c>
      <c r="E74" s="2603">
        <v>3471309</v>
      </c>
      <c r="F74" s="2604" t="s">
        <v>3403</v>
      </c>
      <c r="G74" s="2605"/>
      <c r="H74" s="2604" t="s">
        <v>3402</v>
      </c>
      <c r="I74" s="2604">
        <v>4</v>
      </c>
      <c r="J74" s="2603">
        <v>3471309</v>
      </c>
      <c r="K74" s="2602">
        <v>0</v>
      </c>
      <c r="L74" s="2602">
        <v>0</v>
      </c>
    </row>
    <row r="75" spans="1:12" ht="31.2" x14ac:dyDescent="0.3">
      <c r="A75" s="2604" t="s">
        <v>3461</v>
      </c>
      <c r="B75" s="2604" t="s">
        <v>3436</v>
      </c>
      <c r="C75" s="2604">
        <v>609207105</v>
      </c>
      <c r="D75" s="2603">
        <v>25918</v>
      </c>
      <c r="E75" s="2603">
        <v>578000</v>
      </c>
      <c r="F75" s="2604" t="s">
        <v>3403</v>
      </c>
      <c r="G75" s="2605"/>
      <c r="H75" s="2604" t="s">
        <v>3402</v>
      </c>
      <c r="I75" s="2604">
        <v>4</v>
      </c>
      <c r="J75" s="2603">
        <v>578000</v>
      </c>
      <c r="K75" s="2602">
        <v>0</v>
      </c>
      <c r="L75" s="2602">
        <v>0</v>
      </c>
    </row>
    <row r="76" spans="1:12" ht="18" x14ac:dyDescent="0.3">
      <c r="A76" s="2604" t="s">
        <v>3460</v>
      </c>
      <c r="B76" s="2604" t="s">
        <v>3414</v>
      </c>
      <c r="C76" s="2604">
        <v>615369105</v>
      </c>
      <c r="D76" s="2603">
        <v>1201464</v>
      </c>
      <c r="E76" s="2603">
        <v>11973928</v>
      </c>
      <c r="F76" s="2604" t="s">
        <v>3403</v>
      </c>
      <c r="G76" s="2605"/>
      <c r="H76" s="2604" t="s">
        <v>3402</v>
      </c>
      <c r="I76" s="2604" t="s">
        <v>3401</v>
      </c>
      <c r="J76" s="2603">
        <v>11973928</v>
      </c>
      <c r="K76" s="2602">
        <v>0</v>
      </c>
      <c r="L76" s="2602">
        <v>0</v>
      </c>
    </row>
    <row r="77" spans="1:12" ht="18" x14ac:dyDescent="0.3">
      <c r="A77" s="2604" t="s">
        <v>3460</v>
      </c>
      <c r="B77" s="2604" t="s">
        <v>3414</v>
      </c>
      <c r="C77" s="2604">
        <v>615369105</v>
      </c>
      <c r="D77" s="2603">
        <v>1273902</v>
      </c>
      <c r="E77" s="2603">
        <v>12695850</v>
      </c>
      <c r="F77" s="2604" t="s">
        <v>3403</v>
      </c>
      <c r="G77" s="2605"/>
      <c r="H77" s="2604" t="s">
        <v>3402</v>
      </c>
      <c r="I77" s="2604" t="s">
        <v>3420</v>
      </c>
      <c r="J77" s="2603">
        <v>12695850</v>
      </c>
      <c r="K77" s="2602">
        <v>0</v>
      </c>
      <c r="L77" s="2602">
        <v>0</v>
      </c>
    </row>
    <row r="78" spans="1:12" ht="18" x14ac:dyDescent="0.3">
      <c r="A78" s="2604" t="s">
        <v>3459</v>
      </c>
      <c r="B78" s="2604" t="s">
        <v>3414</v>
      </c>
      <c r="C78" s="2604" t="s">
        <v>3458</v>
      </c>
      <c r="D78" s="2603">
        <v>10436</v>
      </c>
      <c r="E78" s="2603">
        <v>659694</v>
      </c>
      <c r="F78" s="2604" t="s">
        <v>3403</v>
      </c>
      <c r="G78" s="2605"/>
      <c r="H78" s="2604" t="s">
        <v>3402</v>
      </c>
      <c r="I78" s="2604">
        <v>4</v>
      </c>
      <c r="J78" s="2603">
        <v>659694</v>
      </c>
      <c r="K78" s="2602">
        <v>0</v>
      </c>
      <c r="L78" s="2602">
        <v>0</v>
      </c>
    </row>
    <row r="79" spans="1:12" ht="18" x14ac:dyDescent="0.3">
      <c r="A79" s="2604" t="s">
        <v>3459</v>
      </c>
      <c r="B79" s="2604" t="s">
        <v>3414</v>
      </c>
      <c r="C79" s="2604" t="s">
        <v>3458</v>
      </c>
      <c r="D79" s="2603">
        <v>18444</v>
      </c>
      <c r="E79" s="2603">
        <v>1165875</v>
      </c>
      <c r="F79" s="2604" t="s">
        <v>3403</v>
      </c>
      <c r="G79" s="2605"/>
      <c r="H79" s="2604" t="s">
        <v>3402</v>
      </c>
      <c r="I79" s="2604" t="s">
        <v>3401</v>
      </c>
      <c r="J79" s="2603">
        <v>1165875</v>
      </c>
      <c r="K79" s="2602">
        <v>0</v>
      </c>
      <c r="L79" s="2602">
        <v>0</v>
      </c>
    </row>
    <row r="80" spans="1:12" ht="18" x14ac:dyDescent="0.3">
      <c r="A80" s="2604" t="s">
        <v>3457</v>
      </c>
      <c r="B80" s="2604" t="s">
        <v>3414</v>
      </c>
      <c r="C80" s="2604">
        <v>718546104</v>
      </c>
      <c r="D80" s="2603">
        <v>499144</v>
      </c>
      <c r="E80" s="2603">
        <v>6102000</v>
      </c>
      <c r="F80" s="2604" t="s">
        <v>3403</v>
      </c>
      <c r="G80" s="2605"/>
      <c r="H80" s="2604" t="s">
        <v>3402</v>
      </c>
      <c r="I80" s="2604">
        <v>4</v>
      </c>
      <c r="J80" s="2603">
        <v>6102000</v>
      </c>
      <c r="K80" s="2602">
        <v>0</v>
      </c>
      <c r="L80" s="2602">
        <v>0</v>
      </c>
    </row>
    <row r="81" spans="1:12" ht="18" x14ac:dyDescent="0.3">
      <c r="A81" s="2604" t="s">
        <v>3457</v>
      </c>
      <c r="B81" s="2604" t="s">
        <v>3414</v>
      </c>
      <c r="C81" s="2604">
        <v>718546104</v>
      </c>
      <c r="D81" s="2603">
        <v>9980</v>
      </c>
      <c r="E81" s="2603">
        <v>122000</v>
      </c>
      <c r="F81" s="2604" t="s">
        <v>3403</v>
      </c>
      <c r="G81" s="2605"/>
      <c r="H81" s="2604" t="s">
        <v>3402</v>
      </c>
      <c r="I81" s="2604" t="s">
        <v>3425</v>
      </c>
      <c r="J81" s="2603">
        <v>122000</v>
      </c>
      <c r="K81" s="2602">
        <v>0</v>
      </c>
      <c r="L81" s="2602">
        <v>0</v>
      </c>
    </row>
    <row r="82" spans="1:12" ht="18" x14ac:dyDescent="0.3">
      <c r="A82" s="2604" t="s">
        <v>3457</v>
      </c>
      <c r="B82" s="2604" t="s">
        <v>3414</v>
      </c>
      <c r="C82" s="2604">
        <v>718546104</v>
      </c>
      <c r="D82" s="2603">
        <v>4416949</v>
      </c>
      <c r="E82" s="2603">
        <v>53996926</v>
      </c>
      <c r="F82" s="2604" t="s">
        <v>3403</v>
      </c>
      <c r="G82" s="2605"/>
      <c r="H82" s="2604" t="s">
        <v>3402</v>
      </c>
      <c r="I82" s="2604" t="s">
        <v>3420</v>
      </c>
      <c r="J82" s="2603">
        <v>53996926</v>
      </c>
      <c r="K82" s="2602">
        <v>0</v>
      </c>
      <c r="L82" s="2602">
        <v>0</v>
      </c>
    </row>
    <row r="83" spans="1:12" ht="18" x14ac:dyDescent="0.3">
      <c r="A83" s="2604" t="s">
        <v>3457</v>
      </c>
      <c r="B83" s="2604" t="s">
        <v>3414</v>
      </c>
      <c r="C83" s="2604">
        <v>718546104</v>
      </c>
      <c r="D83" s="2603">
        <v>103559</v>
      </c>
      <c r="E83" s="2603">
        <v>1266000</v>
      </c>
      <c r="F83" s="2604" t="s">
        <v>3403</v>
      </c>
      <c r="G83" s="2605"/>
      <c r="H83" s="2604" t="s">
        <v>3402</v>
      </c>
      <c r="I83" s="2604" t="s">
        <v>3419</v>
      </c>
      <c r="J83" s="2603">
        <v>1266000</v>
      </c>
      <c r="K83" s="2602">
        <v>0</v>
      </c>
      <c r="L83" s="2602">
        <v>0</v>
      </c>
    </row>
    <row r="84" spans="1:12" ht="46.8" x14ac:dyDescent="0.3">
      <c r="A84" s="2604" t="s">
        <v>3456</v>
      </c>
      <c r="B84" s="2604" t="s">
        <v>3414</v>
      </c>
      <c r="C84" s="2604">
        <v>740189105</v>
      </c>
      <c r="D84" s="2603">
        <v>349334</v>
      </c>
      <c r="E84" s="2603">
        <v>1505683</v>
      </c>
      <c r="F84" s="2604" t="s">
        <v>3403</v>
      </c>
      <c r="G84" s="2605"/>
      <c r="H84" s="2604" t="s">
        <v>3402</v>
      </c>
      <c r="I84" s="2604">
        <v>4</v>
      </c>
      <c r="J84" s="2603">
        <v>1505683</v>
      </c>
      <c r="K84" s="2602">
        <v>0</v>
      </c>
      <c r="L84" s="2602">
        <v>0</v>
      </c>
    </row>
    <row r="85" spans="1:12" ht="46.8" x14ac:dyDescent="0.3">
      <c r="A85" s="2604" t="s">
        <v>3456</v>
      </c>
      <c r="B85" s="2604" t="s">
        <v>3414</v>
      </c>
      <c r="C85" s="2604">
        <v>740189105</v>
      </c>
      <c r="D85" s="2603">
        <v>625292</v>
      </c>
      <c r="E85" s="2603">
        <v>2695109</v>
      </c>
      <c r="F85" s="2604" t="s">
        <v>3403</v>
      </c>
      <c r="G85" s="2605"/>
      <c r="H85" s="2604" t="s">
        <v>3402</v>
      </c>
      <c r="I85" s="2604" t="s">
        <v>3401</v>
      </c>
      <c r="J85" s="2603">
        <v>2695109</v>
      </c>
      <c r="K85" s="2602">
        <v>0</v>
      </c>
      <c r="L85" s="2602">
        <v>0</v>
      </c>
    </row>
    <row r="86" spans="1:12" ht="31.2" x14ac:dyDescent="0.3">
      <c r="A86" s="2604" t="s">
        <v>3455</v>
      </c>
      <c r="B86" s="2604" t="s">
        <v>3414</v>
      </c>
      <c r="C86" s="2604">
        <v>742718109</v>
      </c>
      <c r="D86" s="2603">
        <v>25046</v>
      </c>
      <c r="E86" s="2603">
        <v>315400</v>
      </c>
      <c r="F86" s="2604" t="s">
        <v>3403</v>
      </c>
      <c r="G86" s="2605"/>
      <c r="H86" s="2604" t="s">
        <v>3402</v>
      </c>
      <c r="I86" s="2604">
        <v>4</v>
      </c>
      <c r="J86" s="2603">
        <v>315400</v>
      </c>
      <c r="K86" s="2602">
        <v>0</v>
      </c>
      <c r="L86" s="2602">
        <v>0</v>
      </c>
    </row>
    <row r="87" spans="1:12" ht="31.2" x14ac:dyDescent="0.3">
      <c r="A87" s="2604" t="s">
        <v>3455</v>
      </c>
      <c r="B87" s="2604" t="s">
        <v>3414</v>
      </c>
      <c r="C87" s="2604">
        <v>742718109</v>
      </c>
      <c r="D87" s="2603">
        <v>1610435</v>
      </c>
      <c r="E87" s="2603">
        <v>20280000</v>
      </c>
      <c r="F87" s="2604" t="s">
        <v>3403</v>
      </c>
      <c r="G87" s="2605"/>
      <c r="H87" s="2604" t="s">
        <v>3402</v>
      </c>
      <c r="I87" s="2604" t="s">
        <v>3425</v>
      </c>
      <c r="J87" s="2603">
        <v>20280000</v>
      </c>
      <c r="K87" s="2602">
        <v>0</v>
      </c>
      <c r="L87" s="2602">
        <v>0</v>
      </c>
    </row>
    <row r="88" spans="1:12" ht="31.2" x14ac:dyDescent="0.3">
      <c r="A88" s="2604" t="s">
        <v>3455</v>
      </c>
      <c r="B88" s="2604" t="s">
        <v>3414</v>
      </c>
      <c r="C88" s="2604">
        <v>742718109</v>
      </c>
      <c r="D88" s="2603">
        <v>123880</v>
      </c>
      <c r="E88" s="2603">
        <v>1560000</v>
      </c>
      <c r="F88" s="2604" t="s">
        <v>3403</v>
      </c>
      <c r="G88" s="2605"/>
      <c r="H88" s="2604" t="s">
        <v>3402</v>
      </c>
      <c r="I88" s="2604" t="s">
        <v>3424</v>
      </c>
      <c r="J88" s="2603">
        <v>1560000</v>
      </c>
      <c r="K88" s="2602">
        <v>0</v>
      </c>
      <c r="L88" s="2602">
        <v>0</v>
      </c>
    </row>
    <row r="89" spans="1:12" ht="31.2" x14ac:dyDescent="0.3">
      <c r="A89" s="2604" t="s">
        <v>3455</v>
      </c>
      <c r="B89" s="2604" t="s">
        <v>3414</v>
      </c>
      <c r="C89" s="2604">
        <v>742718109</v>
      </c>
      <c r="D89" s="2603">
        <v>495518</v>
      </c>
      <c r="E89" s="2603">
        <v>6240000</v>
      </c>
      <c r="F89" s="2604" t="s">
        <v>3403</v>
      </c>
      <c r="G89" s="2605"/>
      <c r="H89" s="2604" t="s">
        <v>3402</v>
      </c>
      <c r="I89" s="2604" t="s">
        <v>3401</v>
      </c>
      <c r="J89" s="2603">
        <v>6240000</v>
      </c>
      <c r="K89" s="2602">
        <v>0</v>
      </c>
      <c r="L89" s="2602">
        <v>0</v>
      </c>
    </row>
    <row r="90" spans="1:12" ht="31.2" x14ac:dyDescent="0.3">
      <c r="A90" s="2604" t="s">
        <v>3455</v>
      </c>
      <c r="B90" s="2604" t="s">
        <v>3414</v>
      </c>
      <c r="C90" s="2604">
        <v>742718109</v>
      </c>
      <c r="D90" s="2603">
        <v>495518</v>
      </c>
      <c r="E90" s="2603">
        <v>6240000</v>
      </c>
      <c r="F90" s="2604" t="s">
        <v>3403</v>
      </c>
      <c r="G90" s="2605"/>
      <c r="H90" s="2604" t="s">
        <v>3402</v>
      </c>
      <c r="I90" s="2604" t="s">
        <v>3421</v>
      </c>
      <c r="J90" s="2603">
        <v>6240000</v>
      </c>
      <c r="K90" s="2602">
        <v>0</v>
      </c>
      <c r="L90" s="2602">
        <v>0</v>
      </c>
    </row>
    <row r="91" spans="1:12" ht="31.2" x14ac:dyDescent="0.3">
      <c r="A91" s="2604" t="s">
        <v>3455</v>
      </c>
      <c r="B91" s="2604" t="s">
        <v>3414</v>
      </c>
      <c r="C91" s="2604">
        <v>742718109</v>
      </c>
      <c r="D91" s="2603">
        <v>1379961</v>
      </c>
      <c r="E91" s="2603">
        <v>17377678</v>
      </c>
      <c r="F91" s="2604" t="s">
        <v>3403</v>
      </c>
      <c r="G91" s="2605"/>
      <c r="H91" s="2604" t="s">
        <v>3402</v>
      </c>
      <c r="I91" s="2604" t="s">
        <v>3420</v>
      </c>
      <c r="J91" s="2603">
        <v>17377678</v>
      </c>
      <c r="K91" s="2602">
        <v>0</v>
      </c>
      <c r="L91" s="2602">
        <v>0</v>
      </c>
    </row>
    <row r="92" spans="1:12" ht="31.2" x14ac:dyDescent="0.3">
      <c r="A92" s="2604" t="s">
        <v>3455</v>
      </c>
      <c r="B92" s="2604" t="s">
        <v>3414</v>
      </c>
      <c r="C92" s="2604">
        <v>742718109</v>
      </c>
      <c r="D92" s="2603">
        <v>61940</v>
      </c>
      <c r="E92" s="2603">
        <v>780000</v>
      </c>
      <c r="F92" s="2604" t="s">
        <v>3403</v>
      </c>
      <c r="G92" s="2605"/>
      <c r="H92" s="2604" t="s">
        <v>3402</v>
      </c>
      <c r="I92" s="2604" t="s">
        <v>3419</v>
      </c>
      <c r="J92" s="2603">
        <v>780000</v>
      </c>
      <c r="K92" s="2602">
        <v>0</v>
      </c>
      <c r="L92" s="2602">
        <v>0</v>
      </c>
    </row>
    <row r="93" spans="1:12" ht="46.8" x14ac:dyDescent="0.3">
      <c r="A93" s="2604" t="s">
        <v>3454</v>
      </c>
      <c r="B93" s="2604" t="s">
        <v>3414</v>
      </c>
      <c r="C93" s="2604" t="s">
        <v>3453</v>
      </c>
      <c r="D93" s="2603">
        <v>315252</v>
      </c>
      <c r="E93" s="2603">
        <v>8438225</v>
      </c>
      <c r="F93" s="2604" t="s">
        <v>3403</v>
      </c>
      <c r="G93" s="2605"/>
      <c r="H93" s="2604" t="s">
        <v>3402</v>
      </c>
      <c r="I93" s="2604" t="s">
        <v>3420</v>
      </c>
      <c r="J93" s="2603">
        <v>8438225</v>
      </c>
      <c r="K93" s="2602">
        <v>0</v>
      </c>
      <c r="L93" s="2602">
        <v>0</v>
      </c>
    </row>
    <row r="94" spans="1:12" ht="31.2" x14ac:dyDescent="0.3">
      <c r="A94" s="2604" t="s">
        <v>3452</v>
      </c>
      <c r="B94" s="2604" t="s">
        <v>3451</v>
      </c>
      <c r="C94" s="2604" t="s">
        <v>3450</v>
      </c>
      <c r="D94" s="2603">
        <v>17973</v>
      </c>
      <c r="E94" s="2603">
        <v>421400</v>
      </c>
      <c r="F94" s="2604" t="s">
        <v>3403</v>
      </c>
      <c r="G94" s="2605"/>
      <c r="H94" s="2604" t="s">
        <v>3402</v>
      </c>
      <c r="I94" s="2604" t="s">
        <v>3401</v>
      </c>
      <c r="J94" s="2603">
        <v>421400</v>
      </c>
      <c r="K94" s="2602">
        <v>0</v>
      </c>
      <c r="L94" s="2602">
        <v>0</v>
      </c>
    </row>
    <row r="95" spans="1:12" ht="31.2" x14ac:dyDescent="0.3">
      <c r="A95" s="2604" t="s">
        <v>3452</v>
      </c>
      <c r="B95" s="2604" t="s">
        <v>3451</v>
      </c>
      <c r="C95" s="2604" t="s">
        <v>3450</v>
      </c>
      <c r="D95" s="2603">
        <v>21740</v>
      </c>
      <c r="E95" s="2603">
        <v>509742</v>
      </c>
      <c r="F95" s="2604" t="s">
        <v>3403</v>
      </c>
      <c r="G95" s="2605"/>
      <c r="H95" s="2604" t="s">
        <v>3402</v>
      </c>
      <c r="I95" s="2604" t="s">
        <v>3422</v>
      </c>
      <c r="J95" s="2603">
        <v>509742</v>
      </c>
      <c r="K95" s="2602">
        <v>0</v>
      </c>
      <c r="L95" s="2602">
        <v>0</v>
      </c>
    </row>
    <row r="96" spans="1:12" ht="31.2" x14ac:dyDescent="0.3">
      <c r="A96" s="2604" t="s">
        <v>3452</v>
      </c>
      <c r="B96" s="2604" t="s">
        <v>3451</v>
      </c>
      <c r="C96" s="2604" t="s">
        <v>3450</v>
      </c>
      <c r="D96" s="2603">
        <v>7221</v>
      </c>
      <c r="E96" s="2603">
        <v>169300</v>
      </c>
      <c r="F96" s="2604" t="s">
        <v>3403</v>
      </c>
      <c r="G96" s="2605"/>
      <c r="H96" s="2604" t="s">
        <v>3402</v>
      </c>
      <c r="I96" s="2604" t="s">
        <v>3421</v>
      </c>
      <c r="J96" s="2603">
        <v>169300</v>
      </c>
      <c r="K96" s="2602">
        <v>0</v>
      </c>
      <c r="L96" s="2602">
        <v>0</v>
      </c>
    </row>
    <row r="97" spans="1:12" ht="31.2" x14ac:dyDescent="0.3">
      <c r="A97" s="2604" t="s">
        <v>3452</v>
      </c>
      <c r="B97" s="2604" t="s">
        <v>3451</v>
      </c>
      <c r="C97" s="2604" t="s">
        <v>3450</v>
      </c>
      <c r="D97" s="2603">
        <v>119652</v>
      </c>
      <c r="E97" s="2603">
        <v>2805433</v>
      </c>
      <c r="F97" s="2604" t="s">
        <v>3403</v>
      </c>
      <c r="G97" s="2605"/>
      <c r="H97" s="2604" t="s">
        <v>3402</v>
      </c>
      <c r="I97" s="2604" t="s">
        <v>3420</v>
      </c>
      <c r="J97" s="2603">
        <v>2805433</v>
      </c>
      <c r="K97" s="2602">
        <v>0</v>
      </c>
      <c r="L97" s="2602">
        <v>0</v>
      </c>
    </row>
    <row r="98" spans="1:12" ht="46.8" x14ac:dyDescent="0.3">
      <c r="A98" s="2604" t="s">
        <v>3449</v>
      </c>
      <c r="B98" s="2604" t="s">
        <v>3414</v>
      </c>
      <c r="C98" s="2604">
        <v>867224107</v>
      </c>
      <c r="D98" s="2603">
        <v>224992</v>
      </c>
      <c r="E98" s="2603">
        <v>8720619</v>
      </c>
      <c r="F98" s="2604" t="s">
        <v>3403</v>
      </c>
      <c r="G98" s="2605"/>
      <c r="H98" s="2604" t="s">
        <v>3402</v>
      </c>
      <c r="I98" s="2604">
        <v>4</v>
      </c>
      <c r="J98" s="2603">
        <v>8720619</v>
      </c>
      <c r="K98" s="2602">
        <v>0</v>
      </c>
      <c r="L98" s="2602">
        <v>0</v>
      </c>
    </row>
    <row r="99" spans="1:12" ht="46.8" x14ac:dyDescent="0.3">
      <c r="A99" s="2604" t="s">
        <v>3449</v>
      </c>
      <c r="B99" s="2604" t="s">
        <v>3414</v>
      </c>
      <c r="C99" s="2604">
        <v>867224107</v>
      </c>
      <c r="D99" s="2603">
        <v>461717</v>
      </c>
      <c r="E99" s="2603">
        <v>17896025</v>
      </c>
      <c r="F99" s="2604" t="s">
        <v>3403</v>
      </c>
      <c r="G99" s="2605"/>
      <c r="H99" s="2604" t="s">
        <v>3402</v>
      </c>
      <c r="I99" s="2604" t="s">
        <v>3401</v>
      </c>
      <c r="J99" s="2603">
        <v>17896025</v>
      </c>
      <c r="K99" s="2602">
        <v>0</v>
      </c>
      <c r="L99" s="2602">
        <v>0</v>
      </c>
    </row>
    <row r="100" spans="1:12" ht="46.8" x14ac:dyDescent="0.3">
      <c r="A100" s="2604" t="s">
        <v>3449</v>
      </c>
      <c r="B100" s="2604" t="s">
        <v>3414</v>
      </c>
      <c r="C100" s="2604">
        <v>867224107</v>
      </c>
      <c r="D100" s="2603">
        <v>87291</v>
      </c>
      <c r="E100" s="2603">
        <v>3383356</v>
      </c>
      <c r="F100" s="2604" t="s">
        <v>3403</v>
      </c>
      <c r="G100" s="2605"/>
      <c r="H100" s="2604" t="s">
        <v>3402</v>
      </c>
      <c r="I100" s="2604" t="s">
        <v>3421</v>
      </c>
      <c r="J100" s="2603">
        <v>3383356</v>
      </c>
      <c r="K100" s="2602">
        <v>0</v>
      </c>
      <c r="L100" s="2602">
        <v>0</v>
      </c>
    </row>
    <row r="101" spans="1:12" ht="31.2" x14ac:dyDescent="0.3">
      <c r="A101" s="2604" t="s">
        <v>3448</v>
      </c>
      <c r="B101" s="2604" t="s">
        <v>3414</v>
      </c>
      <c r="C101" s="2604">
        <v>891027104</v>
      </c>
      <c r="D101" s="2603">
        <v>9974</v>
      </c>
      <c r="E101" s="2603">
        <v>174489</v>
      </c>
      <c r="F101" s="2604" t="s">
        <v>3403</v>
      </c>
      <c r="G101" s="2605"/>
      <c r="H101" s="2604" t="s">
        <v>3402</v>
      </c>
      <c r="I101" s="2604" t="s">
        <v>3427</v>
      </c>
      <c r="J101" s="2603">
        <v>174489</v>
      </c>
      <c r="K101" s="2602">
        <v>0</v>
      </c>
      <c r="L101" s="2602">
        <v>0</v>
      </c>
    </row>
    <row r="102" spans="1:12" ht="31.2" x14ac:dyDescent="0.3">
      <c r="A102" s="2604" t="s">
        <v>3448</v>
      </c>
      <c r="B102" s="2604" t="s">
        <v>3414</v>
      </c>
      <c r="C102" s="2604">
        <v>891027104</v>
      </c>
      <c r="D102" s="2603">
        <v>57840</v>
      </c>
      <c r="E102" s="2603">
        <v>1011888</v>
      </c>
      <c r="F102" s="2604" t="s">
        <v>3403</v>
      </c>
      <c r="G102" s="2605"/>
      <c r="H102" s="2604" t="s">
        <v>3402</v>
      </c>
      <c r="I102" s="2604" t="s">
        <v>3425</v>
      </c>
      <c r="J102" s="2603">
        <v>1011888</v>
      </c>
      <c r="K102" s="2602">
        <v>0</v>
      </c>
      <c r="L102" s="2602">
        <v>0</v>
      </c>
    </row>
    <row r="103" spans="1:12" ht="31.2" x14ac:dyDescent="0.3">
      <c r="A103" s="2604" t="s">
        <v>3448</v>
      </c>
      <c r="B103" s="2604" t="s">
        <v>3414</v>
      </c>
      <c r="C103" s="2604">
        <v>891027104</v>
      </c>
      <c r="D103" s="2603">
        <v>82272</v>
      </c>
      <c r="E103" s="2603">
        <v>1439325</v>
      </c>
      <c r="F103" s="2604" t="s">
        <v>3403</v>
      </c>
      <c r="G103" s="2605"/>
      <c r="H103" s="2604" t="s">
        <v>3402</v>
      </c>
      <c r="I103" s="2604" t="s">
        <v>3421</v>
      </c>
      <c r="J103" s="2603">
        <v>1439325</v>
      </c>
      <c r="K103" s="2602">
        <v>0</v>
      </c>
      <c r="L103" s="2602">
        <v>0</v>
      </c>
    </row>
    <row r="104" spans="1:12" ht="31.2" x14ac:dyDescent="0.3">
      <c r="A104" s="2604" t="s">
        <v>3448</v>
      </c>
      <c r="B104" s="2604" t="s">
        <v>3414</v>
      </c>
      <c r="C104" s="2604">
        <v>891027104</v>
      </c>
      <c r="D104" s="2603">
        <v>213094</v>
      </c>
      <c r="E104" s="2603">
        <v>3728025</v>
      </c>
      <c r="F104" s="2604" t="s">
        <v>3403</v>
      </c>
      <c r="G104" s="2605"/>
      <c r="H104" s="2604" t="s">
        <v>3402</v>
      </c>
      <c r="I104" s="2604" t="s">
        <v>3420</v>
      </c>
      <c r="J104" s="2603">
        <v>3728025</v>
      </c>
      <c r="K104" s="2602">
        <v>0</v>
      </c>
      <c r="L104" s="2602">
        <v>0</v>
      </c>
    </row>
    <row r="105" spans="1:12" ht="31.2" x14ac:dyDescent="0.3">
      <c r="A105" s="2604" t="s">
        <v>3447</v>
      </c>
      <c r="B105" s="2604" t="s">
        <v>3436</v>
      </c>
      <c r="C105" s="2604" t="s">
        <v>3446</v>
      </c>
      <c r="D105" s="2603">
        <v>125829</v>
      </c>
      <c r="E105" s="2603">
        <v>4632867</v>
      </c>
      <c r="F105" s="2604" t="s">
        <v>3403</v>
      </c>
      <c r="G105" s="2605"/>
      <c r="H105" s="2604" t="s">
        <v>3402</v>
      </c>
      <c r="I105" s="2604">
        <v>4</v>
      </c>
      <c r="J105" s="2603">
        <v>4632867</v>
      </c>
      <c r="K105" s="2602">
        <v>0</v>
      </c>
      <c r="L105" s="2602">
        <v>0</v>
      </c>
    </row>
    <row r="106" spans="1:12" ht="31.2" x14ac:dyDescent="0.3">
      <c r="A106" s="2604" t="s">
        <v>3447</v>
      </c>
      <c r="B106" s="2604" t="s">
        <v>3436</v>
      </c>
      <c r="C106" s="2604" t="s">
        <v>3446</v>
      </c>
      <c r="D106" s="2603">
        <v>117304</v>
      </c>
      <c r="E106" s="2603">
        <v>4319002</v>
      </c>
      <c r="F106" s="2604" t="s">
        <v>3403</v>
      </c>
      <c r="G106" s="2605"/>
      <c r="H106" s="2604" t="s">
        <v>3402</v>
      </c>
      <c r="I106" s="2604" t="s">
        <v>3401</v>
      </c>
      <c r="J106" s="2603">
        <v>4319002</v>
      </c>
      <c r="K106" s="2602">
        <v>0</v>
      </c>
      <c r="L106" s="2602">
        <v>0</v>
      </c>
    </row>
    <row r="107" spans="1:12" ht="31.2" x14ac:dyDescent="0.3">
      <c r="A107" s="2604" t="s">
        <v>3445</v>
      </c>
      <c r="B107" s="2604" t="s">
        <v>3443</v>
      </c>
      <c r="C107" s="2604">
        <v>902973304</v>
      </c>
      <c r="D107" s="2603">
        <v>25187</v>
      </c>
      <c r="E107" s="2603">
        <v>590275</v>
      </c>
      <c r="F107" s="2604" t="s">
        <v>3403</v>
      </c>
      <c r="G107" s="2605"/>
      <c r="H107" s="2604" t="s">
        <v>3402</v>
      </c>
      <c r="I107" s="2604">
        <v>4</v>
      </c>
      <c r="J107" s="2603">
        <v>590275</v>
      </c>
      <c r="K107" s="2602">
        <v>0</v>
      </c>
      <c r="L107" s="2602">
        <v>0</v>
      </c>
    </row>
    <row r="108" spans="1:12" ht="31.2" x14ac:dyDescent="0.3">
      <c r="A108" s="2604" t="s">
        <v>3445</v>
      </c>
      <c r="B108" s="2604" t="s">
        <v>3443</v>
      </c>
      <c r="C108" s="2604">
        <v>902973304</v>
      </c>
      <c r="D108" s="2603">
        <v>130997</v>
      </c>
      <c r="E108" s="2603">
        <v>3070000</v>
      </c>
      <c r="F108" s="2604" t="s">
        <v>3403</v>
      </c>
      <c r="G108" s="2605"/>
      <c r="H108" s="2604" t="s">
        <v>3402</v>
      </c>
      <c r="I108" s="2604" t="s">
        <v>3428</v>
      </c>
      <c r="J108" s="2603">
        <v>3070000</v>
      </c>
      <c r="K108" s="2602">
        <v>0</v>
      </c>
      <c r="L108" s="2602">
        <v>0</v>
      </c>
    </row>
    <row r="109" spans="1:12" ht="31.2" x14ac:dyDescent="0.3">
      <c r="A109" s="2604" t="s">
        <v>3445</v>
      </c>
      <c r="B109" s="2604" t="s">
        <v>3443</v>
      </c>
      <c r="C109" s="2604">
        <v>902973304</v>
      </c>
      <c r="D109" s="2603">
        <v>1016882</v>
      </c>
      <c r="E109" s="2603">
        <v>23831300</v>
      </c>
      <c r="F109" s="2604" t="s">
        <v>3403</v>
      </c>
      <c r="G109" s="2605"/>
      <c r="H109" s="2604" t="s">
        <v>3402</v>
      </c>
      <c r="I109" s="2604" t="s">
        <v>3425</v>
      </c>
      <c r="J109" s="2603">
        <v>23831300</v>
      </c>
      <c r="K109" s="2602">
        <v>0</v>
      </c>
      <c r="L109" s="2602">
        <v>0</v>
      </c>
    </row>
    <row r="110" spans="1:12" ht="31.2" x14ac:dyDescent="0.3">
      <c r="A110" s="2604" t="s">
        <v>3445</v>
      </c>
      <c r="B110" s="2604" t="s">
        <v>3443</v>
      </c>
      <c r="C110" s="2604">
        <v>902973304</v>
      </c>
      <c r="D110" s="2603">
        <v>50137</v>
      </c>
      <c r="E110" s="2603">
        <v>1175000</v>
      </c>
      <c r="F110" s="2604" t="s">
        <v>3403</v>
      </c>
      <c r="G110" s="2605"/>
      <c r="H110" s="2604" t="s">
        <v>3402</v>
      </c>
      <c r="I110" s="2604" t="s">
        <v>3424</v>
      </c>
      <c r="J110" s="2603">
        <v>1175000</v>
      </c>
      <c r="K110" s="2602">
        <v>0</v>
      </c>
      <c r="L110" s="2602">
        <v>0</v>
      </c>
    </row>
    <row r="111" spans="1:12" ht="31.2" x14ac:dyDescent="0.3">
      <c r="A111" s="2604" t="s">
        <v>3445</v>
      </c>
      <c r="B111" s="2604" t="s">
        <v>3443</v>
      </c>
      <c r="C111" s="2604">
        <v>902973304</v>
      </c>
      <c r="D111" s="2603">
        <v>541026</v>
      </c>
      <c r="E111" s="2603">
        <v>12679300</v>
      </c>
      <c r="F111" s="2604" t="s">
        <v>3403</v>
      </c>
      <c r="G111" s="2605"/>
      <c r="H111" s="2604" t="s">
        <v>3402</v>
      </c>
      <c r="I111" s="2604" t="s">
        <v>3401</v>
      </c>
      <c r="J111" s="2603">
        <v>12679300</v>
      </c>
      <c r="K111" s="2602">
        <v>0</v>
      </c>
      <c r="L111" s="2602">
        <v>0</v>
      </c>
    </row>
    <row r="112" spans="1:12" ht="31.2" x14ac:dyDescent="0.3">
      <c r="A112" s="2604" t="s">
        <v>3445</v>
      </c>
      <c r="B112" s="2604" t="s">
        <v>3443</v>
      </c>
      <c r="C112" s="2604">
        <v>902973304</v>
      </c>
      <c r="D112" s="2603">
        <v>179419</v>
      </c>
      <c r="E112" s="2603">
        <v>4204800</v>
      </c>
      <c r="F112" s="2604" t="s">
        <v>3403</v>
      </c>
      <c r="G112" s="2605"/>
      <c r="H112" s="2604" t="s">
        <v>3402</v>
      </c>
      <c r="I112" s="2604" t="s">
        <v>3422</v>
      </c>
      <c r="J112" s="2603">
        <v>4204800</v>
      </c>
      <c r="K112" s="2602">
        <v>0</v>
      </c>
      <c r="L112" s="2602">
        <v>0</v>
      </c>
    </row>
    <row r="113" spans="1:17" ht="31.2" x14ac:dyDescent="0.3">
      <c r="A113" s="2604" t="s">
        <v>3445</v>
      </c>
      <c r="B113" s="2604" t="s">
        <v>3443</v>
      </c>
      <c r="C113" s="2604">
        <v>902973304</v>
      </c>
      <c r="D113" s="2603">
        <v>130144</v>
      </c>
      <c r="E113" s="2603">
        <v>3050000</v>
      </c>
      <c r="F113" s="2604" t="s">
        <v>3403</v>
      </c>
      <c r="G113" s="2605"/>
      <c r="H113" s="2604" t="s">
        <v>3402</v>
      </c>
      <c r="I113" s="2604" t="s">
        <v>3421</v>
      </c>
      <c r="J113" s="2603">
        <v>3050000</v>
      </c>
      <c r="K113" s="2602">
        <v>0</v>
      </c>
      <c r="L113" s="2602">
        <v>0</v>
      </c>
    </row>
    <row r="114" spans="1:17" ht="31.2" x14ac:dyDescent="0.3">
      <c r="A114" s="2604" t="s">
        <v>3445</v>
      </c>
      <c r="B114" s="2604" t="s">
        <v>3443</v>
      </c>
      <c r="C114" s="2604">
        <v>902973304</v>
      </c>
      <c r="D114" s="2603">
        <v>1481395</v>
      </c>
      <c r="E114" s="2603">
        <v>34717492</v>
      </c>
      <c r="F114" s="2604" t="s">
        <v>3403</v>
      </c>
      <c r="G114" s="2605"/>
      <c r="H114" s="2604" t="s">
        <v>3402</v>
      </c>
      <c r="I114" s="2604" t="s">
        <v>3420</v>
      </c>
      <c r="J114" s="2603">
        <v>34717492</v>
      </c>
      <c r="K114" s="2602">
        <v>0</v>
      </c>
      <c r="L114" s="2602">
        <v>0</v>
      </c>
    </row>
    <row r="115" spans="1:17" ht="31.2" x14ac:dyDescent="0.3">
      <c r="A115" s="2604" t="s">
        <v>3445</v>
      </c>
      <c r="B115" s="2604" t="s">
        <v>3443</v>
      </c>
      <c r="C115" s="2604">
        <v>902973304</v>
      </c>
      <c r="D115" s="2603">
        <v>74459</v>
      </c>
      <c r="E115" s="2603">
        <v>1745000</v>
      </c>
      <c r="F115" s="2604" t="s">
        <v>3403</v>
      </c>
      <c r="G115" s="2605"/>
      <c r="H115" s="2604" t="s">
        <v>3402</v>
      </c>
      <c r="I115" s="2604" t="s">
        <v>3416</v>
      </c>
      <c r="J115" s="2603">
        <v>1745000</v>
      </c>
      <c r="K115" s="2602">
        <v>0</v>
      </c>
      <c r="L115" s="2602">
        <v>0</v>
      </c>
    </row>
    <row r="116" spans="1:17" ht="18" x14ac:dyDescent="0.3">
      <c r="A116" s="2604" t="s">
        <v>3444</v>
      </c>
      <c r="B116" s="2604" t="s">
        <v>3443</v>
      </c>
      <c r="C116" s="2604">
        <v>903293405</v>
      </c>
      <c r="D116" s="2603">
        <v>340912</v>
      </c>
      <c r="E116" s="2603">
        <v>14035088</v>
      </c>
      <c r="F116" s="2604" t="s">
        <v>3403</v>
      </c>
      <c r="G116" s="2605"/>
      <c r="H116" s="2604" t="s">
        <v>3402</v>
      </c>
      <c r="I116" s="2604" t="s">
        <v>3427</v>
      </c>
      <c r="J116" s="2603">
        <v>14035088</v>
      </c>
      <c r="K116" s="2602">
        <v>0</v>
      </c>
      <c r="L116" s="2602">
        <v>0</v>
      </c>
    </row>
    <row r="117" spans="1:17" ht="18" x14ac:dyDescent="0.3">
      <c r="A117" s="2604" t="s">
        <v>3444</v>
      </c>
      <c r="B117" s="2604" t="s">
        <v>3443</v>
      </c>
      <c r="C117" s="2604">
        <v>903293405</v>
      </c>
      <c r="D117" s="2603">
        <v>606447</v>
      </c>
      <c r="E117" s="2603">
        <v>24966928</v>
      </c>
      <c r="F117" s="2604" t="s">
        <v>3403</v>
      </c>
      <c r="G117" s="2605"/>
      <c r="H117" s="2604" t="s">
        <v>3402</v>
      </c>
      <c r="I117" s="2604" t="s">
        <v>3420</v>
      </c>
      <c r="J117" s="2603">
        <v>24966928</v>
      </c>
      <c r="K117" s="2602">
        <v>0</v>
      </c>
      <c r="L117" s="2602">
        <v>0</v>
      </c>
      <c r="P117" s="2606">
        <f>SUM(D116:D117)</f>
        <v>947359</v>
      </c>
      <c r="Q117" s="2606">
        <f>SUM(E116:E117)</f>
        <v>39002016</v>
      </c>
    </row>
    <row r="118" spans="1:17" ht="31.2" x14ac:dyDescent="0.3">
      <c r="A118" s="2604" t="s">
        <v>3442</v>
      </c>
      <c r="B118" s="2604" t="s">
        <v>3441</v>
      </c>
      <c r="C118" s="2604">
        <v>911312106</v>
      </c>
      <c r="D118" s="2603">
        <v>5716</v>
      </c>
      <c r="E118" s="2603">
        <v>59400</v>
      </c>
      <c r="F118" s="2604" t="s">
        <v>3403</v>
      </c>
      <c r="G118" s="2605"/>
      <c r="H118" s="2604" t="s">
        <v>3402</v>
      </c>
      <c r="I118" s="2604">
        <v>4</v>
      </c>
      <c r="J118" s="2603">
        <v>59400</v>
      </c>
      <c r="K118" s="2602">
        <v>0</v>
      </c>
      <c r="L118" s="2602">
        <v>0</v>
      </c>
    </row>
    <row r="119" spans="1:17" ht="18" x14ac:dyDescent="0.3">
      <c r="A119" s="2604" t="s">
        <v>3440</v>
      </c>
      <c r="B119" s="2604" t="s">
        <v>3414</v>
      </c>
      <c r="C119" s="2607">
        <v>9.2343000000000008E+106</v>
      </c>
      <c r="D119" s="2603">
        <v>440929</v>
      </c>
      <c r="E119" s="2603">
        <v>5047264</v>
      </c>
      <c r="F119" s="2604" t="s">
        <v>3403</v>
      </c>
      <c r="G119" s="2605"/>
      <c r="H119" s="2604" t="s">
        <v>3402</v>
      </c>
      <c r="I119" s="2604">
        <v>4</v>
      </c>
      <c r="J119" s="2603">
        <v>5047264</v>
      </c>
      <c r="K119" s="2602">
        <v>0</v>
      </c>
      <c r="L119" s="2602">
        <v>0</v>
      </c>
    </row>
    <row r="120" spans="1:17" ht="18" x14ac:dyDescent="0.3">
      <c r="A120" s="2604" t="s">
        <v>3440</v>
      </c>
      <c r="B120" s="2604" t="s">
        <v>3414</v>
      </c>
      <c r="C120" s="2607">
        <v>9.2343000000000008E+106</v>
      </c>
      <c r="D120" s="2603">
        <v>693441</v>
      </c>
      <c r="E120" s="2603">
        <v>7937736</v>
      </c>
      <c r="F120" s="2604" t="s">
        <v>3403</v>
      </c>
      <c r="G120" s="2605"/>
      <c r="H120" s="2604" t="s">
        <v>3402</v>
      </c>
      <c r="I120" s="2604" t="s">
        <v>3401</v>
      </c>
      <c r="J120" s="2603">
        <v>7937736</v>
      </c>
      <c r="K120" s="2602">
        <v>0</v>
      </c>
      <c r="L120" s="2602">
        <v>0</v>
      </c>
    </row>
    <row r="121" spans="1:17" ht="46.8" x14ac:dyDescent="0.3">
      <c r="A121" s="2604" t="s">
        <v>3439</v>
      </c>
      <c r="B121" s="2604" t="s">
        <v>3414</v>
      </c>
      <c r="C121" s="2604" t="s">
        <v>3438</v>
      </c>
      <c r="D121" s="2603">
        <v>623398</v>
      </c>
      <c r="E121" s="2603">
        <v>13487628</v>
      </c>
      <c r="F121" s="2604" t="s">
        <v>3403</v>
      </c>
      <c r="G121" s="2605"/>
      <c r="H121" s="2604" t="s">
        <v>3402</v>
      </c>
      <c r="I121" s="2604">
        <v>4</v>
      </c>
      <c r="J121" s="2603">
        <v>13487628</v>
      </c>
      <c r="K121" s="2602">
        <v>0</v>
      </c>
      <c r="L121" s="2602">
        <v>0</v>
      </c>
    </row>
    <row r="122" spans="1:17" ht="46.8" x14ac:dyDescent="0.3">
      <c r="A122" s="2604" t="s">
        <v>3439</v>
      </c>
      <c r="B122" s="2604" t="s">
        <v>3414</v>
      </c>
      <c r="C122" s="2604" t="s">
        <v>3438</v>
      </c>
      <c r="D122" s="2603">
        <v>69945</v>
      </c>
      <c r="E122" s="2603">
        <v>1513300</v>
      </c>
      <c r="F122" s="2604" t="s">
        <v>3403</v>
      </c>
      <c r="G122" s="2605"/>
      <c r="H122" s="2604" t="s">
        <v>3402</v>
      </c>
      <c r="I122" s="2604" t="s">
        <v>3401</v>
      </c>
      <c r="J122" s="2603">
        <v>1513300</v>
      </c>
      <c r="K122" s="2602">
        <v>0</v>
      </c>
      <c r="L122" s="2602">
        <v>0</v>
      </c>
    </row>
    <row r="123" spans="1:17" ht="31.2" x14ac:dyDescent="0.3">
      <c r="A123" s="2604" t="s">
        <v>3437</v>
      </c>
      <c r="B123" s="2604" t="s">
        <v>3436</v>
      </c>
      <c r="C123" s="2604" t="s">
        <v>3435</v>
      </c>
      <c r="D123" s="2603">
        <v>120197</v>
      </c>
      <c r="E123" s="2603">
        <v>1563434</v>
      </c>
      <c r="F123" s="2604" t="s">
        <v>3403</v>
      </c>
      <c r="G123" s="2605"/>
      <c r="H123" s="2604" t="s">
        <v>3402</v>
      </c>
      <c r="I123" s="2604" t="s">
        <v>3401</v>
      </c>
      <c r="J123" s="2603">
        <v>1563434</v>
      </c>
      <c r="K123" s="2602">
        <v>0</v>
      </c>
      <c r="L123" s="2602">
        <v>0</v>
      </c>
    </row>
    <row r="124" spans="1:17" ht="18" x14ac:dyDescent="0.3">
      <c r="A124" s="2604" t="s">
        <v>3434</v>
      </c>
      <c r="B124" s="2604" t="s">
        <v>3433</v>
      </c>
      <c r="C124" s="2604" t="s">
        <v>3432</v>
      </c>
      <c r="D124" s="2603">
        <v>766594</v>
      </c>
      <c r="E124" s="2603">
        <v>9885160</v>
      </c>
      <c r="F124" s="2604" t="s">
        <v>3403</v>
      </c>
      <c r="G124" s="2605"/>
      <c r="H124" s="2604" t="s">
        <v>3402</v>
      </c>
      <c r="I124" s="2604" t="s">
        <v>3401</v>
      </c>
      <c r="J124" s="2603">
        <v>9885160</v>
      </c>
      <c r="K124" s="2602">
        <v>0</v>
      </c>
      <c r="L124" s="2602">
        <v>0</v>
      </c>
    </row>
    <row r="125" spans="1:17" ht="31.2" x14ac:dyDescent="0.3">
      <c r="A125" s="2604" t="s">
        <v>3431</v>
      </c>
      <c r="B125" s="2604" t="s">
        <v>3414</v>
      </c>
      <c r="C125" s="2604" t="s">
        <v>3430</v>
      </c>
      <c r="D125" s="2603">
        <v>172668</v>
      </c>
      <c r="E125" s="2603">
        <v>1688522</v>
      </c>
      <c r="F125" s="2604" t="s">
        <v>3403</v>
      </c>
      <c r="G125" s="2605"/>
      <c r="H125" s="2604" t="s">
        <v>3402</v>
      </c>
      <c r="I125" s="2604">
        <v>4</v>
      </c>
      <c r="J125" s="2603">
        <v>1688522</v>
      </c>
      <c r="K125" s="2602">
        <v>0</v>
      </c>
      <c r="L125" s="2602">
        <v>0</v>
      </c>
    </row>
    <row r="126" spans="1:17" ht="31.2" x14ac:dyDescent="0.3">
      <c r="A126" s="2604" t="s">
        <v>3431</v>
      </c>
      <c r="B126" s="2604" t="s">
        <v>3414</v>
      </c>
      <c r="C126" s="2604" t="s">
        <v>3430</v>
      </c>
      <c r="D126" s="2603">
        <v>167982</v>
      </c>
      <c r="E126" s="2603">
        <v>1642693</v>
      </c>
      <c r="F126" s="2604" t="s">
        <v>3403</v>
      </c>
      <c r="G126" s="2605"/>
      <c r="H126" s="2604" t="s">
        <v>3402</v>
      </c>
      <c r="I126" s="2604" t="s">
        <v>3401</v>
      </c>
      <c r="J126" s="2603">
        <v>1642693</v>
      </c>
      <c r="K126" s="2602">
        <v>0</v>
      </c>
      <c r="L126" s="2602">
        <v>0</v>
      </c>
    </row>
    <row r="127" spans="1:17" ht="31.2" x14ac:dyDescent="0.3">
      <c r="A127" s="2604" t="s">
        <v>3429</v>
      </c>
      <c r="B127" s="2604" t="s">
        <v>3414</v>
      </c>
      <c r="C127" s="2604">
        <v>931142103</v>
      </c>
      <c r="D127" s="2603">
        <v>17777</v>
      </c>
      <c r="E127" s="2603">
        <v>290000</v>
      </c>
      <c r="F127" s="2604" t="s">
        <v>3403</v>
      </c>
      <c r="G127" s="2605"/>
      <c r="H127" s="2604" t="s">
        <v>3402</v>
      </c>
      <c r="I127" s="2604">
        <v>4</v>
      </c>
      <c r="J127" s="2603">
        <v>290000</v>
      </c>
      <c r="K127" s="2602">
        <v>0</v>
      </c>
      <c r="L127" s="2602">
        <v>0</v>
      </c>
    </row>
    <row r="128" spans="1:17" ht="31.2" x14ac:dyDescent="0.3">
      <c r="A128" s="2604" t="s">
        <v>3429</v>
      </c>
      <c r="B128" s="2604" t="s">
        <v>3414</v>
      </c>
      <c r="C128" s="2604">
        <v>931142103</v>
      </c>
      <c r="D128" s="2603">
        <v>104823</v>
      </c>
      <c r="E128" s="2603">
        <v>1710000</v>
      </c>
      <c r="F128" s="2604" t="s">
        <v>3403</v>
      </c>
      <c r="G128" s="2605"/>
      <c r="H128" s="2604" t="s">
        <v>3402</v>
      </c>
      <c r="I128" s="2604" t="s">
        <v>3428</v>
      </c>
      <c r="J128" s="2603">
        <v>1710000</v>
      </c>
      <c r="K128" s="2602">
        <v>0</v>
      </c>
      <c r="L128" s="2602">
        <v>0</v>
      </c>
    </row>
    <row r="129" spans="1:17" ht="31.2" x14ac:dyDescent="0.3">
      <c r="A129" s="2604" t="s">
        <v>3429</v>
      </c>
      <c r="B129" s="2604" t="s">
        <v>3414</v>
      </c>
      <c r="C129" s="2604">
        <v>931142103</v>
      </c>
      <c r="D129" s="2603">
        <v>1808</v>
      </c>
      <c r="E129" s="2603">
        <v>29500</v>
      </c>
      <c r="F129" s="2604" t="s">
        <v>3403</v>
      </c>
      <c r="G129" s="2605"/>
      <c r="H129" s="2604" t="s">
        <v>3402</v>
      </c>
      <c r="I129" s="2604" t="s">
        <v>3427</v>
      </c>
      <c r="J129" s="2603">
        <v>29500</v>
      </c>
      <c r="K129" s="2602">
        <v>0</v>
      </c>
      <c r="L129" s="2602">
        <v>0</v>
      </c>
    </row>
    <row r="130" spans="1:17" ht="31.2" x14ac:dyDescent="0.3">
      <c r="A130" s="2604" t="s">
        <v>3429</v>
      </c>
      <c r="B130" s="2604" t="s">
        <v>3414</v>
      </c>
      <c r="C130" s="2604">
        <v>931142103</v>
      </c>
      <c r="D130" s="2603">
        <v>95005</v>
      </c>
      <c r="E130" s="2603">
        <v>1549840</v>
      </c>
      <c r="F130" s="2604" t="s">
        <v>3403</v>
      </c>
      <c r="G130" s="2605"/>
      <c r="H130" s="2604" t="s">
        <v>3402</v>
      </c>
      <c r="I130" s="2604" t="s">
        <v>3425</v>
      </c>
      <c r="J130" s="2603">
        <v>1549840</v>
      </c>
      <c r="K130" s="2602">
        <v>0</v>
      </c>
      <c r="L130" s="2602">
        <v>0</v>
      </c>
    </row>
    <row r="131" spans="1:17" ht="31.2" x14ac:dyDescent="0.3">
      <c r="A131" s="2604" t="s">
        <v>3429</v>
      </c>
      <c r="B131" s="2604" t="s">
        <v>3414</v>
      </c>
      <c r="C131" s="2604">
        <v>931142103</v>
      </c>
      <c r="D131" s="2603">
        <v>15693</v>
      </c>
      <c r="E131" s="2603">
        <v>256000</v>
      </c>
      <c r="F131" s="2604" t="s">
        <v>3403</v>
      </c>
      <c r="G131" s="2605"/>
      <c r="H131" s="2604" t="s">
        <v>3402</v>
      </c>
      <c r="I131" s="2604" t="s">
        <v>3424</v>
      </c>
      <c r="J131" s="2603">
        <v>256000</v>
      </c>
      <c r="K131" s="2602">
        <v>0</v>
      </c>
      <c r="L131" s="2602">
        <v>0</v>
      </c>
    </row>
    <row r="132" spans="1:17" ht="31.2" x14ac:dyDescent="0.3">
      <c r="A132" s="2604" t="s">
        <v>3429</v>
      </c>
      <c r="B132" s="2604" t="s">
        <v>3414</v>
      </c>
      <c r="C132" s="2604">
        <v>931142103</v>
      </c>
      <c r="D132" s="2603">
        <v>61637</v>
      </c>
      <c r="E132" s="2603">
        <v>1005500</v>
      </c>
      <c r="F132" s="2604" t="s">
        <v>3403</v>
      </c>
      <c r="G132" s="2605"/>
      <c r="H132" s="2604" t="s">
        <v>3402</v>
      </c>
      <c r="I132" s="2604" t="s">
        <v>3401</v>
      </c>
      <c r="J132" s="2603">
        <v>1005500</v>
      </c>
      <c r="K132" s="2602">
        <v>0</v>
      </c>
      <c r="L132" s="2602">
        <v>0</v>
      </c>
    </row>
    <row r="133" spans="1:17" ht="31.2" x14ac:dyDescent="0.3">
      <c r="A133" s="2604" t="s">
        <v>3429</v>
      </c>
      <c r="B133" s="2604" t="s">
        <v>3414</v>
      </c>
      <c r="C133" s="2604">
        <v>931142103</v>
      </c>
      <c r="D133" s="2603">
        <v>109666</v>
      </c>
      <c r="E133" s="2603">
        <v>1789000</v>
      </c>
      <c r="F133" s="2604" t="s">
        <v>3403</v>
      </c>
      <c r="G133" s="2605"/>
      <c r="H133" s="2604" t="s">
        <v>3402</v>
      </c>
      <c r="I133" s="2604" t="s">
        <v>3422</v>
      </c>
      <c r="J133" s="2603">
        <v>1789000</v>
      </c>
      <c r="K133" s="2602">
        <v>0</v>
      </c>
      <c r="L133" s="2602">
        <v>0</v>
      </c>
    </row>
    <row r="134" spans="1:17" ht="31.2" x14ac:dyDescent="0.3">
      <c r="A134" s="2604" t="s">
        <v>3429</v>
      </c>
      <c r="B134" s="2604" t="s">
        <v>3414</v>
      </c>
      <c r="C134" s="2604">
        <v>931142103</v>
      </c>
      <c r="D134" s="2603">
        <v>281244</v>
      </c>
      <c r="E134" s="2603">
        <v>4588000</v>
      </c>
      <c r="F134" s="2604" t="s">
        <v>3403</v>
      </c>
      <c r="G134" s="2605"/>
      <c r="H134" s="2604" t="s">
        <v>3402</v>
      </c>
      <c r="I134" s="2604" t="s">
        <v>3421</v>
      </c>
      <c r="J134" s="2603">
        <v>4588000</v>
      </c>
      <c r="K134" s="2602">
        <v>0</v>
      </c>
      <c r="L134" s="2602">
        <v>0</v>
      </c>
    </row>
    <row r="135" spans="1:17" ht="31.2" x14ac:dyDescent="0.3">
      <c r="A135" s="2604" t="s">
        <v>3429</v>
      </c>
      <c r="B135" s="2604" t="s">
        <v>3414</v>
      </c>
      <c r="C135" s="2604">
        <v>931142103</v>
      </c>
      <c r="D135" s="2603">
        <v>2692385</v>
      </c>
      <c r="E135" s="2603">
        <v>43921453</v>
      </c>
      <c r="F135" s="2604" t="s">
        <v>3403</v>
      </c>
      <c r="G135" s="2605"/>
      <c r="H135" s="2604" t="s">
        <v>3402</v>
      </c>
      <c r="I135" s="2604" t="s">
        <v>3420</v>
      </c>
      <c r="J135" s="2603">
        <v>43921453</v>
      </c>
      <c r="K135" s="2602">
        <v>0</v>
      </c>
      <c r="L135" s="2602">
        <v>0</v>
      </c>
    </row>
    <row r="136" spans="1:17" ht="31.2" x14ac:dyDescent="0.3">
      <c r="A136" s="2604" t="s">
        <v>3429</v>
      </c>
      <c r="B136" s="2604" t="s">
        <v>3414</v>
      </c>
      <c r="C136" s="2604">
        <v>931142103</v>
      </c>
      <c r="D136" s="2603">
        <v>32796</v>
      </c>
      <c r="E136" s="2603">
        <v>535000</v>
      </c>
      <c r="F136" s="2604" t="s">
        <v>3403</v>
      </c>
      <c r="G136" s="2605"/>
      <c r="H136" s="2604" t="s">
        <v>3402</v>
      </c>
      <c r="I136" s="2604" t="s">
        <v>3419</v>
      </c>
      <c r="J136" s="2603">
        <v>535000</v>
      </c>
      <c r="K136" s="2602">
        <v>0</v>
      </c>
      <c r="L136" s="2602">
        <v>0</v>
      </c>
    </row>
    <row r="137" spans="1:17" ht="31.2" x14ac:dyDescent="0.3">
      <c r="A137" s="2604" t="s">
        <v>3429</v>
      </c>
      <c r="B137" s="2604" t="s">
        <v>3414</v>
      </c>
      <c r="C137" s="2604">
        <v>931142103</v>
      </c>
      <c r="D137" s="2603">
        <v>31324</v>
      </c>
      <c r="E137" s="2603">
        <v>511000</v>
      </c>
      <c r="F137" s="2604" t="s">
        <v>3403</v>
      </c>
      <c r="G137" s="2605"/>
      <c r="H137" s="2604" t="s">
        <v>3402</v>
      </c>
      <c r="I137" s="2604" t="s">
        <v>3416</v>
      </c>
      <c r="J137" s="2603">
        <v>511000</v>
      </c>
      <c r="K137" s="2602">
        <v>0</v>
      </c>
      <c r="L137" s="2602">
        <v>0</v>
      </c>
      <c r="P137" s="2606">
        <f>SUM(D127:D137)</f>
        <v>3444158</v>
      </c>
      <c r="Q137" s="2606">
        <f>SUM(E127:E137)</f>
        <v>56185293</v>
      </c>
    </row>
    <row r="138" spans="1:17" ht="31.2" x14ac:dyDescent="0.3">
      <c r="A138" s="2604" t="s">
        <v>3417</v>
      </c>
      <c r="B138" s="2604" t="s">
        <v>3414</v>
      </c>
      <c r="C138" s="2604">
        <v>949746101</v>
      </c>
      <c r="D138" s="2603">
        <v>406367</v>
      </c>
      <c r="E138" s="2603">
        <v>7475470</v>
      </c>
      <c r="F138" s="2604" t="s">
        <v>3403</v>
      </c>
      <c r="G138" s="2605"/>
      <c r="H138" s="2604" t="s">
        <v>3402</v>
      </c>
      <c r="I138" s="2604">
        <v>4</v>
      </c>
      <c r="J138" s="2603">
        <v>7475470</v>
      </c>
      <c r="K138" s="2602">
        <v>0</v>
      </c>
      <c r="L138" s="2602">
        <v>0</v>
      </c>
    </row>
    <row r="139" spans="1:17" ht="31.2" x14ac:dyDescent="0.3">
      <c r="A139" s="2604" t="s">
        <v>3417</v>
      </c>
      <c r="B139" s="2604" t="s">
        <v>3414</v>
      </c>
      <c r="C139" s="2604">
        <v>949746101</v>
      </c>
      <c r="D139" s="2603">
        <v>894222</v>
      </c>
      <c r="E139" s="2603">
        <v>16450000</v>
      </c>
      <c r="F139" s="2604" t="s">
        <v>3403</v>
      </c>
      <c r="G139" s="2605"/>
      <c r="H139" s="2604" t="s">
        <v>3402</v>
      </c>
      <c r="I139" s="2604" t="s">
        <v>3428</v>
      </c>
      <c r="J139" s="2603">
        <v>16450000</v>
      </c>
      <c r="K139" s="2602">
        <v>0</v>
      </c>
      <c r="L139" s="2602">
        <v>0</v>
      </c>
    </row>
    <row r="140" spans="1:17" ht="31.2" x14ac:dyDescent="0.3">
      <c r="A140" s="2604" t="s">
        <v>3417</v>
      </c>
      <c r="B140" s="2604" t="s">
        <v>3414</v>
      </c>
      <c r="C140" s="2604">
        <v>949746101</v>
      </c>
      <c r="D140" s="2603">
        <v>288298</v>
      </c>
      <c r="E140" s="2603">
        <v>5303500</v>
      </c>
      <c r="F140" s="2604" t="s">
        <v>3403</v>
      </c>
      <c r="G140" s="2605"/>
      <c r="H140" s="2604" t="s">
        <v>3402</v>
      </c>
      <c r="I140" s="2604" t="s">
        <v>3427</v>
      </c>
      <c r="J140" s="2603">
        <v>5303500</v>
      </c>
      <c r="K140" s="2602">
        <v>0</v>
      </c>
      <c r="L140" s="2602">
        <v>0</v>
      </c>
    </row>
    <row r="141" spans="1:17" ht="31.2" x14ac:dyDescent="0.3">
      <c r="A141" s="2604" t="s">
        <v>3417</v>
      </c>
      <c r="B141" s="2604" t="s">
        <v>3414</v>
      </c>
      <c r="C141" s="2604">
        <v>949746101</v>
      </c>
      <c r="D141" s="2603">
        <v>370347</v>
      </c>
      <c r="E141" s="2603">
        <v>6812857</v>
      </c>
      <c r="F141" s="2604" t="s">
        <v>3403</v>
      </c>
      <c r="G141" s="2605"/>
      <c r="H141" s="2604" t="s">
        <v>3402</v>
      </c>
      <c r="I141" s="2604" t="s">
        <v>3426</v>
      </c>
      <c r="J141" s="2603">
        <v>6812857</v>
      </c>
      <c r="K141" s="2602">
        <v>0</v>
      </c>
      <c r="L141" s="2602">
        <v>0</v>
      </c>
    </row>
    <row r="142" spans="1:17" ht="31.2" x14ac:dyDescent="0.3">
      <c r="A142" s="2604" t="s">
        <v>3417</v>
      </c>
      <c r="B142" s="2604" t="s">
        <v>3414</v>
      </c>
      <c r="C142" s="2604">
        <v>949746101</v>
      </c>
      <c r="D142" s="2603">
        <v>4079599</v>
      </c>
      <c r="E142" s="2603">
        <v>75047819</v>
      </c>
      <c r="F142" s="2604" t="s">
        <v>3403</v>
      </c>
      <c r="G142" s="2605"/>
      <c r="H142" s="2604" t="s">
        <v>3402</v>
      </c>
      <c r="I142" s="2604" t="s">
        <v>3425</v>
      </c>
      <c r="J142" s="2603">
        <v>75047819</v>
      </c>
      <c r="K142" s="2602">
        <v>0</v>
      </c>
      <c r="L142" s="2602">
        <v>0</v>
      </c>
    </row>
    <row r="143" spans="1:17" ht="31.2" x14ac:dyDescent="0.3">
      <c r="A143" s="2604" t="s">
        <v>3417</v>
      </c>
      <c r="B143" s="2604" t="s">
        <v>3414</v>
      </c>
      <c r="C143" s="2604">
        <v>949746101</v>
      </c>
      <c r="D143" s="2603">
        <v>44575</v>
      </c>
      <c r="E143" s="2603">
        <v>820000</v>
      </c>
      <c r="F143" s="2604" t="s">
        <v>3403</v>
      </c>
      <c r="G143" s="2605"/>
      <c r="H143" s="2604" t="s">
        <v>3402</v>
      </c>
      <c r="I143" s="2604" t="s">
        <v>3424</v>
      </c>
      <c r="J143" s="2603">
        <v>820000</v>
      </c>
      <c r="K143" s="2602">
        <v>0</v>
      </c>
      <c r="L143" s="2602">
        <v>0</v>
      </c>
    </row>
    <row r="144" spans="1:17" ht="31.2" x14ac:dyDescent="0.3">
      <c r="A144" s="2604" t="s">
        <v>3417</v>
      </c>
      <c r="B144" s="2604" t="s">
        <v>3414</v>
      </c>
      <c r="C144" s="2604">
        <v>949746101</v>
      </c>
      <c r="D144" s="2603">
        <v>92412</v>
      </c>
      <c r="E144" s="2603">
        <v>1700000</v>
      </c>
      <c r="F144" s="2604" t="s">
        <v>3403</v>
      </c>
      <c r="G144" s="2605"/>
      <c r="H144" s="2604" t="s">
        <v>3402</v>
      </c>
      <c r="I144" s="2604" t="s">
        <v>3423</v>
      </c>
      <c r="J144" s="2603">
        <v>1700000</v>
      </c>
      <c r="K144" s="2602">
        <v>0</v>
      </c>
      <c r="L144" s="2602">
        <v>0</v>
      </c>
    </row>
    <row r="145" spans="1:12" ht="31.2" x14ac:dyDescent="0.3">
      <c r="A145" s="2604" t="s">
        <v>3417</v>
      </c>
      <c r="B145" s="2604" t="s">
        <v>3414</v>
      </c>
      <c r="C145" s="2604">
        <v>949746101</v>
      </c>
      <c r="D145" s="2603">
        <v>1970833</v>
      </c>
      <c r="E145" s="2603">
        <v>36255200</v>
      </c>
      <c r="F145" s="2604" t="s">
        <v>3403</v>
      </c>
      <c r="G145" s="2605"/>
      <c r="H145" s="2604" t="s">
        <v>3402</v>
      </c>
      <c r="I145" s="2604" t="s">
        <v>3401</v>
      </c>
      <c r="J145" s="2603">
        <v>36255200</v>
      </c>
      <c r="K145" s="2602">
        <v>0</v>
      </c>
      <c r="L145" s="2602">
        <v>0</v>
      </c>
    </row>
    <row r="146" spans="1:12" ht="31.2" x14ac:dyDescent="0.3">
      <c r="A146" s="2604" t="s">
        <v>3417</v>
      </c>
      <c r="B146" s="2604" t="s">
        <v>3414</v>
      </c>
      <c r="C146" s="2604">
        <v>949746101</v>
      </c>
      <c r="D146" s="2603">
        <v>558114</v>
      </c>
      <c r="E146" s="2603">
        <v>10267000</v>
      </c>
      <c r="F146" s="2604" t="s">
        <v>3403</v>
      </c>
      <c r="G146" s="2605"/>
      <c r="H146" s="2604" t="s">
        <v>3402</v>
      </c>
      <c r="I146" s="2604" t="s">
        <v>3422</v>
      </c>
      <c r="J146" s="2603">
        <v>10267000</v>
      </c>
      <c r="K146" s="2602">
        <v>0</v>
      </c>
      <c r="L146" s="2602">
        <v>0</v>
      </c>
    </row>
    <row r="147" spans="1:12" ht="31.2" x14ac:dyDescent="0.3">
      <c r="A147" s="2604" t="s">
        <v>3417</v>
      </c>
      <c r="B147" s="2604" t="s">
        <v>3414</v>
      </c>
      <c r="C147" s="2604">
        <v>949746101</v>
      </c>
      <c r="D147" s="2603">
        <v>3112233</v>
      </c>
      <c r="E147" s="2603">
        <v>57252270</v>
      </c>
      <c r="F147" s="2604" t="s">
        <v>3403</v>
      </c>
      <c r="G147" s="2605"/>
      <c r="H147" s="2604" t="s">
        <v>3402</v>
      </c>
      <c r="I147" s="2604" t="s">
        <v>3421</v>
      </c>
      <c r="J147" s="2603">
        <v>57252270</v>
      </c>
      <c r="K147" s="2602">
        <v>0</v>
      </c>
      <c r="L147" s="2602">
        <v>0</v>
      </c>
    </row>
    <row r="148" spans="1:12" ht="31.2" x14ac:dyDescent="0.3">
      <c r="A148" s="2604" t="s">
        <v>3417</v>
      </c>
      <c r="B148" s="2604" t="s">
        <v>3414</v>
      </c>
      <c r="C148" s="2604">
        <v>949746101</v>
      </c>
      <c r="D148" s="2603">
        <v>13853474</v>
      </c>
      <c r="E148" s="2603">
        <v>254846834</v>
      </c>
      <c r="F148" s="2604" t="s">
        <v>3403</v>
      </c>
      <c r="G148" s="2605"/>
      <c r="H148" s="2604" t="s">
        <v>3402</v>
      </c>
      <c r="I148" s="2604" t="s">
        <v>3420</v>
      </c>
      <c r="J148" s="2603">
        <v>254846834</v>
      </c>
      <c r="K148" s="2602">
        <v>0</v>
      </c>
      <c r="L148" s="2602">
        <v>0</v>
      </c>
    </row>
    <row r="149" spans="1:12" ht="31.2" x14ac:dyDescent="0.3">
      <c r="A149" s="2604" t="s">
        <v>3417</v>
      </c>
      <c r="B149" s="2604" t="s">
        <v>3414</v>
      </c>
      <c r="C149" s="2604">
        <v>949746101</v>
      </c>
      <c r="D149" s="2603">
        <v>151556</v>
      </c>
      <c r="E149" s="2603">
        <v>2788000</v>
      </c>
      <c r="F149" s="2604" t="s">
        <v>3403</v>
      </c>
      <c r="G149" s="2605"/>
      <c r="H149" s="2604" t="s">
        <v>3402</v>
      </c>
      <c r="I149" s="2604" t="s">
        <v>3419</v>
      </c>
      <c r="J149" s="2603">
        <v>2788000</v>
      </c>
      <c r="K149" s="2602">
        <v>0</v>
      </c>
      <c r="L149" s="2602">
        <v>0</v>
      </c>
    </row>
    <row r="150" spans="1:12" ht="31.2" x14ac:dyDescent="0.3">
      <c r="A150" s="2604" t="s">
        <v>3417</v>
      </c>
      <c r="B150" s="2604" t="s">
        <v>3414</v>
      </c>
      <c r="C150" s="2604">
        <v>949746101</v>
      </c>
      <c r="D150" s="2603">
        <v>87504</v>
      </c>
      <c r="E150" s="2603">
        <v>1609720</v>
      </c>
      <c r="F150" s="2604" t="s">
        <v>3403</v>
      </c>
      <c r="G150" s="2605"/>
      <c r="H150" s="2604" t="s">
        <v>3402</v>
      </c>
      <c r="I150" s="2604" t="s">
        <v>3418</v>
      </c>
      <c r="J150" s="2603">
        <v>1609720</v>
      </c>
      <c r="K150" s="2602">
        <v>0</v>
      </c>
      <c r="L150" s="2602">
        <v>0</v>
      </c>
    </row>
    <row r="151" spans="1:12" ht="31.2" x14ac:dyDescent="0.3">
      <c r="A151" s="2604" t="s">
        <v>3417</v>
      </c>
      <c r="B151" s="2604" t="s">
        <v>3414</v>
      </c>
      <c r="C151" s="2604">
        <v>949746101</v>
      </c>
      <c r="D151" s="2603">
        <v>167190</v>
      </c>
      <c r="E151" s="2603">
        <v>3075600</v>
      </c>
      <c r="F151" s="2604" t="s">
        <v>3403</v>
      </c>
      <c r="G151" s="2605"/>
      <c r="H151" s="2604" t="s">
        <v>3402</v>
      </c>
      <c r="I151" s="2604" t="s">
        <v>3416</v>
      </c>
      <c r="J151" s="2603">
        <v>3075600</v>
      </c>
      <c r="K151" s="2602">
        <v>0</v>
      </c>
      <c r="L151" s="2602">
        <v>0</v>
      </c>
    </row>
    <row r="152" spans="1:12" ht="46.8" x14ac:dyDescent="0.3">
      <c r="A152" s="2604" t="s">
        <v>3415</v>
      </c>
      <c r="B152" s="2604" t="s">
        <v>3414</v>
      </c>
      <c r="C152" s="2604" t="s">
        <v>3413</v>
      </c>
      <c r="D152" s="2603">
        <v>88585</v>
      </c>
      <c r="E152" s="2603">
        <v>3324000</v>
      </c>
      <c r="F152" s="2604" t="s">
        <v>3403</v>
      </c>
      <c r="G152" s="2605"/>
      <c r="H152" s="2604" t="s">
        <v>3402</v>
      </c>
      <c r="I152" s="2604">
        <v>4</v>
      </c>
      <c r="J152" s="2603">
        <v>3324000</v>
      </c>
      <c r="K152" s="2602">
        <v>0</v>
      </c>
      <c r="L152" s="2602">
        <v>0</v>
      </c>
    </row>
    <row r="153" spans="1:12" ht="46.8" x14ac:dyDescent="0.3">
      <c r="A153" s="2604" t="s">
        <v>3415</v>
      </c>
      <c r="B153" s="2604" t="s">
        <v>3414</v>
      </c>
      <c r="C153" s="2604" t="s">
        <v>3413</v>
      </c>
      <c r="D153" s="2603">
        <v>533000</v>
      </c>
      <c r="E153" s="2603">
        <v>20000000</v>
      </c>
      <c r="F153" s="2604" t="s">
        <v>3403</v>
      </c>
      <c r="G153" s="2605"/>
      <c r="H153" s="2604" t="s">
        <v>3402</v>
      </c>
      <c r="I153" s="2604" t="s">
        <v>3401</v>
      </c>
      <c r="J153" s="2603">
        <v>20000000</v>
      </c>
      <c r="K153" s="2602">
        <v>0</v>
      </c>
      <c r="L153" s="2602">
        <v>0</v>
      </c>
    </row>
    <row r="154" spans="1:12" ht="31.2" x14ac:dyDescent="0.3">
      <c r="A154" s="2604" t="s">
        <v>3406</v>
      </c>
      <c r="B154" s="2604" t="s">
        <v>3412</v>
      </c>
      <c r="C154" s="2604" t="s">
        <v>3411</v>
      </c>
      <c r="D154" s="2603">
        <v>146440</v>
      </c>
      <c r="E154" s="2603">
        <v>3457025</v>
      </c>
      <c r="F154" s="2604" t="s">
        <v>3403</v>
      </c>
      <c r="G154" s="2605"/>
      <c r="H154" s="2604" t="s">
        <v>3402</v>
      </c>
      <c r="I154" s="2604">
        <v>4</v>
      </c>
      <c r="J154" s="2603">
        <v>3457025</v>
      </c>
      <c r="K154" s="2602">
        <v>0</v>
      </c>
      <c r="L154" s="2602">
        <v>0</v>
      </c>
    </row>
    <row r="155" spans="1:12" ht="31.2" x14ac:dyDescent="0.3">
      <c r="A155" s="2604" t="s">
        <v>3406</v>
      </c>
      <c r="B155" s="2604" t="s">
        <v>3412</v>
      </c>
      <c r="C155" s="2604" t="s">
        <v>3411</v>
      </c>
      <c r="D155" s="2603">
        <v>384937</v>
      </c>
      <c r="E155" s="2603">
        <v>9087271</v>
      </c>
      <c r="F155" s="2604" t="s">
        <v>3403</v>
      </c>
      <c r="G155" s="2605"/>
      <c r="H155" s="2604" t="s">
        <v>3402</v>
      </c>
      <c r="I155" s="2604" t="s">
        <v>3401</v>
      </c>
      <c r="J155" s="2603">
        <v>9087271</v>
      </c>
      <c r="K155" s="2602">
        <v>0</v>
      </c>
      <c r="L155" s="2602">
        <v>0</v>
      </c>
    </row>
    <row r="156" spans="1:12" ht="31.2" x14ac:dyDescent="0.3">
      <c r="A156" s="2604" t="s">
        <v>3406</v>
      </c>
      <c r="B156" s="2604" t="s">
        <v>3410</v>
      </c>
      <c r="C156" s="2604" t="s">
        <v>3409</v>
      </c>
      <c r="D156" s="2603">
        <v>299536</v>
      </c>
      <c r="E156" s="2603">
        <v>7346968</v>
      </c>
      <c r="F156" s="2604" t="s">
        <v>3403</v>
      </c>
      <c r="G156" s="2605"/>
      <c r="H156" s="2604" t="s">
        <v>3402</v>
      </c>
      <c r="I156" s="2604" t="s">
        <v>3401</v>
      </c>
      <c r="J156" s="2603">
        <v>7346968</v>
      </c>
      <c r="K156" s="2602">
        <v>0</v>
      </c>
      <c r="L156" s="2602">
        <v>0</v>
      </c>
    </row>
    <row r="157" spans="1:12" ht="31.2" x14ac:dyDescent="0.3">
      <c r="A157" s="2604" t="s">
        <v>3406</v>
      </c>
      <c r="B157" s="2604" t="s">
        <v>3408</v>
      </c>
      <c r="C157" s="2604" t="s">
        <v>3407</v>
      </c>
      <c r="D157" s="2603">
        <v>6032</v>
      </c>
      <c r="E157" s="2603">
        <v>145801</v>
      </c>
      <c r="F157" s="2604" t="s">
        <v>3403</v>
      </c>
      <c r="G157" s="2605"/>
      <c r="H157" s="2604" t="s">
        <v>3402</v>
      </c>
      <c r="I157" s="2604">
        <v>4</v>
      </c>
      <c r="J157" s="2603">
        <v>145801</v>
      </c>
      <c r="K157" s="2602">
        <v>0</v>
      </c>
      <c r="L157" s="2602">
        <v>0</v>
      </c>
    </row>
    <row r="158" spans="1:12" ht="31.2" x14ac:dyDescent="0.3">
      <c r="A158" s="2604" t="s">
        <v>3406</v>
      </c>
      <c r="B158" s="2604" t="s">
        <v>3408</v>
      </c>
      <c r="C158" s="2604" t="s">
        <v>3407</v>
      </c>
      <c r="D158" s="2603">
        <v>15362</v>
      </c>
      <c r="E158" s="2603">
        <v>371338</v>
      </c>
      <c r="F158" s="2604" t="s">
        <v>3403</v>
      </c>
      <c r="G158" s="2605"/>
      <c r="H158" s="2604" t="s">
        <v>3402</v>
      </c>
      <c r="I158" s="2604" t="s">
        <v>3401</v>
      </c>
      <c r="J158" s="2603">
        <v>371338</v>
      </c>
      <c r="K158" s="2602">
        <v>0</v>
      </c>
      <c r="L158" s="2602">
        <v>0</v>
      </c>
    </row>
    <row r="159" spans="1:12" ht="31.2" x14ac:dyDescent="0.3">
      <c r="A159" s="2604" t="s">
        <v>3406</v>
      </c>
      <c r="B159" s="2604" t="s">
        <v>3405</v>
      </c>
      <c r="C159" s="2604" t="s">
        <v>3404</v>
      </c>
      <c r="D159" s="2603">
        <v>15796</v>
      </c>
      <c r="E159" s="2603">
        <v>367348</v>
      </c>
      <c r="F159" s="2604" t="s">
        <v>3403</v>
      </c>
      <c r="G159" s="2605"/>
      <c r="H159" s="2604" t="s">
        <v>3402</v>
      </c>
      <c r="I159" s="2604" t="s">
        <v>3401</v>
      </c>
      <c r="J159" s="2603">
        <v>367348</v>
      </c>
      <c r="K159" s="2602">
        <v>0</v>
      </c>
      <c r="L159" s="2602">
        <v>0</v>
      </c>
    </row>
  </sheetData>
  <mergeCells count="5">
    <mergeCell ref="E3:G3"/>
    <mergeCell ref="J3:L3"/>
    <mergeCell ref="J4:L4"/>
    <mergeCell ref="A1:G1"/>
    <mergeCell ref="A2:G2"/>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42A9-41DB-4495-AAAA-43079B87FA23}">
  <sheetPr>
    <tabColor theme="4"/>
  </sheetPr>
  <dimension ref="A2:R152"/>
  <sheetViews>
    <sheetView zoomScale="70" zoomScaleNormal="70" workbookViewId="0">
      <pane xSplit="1" ySplit="4" topLeftCell="C28" activePane="bottomRight" state="frozen"/>
      <selection activeCell="H36" sqref="H36"/>
      <selection pane="topRight" activeCell="H36" sqref="H36"/>
      <selection pane="bottomLeft" activeCell="H36" sqref="H36"/>
      <selection pane="bottomRight" activeCell="W38" sqref="W38"/>
    </sheetView>
  </sheetViews>
  <sheetFormatPr defaultRowHeight="14.4" x14ac:dyDescent="0.3"/>
  <cols>
    <col min="1" max="1" width="15.88671875" bestFit="1" customWidth="1"/>
    <col min="2" max="2" width="12.44140625" bestFit="1" customWidth="1"/>
    <col min="3" max="3" width="12.5546875" bestFit="1" customWidth="1"/>
    <col min="4" max="4" width="12.44140625" bestFit="1" customWidth="1"/>
    <col min="5" max="5" width="13.5546875" bestFit="1" customWidth="1"/>
    <col min="6" max="6" width="6" bestFit="1" customWidth="1"/>
    <col min="7" max="7" width="7.109375" bestFit="1" customWidth="1"/>
    <col min="8" max="8" width="8.88671875" bestFit="1" customWidth="1"/>
    <col min="9" max="9" width="9.33203125" bestFit="1" customWidth="1"/>
    <col min="10" max="10" width="13.5546875" bestFit="1" customWidth="1"/>
    <col min="12" max="12" width="8.109375" bestFit="1" customWidth="1"/>
    <col min="16" max="16" width="10.6640625" bestFit="1" customWidth="1"/>
    <col min="17" max="17" width="12" bestFit="1" customWidth="1"/>
  </cols>
  <sheetData>
    <row r="2" spans="1:17" ht="30" x14ac:dyDescent="0.3">
      <c r="A2" s="2619" t="s">
        <v>3521</v>
      </c>
      <c r="B2" s="2619" t="s">
        <v>3520</v>
      </c>
      <c r="C2" s="2619" t="s">
        <v>3519</v>
      </c>
      <c r="D2" s="2617" t="s">
        <v>3518</v>
      </c>
      <c r="E2" s="2987" t="s">
        <v>3517</v>
      </c>
      <c r="F2" s="2987"/>
      <c r="G2" s="2987"/>
      <c r="H2" s="2619" t="s">
        <v>3516</v>
      </c>
      <c r="I2" s="2617" t="s">
        <v>3515</v>
      </c>
      <c r="J2" s="2987" t="s">
        <v>3514</v>
      </c>
      <c r="K2" s="2987"/>
      <c r="L2" s="2987"/>
    </row>
    <row r="3" spans="1:17" ht="30" x14ac:dyDescent="0.3">
      <c r="A3" s="2618"/>
      <c r="B3" s="2618"/>
      <c r="C3" s="2618"/>
      <c r="D3" s="2617" t="s">
        <v>3513</v>
      </c>
      <c r="E3" s="2617" t="s">
        <v>3512</v>
      </c>
      <c r="F3" s="2618" t="s">
        <v>3511</v>
      </c>
      <c r="G3" s="2618" t="s">
        <v>3510</v>
      </c>
      <c r="H3" s="2618" t="s">
        <v>3509</v>
      </c>
      <c r="I3" s="2617" t="s">
        <v>3508</v>
      </c>
      <c r="J3" s="2987" t="s">
        <v>3507</v>
      </c>
      <c r="K3" s="2987"/>
      <c r="L3" s="2987"/>
    </row>
    <row r="4" spans="1:17" ht="30" x14ac:dyDescent="0.3">
      <c r="A4" s="2618" t="s">
        <v>3506</v>
      </c>
      <c r="B4" s="2618" t="s">
        <v>3505</v>
      </c>
      <c r="C4" s="2618" t="s">
        <v>3504</v>
      </c>
      <c r="D4" s="2617" t="s">
        <v>3503</v>
      </c>
      <c r="E4" s="2617" t="s">
        <v>3502</v>
      </c>
      <c r="F4" s="2618" t="s">
        <v>3501</v>
      </c>
      <c r="G4" s="2618" t="s">
        <v>3500</v>
      </c>
      <c r="H4" s="2618" t="s">
        <v>3499</v>
      </c>
      <c r="I4" s="2617" t="s">
        <v>3498</v>
      </c>
      <c r="J4" s="2617" t="s">
        <v>3497</v>
      </c>
      <c r="K4" s="2617" t="s">
        <v>3496</v>
      </c>
      <c r="L4" s="2617" t="s">
        <v>3495</v>
      </c>
      <c r="P4" t="s">
        <v>2590</v>
      </c>
      <c r="Q4" t="s">
        <v>3403</v>
      </c>
    </row>
    <row r="5" spans="1:17" ht="46.8" x14ac:dyDescent="0.3">
      <c r="A5" s="2613" t="s">
        <v>3537</v>
      </c>
      <c r="B5" s="2613" t="s">
        <v>3414</v>
      </c>
      <c r="C5" s="2613" t="s">
        <v>3536</v>
      </c>
      <c r="D5" s="2612">
        <v>1061824</v>
      </c>
      <c r="E5" s="2612">
        <v>22742000</v>
      </c>
      <c r="F5" s="2613" t="s">
        <v>3403</v>
      </c>
      <c r="G5" s="2614"/>
      <c r="H5" s="2613" t="s">
        <v>3402</v>
      </c>
      <c r="I5" s="2613">
        <v>4</v>
      </c>
      <c r="J5" s="2612">
        <v>22742000</v>
      </c>
      <c r="K5" s="2611">
        <v>0</v>
      </c>
      <c r="L5" s="2611">
        <v>0</v>
      </c>
    </row>
    <row r="6" spans="1:17" ht="46.8" x14ac:dyDescent="0.3">
      <c r="A6" s="2613" t="s">
        <v>3537</v>
      </c>
      <c r="B6" s="2613" t="s">
        <v>3414</v>
      </c>
      <c r="C6" s="2613" t="s">
        <v>3536</v>
      </c>
      <c r="D6" s="2612">
        <v>1064665</v>
      </c>
      <c r="E6" s="2612">
        <v>22802854</v>
      </c>
      <c r="F6" s="2613" t="s">
        <v>3403</v>
      </c>
      <c r="G6" s="2614"/>
      <c r="H6" s="2613" t="s">
        <v>3402</v>
      </c>
      <c r="I6" s="2613" t="s">
        <v>3401</v>
      </c>
      <c r="J6" s="2612">
        <v>22802854</v>
      </c>
      <c r="K6" s="2611">
        <v>0</v>
      </c>
      <c r="L6" s="2611">
        <v>0</v>
      </c>
    </row>
    <row r="7" spans="1:17" ht="31.2" x14ac:dyDescent="0.3">
      <c r="A7" s="2613" t="s">
        <v>3492</v>
      </c>
      <c r="B7" s="2613" t="s">
        <v>3414</v>
      </c>
      <c r="C7" s="2613">
        <v>25816109</v>
      </c>
      <c r="D7" s="2612">
        <v>144615</v>
      </c>
      <c r="E7" s="2612">
        <v>1952142</v>
      </c>
      <c r="F7" s="2613" t="s">
        <v>3403</v>
      </c>
      <c r="G7" s="2614"/>
      <c r="H7" s="2613" t="s">
        <v>3402</v>
      </c>
      <c r="I7" s="2613">
        <v>4</v>
      </c>
      <c r="J7" s="2612">
        <v>1952142</v>
      </c>
      <c r="K7" s="2611">
        <v>0</v>
      </c>
      <c r="L7" s="2611">
        <v>0</v>
      </c>
    </row>
    <row r="8" spans="1:17" ht="31.2" x14ac:dyDescent="0.3">
      <c r="A8" s="2613" t="s">
        <v>3492</v>
      </c>
      <c r="B8" s="2613" t="s">
        <v>3414</v>
      </c>
      <c r="C8" s="2613">
        <v>25816109</v>
      </c>
      <c r="D8" s="2612">
        <v>1276058</v>
      </c>
      <c r="E8" s="2612">
        <v>17225400</v>
      </c>
      <c r="F8" s="2613" t="s">
        <v>3403</v>
      </c>
      <c r="G8" s="2614"/>
      <c r="H8" s="2613" t="s">
        <v>3402</v>
      </c>
      <c r="I8" s="2613" t="s">
        <v>3425</v>
      </c>
      <c r="J8" s="2612">
        <v>17225400</v>
      </c>
      <c r="K8" s="2611">
        <v>0</v>
      </c>
      <c r="L8" s="2611">
        <v>0</v>
      </c>
    </row>
    <row r="9" spans="1:17" ht="31.2" x14ac:dyDescent="0.3">
      <c r="A9" s="2613" t="s">
        <v>3492</v>
      </c>
      <c r="B9" s="2613" t="s">
        <v>3414</v>
      </c>
      <c r="C9" s="2613">
        <v>25816109</v>
      </c>
      <c r="D9" s="2612">
        <v>62215</v>
      </c>
      <c r="E9" s="2612">
        <v>839832</v>
      </c>
      <c r="F9" s="2613" t="s">
        <v>3403</v>
      </c>
      <c r="G9" s="2614"/>
      <c r="H9" s="2613" t="s">
        <v>3402</v>
      </c>
      <c r="I9" s="2613" t="s">
        <v>3423</v>
      </c>
      <c r="J9" s="2612">
        <v>839832</v>
      </c>
      <c r="K9" s="2611">
        <v>0</v>
      </c>
      <c r="L9" s="2611">
        <v>0</v>
      </c>
    </row>
    <row r="10" spans="1:17" ht="31.2" x14ac:dyDescent="0.3">
      <c r="A10" s="2613" t="s">
        <v>3492</v>
      </c>
      <c r="B10" s="2613" t="s">
        <v>3414</v>
      </c>
      <c r="C10" s="2613">
        <v>25816109</v>
      </c>
      <c r="D10" s="2612">
        <v>152390</v>
      </c>
      <c r="E10" s="2612">
        <v>2057100</v>
      </c>
      <c r="F10" s="2613" t="s">
        <v>3403</v>
      </c>
      <c r="G10" s="2614"/>
      <c r="H10" s="2613" t="s">
        <v>3402</v>
      </c>
      <c r="I10" s="2613" t="s">
        <v>3401</v>
      </c>
      <c r="J10" s="2612">
        <v>2057100</v>
      </c>
      <c r="K10" s="2611">
        <v>0</v>
      </c>
      <c r="L10" s="2611">
        <v>0</v>
      </c>
    </row>
    <row r="11" spans="1:17" ht="31.2" x14ac:dyDescent="0.3">
      <c r="A11" s="2613" t="s">
        <v>3492</v>
      </c>
      <c r="B11" s="2613" t="s">
        <v>3414</v>
      </c>
      <c r="C11" s="2613">
        <v>25816109</v>
      </c>
      <c r="D11" s="2612">
        <v>592242</v>
      </c>
      <c r="E11" s="2612">
        <v>7994634</v>
      </c>
      <c r="F11" s="2613" t="s">
        <v>3403</v>
      </c>
      <c r="G11" s="2614"/>
      <c r="H11" s="2613" t="s">
        <v>3402</v>
      </c>
      <c r="I11" s="2613" t="s">
        <v>3421</v>
      </c>
      <c r="J11" s="2612">
        <v>7994634</v>
      </c>
      <c r="K11" s="2611">
        <v>0</v>
      </c>
      <c r="L11" s="2611">
        <v>0</v>
      </c>
    </row>
    <row r="12" spans="1:17" ht="31.2" x14ac:dyDescent="0.3">
      <c r="A12" s="2613" t="s">
        <v>3492</v>
      </c>
      <c r="B12" s="2613" t="s">
        <v>3414</v>
      </c>
      <c r="C12" s="2613">
        <v>25816109</v>
      </c>
      <c r="D12" s="2612">
        <v>8900110</v>
      </c>
      <c r="E12" s="2612">
        <v>120141879</v>
      </c>
      <c r="F12" s="2613" t="s">
        <v>3403</v>
      </c>
      <c r="G12" s="2614"/>
      <c r="H12" s="2613" t="s">
        <v>3402</v>
      </c>
      <c r="I12" s="2613" t="s">
        <v>3420</v>
      </c>
      <c r="J12" s="2612">
        <v>120141879</v>
      </c>
      <c r="K12" s="2611">
        <v>0</v>
      </c>
      <c r="L12" s="2611">
        <v>0</v>
      </c>
    </row>
    <row r="13" spans="1:17" ht="31.2" x14ac:dyDescent="0.3">
      <c r="A13" s="2613" t="s">
        <v>3492</v>
      </c>
      <c r="B13" s="2613" t="s">
        <v>3414</v>
      </c>
      <c r="C13" s="2613">
        <v>25816109</v>
      </c>
      <c r="D13" s="2612">
        <v>103691</v>
      </c>
      <c r="E13" s="2612">
        <v>1399713</v>
      </c>
      <c r="F13" s="2613" t="s">
        <v>3403</v>
      </c>
      <c r="G13" s="2614"/>
      <c r="H13" s="2613" t="s">
        <v>3402</v>
      </c>
      <c r="I13" s="2613" t="s">
        <v>3418</v>
      </c>
      <c r="J13" s="2612">
        <v>1399713</v>
      </c>
      <c r="K13" s="2611">
        <v>0</v>
      </c>
      <c r="L13" s="2611">
        <v>0</v>
      </c>
    </row>
    <row r="14" spans="1:17" ht="18" x14ac:dyDescent="0.3">
      <c r="A14" s="2613" t="s">
        <v>3535</v>
      </c>
      <c r="B14" s="2613" t="s">
        <v>3414</v>
      </c>
      <c r="C14" s="2613">
        <v>37833100</v>
      </c>
      <c r="D14" s="2612">
        <v>82232</v>
      </c>
      <c r="E14" s="2612">
        <v>710000</v>
      </c>
      <c r="F14" s="2613" t="s">
        <v>3403</v>
      </c>
      <c r="G14" s="2614"/>
      <c r="H14" s="2613" t="s">
        <v>3402</v>
      </c>
      <c r="I14" s="2613">
        <v>4</v>
      </c>
      <c r="J14" s="2612">
        <v>710000</v>
      </c>
      <c r="K14" s="2611">
        <v>0</v>
      </c>
      <c r="L14" s="2611">
        <v>0</v>
      </c>
    </row>
    <row r="15" spans="1:17" ht="18" x14ac:dyDescent="0.3">
      <c r="A15" s="2613" t="s">
        <v>3535</v>
      </c>
      <c r="B15" s="2613" t="s">
        <v>3414</v>
      </c>
      <c r="C15" s="2613">
        <v>37833100</v>
      </c>
      <c r="D15" s="2612">
        <v>111187</v>
      </c>
      <c r="E15" s="2612">
        <v>960000</v>
      </c>
      <c r="F15" s="2613" t="s">
        <v>3403</v>
      </c>
      <c r="G15" s="2614"/>
      <c r="H15" s="2613" t="s">
        <v>3402</v>
      </c>
      <c r="I15" s="2613" t="s">
        <v>3428</v>
      </c>
      <c r="J15" s="2612">
        <v>960000</v>
      </c>
      <c r="K15" s="2611">
        <v>0</v>
      </c>
      <c r="L15" s="2611">
        <v>0</v>
      </c>
    </row>
    <row r="16" spans="1:17" ht="18" x14ac:dyDescent="0.3">
      <c r="A16" s="2613" t="s">
        <v>3535</v>
      </c>
      <c r="B16" s="2613" t="s">
        <v>3414</v>
      </c>
      <c r="C16" s="2613">
        <v>37833100</v>
      </c>
      <c r="D16" s="2612">
        <v>1021301</v>
      </c>
      <c r="E16" s="2612">
        <v>8818000</v>
      </c>
      <c r="F16" s="2613" t="s">
        <v>3403</v>
      </c>
      <c r="G16" s="2614"/>
      <c r="H16" s="2613" t="s">
        <v>3402</v>
      </c>
      <c r="I16" s="2613" t="s">
        <v>3425</v>
      </c>
      <c r="J16" s="2612">
        <v>8818000</v>
      </c>
      <c r="K16" s="2611">
        <v>0</v>
      </c>
      <c r="L16" s="2611">
        <v>0</v>
      </c>
    </row>
    <row r="17" spans="1:17" ht="18" x14ac:dyDescent="0.3">
      <c r="A17" s="2613" t="s">
        <v>3535</v>
      </c>
      <c r="B17" s="2613" t="s">
        <v>3414</v>
      </c>
      <c r="C17" s="2613">
        <v>37833100</v>
      </c>
      <c r="D17" s="2612">
        <v>78873</v>
      </c>
      <c r="E17" s="2612">
        <v>681000</v>
      </c>
      <c r="F17" s="2613" t="s">
        <v>3403</v>
      </c>
      <c r="G17" s="2614"/>
      <c r="H17" s="2613" t="s">
        <v>3402</v>
      </c>
      <c r="I17" s="2613" t="s">
        <v>3424</v>
      </c>
      <c r="J17" s="2612">
        <v>681000</v>
      </c>
      <c r="K17" s="2611">
        <v>0</v>
      </c>
      <c r="L17" s="2611">
        <v>0</v>
      </c>
    </row>
    <row r="18" spans="1:17" ht="18" x14ac:dyDescent="0.3">
      <c r="A18" s="2613" t="s">
        <v>3535</v>
      </c>
      <c r="B18" s="2613" t="s">
        <v>3414</v>
      </c>
      <c r="C18" s="2613">
        <v>37833100</v>
      </c>
      <c r="D18" s="2612">
        <v>1781977</v>
      </c>
      <c r="E18" s="2612">
        <v>15385747</v>
      </c>
      <c r="F18" s="2613" t="s">
        <v>3403</v>
      </c>
      <c r="G18" s="2614"/>
      <c r="H18" s="2613" t="s">
        <v>3402</v>
      </c>
      <c r="I18" s="2613" t="s">
        <v>3401</v>
      </c>
      <c r="J18" s="2612">
        <v>15385747</v>
      </c>
      <c r="K18" s="2611">
        <v>0</v>
      </c>
      <c r="L18" s="2611">
        <v>0</v>
      </c>
    </row>
    <row r="19" spans="1:17" ht="18" x14ac:dyDescent="0.3">
      <c r="A19" s="2613" t="s">
        <v>3535</v>
      </c>
      <c r="B19" s="2613" t="s">
        <v>3414</v>
      </c>
      <c r="C19" s="2613">
        <v>37833100</v>
      </c>
      <c r="D19" s="2612">
        <v>208592</v>
      </c>
      <c r="E19" s="2612">
        <v>1801000</v>
      </c>
      <c r="F19" s="2613" t="s">
        <v>3403</v>
      </c>
      <c r="G19" s="2614"/>
      <c r="H19" s="2613" t="s">
        <v>3402</v>
      </c>
      <c r="I19" s="2613" t="s">
        <v>3422</v>
      </c>
      <c r="J19" s="2612">
        <v>1801000</v>
      </c>
      <c r="K19" s="2611">
        <v>0</v>
      </c>
      <c r="L19" s="2611">
        <v>0</v>
      </c>
    </row>
    <row r="20" spans="1:17" ht="18" x14ac:dyDescent="0.3">
      <c r="A20" s="2613" t="s">
        <v>3535</v>
      </c>
      <c r="B20" s="2613" t="s">
        <v>3414</v>
      </c>
      <c r="C20" s="2613">
        <v>37833100</v>
      </c>
      <c r="D20" s="2612">
        <v>419037</v>
      </c>
      <c r="E20" s="2612">
        <v>3618000</v>
      </c>
      <c r="F20" s="2613" t="s">
        <v>3403</v>
      </c>
      <c r="G20" s="2614"/>
      <c r="H20" s="2613" t="s">
        <v>3402</v>
      </c>
      <c r="I20" s="2613" t="s">
        <v>3421</v>
      </c>
      <c r="J20" s="2612">
        <v>3618000</v>
      </c>
      <c r="K20" s="2611">
        <v>0</v>
      </c>
      <c r="L20" s="2611">
        <v>0</v>
      </c>
    </row>
    <row r="21" spans="1:17" ht="18" x14ac:dyDescent="0.3">
      <c r="A21" s="2613" t="s">
        <v>3535</v>
      </c>
      <c r="B21" s="2613" t="s">
        <v>3414</v>
      </c>
      <c r="C21" s="2613">
        <v>37833100</v>
      </c>
      <c r="D21" s="2612">
        <v>2752335</v>
      </c>
      <c r="E21" s="2612">
        <v>23763905</v>
      </c>
      <c r="F21" s="2613" t="s">
        <v>3403</v>
      </c>
      <c r="G21" s="2614"/>
      <c r="H21" s="2613" t="s">
        <v>3402</v>
      </c>
      <c r="I21" s="2613" t="s">
        <v>3420</v>
      </c>
      <c r="J21" s="2612">
        <v>23763905</v>
      </c>
      <c r="K21" s="2611">
        <v>0</v>
      </c>
      <c r="L21" s="2611">
        <v>0</v>
      </c>
    </row>
    <row r="22" spans="1:17" ht="18" x14ac:dyDescent="0.3">
      <c r="A22" s="2613" t="s">
        <v>3535</v>
      </c>
      <c r="B22" s="2613" t="s">
        <v>3414</v>
      </c>
      <c r="C22" s="2613">
        <v>37833100</v>
      </c>
      <c r="D22" s="2612">
        <v>78526</v>
      </c>
      <c r="E22" s="2612">
        <v>678000</v>
      </c>
      <c r="F22" s="2613" t="s">
        <v>3403</v>
      </c>
      <c r="G22" s="2614"/>
      <c r="H22" s="2613" t="s">
        <v>3402</v>
      </c>
      <c r="I22" s="2613" t="s">
        <v>3419</v>
      </c>
      <c r="J22" s="2612">
        <v>678000</v>
      </c>
      <c r="K22" s="2611">
        <v>0</v>
      </c>
      <c r="L22" s="2611">
        <v>0</v>
      </c>
    </row>
    <row r="23" spans="1:17" ht="18" x14ac:dyDescent="0.3">
      <c r="A23" s="2613" t="s">
        <v>3535</v>
      </c>
      <c r="B23" s="2613" t="s">
        <v>3414</v>
      </c>
      <c r="C23" s="2613">
        <v>37833100</v>
      </c>
      <c r="D23" s="2612">
        <v>109334</v>
      </c>
      <c r="E23" s="2612">
        <v>944000</v>
      </c>
      <c r="F23" s="2613" t="s">
        <v>3403</v>
      </c>
      <c r="G23" s="2614"/>
      <c r="H23" s="2613" t="s">
        <v>3402</v>
      </c>
      <c r="I23" s="2613" t="s">
        <v>3416</v>
      </c>
      <c r="J23" s="2612">
        <v>944000</v>
      </c>
      <c r="K23" s="2611">
        <v>0</v>
      </c>
      <c r="L23" s="2611">
        <v>0</v>
      </c>
    </row>
    <row r="24" spans="1:17" ht="62.4" x14ac:dyDescent="0.3">
      <c r="A24" s="2613" t="s">
        <v>3491</v>
      </c>
      <c r="B24" s="2613" t="s">
        <v>3414</v>
      </c>
      <c r="C24" s="2613">
        <v>64058100</v>
      </c>
      <c r="D24" s="2612">
        <v>355883</v>
      </c>
      <c r="E24" s="2612">
        <v>7511249</v>
      </c>
      <c r="F24" s="2613" t="s">
        <v>3403</v>
      </c>
      <c r="G24" s="2614"/>
      <c r="H24" s="2613" t="s">
        <v>3402</v>
      </c>
      <c r="I24" s="2613">
        <v>4</v>
      </c>
      <c r="J24" s="2612">
        <v>7511249</v>
      </c>
      <c r="K24" s="2611">
        <v>0</v>
      </c>
      <c r="L24" s="2611">
        <v>0</v>
      </c>
    </row>
    <row r="25" spans="1:17" ht="62.4" x14ac:dyDescent="0.3">
      <c r="A25" s="2613" t="s">
        <v>3491</v>
      </c>
      <c r="B25" s="2613" t="s">
        <v>3414</v>
      </c>
      <c r="C25" s="2613">
        <v>64058100</v>
      </c>
      <c r="D25" s="2612">
        <v>84996</v>
      </c>
      <c r="E25" s="2612">
        <v>1793915</v>
      </c>
      <c r="F25" s="2613" t="s">
        <v>3403</v>
      </c>
      <c r="G25" s="2614"/>
      <c r="H25" s="2613" t="s">
        <v>3402</v>
      </c>
      <c r="I25" s="2613" t="s">
        <v>3427</v>
      </c>
      <c r="J25" s="2612">
        <v>1793915</v>
      </c>
      <c r="K25" s="2611">
        <v>0</v>
      </c>
      <c r="L25" s="2611">
        <v>0</v>
      </c>
    </row>
    <row r="26" spans="1:17" ht="62.4" x14ac:dyDescent="0.3">
      <c r="A26" s="2613" t="s">
        <v>3491</v>
      </c>
      <c r="B26" s="2613" t="s">
        <v>3414</v>
      </c>
      <c r="C26" s="2613">
        <v>64058100</v>
      </c>
      <c r="D26" s="2612">
        <v>291879</v>
      </c>
      <c r="E26" s="2612">
        <v>6160384</v>
      </c>
      <c r="F26" s="2613" t="s">
        <v>3403</v>
      </c>
      <c r="G26" s="2614"/>
      <c r="H26" s="2613" t="s">
        <v>3402</v>
      </c>
      <c r="I26" s="2613" t="s">
        <v>3401</v>
      </c>
      <c r="J26" s="2612">
        <v>6160384</v>
      </c>
      <c r="K26" s="2611">
        <v>0</v>
      </c>
      <c r="L26" s="2611">
        <v>0</v>
      </c>
    </row>
    <row r="27" spans="1:17" ht="62.4" x14ac:dyDescent="0.3">
      <c r="A27" s="2613" t="s">
        <v>3491</v>
      </c>
      <c r="B27" s="2613" t="s">
        <v>3414</v>
      </c>
      <c r="C27" s="2613">
        <v>64058100</v>
      </c>
      <c r="D27" s="2612">
        <v>26060</v>
      </c>
      <c r="E27" s="2612">
        <v>550021</v>
      </c>
      <c r="F27" s="2613" t="s">
        <v>3403</v>
      </c>
      <c r="G27" s="2614"/>
      <c r="H27" s="2613" t="s">
        <v>3402</v>
      </c>
      <c r="I27" s="2613" t="s">
        <v>3422</v>
      </c>
      <c r="J27" s="2612">
        <v>550021</v>
      </c>
      <c r="K27" s="2611">
        <v>0</v>
      </c>
      <c r="L27" s="2611">
        <v>0</v>
      </c>
    </row>
    <row r="28" spans="1:17" ht="62.4" x14ac:dyDescent="0.3">
      <c r="A28" s="2613" t="s">
        <v>3491</v>
      </c>
      <c r="B28" s="2613" t="s">
        <v>3414</v>
      </c>
      <c r="C28" s="2613">
        <v>64058100</v>
      </c>
      <c r="D28" s="2612">
        <v>268000</v>
      </c>
      <c r="E28" s="2612">
        <v>5656400</v>
      </c>
      <c r="F28" s="2613" t="s">
        <v>3403</v>
      </c>
      <c r="G28" s="2614"/>
      <c r="H28" s="2613" t="s">
        <v>3402</v>
      </c>
      <c r="I28" s="2613" t="s">
        <v>3420</v>
      </c>
      <c r="J28" s="2612">
        <v>5656400</v>
      </c>
      <c r="K28" s="2611">
        <v>0</v>
      </c>
      <c r="L28" s="2611">
        <v>0</v>
      </c>
    </row>
    <row r="29" spans="1:17" ht="46.8" x14ac:dyDescent="0.3">
      <c r="A29" s="2613" t="s">
        <v>3534</v>
      </c>
      <c r="B29" s="2613" t="s">
        <v>3436</v>
      </c>
      <c r="C29" s="2613" t="s">
        <v>3533</v>
      </c>
      <c r="D29" s="2612">
        <v>764266</v>
      </c>
      <c r="E29" s="2612">
        <v>2654437</v>
      </c>
      <c r="F29" s="2613" t="s">
        <v>3403</v>
      </c>
      <c r="G29" s="2614"/>
      <c r="H29" s="2613" t="s">
        <v>3402</v>
      </c>
      <c r="I29" s="2613">
        <v>4</v>
      </c>
      <c r="J29" s="2612">
        <v>2654437</v>
      </c>
      <c r="K29" s="2611">
        <v>0</v>
      </c>
      <c r="L29" s="2611">
        <v>0</v>
      </c>
    </row>
    <row r="30" spans="1:17" ht="46.8" x14ac:dyDescent="0.3">
      <c r="A30" s="2613" t="s">
        <v>3534</v>
      </c>
      <c r="B30" s="2613" t="s">
        <v>3436</v>
      </c>
      <c r="C30" s="2613" t="s">
        <v>3533</v>
      </c>
      <c r="D30" s="2612">
        <v>1954704</v>
      </c>
      <c r="E30" s="2612">
        <v>6789054</v>
      </c>
      <c r="F30" s="2613" t="s">
        <v>3403</v>
      </c>
      <c r="G30" s="2614"/>
      <c r="H30" s="2613" t="s">
        <v>3402</v>
      </c>
      <c r="I30" s="2613" t="s">
        <v>3401</v>
      </c>
      <c r="J30" s="2612">
        <v>6789054</v>
      </c>
      <c r="K30" s="2611">
        <v>0</v>
      </c>
      <c r="L30" s="2611">
        <v>0</v>
      </c>
      <c r="P30" s="2615">
        <f>SUM(D29:D30)</f>
        <v>2718970</v>
      </c>
      <c r="Q30" s="2615">
        <f>SUM(E29:E30)</f>
        <v>9443491</v>
      </c>
    </row>
    <row r="31" spans="1:17" ht="31.2" x14ac:dyDescent="0.3">
      <c r="A31" s="2613" t="s">
        <v>3487</v>
      </c>
      <c r="B31" s="2613" t="s">
        <v>3414</v>
      </c>
      <c r="C31" s="2613">
        <v>191216100</v>
      </c>
      <c r="D31" s="2612">
        <v>33168</v>
      </c>
      <c r="E31" s="2612">
        <v>800000</v>
      </c>
      <c r="F31" s="2613" t="s">
        <v>3403</v>
      </c>
      <c r="G31" s="2614"/>
      <c r="H31" s="2613" t="s">
        <v>3402</v>
      </c>
      <c r="I31" s="2613">
        <v>4</v>
      </c>
      <c r="J31" s="2612">
        <v>800000</v>
      </c>
      <c r="K31" s="2611">
        <v>0</v>
      </c>
      <c r="L31" s="2611">
        <v>0</v>
      </c>
    </row>
    <row r="32" spans="1:17" ht="31.2" x14ac:dyDescent="0.3">
      <c r="A32" s="2613" t="s">
        <v>3487</v>
      </c>
      <c r="B32" s="2613" t="s">
        <v>3414</v>
      </c>
      <c r="C32" s="2613">
        <v>191216100</v>
      </c>
      <c r="D32" s="2612">
        <v>3328541</v>
      </c>
      <c r="E32" s="2612">
        <v>80283200</v>
      </c>
      <c r="F32" s="2613" t="s">
        <v>3403</v>
      </c>
      <c r="G32" s="2614"/>
      <c r="H32" s="2613" t="s">
        <v>3402</v>
      </c>
      <c r="I32" s="2613" t="s">
        <v>3425</v>
      </c>
      <c r="J32" s="2612">
        <v>80283200</v>
      </c>
      <c r="K32" s="2611">
        <v>0</v>
      </c>
      <c r="L32" s="2611">
        <v>0</v>
      </c>
    </row>
    <row r="33" spans="1:17" ht="31.2" x14ac:dyDescent="0.3">
      <c r="A33" s="2613" t="s">
        <v>3487</v>
      </c>
      <c r="B33" s="2613" t="s">
        <v>3414</v>
      </c>
      <c r="C33" s="2613">
        <v>191216100</v>
      </c>
      <c r="D33" s="2612">
        <v>75623</v>
      </c>
      <c r="E33" s="2612">
        <v>1824000</v>
      </c>
      <c r="F33" s="2613" t="s">
        <v>3403</v>
      </c>
      <c r="G33" s="2614"/>
      <c r="H33" s="2613" t="s">
        <v>3402</v>
      </c>
      <c r="I33" s="2613" t="s">
        <v>3424</v>
      </c>
      <c r="J33" s="2612">
        <v>1824000</v>
      </c>
      <c r="K33" s="2611">
        <v>0</v>
      </c>
      <c r="L33" s="2611">
        <v>0</v>
      </c>
    </row>
    <row r="34" spans="1:17" ht="31.2" x14ac:dyDescent="0.3">
      <c r="A34" s="2613" t="s">
        <v>3487</v>
      </c>
      <c r="B34" s="2613" t="s">
        <v>3414</v>
      </c>
      <c r="C34" s="2613">
        <v>191216100</v>
      </c>
      <c r="D34" s="2612">
        <v>597488</v>
      </c>
      <c r="E34" s="2612">
        <v>14411200</v>
      </c>
      <c r="F34" s="2613" t="s">
        <v>3403</v>
      </c>
      <c r="G34" s="2614"/>
      <c r="H34" s="2613" t="s">
        <v>3402</v>
      </c>
      <c r="I34" s="2613" t="s">
        <v>3401</v>
      </c>
      <c r="J34" s="2612">
        <v>14411200</v>
      </c>
      <c r="K34" s="2611">
        <v>0</v>
      </c>
      <c r="L34" s="2611">
        <v>0</v>
      </c>
    </row>
    <row r="35" spans="1:17" ht="31.2" x14ac:dyDescent="0.3">
      <c r="A35" s="2613" t="s">
        <v>3487</v>
      </c>
      <c r="B35" s="2613" t="s">
        <v>3414</v>
      </c>
      <c r="C35" s="2613">
        <v>191216100</v>
      </c>
      <c r="D35" s="2612">
        <v>621502</v>
      </c>
      <c r="E35" s="2612">
        <v>14990400</v>
      </c>
      <c r="F35" s="2613" t="s">
        <v>3403</v>
      </c>
      <c r="G35" s="2614"/>
      <c r="H35" s="2613" t="s">
        <v>3402</v>
      </c>
      <c r="I35" s="2613" t="s">
        <v>3421</v>
      </c>
      <c r="J35" s="2612">
        <v>14990400</v>
      </c>
      <c r="K35" s="2611">
        <v>0</v>
      </c>
      <c r="L35" s="2611">
        <v>0</v>
      </c>
    </row>
    <row r="36" spans="1:17" ht="31.2" x14ac:dyDescent="0.3">
      <c r="A36" s="2613" t="s">
        <v>3487</v>
      </c>
      <c r="B36" s="2613" t="s">
        <v>3414</v>
      </c>
      <c r="C36" s="2613">
        <v>191216100</v>
      </c>
      <c r="D36" s="2612">
        <v>11740610</v>
      </c>
      <c r="E36" s="2612">
        <v>283179200</v>
      </c>
      <c r="F36" s="2613" t="s">
        <v>3403</v>
      </c>
      <c r="G36" s="2614"/>
      <c r="H36" s="2613" t="s">
        <v>3402</v>
      </c>
      <c r="I36" s="2613" t="s">
        <v>3420</v>
      </c>
      <c r="J36" s="2612">
        <v>283179200</v>
      </c>
      <c r="K36" s="2611">
        <v>0</v>
      </c>
      <c r="L36" s="2611">
        <v>0</v>
      </c>
    </row>
    <row r="37" spans="1:17" ht="31.2" x14ac:dyDescent="0.3">
      <c r="A37" s="2613" t="s">
        <v>3487</v>
      </c>
      <c r="B37" s="2613" t="s">
        <v>3414</v>
      </c>
      <c r="C37" s="2613">
        <v>191216100</v>
      </c>
      <c r="D37" s="2612">
        <v>147266</v>
      </c>
      <c r="E37" s="2612">
        <v>3552000</v>
      </c>
      <c r="F37" s="2613" t="s">
        <v>3403</v>
      </c>
      <c r="G37" s="2614"/>
      <c r="H37" s="2613" t="s">
        <v>3402</v>
      </c>
      <c r="I37" s="2613" t="s">
        <v>3419</v>
      </c>
      <c r="J37" s="2612">
        <v>3552000</v>
      </c>
      <c r="K37" s="2611">
        <v>0</v>
      </c>
      <c r="L37" s="2611">
        <v>0</v>
      </c>
    </row>
    <row r="38" spans="1:17" ht="31.2" x14ac:dyDescent="0.3">
      <c r="A38" s="2613" t="s">
        <v>3487</v>
      </c>
      <c r="B38" s="2613" t="s">
        <v>3414</v>
      </c>
      <c r="C38" s="2613">
        <v>191216100</v>
      </c>
      <c r="D38" s="2612">
        <v>39802</v>
      </c>
      <c r="E38" s="2612">
        <v>960000</v>
      </c>
      <c r="F38" s="2613" t="s">
        <v>3403</v>
      </c>
      <c r="G38" s="2614"/>
      <c r="H38" s="2613" t="s">
        <v>3402</v>
      </c>
      <c r="I38" s="2613" t="s">
        <v>3418</v>
      </c>
      <c r="J38" s="2612">
        <v>960000</v>
      </c>
      <c r="K38" s="2611">
        <v>0</v>
      </c>
      <c r="L38" s="2611">
        <v>0</v>
      </c>
    </row>
    <row r="39" spans="1:17" ht="46.8" x14ac:dyDescent="0.3">
      <c r="A39" s="2613" t="s">
        <v>3486</v>
      </c>
      <c r="B39" s="2613" t="s">
        <v>3414</v>
      </c>
      <c r="C39" s="2613" t="s">
        <v>3485</v>
      </c>
      <c r="D39" s="2612">
        <v>693815</v>
      </c>
      <c r="E39" s="2612">
        <v>4333363</v>
      </c>
      <c r="F39" s="2613" t="s">
        <v>3403</v>
      </c>
      <c r="G39" s="2614"/>
      <c r="H39" s="2613" t="s">
        <v>3402</v>
      </c>
      <c r="I39" s="2613" t="s">
        <v>3420</v>
      </c>
      <c r="J39" s="2612">
        <v>4333363</v>
      </c>
      <c r="K39" s="2611">
        <v>0</v>
      </c>
      <c r="L39" s="2611">
        <v>0</v>
      </c>
    </row>
    <row r="40" spans="1:17" ht="46.8" x14ac:dyDescent="0.3">
      <c r="A40" s="2613" t="s">
        <v>3484</v>
      </c>
      <c r="B40" s="2613" t="s">
        <v>3414</v>
      </c>
      <c r="C40" s="2613" t="s">
        <v>3483</v>
      </c>
      <c r="D40" s="2612">
        <v>1287344</v>
      </c>
      <c r="E40" s="2612">
        <v>20052088</v>
      </c>
      <c r="F40" s="2613" t="s">
        <v>3403</v>
      </c>
      <c r="G40" s="2614"/>
      <c r="H40" s="2613" t="s">
        <v>3402</v>
      </c>
      <c r="I40" s="2613">
        <v>4</v>
      </c>
      <c r="J40" s="2612">
        <v>20052088</v>
      </c>
      <c r="K40" s="2611">
        <v>0</v>
      </c>
      <c r="L40" s="2611">
        <v>0</v>
      </c>
    </row>
    <row r="41" spans="1:17" ht="46.8" x14ac:dyDescent="0.3">
      <c r="A41" s="2613" t="s">
        <v>3484</v>
      </c>
      <c r="B41" s="2613" t="s">
        <v>3414</v>
      </c>
      <c r="C41" s="2613" t="s">
        <v>3483</v>
      </c>
      <c r="D41" s="2612">
        <v>1188566</v>
      </c>
      <c r="E41" s="2612">
        <v>18513482</v>
      </c>
      <c r="F41" s="2613" t="s">
        <v>3403</v>
      </c>
      <c r="G41" s="2614"/>
      <c r="H41" s="2613" t="s">
        <v>3402</v>
      </c>
      <c r="I41" s="2613" t="s">
        <v>3401</v>
      </c>
      <c r="J41" s="2612">
        <v>18513482</v>
      </c>
      <c r="K41" s="2611">
        <v>0</v>
      </c>
      <c r="L41" s="2611">
        <v>0</v>
      </c>
      <c r="P41" s="2615">
        <f>SUM(D40:D41)</f>
        <v>2475910</v>
      </c>
      <c r="Q41" s="2615">
        <f>SUM(E40:E41)</f>
        <v>38565570</v>
      </c>
    </row>
    <row r="42" spans="1:17" ht="46.8" x14ac:dyDescent="0.3">
      <c r="A42" s="2613" t="s">
        <v>3532</v>
      </c>
      <c r="B42" s="2613" t="s">
        <v>3443</v>
      </c>
      <c r="C42" s="2613">
        <v>247361702</v>
      </c>
      <c r="D42" s="2612">
        <v>250440</v>
      </c>
      <c r="E42" s="2612">
        <v>5091277</v>
      </c>
      <c r="F42" s="2613" t="s">
        <v>3403</v>
      </c>
      <c r="G42" s="2614"/>
      <c r="H42" s="2613" t="s">
        <v>3402</v>
      </c>
      <c r="I42" s="2613">
        <v>4</v>
      </c>
      <c r="J42" s="2612">
        <v>5091277</v>
      </c>
      <c r="K42" s="2611">
        <v>0</v>
      </c>
      <c r="L42" s="2611">
        <v>0</v>
      </c>
      <c r="P42" s="2615"/>
    </row>
    <row r="43" spans="1:17" ht="46.8" x14ac:dyDescent="0.3">
      <c r="A43" s="2613" t="s">
        <v>3532</v>
      </c>
      <c r="B43" s="2613" t="s">
        <v>3443</v>
      </c>
      <c r="C43" s="2613">
        <v>247361702</v>
      </c>
      <c r="D43" s="2612">
        <v>389030</v>
      </c>
      <c r="E43" s="2612">
        <v>7908723</v>
      </c>
      <c r="F43" s="2613" t="s">
        <v>3403</v>
      </c>
      <c r="G43" s="2614"/>
      <c r="H43" s="2613" t="s">
        <v>3402</v>
      </c>
      <c r="I43" s="2613" t="s">
        <v>3401</v>
      </c>
      <c r="J43" s="2612">
        <v>7908723</v>
      </c>
      <c r="K43" s="2611">
        <v>0</v>
      </c>
      <c r="L43" s="2611">
        <v>0</v>
      </c>
    </row>
    <row r="44" spans="1:17" ht="46.8" x14ac:dyDescent="0.3">
      <c r="A44" s="2613" t="s">
        <v>3532</v>
      </c>
      <c r="B44" s="2613" t="s">
        <v>3443</v>
      </c>
      <c r="C44" s="2613">
        <v>247361702</v>
      </c>
      <c r="D44" s="2612">
        <v>2313209</v>
      </c>
      <c r="E44" s="2612">
        <v>47025995</v>
      </c>
      <c r="F44" s="2613" t="s">
        <v>3403</v>
      </c>
      <c r="G44" s="2614"/>
      <c r="H44" s="2613" t="s">
        <v>3402</v>
      </c>
      <c r="I44" s="2613" t="s">
        <v>3420</v>
      </c>
      <c r="J44" s="2612">
        <v>47025995</v>
      </c>
      <c r="K44" s="2611">
        <v>0</v>
      </c>
      <c r="L44" s="2611">
        <v>0</v>
      </c>
    </row>
    <row r="45" spans="1:17" ht="31.2" x14ac:dyDescent="0.3">
      <c r="A45" s="2613" t="s">
        <v>3481</v>
      </c>
      <c r="B45" s="2613" t="s">
        <v>3414</v>
      </c>
      <c r="C45" s="2613">
        <v>369604103</v>
      </c>
      <c r="D45" s="2612">
        <v>18609</v>
      </c>
      <c r="E45" s="2612">
        <v>588900</v>
      </c>
      <c r="F45" s="2613" t="s">
        <v>3403</v>
      </c>
      <c r="G45" s="2614"/>
      <c r="H45" s="2613" t="s">
        <v>3402</v>
      </c>
      <c r="I45" s="2613">
        <v>4</v>
      </c>
      <c r="J45" s="2612">
        <v>588900</v>
      </c>
      <c r="K45" s="2611">
        <v>0</v>
      </c>
      <c r="L45" s="2611">
        <v>0</v>
      </c>
    </row>
    <row r="46" spans="1:17" ht="31.2" x14ac:dyDescent="0.3">
      <c r="A46" s="2613" t="s">
        <v>3481</v>
      </c>
      <c r="B46" s="2613" t="s">
        <v>3414</v>
      </c>
      <c r="C46" s="2613">
        <v>369604103</v>
      </c>
      <c r="D46" s="2612">
        <v>16923</v>
      </c>
      <c r="E46" s="2612">
        <v>535532</v>
      </c>
      <c r="F46" s="2613" t="s">
        <v>3403</v>
      </c>
      <c r="G46" s="2614"/>
      <c r="H46" s="2613" t="s">
        <v>3402</v>
      </c>
      <c r="I46" s="2613" t="s">
        <v>3425</v>
      </c>
      <c r="J46" s="2612">
        <v>535532</v>
      </c>
      <c r="K46" s="2611">
        <v>0</v>
      </c>
      <c r="L46" s="2611">
        <v>0</v>
      </c>
    </row>
    <row r="47" spans="1:17" ht="31.2" x14ac:dyDescent="0.3">
      <c r="A47" s="2613" t="s">
        <v>3481</v>
      </c>
      <c r="B47" s="2613" t="s">
        <v>3414</v>
      </c>
      <c r="C47" s="2613">
        <v>369604103</v>
      </c>
      <c r="D47" s="2612">
        <v>157946</v>
      </c>
      <c r="E47" s="2612">
        <v>4998302</v>
      </c>
      <c r="F47" s="2613" t="s">
        <v>3403</v>
      </c>
      <c r="G47" s="2614"/>
      <c r="H47" s="2613" t="s">
        <v>3402</v>
      </c>
      <c r="I47" s="2613" t="s">
        <v>3401</v>
      </c>
      <c r="J47" s="2612">
        <v>4998302</v>
      </c>
      <c r="K47" s="2611">
        <v>0</v>
      </c>
      <c r="L47" s="2611">
        <v>0</v>
      </c>
    </row>
    <row r="48" spans="1:17" ht="31.2" x14ac:dyDescent="0.3">
      <c r="A48" s="2613" t="s">
        <v>3481</v>
      </c>
      <c r="B48" s="2613" t="s">
        <v>3414</v>
      </c>
      <c r="C48" s="2613">
        <v>369604103</v>
      </c>
      <c r="D48" s="2612">
        <v>1128</v>
      </c>
      <c r="E48" s="2612">
        <v>35702</v>
      </c>
      <c r="F48" s="2613" t="s">
        <v>3403</v>
      </c>
      <c r="G48" s="2614"/>
      <c r="H48" s="2613" t="s">
        <v>3402</v>
      </c>
      <c r="I48" s="2613" t="s">
        <v>3421</v>
      </c>
      <c r="J48" s="2612">
        <v>35702</v>
      </c>
      <c r="K48" s="2611">
        <v>0</v>
      </c>
      <c r="L48" s="2611">
        <v>0</v>
      </c>
    </row>
    <row r="49" spans="1:12" ht="31.2" x14ac:dyDescent="0.3">
      <c r="A49" s="2613" t="s">
        <v>3481</v>
      </c>
      <c r="B49" s="2613" t="s">
        <v>3414</v>
      </c>
      <c r="C49" s="2613">
        <v>369604103</v>
      </c>
      <c r="D49" s="2612">
        <v>134254</v>
      </c>
      <c r="E49" s="2612">
        <v>4248556</v>
      </c>
      <c r="F49" s="2613" t="s">
        <v>3403</v>
      </c>
      <c r="G49" s="2614"/>
      <c r="H49" s="2613" t="s">
        <v>3402</v>
      </c>
      <c r="I49" s="2613" t="s">
        <v>3420</v>
      </c>
      <c r="J49" s="2612">
        <v>4248556</v>
      </c>
      <c r="K49" s="2611">
        <v>0</v>
      </c>
      <c r="L49" s="2611">
        <v>0</v>
      </c>
    </row>
    <row r="50" spans="1:12" ht="31.2" x14ac:dyDescent="0.3">
      <c r="A50" s="2613" t="s">
        <v>3481</v>
      </c>
      <c r="B50" s="2613" t="s">
        <v>3414</v>
      </c>
      <c r="C50" s="2613">
        <v>369604103</v>
      </c>
      <c r="D50" s="2612">
        <v>5641</v>
      </c>
      <c r="E50" s="2612">
        <v>178510</v>
      </c>
      <c r="F50" s="2613" t="s">
        <v>3403</v>
      </c>
      <c r="G50" s="2614"/>
      <c r="H50" s="2613" t="s">
        <v>3402</v>
      </c>
      <c r="I50" s="2613" t="s">
        <v>3419</v>
      </c>
      <c r="J50" s="2612">
        <v>178510</v>
      </c>
      <c r="K50" s="2611">
        <v>0</v>
      </c>
      <c r="L50" s="2611">
        <v>0</v>
      </c>
    </row>
    <row r="51" spans="1:12" ht="31.2" x14ac:dyDescent="0.3">
      <c r="A51" s="2613" t="s">
        <v>3480</v>
      </c>
      <c r="B51" s="2613" t="s">
        <v>3414</v>
      </c>
      <c r="C51" s="2613" t="s">
        <v>3479</v>
      </c>
      <c r="D51" s="2612">
        <v>539074</v>
      </c>
      <c r="E51" s="2612">
        <v>15472853</v>
      </c>
      <c r="F51" s="2613" t="s">
        <v>3403</v>
      </c>
      <c r="G51" s="2614"/>
      <c r="H51" s="2613" t="s">
        <v>3402</v>
      </c>
      <c r="I51" s="2613">
        <v>4</v>
      </c>
      <c r="J51" s="2612">
        <v>15472853</v>
      </c>
      <c r="K51" s="2611">
        <v>0</v>
      </c>
      <c r="L51" s="2611">
        <v>0</v>
      </c>
    </row>
    <row r="52" spans="1:12" ht="31.2" x14ac:dyDescent="0.3">
      <c r="A52" s="2613" t="s">
        <v>3480</v>
      </c>
      <c r="B52" s="2613" t="s">
        <v>3414</v>
      </c>
      <c r="C52" s="2613" t="s">
        <v>3479</v>
      </c>
      <c r="D52" s="2612">
        <v>867070</v>
      </c>
      <c r="E52" s="2612">
        <v>24887209</v>
      </c>
      <c r="F52" s="2613" t="s">
        <v>3403</v>
      </c>
      <c r="G52" s="2614"/>
      <c r="H52" s="2613" t="s">
        <v>3402</v>
      </c>
      <c r="I52" s="2613" t="s">
        <v>3401</v>
      </c>
      <c r="J52" s="2612">
        <v>24887209</v>
      </c>
      <c r="K52" s="2611">
        <v>0</v>
      </c>
      <c r="L52" s="2611">
        <v>0</v>
      </c>
    </row>
    <row r="53" spans="1:12" ht="31.2" x14ac:dyDescent="0.3">
      <c r="A53" s="2613" t="s">
        <v>3480</v>
      </c>
      <c r="B53" s="2613" t="s">
        <v>3414</v>
      </c>
      <c r="C53" s="2613" t="s">
        <v>3479</v>
      </c>
      <c r="D53" s="2612">
        <v>292737</v>
      </c>
      <c r="E53" s="2612">
        <v>8402338</v>
      </c>
      <c r="F53" s="2613" t="s">
        <v>3403</v>
      </c>
      <c r="G53" s="2614"/>
      <c r="H53" s="2613" t="s">
        <v>3402</v>
      </c>
      <c r="I53" s="2613" t="s">
        <v>3421</v>
      </c>
      <c r="J53" s="2612">
        <v>8402338</v>
      </c>
      <c r="K53" s="2611">
        <v>0</v>
      </c>
      <c r="L53" s="2611">
        <v>0</v>
      </c>
    </row>
    <row r="54" spans="1:12" ht="31.2" x14ac:dyDescent="0.3">
      <c r="A54" s="2613" t="s">
        <v>3480</v>
      </c>
      <c r="B54" s="2613" t="s">
        <v>3414</v>
      </c>
      <c r="C54" s="2613" t="s">
        <v>3479</v>
      </c>
      <c r="D54" s="2612">
        <v>43118</v>
      </c>
      <c r="E54" s="2612">
        <v>1237600</v>
      </c>
      <c r="F54" s="2613" t="s">
        <v>3403</v>
      </c>
      <c r="G54" s="2614"/>
      <c r="H54" s="2613" t="s">
        <v>3402</v>
      </c>
      <c r="I54" s="2613" t="s">
        <v>3420</v>
      </c>
      <c r="J54" s="2612">
        <v>1237600</v>
      </c>
      <c r="K54" s="2611">
        <v>0</v>
      </c>
      <c r="L54" s="2611">
        <v>0</v>
      </c>
    </row>
    <row r="55" spans="1:12" ht="46.8" x14ac:dyDescent="0.3">
      <c r="A55" s="2613" t="s">
        <v>3478</v>
      </c>
      <c r="B55" s="2613" t="s">
        <v>3414</v>
      </c>
      <c r="C55" s="2613" t="s">
        <v>3477</v>
      </c>
      <c r="D55" s="2612">
        <v>1047826</v>
      </c>
      <c r="E55" s="2612">
        <v>4375968</v>
      </c>
      <c r="F55" s="2613" t="s">
        <v>3403</v>
      </c>
      <c r="G55" s="2614"/>
      <c r="H55" s="2613" t="s">
        <v>3402</v>
      </c>
      <c r="I55" s="2613" t="s">
        <v>3401</v>
      </c>
      <c r="J55" s="2612">
        <v>4375968</v>
      </c>
      <c r="K55" s="2611">
        <v>0</v>
      </c>
      <c r="L55" s="2611">
        <v>0</v>
      </c>
    </row>
    <row r="56" spans="1:12" ht="46.8" x14ac:dyDescent="0.3">
      <c r="A56" s="2613" t="s">
        <v>3478</v>
      </c>
      <c r="B56" s="2613" t="s">
        <v>3414</v>
      </c>
      <c r="C56" s="2613" t="s">
        <v>3477</v>
      </c>
      <c r="D56" s="2612">
        <v>1576431</v>
      </c>
      <c r="E56" s="2612">
        <v>6583551</v>
      </c>
      <c r="F56" s="2613" t="s">
        <v>3403</v>
      </c>
      <c r="G56" s="2614"/>
      <c r="H56" s="2613" t="s">
        <v>3402</v>
      </c>
      <c r="I56" s="2613" t="s">
        <v>3420</v>
      </c>
      <c r="J56" s="2612">
        <v>6583551</v>
      </c>
      <c r="K56" s="2611">
        <v>0</v>
      </c>
      <c r="L56" s="2611">
        <v>0</v>
      </c>
    </row>
    <row r="57" spans="1:12" ht="31.2" x14ac:dyDescent="0.3">
      <c r="A57" s="2613" t="s">
        <v>3476</v>
      </c>
      <c r="B57" s="2613" t="s">
        <v>3414</v>
      </c>
      <c r="C57" s="2613">
        <v>384637104</v>
      </c>
      <c r="D57" s="2612">
        <v>24658</v>
      </c>
      <c r="E57" s="2612">
        <v>48165</v>
      </c>
      <c r="F57" s="2613" t="s">
        <v>3403</v>
      </c>
      <c r="G57" s="2614"/>
      <c r="H57" s="2613" t="s">
        <v>3402</v>
      </c>
      <c r="I57" s="2613" t="s">
        <v>3421</v>
      </c>
      <c r="J57" s="2611">
        <v>0</v>
      </c>
      <c r="K57" s="2611">
        <v>0</v>
      </c>
      <c r="L57" s="2612">
        <v>48165</v>
      </c>
    </row>
    <row r="58" spans="1:12" ht="31.2" x14ac:dyDescent="0.3">
      <c r="A58" s="2613" t="s">
        <v>3476</v>
      </c>
      <c r="B58" s="2613" t="s">
        <v>3414</v>
      </c>
      <c r="C58" s="2613">
        <v>384637104</v>
      </c>
      <c r="D58" s="2612">
        <v>30415</v>
      </c>
      <c r="E58" s="2612">
        <v>59410</v>
      </c>
      <c r="F58" s="2613" t="s">
        <v>3403</v>
      </c>
      <c r="G58" s="2614"/>
      <c r="H58" s="2613" t="s">
        <v>3402</v>
      </c>
      <c r="I58" s="2613" t="s">
        <v>3420</v>
      </c>
      <c r="J58" s="2611">
        <v>0</v>
      </c>
      <c r="K58" s="2611">
        <v>0</v>
      </c>
      <c r="L58" s="2612">
        <v>59410</v>
      </c>
    </row>
    <row r="59" spans="1:12" ht="46.8" x14ac:dyDescent="0.3">
      <c r="A59" s="2613" t="s">
        <v>3475</v>
      </c>
      <c r="B59" s="2613" t="s">
        <v>3414</v>
      </c>
      <c r="C59" s="2613">
        <v>459200101</v>
      </c>
      <c r="D59" s="2612">
        <v>14023</v>
      </c>
      <c r="E59" s="2612">
        <v>84480</v>
      </c>
      <c r="F59" s="2613" t="s">
        <v>3403</v>
      </c>
      <c r="G59" s="2614"/>
      <c r="H59" s="2613" t="s">
        <v>3402</v>
      </c>
      <c r="I59" s="2613">
        <v>4</v>
      </c>
      <c r="J59" s="2612">
        <v>84480</v>
      </c>
      <c r="K59" s="2611">
        <v>0</v>
      </c>
      <c r="L59" s="2611">
        <v>0</v>
      </c>
    </row>
    <row r="60" spans="1:12" ht="46.8" x14ac:dyDescent="0.3">
      <c r="A60" s="2613" t="s">
        <v>3475</v>
      </c>
      <c r="B60" s="2613" t="s">
        <v>3414</v>
      </c>
      <c r="C60" s="2613">
        <v>459200101</v>
      </c>
      <c r="D60" s="2612">
        <v>46145</v>
      </c>
      <c r="E60" s="2612">
        <v>278000</v>
      </c>
      <c r="F60" s="2613" t="s">
        <v>3403</v>
      </c>
      <c r="G60" s="2614"/>
      <c r="H60" s="2613" t="s">
        <v>3402</v>
      </c>
      <c r="I60" s="2613" t="s">
        <v>3428</v>
      </c>
      <c r="J60" s="2612">
        <v>278000</v>
      </c>
      <c r="K60" s="2611">
        <v>0</v>
      </c>
      <c r="L60" s="2611">
        <v>0</v>
      </c>
    </row>
    <row r="61" spans="1:12" ht="46.8" x14ac:dyDescent="0.3">
      <c r="A61" s="2613" t="s">
        <v>3475</v>
      </c>
      <c r="B61" s="2613" t="s">
        <v>3414</v>
      </c>
      <c r="C61" s="2613">
        <v>459200101</v>
      </c>
      <c r="D61" s="2612">
        <v>119727</v>
      </c>
      <c r="E61" s="2612">
        <v>721288</v>
      </c>
      <c r="F61" s="2613" t="s">
        <v>3403</v>
      </c>
      <c r="G61" s="2614"/>
      <c r="H61" s="2613" t="s">
        <v>3402</v>
      </c>
      <c r="I61" s="2613" t="s">
        <v>3425</v>
      </c>
      <c r="J61" s="2612">
        <v>721288</v>
      </c>
      <c r="K61" s="2611">
        <v>0</v>
      </c>
      <c r="L61" s="2611">
        <v>0</v>
      </c>
    </row>
    <row r="62" spans="1:12" ht="46.8" x14ac:dyDescent="0.3">
      <c r="A62" s="2613" t="s">
        <v>3475</v>
      </c>
      <c r="B62" s="2613" t="s">
        <v>3414</v>
      </c>
      <c r="C62" s="2613">
        <v>459200101</v>
      </c>
      <c r="D62" s="2612">
        <v>84456</v>
      </c>
      <c r="E62" s="2612">
        <v>508800</v>
      </c>
      <c r="F62" s="2613" t="s">
        <v>3403</v>
      </c>
      <c r="G62" s="2614"/>
      <c r="H62" s="2613" t="s">
        <v>3402</v>
      </c>
      <c r="I62" s="2613" t="s">
        <v>3401</v>
      </c>
      <c r="J62" s="2612">
        <v>508800</v>
      </c>
      <c r="K62" s="2611">
        <v>0</v>
      </c>
      <c r="L62" s="2611">
        <v>0</v>
      </c>
    </row>
    <row r="63" spans="1:12" ht="46.8" x14ac:dyDescent="0.3">
      <c r="A63" s="2613" t="s">
        <v>3475</v>
      </c>
      <c r="B63" s="2613" t="s">
        <v>3414</v>
      </c>
      <c r="C63" s="2613">
        <v>459200101</v>
      </c>
      <c r="D63" s="2612">
        <v>38692</v>
      </c>
      <c r="E63" s="2612">
        <v>233100</v>
      </c>
      <c r="F63" s="2613" t="s">
        <v>3403</v>
      </c>
      <c r="G63" s="2614"/>
      <c r="H63" s="2613" t="s">
        <v>3402</v>
      </c>
      <c r="I63" s="2613" t="s">
        <v>3421</v>
      </c>
      <c r="J63" s="2612">
        <v>233100</v>
      </c>
      <c r="K63" s="2611">
        <v>0</v>
      </c>
      <c r="L63" s="2611">
        <v>0</v>
      </c>
    </row>
    <row r="64" spans="1:12" ht="46.8" x14ac:dyDescent="0.3">
      <c r="A64" s="2613" t="s">
        <v>3475</v>
      </c>
      <c r="B64" s="2613" t="s">
        <v>3414</v>
      </c>
      <c r="C64" s="2613">
        <v>459200101</v>
      </c>
      <c r="D64" s="2612">
        <v>13147700</v>
      </c>
      <c r="E64" s="2612">
        <v>79207782</v>
      </c>
      <c r="F64" s="2613" t="s">
        <v>3403</v>
      </c>
      <c r="G64" s="2614"/>
      <c r="H64" s="2613" t="s">
        <v>3402</v>
      </c>
      <c r="I64" s="2613" t="s">
        <v>3420</v>
      </c>
      <c r="J64" s="2612">
        <v>79207782</v>
      </c>
      <c r="K64" s="2611">
        <v>0</v>
      </c>
      <c r="L64" s="2611">
        <v>0</v>
      </c>
    </row>
    <row r="65" spans="1:12" ht="46.8" x14ac:dyDescent="0.3">
      <c r="A65" s="2613" t="s">
        <v>3475</v>
      </c>
      <c r="B65" s="2613" t="s">
        <v>3414</v>
      </c>
      <c r="C65" s="2613">
        <v>459200101</v>
      </c>
      <c r="D65" s="2612">
        <v>33008</v>
      </c>
      <c r="E65" s="2612">
        <v>198853</v>
      </c>
      <c r="F65" s="2613" t="s">
        <v>3403</v>
      </c>
      <c r="G65" s="2614"/>
      <c r="H65" s="2613" t="s">
        <v>3402</v>
      </c>
      <c r="I65" s="2613" t="s">
        <v>3419</v>
      </c>
      <c r="J65" s="2612">
        <v>198853</v>
      </c>
      <c r="K65" s="2611">
        <v>0</v>
      </c>
      <c r="L65" s="2611">
        <v>0</v>
      </c>
    </row>
    <row r="66" spans="1:12" ht="31.2" x14ac:dyDescent="0.3">
      <c r="A66" s="2613" t="s">
        <v>3474</v>
      </c>
      <c r="B66" s="2613" t="s">
        <v>3414</v>
      </c>
      <c r="C66" s="2613">
        <v>478160104</v>
      </c>
      <c r="D66" s="2612">
        <v>37685</v>
      </c>
      <c r="E66" s="2612">
        <v>327100</v>
      </c>
      <c r="F66" s="2613" t="s">
        <v>3403</v>
      </c>
      <c r="G66" s="2614"/>
      <c r="H66" s="2613" t="s">
        <v>3402</v>
      </c>
      <c r="I66" s="2613">
        <v>4</v>
      </c>
      <c r="J66" s="2612">
        <v>327100</v>
      </c>
      <c r="K66" s="2611">
        <v>0</v>
      </c>
      <c r="L66" s="2611">
        <v>0</v>
      </c>
    </row>
    <row r="67" spans="1:12" ht="31.2" x14ac:dyDescent="0.3">
      <c r="A67" s="2613" t="s">
        <v>3471</v>
      </c>
      <c r="B67" s="2613" t="s">
        <v>3414</v>
      </c>
      <c r="C67" s="2613">
        <v>500754106</v>
      </c>
      <c r="D67" s="2612">
        <v>28434432</v>
      </c>
      <c r="E67" s="2612">
        <v>325634818</v>
      </c>
      <c r="F67" s="2613" t="s">
        <v>3403</v>
      </c>
      <c r="G67" s="2614"/>
      <c r="H67" s="2613" t="s">
        <v>3402</v>
      </c>
      <c r="I67" s="2613">
        <v>4</v>
      </c>
      <c r="J67" s="2612">
        <v>325634818</v>
      </c>
      <c r="K67" s="2611">
        <v>0</v>
      </c>
      <c r="L67" s="2611">
        <v>0</v>
      </c>
    </row>
    <row r="68" spans="1:12" ht="46.8" x14ac:dyDescent="0.3">
      <c r="A68" s="2613" t="s">
        <v>3469</v>
      </c>
      <c r="B68" s="2613" t="s">
        <v>3531</v>
      </c>
      <c r="C68" s="2613">
        <v>531229409</v>
      </c>
      <c r="D68" s="2612">
        <v>67832</v>
      </c>
      <c r="E68" s="2612">
        <v>1965000</v>
      </c>
      <c r="F68" s="2613" t="s">
        <v>3403</v>
      </c>
      <c r="G68" s="2614"/>
      <c r="H68" s="2613" t="s">
        <v>3402</v>
      </c>
      <c r="I68" s="2613">
        <v>4</v>
      </c>
      <c r="J68" s="2612">
        <v>1965000</v>
      </c>
      <c r="K68" s="2611">
        <v>0</v>
      </c>
      <c r="L68" s="2611">
        <v>0</v>
      </c>
    </row>
    <row r="69" spans="1:12" ht="46.8" x14ac:dyDescent="0.3">
      <c r="A69" s="2613" t="s">
        <v>3469</v>
      </c>
      <c r="B69" s="2613" t="s">
        <v>3531</v>
      </c>
      <c r="C69" s="2613">
        <v>531229409</v>
      </c>
      <c r="D69" s="2612">
        <v>243013</v>
      </c>
      <c r="E69" s="2612">
        <v>7039780</v>
      </c>
      <c r="F69" s="2613" t="s">
        <v>3403</v>
      </c>
      <c r="G69" s="2614"/>
      <c r="H69" s="2613" t="s">
        <v>3402</v>
      </c>
      <c r="I69" s="2613" t="s">
        <v>3401</v>
      </c>
      <c r="J69" s="2612">
        <v>7039780</v>
      </c>
      <c r="K69" s="2611">
        <v>0</v>
      </c>
      <c r="L69" s="2611">
        <v>0</v>
      </c>
    </row>
    <row r="70" spans="1:12" ht="46.8" x14ac:dyDescent="0.3">
      <c r="A70" s="2613" t="s">
        <v>3469</v>
      </c>
      <c r="B70" s="2613" t="s">
        <v>3531</v>
      </c>
      <c r="C70" s="2613">
        <v>531229409</v>
      </c>
      <c r="D70" s="2612">
        <v>32221</v>
      </c>
      <c r="E70" s="2612">
        <v>933391</v>
      </c>
      <c r="F70" s="2613" t="s">
        <v>3403</v>
      </c>
      <c r="G70" s="2614"/>
      <c r="H70" s="2613" t="s">
        <v>3402</v>
      </c>
      <c r="I70" s="2613" t="s">
        <v>3421</v>
      </c>
      <c r="J70" s="2612">
        <v>933391</v>
      </c>
      <c r="K70" s="2611">
        <v>0</v>
      </c>
      <c r="L70" s="2611">
        <v>0</v>
      </c>
    </row>
    <row r="71" spans="1:12" ht="46.8" x14ac:dyDescent="0.3">
      <c r="A71" s="2613" t="s">
        <v>3469</v>
      </c>
      <c r="B71" s="2613" t="s">
        <v>3531</v>
      </c>
      <c r="C71" s="2613">
        <v>531229409</v>
      </c>
      <c r="D71" s="2612">
        <v>4164</v>
      </c>
      <c r="E71" s="2612">
        <v>120629</v>
      </c>
      <c r="F71" s="2613" t="s">
        <v>3403</v>
      </c>
      <c r="G71" s="2614"/>
      <c r="H71" s="2613" t="s">
        <v>3402</v>
      </c>
      <c r="I71" s="2613" t="s">
        <v>3420</v>
      </c>
      <c r="J71" s="2612">
        <v>120629</v>
      </c>
      <c r="K71" s="2611">
        <v>0</v>
      </c>
      <c r="L71" s="2611">
        <v>0</v>
      </c>
    </row>
    <row r="72" spans="1:12" ht="46.8" x14ac:dyDescent="0.3">
      <c r="A72" s="2613" t="s">
        <v>3469</v>
      </c>
      <c r="B72" s="2613" t="s">
        <v>3530</v>
      </c>
      <c r="C72" s="2613">
        <v>531229607</v>
      </c>
      <c r="D72" s="2612">
        <v>133957</v>
      </c>
      <c r="E72" s="2612">
        <v>3949206</v>
      </c>
      <c r="F72" s="2613" t="s">
        <v>3403</v>
      </c>
      <c r="G72" s="2614"/>
      <c r="H72" s="2613" t="s">
        <v>3402</v>
      </c>
      <c r="I72" s="2613">
        <v>4</v>
      </c>
      <c r="J72" s="2612">
        <v>3949206</v>
      </c>
      <c r="K72" s="2611">
        <v>0</v>
      </c>
      <c r="L72" s="2611">
        <v>0</v>
      </c>
    </row>
    <row r="73" spans="1:12" ht="46.8" x14ac:dyDescent="0.3">
      <c r="A73" s="2613" t="s">
        <v>3469</v>
      </c>
      <c r="B73" s="2613" t="s">
        <v>3530</v>
      </c>
      <c r="C73" s="2613">
        <v>531229607</v>
      </c>
      <c r="D73" s="2612">
        <v>595897</v>
      </c>
      <c r="E73" s="2612">
        <v>17567720</v>
      </c>
      <c r="F73" s="2613" t="s">
        <v>3403</v>
      </c>
      <c r="G73" s="2614"/>
      <c r="H73" s="2613" t="s">
        <v>3402</v>
      </c>
      <c r="I73" s="2613" t="s">
        <v>3401</v>
      </c>
      <c r="J73" s="2612">
        <v>17567720</v>
      </c>
      <c r="K73" s="2611">
        <v>0</v>
      </c>
      <c r="L73" s="2611">
        <v>0</v>
      </c>
    </row>
    <row r="74" spans="1:12" ht="46.8" x14ac:dyDescent="0.3">
      <c r="A74" s="2613" t="s">
        <v>3469</v>
      </c>
      <c r="B74" s="2613" t="s">
        <v>3530</v>
      </c>
      <c r="C74" s="2613">
        <v>531229607</v>
      </c>
      <c r="D74" s="2612">
        <v>17254</v>
      </c>
      <c r="E74" s="2612">
        <v>508654</v>
      </c>
      <c r="F74" s="2613" t="s">
        <v>3403</v>
      </c>
      <c r="G74" s="2614"/>
      <c r="H74" s="2613" t="s">
        <v>3402</v>
      </c>
      <c r="I74" s="2613" t="s">
        <v>3421</v>
      </c>
      <c r="J74" s="2612">
        <v>508654</v>
      </c>
      <c r="K74" s="2611">
        <v>0</v>
      </c>
      <c r="L74" s="2611">
        <v>0</v>
      </c>
    </row>
    <row r="75" spans="1:12" ht="46.8" x14ac:dyDescent="0.3">
      <c r="A75" s="2613" t="s">
        <v>3469</v>
      </c>
      <c r="B75" s="2613" t="s">
        <v>3530</v>
      </c>
      <c r="C75" s="2613">
        <v>531229607</v>
      </c>
      <c r="D75" s="2612">
        <v>7141</v>
      </c>
      <c r="E75" s="2612">
        <v>210529</v>
      </c>
      <c r="F75" s="2613" t="s">
        <v>3403</v>
      </c>
      <c r="G75" s="2614"/>
      <c r="H75" s="2613" t="s">
        <v>3402</v>
      </c>
      <c r="I75" s="2613" t="s">
        <v>3420</v>
      </c>
      <c r="J75" s="2612">
        <v>210529</v>
      </c>
      <c r="K75" s="2611">
        <v>0</v>
      </c>
      <c r="L75" s="2611">
        <v>0</v>
      </c>
    </row>
    <row r="76" spans="1:12" ht="31.2" x14ac:dyDescent="0.3">
      <c r="A76" s="2613" t="s">
        <v>3467</v>
      </c>
      <c r="B76" s="2613" t="s">
        <v>3414</v>
      </c>
      <c r="C76" s="2613" t="s">
        <v>3466</v>
      </c>
      <c r="D76" s="2612">
        <v>85411</v>
      </c>
      <c r="E76" s="2612">
        <v>546000</v>
      </c>
      <c r="F76" s="2613" t="s">
        <v>3403</v>
      </c>
      <c r="G76" s="2614"/>
      <c r="H76" s="2613" t="s">
        <v>3402</v>
      </c>
      <c r="I76" s="2613" t="s">
        <v>3401</v>
      </c>
      <c r="J76" s="2612">
        <v>546000</v>
      </c>
      <c r="K76" s="2611">
        <v>0</v>
      </c>
      <c r="L76" s="2611">
        <v>0</v>
      </c>
    </row>
    <row r="77" spans="1:12" ht="31.2" x14ac:dyDescent="0.3">
      <c r="A77" s="2613" t="s">
        <v>3467</v>
      </c>
      <c r="B77" s="2613" t="s">
        <v>3414</v>
      </c>
      <c r="C77" s="2613" t="s">
        <v>3466</v>
      </c>
      <c r="D77" s="2612">
        <v>25779</v>
      </c>
      <c r="E77" s="2612">
        <v>164795</v>
      </c>
      <c r="F77" s="2613" t="s">
        <v>3403</v>
      </c>
      <c r="G77" s="2614"/>
      <c r="H77" s="2613" t="s">
        <v>3402</v>
      </c>
      <c r="I77" s="2613" t="s">
        <v>3421</v>
      </c>
      <c r="J77" s="2612">
        <v>164795</v>
      </c>
      <c r="K77" s="2611">
        <v>0</v>
      </c>
      <c r="L77" s="2611">
        <v>0</v>
      </c>
    </row>
    <row r="78" spans="1:12" ht="31.2" x14ac:dyDescent="0.3">
      <c r="A78" s="2613" t="s">
        <v>3467</v>
      </c>
      <c r="B78" s="2613" t="s">
        <v>3414</v>
      </c>
      <c r="C78" s="2613" t="s">
        <v>3466</v>
      </c>
      <c r="D78" s="2612">
        <v>730723</v>
      </c>
      <c r="E78" s="2612">
        <v>4671245</v>
      </c>
      <c r="F78" s="2613" t="s">
        <v>3403</v>
      </c>
      <c r="G78" s="2614"/>
      <c r="H78" s="2613" t="s">
        <v>3402</v>
      </c>
      <c r="I78" s="2613" t="s">
        <v>3420</v>
      </c>
      <c r="J78" s="2612">
        <v>4671245</v>
      </c>
      <c r="K78" s="2611">
        <v>0</v>
      </c>
      <c r="L78" s="2611">
        <v>0</v>
      </c>
    </row>
    <row r="79" spans="1:12" ht="31.2" x14ac:dyDescent="0.3">
      <c r="A79" s="2613" t="s">
        <v>3465</v>
      </c>
      <c r="B79" s="2613" t="s">
        <v>3436</v>
      </c>
      <c r="C79" s="2613" t="s">
        <v>3464</v>
      </c>
      <c r="D79" s="2612">
        <v>509514</v>
      </c>
      <c r="E79" s="2612">
        <v>4934756</v>
      </c>
      <c r="F79" s="2613" t="s">
        <v>3403</v>
      </c>
      <c r="G79" s="2614"/>
      <c r="H79" s="2613" t="s">
        <v>3402</v>
      </c>
      <c r="I79" s="2613" t="s">
        <v>3401</v>
      </c>
      <c r="J79" s="2612">
        <v>4934756</v>
      </c>
      <c r="K79" s="2611">
        <v>0</v>
      </c>
      <c r="L79" s="2611">
        <v>0</v>
      </c>
    </row>
    <row r="80" spans="1:12" ht="31.2" x14ac:dyDescent="0.3">
      <c r="A80" s="2613" t="s">
        <v>3461</v>
      </c>
      <c r="B80" s="2613" t="s">
        <v>3436</v>
      </c>
      <c r="C80" s="2613">
        <v>609207105</v>
      </c>
      <c r="D80" s="2612">
        <v>25623</v>
      </c>
      <c r="E80" s="2612">
        <v>578000</v>
      </c>
      <c r="F80" s="2613" t="s">
        <v>3403</v>
      </c>
      <c r="G80" s="2614"/>
      <c r="H80" s="2613" t="s">
        <v>3402</v>
      </c>
      <c r="I80" s="2613">
        <v>4</v>
      </c>
      <c r="J80" s="2612">
        <v>578000</v>
      </c>
      <c r="K80" s="2611">
        <v>0</v>
      </c>
      <c r="L80" s="2611">
        <v>0</v>
      </c>
    </row>
    <row r="81" spans="1:12" ht="31.2" x14ac:dyDescent="0.3">
      <c r="A81" s="2613" t="s">
        <v>3529</v>
      </c>
      <c r="B81" s="2613" t="s">
        <v>3414</v>
      </c>
      <c r="C81" s="2613" t="s">
        <v>3528</v>
      </c>
      <c r="D81" s="2612">
        <v>345615</v>
      </c>
      <c r="E81" s="2612">
        <v>3285000</v>
      </c>
      <c r="F81" s="2613" t="s">
        <v>3403</v>
      </c>
      <c r="G81" s="2614"/>
      <c r="H81" s="2613" t="s">
        <v>3402</v>
      </c>
      <c r="I81" s="2613">
        <v>4</v>
      </c>
      <c r="J81" s="2612">
        <v>3285000</v>
      </c>
      <c r="K81" s="2611">
        <v>0</v>
      </c>
      <c r="L81" s="2611">
        <v>0</v>
      </c>
    </row>
    <row r="82" spans="1:12" ht="31.2" x14ac:dyDescent="0.3">
      <c r="A82" s="2613" t="s">
        <v>3529</v>
      </c>
      <c r="B82" s="2613" t="s">
        <v>3414</v>
      </c>
      <c r="C82" s="2613" t="s">
        <v>3528</v>
      </c>
      <c r="D82" s="2612">
        <v>500461</v>
      </c>
      <c r="E82" s="2612">
        <v>4756784</v>
      </c>
      <c r="F82" s="2613" t="s">
        <v>3403</v>
      </c>
      <c r="G82" s="2614"/>
      <c r="H82" s="2613" t="s">
        <v>3402</v>
      </c>
      <c r="I82" s="2613" t="s">
        <v>3420</v>
      </c>
      <c r="J82" s="2612">
        <v>4756784</v>
      </c>
      <c r="K82" s="2611">
        <v>0</v>
      </c>
      <c r="L82" s="2611">
        <v>0</v>
      </c>
    </row>
    <row r="83" spans="1:12" ht="31.2" x14ac:dyDescent="0.3">
      <c r="A83" s="2613" t="s">
        <v>3460</v>
      </c>
      <c r="B83" s="2613" t="s">
        <v>3414</v>
      </c>
      <c r="C83" s="2613">
        <v>615369105</v>
      </c>
      <c r="D83" s="2612">
        <v>1128782</v>
      </c>
      <c r="E83" s="2612">
        <v>11973928</v>
      </c>
      <c r="F83" s="2613" t="s">
        <v>3403</v>
      </c>
      <c r="G83" s="2614"/>
      <c r="H83" s="2613" t="s">
        <v>3402</v>
      </c>
      <c r="I83" s="2613" t="s">
        <v>3401</v>
      </c>
      <c r="J83" s="2612">
        <v>11973928</v>
      </c>
      <c r="K83" s="2611">
        <v>0</v>
      </c>
      <c r="L83" s="2611">
        <v>0</v>
      </c>
    </row>
    <row r="84" spans="1:12" ht="31.2" x14ac:dyDescent="0.3">
      <c r="A84" s="2613" t="s">
        <v>3460</v>
      </c>
      <c r="B84" s="2613" t="s">
        <v>3414</v>
      </c>
      <c r="C84" s="2613">
        <v>615369105</v>
      </c>
      <c r="D84" s="2612">
        <v>1196838</v>
      </c>
      <c r="E84" s="2612">
        <v>12695850</v>
      </c>
      <c r="F84" s="2613" t="s">
        <v>3403</v>
      </c>
      <c r="G84" s="2614"/>
      <c r="H84" s="2613" t="s">
        <v>3402</v>
      </c>
      <c r="I84" s="2613" t="s">
        <v>3420</v>
      </c>
      <c r="J84" s="2612">
        <v>12695850</v>
      </c>
      <c r="K84" s="2611">
        <v>0</v>
      </c>
      <c r="L84" s="2611">
        <v>0</v>
      </c>
    </row>
    <row r="85" spans="1:12" ht="18" x14ac:dyDescent="0.3">
      <c r="A85" s="2613" t="s">
        <v>3457</v>
      </c>
      <c r="B85" s="2613" t="s">
        <v>3414</v>
      </c>
      <c r="C85" s="2613">
        <v>718546104</v>
      </c>
      <c r="D85" s="2612">
        <v>527274</v>
      </c>
      <c r="E85" s="2612">
        <v>6102000</v>
      </c>
      <c r="F85" s="2613" t="s">
        <v>3403</v>
      </c>
      <c r="G85" s="2614"/>
      <c r="H85" s="2613" t="s">
        <v>3402</v>
      </c>
      <c r="I85" s="2613">
        <v>4</v>
      </c>
      <c r="J85" s="2612">
        <v>6102000</v>
      </c>
      <c r="K85" s="2611">
        <v>0</v>
      </c>
      <c r="L85" s="2611">
        <v>0</v>
      </c>
    </row>
    <row r="86" spans="1:12" ht="18" x14ac:dyDescent="0.3">
      <c r="A86" s="2613" t="s">
        <v>3457</v>
      </c>
      <c r="B86" s="2613" t="s">
        <v>3414</v>
      </c>
      <c r="C86" s="2613">
        <v>718546104</v>
      </c>
      <c r="D86" s="2612">
        <v>67573</v>
      </c>
      <c r="E86" s="2612">
        <v>782000</v>
      </c>
      <c r="F86" s="2613" t="s">
        <v>3403</v>
      </c>
      <c r="G86" s="2614"/>
      <c r="H86" s="2613" t="s">
        <v>3402</v>
      </c>
      <c r="I86" s="2613" t="s">
        <v>3428</v>
      </c>
      <c r="J86" s="2612">
        <v>782000</v>
      </c>
      <c r="K86" s="2611">
        <v>0</v>
      </c>
      <c r="L86" s="2611">
        <v>0</v>
      </c>
    </row>
    <row r="87" spans="1:12" ht="18" x14ac:dyDescent="0.3">
      <c r="A87" s="2613" t="s">
        <v>3457</v>
      </c>
      <c r="B87" s="2613" t="s">
        <v>3414</v>
      </c>
      <c r="C87" s="2613">
        <v>718546104</v>
      </c>
      <c r="D87" s="2612">
        <v>450455</v>
      </c>
      <c r="E87" s="2612">
        <v>5213000</v>
      </c>
      <c r="F87" s="2613" t="s">
        <v>3403</v>
      </c>
      <c r="G87" s="2614"/>
      <c r="H87" s="2613" t="s">
        <v>3402</v>
      </c>
      <c r="I87" s="2613" t="s">
        <v>3425</v>
      </c>
      <c r="J87" s="2612">
        <v>5213000</v>
      </c>
      <c r="K87" s="2611">
        <v>0</v>
      </c>
      <c r="L87" s="2611">
        <v>0</v>
      </c>
    </row>
    <row r="88" spans="1:12" ht="18" x14ac:dyDescent="0.3">
      <c r="A88" s="2613" t="s">
        <v>3457</v>
      </c>
      <c r="B88" s="2613" t="s">
        <v>3414</v>
      </c>
      <c r="C88" s="2613">
        <v>718546104</v>
      </c>
      <c r="D88" s="2612">
        <v>100495</v>
      </c>
      <c r="E88" s="2612">
        <v>1163000</v>
      </c>
      <c r="F88" s="2613" t="s">
        <v>3403</v>
      </c>
      <c r="G88" s="2614"/>
      <c r="H88" s="2613" t="s">
        <v>3402</v>
      </c>
      <c r="I88" s="2613" t="s">
        <v>3421</v>
      </c>
      <c r="J88" s="2612">
        <v>1163000</v>
      </c>
      <c r="K88" s="2611">
        <v>0</v>
      </c>
      <c r="L88" s="2611">
        <v>0</v>
      </c>
    </row>
    <row r="89" spans="1:12" ht="18" x14ac:dyDescent="0.3">
      <c r="A89" s="2613" t="s">
        <v>3457</v>
      </c>
      <c r="B89" s="2613" t="s">
        <v>3414</v>
      </c>
      <c r="C89" s="2613">
        <v>718546104</v>
      </c>
      <c r="D89" s="2612">
        <v>5717222</v>
      </c>
      <c r="E89" s="2612">
        <v>66163892</v>
      </c>
      <c r="F89" s="2613" t="s">
        <v>3403</v>
      </c>
      <c r="G89" s="2614"/>
      <c r="H89" s="2613" t="s">
        <v>3402</v>
      </c>
      <c r="I89" s="2613" t="s">
        <v>3420</v>
      </c>
      <c r="J89" s="2612">
        <v>66163892</v>
      </c>
      <c r="K89" s="2611">
        <v>0</v>
      </c>
      <c r="L89" s="2611">
        <v>0</v>
      </c>
    </row>
    <row r="90" spans="1:12" ht="18" x14ac:dyDescent="0.3">
      <c r="A90" s="2613" t="s">
        <v>3457</v>
      </c>
      <c r="B90" s="2613" t="s">
        <v>3414</v>
      </c>
      <c r="C90" s="2613">
        <v>718546104</v>
      </c>
      <c r="D90" s="2612">
        <v>109395</v>
      </c>
      <c r="E90" s="2612">
        <v>1266000</v>
      </c>
      <c r="F90" s="2613" t="s">
        <v>3403</v>
      </c>
      <c r="G90" s="2614"/>
      <c r="H90" s="2613" t="s">
        <v>3402</v>
      </c>
      <c r="I90" s="2613" t="s">
        <v>3419</v>
      </c>
      <c r="J90" s="2612">
        <v>1266000</v>
      </c>
      <c r="K90" s="2611">
        <v>0</v>
      </c>
      <c r="L90" s="2611">
        <v>0</v>
      </c>
    </row>
    <row r="91" spans="1:12" ht="31.2" x14ac:dyDescent="0.3">
      <c r="A91" s="2613" t="s">
        <v>3455</v>
      </c>
      <c r="B91" s="2613" t="s">
        <v>3414</v>
      </c>
      <c r="C91" s="2613">
        <v>742718109</v>
      </c>
      <c r="D91" s="2612">
        <v>26519</v>
      </c>
      <c r="E91" s="2612">
        <v>315400</v>
      </c>
      <c r="F91" s="2613" t="s">
        <v>3403</v>
      </c>
      <c r="G91" s="2614"/>
      <c r="H91" s="2613" t="s">
        <v>3402</v>
      </c>
      <c r="I91" s="2613">
        <v>4</v>
      </c>
      <c r="J91" s="2612">
        <v>315400</v>
      </c>
      <c r="K91" s="2611">
        <v>0</v>
      </c>
      <c r="L91" s="2611">
        <v>0</v>
      </c>
    </row>
    <row r="92" spans="1:12" ht="46.8" x14ac:dyDescent="0.3">
      <c r="A92" s="2613" t="s">
        <v>3454</v>
      </c>
      <c r="B92" s="2613" t="s">
        <v>3414</v>
      </c>
      <c r="C92" s="2613" t="s">
        <v>3453</v>
      </c>
      <c r="D92" s="2612">
        <v>402166</v>
      </c>
      <c r="E92" s="2612">
        <v>8438225</v>
      </c>
      <c r="F92" s="2613" t="s">
        <v>3403</v>
      </c>
      <c r="G92" s="2614"/>
      <c r="H92" s="2613" t="s">
        <v>3402</v>
      </c>
      <c r="I92" s="2613" t="s">
        <v>3420</v>
      </c>
      <c r="J92" s="2612">
        <v>8438225</v>
      </c>
      <c r="K92" s="2611">
        <v>0</v>
      </c>
      <c r="L92" s="2611">
        <v>0</v>
      </c>
    </row>
    <row r="93" spans="1:12" ht="31.2" x14ac:dyDescent="0.3">
      <c r="A93" s="2613" t="s">
        <v>3452</v>
      </c>
      <c r="B93" s="2613" t="s">
        <v>3451</v>
      </c>
      <c r="C93" s="2613" t="s">
        <v>3450</v>
      </c>
      <c r="D93" s="2612">
        <v>17041</v>
      </c>
      <c r="E93" s="2612">
        <v>421400</v>
      </c>
      <c r="F93" s="2613" t="s">
        <v>3403</v>
      </c>
      <c r="G93" s="2614"/>
      <c r="H93" s="2613" t="s">
        <v>3402</v>
      </c>
      <c r="I93" s="2613" t="s">
        <v>3401</v>
      </c>
      <c r="J93" s="2612">
        <v>421400</v>
      </c>
      <c r="K93" s="2611">
        <v>0</v>
      </c>
      <c r="L93" s="2611">
        <v>0</v>
      </c>
    </row>
    <row r="94" spans="1:12" ht="31.2" x14ac:dyDescent="0.3">
      <c r="A94" s="2613" t="s">
        <v>3452</v>
      </c>
      <c r="B94" s="2613" t="s">
        <v>3451</v>
      </c>
      <c r="C94" s="2613" t="s">
        <v>3450</v>
      </c>
      <c r="D94" s="2612">
        <v>20614</v>
      </c>
      <c r="E94" s="2612">
        <v>509742</v>
      </c>
      <c r="F94" s="2613" t="s">
        <v>3403</v>
      </c>
      <c r="G94" s="2614"/>
      <c r="H94" s="2613" t="s">
        <v>3402</v>
      </c>
      <c r="I94" s="2613" t="s">
        <v>3422</v>
      </c>
      <c r="J94" s="2612">
        <v>509742</v>
      </c>
      <c r="K94" s="2611">
        <v>0</v>
      </c>
      <c r="L94" s="2611">
        <v>0</v>
      </c>
    </row>
    <row r="95" spans="1:12" ht="31.2" x14ac:dyDescent="0.3">
      <c r="A95" s="2613" t="s">
        <v>3452</v>
      </c>
      <c r="B95" s="2613" t="s">
        <v>3451</v>
      </c>
      <c r="C95" s="2613" t="s">
        <v>3450</v>
      </c>
      <c r="D95" s="2612">
        <v>6846</v>
      </c>
      <c r="E95" s="2612">
        <v>169300</v>
      </c>
      <c r="F95" s="2613" t="s">
        <v>3403</v>
      </c>
      <c r="G95" s="2614"/>
      <c r="H95" s="2613" t="s">
        <v>3402</v>
      </c>
      <c r="I95" s="2613" t="s">
        <v>3421</v>
      </c>
      <c r="J95" s="2612">
        <v>169300</v>
      </c>
      <c r="K95" s="2611">
        <v>0</v>
      </c>
      <c r="L95" s="2611">
        <v>0</v>
      </c>
    </row>
    <row r="96" spans="1:12" ht="31.2" x14ac:dyDescent="0.3">
      <c r="A96" s="2613" t="s">
        <v>3452</v>
      </c>
      <c r="B96" s="2613" t="s">
        <v>3451</v>
      </c>
      <c r="C96" s="2613" t="s">
        <v>3450</v>
      </c>
      <c r="D96" s="2612">
        <v>113452</v>
      </c>
      <c r="E96" s="2612">
        <v>2805433</v>
      </c>
      <c r="F96" s="2613" t="s">
        <v>3403</v>
      </c>
      <c r="G96" s="2614"/>
      <c r="H96" s="2613" t="s">
        <v>3402</v>
      </c>
      <c r="I96" s="2613" t="s">
        <v>3420</v>
      </c>
      <c r="J96" s="2612">
        <v>2805433</v>
      </c>
      <c r="K96" s="2611">
        <v>0</v>
      </c>
      <c r="L96" s="2611">
        <v>0</v>
      </c>
    </row>
    <row r="97" spans="1:12" ht="31.2" x14ac:dyDescent="0.3">
      <c r="A97" s="2613" t="s">
        <v>3527</v>
      </c>
      <c r="B97" s="2613" t="s">
        <v>3414</v>
      </c>
      <c r="C97" s="2613" t="s">
        <v>3526</v>
      </c>
      <c r="D97" s="2612">
        <v>544110</v>
      </c>
      <c r="E97" s="2612">
        <v>122272000</v>
      </c>
      <c r="F97" s="2613" t="s">
        <v>3403</v>
      </c>
      <c r="G97" s="2614"/>
      <c r="H97" s="2613" t="s">
        <v>3402</v>
      </c>
      <c r="I97" s="2613">
        <v>4</v>
      </c>
      <c r="J97" s="2612">
        <v>122272000</v>
      </c>
      <c r="K97" s="2611">
        <v>0</v>
      </c>
      <c r="L97" s="2611">
        <v>0</v>
      </c>
    </row>
    <row r="98" spans="1:12" ht="31.2" x14ac:dyDescent="0.3">
      <c r="A98" s="2613" t="s">
        <v>3527</v>
      </c>
      <c r="B98" s="2613" t="s">
        <v>3414</v>
      </c>
      <c r="C98" s="2613" t="s">
        <v>3526</v>
      </c>
      <c r="D98" s="2612">
        <v>197437</v>
      </c>
      <c r="E98" s="2612">
        <v>44367941</v>
      </c>
      <c r="F98" s="2613" t="s">
        <v>3403</v>
      </c>
      <c r="G98" s="2614"/>
      <c r="H98" s="2613" t="s">
        <v>3402</v>
      </c>
      <c r="I98" s="2613" t="s">
        <v>3401</v>
      </c>
      <c r="J98" s="2612">
        <v>44367941</v>
      </c>
      <c r="K98" s="2611">
        <v>0</v>
      </c>
      <c r="L98" s="2611">
        <v>0</v>
      </c>
    </row>
    <row r="99" spans="1:12" ht="31.2" x14ac:dyDescent="0.3">
      <c r="A99" s="2613" t="s">
        <v>3525</v>
      </c>
      <c r="B99" s="2613" t="s">
        <v>3414</v>
      </c>
      <c r="C99" s="2613">
        <v>844741108</v>
      </c>
      <c r="D99" s="2611">
        <v>435</v>
      </c>
      <c r="E99" s="2612">
        <v>8722</v>
      </c>
      <c r="F99" s="2613" t="s">
        <v>3403</v>
      </c>
      <c r="G99" s="2614"/>
      <c r="H99" s="2613" t="s">
        <v>3402</v>
      </c>
      <c r="I99" s="2613" t="s">
        <v>3422</v>
      </c>
      <c r="J99" s="2612">
        <v>8722</v>
      </c>
      <c r="K99" s="2611">
        <v>0</v>
      </c>
      <c r="L99" s="2611">
        <v>0</v>
      </c>
    </row>
    <row r="100" spans="1:12" ht="31.2" x14ac:dyDescent="0.3">
      <c r="A100" s="2613" t="s">
        <v>3525</v>
      </c>
      <c r="B100" s="2613" t="s">
        <v>3414</v>
      </c>
      <c r="C100" s="2613">
        <v>844741108</v>
      </c>
      <c r="D100" s="2612">
        <v>2152841</v>
      </c>
      <c r="E100" s="2612">
        <v>43195053</v>
      </c>
      <c r="F100" s="2613" t="s">
        <v>3403</v>
      </c>
      <c r="G100" s="2614"/>
      <c r="H100" s="2613" t="s">
        <v>3402</v>
      </c>
      <c r="I100" s="2613" t="s">
        <v>3420</v>
      </c>
      <c r="J100" s="2612">
        <v>43195053</v>
      </c>
      <c r="K100" s="2611">
        <v>0</v>
      </c>
      <c r="L100" s="2611">
        <v>0</v>
      </c>
    </row>
    <row r="101" spans="1:12" ht="31.2" x14ac:dyDescent="0.3">
      <c r="A101" s="2613" t="s">
        <v>3448</v>
      </c>
      <c r="B101" s="2613" t="s">
        <v>3414</v>
      </c>
      <c r="C101" s="2613">
        <v>891027104</v>
      </c>
      <c r="D101" s="2612">
        <v>12870</v>
      </c>
      <c r="E101" s="2612">
        <v>174489</v>
      </c>
      <c r="F101" s="2613" t="s">
        <v>3403</v>
      </c>
      <c r="G101" s="2614"/>
      <c r="H101" s="2613" t="s">
        <v>3402</v>
      </c>
      <c r="I101" s="2613" t="s">
        <v>3427</v>
      </c>
      <c r="J101" s="2612">
        <v>174489</v>
      </c>
      <c r="K101" s="2611">
        <v>0</v>
      </c>
      <c r="L101" s="2611">
        <v>0</v>
      </c>
    </row>
    <row r="102" spans="1:12" ht="31.2" x14ac:dyDescent="0.3">
      <c r="A102" s="2613" t="s">
        <v>3448</v>
      </c>
      <c r="B102" s="2613" t="s">
        <v>3414</v>
      </c>
      <c r="C102" s="2613">
        <v>891027104</v>
      </c>
      <c r="D102" s="2612">
        <v>74637</v>
      </c>
      <c r="E102" s="2612">
        <v>1011888</v>
      </c>
      <c r="F102" s="2613" t="s">
        <v>3403</v>
      </c>
      <c r="G102" s="2614"/>
      <c r="H102" s="2613" t="s">
        <v>3402</v>
      </c>
      <c r="I102" s="2613" t="s">
        <v>3425</v>
      </c>
      <c r="J102" s="2612">
        <v>1011888</v>
      </c>
      <c r="K102" s="2611">
        <v>0</v>
      </c>
      <c r="L102" s="2611">
        <v>0</v>
      </c>
    </row>
    <row r="103" spans="1:12" ht="31.2" x14ac:dyDescent="0.3">
      <c r="A103" s="2613" t="s">
        <v>3448</v>
      </c>
      <c r="B103" s="2613" t="s">
        <v>3414</v>
      </c>
      <c r="C103" s="2613">
        <v>891027104</v>
      </c>
      <c r="D103" s="2612">
        <v>106165</v>
      </c>
      <c r="E103" s="2612">
        <v>1439325</v>
      </c>
      <c r="F103" s="2613" t="s">
        <v>3403</v>
      </c>
      <c r="G103" s="2614"/>
      <c r="H103" s="2613" t="s">
        <v>3402</v>
      </c>
      <c r="I103" s="2613" t="s">
        <v>3421</v>
      </c>
      <c r="J103" s="2612">
        <v>1439325</v>
      </c>
      <c r="K103" s="2611">
        <v>0</v>
      </c>
      <c r="L103" s="2611">
        <v>0</v>
      </c>
    </row>
    <row r="104" spans="1:12" ht="31.2" x14ac:dyDescent="0.3">
      <c r="A104" s="2613" t="s">
        <v>3448</v>
      </c>
      <c r="B104" s="2613" t="s">
        <v>3414</v>
      </c>
      <c r="C104" s="2613">
        <v>891027104</v>
      </c>
      <c r="D104" s="2612">
        <v>274979</v>
      </c>
      <c r="E104" s="2612">
        <v>3728025</v>
      </c>
      <c r="F104" s="2613" t="s">
        <v>3403</v>
      </c>
      <c r="G104" s="2614"/>
      <c r="H104" s="2613" t="s">
        <v>3402</v>
      </c>
      <c r="I104" s="2613" t="s">
        <v>3420</v>
      </c>
      <c r="J104" s="2612">
        <v>3728025</v>
      </c>
      <c r="K104" s="2611">
        <v>0</v>
      </c>
      <c r="L104" s="2611">
        <v>0</v>
      </c>
    </row>
    <row r="105" spans="1:12" ht="46.8" x14ac:dyDescent="0.3">
      <c r="A105" s="2613" t="s">
        <v>3447</v>
      </c>
      <c r="B105" s="2613" t="s">
        <v>3436</v>
      </c>
      <c r="C105" s="2613" t="s">
        <v>3446</v>
      </c>
      <c r="D105" s="2612">
        <v>129906</v>
      </c>
      <c r="E105" s="2612">
        <v>4632867</v>
      </c>
      <c r="F105" s="2613" t="s">
        <v>3403</v>
      </c>
      <c r="G105" s="2614"/>
      <c r="H105" s="2613" t="s">
        <v>3402</v>
      </c>
      <c r="I105" s="2613">
        <v>4</v>
      </c>
      <c r="J105" s="2612">
        <v>4632867</v>
      </c>
      <c r="K105" s="2611">
        <v>0</v>
      </c>
      <c r="L105" s="2611">
        <v>0</v>
      </c>
    </row>
    <row r="106" spans="1:12" ht="46.8" x14ac:dyDescent="0.3">
      <c r="A106" s="2613" t="s">
        <v>3447</v>
      </c>
      <c r="B106" s="2613" t="s">
        <v>3436</v>
      </c>
      <c r="C106" s="2613" t="s">
        <v>3446</v>
      </c>
      <c r="D106" s="2612">
        <v>121105</v>
      </c>
      <c r="E106" s="2612">
        <v>4319002</v>
      </c>
      <c r="F106" s="2613" t="s">
        <v>3403</v>
      </c>
      <c r="G106" s="2614"/>
      <c r="H106" s="2613" t="s">
        <v>3402</v>
      </c>
      <c r="I106" s="2613" t="s">
        <v>3401</v>
      </c>
      <c r="J106" s="2612">
        <v>4319002</v>
      </c>
      <c r="K106" s="2611">
        <v>0</v>
      </c>
      <c r="L106" s="2611">
        <v>0</v>
      </c>
    </row>
    <row r="107" spans="1:12" ht="31.2" x14ac:dyDescent="0.3">
      <c r="A107" s="2613" t="s">
        <v>3445</v>
      </c>
      <c r="B107" s="2613" t="s">
        <v>3443</v>
      </c>
      <c r="C107" s="2613">
        <v>902973304</v>
      </c>
      <c r="D107" s="2612">
        <v>30322</v>
      </c>
      <c r="E107" s="2612">
        <v>590275</v>
      </c>
      <c r="F107" s="2613" t="s">
        <v>3403</v>
      </c>
      <c r="G107" s="2614"/>
      <c r="H107" s="2613" t="s">
        <v>3402</v>
      </c>
      <c r="I107" s="2613">
        <v>4</v>
      </c>
      <c r="J107" s="2612">
        <v>590275</v>
      </c>
      <c r="K107" s="2611">
        <v>0</v>
      </c>
      <c r="L107" s="2611">
        <v>0</v>
      </c>
    </row>
    <row r="108" spans="1:12" ht="31.2" x14ac:dyDescent="0.3">
      <c r="A108" s="2613" t="s">
        <v>3445</v>
      </c>
      <c r="B108" s="2613" t="s">
        <v>3443</v>
      </c>
      <c r="C108" s="2613">
        <v>902973304</v>
      </c>
      <c r="D108" s="2612">
        <v>157706</v>
      </c>
      <c r="E108" s="2612">
        <v>3070000</v>
      </c>
      <c r="F108" s="2613" t="s">
        <v>3403</v>
      </c>
      <c r="G108" s="2614"/>
      <c r="H108" s="2613" t="s">
        <v>3402</v>
      </c>
      <c r="I108" s="2613" t="s">
        <v>3428</v>
      </c>
      <c r="J108" s="2612">
        <v>3070000</v>
      </c>
      <c r="K108" s="2611">
        <v>0</v>
      </c>
      <c r="L108" s="2611">
        <v>0</v>
      </c>
    </row>
    <row r="109" spans="1:12" ht="31.2" x14ac:dyDescent="0.3">
      <c r="A109" s="2613" t="s">
        <v>3445</v>
      </c>
      <c r="B109" s="2613" t="s">
        <v>3443</v>
      </c>
      <c r="C109" s="2613">
        <v>902973304</v>
      </c>
      <c r="D109" s="2612">
        <v>1224214</v>
      </c>
      <c r="E109" s="2612">
        <v>23831300</v>
      </c>
      <c r="F109" s="2613" t="s">
        <v>3403</v>
      </c>
      <c r="G109" s="2614"/>
      <c r="H109" s="2613" t="s">
        <v>3402</v>
      </c>
      <c r="I109" s="2613" t="s">
        <v>3425</v>
      </c>
      <c r="J109" s="2612">
        <v>23831300</v>
      </c>
      <c r="K109" s="2611">
        <v>0</v>
      </c>
      <c r="L109" s="2611">
        <v>0</v>
      </c>
    </row>
    <row r="110" spans="1:12" ht="31.2" x14ac:dyDescent="0.3">
      <c r="A110" s="2613" t="s">
        <v>3445</v>
      </c>
      <c r="B110" s="2613" t="s">
        <v>3443</v>
      </c>
      <c r="C110" s="2613">
        <v>902973304</v>
      </c>
      <c r="D110" s="2612">
        <v>60360</v>
      </c>
      <c r="E110" s="2612">
        <v>1175000</v>
      </c>
      <c r="F110" s="2613" t="s">
        <v>3403</v>
      </c>
      <c r="G110" s="2614"/>
      <c r="H110" s="2613" t="s">
        <v>3402</v>
      </c>
      <c r="I110" s="2613" t="s">
        <v>3424</v>
      </c>
      <c r="J110" s="2612">
        <v>1175000</v>
      </c>
      <c r="K110" s="2611">
        <v>0</v>
      </c>
      <c r="L110" s="2611">
        <v>0</v>
      </c>
    </row>
    <row r="111" spans="1:12" ht="31.2" x14ac:dyDescent="0.3">
      <c r="A111" s="2613" t="s">
        <v>3445</v>
      </c>
      <c r="B111" s="2613" t="s">
        <v>3443</v>
      </c>
      <c r="C111" s="2613">
        <v>902973304</v>
      </c>
      <c r="D111" s="2612">
        <v>651336</v>
      </c>
      <c r="E111" s="2612">
        <v>12679300</v>
      </c>
      <c r="F111" s="2613" t="s">
        <v>3403</v>
      </c>
      <c r="G111" s="2614"/>
      <c r="H111" s="2613" t="s">
        <v>3402</v>
      </c>
      <c r="I111" s="2613" t="s">
        <v>3401</v>
      </c>
      <c r="J111" s="2612">
        <v>12679300</v>
      </c>
      <c r="K111" s="2611">
        <v>0</v>
      </c>
      <c r="L111" s="2611">
        <v>0</v>
      </c>
    </row>
    <row r="112" spans="1:12" ht="31.2" x14ac:dyDescent="0.3">
      <c r="A112" s="2613" t="s">
        <v>3445</v>
      </c>
      <c r="B112" s="2613" t="s">
        <v>3443</v>
      </c>
      <c r="C112" s="2613">
        <v>902973304</v>
      </c>
      <c r="D112" s="2612">
        <v>216001</v>
      </c>
      <c r="E112" s="2612">
        <v>4204800</v>
      </c>
      <c r="F112" s="2613" t="s">
        <v>3403</v>
      </c>
      <c r="G112" s="2614"/>
      <c r="H112" s="2613" t="s">
        <v>3402</v>
      </c>
      <c r="I112" s="2613" t="s">
        <v>3422</v>
      </c>
      <c r="J112" s="2612">
        <v>4204800</v>
      </c>
      <c r="K112" s="2611">
        <v>0</v>
      </c>
      <c r="L112" s="2611">
        <v>0</v>
      </c>
    </row>
    <row r="113" spans="1:18" ht="31.2" x14ac:dyDescent="0.3">
      <c r="A113" s="2613" t="s">
        <v>3445</v>
      </c>
      <c r="B113" s="2613" t="s">
        <v>3443</v>
      </c>
      <c r="C113" s="2613">
        <v>902973304</v>
      </c>
      <c r="D113" s="2612">
        <v>1940116</v>
      </c>
      <c r="E113" s="2612">
        <v>37767492</v>
      </c>
      <c r="F113" s="2613" t="s">
        <v>3403</v>
      </c>
      <c r="G113" s="2614"/>
      <c r="H113" s="2613" t="s">
        <v>3402</v>
      </c>
      <c r="I113" s="2613" t="s">
        <v>3420</v>
      </c>
      <c r="J113" s="2612">
        <v>37767492</v>
      </c>
      <c r="K113" s="2611">
        <v>0</v>
      </c>
      <c r="L113" s="2611">
        <v>0</v>
      </c>
    </row>
    <row r="114" spans="1:18" ht="31.2" x14ac:dyDescent="0.3">
      <c r="A114" s="2613" t="s">
        <v>3445</v>
      </c>
      <c r="B114" s="2613" t="s">
        <v>3443</v>
      </c>
      <c r="C114" s="2613">
        <v>902973304</v>
      </c>
      <c r="D114" s="2612">
        <v>89641</v>
      </c>
      <c r="E114" s="2612">
        <v>1745000</v>
      </c>
      <c r="F114" s="2613" t="s">
        <v>3403</v>
      </c>
      <c r="G114" s="2614"/>
      <c r="H114" s="2613" t="s">
        <v>3402</v>
      </c>
      <c r="I114" s="2613" t="s">
        <v>3416</v>
      </c>
      <c r="J114" s="2612">
        <v>1745000</v>
      </c>
      <c r="K114" s="2611">
        <v>0</v>
      </c>
      <c r="L114" s="2611">
        <v>0</v>
      </c>
    </row>
    <row r="115" spans="1:18" ht="18" x14ac:dyDescent="0.3">
      <c r="A115" s="2613" t="s">
        <v>3444</v>
      </c>
      <c r="B115" s="2613" t="s">
        <v>3443</v>
      </c>
      <c r="C115" s="2613">
        <v>903293405</v>
      </c>
      <c r="D115" s="2612">
        <v>405333</v>
      </c>
      <c r="E115" s="2612">
        <v>14035088</v>
      </c>
      <c r="F115" s="2613" t="s">
        <v>3403</v>
      </c>
      <c r="G115" s="2614"/>
      <c r="H115" s="2613" t="s">
        <v>3402</v>
      </c>
      <c r="I115" s="2613" t="s">
        <v>3427</v>
      </c>
      <c r="J115" s="2612">
        <v>14035088</v>
      </c>
      <c r="K115" s="2611">
        <v>0</v>
      </c>
      <c r="L115" s="2611">
        <v>0</v>
      </c>
    </row>
    <row r="116" spans="1:18" ht="18" x14ac:dyDescent="0.3">
      <c r="A116" s="2613" t="s">
        <v>3444</v>
      </c>
      <c r="B116" s="2613" t="s">
        <v>3443</v>
      </c>
      <c r="C116" s="2613">
        <v>903293405</v>
      </c>
      <c r="D116" s="2612">
        <v>721045</v>
      </c>
      <c r="E116" s="2612">
        <v>24966928</v>
      </c>
      <c r="F116" s="2613" t="s">
        <v>3403</v>
      </c>
      <c r="G116" s="2614"/>
      <c r="H116" s="2613" t="s">
        <v>3402</v>
      </c>
      <c r="I116" s="2613" t="s">
        <v>3420</v>
      </c>
      <c r="J116" s="2612">
        <v>24966928</v>
      </c>
      <c r="K116" s="2611">
        <v>0</v>
      </c>
      <c r="L116" s="2611">
        <v>0</v>
      </c>
      <c r="P116" s="2615">
        <f>SUM(D115:D116)</f>
        <v>1126378</v>
      </c>
      <c r="Q116" s="2615">
        <f>SUM(E115:E116)</f>
        <v>39002016</v>
      </c>
    </row>
    <row r="117" spans="1:18" ht="46.8" x14ac:dyDescent="0.3">
      <c r="A117" s="2613" t="s">
        <v>3524</v>
      </c>
      <c r="B117" s="2613" t="s">
        <v>3414</v>
      </c>
      <c r="C117" s="2613">
        <v>910047109</v>
      </c>
      <c r="D117" s="2612">
        <v>169896</v>
      </c>
      <c r="E117" s="2612">
        <v>2331169</v>
      </c>
      <c r="F117" s="2613" t="s">
        <v>3403</v>
      </c>
      <c r="G117" s="2614"/>
      <c r="H117" s="2613" t="s">
        <v>3402</v>
      </c>
      <c r="I117" s="2613">
        <v>4</v>
      </c>
      <c r="J117" s="2612">
        <v>2331169</v>
      </c>
      <c r="K117" s="2611">
        <v>0</v>
      </c>
      <c r="L117" s="2611">
        <v>0</v>
      </c>
    </row>
    <row r="118" spans="1:18" ht="46.8" x14ac:dyDescent="0.3">
      <c r="A118" s="2613" t="s">
        <v>3524</v>
      </c>
      <c r="B118" s="2613" t="s">
        <v>3414</v>
      </c>
      <c r="C118" s="2613">
        <v>910047109</v>
      </c>
      <c r="D118" s="2612">
        <v>413144</v>
      </c>
      <c r="E118" s="2612">
        <v>5668831</v>
      </c>
      <c r="F118" s="2613" t="s">
        <v>3403</v>
      </c>
      <c r="G118" s="2614"/>
      <c r="H118" s="2613" t="s">
        <v>3402</v>
      </c>
      <c r="I118" s="2613" t="s">
        <v>3401</v>
      </c>
      <c r="J118" s="2612">
        <v>5668831</v>
      </c>
      <c r="K118" s="2611">
        <v>0</v>
      </c>
      <c r="L118" s="2611">
        <v>0</v>
      </c>
    </row>
    <row r="119" spans="1:18" ht="46.8" x14ac:dyDescent="0.3">
      <c r="A119" s="2613" t="s">
        <v>3524</v>
      </c>
      <c r="B119" s="2613" t="s">
        <v>3414</v>
      </c>
      <c r="C119" s="2613">
        <v>910047109</v>
      </c>
      <c r="D119" s="2612">
        <v>1526935</v>
      </c>
      <c r="E119" s="2612">
        <v>20951353</v>
      </c>
      <c r="F119" s="2613" t="s">
        <v>3403</v>
      </c>
      <c r="G119" s="2614"/>
      <c r="H119" s="2613" t="s">
        <v>3402</v>
      </c>
      <c r="I119" s="2613" t="s">
        <v>3420</v>
      </c>
      <c r="J119" s="2612">
        <v>20951353</v>
      </c>
      <c r="K119" s="2611">
        <v>0</v>
      </c>
      <c r="L119" s="2611">
        <v>0</v>
      </c>
      <c r="P119" s="2615">
        <f>SUM(D117:D119)</f>
        <v>2109975</v>
      </c>
      <c r="Q119" s="2615">
        <f>SUM(E117:E119)</f>
        <v>28951353</v>
      </c>
      <c r="R119" s="2615"/>
    </row>
    <row r="120" spans="1:18" ht="46.8" x14ac:dyDescent="0.3">
      <c r="A120" s="2613" t="s">
        <v>3442</v>
      </c>
      <c r="B120" s="2613" t="s">
        <v>3441</v>
      </c>
      <c r="C120" s="2613">
        <v>911312106</v>
      </c>
      <c r="D120" s="2612">
        <v>6810</v>
      </c>
      <c r="E120" s="2612">
        <v>59400</v>
      </c>
      <c r="F120" s="2613" t="s">
        <v>3403</v>
      </c>
      <c r="G120" s="2614"/>
      <c r="H120" s="2613" t="s">
        <v>3402</v>
      </c>
      <c r="I120" s="2613">
        <v>4</v>
      </c>
      <c r="J120" s="2612">
        <v>59400</v>
      </c>
      <c r="K120" s="2611">
        <v>0</v>
      </c>
      <c r="L120" s="2611">
        <v>0</v>
      </c>
    </row>
    <row r="121" spans="1:18" ht="18" x14ac:dyDescent="0.3">
      <c r="A121" s="2613" t="s">
        <v>3440</v>
      </c>
      <c r="B121" s="2613" t="s">
        <v>3414</v>
      </c>
      <c r="C121" s="2616">
        <v>9.2343000000000008E+106</v>
      </c>
      <c r="D121" s="2612">
        <v>383945</v>
      </c>
      <c r="E121" s="2612">
        <v>5047264</v>
      </c>
      <c r="F121" s="2613" t="s">
        <v>3403</v>
      </c>
      <c r="G121" s="2614"/>
      <c r="H121" s="2613" t="s">
        <v>3402</v>
      </c>
      <c r="I121" s="2613">
        <v>4</v>
      </c>
      <c r="J121" s="2612">
        <v>5047264</v>
      </c>
      <c r="K121" s="2611">
        <v>0</v>
      </c>
      <c r="L121" s="2611">
        <v>0</v>
      </c>
    </row>
    <row r="122" spans="1:18" ht="18" x14ac:dyDescent="0.3">
      <c r="A122" s="2613" t="s">
        <v>3440</v>
      </c>
      <c r="B122" s="2613" t="s">
        <v>3414</v>
      </c>
      <c r="C122" s="2616">
        <v>9.2343000000000008E+106</v>
      </c>
      <c r="D122" s="2612">
        <v>601370</v>
      </c>
      <c r="E122" s="2612">
        <v>7905481</v>
      </c>
      <c r="F122" s="2613" t="s">
        <v>3403</v>
      </c>
      <c r="G122" s="2614"/>
      <c r="H122" s="2613" t="s">
        <v>3402</v>
      </c>
      <c r="I122" s="2613" t="s">
        <v>3401</v>
      </c>
      <c r="J122" s="2612">
        <v>7905481</v>
      </c>
      <c r="K122" s="2611">
        <v>0</v>
      </c>
      <c r="L122" s="2611">
        <v>0</v>
      </c>
    </row>
    <row r="123" spans="1:18" ht="46.8" x14ac:dyDescent="0.3">
      <c r="A123" s="2613" t="s">
        <v>3439</v>
      </c>
      <c r="B123" s="2613" t="s">
        <v>3414</v>
      </c>
      <c r="C123" s="2613" t="s">
        <v>3438</v>
      </c>
      <c r="D123" s="2611">
        <v>50</v>
      </c>
      <c r="E123" s="2611">
        <v>928</v>
      </c>
      <c r="F123" s="2613" t="s">
        <v>3403</v>
      </c>
      <c r="G123" s="2614"/>
      <c r="H123" s="2613" t="s">
        <v>3402</v>
      </c>
      <c r="I123" s="2613">
        <v>4</v>
      </c>
      <c r="J123" s="2611">
        <v>928</v>
      </c>
      <c r="K123" s="2611">
        <v>0</v>
      </c>
      <c r="L123" s="2611">
        <v>0</v>
      </c>
    </row>
    <row r="124" spans="1:18" ht="46.8" x14ac:dyDescent="0.3">
      <c r="A124" s="2613" t="s">
        <v>3437</v>
      </c>
      <c r="B124" s="2613" t="s">
        <v>3436</v>
      </c>
      <c r="C124" s="2613" t="s">
        <v>3435</v>
      </c>
      <c r="D124" s="2612">
        <v>126904</v>
      </c>
      <c r="E124" s="2612">
        <v>1563434</v>
      </c>
      <c r="F124" s="2613" t="s">
        <v>3403</v>
      </c>
      <c r="G124" s="2614"/>
      <c r="H124" s="2613" t="s">
        <v>3402</v>
      </c>
      <c r="I124" s="2613" t="s">
        <v>3401</v>
      </c>
      <c r="J124" s="2612">
        <v>1563434</v>
      </c>
      <c r="K124" s="2611">
        <v>0</v>
      </c>
      <c r="L124" s="2611">
        <v>0</v>
      </c>
    </row>
    <row r="125" spans="1:18" ht="18" x14ac:dyDescent="0.3">
      <c r="A125" s="2613" t="s">
        <v>3434</v>
      </c>
      <c r="B125" s="2613" t="s">
        <v>3433</v>
      </c>
      <c r="C125" s="2613" t="s">
        <v>3432</v>
      </c>
      <c r="D125" s="2612">
        <v>25224</v>
      </c>
      <c r="E125" s="2612">
        <v>323300</v>
      </c>
      <c r="F125" s="2613" t="s">
        <v>3403</v>
      </c>
      <c r="G125" s="2614"/>
      <c r="H125" s="2613" t="s">
        <v>3402</v>
      </c>
      <c r="I125" s="2613">
        <v>4</v>
      </c>
      <c r="J125" s="2612">
        <v>323300</v>
      </c>
      <c r="K125" s="2611">
        <v>0</v>
      </c>
      <c r="L125" s="2611">
        <v>0</v>
      </c>
    </row>
    <row r="126" spans="1:18" ht="18" x14ac:dyDescent="0.3">
      <c r="A126" s="2613" t="s">
        <v>3434</v>
      </c>
      <c r="B126" s="2613" t="s">
        <v>3433</v>
      </c>
      <c r="C126" s="2613" t="s">
        <v>3432</v>
      </c>
      <c r="D126" s="2612">
        <v>798859</v>
      </c>
      <c r="E126" s="2612">
        <v>10239160</v>
      </c>
      <c r="F126" s="2613" t="s">
        <v>3403</v>
      </c>
      <c r="G126" s="2614"/>
      <c r="H126" s="2613" t="s">
        <v>3402</v>
      </c>
      <c r="I126" s="2613" t="s">
        <v>3401</v>
      </c>
      <c r="J126" s="2612">
        <v>10239160</v>
      </c>
      <c r="K126" s="2611">
        <v>0</v>
      </c>
      <c r="L126" s="2611">
        <v>0</v>
      </c>
    </row>
    <row r="127" spans="1:18" ht="31.2" x14ac:dyDescent="0.3">
      <c r="A127" s="2613" t="s">
        <v>3431</v>
      </c>
      <c r="B127" s="2613" t="s">
        <v>3414</v>
      </c>
      <c r="C127" s="2613" t="s">
        <v>3430</v>
      </c>
      <c r="D127" s="2612">
        <v>183183</v>
      </c>
      <c r="E127" s="2612">
        <v>1725701</v>
      </c>
      <c r="F127" s="2613" t="s">
        <v>3403</v>
      </c>
      <c r="G127" s="2614"/>
      <c r="H127" s="2613" t="s">
        <v>3402</v>
      </c>
      <c r="I127" s="2613">
        <v>4</v>
      </c>
      <c r="J127" s="2612">
        <v>1725701</v>
      </c>
      <c r="K127" s="2611">
        <v>0</v>
      </c>
      <c r="L127" s="2611">
        <v>0</v>
      </c>
    </row>
    <row r="128" spans="1:18" ht="31.2" x14ac:dyDescent="0.3">
      <c r="A128" s="2613" t="s">
        <v>3431</v>
      </c>
      <c r="B128" s="2613" t="s">
        <v>3414</v>
      </c>
      <c r="C128" s="2613" t="s">
        <v>3430</v>
      </c>
      <c r="D128" s="2612">
        <v>174372</v>
      </c>
      <c r="E128" s="2612">
        <v>1642693</v>
      </c>
      <c r="F128" s="2613" t="s">
        <v>3403</v>
      </c>
      <c r="G128" s="2614"/>
      <c r="H128" s="2613" t="s">
        <v>3402</v>
      </c>
      <c r="I128" s="2613" t="s">
        <v>3401</v>
      </c>
      <c r="J128" s="2612">
        <v>1642693</v>
      </c>
      <c r="K128" s="2611">
        <v>0</v>
      </c>
      <c r="L128" s="2611">
        <v>0</v>
      </c>
    </row>
    <row r="129" spans="1:17" ht="31.2" x14ac:dyDescent="0.3">
      <c r="A129" s="2613" t="s">
        <v>3429</v>
      </c>
      <c r="B129" s="2613" t="s">
        <v>3414</v>
      </c>
      <c r="C129" s="2613">
        <v>931142103</v>
      </c>
      <c r="D129" s="2612">
        <v>65388</v>
      </c>
      <c r="E129" s="2612">
        <v>946000</v>
      </c>
      <c r="F129" s="2613" t="s">
        <v>3403</v>
      </c>
      <c r="G129" s="2614"/>
      <c r="H129" s="2613" t="s">
        <v>3402</v>
      </c>
      <c r="I129" s="2613" t="s">
        <v>3401</v>
      </c>
      <c r="J129" s="2612">
        <v>946000</v>
      </c>
      <c r="K129" s="2611">
        <v>0</v>
      </c>
      <c r="L129" s="2611">
        <v>0</v>
      </c>
    </row>
    <row r="130" spans="1:17" ht="31.2" x14ac:dyDescent="0.3">
      <c r="A130" s="2613" t="s">
        <v>3429</v>
      </c>
      <c r="B130" s="2613" t="s">
        <v>3414</v>
      </c>
      <c r="C130" s="2613">
        <v>931142103</v>
      </c>
      <c r="D130" s="2612">
        <v>30932</v>
      </c>
      <c r="E130" s="2612">
        <v>447513</v>
      </c>
      <c r="F130" s="2613" t="s">
        <v>3403</v>
      </c>
      <c r="G130" s="2614"/>
      <c r="H130" s="2613" t="s">
        <v>3402</v>
      </c>
      <c r="I130" s="2613" t="s">
        <v>3420</v>
      </c>
      <c r="J130" s="2612">
        <v>447513</v>
      </c>
      <c r="K130" s="2611">
        <v>0</v>
      </c>
      <c r="L130" s="2611">
        <v>0</v>
      </c>
      <c r="P130" s="2615">
        <f>SUM(D129:D130)</f>
        <v>96320</v>
      </c>
      <c r="Q130" s="2615">
        <f>SUM(E129:E130)</f>
        <v>1393513</v>
      </c>
    </row>
    <row r="131" spans="1:17" ht="46.8" x14ac:dyDescent="0.3">
      <c r="A131" s="2613" t="s">
        <v>3417</v>
      </c>
      <c r="B131" s="2613" t="s">
        <v>3414</v>
      </c>
      <c r="C131" s="2613">
        <v>949746101</v>
      </c>
      <c r="D131" s="2612">
        <v>411973</v>
      </c>
      <c r="E131" s="2612">
        <v>7475470</v>
      </c>
      <c r="F131" s="2613" t="s">
        <v>3403</v>
      </c>
      <c r="G131" s="2614"/>
      <c r="H131" s="2613" t="s">
        <v>3402</v>
      </c>
      <c r="I131" s="2613">
        <v>4</v>
      </c>
      <c r="J131" s="2612">
        <v>7475470</v>
      </c>
      <c r="K131" s="2611">
        <v>0</v>
      </c>
      <c r="L131" s="2611">
        <v>0</v>
      </c>
    </row>
    <row r="132" spans="1:17" ht="46.8" x14ac:dyDescent="0.3">
      <c r="A132" s="2613" t="s">
        <v>3417</v>
      </c>
      <c r="B132" s="2613" t="s">
        <v>3414</v>
      </c>
      <c r="C132" s="2613">
        <v>949746101</v>
      </c>
      <c r="D132" s="2612">
        <v>906560</v>
      </c>
      <c r="E132" s="2612">
        <v>16450000</v>
      </c>
      <c r="F132" s="2613" t="s">
        <v>3403</v>
      </c>
      <c r="G132" s="2614"/>
      <c r="H132" s="2613" t="s">
        <v>3402</v>
      </c>
      <c r="I132" s="2613" t="s">
        <v>3428</v>
      </c>
      <c r="J132" s="2612">
        <v>16450000</v>
      </c>
      <c r="K132" s="2611">
        <v>0</v>
      </c>
      <c r="L132" s="2611">
        <v>0</v>
      </c>
    </row>
    <row r="133" spans="1:17" ht="46.8" x14ac:dyDescent="0.3">
      <c r="A133" s="2613" t="s">
        <v>3417</v>
      </c>
      <c r="B133" s="2613" t="s">
        <v>3414</v>
      </c>
      <c r="C133" s="2613">
        <v>949746101</v>
      </c>
      <c r="D133" s="2612">
        <v>292276</v>
      </c>
      <c r="E133" s="2612">
        <v>5303500</v>
      </c>
      <c r="F133" s="2613" t="s">
        <v>3403</v>
      </c>
      <c r="G133" s="2614"/>
      <c r="H133" s="2613" t="s">
        <v>3402</v>
      </c>
      <c r="I133" s="2613" t="s">
        <v>3427</v>
      </c>
      <c r="J133" s="2612">
        <v>5303500</v>
      </c>
      <c r="K133" s="2611">
        <v>0</v>
      </c>
      <c r="L133" s="2611">
        <v>0</v>
      </c>
    </row>
    <row r="134" spans="1:17" ht="46.8" x14ac:dyDescent="0.3">
      <c r="A134" s="2613" t="s">
        <v>3417</v>
      </c>
      <c r="B134" s="2613" t="s">
        <v>3414</v>
      </c>
      <c r="C134" s="2613">
        <v>949746101</v>
      </c>
      <c r="D134" s="2612">
        <v>375457</v>
      </c>
      <c r="E134" s="2612">
        <v>6812857</v>
      </c>
      <c r="F134" s="2613" t="s">
        <v>3403</v>
      </c>
      <c r="G134" s="2614"/>
      <c r="H134" s="2613" t="s">
        <v>3402</v>
      </c>
      <c r="I134" s="2613" t="s">
        <v>3426</v>
      </c>
      <c r="J134" s="2612">
        <v>6812857</v>
      </c>
      <c r="K134" s="2611">
        <v>0</v>
      </c>
      <c r="L134" s="2611">
        <v>0</v>
      </c>
    </row>
    <row r="135" spans="1:17" ht="46.8" x14ac:dyDescent="0.3">
      <c r="A135" s="2613" t="s">
        <v>3417</v>
      </c>
      <c r="B135" s="2613" t="s">
        <v>3414</v>
      </c>
      <c r="C135" s="2613">
        <v>949746101</v>
      </c>
      <c r="D135" s="2612">
        <v>4135885</v>
      </c>
      <c r="E135" s="2612">
        <v>75047819</v>
      </c>
      <c r="F135" s="2613" t="s">
        <v>3403</v>
      </c>
      <c r="G135" s="2614"/>
      <c r="H135" s="2613" t="s">
        <v>3402</v>
      </c>
      <c r="I135" s="2613" t="s">
        <v>3425</v>
      </c>
      <c r="J135" s="2612">
        <v>75047819</v>
      </c>
      <c r="K135" s="2611">
        <v>0</v>
      </c>
      <c r="L135" s="2611">
        <v>0</v>
      </c>
    </row>
    <row r="136" spans="1:17" ht="46.8" x14ac:dyDescent="0.3">
      <c r="A136" s="2613" t="s">
        <v>3417</v>
      </c>
      <c r="B136" s="2613" t="s">
        <v>3414</v>
      </c>
      <c r="C136" s="2613">
        <v>949746101</v>
      </c>
      <c r="D136" s="2612">
        <v>45190</v>
      </c>
      <c r="E136" s="2612">
        <v>820000</v>
      </c>
      <c r="F136" s="2613" t="s">
        <v>3403</v>
      </c>
      <c r="G136" s="2614"/>
      <c r="H136" s="2613" t="s">
        <v>3402</v>
      </c>
      <c r="I136" s="2613" t="s">
        <v>3424</v>
      </c>
      <c r="J136" s="2612">
        <v>820000</v>
      </c>
      <c r="K136" s="2611">
        <v>0</v>
      </c>
      <c r="L136" s="2611">
        <v>0</v>
      </c>
    </row>
    <row r="137" spans="1:17" ht="46.8" x14ac:dyDescent="0.3">
      <c r="A137" s="2613" t="s">
        <v>3417</v>
      </c>
      <c r="B137" s="2613" t="s">
        <v>3414</v>
      </c>
      <c r="C137" s="2613">
        <v>949746101</v>
      </c>
      <c r="D137" s="2612">
        <v>93687</v>
      </c>
      <c r="E137" s="2612">
        <v>1700000</v>
      </c>
      <c r="F137" s="2613" t="s">
        <v>3403</v>
      </c>
      <c r="G137" s="2614"/>
      <c r="H137" s="2613" t="s">
        <v>3402</v>
      </c>
      <c r="I137" s="2613" t="s">
        <v>3423</v>
      </c>
      <c r="J137" s="2612">
        <v>1700000</v>
      </c>
      <c r="K137" s="2611">
        <v>0</v>
      </c>
      <c r="L137" s="2611">
        <v>0</v>
      </c>
    </row>
    <row r="138" spans="1:17" ht="46.8" x14ac:dyDescent="0.3">
      <c r="A138" s="2613" t="s">
        <v>3417</v>
      </c>
      <c r="B138" s="2613" t="s">
        <v>3414</v>
      </c>
      <c r="C138" s="2613">
        <v>949746101</v>
      </c>
      <c r="D138" s="2612">
        <v>1998024</v>
      </c>
      <c r="E138" s="2612">
        <v>36255200</v>
      </c>
      <c r="F138" s="2613" t="s">
        <v>3403</v>
      </c>
      <c r="G138" s="2614"/>
      <c r="H138" s="2613" t="s">
        <v>3402</v>
      </c>
      <c r="I138" s="2613" t="s">
        <v>3401</v>
      </c>
      <c r="J138" s="2612">
        <v>36255200</v>
      </c>
      <c r="K138" s="2611">
        <v>0</v>
      </c>
      <c r="L138" s="2611">
        <v>0</v>
      </c>
    </row>
    <row r="139" spans="1:17" ht="46.8" x14ac:dyDescent="0.3">
      <c r="A139" s="2613" t="s">
        <v>3417</v>
      </c>
      <c r="B139" s="2613" t="s">
        <v>3414</v>
      </c>
      <c r="C139" s="2613">
        <v>949746101</v>
      </c>
      <c r="D139" s="2612">
        <v>565814</v>
      </c>
      <c r="E139" s="2612">
        <v>10267000</v>
      </c>
      <c r="F139" s="2613" t="s">
        <v>3403</v>
      </c>
      <c r="G139" s="2614"/>
      <c r="H139" s="2613" t="s">
        <v>3402</v>
      </c>
      <c r="I139" s="2613" t="s">
        <v>3422</v>
      </c>
      <c r="J139" s="2612">
        <v>10267000</v>
      </c>
      <c r="K139" s="2611">
        <v>0</v>
      </c>
      <c r="L139" s="2611">
        <v>0</v>
      </c>
    </row>
    <row r="140" spans="1:17" ht="46.8" x14ac:dyDescent="0.3">
      <c r="A140" s="2613" t="s">
        <v>3417</v>
      </c>
      <c r="B140" s="2613" t="s">
        <v>3414</v>
      </c>
      <c r="C140" s="2613">
        <v>949746101</v>
      </c>
      <c r="D140" s="2612">
        <v>3073834</v>
      </c>
      <c r="E140" s="2612">
        <v>55776330</v>
      </c>
      <c r="F140" s="2613" t="s">
        <v>3403</v>
      </c>
      <c r="G140" s="2614"/>
      <c r="H140" s="2613" t="s">
        <v>3402</v>
      </c>
      <c r="I140" s="2613" t="s">
        <v>3421</v>
      </c>
      <c r="J140" s="2612">
        <v>55776330</v>
      </c>
      <c r="K140" s="2611">
        <v>0</v>
      </c>
      <c r="L140" s="2611">
        <v>0</v>
      </c>
    </row>
    <row r="141" spans="1:17" ht="46.8" x14ac:dyDescent="0.3">
      <c r="A141" s="2613" t="s">
        <v>3417</v>
      </c>
      <c r="B141" s="2613" t="s">
        <v>3414</v>
      </c>
      <c r="C141" s="2613">
        <v>949746101</v>
      </c>
      <c r="D141" s="2612">
        <v>14125948</v>
      </c>
      <c r="E141" s="2612">
        <v>256322774</v>
      </c>
      <c r="F141" s="2613" t="s">
        <v>3403</v>
      </c>
      <c r="G141" s="2614"/>
      <c r="H141" s="2613" t="s">
        <v>3402</v>
      </c>
      <c r="I141" s="2613" t="s">
        <v>3420</v>
      </c>
      <c r="J141" s="2612">
        <v>256322774</v>
      </c>
      <c r="K141" s="2611">
        <v>0</v>
      </c>
      <c r="L141" s="2611">
        <v>0</v>
      </c>
    </row>
    <row r="142" spans="1:17" ht="46.8" x14ac:dyDescent="0.3">
      <c r="A142" s="2613" t="s">
        <v>3417</v>
      </c>
      <c r="B142" s="2613" t="s">
        <v>3414</v>
      </c>
      <c r="C142" s="2613">
        <v>949746101</v>
      </c>
      <c r="D142" s="2612">
        <v>153647</v>
      </c>
      <c r="E142" s="2612">
        <v>2788000</v>
      </c>
      <c r="F142" s="2613" t="s">
        <v>3403</v>
      </c>
      <c r="G142" s="2614"/>
      <c r="H142" s="2613" t="s">
        <v>3402</v>
      </c>
      <c r="I142" s="2613" t="s">
        <v>3419</v>
      </c>
      <c r="J142" s="2612">
        <v>2788000</v>
      </c>
      <c r="K142" s="2611">
        <v>0</v>
      </c>
      <c r="L142" s="2611">
        <v>0</v>
      </c>
    </row>
    <row r="143" spans="1:17" ht="46.8" x14ac:dyDescent="0.3">
      <c r="A143" s="2613" t="s">
        <v>3417</v>
      </c>
      <c r="B143" s="2613" t="s">
        <v>3414</v>
      </c>
      <c r="C143" s="2613">
        <v>949746101</v>
      </c>
      <c r="D143" s="2612">
        <v>88712</v>
      </c>
      <c r="E143" s="2612">
        <v>1609720</v>
      </c>
      <c r="F143" s="2613" t="s">
        <v>3403</v>
      </c>
      <c r="G143" s="2614"/>
      <c r="H143" s="2613" t="s">
        <v>3402</v>
      </c>
      <c r="I143" s="2613" t="s">
        <v>3418</v>
      </c>
      <c r="J143" s="2612">
        <v>1609720</v>
      </c>
      <c r="K143" s="2611">
        <v>0</v>
      </c>
      <c r="L143" s="2611">
        <v>0</v>
      </c>
    </row>
    <row r="144" spans="1:17" ht="46.8" x14ac:dyDescent="0.3">
      <c r="A144" s="2613" t="s">
        <v>3417</v>
      </c>
      <c r="B144" s="2613" t="s">
        <v>3414</v>
      </c>
      <c r="C144" s="2613">
        <v>949746101</v>
      </c>
      <c r="D144" s="2612">
        <v>169496</v>
      </c>
      <c r="E144" s="2612">
        <v>3075600</v>
      </c>
      <c r="F144" s="2613" t="s">
        <v>3403</v>
      </c>
      <c r="G144" s="2614"/>
      <c r="H144" s="2613" t="s">
        <v>3402</v>
      </c>
      <c r="I144" s="2613" t="s">
        <v>3416</v>
      </c>
      <c r="J144" s="2612">
        <v>3075600</v>
      </c>
      <c r="K144" s="2611">
        <v>0</v>
      </c>
      <c r="L144" s="2611">
        <v>0</v>
      </c>
    </row>
    <row r="145" spans="1:12" ht="46.8" x14ac:dyDescent="0.3">
      <c r="A145" s="2613" t="s">
        <v>3415</v>
      </c>
      <c r="B145" s="2613" t="s">
        <v>3414</v>
      </c>
      <c r="C145" s="2613" t="s">
        <v>3413</v>
      </c>
      <c r="D145" s="2612">
        <v>90413</v>
      </c>
      <c r="E145" s="2612">
        <v>3324000</v>
      </c>
      <c r="F145" s="2613" t="s">
        <v>3403</v>
      </c>
      <c r="G145" s="2614"/>
      <c r="H145" s="2613" t="s">
        <v>3402</v>
      </c>
      <c r="I145" s="2613">
        <v>4</v>
      </c>
      <c r="J145" s="2612">
        <v>3324000</v>
      </c>
      <c r="K145" s="2611">
        <v>0</v>
      </c>
      <c r="L145" s="2611">
        <v>0</v>
      </c>
    </row>
    <row r="146" spans="1:12" ht="46.8" x14ac:dyDescent="0.3">
      <c r="A146" s="2613" t="s">
        <v>3415</v>
      </c>
      <c r="B146" s="2613" t="s">
        <v>3414</v>
      </c>
      <c r="C146" s="2613" t="s">
        <v>3413</v>
      </c>
      <c r="D146" s="2612">
        <v>544000</v>
      </c>
      <c r="E146" s="2612">
        <v>20000000</v>
      </c>
      <c r="F146" s="2613" t="s">
        <v>3403</v>
      </c>
      <c r="G146" s="2614"/>
      <c r="H146" s="2613" t="s">
        <v>3402</v>
      </c>
      <c r="I146" s="2613" t="s">
        <v>3401</v>
      </c>
      <c r="J146" s="2612">
        <v>20000000</v>
      </c>
      <c r="K146" s="2611">
        <v>0</v>
      </c>
      <c r="L146" s="2611">
        <v>0</v>
      </c>
    </row>
    <row r="147" spans="1:12" ht="31.2" x14ac:dyDescent="0.3">
      <c r="A147" s="2613" t="s">
        <v>3406</v>
      </c>
      <c r="B147" s="2613" t="s">
        <v>3412</v>
      </c>
      <c r="C147" s="2613" t="s">
        <v>3411</v>
      </c>
      <c r="D147" s="2612">
        <v>256314</v>
      </c>
      <c r="E147" s="2612">
        <v>8379000</v>
      </c>
      <c r="F147" s="2613" t="s">
        <v>3403</v>
      </c>
      <c r="G147" s="2614"/>
      <c r="H147" s="2613" t="s">
        <v>3402</v>
      </c>
      <c r="I147" s="2613">
        <v>4</v>
      </c>
      <c r="J147" s="2612">
        <v>8379000</v>
      </c>
      <c r="K147" s="2611">
        <v>0</v>
      </c>
      <c r="L147" s="2611">
        <v>0</v>
      </c>
    </row>
    <row r="148" spans="1:12" ht="31.2" x14ac:dyDescent="0.3">
      <c r="A148" s="2613" t="s">
        <v>3406</v>
      </c>
      <c r="B148" s="2613" t="s">
        <v>3412</v>
      </c>
      <c r="C148" s="2613" t="s">
        <v>3411</v>
      </c>
      <c r="D148" s="2612">
        <v>361020</v>
      </c>
      <c r="E148" s="2612">
        <v>11801897</v>
      </c>
      <c r="F148" s="2613" t="s">
        <v>3403</v>
      </c>
      <c r="G148" s="2614"/>
      <c r="H148" s="2613" t="s">
        <v>3402</v>
      </c>
      <c r="I148" s="2613" t="s">
        <v>3401</v>
      </c>
      <c r="J148" s="2612">
        <v>11801897</v>
      </c>
      <c r="K148" s="2611">
        <v>0</v>
      </c>
      <c r="L148" s="2611">
        <v>0</v>
      </c>
    </row>
    <row r="149" spans="1:12" ht="31.2" x14ac:dyDescent="0.3">
      <c r="A149" s="2613" t="s">
        <v>3406</v>
      </c>
      <c r="B149" s="2613" t="s">
        <v>3410</v>
      </c>
      <c r="C149" s="2613" t="s">
        <v>3409</v>
      </c>
      <c r="D149" s="2612">
        <v>218205</v>
      </c>
      <c r="E149" s="2612">
        <v>7346968</v>
      </c>
      <c r="F149" s="2613" t="s">
        <v>3403</v>
      </c>
      <c r="G149" s="2614"/>
      <c r="H149" s="2613" t="s">
        <v>3402</v>
      </c>
      <c r="I149" s="2613" t="s">
        <v>3401</v>
      </c>
      <c r="J149" s="2612">
        <v>7346968</v>
      </c>
      <c r="K149" s="2611">
        <v>0</v>
      </c>
      <c r="L149" s="2611">
        <v>0</v>
      </c>
    </row>
    <row r="150" spans="1:12" ht="31.2" x14ac:dyDescent="0.3">
      <c r="A150" s="2613" t="s">
        <v>3406</v>
      </c>
      <c r="B150" s="2613" t="s">
        <v>3408</v>
      </c>
      <c r="C150" s="2613" t="s">
        <v>3407</v>
      </c>
      <c r="D150" s="2612">
        <v>23929</v>
      </c>
      <c r="E150" s="2612">
        <v>1089669</v>
      </c>
      <c r="F150" s="2613" t="s">
        <v>3403</v>
      </c>
      <c r="G150" s="2614"/>
      <c r="H150" s="2613" t="s">
        <v>3402</v>
      </c>
      <c r="I150" s="2613">
        <v>4</v>
      </c>
      <c r="J150" s="2612">
        <v>1089669</v>
      </c>
      <c r="K150" s="2611">
        <v>0</v>
      </c>
      <c r="L150" s="2611">
        <v>0</v>
      </c>
    </row>
    <row r="151" spans="1:12" ht="31.2" x14ac:dyDescent="0.3">
      <c r="A151" s="2613" t="s">
        <v>3406</v>
      </c>
      <c r="B151" s="2613" t="s">
        <v>3408</v>
      </c>
      <c r="C151" s="2613" t="s">
        <v>3407</v>
      </c>
      <c r="D151" s="2612">
        <v>35689</v>
      </c>
      <c r="E151" s="2612">
        <v>1625185</v>
      </c>
      <c r="F151" s="2613" t="s">
        <v>3403</v>
      </c>
      <c r="G151" s="2614"/>
      <c r="H151" s="2613" t="s">
        <v>3402</v>
      </c>
      <c r="I151" s="2613" t="s">
        <v>3401</v>
      </c>
      <c r="J151" s="2612">
        <v>1625185</v>
      </c>
      <c r="K151" s="2611">
        <v>0</v>
      </c>
      <c r="L151" s="2611">
        <v>0</v>
      </c>
    </row>
    <row r="152" spans="1:12" ht="31.2" x14ac:dyDescent="0.3">
      <c r="A152" s="2613" t="s">
        <v>3406</v>
      </c>
      <c r="B152" s="2613" t="s">
        <v>3405</v>
      </c>
      <c r="C152" s="2613" t="s">
        <v>3404</v>
      </c>
      <c r="D152" s="2612">
        <v>27183</v>
      </c>
      <c r="E152" s="2612">
        <v>1284020</v>
      </c>
      <c r="F152" s="2613" t="s">
        <v>3403</v>
      </c>
      <c r="G152" s="2614"/>
      <c r="H152" s="2613" t="s">
        <v>3402</v>
      </c>
      <c r="I152" s="2613" t="s">
        <v>3401</v>
      </c>
      <c r="J152" s="2612">
        <v>1284020</v>
      </c>
      <c r="K152" s="2611">
        <v>0</v>
      </c>
      <c r="L152" s="2611">
        <v>0</v>
      </c>
    </row>
  </sheetData>
  <mergeCells count="3">
    <mergeCell ref="E2:G2"/>
    <mergeCell ref="J2:L2"/>
    <mergeCell ref="J3:L3"/>
  </mergeCells>
  <pageMargins left="0.7" right="0.7" top="0.75" bottom="0.75" header="0.3" footer="0.3"/>
  <pageSetup orientation="portrait" horizontalDpi="300" verticalDpi="3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E539F-9295-4979-A759-87417C5880C9}">
  <sheetPr>
    <tabColor theme="4"/>
  </sheetPr>
  <dimension ref="A1:I55"/>
  <sheetViews>
    <sheetView zoomScale="85" zoomScaleNormal="85" workbookViewId="0">
      <pane xSplit="1" ySplit="4" topLeftCell="B36" activePane="bottomRight" state="frozen"/>
      <selection activeCell="D22" sqref="D22"/>
      <selection pane="topRight" activeCell="D22" sqref="D22"/>
      <selection pane="bottomLeft" activeCell="D22" sqref="D22"/>
      <selection pane="bottomRight" activeCell="E53" sqref="E53"/>
    </sheetView>
  </sheetViews>
  <sheetFormatPr defaultColWidth="9.109375" defaultRowHeight="15.6" x14ac:dyDescent="0.3"/>
  <cols>
    <col min="1" max="1" width="70.33203125" style="211" customWidth="1"/>
    <col min="2" max="2" width="15.33203125" style="211" customWidth="1"/>
    <col min="3" max="3" width="3.33203125" customWidth="1"/>
    <col min="4" max="4" width="16.44140625" style="211" customWidth="1"/>
    <col min="5" max="5" width="13.33203125" style="211" bestFit="1" customWidth="1"/>
    <col min="6" max="6" width="9.109375" style="211"/>
    <col min="7" max="8" width="15.33203125" style="211" customWidth="1"/>
    <col min="9" max="16384" width="9.109375" style="211"/>
  </cols>
  <sheetData>
    <row r="1" spans="1:8" x14ac:dyDescent="0.3">
      <c r="A1" s="211" t="s">
        <v>2240</v>
      </c>
    </row>
    <row r="2" spans="1:8" x14ac:dyDescent="0.3">
      <c r="A2" s="211" t="s">
        <v>3568</v>
      </c>
    </row>
    <row r="4" spans="1:8" x14ac:dyDescent="0.3">
      <c r="A4" s="320" t="s">
        <v>1250</v>
      </c>
      <c r="B4" s="211" t="s">
        <v>3567</v>
      </c>
      <c r="D4" s="211" t="s">
        <v>3566</v>
      </c>
      <c r="E4" s="211" t="s">
        <v>3565</v>
      </c>
      <c r="G4" s="211" t="s">
        <v>3564</v>
      </c>
      <c r="H4" s="211" t="s">
        <v>3563</v>
      </c>
    </row>
    <row r="5" spans="1:8" x14ac:dyDescent="0.3">
      <c r="A5" s="211" t="s">
        <v>5</v>
      </c>
      <c r="B5" s="1224">
        <v>8073</v>
      </c>
      <c r="D5" s="1224">
        <f>D16</f>
        <v>10590</v>
      </c>
      <c r="E5" s="1224">
        <f>E16</f>
        <v>13519</v>
      </c>
      <c r="F5" s="1224"/>
      <c r="G5" s="1224">
        <v>6807</v>
      </c>
      <c r="H5" s="1224"/>
    </row>
    <row r="6" spans="1:8" x14ac:dyDescent="0.3">
      <c r="A6" s="211" t="s">
        <v>3562</v>
      </c>
      <c r="B6" s="1224">
        <v>71473</v>
      </c>
      <c r="D6" s="1224">
        <f>D22-D25</f>
        <v>71473</v>
      </c>
      <c r="E6" s="1224">
        <f>E22-E25</f>
        <v>71501</v>
      </c>
      <c r="F6" s="1224"/>
      <c r="G6" s="1224">
        <v>30289</v>
      </c>
      <c r="H6" s="1224">
        <f>H22-H25</f>
        <v>30289</v>
      </c>
    </row>
    <row r="7" spans="1:8" x14ac:dyDescent="0.3">
      <c r="A7" s="211" t="s">
        <v>95</v>
      </c>
      <c r="B7" s="1224">
        <f>91509+579</f>
        <v>92088</v>
      </c>
      <c r="D7" s="1224"/>
      <c r="E7" s="1224"/>
      <c r="F7" s="1224"/>
      <c r="G7" s="1224">
        <f>56837+521</f>
        <v>57358</v>
      </c>
      <c r="H7" s="1224"/>
    </row>
    <row r="8" spans="1:8" x14ac:dyDescent="0.3">
      <c r="A8" s="211" t="s">
        <v>2014</v>
      </c>
      <c r="B8" s="1224">
        <f>B7-B6</f>
        <v>20615</v>
      </c>
      <c r="D8" s="1224"/>
      <c r="E8" s="1224"/>
      <c r="F8" s="1224"/>
      <c r="G8" s="1224">
        <f>G7-G6</f>
        <v>27069</v>
      </c>
      <c r="H8" s="1224"/>
    </row>
    <row r="9" spans="1:8" x14ac:dyDescent="0.3">
      <c r="A9" s="211" t="s">
        <v>2120</v>
      </c>
      <c r="B9" s="1224">
        <f>B7-B6+2054+10943</f>
        <v>33612</v>
      </c>
    </row>
    <row r="10" spans="1:8" x14ac:dyDescent="0.3">
      <c r="A10" s="211" t="s">
        <v>3561</v>
      </c>
      <c r="B10" s="1224"/>
      <c r="D10" s="1224">
        <f>D30-D26</f>
        <v>60293</v>
      </c>
      <c r="E10" s="1224">
        <f>E30-E26</f>
        <v>64920</v>
      </c>
      <c r="F10" s="1224"/>
      <c r="G10" s="1224"/>
      <c r="H10" s="1224">
        <f>H30-H26</f>
        <v>47674</v>
      </c>
    </row>
    <row r="11" spans="1:8" x14ac:dyDescent="0.3">
      <c r="B11" s="1224"/>
      <c r="D11" s="1224"/>
      <c r="E11" s="1224"/>
      <c r="F11" s="1224"/>
      <c r="G11" s="1224"/>
      <c r="H11" s="1224"/>
    </row>
    <row r="12" spans="1:8" x14ac:dyDescent="0.3">
      <c r="A12" s="320" t="s">
        <v>3560</v>
      </c>
      <c r="B12" s="1224"/>
      <c r="D12" s="1224"/>
      <c r="E12" s="1224"/>
      <c r="F12" s="1224"/>
      <c r="G12" s="1224"/>
      <c r="H12" s="1224"/>
    </row>
    <row r="13" spans="1:8" x14ac:dyDescent="0.3">
      <c r="A13" s="211" t="s">
        <v>3559</v>
      </c>
      <c r="B13" s="1224">
        <f>23581+47338</f>
        <v>70919</v>
      </c>
      <c r="D13" s="1224">
        <f>23581+47338</f>
        <v>70919</v>
      </c>
      <c r="E13" s="1224">
        <f>25460+78515</f>
        <v>103975</v>
      </c>
      <c r="F13" s="1224"/>
      <c r="H13" s="1224">
        <f>61181</f>
        <v>61181</v>
      </c>
    </row>
    <row r="14" spans="1:8" x14ac:dyDescent="0.3">
      <c r="A14" s="211" t="s">
        <v>3558</v>
      </c>
      <c r="B14" s="1224">
        <f>3221+8220</f>
        <v>11441</v>
      </c>
      <c r="D14" s="1224">
        <f>3221+8220</f>
        <v>11441</v>
      </c>
      <c r="E14" s="1224">
        <f>4039+13132</f>
        <v>17171</v>
      </c>
      <c r="F14" s="1224"/>
      <c r="G14" s="1224"/>
      <c r="H14" s="1224"/>
    </row>
    <row r="15" spans="1:8" x14ac:dyDescent="0.3">
      <c r="A15" s="211" t="s">
        <v>3557</v>
      </c>
      <c r="B15" s="1224">
        <v>48888</v>
      </c>
      <c r="D15" s="1224">
        <v>48888</v>
      </c>
      <c r="E15" s="1224">
        <v>73285</v>
      </c>
      <c r="F15" s="1224"/>
      <c r="G15" s="1224"/>
      <c r="H15" s="1224">
        <v>43762</v>
      </c>
    </row>
    <row r="16" spans="1:8" s="152" customFormat="1" x14ac:dyDescent="0.3">
      <c r="A16" s="152" t="s">
        <v>3556</v>
      </c>
      <c r="B16" s="2620">
        <f>B13-B14-B15</f>
        <v>10590</v>
      </c>
      <c r="D16" s="2620">
        <f>D13-D14-D15</f>
        <v>10590</v>
      </c>
      <c r="E16" s="2620">
        <f>E13-E14-E15</f>
        <v>13519</v>
      </c>
      <c r="F16" s="2622"/>
      <c r="G16" s="2620"/>
      <c r="H16" s="2620"/>
    </row>
    <row r="17" spans="1:8" x14ac:dyDescent="0.3">
      <c r="B17" s="1224"/>
      <c r="D17" s="1224"/>
      <c r="E17" s="1224"/>
      <c r="F17" s="1224"/>
      <c r="G17" s="1224"/>
      <c r="H17" s="1224"/>
    </row>
    <row r="18" spans="1:8" x14ac:dyDescent="0.3">
      <c r="A18" s="320" t="s">
        <v>3555</v>
      </c>
      <c r="B18" s="1224"/>
      <c r="D18" s="1224"/>
      <c r="E18" s="1224"/>
      <c r="F18" s="1224"/>
      <c r="G18" s="1224"/>
      <c r="H18" s="1224"/>
    </row>
    <row r="19" spans="1:8" x14ac:dyDescent="0.3">
      <c r="A19" s="211" t="s">
        <v>3554</v>
      </c>
      <c r="B19" s="1224"/>
      <c r="D19" s="1224"/>
      <c r="E19" s="1224"/>
      <c r="F19" s="1224"/>
      <c r="G19" s="1224"/>
      <c r="H19" s="1224"/>
    </row>
    <row r="20" spans="1:8" x14ac:dyDescent="0.3">
      <c r="A20" s="211" t="s">
        <v>346</v>
      </c>
      <c r="B20" s="1224">
        <v>53994</v>
      </c>
      <c r="D20" s="1224">
        <v>53994</v>
      </c>
      <c r="E20" s="1224">
        <v>54985</v>
      </c>
      <c r="F20" s="1224"/>
      <c r="H20" s="1224">
        <v>37188</v>
      </c>
    </row>
    <row r="21" spans="1:8" x14ac:dyDescent="0.3">
      <c r="A21" s="211" t="s">
        <v>3553</v>
      </c>
      <c r="B21" s="1224">
        <v>33481</v>
      </c>
      <c r="D21" s="1224">
        <v>33481</v>
      </c>
      <c r="E21" s="1224">
        <v>32518</v>
      </c>
      <c r="F21" s="1224"/>
      <c r="H21" s="1224">
        <v>9148</v>
      </c>
    </row>
    <row r="22" spans="1:8" x14ac:dyDescent="0.3">
      <c r="A22" s="211" t="s">
        <v>3552</v>
      </c>
      <c r="B22" s="1630">
        <f>SUM(B20:B21)</f>
        <v>87475</v>
      </c>
      <c r="D22" s="1630">
        <f>SUM(D20:D21)</f>
        <v>87475</v>
      </c>
      <c r="E22" s="1630">
        <f>SUM(E20:E21)</f>
        <v>87503</v>
      </c>
      <c r="F22" s="1224"/>
      <c r="H22" s="1630">
        <f>SUM(H20:H21)</f>
        <v>46336</v>
      </c>
    </row>
    <row r="23" spans="1:8" x14ac:dyDescent="0.3">
      <c r="B23" s="1224"/>
      <c r="D23" s="1224"/>
      <c r="E23" s="1224"/>
      <c r="F23" s="1224"/>
      <c r="H23" s="1224"/>
    </row>
    <row r="24" spans="1:8" x14ac:dyDescent="0.3">
      <c r="A24" s="211" t="s">
        <v>3550</v>
      </c>
      <c r="B24" s="1224">
        <v>71473</v>
      </c>
      <c r="D24" s="1224"/>
      <c r="E24" s="1224"/>
      <c r="F24" s="1224"/>
      <c r="H24" s="1224">
        <v>30289</v>
      </c>
    </row>
    <row r="25" spans="1:8" x14ac:dyDescent="0.3">
      <c r="A25" s="211" t="s">
        <v>3551</v>
      </c>
      <c r="B25" s="2621">
        <f>B22-B24</f>
        <v>16002</v>
      </c>
      <c r="D25" s="1630">
        <f>B25</f>
        <v>16002</v>
      </c>
      <c r="E25" s="1848">
        <f>D25</f>
        <v>16002</v>
      </c>
      <c r="F25" s="1224"/>
      <c r="H25" s="2621">
        <f>H22-H24</f>
        <v>16047</v>
      </c>
    </row>
    <row r="26" spans="1:8" x14ac:dyDescent="0.3">
      <c r="A26" s="152" t="s">
        <v>3550</v>
      </c>
      <c r="B26" s="2620">
        <f>B22-B25</f>
        <v>71473</v>
      </c>
      <c r="D26" s="2620">
        <f>D22-D25</f>
        <v>71473</v>
      </c>
      <c r="E26" s="2620">
        <f>E22-E25</f>
        <v>71501</v>
      </c>
      <c r="F26" s="1224"/>
      <c r="H26" s="2620">
        <f>H22-H25</f>
        <v>30289</v>
      </c>
    </row>
    <row r="27" spans="1:8" x14ac:dyDescent="0.3">
      <c r="B27" s="1224"/>
      <c r="D27" s="1224"/>
      <c r="E27" s="1224"/>
      <c r="F27" s="1224"/>
      <c r="H27" s="1224"/>
    </row>
    <row r="28" spans="1:8" x14ac:dyDescent="0.3">
      <c r="A28" s="211" t="s">
        <v>3549</v>
      </c>
      <c r="B28" s="1224">
        <f>69900+5896+17450</f>
        <v>93246</v>
      </c>
      <c r="D28" s="1224">
        <f>69900+5896+17450</f>
        <v>93246</v>
      </c>
      <c r="E28" s="1224">
        <f>72630+6090+18215</f>
        <v>96935</v>
      </c>
      <c r="F28" s="1224"/>
      <c r="H28" s="1224">
        <f>34141+5871+16299</f>
        <v>56311</v>
      </c>
    </row>
    <row r="29" spans="1:8" x14ac:dyDescent="0.3">
      <c r="A29" s="211" t="s">
        <v>3548</v>
      </c>
      <c r="B29" s="1224">
        <f>32041+734+5745</f>
        <v>38520</v>
      </c>
      <c r="D29" s="1224">
        <f>32041+734+5745</f>
        <v>38520</v>
      </c>
      <c r="E29" s="1224">
        <f>32981+734+5771</f>
        <v>39486</v>
      </c>
      <c r="F29" s="1224"/>
      <c r="H29" s="1224">
        <f>14833+656+6163</f>
        <v>21652</v>
      </c>
    </row>
    <row r="30" spans="1:8" x14ac:dyDescent="0.3">
      <c r="B30" s="1630">
        <f>B28+B29</f>
        <v>131766</v>
      </c>
      <c r="D30" s="1630">
        <f>D28+D29</f>
        <v>131766</v>
      </c>
      <c r="E30" s="1630">
        <f>E28+E29</f>
        <v>136421</v>
      </c>
      <c r="F30" s="1224"/>
      <c r="H30" s="1630">
        <f>H28+H29</f>
        <v>77963</v>
      </c>
    </row>
    <row r="31" spans="1:8" x14ac:dyDescent="0.3">
      <c r="B31" s="1224"/>
      <c r="D31" s="1224"/>
      <c r="E31" s="1224"/>
      <c r="F31" s="1224"/>
      <c r="H31" s="1224"/>
    </row>
    <row r="32" spans="1:8" x14ac:dyDescent="0.3">
      <c r="A32" s="211" t="s">
        <v>3547</v>
      </c>
      <c r="B32" s="1224">
        <v>129593</v>
      </c>
      <c r="D32" s="1224"/>
      <c r="E32" s="1224"/>
      <c r="F32" s="1224"/>
      <c r="H32" s="1224">
        <v>78474</v>
      </c>
    </row>
    <row r="33" spans="1:9" x14ac:dyDescent="0.3">
      <c r="A33" s="211" t="s">
        <v>649</v>
      </c>
      <c r="B33" s="1224">
        <f>B30-B32</f>
        <v>2173</v>
      </c>
      <c r="D33" s="1224"/>
      <c r="E33" s="1224"/>
      <c r="F33" s="1224"/>
      <c r="H33" s="1224">
        <f>H30-H32</f>
        <v>-511</v>
      </c>
    </row>
    <row r="34" spans="1:9" x14ac:dyDescent="0.3">
      <c r="B34" s="1224"/>
      <c r="D34" s="1224"/>
      <c r="E34" s="1224"/>
      <c r="F34" s="1224"/>
      <c r="G34" s="1224"/>
      <c r="H34" s="1224"/>
    </row>
    <row r="35" spans="1:9" x14ac:dyDescent="0.3">
      <c r="B35" s="1224"/>
      <c r="D35" s="1224"/>
      <c r="E35" s="1224"/>
      <c r="F35" s="1224"/>
      <c r="G35" s="1224"/>
      <c r="H35" s="1224"/>
    </row>
    <row r="36" spans="1:9" x14ac:dyDescent="0.3">
      <c r="A36" s="211" t="s">
        <v>3546</v>
      </c>
      <c r="B36" s="1224">
        <v>409328</v>
      </c>
      <c r="D36" s="1224"/>
      <c r="E36" s="1224">
        <v>485797</v>
      </c>
      <c r="F36" s="1224"/>
      <c r="G36" s="1224"/>
      <c r="H36" s="1224"/>
    </row>
    <row r="37" spans="1:9" x14ac:dyDescent="0.3">
      <c r="A37" s="211" t="s">
        <v>3545</v>
      </c>
      <c r="B37" s="1224">
        <v>164626</v>
      </c>
      <c r="D37" s="1224"/>
      <c r="E37" s="1224">
        <v>195784</v>
      </c>
      <c r="G37" s="1224"/>
      <c r="H37" s="1224"/>
    </row>
    <row r="38" spans="1:9" x14ac:dyDescent="0.3">
      <c r="A38" s="211" t="s">
        <v>3544</v>
      </c>
      <c r="B38" s="1630">
        <f>B36-B37</f>
        <v>244702</v>
      </c>
      <c r="D38" s="1630"/>
      <c r="E38" s="1630">
        <f>E36-E37</f>
        <v>290013</v>
      </c>
      <c r="G38" s="1630"/>
      <c r="H38" s="1630"/>
    </row>
    <row r="39" spans="1:9" x14ac:dyDescent="0.3">
      <c r="B39" s="1224"/>
      <c r="D39" s="1224"/>
      <c r="E39" s="1224"/>
      <c r="G39" s="1224"/>
      <c r="H39" s="1224"/>
    </row>
    <row r="40" spans="1:9" x14ac:dyDescent="0.3">
      <c r="B40" s="1224"/>
      <c r="D40" s="1224"/>
      <c r="E40" s="1224"/>
      <c r="G40" s="1224"/>
      <c r="H40" s="1224"/>
    </row>
    <row r="41" spans="1:9" x14ac:dyDescent="0.3">
      <c r="B41" s="1224"/>
      <c r="D41" s="1224"/>
      <c r="E41" s="1224"/>
      <c r="G41" s="1224"/>
      <c r="H41" s="1224"/>
    </row>
    <row r="42" spans="1:9" x14ac:dyDescent="0.3">
      <c r="A42" s="211" t="s">
        <v>3543</v>
      </c>
      <c r="D42" s="1224">
        <f>6211+431+1820</f>
        <v>8462</v>
      </c>
      <c r="E42" s="1224">
        <f>6861+299+2083</f>
        <v>9243</v>
      </c>
      <c r="H42" s="1224">
        <v>7115</v>
      </c>
    </row>
    <row r="43" spans="1:9" x14ac:dyDescent="0.3">
      <c r="A43" s="211" t="s">
        <v>3542</v>
      </c>
      <c r="D43" s="227">
        <f>D42/AVERAGE(D10,H10)</f>
        <v>0.15675160002593386</v>
      </c>
      <c r="E43" s="227">
        <f>E42/AVERAGE(D10,E10)</f>
        <v>0.14763642752749315</v>
      </c>
      <c r="H43" s="227">
        <f>H42/AVERAGE(G10,H10)</f>
        <v>0.14924277383898982</v>
      </c>
    </row>
    <row r="45" spans="1:9" x14ac:dyDescent="0.3">
      <c r="D45" s="1224"/>
      <c r="E45" s="1224"/>
      <c r="F45" s="1224"/>
      <c r="G45" s="1224"/>
      <c r="H45" s="1224"/>
      <c r="I45" s="1224"/>
    </row>
    <row r="46" spans="1:9" x14ac:dyDescent="0.3">
      <c r="A46" s="211" t="s">
        <v>3541</v>
      </c>
      <c r="D46" s="1224">
        <v>77442</v>
      </c>
      <c r="E46" s="1224">
        <v>56607</v>
      </c>
      <c r="F46" s="1224"/>
      <c r="G46" s="1224"/>
      <c r="H46" s="1224"/>
      <c r="I46" s="1224"/>
    </row>
    <row r="47" spans="1:9" x14ac:dyDescent="0.3">
      <c r="D47" s="1224"/>
      <c r="E47" s="1224"/>
      <c r="F47" s="1224"/>
      <c r="G47" s="1224"/>
      <c r="H47" s="1224"/>
      <c r="I47" s="1224"/>
    </row>
    <row r="48" spans="1:9" x14ac:dyDescent="0.3">
      <c r="D48" s="1224"/>
      <c r="E48" s="1224"/>
      <c r="F48" s="1224"/>
      <c r="G48" s="1224"/>
      <c r="H48" s="1224"/>
      <c r="I48" s="1224"/>
    </row>
    <row r="49" spans="1:9" x14ac:dyDescent="0.3">
      <c r="A49" s="211" t="s">
        <v>3540</v>
      </c>
      <c r="D49" s="1224">
        <f>46506+48075+25478</f>
        <v>120059</v>
      </c>
      <c r="E49" s="1224">
        <f>50445+49775+26313</f>
        <v>126533</v>
      </c>
      <c r="F49" s="1224"/>
      <c r="G49" s="1224"/>
      <c r="H49" s="1224"/>
      <c r="I49" s="1224"/>
    </row>
    <row r="50" spans="1:9" x14ac:dyDescent="0.3">
      <c r="D50" s="1224"/>
      <c r="E50" s="1224"/>
      <c r="F50" s="1224"/>
      <c r="G50" s="1224"/>
      <c r="H50" s="1224"/>
      <c r="I50" s="1224"/>
    </row>
    <row r="51" spans="1:9" x14ac:dyDescent="0.3">
      <c r="A51" s="211" t="s">
        <v>3539</v>
      </c>
      <c r="D51" s="1224">
        <v>12044</v>
      </c>
      <c r="E51" s="1224"/>
      <c r="F51" s="1224"/>
      <c r="G51" s="1224"/>
      <c r="H51" s="1224"/>
      <c r="I51" s="1224"/>
    </row>
    <row r="52" spans="1:9" x14ac:dyDescent="0.3">
      <c r="D52" s="1224"/>
      <c r="E52" s="1224"/>
      <c r="F52" s="1224"/>
      <c r="G52" s="1224"/>
      <c r="H52" s="1224"/>
      <c r="I52" s="1224"/>
    </row>
    <row r="53" spans="1:9" x14ac:dyDescent="0.3">
      <c r="A53" s="211" t="s">
        <v>2322</v>
      </c>
      <c r="D53" s="348"/>
      <c r="E53" s="1224"/>
      <c r="F53" s="1224"/>
      <c r="G53" s="1224"/>
      <c r="H53" s="348"/>
      <c r="I53" s="1224"/>
    </row>
    <row r="54" spans="1:9" x14ac:dyDescent="0.3">
      <c r="D54" s="1224"/>
      <c r="E54" s="1224"/>
      <c r="F54" s="1224"/>
      <c r="G54" s="1224"/>
      <c r="H54" s="1224"/>
      <c r="I54" s="1224"/>
    </row>
    <row r="55" spans="1:9" x14ac:dyDescent="0.3">
      <c r="A55" s="211" t="s">
        <v>3538</v>
      </c>
      <c r="D55" s="227">
        <f>D42/D28</f>
        <v>9.0749201038114236E-2</v>
      </c>
      <c r="E55" s="227">
        <f>E42/E28</f>
        <v>9.5352555836385203E-2</v>
      </c>
      <c r="H55" s="227">
        <f>H42/H28</f>
        <v>0.12635186730834116</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C216-165A-4EBF-856A-BDBB27916C8F}">
  <sheetPr>
    <tabColor theme="4"/>
  </sheetPr>
  <dimension ref="A2:C14"/>
  <sheetViews>
    <sheetView workbookViewId="0">
      <selection activeCell="J18" sqref="J18"/>
    </sheetView>
  </sheetViews>
  <sheetFormatPr defaultColWidth="9.109375" defaultRowHeight="15.6" x14ac:dyDescent="0.3"/>
  <cols>
    <col min="1" max="1" width="9.109375" style="211"/>
    <col min="2" max="2" width="16.6640625" style="211" customWidth="1"/>
    <col min="3" max="3" width="10" style="211" customWidth="1"/>
    <col min="4" max="16384" width="9.109375" style="211"/>
  </cols>
  <sheetData>
    <row r="2" spans="1:3" x14ac:dyDescent="0.3">
      <c r="B2" s="211" t="s">
        <v>3571</v>
      </c>
    </row>
    <row r="3" spans="1:3" x14ac:dyDescent="0.3">
      <c r="A3" s="211" t="s">
        <v>156</v>
      </c>
      <c r="B3" s="211" t="s">
        <v>3570</v>
      </c>
      <c r="C3" s="211" t="s">
        <v>3569</v>
      </c>
    </row>
    <row r="4" spans="1:3" x14ac:dyDescent="0.3">
      <c r="A4" s="211">
        <v>1</v>
      </c>
      <c r="B4" s="227">
        <v>0.187</v>
      </c>
      <c r="C4" s="227">
        <v>0.107</v>
      </c>
    </row>
    <row r="5" spans="1:3" x14ac:dyDescent="0.3">
      <c r="A5" s="211">
        <v>2</v>
      </c>
      <c r="B5" s="227">
        <v>0.375</v>
      </c>
      <c r="C5" s="227">
        <v>0.184</v>
      </c>
    </row>
    <row r="6" spans="1:3" x14ac:dyDescent="0.3">
      <c r="A6" s="211">
        <v>3</v>
      </c>
      <c r="B6" s="227">
        <v>0.188</v>
      </c>
      <c r="C6" s="227">
        <v>0.12</v>
      </c>
    </row>
    <row r="7" spans="1:3" x14ac:dyDescent="0.3">
      <c r="A7" s="211">
        <v>4</v>
      </c>
      <c r="B7" s="227">
        <v>8.3000000000000004E-2</v>
      </c>
      <c r="C7" s="227">
        <v>8.3000000000000004E-2</v>
      </c>
    </row>
    <row r="8" spans="1:3" x14ac:dyDescent="0.3">
      <c r="A8" s="211">
        <v>5</v>
      </c>
      <c r="B8" s="227">
        <v>4.4999999999999998E-2</v>
      </c>
      <c r="C8" s="227">
        <v>7.0999999999999994E-2</v>
      </c>
    </row>
    <row r="9" spans="1:3" x14ac:dyDescent="0.3">
      <c r="A9" s="211">
        <v>6</v>
      </c>
      <c r="B9" s="227">
        <v>2.7E-2</v>
      </c>
      <c r="C9" s="227">
        <v>0.05</v>
      </c>
    </row>
    <row r="10" spans="1:3" x14ac:dyDescent="0.3">
      <c r="A10" s="211">
        <v>7</v>
      </c>
      <c r="B10" s="227">
        <v>1.6E-2</v>
      </c>
      <c r="C10" s="227">
        <v>0.03</v>
      </c>
    </row>
    <row r="11" spans="1:3" x14ac:dyDescent="0.3">
      <c r="A11" s="211">
        <v>8</v>
      </c>
      <c r="B11" s="227">
        <v>1.4E-2</v>
      </c>
      <c r="C11" s="227">
        <v>0.02</v>
      </c>
    </row>
    <row r="12" spans="1:3" x14ac:dyDescent="0.3">
      <c r="A12" s="211">
        <v>9</v>
      </c>
      <c r="B12" s="227">
        <v>3.0000000000000001E-3</v>
      </c>
      <c r="C12" s="227">
        <v>1.4999999999999999E-2</v>
      </c>
    </row>
    <row r="13" spans="1:3" x14ac:dyDescent="0.3">
      <c r="A13" s="211">
        <v>10</v>
      </c>
      <c r="B13" s="227">
        <v>0</v>
      </c>
      <c r="C13" s="227">
        <v>1.7999999999999999E-2</v>
      </c>
    </row>
    <row r="14" spans="1:3" x14ac:dyDescent="0.3">
      <c r="B14" s="365">
        <f>SUM(B4:B13)</f>
        <v>0.93800000000000006</v>
      </c>
      <c r="C14" s="365">
        <f>SUM(C4:C13)</f>
        <v>0.69800000000000006</v>
      </c>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95709-7472-4609-877C-C46B3573827C}">
  <sheetPr>
    <tabColor theme="4"/>
  </sheetPr>
  <dimension ref="A1:L30"/>
  <sheetViews>
    <sheetView showGridLines="0" workbookViewId="0">
      <selection activeCell="H22" sqref="H22"/>
    </sheetView>
  </sheetViews>
  <sheetFormatPr defaultColWidth="9.109375" defaultRowHeight="15.6" x14ac:dyDescent="0.3"/>
  <cols>
    <col min="1" max="1" width="38" style="211" customWidth="1"/>
    <col min="2" max="2" width="10" style="211" customWidth="1"/>
    <col min="3" max="3" width="1.6640625" style="211" customWidth="1"/>
    <col min="4" max="4" width="9.109375" style="211"/>
    <col min="5" max="5" width="1.6640625" style="211" customWidth="1"/>
    <col min="6" max="6" width="10" style="211" bestFit="1" customWidth="1"/>
    <col min="7" max="7" width="2.109375" style="211" customWidth="1"/>
    <col min="8" max="16384" width="9.109375" style="211"/>
  </cols>
  <sheetData>
    <row r="1" spans="1:10" x14ac:dyDescent="0.3">
      <c r="A1" s="459" t="s">
        <v>2240</v>
      </c>
    </row>
    <row r="2" spans="1:10" x14ac:dyDescent="0.3">
      <c r="A2" s="152" t="s">
        <v>2259</v>
      </c>
    </row>
    <row r="3" spans="1:10" ht="8.25" customHeight="1" thickBot="1" x14ac:dyDescent="0.35"/>
    <row r="4" spans="1:10" x14ac:dyDescent="0.3">
      <c r="A4" s="212" t="s">
        <v>1250</v>
      </c>
      <c r="B4" s="712">
        <v>2017</v>
      </c>
      <c r="C4" s="712"/>
      <c r="D4" s="712">
        <v>2016</v>
      </c>
      <c r="E4" s="712"/>
      <c r="F4" s="713" t="s">
        <v>1290</v>
      </c>
    </row>
    <row r="5" spans="1:10" x14ac:dyDescent="0.3">
      <c r="A5" s="214" t="s">
        <v>2260</v>
      </c>
      <c r="B5" s="2168">
        <v>4367</v>
      </c>
      <c r="C5" s="2168"/>
      <c r="D5" s="2168">
        <v>4209</v>
      </c>
      <c r="E5" s="2168"/>
      <c r="F5" s="2625">
        <f>B5/D5-1</f>
        <v>3.7538607745307706E-2</v>
      </c>
    </row>
    <row r="6" spans="1:10" x14ac:dyDescent="0.3">
      <c r="A6" s="214" t="s">
        <v>2261</v>
      </c>
      <c r="B6" s="1622">
        <v>1382</v>
      </c>
      <c r="C6" s="1622"/>
      <c r="D6" s="1622">
        <v>1178</v>
      </c>
      <c r="E6" s="1622"/>
      <c r="F6" s="2625">
        <f>B6/D6-1</f>
        <v>0.17317487266553488</v>
      </c>
    </row>
    <row r="7" spans="1:10" x14ac:dyDescent="0.3">
      <c r="A7" s="214" t="s">
        <v>2262</v>
      </c>
      <c r="B7" s="1622">
        <v>1112</v>
      </c>
      <c r="C7" s="1622"/>
      <c r="D7" s="1622">
        <v>824</v>
      </c>
      <c r="E7" s="1622"/>
      <c r="F7" s="2625">
        <f>B7/D7-1</f>
        <v>0.34951456310679618</v>
      </c>
    </row>
    <row r="8" spans="1:10" x14ac:dyDescent="0.3">
      <c r="A8" s="214" t="s">
        <v>2263</v>
      </c>
      <c r="B8" s="1328">
        <f>SUM(B5:B7)</f>
        <v>6861</v>
      </c>
      <c r="C8" s="1622"/>
      <c r="D8" s="1328">
        <f>SUM(D5:D7)</f>
        <v>6211</v>
      </c>
      <c r="E8" s="1622"/>
      <c r="F8" s="2624">
        <f>B8/D8-1</f>
        <v>0.10465303493801326</v>
      </c>
    </row>
    <row r="9" spans="1:10" x14ac:dyDescent="0.3">
      <c r="A9" s="214"/>
      <c r="B9" s="1622"/>
      <c r="C9" s="1622"/>
      <c r="D9" s="1622"/>
      <c r="E9" s="1622"/>
      <c r="F9" s="2623"/>
    </row>
    <row r="10" spans="1:10" x14ac:dyDescent="0.3">
      <c r="A10" s="214" t="s">
        <v>2264</v>
      </c>
      <c r="B10" s="1622">
        <v>1298</v>
      </c>
      <c r="C10" s="1622"/>
      <c r="D10" s="1622">
        <v>1161</v>
      </c>
      <c r="E10" s="1622"/>
      <c r="F10" s="2625">
        <f>B10/D10-1</f>
        <v>0.11800172265288555</v>
      </c>
    </row>
    <row r="11" spans="1:10" x14ac:dyDescent="0.3">
      <c r="A11" s="214" t="s">
        <v>2265</v>
      </c>
      <c r="B11" s="1622">
        <v>785</v>
      </c>
      <c r="C11" s="1622"/>
      <c r="D11" s="1622">
        <v>659</v>
      </c>
      <c r="E11" s="1622"/>
      <c r="F11" s="2625">
        <f>B11/D11-1</f>
        <v>0.19119878603945373</v>
      </c>
      <c r="I11" s="211" t="s">
        <v>176</v>
      </c>
    </row>
    <row r="12" spans="1:10" x14ac:dyDescent="0.3">
      <c r="A12" s="214" t="s">
        <v>1075</v>
      </c>
      <c r="B12" s="1622">
        <v>299</v>
      </c>
      <c r="C12" s="1622"/>
      <c r="D12" s="1622">
        <v>431</v>
      </c>
      <c r="E12" s="1622"/>
      <c r="F12" s="2625">
        <f>B12/D12-1</f>
        <v>-0.30626450116009285</v>
      </c>
    </row>
    <row r="13" spans="1:10" x14ac:dyDescent="0.3">
      <c r="A13" s="214" t="s">
        <v>2266</v>
      </c>
      <c r="B13" s="1328">
        <f>SUM(B10:B12)</f>
        <v>2382</v>
      </c>
      <c r="C13" s="1622"/>
      <c r="D13" s="1328">
        <f>SUM(D10:D12)</f>
        <v>2251</v>
      </c>
      <c r="E13" s="1622"/>
      <c r="F13" s="2624">
        <f>B13/D13-1</f>
        <v>5.8196357174589153E-2</v>
      </c>
    </row>
    <row r="14" spans="1:10" x14ac:dyDescent="0.3">
      <c r="A14" s="214"/>
      <c r="F14" s="2623"/>
    </row>
    <row r="15" spans="1:10" x14ac:dyDescent="0.3">
      <c r="A15" s="214" t="s">
        <v>2217</v>
      </c>
      <c r="B15" s="2762">
        <f>B8+B13</f>
        <v>9243</v>
      </c>
      <c r="C15" s="2761"/>
      <c r="D15" s="2762">
        <f>D8+D13</f>
        <v>8462</v>
      </c>
      <c r="E15" s="2168"/>
      <c r="F15" s="2624">
        <f>B15/D15-1</f>
        <v>9.2294965729142087E-2</v>
      </c>
      <c r="J15" s="211" t="s">
        <v>176</v>
      </c>
    </row>
    <row r="16" spans="1:10" x14ac:dyDescent="0.3">
      <c r="A16" s="214" t="s">
        <v>3770</v>
      </c>
      <c r="B16" s="2763">
        <v>-3035</v>
      </c>
      <c r="C16" s="2761"/>
      <c r="D16" s="2763">
        <v>-2831</v>
      </c>
      <c r="E16" s="2168"/>
      <c r="F16" s="2765">
        <f t="shared" ref="F16:F17" si="0">B16/D16-1</f>
        <v>7.2059342988343378E-2</v>
      </c>
    </row>
    <row r="17" spans="1:12" ht="16.2" thickBot="1" x14ac:dyDescent="0.35">
      <c r="A17" s="214" t="s">
        <v>3771</v>
      </c>
      <c r="B17" s="2764">
        <f>B15+B16</f>
        <v>6208</v>
      </c>
      <c r="C17" s="2760"/>
      <c r="D17" s="2764">
        <f>D15+D16</f>
        <v>5631</v>
      </c>
      <c r="E17" s="2168"/>
      <c r="F17" s="2625">
        <f t="shared" si="0"/>
        <v>0.10246847806783865</v>
      </c>
    </row>
    <row r="18" spans="1:12" ht="9" customHeight="1" thickTop="1" thickBot="1" x14ac:dyDescent="0.35">
      <c r="A18" s="224"/>
      <c r="B18" s="520"/>
      <c r="C18" s="520"/>
      <c r="D18" s="520"/>
      <c r="E18" s="520"/>
      <c r="F18" s="2596"/>
    </row>
    <row r="19" spans="1:12" x14ac:dyDescent="0.3">
      <c r="A19" s="2805" t="s">
        <v>3572</v>
      </c>
      <c r="B19" s="2805"/>
      <c r="C19" s="2805"/>
      <c r="D19" s="2805"/>
      <c r="E19" s="2805"/>
      <c r="F19" s="2805"/>
    </row>
    <row r="20" spans="1:12" x14ac:dyDescent="0.3">
      <c r="A20" s="2805"/>
      <c r="B20" s="2805"/>
      <c r="C20" s="2805"/>
      <c r="D20" s="2805"/>
      <c r="E20" s="2805"/>
      <c r="F20" s="2805"/>
    </row>
    <row r="23" spans="1:12" x14ac:dyDescent="0.3">
      <c r="L23" s="211" t="s">
        <v>176</v>
      </c>
    </row>
    <row r="24" spans="1:12" x14ac:dyDescent="0.3">
      <c r="D24" s="211" t="s">
        <v>176</v>
      </c>
    </row>
    <row r="30" spans="1:12" x14ac:dyDescent="0.3">
      <c r="H30" s="211" t="s">
        <v>176</v>
      </c>
    </row>
  </sheetData>
  <mergeCells count="1">
    <mergeCell ref="A19:F20"/>
  </mergeCells>
  <pageMargins left="0.7" right="0.7" top="0.75" bottom="0.75" header="0.3" footer="0.3"/>
  <ignoredErrors>
    <ignoredError sqref="B8:D8" formulaRange="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E289B-6CD6-462F-9880-55BB930982C5}">
  <sheetPr>
    <tabColor theme="4"/>
  </sheetPr>
  <dimension ref="B1:L117"/>
  <sheetViews>
    <sheetView showGridLines="0" zoomScaleNormal="100" workbookViewId="0">
      <selection activeCell="I30" sqref="I30"/>
    </sheetView>
  </sheetViews>
  <sheetFormatPr defaultColWidth="9.109375" defaultRowHeight="15.6" outlineLevelRow="1" x14ac:dyDescent="0.3"/>
  <cols>
    <col min="1" max="1" width="9.109375" style="211"/>
    <col min="2" max="2" width="36.88671875" style="211" customWidth="1"/>
    <col min="3" max="3" width="10.33203125" style="211" customWidth="1"/>
    <col min="4" max="8" width="10.33203125" style="211" bestFit="1" customWidth="1"/>
    <col min="9" max="9" width="18.109375" style="211" customWidth="1"/>
    <col min="10" max="16384" width="9.109375" style="211"/>
  </cols>
  <sheetData>
    <row r="1" spans="2:12" s="309" customFormat="1" x14ac:dyDescent="0.3">
      <c r="B1" s="309" t="s">
        <v>556</v>
      </c>
      <c r="C1" s="309">
        <v>2013</v>
      </c>
      <c r="D1" s="309">
        <v>2013</v>
      </c>
      <c r="E1" s="309">
        <v>2013</v>
      </c>
      <c r="F1" s="309">
        <v>2012</v>
      </c>
      <c r="G1" s="309">
        <v>2011</v>
      </c>
    </row>
    <row r="2" spans="2:12" x14ac:dyDescent="0.3">
      <c r="B2" s="459" t="s">
        <v>2240</v>
      </c>
    </row>
    <row r="3" spans="2:12" x14ac:dyDescent="0.3">
      <c r="B3" s="152" t="s">
        <v>2323</v>
      </c>
    </row>
    <row r="4" spans="2:12" ht="8.25" customHeight="1" thickBot="1" x14ac:dyDescent="0.35"/>
    <row r="5" spans="2:12" x14ac:dyDescent="0.3">
      <c r="B5" s="1336" t="s">
        <v>1250</v>
      </c>
      <c r="C5" s="1337">
        <v>2016</v>
      </c>
      <c r="D5" s="1337">
        <v>2015</v>
      </c>
      <c r="E5" s="1337">
        <v>2014</v>
      </c>
      <c r="F5" s="1337">
        <v>2013</v>
      </c>
      <c r="G5" s="1338">
        <v>2012</v>
      </c>
      <c r="H5" s="211">
        <v>2011</v>
      </c>
    </row>
    <row r="6" spans="2:12" x14ac:dyDescent="0.3">
      <c r="B6" s="734" t="s">
        <v>289</v>
      </c>
      <c r="C6" s="1339">
        <v>215639</v>
      </c>
      <c r="D6" s="1339">
        <v>233715</v>
      </c>
      <c r="E6" s="1339">
        <v>182795</v>
      </c>
      <c r="F6" s="1339">
        <v>170910</v>
      </c>
      <c r="G6" s="1340">
        <v>156508</v>
      </c>
      <c r="H6" s="1339">
        <v>108249</v>
      </c>
      <c r="K6" s="211" t="s">
        <v>176</v>
      </c>
    </row>
    <row r="7" spans="2:12" hidden="1" outlineLevel="1" x14ac:dyDescent="0.3">
      <c r="B7" s="734" t="s">
        <v>2361</v>
      </c>
      <c r="C7" s="1344">
        <v>60024</v>
      </c>
      <c r="D7" s="1344">
        <v>71230</v>
      </c>
      <c r="E7" s="1344">
        <v>52503</v>
      </c>
      <c r="F7" s="1344">
        <v>48999</v>
      </c>
      <c r="G7" s="1695">
        <v>55241</v>
      </c>
      <c r="H7" s="1339"/>
    </row>
    <row r="8" spans="2:12" hidden="1" outlineLevel="1" x14ac:dyDescent="0.3">
      <c r="B8" s="734" t="s">
        <v>2313</v>
      </c>
      <c r="C8" s="1344">
        <v>1500</v>
      </c>
      <c r="D8" s="1344">
        <v>1300</v>
      </c>
      <c r="E8" s="1344">
        <v>1100</v>
      </c>
      <c r="F8" s="1344">
        <v>960</v>
      </c>
      <c r="G8" s="1695">
        <v>605</v>
      </c>
      <c r="H8" s="1339"/>
    </row>
    <row r="9" spans="2:12" ht="18.600000000000001" collapsed="1" x14ac:dyDescent="0.3">
      <c r="B9" s="734" t="s">
        <v>2348</v>
      </c>
      <c r="C9" s="521">
        <f>C7+C8</f>
        <v>61524</v>
      </c>
      <c r="D9" s="521">
        <f t="shared" ref="D9:G9" si="0">D7+D8</f>
        <v>72530</v>
      </c>
      <c r="E9" s="521">
        <f t="shared" si="0"/>
        <v>53603</v>
      </c>
      <c r="F9" s="521">
        <f t="shared" si="0"/>
        <v>49959</v>
      </c>
      <c r="G9" s="1624">
        <f t="shared" si="0"/>
        <v>55846</v>
      </c>
      <c r="H9" s="1380">
        <v>33790</v>
      </c>
    </row>
    <row r="10" spans="2:12" ht="18.600000000000001" x14ac:dyDescent="0.3">
      <c r="B10" s="734" t="s">
        <v>1985</v>
      </c>
      <c r="C10" s="1824">
        <f>C7/C6</f>
        <v>0.27835410106706115</v>
      </c>
      <c r="D10" s="1824">
        <f>D7/D6</f>
        <v>0.30477290717326661</v>
      </c>
      <c r="E10" s="1824">
        <f>E7/E6</f>
        <v>0.28722339232473537</v>
      </c>
      <c r="F10" s="1824">
        <f>F7/F6</f>
        <v>0.28669475162366159</v>
      </c>
      <c r="G10" s="1837">
        <f>G7/G6</f>
        <v>0.35295959311984054</v>
      </c>
      <c r="H10" s="827">
        <f>H9/H6</f>
        <v>0.31215068961376086</v>
      </c>
      <c r="I10" s="827"/>
    </row>
    <row r="11" spans="2:12" x14ac:dyDescent="0.3">
      <c r="B11" s="734" t="s">
        <v>3772</v>
      </c>
      <c r="C11" s="1387">
        <f>C42</f>
        <v>-33643.074999999997</v>
      </c>
      <c r="D11" s="1387">
        <f t="shared" ref="D11:G11" si="1">D42</f>
        <v>-26270.625</v>
      </c>
      <c r="E11" s="1387">
        <f t="shared" si="1"/>
        <v>-13323.1875</v>
      </c>
      <c r="F11" s="1387">
        <f t="shared" si="1"/>
        <v>-6120.2750000000015</v>
      </c>
      <c r="G11" s="1393">
        <f t="shared" si="1"/>
        <v>-4688.0375000000022</v>
      </c>
      <c r="H11" s="827"/>
      <c r="I11" s="464"/>
    </row>
    <row r="12" spans="2:12" s="612" customFormat="1" ht="4.5" customHeight="1" x14ac:dyDescent="0.3">
      <c r="B12" s="734"/>
      <c r="C12" s="397"/>
      <c r="D12" s="397"/>
      <c r="E12" s="397"/>
      <c r="F12" s="397"/>
      <c r="G12" s="1281"/>
      <c r="H12" s="397"/>
    </row>
    <row r="13" spans="2:12" s="612" customFormat="1" ht="4.5" customHeight="1" x14ac:dyDescent="0.3">
      <c r="B13" s="1155"/>
      <c r="C13" s="684"/>
      <c r="D13" s="684"/>
      <c r="E13" s="684"/>
      <c r="F13" s="684"/>
      <c r="G13" s="1279"/>
      <c r="H13" s="397"/>
    </row>
    <row r="14" spans="2:12" s="612" customFormat="1" ht="4.5" customHeight="1" x14ac:dyDescent="0.3">
      <c r="B14" s="734"/>
      <c r="C14" s="397"/>
      <c r="D14" s="397"/>
      <c r="E14" s="397"/>
      <c r="F14" s="397"/>
      <c r="G14" s="1281"/>
      <c r="H14" s="397"/>
    </row>
    <row r="15" spans="2:12" s="612" customFormat="1" ht="18.600000000000001" x14ac:dyDescent="0.3">
      <c r="B15" s="734" t="s">
        <v>2349</v>
      </c>
      <c r="C15" s="1339">
        <f>20961/0.033</f>
        <v>635181.81818181812</v>
      </c>
      <c r="D15" s="397"/>
      <c r="E15" s="397"/>
      <c r="F15" s="397"/>
      <c r="G15" s="1281"/>
      <c r="H15" s="397"/>
      <c r="L15" s="612" t="s">
        <v>176</v>
      </c>
    </row>
    <row r="16" spans="2:12" s="612" customFormat="1" x14ac:dyDescent="0.3">
      <c r="B16" s="734" t="s">
        <v>23</v>
      </c>
      <c r="C16" s="1344">
        <f>C37</f>
        <v>78927</v>
      </c>
      <c r="D16" s="397"/>
      <c r="E16" s="397"/>
      <c r="F16" s="397"/>
      <c r="G16" s="1281"/>
      <c r="H16" s="397"/>
      <c r="I16" s="612" t="s">
        <v>176</v>
      </c>
    </row>
    <row r="17" spans="2:10" s="612" customFormat="1" ht="18.600000000000001" x14ac:dyDescent="0.3">
      <c r="B17" s="734" t="s">
        <v>2351</v>
      </c>
      <c r="C17" s="1387">
        <f>-C76</f>
        <v>-232194.02499999999</v>
      </c>
      <c r="D17" s="397"/>
      <c r="E17" s="397" t="s">
        <v>176</v>
      </c>
      <c r="F17" s="397"/>
      <c r="G17" s="1281"/>
      <c r="H17" s="397"/>
    </row>
    <row r="18" spans="2:10" s="612" customFormat="1" x14ac:dyDescent="0.3">
      <c r="B18" s="734" t="s">
        <v>1708</v>
      </c>
      <c r="C18" s="1343">
        <f>SUM(C15:C17)</f>
        <v>481914.7931818181</v>
      </c>
      <c r="D18" s="397"/>
      <c r="E18" s="397"/>
      <c r="F18" s="397"/>
      <c r="G18" s="1281"/>
      <c r="H18" s="397"/>
    </row>
    <row r="19" spans="2:10" s="612" customFormat="1" ht="4.5" customHeight="1" x14ac:dyDescent="0.3">
      <c r="B19" s="734"/>
      <c r="C19" s="397"/>
      <c r="D19" s="397"/>
      <c r="E19" s="397"/>
      <c r="F19" s="397"/>
      <c r="G19" s="1281"/>
      <c r="H19" s="397"/>
    </row>
    <row r="20" spans="2:10" s="612" customFormat="1" ht="4.5" customHeight="1" x14ac:dyDescent="0.3">
      <c r="B20" s="734"/>
      <c r="C20" s="397"/>
      <c r="D20" s="397"/>
      <c r="E20" s="397"/>
      <c r="F20" s="397"/>
      <c r="G20" s="1281"/>
      <c r="H20" s="397"/>
    </row>
    <row r="21" spans="2:10" s="612" customFormat="1" ht="4.5" customHeight="1" x14ac:dyDescent="0.3">
      <c r="B21" s="734"/>
      <c r="C21" s="397"/>
      <c r="D21" s="397"/>
      <c r="E21" s="397"/>
      <c r="F21" s="397"/>
      <c r="G21" s="1281"/>
      <c r="H21" s="397"/>
    </row>
    <row r="22" spans="2:10" s="612" customFormat="1" x14ac:dyDescent="0.3">
      <c r="B22" s="734" t="s">
        <v>2355</v>
      </c>
      <c r="C22" s="1344">
        <f>AVERAGE(C9:G9)</f>
        <v>58692.4</v>
      </c>
      <c r="D22" s="397"/>
      <c r="E22" s="397"/>
      <c r="F22" s="397"/>
      <c r="G22" s="1281"/>
      <c r="H22" s="397"/>
    </row>
    <row r="23" spans="2:10" s="612" customFormat="1" x14ac:dyDescent="0.3">
      <c r="B23" s="734" t="s">
        <v>1706</v>
      </c>
      <c r="C23" s="827">
        <f>C22/C18</f>
        <v>0.12178999447700369</v>
      </c>
      <c r="D23" s="397"/>
      <c r="E23" s="397"/>
      <c r="F23" s="397"/>
      <c r="G23" s="1281"/>
      <c r="H23" s="397"/>
      <c r="I23" s="612" t="s">
        <v>2369</v>
      </c>
      <c r="J23" s="1572">
        <f>C9/C18</f>
        <v>0.12766572197087145</v>
      </c>
    </row>
    <row r="24" spans="2:10" s="612" customFormat="1" ht="4.5" customHeight="1" x14ac:dyDescent="0.3">
      <c r="B24" s="734"/>
      <c r="C24" s="397"/>
      <c r="D24" s="397"/>
      <c r="E24" s="397"/>
      <c r="F24" s="397"/>
      <c r="G24" s="1281"/>
      <c r="H24" s="397"/>
    </row>
    <row r="25" spans="2:10" s="612" customFormat="1" ht="4.5" customHeight="1" x14ac:dyDescent="0.3">
      <c r="B25" s="1155"/>
      <c r="C25" s="684"/>
      <c r="D25" s="684"/>
      <c r="E25" s="684"/>
      <c r="F25" s="684"/>
      <c r="G25" s="1279"/>
      <c r="H25" s="397"/>
    </row>
    <row r="26" spans="2:10" s="612" customFormat="1" ht="4.5" customHeight="1" x14ac:dyDescent="0.3">
      <c r="B26" s="734"/>
      <c r="C26" s="397"/>
      <c r="D26" s="397"/>
      <c r="E26" s="397"/>
      <c r="F26" s="397"/>
      <c r="G26" s="1281"/>
      <c r="H26" s="397"/>
    </row>
    <row r="27" spans="2:10" s="612" customFormat="1" x14ac:dyDescent="0.3">
      <c r="B27" s="1175" t="s">
        <v>2324</v>
      </c>
      <c r="C27" s="1627"/>
      <c r="D27" s="1627"/>
      <c r="E27" s="1627"/>
      <c r="F27" s="1627"/>
      <c r="G27" s="1628"/>
      <c r="H27" s="397"/>
    </row>
    <row r="28" spans="2:10" s="612" customFormat="1" ht="9" customHeight="1" x14ac:dyDescent="0.3">
      <c r="B28" s="1175"/>
      <c r="C28" s="1627"/>
      <c r="D28" s="1627"/>
      <c r="E28" s="1627"/>
      <c r="F28" s="1627"/>
      <c r="G28" s="1628"/>
      <c r="H28" s="397"/>
    </row>
    <row r="29" spans="2:10" s="612" customFormat="1" x14ac:dyDescent="0.3">
      <c r="B29" s="1175" t="s">
        <v>1398</v>
      </c>
      <c r="C29" s="1627"/>
      <c r="D29" s="1627"/>
      <c r="E29" s="1627"/>
      <c r="F29" s="1627"/>
      <c r="G29" s="1628"/>
      <c r="H29" s="397"/>
    </row>
    <row r="30" spans="2:10" s="612" customFormat="1" x14ac:dyDescent="0.3">
      <c r="B30" s="1175" t="s">
        <v>2350</v>
      </c>
      <c r="C30" s="1627"/>
      <c r="D30" s="1627"/>
      <c r="E30" s="1627"/>
      <c r="F30" s="1627"/>
      <c r="G30" s="1628"/>
      <c r="H30" s="397"/>
    </row>
    <row r="31" spans="2:10" s="612" customFormat="1" x14ac:dyDescent="0.3">
      <c r="B31" s="1175" t="s">
        <v>2362</v>
      </c>
      <c r="C31" s="1627"/>
      <c r="D31" s="1627"/>
      <c r="E31" s="1627"/>
      <c r="F31" s="1627"/>
      <c r="G31" s="1628"/>
      <c r="H31" s="397"/>
    </row>
    <row r="32" spans="2:10" s="612" customFormat="1" ht="16.2" thickBot="1" x14ac:dyDescent="0.35">
      <c r="B32" s="2918" t="s">
        <v>2354</v>
      </c>
      <c r="C32" s="2919"/>
      <c r="D32" s="2919"/>
      <c r="E32" s="2919"/>
      <c r="F32" s="2919"/>
      <c r="G32" s="2920"/>
      <c r="H32" s="397"/>
    </row>
    <row r="33" spans="2:10" ht="30.75" customHeight="1" x14ac:dyDescent="0.3">
      <c r="B33" s="2936" t="s">
        <v>2347</v>
      </c>
      <c r="C33" s="2936"/>
      <c r="D33" s="2936"/>
      <c r="E33" s="2936"/>
      <c r="F33" s="2936"/>
      <c r="G33" s="2936"/>
      <c r="H33" s="397"/>
    </row>
    <row r="34" spans="2:10" ht="30.75" customHeight="1" x14ac:dyDescent="0.3">
      <c r="B34" s="1838"/>
      <c r="C34" s="1838"/>
      <c r="D34" s="1838"/>
      <c r="E34" s="1838"/>
      <c r="F34" s="1838"/>
      <c r="G34" s="1838"/>
      <c r="H34" s="397"/>
    </row>
    <row r="35" spans="2:10" x14ac:dyDescent="0.3">
      <c r="C35" s="1332">
        <f t="shared" ref="C35:H35" si="2">C5</f>
        <v>2016</v>
      </c>
      <c r="D35" s="1332">
        <f t="shared" si="2"/>
        <v>2015</v>
      </c>
      <c r="E35" s="1332">
        <f t="shared" si="2"/>
        <v>2014</v>
      </c>
      <c r="F35" s="1332">
        <f t="shared" si="2"/>
        <v>2013</v>
      </c>
      <c r="G35" s="1332">
        <f t="shared" si="2"/>
        <v>2012</v>
      </c>
      <c r="H35" s="1332">
        <f t="shared" si="2"/>
        <v>2011</v>
      </c>
      <c r="I35" s="211">
        <v>2010</v>
      </c>
    </row>
    <row r="36" spans="2:10" x14ac:dyDescent="0.3">
      <c r="B36" s="211" t="s">
        <v>1766</v>
      </c>
      <c r="C36" s="1224">
        <v>128249</v>
      </c>
      <c r="D36" s="1224">
        <v>119355</v>
      </c>
      <c r="E36" s="1224">
        <v>111547</v>
      </c>
      <c r="F36" s="1224">
        <v>123549</v>
      </c>
      <c r="G36" s="1224">
        <v>118210</v>
      </c>
      <c r="H36" s="1224">
        <v>76615</v>
      </c>
    </row>
    <row r="37" spans="2:10" x14ac:dyDescent="0.3">
      <c r="B37" s="211" t="s">
        <v>23</v>
      </c>
      <c r="C37" s="1387">
        <f>75427+3500</f>
        <v>78927</v>
      </c>
      <c r="D37" s="1387">
        <f>53329+2500</f>
        <v>55829</v>
      </c>
      <c r="E37" s="1387">
        <f>28987+0</f>
        <v>28987</v>
      </c>
      <c r="F37" s="1387">
        <f>16960</f>
        <v>16960</v>
      </c>
      <c r="G37" s="1387">
        <v>0</v>
      </c>
      <c r="H37" s="1387">
        <f>0</f>
        <v>0</v>
      </c>
    </row>
    <row r="38" spans="2:10" x14ac:dyDescent="0.3">
      <c r="B38" s="211" t="s">
        <v>2328</v>
      </c>
      <c r="C38" s="1387">
        <f>-C49</f>
        <v>-61764.025000000001</v>
      </c>
      <c r="D38" s="1387">
        <f>-D49</f>
        <v>-35758.125</v>
      </c>
      <c r="E38" s="1387">
        <f>-E49</f>
        <v>-20507.125</v>
      </c>
      <c r="F38" s="1387">
        <f t="shared" ref="F38:H38" si="3">-F49</f>
        <v>-36273.25</v>
      </c>
      <c r="G38" s="1387">
        <f t="shared" si="3"/>
        <v>-25216.3</v>
      </c>
      <c r="H38" s="1387">
        <f t="shared" si="3"/>
        <v>-23245.775000000001</v>
      </c>
    </row>
    <row r="39" spans="2:10" x14ac:dyDescent="0.3">
      <c r="B39" s="211" t="s">
        <v>2330</v>
      </c>
      <c r="C39" s="1387">
        <f>-170430</f>
        <v>-170430</v>
      </c>
      <c r="D39" s="1387">
        <f>-164065</f>
        <v>-164065</v>
      </c>
      <c r="E39" s="1387">
        <f>-130162</f>
        <v>-130162</v>
      </c>
      <c r="F39" s="1387">
        <f>-106215</f>
        <v>-106215</v>
      </c>
      <c r="G39" s="1387">
        <f>-92122</f>
        <v>-92122</v>
      </c>
      <c r="H39" s="1387">
        <f>-55618</f>
        <v>-55618</v>
      </c>
    </row>
    <row r="40" spans="2:10" x14ac:dyDescent="0.3">
      <c r="B40" s="211" t="s">
        <v>1980</v>
      </c>
      <c r="C40" s="1224">
        <f>-5414-3206</f>
        <v>-8620</v>
      </c>
      <c r="D40" s="1224">
        <f>-5116-3893</f>
        <v>-9009</v>
      </c>
      <c r="E40" s="1224">
        <f>-4616-4142</f>
        <v>-8758</v>
      </c>
      <c r="F40" s="1224">
        <f>-1577-4197</f>
        <v>-5774</v>
      </c>
      <c r="G40" s="1224">
        <f>-1135-4224</f>
        <v>-5359</v>
      </c>
      <c r="H40" s="1224">
        <f>896-3536</f>
        <v>-2640</v>
      </c>
    </row>
    <row r="41" spans="2:10" x14ac:dyDescent="0.3">
      <c r="B41" s="211" t="s">
        <v>257</v>
      </c>
      <c r="C41" s="1630">
        <f>SUM(C36:C40)</f>
        <v>-33638.024999999994</v>
      </c>
      <c r="D41" s="1630">
        <f t="shared" ref="D41:H41" si="4">SUM(D36:D40)</f>
        <v>-33648.125</v>
      </c>
      <c r="E41" s="1630">
        <f t="shared" si="4"/>
        <v>-18893.125</v>
      </c>
      <c r="F41" s="1630">
        <f t="shared" si="4"/>
        <v>-7753.25</v>
      </c>
      <c r="G41" s="1630">
        <f t="shared" si="4"/>
        <v>-4487.3000000000029</v>
      </c>
      <c r="H41" s="1630">
        <f t="shared" si="4"/>
        <v>-4888.7750000000015</v>
      </c>
    </row>
    <row r="42" spans="2:10" x14ac:dyDescent="0.3">
      <c r="B42" s="211" t="s">
        <v>1767</v>
      </c>
      <c r="C42" s="1224">
        <f>AVERAGE(C41:D41)</f>
        <v>-33643.074999999997</v>
      </c>
      <c r="D42" s="1224">
        <f t="shared" ref="D42:G42" si="5">AVERAGE(D41:E41)</f>
        <v>-26270.625</v>
      </c>
      <c r="E42" s="1224">
        <f t="shared" si="5"/>
        <v>-13323.1875</v>
      </c>
      <c r="F42" s="1224">
        <f t="shared" si="5"/>
        <v>-6120.2750000000015</v>
      </c>
      <c r="G42" s="1224">
        <f t="shared" si="5"/>
        <v>-4688.0375000000022</v>
      </c>
      <c r="H42" s="1224">
        <f>AVERAGE(H41:H41)</f>
        <v>-4888.7750000000015</v>
      </c>
    </row>
    <row r="43" spans="2:10" x14ac:dyDescent="0.3">
      <c r="C43" s="1224"/>
      <c r="D43" s="1224"/>
      <c r="E43" s="1224"/>
      <c r="F43" s="1224"/>
      <c r="G43" s="1224"/>
      <c r="H43" s="1224"/>
    </row>
    <row r="44" spans="2:10" x14ac:dyDescent="0.3">
      <c r="B44" s="211" t="s">
        <v>5</v>
      </c>
      <c r="C44" s="1224">
        <v>20484</v>
      </c>
      <c r="D44" s="1224">
        <v>21120</v>
      </c>
      <c r="E44" s="1224">
        <v>13844</v>
      </c>
      <c r="F44" s="1224">
        <v>14259</v>
      </c>
      <c r="G44" s="1224">
        <v>10746</v>
      </c>
      <c r="H44" s="1224">
        <v>9815</v>
      </c>
    </row>
    <row r="45" spans="2:10" x14ac:dyDescent="0.3">
      <c r="B45" s="211" t="s">
        <v>2325</v>
      </c>
      <c r="C45" s="1224">
        <v>46671</v>
      </c>
      <c r="D45" s="1224">
        <v>20481</v>
      </c>
      <c r="E45" s="1224">
        <v>11233</v>
      </c>
      <c r="F45" s="1224">
        <v>26287</v>
      </c>
      <c r="G45" s="1224">
        <v>18383</v>
      </c>
      <c r="H45" s="1224">
        <v>16137</v>
      </c>
    </row>
    <row r="46" spans="2:10" x14ac:dyDescent="0.3">
      <c r="B46" s="211" t="s">
        <v>2329</v>
      </c>
      <c r="C46" s="1630">
        <f>C44+C45</f>
        <v>67155</v>
      </c>
      <c r="D46" s="1630">
        <f>D44+D45</f>
        <v>41601</v>
      </c>
      <c r="E46" s="1630">
        <f t="shared" ref="E46:H46" si="6">E44+E45</f>
        <v>25077</v>
      </c>
      <c r="F46" s="1630">
        <f t="shared" si="6"/>
        <v>40546</v>
      </c>
      <c r="G46" s="1630">
        <f t="shared" si="6"/>
        <v>29129</v>
      </c>
      <c r="H46" s="1630">
        <f t="shared" si="6"/>
        <v>25952</v>
      </c>
    </row>
    <row r="47" spans="2:10" ht="8.25" customHeight="1" x14ac:dyDescent="0.3">
      <c r="C47" s="1224"/>
      <c r="D47" s="1224"/>
      <c r="E47" s="1224"/>
      <c r="F47" s="1224"/>
      <c r="G47" s="1224"/>
      <c r="H47" s="1224"/>
      <c r="I47" s="211" t="s">
        <v>176</v>
      </c>
      <c r="J47" s="1622"/>
    </row>
    <row r="48" spans="2:10" x14ac:dyDescent="0.3">
      <c r="B48" s="211" t="s">
        <v>2326</v>
      </c>
      <c r="C48" s="1224">
        <f t="shared" ref="C48:H48" si="7">0.025*C6</f>
        <v>5390.9750000000004</v>
      </c>
      <c r="D48" s="1224">
        <f t="shared" si="7"/>
        <v>5842.875</v>
      </c>
      <c r="E48" s="1224">
        <f t="shared" si="7"/>
        <v>4569.875</v>
      </c>
      <c r="F48" s="1224">
        <f t="shared" si="7"/>
        <v>4272.75</v>
      </c>
      <c r="G48" s="1224">
        <f t="shared" si="7"/>
        <v>3912.7000000000003</v>
      </c>
      <c r="H48" s="1224">
        <f t="shared" si="7"/>
        <v>2706.2250000000004</v>
      </c>
      <c r="J48" s="1622"/>
    </row>
    <row r="49" spans="2:10" x14ac:dyDescent="0.3">
      <c r="B49" s="211" t="s">
        <v>2327</v>
      </c>
      <c r="C49" s="1630">
        <f>C46-C48</f>
        <v>61764.025000000001</v>
      </c>
      <c r="D49" s="1630">
        <f>D46-D48</f>
        <v>35758.125</v>
      </c>
      <c r="E49" s="1630">
        <f t="shared" ref="E49:H49" si="8">E46-E48</f>
        <v>20507.125</v>
      </c>
      <c r="F49" s="1630">
        <f t="shared" si="8"/>
        <v>36273.25</v>
      </c>
      <c r="G49" s="1630">
        <f t="shared" si="8"/>
        <v>25216.3</v>
      </c>
      <c r="H49" s="1630">
        <f t="shared" si="8"/>
        <v>23245.775000000001</v>
      </c>
      <c r="J49" s="1622"/>
    </row>
    <row r="50" spans="2:10" x14ac:dyDescent="0.3">
      <c r="C50" s="1622"/>
      <c r="D50" s="1622"/>
      <c r="E50" s="1622"/>
      <c r="F50" s="1622"/>
      <c r="G50" s="1622"/>
      <c r="H50" s="1622"/>
      <c r="J50" s="1622"/>
    </row>
    <row r="51" spans="2:10" x14ac:dyDescent="0.3">
      <c r="C51" s="1332">
        <f>C35</f>
        <v>2016</v>
      </c>
      <c r="D51" s="1332">
        <f t="shared" ref="D51:I51" si="9">D35</f>
        <v>2015</v>
      </c>
      <c r="E51" s="1332">
        <f t="shared" si="9"/>
        <v>2014</v>
      </c>
      <c r="F51" s="1332">
        <f t="shared" si="9"/>
        <v>2013</v>
      </c>
      <c r="G51" s="1332">
        <f t="shared" si="9"/>
        <v>2012</v>
      </c>
      <c r="H51" s="1332">
        <f t="shared" si="9"/>
        <v>2011</v>
      </c>
      <c r="I51" s="1332">
        <f t="shared" si="9"/>
        <v>2010</v>
      </c>
      <c r="J51" s="1622"/>
    </row>
    <row r="52" spans="2:10" x14ac:dyDescent="0.3">
      <c r="B52" s="211" t="s">
        <v>2331</v>
      </c>
      <c r="C52" s="1224">
        <v>10045</v>
      </c>
      <c r="D52" s="1224">
        <v>8067</v>
      </c>
      <c r="E52" s="1224">
        <v>6041</v>
      </c>
      <c r="F52" s="1224">
        <v>4475</v>
      </c>
      <c r="G52" s="1224">
        <v>3381</v>
      </c>
      <c r="H52" s="1224">
        <v>2429</v>
      </c>
      <c r="I52" s="1224">
        <v>1782</v>
      </c>
      <c r="J52" s="403"/>
    </row>
    <row r="53" spans="2:10" x14ac:dyDescent="0.3">
      <c r="B53" s="211" t="s">
        <v>2332</v>
      </c>
      <c r="C53" s="227">
        <f t="shared" ref="C53:H53" si="10">C52/C6</f>
        <v>4.6582482760539605E-2</v>
      </c>
      <c r="D53" s="227">
        <f t="shared" si="10"/>
        <v>3.4516398177267184E-2</v>
      </c>
      <c r="E53" s="227">
        <f t="shared" si="10"/>
        <v>3.3047949889220163E-2</v>
      </c>
      <c r="F53" s="227">
        <f t="shared" si="10"/>
        <v>2.6183371365045931E-2</v>
      </c>
      <c r="G53" s="227">
        <f t="shared" si="10"/>
        <v>2.1602729572929181E-2</v>
      </c>
      <c r="H53" s="227">
        <f t="shared" si="10"/>
        <v>2.2439006364954873E-2</v>
      </c>
    </row>
    <row r="54" spans="2:10" x14ac:dyDescent="0.3">
      <c r="C54" s="227"/>
      <c r="D54" s="227"/>
      <c r="E54" s="227"/>
      <c r="F54" s="227"/>
      <c r="G54" s="227"/>
      <c r="H54" s="227"/>
    </row>
    <row r="55" spans="2:10" x14ac:dyDescent="0.3">
      <c r="C55" s="1224"/>
      <c r="D55" s="1224"/>
      <c r="E55" s="1224"/>
      <c r="F55" s="1224"/>
      <c r="G55" s="1224"/>
      <c r="H55" s="1224"/>
    </row>
    <row r="56" spans="2:10" x14ac:dyDescent="0.3">
      <c r="B56" s="1842" t="s">
        <v>2357</v>
      </c>
      <c r="C56" s="1630"/>
      <c r="D56" s="1630"/>
      <c r="E56" s="1630"/>
      <c r="F56" s="1630"/>
      <c r="G56" s="1630"/>
      <c r="H56" s="1630"/>
      <c r="I56" s="1843"/>
    </row>
    <row r="57" spans="2:10" x14ac:dyDescent="0.3">
      <c r="B57" s="1844">
        <v>2015</v>
      </c>
      <c r="C57" s="926">
        <f>D57*0.8</f>
        <v>6453.6</v>
      </c>
      <c r="D57" s="926">
        <f>D52</f>
        <v>8067</v>
      </c>
      <c r="E57" s="926"/>
      <c r="F57" s="926"/>
      <c r="G57" s="926"/>
      <c r="H57" s="926"/>
      <c r="I57" s="1845"/>
    </row>
    <row r="58" spans="2:10" x14ac:dyDescent="0.3">
      <c r="B58" s="1844">
        <v>2014</v>
      </c>
      <c r="C58" s="926">
        <f>E58*0.6</f>
        <v>3624.6</v>
      </c>
      <c r="D58" s="926">
        <f>E58*0.8</f>
        <v>4832.8</v>
      </c>
      <c r="E58" s="926">
        <f>E52</f>
        <v>6041</v>
      </c>
      <c r="F58" s="926"/>
      <c r="G58" s="926"/>
      <c r="H58" s="926"/>
      <c r="I58" s="1845"/>
    </row>
    <row r="59" spans="2:10" x14ac:dyDescent="0.3">
      <c r="B59" s="1844">
        <v>2013</v>
      </c>
      <c r="C59" s="926">
        <f>F59*0.4</f>
        <v>1790</v>
      </c>
      <c r="D59" s="926">
        <f>F59*0.6</f>
        <v>2685</v>
      </c>
      <c r="E59" s="926">
        <f>F59*0.8</f>
        <v>3580</v>
      </c>
      <c r="F59" s="926">
        <f>F52</f>
        <v>4475</v>
      </c>
      <c r="G59" s="926"/>
      <c r="H59" s="926"/>
      <c r="I59" s="1845"/>
    </row>
    <row r="60" spans="2:10" x14ac:dyDescent="0.3">
      <c r="B60" s="1844">
        <v>2012</v>
      </c>
      <c r="C60" s="926">
        <f>G60*0.2</f>
        <v>676.2</v>
      </c>
      <c r="D60" s="926">
        <f>G60*0.4</f>
        <v>1352.4</v>
      </c>
      <c r="E60" s="926">
        <f>G60*0.6</f>
        <v>2028.6</v>
      </c>
      <c r="F60" s="926">
        <f>G60*0.8</f>
        <v>2704.8</v>
      </c>
      <c r="G60" s="926">
        <f>G52</f>
        <v>3381</v>
      </c>
      <c r="H60" s="926"/>
      <c r="I60" s="1845"/>
    </row>
    <row r="61" spans="2:10" x14ac:dyDescent="0.3">
      <c r="B61" s="1844">
        <v>2011</v>
      </c>
      <c r="C61" s="926">
        <f>H61*0</f>
        <v>0</v>
      </c>
      <c r="D61" s="926">
        <f>H61*0.2</f>
        <v>485.8</v>
      </c>
      <c r="E61" s="926">
        <f>H61*0.4</f>
        <v>971.6</v>
      </c>
      <c r="F61" s="926">
        <f>H61*0.6</f>
        <v>1457.3999999999999</v>
      </c>
      <c r="G61" s="926">
        <f>H61*0.8</f>
        <v>1943.2</v>
      </c>
      <c r="H61" s="926">
        <f>H52</f>
        <v>2429</v>
      </c>
      <c r="I61" s="1845"/>
    </row>
    <row r="62" spans="2:10" x14ac:dyDescent="0.3">
      <c r="B62" s="1844" t="s">
        <v>2356</v>
      </c>
      <c r="C62" s="1630">
        <f>SUM(C57:C61)</f>
        <v>12544.400000000001</v>
      </c>
      <c r="D62" s="926"/>
      <c r="E62" s="926"/>
      <c r="F62" s="926"/>
      <c r="G62" s="926"/>
      <c r="H62" s="926"/>
      <c r="I62" s="1846"/>
    </row>
    <row r="63" spans="2:10" x14ac:dyDescent="0.3">
      <c r="B63" s="1844" t="s">
        <v>2359</v>
      </c>
      <c r="C63" s="926">
        <f>C52</f>
        <v>10045</v>
      </c>
      <c r="D63" s="926"/>
      <c r="E63" s="926"/>
      <c r="F63" s="926"/>
      <c r="G63" s="926"/>
      <c r="H63" s="926"/>
      <c r="I63" s="1846"/>
    </row>
    <row r="64" spans="2:10" x14ac:dyDescent="0.3">
      <c r="B64" s="1844" t="s">
        <v>2360</v>
      </c>
      <c r="C64" s="1630">
        <f>SUM(C62:C63)</f>
        <v>22589.4</v>
      </c>
      <c r="D64" s="926"/>
      <c r="E64" s="926"/>
      <c r="F64" s="926"/>
      <c r="G64" s="926"/>
      <c r="H64" s="926"/>
      <c r="I64" s="1846"/>
    </row>
    <row r="65" spans="2:9" x14ac:dyDescent="0.3">
      <c r="B65" s="1844"/>
      <c r="C65" s="926"/>
      <c r="D65" s="926"/>
      <c r="E65" s="926"/>
      <c r="F65" s="926"/>
      <c r="G65" s="926"/>
      <c r="H65" s="926"/>
      <c r="I65" s="1845"/>
    </row>
    <row r="66" spans="2:9" x14ac:dyDescent="0.3">
      <c r="B66" s="1844" t="s">
        <v>2358</v>
      </c>
      <c r="C66" s="926"/>
      <c r="D66" s="926"/>
      <c r="E66" s="926"/>
      <c r="F66" s="926"/>
      <c r="G66" s="926"/>
      <c r="H66" s="926"/>
      <c r="I66" s="1845"/>
    </row>
    <row r="67" spans="2:9" x14ac:dyDescent="0.3">
      <c r="B67" s="1844">
        <v>2015</v>
      </c>
      <c r="C67" s="926">
        <f>C57-D57</f>
        <v>-1613.3999999999996</v>
      </c>
      <c r="D67" s="926"/>
      <c r="E67" s="926"/>
      <c r="F67" s="926"/>
      <c r="G67" s="926"/>
      <c r="H67" s="926"/>
      <c r="I67" s="1845"/>
    </row>
    <row r="68" spans="2:9" x14ac:dyDescent="0.3">
      <c r="B68" s="1844">
        <v>2014</v>
      </c>
      <c r="C68" s="926">
        <f t="shared" ref="C68:C71" si="11">C58-D58</f>
        <v>-1208.2000000000003</v>
      </c>
      <c r="D68" s="926"/>
      <c r="E68" s="926"/>
      <c r="F68" s="926"/>
      <c r="G68" s="926"/>
      <c r="H68" s="926"/>
      <c r="I68" s="1845"/>
    </row>
    <row r="69" spans="2:9" x14ac:dyDescent="0.3">
      <c r="B69" s="1844">
        <v>2013</v>
      </c>
      <c r="C69" s="926">
        <f t="shared" si="11"/>
        <v>-895</v>
      </c>
      <c r="D69" s="926"/>
      <c r="E69" s="926"/>
      <c r="F69" s="926"/>
      <c r="G69" s="926"/>
      <c r="H69" s="926"/>
      <c r="I69" s="1845"/>
    </row>
    <row r="70" spans="2:9" x14ac:dyDescent="0.3">
      <c r="B70" s="1844">
        <v>2012</v>
      </c>
      <c r="C70" s="926">
        <f t="shared" si="11"/>
        <v>-676.2</v>
      </c>
      <c r="D70" s="926"/>
      <c r="E70" s="926"/>
      <c r="F70" s="926"/>
      <c r="G70" s="926"/>
      <c r="H70" s="926"/>
      <c r="I70" s="1845"/>
    </row>
    <row r="71" spans="2:9" x14ac:dyDescent="0.3">
      <c r="B71" s="1844">
        <v>2011</v>
      </c>
      <c r="C71" s="926">
        <f t="shared" si="11"/>
        <v>-485.8</v>
      </c>
      <c r="D71" s="926"/>
      <c r="E71" s="926"/>
      <c r="F71" s="926"/>
      <c r="G71" s="926"/>
      <c r="H71" s="926"/>
      <c r="I71" s="1845"/>
    </row>
    <row r="72" spans="2:9" x14ac:dyDescent="0.3">
      <c r="B72" s="1847" t="s">
        <v>3</v>
      </c>
      <c r="C72" s="1848">
        <f>SUM(C67:C71)</f>
        <v>-4878.6000000000004</v>
      </c>
      <c r="D72" s="1849"/>
      <c r="E72" s="1849"/>
      <c r="F72" s="1849"/>
      <c r="G72" s="1849"/>
      <c r="H72" s="1849"/>
      <c r="I72" s="1850"/>
    </row>
    <row r="73" spans="2:9" x14ac:dyDescent="0.3">
      <c r="C73" s="1224"/>
      <c r="D73" s="1224"/>
      <c r="E73" s="1224"/>
      <c r="F73" s="1224"/>
      <c r="G73" s="1224"/>
      <c r="H73" s="1224"/>
    </row>
    <row r="74" spans="2:9" x14ac:dyDescent="0.3">
      <c r="B74" s="211" t="s">
        <v>2333</v>
      </c>
      <c r="C74" s="1224">
        <f>C49</f>
        <v>61764.025000000001</v>
      </c>
      <c r="D74" s="1224"/>
      <c r="E74" s="1224"/>
      <c r="F74" s="1224"/>
      <c r="G74" s="1224"/>
      <c r="H74" s="1224"/>
      <c r="I74" s="1224"/>
    </row>
    <row r="75" spans="2:9" x14ac:dyDescent="0.3">
      <c r="B75" s="211" t="s">
        <v>2334</v>
      </c>
      <c r="C75" s="1224">
        <f>-C39</f>
        <v>170430</v>
      </c>
      <c r="D75" s="1224"/>
      <c r="E75" s="1224"/>
      <c r="F75" s="1224"/>
      <c r="G75" s="1224"/>
      <c r="H75" s="1224"/>
      <c r="I75" s="1224"/>
    </row>
    <row r="76" spans="2:9" x14ac:dyDescent="0.3">
      <c r="B76" s="211" t="s">
        <v>2335</v>
      </c>
      <c r="C76" s="1630">
        <f>C74+C75</f>
        <v>232194.02499999999</v>
      </c>
      <c r="D76" s="1224"/>
      <c r="E76" s="1224"/>
      <c r="F76" s="1224"/>
      <c r="G76" s="1224"/>
      <c r="H76" s="1224"/>
      <c r="I76" s="1224"/>
    </row>
    <row r="77" spans="2:9" x14ac:dyDescent="0.3">
      <c r="C77" s="1224"/>
      <c r="D77" s="1224"/>
      <c r="E77" s="1224"/>
      <c r="F77" s="1224"/>
      <c r="G77" s="1224"/>
      <c r="H77" s="1224"/>
      <c r="I77" s="1224"/>
    </row>
    <row r="78" spans="2:9" x14ac:dyDescent="0.3">
      <c r="B78" s="211" t="s">
        <v>2336</v>
      </c>
      <c r="C78" s="1224">
        <f>10*(AVERAGE(C7:E7))</f>
        <v>612523.33333333337</v>
      </c>
      <c r="H78" s="1224"/>
      <c r="I78" s="1224"/>
    </row>
    <row r="79" spans="2:9" x14ac:dyDescent="0.3">
      <c r="B79" s="211" t="s">
        <v>2337</v>
      </c>
      <c r="C79" s="1224">
        <f>-C37</f>
        <v>-78927</v>
      </c>
    </row>
    <row r="80" spans="2:9" x14ac:dyDescent="0.3">
      <c r="B80" s="211" t="s">
        <v>2338</v>
      </c>
      <c r="C80" s="1630">
        <f>C78+C79</f>
        <v>533596.33333333337</v>
      </c>
      <c r="D80" s="226"/>
      <c r="E80" s="226"/>
      <c r="F80" s="226"/>
      <c r="G80" s="226"/>
    </row>
    <row r="83" spans="2:11" x14ac:dyDescent="0.3">
      <c r="B83" s="211" t="s">
        <v>1201</v>
      </c>
      <c r="C83" s="227">
        <f>C6/D6-1</f>
        <v>-7.7342061913013738E-2</v>
      </c>
      <c r="D83" s="227">
        <f>D6/E6-1</f>
        <v>0.27856341803659834</v>
      </c>
      <c r="E83" s="227">
        <f>E6/F6-1</f>
        <v>6.9539523725937524E-2</v>
      </c>
      <c r="F83" s="227">
        <f>F6/G6-1</f>
        <v>9.2020855163953197E-2</v>
      </c>
      <c r="G83" s="227">
        <f>G6/H6-1</f>
        <v>0.44581474193756976</v>
      </c>
    </row>
    <row r="85" spans="2:11" x14ac:dyDescent="0.3">
      <c r="B85" s="211" t="s">
        <v>2339</v>
      </c>
      <c r="C85" s="1224">
        <v>166713209</v>
      </c>
      <c r="K85" s="211" t="e">
        <f>#REF!/#REF!</f>
        <v>#REF!</v>
      </c>
    </row>
    <row r="86" spans="2:11" x14ac:dyDescent="0.3">
      <c r="B86" s="211" t="s">
        <v>2340</v>
      </c>
      <c r="C86" s="1224">
        <v>20961</v>
      </c>
    </row>
    <row r="87" spans="2:11" x14ac:dyDescent="0.3">
      <c r="B87" s="211" t="s">
        <v>2341</v>
      </c>
      <c r="C87" s="1619">
        <v>3.3000000000000002E-2</v>
      </c>
    </row>
    <row r="88" spans="2:11" x14ac:dyDescent="0.3">
      <c r="B88" s="211" t="s">
        <v>2342</v>
      </c>
      <c r="C88" s="1224">
        <f>C86/C87</f>
        <v>635181.81818181812</v>
      </c>
    </row>
    <row r="90" spans="2:11" x14ac:dyDescent="0.3">
      <c r="B90" s="211" t="s">
        <v>2343</v>
      </c>
      <c r="C90" s="1224">
        <f>C37</f>
        <v>78927</v>
      </c>
    </row>
    <row r="91" spans="2:11" x14ac:dyDescent="0.3">
      <c r="B91" s="211" t="s">
        <v>2344</v>
      </c>
      <c r="C91" s="1224">
        <f>C88+C90</f>
        <v>714108.81818181812</v>
      </c>
    </row>
    <row r="93" spans="2:11" x14ac:dyDescent="0.3">
      <c r="B93" s="211" t="s">
        <v>2345</v>
      </c>
      <c r="C93" s="1622">
        <f>AVERAGE(C7:E7)</f>
        <v>61252.333333333336</v>
      </c>
    </row>
    <row r="94" spans="2:11" x14ac:dyDescent="0.3">
      <c r="B94" s="211" t="s">
        <v>2346</v>
      </c>
      <c r="C94" s="350">
        <f>C93/C91</f>
        <v>8.5774509113732827E-2</v>
      </c>
    </row>
    <row r="96" spans="2:11" x14ac:dyDescent="0.3">
      <c r="B96" s="211" t="s">
        <v>2352</v>
      </c>
      <c r="C96" s="1224">
        <f>C91-C76</f>
        <v>481914.7931818181</v>
      </c>
    </row>
    <row r="97" spans="2:9" x14ac:dyDescent="0.3">
      <c r="B97" s="211" t="s">
        <v>2353</v>
      </c>
      <c r="C97" s="227">
        <f>C93/C96</f>
        <v>0.12710199852741166</v>
      </c>
    </row>
    <row r="99" spans="2:9" x14ac:dyDescent="0.3">
      <c r="C99" s="1332">
        <f>C51</f>
        <v>2016</v>
      </c>
      <c r="D99" s="1332">
        <f t="shared" ref="D99:I99" si="12">D51</f>
        <v>2015</v>
      </c>
      <c r="E99" s="1332">
        <f t="shared" si="12"/>
        <v>2014</v>
      </c>
      <c r="F99" s="1332">
        <f t="shared" si="12"/>
        <v>2013</v>
      </c>
      <c r="G99" s="1332">
        <f t="shared" si="12"/>
        <v>2012</v>
      </c>
      <c r="H99" s="1332">
        <f t="shared" si="12"/>
        <v>2011</v>
      </c>
      <c r="I99" s="1332">
        <f t="shared" si="12"/>
        <v>2010</v>
      </c>
    </row>
    <row r="100" spans="2:9" x14ac:dyDescent="0.3">
      <c r="B100" s="211" t="s">
        <v>2304</v>
      </c>
      <c r="C100" s="1224">
        <v>27010</v>
      </c>
      <c r="D100" s="1224">
        <v>22471</v>
      </c>
      <c r="E100" s="1224">
        <v>20624</v>
      </c>
      <c r="F100" s="1224">
        <v>16597</v>
      </c>
      <c r="G100" s="1224">
        <v>15452</v>
      </c>
      <c r="H100" s="1224">
        <v>7777</v>
      </c>
    </row>
    <row r="101" spans="2:9" x14ac:dyDescent="0.3">
      <c r="B101" s="211" t="s">
        <v>2363</v>
      </c>
      <c r="C101" s="1329">
        <f>C6/C100</f>
        <v>7.9836727138096997</v>
      </c>
      <c r="D101" s="1329">
        <f t="shared" ref="D101:H101" si="13">D6/D100</f>
        <v>10.400738729918562</v>
      </c>
      <c r="E101" s="1329">
        <f t="shared" si="13"/>
        <v>8.863217610550814</v>
      </c>
      <c r="F101" s="1329">
        <f t="shared" si="13"/>
        <v>10.297644152557691</v>
      </c>
      <c r="G101" s="1329">
        <f t="shared" si="13"/>
        <v>10.128656484597464</v>
      </c>
      <c r="H101" s="1329">
        <f t="shared" si="13"/>
        <v>13.919120483476918</v>
      </c>
    </row>
    <row r="104" spans="2:9" x14ac:dyDescent="0.3">
      <c r="B104" s="211" t="s">
        <v>2364</v>
      </c>
      <c r="C104" s="1224">
        <f>0.025*C6</f>
        <v>5390.9750000000004</v>
      </c>
      <c r="D104" s="1224">
        <f>0.025*D6</f>
        <v>5842.875</v>
      </c>
      <c r="E104" s="1224"/>
      <c r="F104" s="1224"/>
      <c r="G104" s="1224"/>
      <c r="H104" s="1224"/>
    </row>
    <row r="105" spans="2:9" x14ac:dyDescent="0.3">
      <c r="B105" s="211" t="s">
        <v>558</v>
      </c>
      <c r="C105" s="1224">
        <v>15754</v>
      </c>
      <c r="D105" s="1224">
        <v>16849</v>
      </c>
      <c r="E105" s="1224"/>
      <c r="F105" s="1224"/>
      <c r="G105" s="1224"/>
      <c r="H105" s="1224"/>
    </row>
    <row r="106" spans="2:9" x14ac:dyDescent="0.3">
      <c r="B106" s="211" t="s">
        <v>10</v>
      </c>
      <c r="C106" s="1224">
        <v>2132</v>
      </c>
      <c r="D106" s="1224">
        <v>2349</v>
      </c>
      <c r="E106" s="1224"/>
      <c r="F106" s="1224"/>
      <c r="G106" s="1224"/>
      <c r="H106" s="1224"/>
    </row>
    <row r="107" spans="2:9" x14ac:dyDescent="0.3">
      <c r="B107" s="211" t="s">
        <v>2365</v>
      </c>
      <c r="C107" s="1224">
        <v>13545</v>
      </c>
      <c r="D107" s="1224">
        <v>13494</v>
      </c>
      <c r="E107" s="1224"/>
      <c r="F107" s="1224"/>
      <c r="G107" s="1224"/>
      <c r="H107" s="1224"/>
    </row>
    <row r="108" spans="2:9" x14ac:dyDescent="0.3">
      <c r="B108" s="211" t="s">
        <v>2366</v>
      </c>
      <c r="C108" s="1224">
        <v>27010</v>
      </c>
      <c r="D108" s="1224">
        <v>22471</v>
      </c>
      <c r="E108" s="1224"/>
      <c r="F108" s="1224"/>
      <c r="G108" s="1224"/>
      <c r="H108" s="1224"/>
    </row>
    <row r="109" spans="2:9" x14ac:dyDescent="0.3">
      <c r="B109" s="211" t="s">
        <v>3</v>
      </c>
      <c r="C109" s="1630">
        <f>SUM(C104:C108)</f>
        <v>63831.974999999999</v>
      </c>
      <c r="D109" s="1630">
        <f>SUM(D104:D108)</f>
        <v>61005.875</v>
      </c>
      <c r="E109" s="1224"/>
      <c r="F109" s="1224"/>
      <c r="G109" s="1224"/>
      <c r="H109" s="1224"/>
    </row>
    <row r="110" spans="2:9" x14ac:dyDescent="0.3">
      <c r="C110" s="1224"/>
      <c r="D110" s="1224"/>
      <c r="E110" s="1224"/>
      <c r="F110" s="1224"/>
      <c r="G110" s="1224"/>
      <c r="H110" s="1224"/>
    </row>
    <row r="111" spans="2:9" x14ac:dyDescent="0.3">
      <c r="B111" s="211" t="s">
        <v>1255</v>
      </c>
      <c r="C111" s="1224">
        <v>37294</v>
      </c>
      <c r="D111" s="1224">
        <v>35490</v>
      </c>
      <c r="E111" s="1224"/>
      <c r="F111" s="1224"/>
      <c r="G111" s="1224"/>
      <c r="H111" s="1224"/>
    </row>
    <row r="112" spans="2:9" x14ac:dyDescent="0.3">
      <c r="B112" s="211" t="s">
        <v>85</v>
      </c>
      <c r="C112" s="1224">
        <v>22027</v>
      </c>
      <c r="D112" s="1224">
        <v>25181</v>
      </c>
      <c r="E112" s="1224"/>
      <c r="F112" s="1224"/>
      <c r="G112" s="1224"/>
      <c r="H112" s="1224"/>
    </row>
    <row r="113" spans="2:8" x14ac:dyDescent="0.3">
      <c r="B113" s="211" t="s">
        <v>2367</v>
      </c>
      <c r="C113" s="1224">
        <v>8080</v>
      </c>
      <c r="D113" s="1224">
        <v>8940</v>
      </c>
      <c r="E113" s="1224"/>
      <c r="F113" s="1224"/>
      <c r="G113" s="1224"/>
      <c r="H113" s="1224"/>
    </row>
    <row r="114" spans="2:8" x14ac:dyDescent="0.3">
      <c r="B114" s="211" t="s">
        <v>3</v>
      </c>
      <c r="C114" s="1630">
        <f>SUM(C111:C113)</f>
        <v>67401</v>
      </c>
      <c r="D114" s="1630">
        <f>SUM(D111:D113)</f>
        <v>69611</v>
      </c>
      <c r="E114" s="1224"/>
      <c r="F114" s="1224"/>
      <c r="G114" s="1224"/>
      <c r="H114" s="1224"/>
    </row>
    <row r="115" spans="2:8" x14ac:dyDescent="0.3">
      <c r="C115" s="1224"/>
      <c r="D115" s="1224"/>
      <c r="E115" s="1224"/>
      <c r="F115" s="1224"/>
      <c r="G115" s="1224"/>
      <c r="H115" s="1224"/>
    </row>
    <row r="116" spans="2:8" x14ac:dyDescent="0.3">
      <c r="B116" s="211" t="s">
        <v>2368</v>
      </c>
      <c r="C116" s="1224">
        <f>C109-C114</f>
        <v>-3569.0250000000015</v>
      </c>
      <c r="D116" s="1224">
        <f>D109-D114</f>
        <v>-8605.125</v>
      </c>
      <c r="E116" s="1224"/>
      <c r="F116" s="1224"/>
      <c r="G116" s="1224"/>
      <c r="H116" s="1224"/>
    </row>
    <row r="117" spans="2:8" x14ac:dyDescent="0.3">
      <c r="C117" s="1224"/>
      <c r="D117" s="1224"/>
      <c r="E117" s="1224"/>
      <c r="F117" s="1224"/>
      <c r="G117" s="1224"/>
      <c r="H117" s="1224"/>
    </row>
  </sheetData>
  <mergeCells count="2">
    <mergeCell ref="B32:G32"/>
    <mergeCell ref="B33:G33"/>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BC8B7-1ED6-469E-85C1-D73339C369B7}">
  <sheetPr>
    <tabColor theme="4"/>
  </sheetPr>
  <dimension ref="A1:D22"/>
  <sheetViews>
    <sheetView zoomScale="115" zoomScaleNormal="115" workbookViewId="0">
      <selection activeCell="F11" sqref="F11"/>
    </sheetView>
  </sheetViews>
  <sheetFormatPr defaultColWidth="9.109375" defaultRowHeight="15.6" x14ac:dyDescent="0.3"/>
  <cols>
    <col min="1" max="1" width="9.109375" style="211"/>
    <col min="2" max="2" width="20.88671875" style="211" customWidth="1"/>
    <col min="3" max="3" width="14.44140625" style="211" bestFit="1" customWidth="1"/>
    <col min="4" max="4" width="18.5546875" style="211" bestFit="1" customWidth="1"/>
    <col min="5" max="16384" width="9.109375" style="211"/>
  </cols>
  <sheetData>
    <row r="1" spans="1:4" x14ac:dyDescent="0.3">
      <c r="A1" s="211" t="s">
        <v>3667</v>
      </c>
    </row>
    <row r="2" spans="1:4" x14ac:dyDescent="0.3">
      <c r="A2" s="211" t="s">
        <v>896</v>
      </c>
      <c r="B2" s="211" t="s">
        <v>3666</v>
      </c>
      <c r="C2" s="211" t="s">
        <v>3665</v>
      </c>
      <c r="D2" s="211" t="s">
        <v>3</v>
      </c>
    </row>
    <row r="3" spans="1:4" x14ac:dyDescent="0.3">
      <c r="B3" s="230">
        <v>202</v>
      </c>
      <c r="C3" s="348">
        <v>310762.78999999998</v>
      </c>
      <c r="D3" s="604">
        <f>B3*C3</f>
        <v>62774083.579999998</v>
      </c>
    </row>
    <row r="4" spans="1:4" x14ac:dyDescent="0.3">
      <c r="B4" s="230">
        <v>790</v>
      </c>
      <c r="C4" s="348">
        <v>295953.99</v>
      </c>
      <c r="D4" s="604">
        <f>B4*C4</f>
        <v>233803652.09999999</v>
      </c>
    </row>
    <row r="5" spans="1:4" x14ac:dyDescent="0.3">
      <c r="B5" s="230"/>
      <c r="C5" s="348"/>
    </row>
    <row r="6" spans="1:4" x14ac:dyDescent="0.3">
      <c r="A6" s="211" t="s">
        <v>897</v>
      </c>
      <c r="B6" s="230">
        <v>589955</v>
      </c>
      <c r="C6" s="348">
        <v>205.09</v>
      </c>
      <c r="D6" s="604">
        <f>B6*C6</f>
        <v>120993870.95</v>
      </c>
    </row>
    <row r="7" spans="1:4" x14ac:dyDescent="0.3">
      <c r="B7" s="230"/>
      <c r="C7" s="348"/>
    </row>
    <row r="8" spans="1:4" x14ac:dyDescent="0.3">
      <c r="A8" s="211" t="s">
        <v>3664</v>
      </c>
      <c r="B8" s="230">
        <f>B3+B4+(B6/1500)</f>
        <v>1385.3033333333333</v>
      </c>
      <c r="C8" s="604">
        <f>D8/B8</f>
        <v>301429.7277587821</v>
      </c>
      <c r="D8" s="908">
        <f>SUM(D3:D6)</f>
        <v>417571606.63</v>
      </c>
    </row>
    <row r="9" spans="1:4" x14ac:dyDescent="0.3">
      <c r="B9" s="230"/>
    </row>
    <row r="11" spans="1:4" x14ac:dyDescent="0.3">
      <c r="A11" s="211" t="s">
        <v>3663</v>
      </c>
    </row>
    <row r="12" spans="1:4" x14ac:dyDescent="0.3">
      <c r="A12" s="211" t="s">
        <v>896</v>
      </c>
      <c r="B12" s="211">
        <v>1217</v>
      </c>
    </row>
    <row r="13" spans="1:4" x14ac:dyDescent="0.3">
      <c r="A13" s="211" t="s">
        <v>897</v>
      </c>
      <c r="B13" s="211">
        <v>4729147</v>
      </c>
    </row>
    <row r="14" spans="1:4" x14ac:dyDescent="0.3">
      <c r="A14" s="211" t="s">
        <v>3662</v>
      </c>
      <c r="B14" s="211">
        <f>B12+(B13/1500)</f>
        <v>4369.764666666666</v>
      </c>
    </row>
    <row r="16" spans="1:4" x14ac:dyDescent="0.3">
      <c r="A16" s="211" t="s">
        <v>3661</v>
      </c>
      <c r="B16" s="211">
        <v>1287000000</v>
      </c>
    </row>
    <row r="17" spans="1:2" x14ac:dyDescent="0.3">
      <c r="A17" s="211" t="s">
        <v>3660</v>
      </c>
      <c r="B17" s="211">
        <f>B16/B14</f>
        <v>294523.86985904811</v>
      </c>
    </row>
    <row r="20" spans="1:2" x14ac:dyDescent="0.3">
      <c r="A20" s="211" t="s">
        <v>3659</v>
      </c>
      <c r="B20" s="211">
        <v>295000</v>
      </c>
    </row>
    <row r="21" spans="1:2" x14ac:dyDescent="0.3">
      <c r="A21" s="211" t="s">
        <v>3658</v>
      </c>
      <c r="B21" s="211">
        <v>1640929</v>
      </c>
    </row>
    <row r="22" spans="1:2" x14ac:dyDescent="0.3">
      <c r="A22" s="211" t="s">
        <v>3657</v>
      </c>
      <c r="B22" s="252">
        <f>B20*B21</f>
        <v>484074055000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DDB9-6C33-42FA-8FF0-34BBE94B297D}">
  <sheetPr>
    <tabColor theme="4"/>
  </sheetPr>
  <dimension ref="A1:F19"/>
  <sheetViews>
    <sheetView zoomScale="115" zoomScaleNormal="115" workbookViewId="0">
      <selection activeCell="A14" sqref="A14"/>
    </sheetView>
  </sheetViews>
  <sheetFormatPr defaultColWidth="9.109375" defaultRowHeight="13.8" x14ac:dyDescent="0.25"/>
  <cols>
    <col min="1" max="1" width="5.109375" style="1" bestFit="1" customWidth="1"/>
    <col min="2" max="2" width="12.88671875" style="1" bestFit="1" customWidth="1"/>
    <col min="3" max="3" width="12.5546875" style="1" bestFit="1" customWidth="1"/>
    <col min="4" max="4" width="14" style="1" bestFit="1" customWidth="1"/>
    <col min="5" max="5" width="15.109375" style="1" bestFit="1" customWidth="1"/>
    <col min="6" max="16384" width="9.109375" style="1"/>
  </cols>
  <sheetData>
    <row r="1" spans="1:5" x14ac:dyDescent="0.25">
      <c r="A1" s="1" t="s">
        <v>176</v>
      </c>
      <c r="B1" s="1" t="s">
        <v>2600</v>
      </c>
      <c r="C1" s="1" t="s">
        <v>2599</v>
      </c>
      <c r="D1" s="1" t="s">
        <v>2598</v>
      </c>
      <c r="E1" s="1" t="s">
        <v>2597</v>
      </c>
    </row>
    <row r="2" spans="1:5" x14ac:dyDescent="0.25">
      <c r="A2" s="1">
        <v>1914</v>
      </c>
      <c r="B2" s="1">
        <v>32.700000000000003</v>
      </c>
      <c r="C2" s="1">
        <v>17.7</v>
      </c>
      <c r="D2" s="1">
        <v>11</v>
      </c>
      <c r="E2" s="1">
        <v>13</v>
      </c>
    </row>
    <row r="3" spans="1:5" x14ac:dyDescent="0.25">
      <c r="A3" s="1">
        <v>1925</v>
      </c>
      <c r="B3" s="1">
        <v>37.9</v>
      </c>
      <c r="C3" s="1">
        <v>18.3</v>
      </c>
      <c r="D3" s="1">
        <v>11.6</v>
      </c>
      <c r="E3" s="1">
        <v>17.600000000000001</v>
      </c>
    </row>
    <row r="4" spans="1:5" x14ac:dyDescent="0.25">
      <c r="A4" s="1">
        <v>1938</v>
      </c>
      <c r="B4" s="1">
        <v>26.4</v>
      </c>
      <c r="C4" s="1">
        <v>6.8</v>
      </c>
      <c r="D4" s="1">
        <v>3.8</v>
      </c>
      <c r="E4" s="1">
        <v>18.8</v>
      </c>
    </row>
    <row r="19" spans="6:6" x14ac:dyDescent="0.25">
      <c r="F19" s="1" t="s">
        <v>2596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FA1E2-FAD4-4BFB-AB48-72EDA4D00B74}">
  <sheetPr>
    <tabColor theme="4"/>
  </sheetPr>
  <dimension ref="A1:C15"/>
  <sheetViews>
    <sheetView showGridLines="0" zoomScale="130" zoomScaleNormal="130" workbookViewId="0">
      <selection activeCell="F11" sqref="F11"/>
    </sheetView>
  </sheetViews>
  <sheetFormatPr defaultColWidth="9.109375" defaultRowHeight="15.6" x14ac:dyDescent="0.3"/>
  <cols>
    <col min="1" max="1" width="24.5546875" style="211" customWidth="1"/>
    <col min="2" max="3" width="7.5546875" style="211" bestFit="1" customWidth="1"/>
    <col min="4" max="16384" width="9.109375" style="211"/>
  </cols>
  <sheetData>
    <row r="1" spans="1:3" x14ac:dyDescent="0.3">
      <c r="A1" s="152" t="s">
        <v>2670</v>
      </c>
    </row>
    <row r="2" spans="1:3" x14ac:dyDescent="0.3">
      <c r="A2" s="152" t="s">
        <v>2669</v>
      </c>
    </row>
    <row r="3" spans="1:3" ht="6.6" customHeight="1" thickBot="1" x14ac:dyDescent="0.35"/>
    <row r="4" spans="1:3" x14ac:dyDescent="0.3">
      <c r="A4" s="212" t="s">
        <v>1250</v>
      </c>
      <c r="B4" s="501">
        <v>1971</v>
      </c>
      <c r="C4" s="502">
        <v>1970</v>
      </c>
    </row>
    <row r="5" spans="1:3" x14ac:dyDescent="0.3">
      <c r="A5" s="214" t="s">
        <v>975</v>
      </c>
      <c r="B5" s="1052">
        <v>26</v>
      </c>
      <c r="C5" s="1071">
        <v>24.568999999999999</v>
      </c>
    </row>
    <row r="6" spans="1:3" x14ac:dyDescent="0.3">
      <c r="A6" s="214" t="s">
        <v>251</v>
      </c>
      <c r="B6" s="2001">
        <v>0.23300000000000001</v>
      </c>
      <c r="C6" s="1996">
        <v>0.107</v>
      </c>
    </row>
    <row r="7" spans="1:3" x14ac:dyDescent="0.3">
      <c r="A7" s="214" t="s">
        <v>1562</v>
      </c>
      <c r="B7" s="1047">
        <v>12.1</v>
      </c>
      <c r="C7" s="1106">
        <v>14.486000000000001</v>
      </c>
    </row>
    <row r="8" spans="1:3" ht="16.2" thickBot="1" x14ac:dyDescent="0.35">
      <c r="A8" s="224" t="s">
        <v>2668</v>
      </c>
      <c r="B8" s="232">
        <f>B6/B7</f>
        <v>1.9256198347107439E-2</v>
      </c>
      <c r="C8" s="366">
        <f>C6/C7</f>
        <v>7.3864420820102163E-3</v>
      </c>
    </row>
    <row r="9" spans="1:3" ht="15.6" customHeight="1" x14ac:dyDescent="0.3">
      <c r="A9" s="2811" t="s">
        <v>3701</v>
      </c>
      <c r="B9" s="2811"/>
      <c r="C9" s="2811"/>
    </row>
    <row r="10" spans="1:3" x14ac:dyDescent="0.3">
      <c r="A10" s="2812"/>
      <c r="B10" s="2812"/>
      <c r="C10" s="2812"/>
    </row>
    <row r="15" spans="1:3" x14ac:dyDescent="0.3">
      <c r="C15" s="211" t="s">
        <v>176</v>
      </c>
    </row>
  </sheetData>
  <mergeCells count="1">
    <mergeCell ref="A9:C10"/>
  </mergeCells>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15E7E-EB45-46E8-A0AB-77CA9507B068}">
  <sheetPr>
    <tabColor theme="4"/>
  </sheetPr>
  <dimension ref="A1:G35"/>
  <sheetViews>
    <sheetView showGridLines="0" zoomScaleNormal="100" workbookViewId="0">
      <selection activeCell="E16" sqref="E16"/>
    </sheetView>
  </sheetViews>
  <sheetFormatPr defaultColWidth="9.109375" defaultRowHeight="15.6" x14ac:dyDescent="0.3"/>
  <cols>
    <col min="1" max="1" width="40.44140625" style="211" customWidth="1"/>
    <col min="2" max="2" width="9.5546875" style="211" customWidth="1"/>
    <col min="3" max="3" width="2.88671875" style="211" customWidth="1"/>
    <col min="4" max="4" width="9.109375" style="211"/>
    <col min="5" max="5" width="41.44140625" style="211" customWidth="1"/>
    <col min="6" max="16384" width="9.109375" style="211"/>
  </cols>
  <sheetData>
    <row r="1" spans="1:7" s="152" customFormat="1" x14ac:dyDescent="0.3">
      <c r="A1" s="459" t="s">
        <v>2240</v>
      </c>
      <c r="D1" s="662">
        <v>15</v>
      </c>
      <c r="E1" s="152" t="s">
        <v>3598</v>
      </c>
    </row>
    <row r="2" spans="1:7" s="152" customFormat="1" x14ac:dyDescent="0.3">
      <c r="A2" s="152" t="s">
        <v>3597</v>
      </c>
    </row>
    <row r="3" spans="1:7" ht="7.5" customHeight="1" thickBot="1" x14ac:dyDescent="0.35"/>
    <row r="4" spans="1:7" x14ac:dyDescent="0.3">
      <c r="A4" s="212" t="s">
        <v>3069</v>
      </c>
      <c r="B4" s="2632" t="s">
        <v>3596</v>
      </c>
      <c r="C4" s="2631"/>
    </row>
    <row r="5" spans="1:7" x14ac:dyDescent="0.3">
      <c r="A5" s="238" t="s">
        <v>3595</v>
      </c>
      <c r="B5" s="223"/>
    </row>
    <row r="6" spans="1:7" ht="18.600000000000001" x14ac:dyDescent="0.3">
      <c r="A6" s="214" t="s">
        <v>3594</v>
      </c>
      <c r="B6" s="2629">
        <f>16.8*D1</f>
        <v>252</v>
      </c>
      <c r="C6" s="2630"/>
    </row>
    <row r="7" spans="1:7" ht="18.600000000000001" x14ac:dyDescent="0.3">
      <c r="A7" s="214" t="s">
        <v>3593</v>
      </c>
      <c r="B7" s="2627">
        <f>173-15</f>
        <v>158</v>
      </c>
      <c r="C7" s="2626"/>
    </row>
    <row r="8" spans="1:7" ht="18.600000000000001" x14ac:dyDescent="0.3">
      <c r="A8" s="214" t="s">
        <v>3592</v>
      </c>
      <c r="B8" s="2627">
        <f>1.3*D1</f>
        <v>19.5</v>
      </c>
      <c r="C8" s="2626"/>
    </row>
    <row r="9" spans="1:7" x14ac:dyDescent="0.3">
      <c r="A9" s="214" t="s">
        <v>3591</v>
      </c>
      <c r="B9" s="2627">
        <f>112+20</f>
        <v>132</v>
      </c>
      <c r="C9" s="2626"/>
      <c r="E9" s="211" t="s">
        <v>3590</v>
      </c>
      <c r="F9" s="211">
        <f>10/(1-0.35)</f>
        <v>15.384615384615383</v>
      </c>
      <c r="G9" s="211" t="s">
        <v>3589</v>
      </c>
    </row>
    <row r="10" spans="1:7" x14ac:dyDescent="0.3">
      <c r="A10" s="214" t="s">
        <v>3</v>
      </c>
      <c r="B10" s="2628">
        <f>SUM(B6:B9)</f>
        <v>561.5</v>
      </c>
      <c r="C10" s="2630"/>
      <c r="E10" s="211" t="s">
        <v>3588</v>
      </c>
      <c r="F10" s="211">
        <f>15.4*(1-0.21)</f>
        <v>12.166</v>
      </c>
      <c r="G10" s="211" t="s">
        <v>3587</v>
      </c>
    </row>
    <row r="11" spans="1:7" ht="4.5" customHeight="1" x14ac:dyDescent="0.3">
      <c r="A11" s="214"/>
      <c r="B11" s="223"/>
    </row>
    <row r="12" spans="1:7" ht="4.5" customHeight="1" x14ac:dyDescent="0.3">
      <c r="A12" s="1155"/>
      <c r="B12" s="1279"/>
    </row>
    <row r="13" spans="1:7" ht="4.5" customHeight="1" x14ac:dyDescent="0.3">
      <c r="A13" s="214"/>
      <c r="B13" s="223"/>
    </row>
    <row r="14" spans="1:7" x14ac:dyDescent="0.3">
      <c r="A14" s="238" t="s">
        <v>3586</v>
      </c>
      <c r="B14" s="223"/>
    </row>
    <row r="15" spans="1:7" ht="18.600000000000001" x14ac:dyDescent="0.3">
      <c r="A15" s="214" t="s">
        <v>3585</v>
      </c>
      <c r="B15" s="2629">
        <v>485</v>
      </c>
      <c r="C15" s="2626"/>
      <c r="E15" s="226">
        <f>B15/B10</f>
        <v>0.86375779162956368</v>
      </c>
      <c r="F15" s="211" t="s">
        <v>3584</v>
      </c>
    </row>
    <row r="16" spans="1:7" x14ac:dyDescent="0.3">
      <c r="A16" s="214" t="s">
        <v>3583</v>
      </c>
      <c r="B16" s="2627">
        <f>-B7-B9</f>
        <v>-290</v>
      </c>
      <c r="C16" s="2626"/>
      <c r="E16" s="211" t="s">
        <v>176</v>
      </c>
    </row>
    <row r="17" spans="1:3" x14ac:dyDescent="0.3">
      <c r="A17" s="214" t="s">
        <v>3582</v>
      </c>
      <c r="B17" s="2628">
        <f>B15+B16</f>
        <v>195</v>
      </c>
      <c r="C17" s="2626"/>
    </row>
    <row r="18" spans="1:3" x14ac:dyDescent="0.3">
      <c r="A18" s="214"/>
      <c r="B18" s="2627"/>
      <c r="C18" s="2626"/>
    </row>
    <row r="19" spans="1:3" x14ac:dyDescent="0.3">
      <c r="A19" s="214" t="s">
        <v>3581</v>
      </c>
      <c r="B19" s="2627">
        <f>16.8+1.3</f>
        <v>18.100000000000001</v>
      </c>
      <c r="C19" s="2626"/>
    </row>
    <row r="20" spans="1:3" x14ac:dyDescent="0.3">
      <c r="A20" s="214" t="s">
        <v>3580</v>
      </c>
      <c r="B20" s="347">
        <f>B19/B17</f>
        <v>9.2820512820512832E-2</v>
      </c>
      <c r="C20" s="464"/>
    </row>
    <row r="21" spans="1:3" x14ac:dyDescent="0.3">
      <c r="A21" s="214"/>
      <c r="B21" s="223"/>
    </row>
    <row r="22" spans="1:3" s="1" customFormat="1" ht="13.8" x14ac:dyDescent="0.25">
      <c r="A22" s="6" t="s">
        <v>998</v>
      </c>
      <c r="B22" s="8"/>
    </row>
    <row r="23" spans="1:3" s="1" customFormat="1" ht="30" customHeight="1" x14ac:dyDescent="0.25">
      <c r="A23" s="2799" t="s">
        <v>3579</v>
      </c>
      <c r="B23" s="2801"/>
      <c r="C23" s="2510"/>
    </row>
    <row r="24" spans="1:3" s="1" customFormat="1" ht="45" customHeight="1" x14ac:dyDescent="0.25">
      <c r="A24" s="2799" t="s">
        <v>3578</v>
      </c>
      <c r="B24" s="2801"/>
      <c r="C24" s="2510"/>
    </row>
    <row r="25" spans="1:3" s="1" customFormat="1" ht="8.25" customHeight="1" x14ac:dyDescent="0.25">
      <c r="A25" s="6"/>
      <c r="B25" s="8"/>
    </row>
    <row r="26" spans="1:3" s="1" customFormat="1" ht="13.8" x14ac:dyDescent="0.25">
      <c r="A26" s="6" t="s">
        <v>1398</v>
      </c>
      <c r="B26" s="8"/>
    </row>
    <row r="27" spans="1:3" s="1" customFormat="1" ht="13.8" x14ac:dyDescent="0.25">
      <c r="A27" s="6" t="s">
        <v>3577</v>
      </c>
      <c r="B27" s="8"/>
    </row>
    <row r="28" spans="1:3" s="1" customFormat="1" ht="13.8" x14ac:dyDescent="0.25">
      <c r="A28" s="6" t="s">
        <v>3576</v>
      </c>
      <c r="B28" s="8"/>
    </row>
    <row r="29" spans="1:3" s="1" customFormat="1" ht="13.8" x14ac:dyDescent="0.25">
      <c r="A29" s="6" t="s">
        <v>3575</v>
      </c>
      <c r="B29" s="8"/>
    </row>
    <row r="30" spans="1:3" s="1" customFormat="1" ht="13.8" x14ac:dyDescent="0.25">
      <c r="A30" s="6" t="s">
        <v>3574</v>
      </c>
      <c r="B30" s="8"/>
    </row>
    <row r="31" spans="1:3" s="1" customFormat="1" ht="3.75" customHeight="1" thickBot="1" x14ac:dyDescent="0.3">
      <c r="A31" s="9"/>
      <c r="B31" s="26"/>
    </row>
    <row r="32" spans="1:3" s="1" customFormat="1" ht="30" customHeight="1" x14ac:dyDescent="0.25">
      <c r="A32" s="2811" t="s">
        <v>3573</v>
      </c>
      <c r="B32" s="2811"/>
      <c r="C32" s="2509"/>
    </row>
    <row r="33" spans="1:5" ht="3.75" customHeight="1" x14ac:dyDescent="0.3">
      <c r="A33" s="2805"/>
      <c r="B33" s="2805"/>
      <c r="C33" s="2509"/>
    </row>
    <row r="34" spans="1:5" x14ac:dyDescent="0.3">
      <c r="E34" s="211" t="s">
        <v>176</v>
      </c>
    </row>
    <row r="35" spans="1:5" x14ac:dyDescent="0.3">
      <c r="A35" s="211" t="s">
        <v>176</v>
      </c>
    </row>
  </sheetData>
  <mergeCells count="3">
    <mergeCell ref="A23:B23"/>
    <mergeCell ref="A24:B24"/>
    <mergeCell ref="A32:B33"/>
  </mergeCell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791E2-8680-4BC2-9E4A-D1424EB7F6FE}">
  <sheetPr>
    <tabColor theme="4"/>
  </sheetPr>
  <dimension ref="A1:L44"/>
  <sheetViews>
    <sheetView showGridLines="0" zoomScaleNormal="100" workbookViewId="0">
      <selection activeCell="K24" sqref="K24"/>
    </sheetView>
  </sheetViews>
  <sheetFormatPr defaultColWidth="9.109375" defaultRowHeight="15.6" x14ac:dyDescent="0.3"/>
  <cols>
    <col min="1" max="1" width="37.5546875" style="211" customWidth="1"/>
    <col min="2" max="2" width="9.5546875" style="211" bestFit="1" customWidth="1"/>
    <col min="3" max="3" width="1.6640625" style="211" customWidth="1"/>
    <col min="4" max="4" width="10.44140625" style="211" bestFit="1" customWidth="1"/>
    <col min="5" max="16384" width="9.109375" style="211"/>
  </cols>
  <sheetData>
    <row r="1" spans="1:6" s="152" customFormat="1" x14ac:dyDescent="0.3">
      <c r="A1" s="459" t="s">
        <v>2240</v>
      </c>
    </row>
    <row r="2" spans="1:6" s="152" customFormat="1" x14ac:dyDescent="0.3">
      <c r="A2" s="152" t="s">
        <v>3689</v>
      </c>
    </row>
    <row r="3" spans="1:6" ht="8.25" customHeight="1" thickBot="1" x14ac:dyDescent="0.35"/>
    <row r="4" spans="1:6" x14ac:dyDescent="0.3">
      <c r="A4" s="212" t="s">
        <v>3688</v>
      </c>
      <c r="B4" s="501" t="s">
        <v>3687</v>
      </c>
      <c r="C4" s="501"/>
      <c r="D4" s="502" t="s">
        <v>3686</v>
      </c>
    </row>
    <row r="5" spans="1:6" ht="9" customHeight="1" x14ac:dyDescent="0.3">
      <c r="A5" s="221"/>
      <c r="B5" s="884"/>
      <c r="C5" s="884"/>
      <c r="D5" s="2586"/>
    </row>
    <row r="6" spans="1:6" x14ac:dyDescent="0.3">
      <c r="A6" s="221" t="s">
        <v>3685</v>
      </c>
      <c r="B6" s="884"/>
      <c r="C6" s="884"/>
      <c r="D6" s="2586"/>
      <c r="F6" s="211" t="s">
        <v>176</v>
      </c>
    </row>
    <row r="7" spans="1:6" x14ac:dyDescent="0.3">
      <c r="A7" s="214" t="s">
        <v>2020</v>
      </c>
      <c r="B7" s="2663">
        <v>24.8</v>
      </c>
      <c r="C7" s="2663"/>
      <c r="D7" s="2667">
        <v>24.8</v>
      </c>
    </row>
    <row r="8" spans="1:6" ht="18.600000000000001" x14ac:dyDescent="0.3">
      <c r="A8" s="214" t="s">
        <v>3684</v>
      </c>
      <c r="B8" s="2653">
        <v>-3</v>
      </c>
      <c r="C8" s="2653"/>
      <c r="D8" s="2658">
        <v>-3</v>
      </c>
    </row>
    <row r="9" spans="1:6" x14ac:dyDescent="0.3">
      <c r="A9" s="214" t="s">
        <v>3683</v>
      </c>
      <c r="B9" s="2653">
        <v>2.8</v>
      </c>
      <c r="C9" s="2653"/>
      <c r="D9" s="2658">
        <v>2.8</v>
      </c>
    </row>
    <row r="10" spans="1:6" x14ac:dyDescent="0.3">
      <c r="A10" s="214" t="s">
        <v>3682</v>
      </c>
      <c r="B10" s="2666"/>
      <c r="C10" s="2653"/>
      <c r="D10" s="2658">
        <v>-20.6</v>
      </c>
    </row>
    <row r="11" spans="1:6" x14ac:dyDescent="0.3">
      <c r="A11" s="214" t="s">
        <v>99</v>
      </c>
      <c r="B11" s="2665">
        <f>SUM(B7:B10)</f>
        <v>24.6</v>
      </c>
      <c r="C11" s="2663"/>
      <c r="D11" s="2664">
        <f>SUM(D7:D10)</f>
        <v>4</v>
      </c>
    </row>
    <row r="12" spans="1:6" ht="10.5" customHeight="1" x14ac:dyDescent="0.3">
      <c r="A12" s="214"/>
      <c r="B12" s="2653"/>
      <c r="C12" s="2653"/>
      <c r="D12" s="2658"/>
    </row>
    <row r="13" spans="1:6" x14ac:dyDescent="0.3">
      <c r="A13" s="221" t="s">
        <v>3681</v>
      </c>
      <c r="B13" s="2653"/>
      <c r="C13" s="2653"/>
      <c r="D13" s="2658"/>
    </row>
    <row r="14" spans="1:6" x14ac:dyDescent="0.3">
      <c r="A14" s="214" t="s">
        <v>3680</v>
      </c>
      <c r="B14" s="2663">
        <v>-20.6</v>
      </c>
      <c r="C14" s="2663"/>
      <c r="D14" s="2662"/>
    </row>
    <row r="15" spans="1:6" ht="18.600000000000001" thickBot="1" x14ac:dyDescent="0.35">
      <c r="A15" s="213" t="s">
        <v>3679</v>
      </c>
      <c r="B15" s="2661">
        <f>B11+B14</f>
        <v>4</v>
      </c>
      <c r="C15" s="2660"/>
      <c r="D15" s="2659">
        <f>D11+D14</f>
        <v>4</v>
      </c>
    </row>
    <row r="16" spans="1:6" ht="8.25" customHeight="1" thickTop="1" x14ac:dyDescent="0.3">
      <c r="A16" s="214"/>
      <c r="B16" s="2653"/>
      <c r="C16" s="2653"/>
      <c r="D16" s="2658"/>
    </row>
    <row r="17" spans="1:12" x14ac:dyDescent="0.3">
      <c r="A17" s="6" t="s">
        <v>1681</v>
      </c>
      <c r="B17" s="2653"/>
      <c r="C17" s="2653"/>
      <c r="D17" s="2658"/>
    </row>
    <row r="18" spans="1:12" ht="31.5" customHeight="1" x14ac:dyDescent="0.3">
      <c r="A18" s="2799" t="s">
        <v>3678</v>
      </c>
      <c r="B18" s="2827"/>
      <c r="C18" s="2827"/>
      <c r="D18" s="2801"/>
      <c r="L18" s="211" t="s">
        <v>176</v>
      </c>
    </row>
    <row r="19" spans="1:12" x14ac:dyDescent="0.3">
      <c r="A19" s="6" t="s">
        <v>3677</v>
      </c>
      <c r="B19" s="2653"/>
      <c r="C19" s="2653"/>
      <c r="D19" s="2658"/>
    </row>
    <row r="20" spans="1:12" ht="9.75" customHeight="1" x14ac:dyDescent="0.3">
      <c r="A20" s="214"/>
      <c r="B20" s="2653"/>
      <c r="C20" s="2653"/>
      <c r="D20" s="2658"/>
    </row>
    <row r="21" spans="1:12" s="1" customFormat="1" ht="13.8" x14ac:dyDescent="0.25">
      <c r="A21" s="6" t="s">
        <v>1398</v>
      </c>
      <c r="B21" s="2657"/>
      <c r="C21" s="2657"/>
      <c r="D21" s="2656"/>
    </row>
    <row r="22" spans="1:12" s="1" customFormat="1" ht="13.8" x14ac:dyDescent="0.25">
      <c r="A22" s="6" t="s">
        <v>3676</v>
      </c>
      <c r="B22" s="2657"/>
      <c r="C22" s="2657"/>
      <c r="D22" s="2656"/>
    </row>
    <row r="23" spans="1:12" s="2655" customFormat="1" ht="32.25" customHeight="1" thickBot="1" x14ac:dyDescent="0.35">
      <c r="A23" s="2802" t="s">
        <v>3675</v>
      </c>
      <c r="B23" s="2803"/>
      <c r="C23" s="2803"/>
      <c r="D23" s="2804"/>
      <c r="F23" s="2655" t="s">
        <v>3674</v>
      </c>
    </row>
    <row r="24" spans="1:12" s="1" customFormat="1" ht="30" customHeight="1" x14ac:dyDescent="0.25">
      <c r="A24" s="2811" t="s">
        <v>3573</v>
      </c>
      <c r="B24" s="2811"/>
      <c r="C24" s="2811"/>
      <c r="D24" s="2811"/>
    </row>
    <row r="25" spans="1:12" s="1" customFormat="1" ht="13.8" x14ac:dyDescent="0.25">
      <c r="A25" s="2805"/>
      <c r="B25" s="2805"/>
      <c r="C25" s="2805"/>
      <c r="D25" s="2805"/>
    </row>
    <row r="26" spans="1:12" x14ac:dyDescent="0.3">
      <c r="B26" s="2653"/>
      <c r="C26" s="2653"/>
      <c r="D26" s="2653"/>
    </row>
    <row r="27" spans="1:12" x14ac:dyDescent="0.3">
      <c r="A27" s="211" t="s">
        <v>3673</v>
      </c>
      <c r="B27" s="1224">
        <f>348296</f>
        <v>348296</v>
      </c>
      <c r="C27" s="1224"/>
      <c r="D27" s="1224"/>
    </row>
    <row r="28" spans="1:12" x14ac:dyDescent="0.3">
      <c r="A28" s="211" t="s">
        <v>3672</v>
      </c>
      <c r="B28" s="1224">
        <v>348703</v>
      </c>
      <c r="C28" s="1224"/>
      <c r="D28" s="1224"/>
    </row>
    <row r="29" spans="1:12" x14ac:dyDescent="0.3">
      <c r="A29" s="211" t="s">
        <v>32</v>
      </c>
      <c r="B29" s="1630">
        <f>B28-B27</f>
        <v>407</v>
      </c>
      <c r="C29" s="1224"/>
      <c r="D29" s="1224"/>
    </row>
    <row r="30" spans="1:12" x14ac:dyDescent="0.3">
      <c r="B30" s="1224"/>
      <c r="C30" s="1224"/>
      <c r="D30" s="1224"/>
    </row>
    <row r="31" spans="1:12" x14ac:dyDescent="0.3">
      <c r="A31" s="211" t="s">
        <v>3671</v>
      </c>
      <c r="B31" s="1224">
        <v>1287</v>
      </c>
      <c r="C31" s="1224"/>
      <c r="D31" s="1224"/>
    </row>
    <row r="32" spans="1:12" x14ac:dyDescent="0.3">
      <c r="A32" s="211" t="s">
        <v>3668</v>
      </c>
      <c r="B32" s="1224">
        <v>156</v>
      </c>
      <c r="C32" s="1224"/>
      <c r="D32" s="1224"/>
    </row>
    <row r="33" spans="1:4" x14ac:dyDescent="0.3">
      <c r="B33" s="1224"/>
      <c r="C33" s="1224"/>
      <c r="D33" s="1224"/>
    </row>
    <row r="34" spans="1:4" x14ac:dyDescent="0.3">
      <c r="B34" s="1224"/>
      <c r="C34" s="1224"/>
      <c r="D34" s="1224"/>
    </row>
    <row r="35" spans="1:4" x14ac:dyDescent="0.3">
      <c r="A35" s="211" t="s">
        <v>3670</v>
      </c>
      <c r="B35" s="2653">
        <f>B15</f>
        <v>4</v>
      </c>
      <c r="C35" s="1224"/>
      <c r="D35" s="1224"/>
    </row>
    <row r="36" spans="1:4" x14ac:dyDescent="0.3">
      <c r="A36" s="211" t="s">
        <v>3669</v>
      </c>
      <c r="B36" s="2653">
        <f>-2.263+0.249</f>
        <v>-2.0139999999999998</v>
      </c>
      <c r="C36" s="1224"/>
      <c r="D36" s="1224"/>
    </row>
    <row r="37" spans="1:4" x14ac:dyDescent="0.3">
      <c r="A37" s="211" t="s">
        <v>779</v>
      </c>
      <c r="B37" s="2653">
        <f>-1.287</f>
        <v>-1.2869999999999999</v>
      </c>
      <c r="C37" s="1224"/>
      <c r="D37" s="1224"/>
    </row>
    <row r="38" spans="1:4" x14ac:dyDescent="0.3">
      <c r="A38" s="211" t="s">
        <v>3668</v>
      </c>
      <c r="B38" s="2653">
        <v>-0.156</v>
      </c>
      <c r="C38" s="1224"/>
      <c r="D38" s="1224"/>
    </row>
    <row r="39" spans="1:4" x14ac:dyDescent="0.3">
      <c r="A39" s="211" t="s">
        <v>3</v>
      </c>
      <c r="B39" s="2654">
        <f>SUM(B35:B38)</f>
        <v>0.54300000000000026</v>
      </c>
      <c r="C39" s="1224"/>
      <c r="D39" s="1224"/>
    </row>
    <row r="40" spans="1:4" x14ac:dyDescent="0.3">
      <c r="B40" s="2653"/>
      <c r="C40" s="1224"/>
      <c r="D40" s="1224"/>
    </row>
    <row r="41" spans="1:4" x14ac:dyDescent="0.3">
      <c r="B41" s="2653"/>
      <c r="C41" s="1224"/>
      <c r="D41" s="1224"/>
    </row>
    <row r="42" spans="1:4" x14ac:dyDescent="0.3">
      <c r="B42" s="2653"/>
      <c r="C42" s="1224"/>
      <c r="D42" s="1224"/>
    </row>
    <row r="43" spans="1:4" x14ac:dyDescent="0.3">
      <c r="B43" s="2653"/>
      <c r="C43" s="1224"/>
      <c r="D43" s="1224"/>
    </row>
    <row r="44" spans="1:4" x14ac:dyDescent="0.3">
      <c r="B44" s="1224"/>
      <c r="C44" s="1224"/>
      <c r="D44" s="1224"/>
    </row>
  </sheetData>
  <mergeCells count="3">
    <mergeCell ref="A23:D23"/>
    <mergeCell ref="A18:D18"/>
    <mergeCell ref="A24:D25"/>
  </mergeCells>
  <pageMargins left="0.7" right="0.7" top="0.75" bottom="0.75" header="0.3" footer="0.3"/>
  <pageSetup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7F809-CAB5-4BA9-8B92-5DE26F2ECDE0}">
  <sheetPr>
    <tabColor theme="4"/>
  </sheetPr>
  <dimension ref="A1:O32"/>
  <sheetViews>
    <sheetView showGridLines="0" zoomScaleNormal="100" workbookViewId="0">
      <selection activeCell="M18" sqref="M18"/>
    </sheetView>
  </sheetViews>
  <sheetFormatPr defaultColWidth="9.109375" defaultRowHeight="15.6" x14ac:dyDescent="0.3"/>
  <cols>
    <col min="1" max="1" width="38.77734375" style="211" customWidth="1"/>
    <col min="2" max="2" width="10" style="211" customWidth="1"/>
    <col min="3" max="3" width="1.6640625" style="211" customWidth="1"/>
    <col min="4" max="4" width="9.44140625" style="211" bestFit="1" customWidth="1"/>
    <col min="5" max="5" width="1.6640625" style="211" customWidth="1"/>
    <col min="6" max="6" width="10.6640625" style="211" bestFit="1" customWidth="1"/>
    <col min="7" max="7" width="9.109375" style="211"/>
    <col min="8" max="8" width="16" style="211" bestFit="1" customWidth="1"/>
    <col min="9" max="14" width="9.109375" style="211"/>
    <col min="15" max="15" width="25" style="211" customWidth="1"/>
    <col min="16" max="16384" width="9.109375" style="211"/>
  </cols>
  <sheetData>
    <row r="1" spans="1:15" x14ac:dyDescent="0.3">
      <c r="A1" s="459" t="s">
        <v>2240</v>
      </c>
    </row>
    <row r="2" spans="1:15" x14ac:dyDescent="0.3">
      <c r="A2" s="152" t="s">
        <v>2259</v>
      </c>
    </row>
    <row r="3" spans="1:15" ht="8.25" customHeight="1" thickBot="1" x14ac:dyDescent="0.35"/>
    <row r="4" spans="1:15" x14ac:dyDescent="0.3">
      <c r="A4" s="212" t="s">
        <v>1250</v>
      </c>
      <c r="B4" s="712">
        <v>2018</v>
      </c>
      <c r="C4" s="712"/>
      <c r="D4" s="712">
        <v>2017</v>
      </c>
      <c r="E4" s="712"/>
      <c r="F4" s="713" t="s">
        <v>1290</v>
      </c>
      <c r="H4" s="2638" t="s">
        <v>3607</v>
      </c>
      <c r="I4" s="389" t="s">
        <v>32</v>
      </c>
    </row>
    <row r="5" spans="1:15" x14ac:dyDescent="0.3">
      <c r="A5" s="214" t="s">
        <v>2260</v>
      </c>
      <c r="B5" s="2168">
        <v>5822</v>
      </c>
      <c r="C5" s="2168"/>
      <c r="D5" s="2168">
        <v>5065</v>
      </c>
      <c r="E5" s="2168"/>
      <c r="F5" s="2625">
        <f>B5/D5-1</f>
        <v>0.14945705824284294</v>
      </c>
      <c r="H5" s="2633">
        <v>4367</v>
      </c>
      <c r="I5" s="1325">
        <f>D5-H5</f>
        <v>698</v>
      </c>
      <c r="K5" s="211" t="s">
        <v>3606</v>
      </c>
      <c r="O5" s="211" t="s">
        <v>3605</v>
      </c>
    </row>
    <row r="6" spans="1:15" x14ac:dyDescent="0.3">
      <c r="A6" s="214" t="s">
        <v>2261</v>
      </c>
      <c r="B6" s="1622">
        <v>2336</v>
      </c>
      <c r="C6" s="1622"/>
      <c r="D6" s="1622">
        <v>2147</v>
      </c>
      <c r="E6" s="1622"/>
      <c r="F6" s="2625">
        <f>B6/D6-1</f>
        <v>8.8029809035863993E-2</v>
      </c>
      <c r="H6" s="2636">
        <v>1382</v>
      </c>
      <c r="I6" s="2637">
        <f>D6-H6</f>
        <v>765</v>
      </c>
      <c r="K6" s="211" t="s">
        <v>3604</v>
      </c>
      <c r="O6" s="322" t="s">
        <v>3603</v>
      </c>
    </row>
    <row r="7" spans="1:15" x14ac:dyDescent="0.3">
      <c r="A7" s="214" t="s">
        <v>2262</v>
      </c>
      <c r="B7" s="1622">
        <v>1208</v>
      </c>
      <c r="C7" s="1622"/>
      <c r="D7" s="1622">
        <v>1112</v>
      </c>
      <c r="E7" s="1622"/>
      <c r="F7" s="2625">
        <f>B7/D7-1</f>
        <v>8.6330935251798468E-2</v>
      </c>
      <c r="H7" s="2636">
        <v>1112</v>
      </c>
      <c r="I7" s="1325">
        <f>D7-H7</f>
        <v>0</v>
      </c>
    </row>
    <row r="8" spans="1:15" x14ac:dyDescent="0.3">
      <c r="A8" s="214" t="s">
        <v>2263</v>
      </c>
      <c r="B8" s="1328">
        <f>SUM(B5:B7)</f>
        <v>9366</v>
      </c>
      <c r="C8" s="1622"/>
      <c r="D8" s="1328">
        <f>SUM(D5:D7)</f>
        <v>8324</v>
      </c>
      <c r="E8" s="1622"/>
      <c r="F8" s="2624">
        <f>B8/D8-1</f>
        <v>0.12518020182604528</v>
      </c>
      <c r="H8" s="2635">
        <f>SUM(H5:H7)</f>
        <v>6861</v>
      </c>
      <c r="I8" s="1325">
        <f>D8-H8</f>
        <v>1463</v>
      </c>
    </row>
    <row r="9" spans="1:15" x14ac:dyDescent="0.3">
      <c r="A9" s="214"/>
      <c r="B9" s="1622"/>
      <c r="C9" s="1622"/>
      <c r="D9" s="1622"/>
      <c r="E9" s="1622"/>
      <c r="F9" s="2623"/>
      <c r="H9" s="2636"/>
      <c r="I9" s="1325"/>
    </row>
    <row r="10" spans="1:15" x14ac:dyDescent="0.3">
      <c r="A10" s="214" t="s">
        <v>2264</v>
      </c>
      <c r="B10" s="1622">
        <v>1836</v>
      </c>
      <c r="C10" s="1622"/>
      <c r="D10" s="1622">
        <v>1519</v>
      </c>
      <c r="E10" s="1622"/>
      <c r="F10" s="2625">
        <f>B10/D10-1</f>
        <v>0.2086899275839369</v>
      </c>
      <c r="H10" s="2636">
        <v>1298</v>
      </c>
      <c r="I10" s="1325">
        <f>D10-H10</f>
        <v>221</v>
      </c>
      <c r="K10" s="211" t="s">
        <v>3602</v>
      </c>
      <c r="O10" s="211" t="s">
        <v>3601</v>
      </c>
    </row>
    <row r="11" spans="1:15" x14ac:dyDescent="0.3">
      <c r="A11" s="214" t="s">
        <v>2265</v>
      </c>
      <c r="B11" s="1622">
        <v>860</v>
      </c>
      <c r="C11" s="1622"/>
      <c r="D11" s="1622">
        <v>785</v>
      </c>
      <c r="E11" s="1622"/>
      <c r="F11" s="2625">
        <f>B11/D11-1</f>
        <v>9.5541401273885329E-2</v>
      </c>
      <c r="H11" s="2636">
        <v>785</v>
      </c>
      <c r="I11" s="1325">
        <f>D11-H11</f>
        <v>0</v>
      </c>
    </row>
    <row r="12" spans="1:15" x14ac:dyDescent="0.3">
      <c r="A12" s="214" t="s">
        <v>1075</v>
      </c>
      <c r="B12" s="1622">
        <v>246</v>
      </c>
      <c r="C12" s="1622"/>
      <c r="D12" s="1622">
        <v>299</v>
      </c>
      <c r="E12" s="1622"/>
      <c r="F12" s="2625">
        <f>B12/D12-1</f>
        <v>-0.17725752508361203</v>
      </c>
      <c r="H12" s="2636">
        <v>299</v>
      </c>
      <c r="I12" s="1325">
        <f>D12-H12</f>
        <v>0</v>
      </c>
    </row>
    <row r="13" spans="1:15" x14ac:dyDescent="0.3">
      <c r="A13" s="214" t="s">
        <v>2266</v>
      </c>
      <c r="B13" s="1328">
        <f>SUM(B10:B12)</f>
        <v>2942</v>
      </c>
      <c r="C13" s="1622"/>
      <c r="D13" s="1328">
        <f>SUM(D10:D12)</f>
        <v>2603</v>
      </c>
      <c r="E13" s="1622"/>
      <c r="F13" s="2624">
        <f>B13/D13-1</f>
        <v>0.13023434498655395</v>
      </c>
      <c r="H13" s="2635">
        <f>SUM(H10:H12)</f>
        <v>2382</v>
      </c>
      <c r="I13" s="1325">
        <f>D13-H13</f>
        <v>221</v>
      </c>
    </row>
    <row r="14" spans="1:15" x14ac:dyDescent="0.3">
      <c r="A14" s="214"/>
      <c r="F14" s="2623"/>
      <c r="H14" s="214"/>
      <c r="I14" s="1325"/>
      <c r="M14" s="211" t="s">
        <v>176</v>
      </c>
    </row>
    <row r="15" spans="1:15" ht="16.2" thickBot="1" x14ac:dyDescent="0.35">
      <c r="A15" s="214" t="s">
        <v>2217</v>
      </c>
      <c r="B15" s="2762">
        <f>B8+B13</f>
        <v>12308</v>
      </c>
      <c r="C15" s="2761"/>
      <c r="D15" s="2762">
        <f>D8+D13</f>
        <v>10927</v>
      </c>
      <c r="E15" s="2168"/>
      <c r="F15" s="2624">
        <f>B15/D15-1</f>
        <v>0.12638418596138012</v>
      </c>
      <c r="H15" s="2634">
        <f>H8+H13</f>
        <v>9243</v>
      </c>
      <c r="I15" s="1325">
        <f>D15-H15</f>
        <v>1684</v>
      </c>
      <c r="J15" s="211" t="s">
        <v>176</v>
      </c>
    </row>
    <row r="16" spans="1:15" ht="16.2" thickTop="1" x14ac:dyDescent="0.3">
      <c r="A16" s="214" t="s">
        <v>3770</v>
      </c>
      <c r="B16" s="2763">
        <v>-2944</v>
      </c>
      <c r="C16" s="2761"/>
      <c r="D16" s="2763">
        <v>-3645</v>
      </c>
      <c r="E16" s="2168"/>
      <c r="F16" s="2765">
        <f t="shared" ref="F16:F17" si="0">B16/D16-1</f>
        <v>-0.19231824417009602</v>
      </c>
      <c r="H16" s="2633"/>
      <c r="I16" s="1325"/>
    </row>
    <row r="17" spans="1:12" ht="16.2" thickBot="1" x14ac:dyDescent="0.35">
      <c r="A17" s="214" t="s">
        <v>3771</v>
      </c>
      <c r="B17" s="2764">
        <f>B15+B16</f>
        <v>9364</v>
      </c>
      <c r="C17" s="2760"/>
      <c r="D17" s="2764">
        <f>D15+D16</f>
        <v>7282</v>
      </c>
      <c r="E17" s="2168"/>
      <c r="F17" s="2625">
        <f t="shared" si="0"/>
        <v>0.28591046415819821</v>
      </c>
      <c r="H17" s="2633"/>
      <c r="I17" s="1325"/>
    </row>
    <row r="18" spans="1:12" ht="9" customHeight="1" thickTop="1" x14ac:dyDescent="0.3">
      <c r="A18" s="214"/>
      <c r="B18" s="2168"/>
      <c r="C18" s="2168"/>
      <c r="D18" s="2168"/>
      <c r="E18" s="2168"/>
      <c r="F18" s="2598"/>
      <c r="H18" s="2633"/>
      <c r="I18" s="1325"/>
    </row>
    <row r="19" spans="1:12" ht="31.5" customHeight="1" x14ac:dyDescent="0.3">
      <c r="A19" s="2799" t="s">
        <v>3773</v>
      </c>
      <c r="B19" s="2827"/>
      <c r="C19" s="2827"/>
      <c r="D19" s="2827"/>
      <c r="E19" s="2827"/>
      <c r="F19" s="2801"/>
      <c r="H19" s="2633"/>
      <c r="I19" s="1325"/>
      <c r="L19" s="211" t="s">
        <v>176</v>
      </c>
    </row>
    <row r="20" spans="1:12" ht="9" customHeight="1" thickBot="1" x14ac:dyDescent="0.35">
      <c r="A20" s="224"/>
      <c r="B20" s="520"/>
      <c r="C20" s="520"/>
      <c r="D20" s="520"/>
      <c r="E20" s="520"/>
      <c r="F20" s="2596"/>
      <c r="H20" s="224"/>
      <c r="I20" s="219"/>
    </row>
    <row r="21" spans="1:12" ht="15.6" customHeight="1" x14ac:dyDescent="0.3">
      <c r="A21" s="2811" t="s">
        <v>3573</v>
      </c>
      <c r="B21" s="2811"/>
      <c r="C21" s="2811"/>
      <c r="D21" s="2811"/>
      <c r="E21" s="2811"/>
      <c r="F21" s="2811"/>
    </row>
    <row r="22" spans="1:12" x14ac:dyDescent="0.3">
      <c r="A22" s="2747"/>
      <c r="B22" s="2747"/>
      <c r="C22" s="2747"/>
      <c r="D22" s="2747"/>
      <c r="E22" s="2747"/>
      <c r="F22" s="2747"/>
    </row>
    <row r="23" spans="1:12" x14ac:dyDescent="0.3">
      <c r="G23" s="211" t="s">
        <v>176</v>
      </c>
      <c r="I23" s="1622">
        <v>2058</v>
      </c>
      <c r="J23" s="211" t="s">
        <v>3600</v>
      </c>
    </row>
    <row r="24" spans="1:12" x14ac:dyDescent="0.3">
      <c r="I24" s="1622">
        <f>I15-I23</f>
        <v>-374</v>
      </c>
    </row>
    <row r="25" spans="1:12" x14ac:dyDescent="0.3">
      <c r="I25" s="1622"/>
      <c r="L25" s="211" t="s">
        <v>176</v>
      </c>
    </row>
    <row r="26" spans="1:12" x14ac:dyDescent="0.3">
      <c r="D26" s="211" t="s">
        <v>176</v>
      </c>
      <c r="I26" s="1622"/>
    </row>
    <row r="32" spans="1:12" x14ac:dyDescent="0.3">
      <c r="H32" s="211" t="s">
        <v>176</v>
      </c>
    </row>
  </sheetData>
  <mergeCells count="2">
    <mergeCell ref="A19:F19"/>
    <mergeCell ref="A21:F21"/>
  </mergeCells>
  <pageMargins left="0.7" right="0.7" top="0.75" bottom="0.75" header="0.3" footer="0.3"/>
  <ignoredErrors>
    <ignoredError sqref="B8:D8" formulaRange="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92B15-CD9A-41F5-98C5-021D4A41FA34}">
  <sheetPr>
    <tabColor theme="4"/>
  </sheetPr>
  <dimension ref="A1:F17"/>
  <sheetViews>
    <sheetView workbookViewId="0">
      <selection activeCell="L21" sqref="L21"/>
    </sheetView>
  </sheetViews>
  <sheetFormatPr defaultColWidth="9.109375" defaultRowHeight="15.6" x14ac:dyDescent="0.3"/>
  <cols>
    <col min="1" max="1" width="27.88671875" style="211" customWidth="1"/>
    <col min="2" max="2" width="19.109375" style="211" customWidth="1"/>
    <col min="3" max="3" width="2" style="211" customWidth="1"/>
    <col min="4" max="4" width="21.109375" style="211" customWidth="1"/>
    <col min="5" max="16384" width="9.109375" style="211"/>
  </cols>
  <sheetData>
    <row r="1" spans="1:6" x14ac:dyDescent="0.3">
      <c r="A1" s="459" t="s">
        <v>2240</v>
      </c>
    </row>
    <row r="2" spans="1:6" x14ac:dyDescent="0.3">
      <c r="A2" s="152" t="s">
        <v>3617</v>
      </c>
    </row>
    <row r="3" spans="1:6" ht="8.25" customHeight="1" x14ac:dyDescent="0.3"/>
    <row r="4" spans="1:6" x14ac:dyDescent="0.3">
      <c r="A4" s="320" t="s">
        <v>3069</v>
      </c>
      <c r="B4" s="211" t="s">
        <v>3616</v>
      </c>
      <c r="D4" s="211" t="s">
        <v>3615</v>
      </c>
    </row>
    <row r="5" spans="1:6" x14ac:dyDescent="0.3">
      <c r="A5" s="211" t="s">
        <v>3614</v>
      </c>
      <c r="B5" s="211">
        <v>25.3</v>
      </c>
    </row>
    <row r="6" spans="1:6" x14ac:dyDescent="0.3">
      <c r="A6" s="211" t="s">
        <v>3613</v>
      </c>
      <c r="B6" s="211">
        <v>14</v>
      </c>
    </row>
    <row r="7" spans="1:6" x14ac:dyDescent="0.3">
      <c r="A7" s="211" t="s">
        <v>2987</v>
      </c>
      <c r="B7" s="211">
        <f>B6-B5</f>
        <v>-11.3</v>
      </c>
    </row>
    <row r="9" spans="1:6" x14ac:dyDescent="0.3">
      <c r="A9" s="211" t="s">
        <v>3612</v>
      </c>
      <c r="D9" s="211">
        <v>17.600000000000001</v>
      </c>
    </row>
    <row r="10" spans="1:6" x14ac:dyDescent="0.3">
      <c r="A10" s="211" t="s">
        <v>3611</v>
      </c>
      <c r="D10" s="211">
        <v>13.8</v>
      </c>
    </row>
    <row r="11" spans="1:6" x14ac:dyDescent="0.3">
      <c r="A11" s="211" t="s">
        <v>3610</v>
      </c>
      <c r="D11" s="211">
        <f>D10-D9</f>
        <v>-3.8000000000000007</v>
      </c>
    </row>
    <row r="13" spans="1:6" x14ac:dyDescent="0.3">
      <c r="A13" s="211" t="s">
        <v>3609</v>
      </c>
      <c r="D13" s="211">
        <f>-10.229*0.267</f>
        <v>-2.7311429999999999</v>
      </c>
    </row>
    <row r="14" spans="1:6" x14ac:dyDescent="0.3">
      <c r="A14" s="211" t="s">
        <v>279</v>
      </c>
      <c r="D14" s="211">
        <v>-0.22080900000000001</v>
      </c>
    </row>
    <row r="15" spans="1:6" x14ac:dyDescent="0.3">
      <c r="A15" s="211" t="s">
        <v>1</v>
      </c>
      <c r="B15" s="211">
        <v>0.81399999999999995</v>
      </c>
      <c r="D15" s="211">
        <v>-0.81399999999999995</v>
      </c>
    </row>
    <row r="16" spans="1:6" x14ac:dyDescent="0.3">
      <c r="A16" s="211" t="s">
        <v>3608</v>
      </c>
      <c r="B16" s="211">
        <f>B7+B15</f>
        <v>-10.486000000000001</v>
      </c>
      <c r="D16" s="211">
        <f>SUM(D13:D15)</f>
        <v>-3.765952</v>
      </c>
      <c r="F16" s="211">
        <v>-10229</v>
      </c>
    </row>
    <row r="17" spans="6:6" x14ac:dyDescent="0.3">
      <c r="F17" s="211">
        <f>F16*0.267</f>
        <v>-2731.143</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BC343-748B-47C6-953E-D8ED463FCA05}">
  <sheetPr>
    <tabColor theme="4"/>
  </sheetPr>
  <dimension ref="A1:I41"/>
  <sheetViews>
    <sheetView showGridLines="0" topLeftCell="A5" zoomScale="85" zoomScaleNormal="85" workbookViewId="0">
      <selection activeCell="K32" sqref="K32"/>
    </sheetView>
  </sheetViews>
  <sheetFormatPr defaultColWidth="9.109375" defaultRowHeight="15.6" x14ac:dyDescent="0.3"/>
  <cols>
    <col min="1" max="1" width="50.6640625" style="211" customWidth="1"/>
    <col min="2" max="2" width="8.44140625" style="211" bestFit="1" customWidth="1"/>
    <col min="3" max="3" width="1.5546875" style="211" customWidth="1"/>
    <col min="4" max="4" width="9.5546875" style="211" customWidth="1"/>
    <col min="5" max="5" width="2.88671875" style="211" customWidth="1"/>
    <col min="6" max="6" width="9.109375" style="211"/>
    <col min="7" max="7" width="41.44140625" style="211" customWidth="1"/>
    <col min="8" max="8" width="15.33203125" style="211" customWidth="1"/>
    <col min="9" max="9" width="11.6640625" style="211" customWidth="1"/>
    <col min="10" max="16384" width="9.109375" style="211"/>
  </cols>
  <sheetData>
    <row r="1" spans="1:9" s="152" customFormat="1" x14ac:dyDescent="0.3">
      <c r="A1" s="459" t="s">
        <v>2240</v>
      </c>
      <c r="B1" s="459"/>
      <c r="C1" s="459"/>
      <c r="F1" s="662">
        <v>15</v>
      </c>
      <c r="G1" s="152" t="s">
        <v>3598</v>
      </c>
    </row>
    <row r="2" spans="1:9" s="152" customFormat="1" x14ac:dyDescent="0.3">
      <c r="A2" s="152" t="s">
        <v>3635</v>
      </c>
    </row>
    <row r="3" spans="1:9" ht="7.5" customHeight="1" thickBot="1" x14ac:dyDescent="0.35"/>
    <row r="4" spans="1:9" x14ac:dyDescent="0.3">
      <c r="A4" s="212" t="s">
        <v>3069</v>
      </c>
      <c r="B4" s="1776"/>
      <c r="C4" s="1776"/>
      <c r="D4" s="2632"/>
      <c r="E4" s="2631"/>
    </row>
    <row r="5" spans="1:9" x14ac:dyDescent="0.3">
      <c r="A5" s="238" t="s">
        <v>3595</v>
      </c>
      <c r="B5" s="884">
        <v>2019</v>
      </c>
      <c r="C5" s="2641"/>
      <c r="D5" s="2586">
        <v>2018</v>
      </c>
    </row>
    <row r="6" spans="1:9" ht="18.600000000000001" x14ac:dyDescent="0.3">
      <c r="A6" s="214" t="s">
        <v>3594</v>
      </c>
      <c r="B6" s="2630">
        <f>15*(8.3+4.8+1.9+2.7)</f>
        <v>265.50000000000006</v>
      </c>
      <c r="D6" s="2629">
        <f>16.8*F1</f>
        <v>252</v>
      </c>
      <c r="E6" s="2630"/>
    </row>
    <row r="7" spans="1:9" ht="18.600000000000001" x14ac:dyDescent="0.3">
      <c r="A7" s="214" t="s">
        <v>3593</v>
      </c>
      <c r="B7" s="2626">
        <f>248-32</f>
        <v>216</v>
      </c>
      <c r="D7" s="2627">
        <f>173-15</f>
        <v>158</v>
      </c>
      <c r="E7" s="2626"/>
    </row>
    <row r="8" spans="1:9" ht="18.600000000000001" x14ac:dyDescent="0.3">
      <c r="A8" s="214" t="s">
        <v>3592</v>
      </c>
      <c r="B8" s="2626">
        <f>(1.023*15)</f>
        <v>15.344999999999999</v>
      </c>
      <c r="D8" s="2627">
        <f>1.3*F1</f>
        <v>19.5</v>
      </c>
      <c r="E8" s="2626"/>
    </row>
    <row r="9" spans="1:9" x14ac:dyDescent="0.3">
      <c r="A9" s="214" t="s">
        <v>3591</v>
      </c>
      <c r="B9" s="2626">
        <f>61.151+63.822+18.685+3.024</f>
        <v>146.68200000000002</v>
      </c>
      <c r="D9" s="2627">
        <f>112+20</f>
        <v>132</v>
      </c>
      <c r="E9" s="2626"/>
      <c r="G9" s="211" t="s">
        <v>3590</v>
      </c>
      <c r="H9" s="211">
        <f>10/(1-0.35)</f>
        <v>15.384615384615383</v>
      </c>
      <c r="I9" s="211" t="s">
        <v>3589</v>
      </c>
    </row>
    <row r="10" spans="1:9" x14ac:dyDescent="0.3">
      <c r="A10" s="214" t="s">
        <v>3</v>
      </c>
      <c r="B10" s="2642">
        <f>SUM(B6:B9)</f>
        <v>643.52700000000004</v>
      </c>
      <c r="D10" s="2628">
        <f>SUM(D6:D9)</f>
        <v>561.5</v>
      </c>
      <c r="E10" s="2630"/>
      <c r="F10" s="226">
        <f>B10/D10-1</f>
        <v>0.14608548530721288</v>
      </c>
      <c r="G10" s="211" t="s">
        <v>3588</v>
      </c>
      <c r="H10" s="211">
        <f>15.4*(1-0.21)</f>
        <v>12.166</v>
      </c>
      <c r="I10" s="211" t="s">
        <v>3587</v>
      </c>
    </row>
    <row r="11" spans="1:9" ht="4.5" customHeight="1" x14ac:dyDescent="0.3">
      <c r="A11" s="214"/>
      <c r="D11" s="223"/>
    </row>
    <row r="12" spans="1:9" ht="4.5" customHeight="1" x14ac:dyDescent="0.3">
      <c r="A12" s="1155"/>
      <c r="B12" s="597"/>
      <c r="C12" s="597"/>
      <c r="D12" s="1279"/>
    </row>
    <row r="13" spans="1:9" ht="4.5" customHeight="1" x14ac:dyDescent="0.3">
      <c r="A13" s="214"/>
      <c r="D13" s="223"/>
    </row>
    <row r="14" spans="1:9" x14ac:dyDescent="0.3">
      <c r="A14" s="238" t="s">
        <v>3586</v>
      </c>
      <c r="C14" s="2641"/>
      <c r="D14" s="223"/>
    </row>
    <row r="15" spans="1:9" ht="18.600000000000001" x14ac:dyDescent="0.3">
      <c r="A15" s="214" t="s">
        <v>3585</v>
      </c>
      <c r="B15" s="2626">
        <v>508</v>
      </c>
      <c r="D15" s="2627">
        <v>485</v>
      </c>
      <c r="E15" s="2626"/>
      <c r="G15" s="211" t="s">
        <v>3584</v>
      </c>
      <c r="H15" s="226">
        <f>B15/B10</f>
        <v>0.78939966776840753</v>
      </c>
      <c r="I15" s="226">
        <f>D15/D10</f>
        <v>0.86375779162956368</v>
      </c>
    </row>
    <row r="16" spans="1:9" x14ac:dyDescent="0.3">
      <c r="A16" s="214" t="s">
        <v>3583</v>
      </c>
      <c r="B16" s="2626">
        <f>-B7-B9</f>
        <v>-362.68200000000002</v>
      </c>
      <c r="D16" s="2627">
        <f>-D7-D9</f>
        <v>-290</v>
      </c>
      <c r="E16" s="2626"/>
      <c r="G16" s="211" t="s">
        <v>176</v>
      </c>
    </row>
    <row r="17" spans="1:9" x14ac:dyDescent="0.3">
      <c r="A17" s="214" t="s">
        <v>3582</v>
      </c>
      <c r="B17" s="2640">
        <f>B15+B16</f>
        <v>145.31799999999998</v>
      </c>
      <c r="D17" s="2639">
        <f>D15+D16</f>
        <v>195</v>
      </c>
      <c r="E17" s="2626"/>
    </row>
    <row r="18" spans="1:9" x14ac:dyDescent="0.3">
      <c r="A18" s="214"/>
      <c r="B18" s="2626"/>
      <c r="D18" s="2627"/>
      <c r="E18" s="2626"/>
    </row>
    <row r="19" spans="1:9" x14ac:dyDescent="0.3">
      <c r="A19" s="214" t="s">
        <v>3581</v>
      </c>
      <c r="B19" s="2626">
        <f>(B6+B8)/15</f>
        <v>18.723000000000003</v>
      </c>
      <c r="D19" s="2627">
        <f>16.8+1.3</f>
        <v>18.100000000000001</v>
      </c>
      <c r="E19" s="2626"/>
    </row>
    <row r="20" spans="1:9" x14ac:dyDescent="0.3">
      <c r="A20" s="214" t="s">
        <v>3580</v>
      </c>
      <c r="B20" s="464">
        <f>B19/B17</f>
        <v>0.12884157502855809</v>
      </c>
      <c r="D20" s="347">
        <f>D19/D17</f>
        <v>9.2820512820512832E-2</v>
      </c>
      <c r="E20" s="464"/>
      <c r="G20" s="211" t="s">
        <v>3634</v>
      </c>
      <c r="H20" s="884">
        <v>2019</v>
      </c>
      <c r="I20" s="884">
        <v>2018</v>
      </c>
    </row>
    <row r="21" spans="1:9" x14ac:dyDescent="0.3">
      <c r="A21" s="214"/>
      <c r="D21" s="223"/>
      <c r="G21" s="211" t="s">
        <v>3633</v>
      </c>
      <c r="H21" s="922">
        <v>4995</v>
      </c>
      <c r="I21" s="922">
        <v>1287</v>
      </c>
    </row>
    <row r="22" spans="1:9" s="1" customFormat="1" x14ac:dyDescent="0.3">
      <c r="A22" s="6" t="s">
        <v>998</v>
      </c>
      <c r="D22" s="8"/>
      <c r="G22" s="1" t="s">
        <v>495</v>
      </c>
      <c r="H22" s="922">
        <f>4440+(17563410/1500)</f>
        <v>16148.94</v>
      </c>
      <c r="I22" s="922">
        <f>1217+(4729147/1500)</f>
        <v>4369.764666666666</v>
      </c>
    </row>
    <row r="23" spans="1:9" s="1" customFormat="1" ht="30" customHeight="1" x14ac:dyDescent="0.3">
      <c r="A23" s="2799" t="s">
        <v>3632</v>
      </c>
      <c r="B23" s="2827"/>
      <c r="C23" s="2827"/>
      <c r="D23" s="2801"/>
      <c r="E23" s="2510"/>
      <c r="G23" s="1" t="s">
        <v>3631</v>
      </c>
      <c r="H23" s="922">
        <f>H21*1000000/H22</f>
        <v>309308.22704152716</v>
      </c>
      <c r="I23" s="922">
        <f>I21*1000000/I22</f>
        <v>294523.86985904811</v>
      </c>
    </row>
    <row r="24" spans="1:9" s="1" customFormat="1" ht="45" customHeight="1" x14ac:dyDescent="0.3">
      <c r="A24" s="2799" t="s">
        <v>3578</v>
      </c>
      <c r="B24" s="2827"/>
      <c r="C24" s="2827"/>
      <c r="D24" s="2801"/>
      <c r="E24" s="2510"/>
      <c r="G24" s="1" t="s">
        <v>3630</v>
      </c>
      <c r="H24" s="922">
        <v>1640929</v>
      </c>
      <c r="I24" s="922">
        <v>1644846</v>
      </c>
    </row>
    <row r="25" spans="1:9" s="1" customFormat="1" ht="8.25" customHeight="1" x14ac:dyDescent="0.3">
      <c r="A25" s="6"/>
      <c r="D25" s="8"/>
      <c r="H25" s="922"/>
      <c r="I25" s="922"/>
    </row>
    <row r="26" spans="1:9" s="1" customFormat="1" x14ac:dyDescent="0.3">
      <c r="A26" s="6" t="s">
        <v>1398</v>
      </c>
      <c r="D26" s="8"/>
      <c r="G26" s="1" t="s">
        <v>3618</v>
      </c>
      <c r="H26" s="922">
        <f>H23*H24/1000000</f>
        <v>507552.83969102614</v>
      </c>
      <c r="I26" s="922">
        <f>I23*I24/1000000</f>
        <v>484446.40924217587</v>
      </c>
    </row>
    <row r="27" spans="1:9" s="1" customFormat="1" x14ac:dyDescent="0.3">
      <c r="A27" s="6" t="s">
        <v>3629</v>
      </c>
      <c r="D27" s="8"/>
      <c r="H27" s="922"/>
      <c r="I27" s="922"/>
    </row>
    <row r="28" spans="1:9" s="1" customFormat="1" x14ac:dyDescent="0.3">
      <c r="A28" s="6" t="s">
        <v>3628</v>
      </c>
      <c r="D28" s="8"/>
      <c r="H28" s="922"/>
      <c r="I28" s="922"/>
    </row>
    <row r="29" spans="1:9" s="1" customFormat="1" x14ac:dyDescent="0.3">
      <c r="A29" s="6" t="s">
        <v>3627</v>
      </c>
      <c r="D29" s="8"/>
      <c r="G29" s="1" t="s">
        <v>3626</v>
      </c>
      <c r="H29" s="922">
        <f>(B7+B9+(10*(17.7+1)))*1000</f>
        <v>549682</v>
      </c>
      <c r="I29" s="922">
        <f>(D7+D9+(10*(16.8+1.3)))*1000</f>
        <v>471000</v>
      </c>
    </row>
    <row r="30" spans="1:9" s="1" customFormat="1" ht="13.8" x14ac:dyDescent="0.25">
      <c r="A30" s="6" t="s">
        <v>3625</v>
      </c>
      <c r="D30" s="8"/>
      <c r="G30" s="1" t="s">
        <v>3624</v>
      </c>
      <c r="H30" s="69">
        <f>H26/H29</f>
        <v>0.92335721324516018</v>
      </c>
      <c r="I30" s="69">
        <f>I26/I29</f>
        <v>1.0285486395799912</v>
      </c>
    </row>
    <row r="31" spans="1:9" s="1" customFormat="1" ht="3.75" customHeight="1" thickBot="1" x14ac:dyDescent="0.3">
      <c r="A31" s="9"/>
      <c r="B31" s="25"/>
      <c r="C31" s="25"/>
      <c r="D31" s="26"/>
    </row>
    <row r="32" spans="1:9" s="1" customFormat="1" ht="30" customHeight="1" x14ac:dyDescent="0.25">
      <c r="A32" s="2811" t="s">
        <v>3623</v>
      </c>
      <c r="B32" s="2811"/>
      <c r="C32" s="2811"/>
      <c r="D32" s="2811"/>
      <c r="E32" s="2509"/>
    </row>
    <row r="33" spans="1:8" ht="3.75" customHeight="1" x14ac:dyDescent="0.3">
      <c r="A33" s="2805"/>
      <c r="B33" s="2805"/>
      <c r="C33" s="2805"/>
      <c r="D33" s="2805"/>
      <c r="E33" s="2509"/>
    </row>
    <row r="34" spans="1:8" x14ac:dyDescent="0.3">
      <c r="G34" s="211" t="s">
        <v>3622</v>
      </c>
      <c r="H34" s="922">
        <v>333298</v>
      </c>
    </row>
    <row r="35" spans="1:8" x14ac:dyDescent="0.3">
      <c r="A35" s="211" t="s">
        <v>176</v>
      </c>
      <c r="G35" s="211" t="s">
        <v>3621</v>
      </c>
      <c r="H35" s="922">
        <v>1631718</v>
      </c>
    </row>
    <row r="36" spans="1:8" x14ac:dyDescent="0.3">
      <c r="G36" s="211" t="s">
        <v>3618</v>
      </c>
      <c r="H36" s="922">
        <f>H34*H35/1000000</f>
        <v>543848.34596399998</v>
      </c>
    </row>
    <row r="39" spans="1:8" x14ac:dyDescent="0.3">
      <c r="G39" s="211" t="s">
        <v>3620</v>
      </c>
      <c r="H39" s="922">
        <v>339590</v>
      </c>
    </row>
    <row r="40" spans="1:8" x14ac:dyDescent="0.3">
      <c r="G40" s="211" t="s">
        <v>3619</v>
      </c>
      <c r="H40" s="922">
        <v>1624958</v>
      </c>
    </row>
    <row r="41" spans="1:8" x14ac:dyDescent="0.3">
      <c r="G41" s="211" t="s">
        <v>3618</v>
      </c>
      <c r="H41" s="922">
        <f>H39*H40/1000000</f>
        <v>551819.48722000001</v>
      </c>
    </row>
  </sheetData>
  <mergeCells count="3">
    <mergeCell ref="A23:D23"/>
    <mergeCell ref="A24:D24"/>
    <mergeCell ref="A32:D33"/>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D310-6096-41A6-B473-B48BFCD3C54E}">
  <sheetPr>
    <tabColor theme="4"/>
  </sheetPr>
  <dimension ref="A1:W40"/>
  <sheetViews>
    <sheetView showGridLines="0" zoomScaleNormal="100" workbookViewId="0">
      <selection activeCell="N15" sqref="N15"/>
    </sheetView>
  </sheetViews>
  <sheetFormatPr defaultColWidth="9.109375" defaultRowHeight="15.6" x14ac:dyDescent="0.3"/>
  <cols>
    <col min="1" max="1" width="6.109375" style="211" customWidth="1"/>
    <col min="2" max="2" width="1.44140625" style="211" customWidth="1"/>
    <col min="3" max="4" width="11.6640625" style="211" customWidth="1"/>
    <col min="5" max="5" width="11.5546875" style="211" customWidth="1"/>
    <col min="6" max="6" width="13.21875" style="211" bestFit="1" customWidth="1"/>
    <col min="7" max="8" width="9.109375" style="211"/>
    <col min="9" max="9" width="19.5546875" style="211" customWidth="1"/>
    <col min="10" max="10" width="17.44140625" style="211" bestFit="1" customWidth="1"/>
    <col min="11" max="11" width="18.44140625" style="211" bestFit="1" customWidth="1"/>
    <col min="12" max="12" width="10.44140625" style="211" bestFit="1" customWidth="1"/>
    <col min="13" max="13" width="11.109375" style="211" bestFit="1" customWidth="1"/>
    <col min="14" max="14" width="9.109375" style="211"/>
    <col min="15" max="15" width="19.6640625" style="211" bestFit="1" customWidth="1"/>
    <col min="16" max="19" width="19.6640625" style="211" customWidth="1"/>
    <col min="20" max="20" width="15.6640625" style="211" bestFit="1" customWidth="1"/>
    <col min="21" max="21" width="22.44140625" style="211" bestFit="1" customWidth="1"/>
    <col min="22" max="22" width="20.33203125" style="211" bestFit="1" customWidth="1"/>
    <col min="23" max="16384" width="9.109375" style="211"/>
  </cols>
  <sheetData>
    <row r="1" spans="1:9" x14ac:dyDescent="0.3">
      <c r="A1" s="459" t="s">
        <v>2240</v>
      </c>
      <c r="B1" s="459"/>
      <c r="C1" s="356"/>
    </row>
    <row r="2" spans="1:9" x14ac:dyDescent="0.3">
      <c r="A2" s="152" t="s">
        <v>3655</v>
      </c>
      <c r="B2" s="152"/>
    </row>
    <row r="3" spans="1:9" ht="7.5" customHeight="1" thickBot="1" x14ac:dyDescent="0.35"/>
    <row r="4" spans="1:9" ht="46.8" x14ac:dyDescent="0.3">
      <c r="A4" s="2652" t="s">
        <v>156</v>
      </c>
      <c r="B4" s="2651"/>
      <c r="C4" s="2650" t="s">
        <v>3654</v>
      </c>
      <c r="D4" s="1906" t="s">
        <v>2737</v>
      </c>
      <c r="E4" s="1906" t="s">
        <v>3653</v>
      </c>
      <c r="F4" s="1907" t="s">
        <v>3652</v>
      </c>
    </row>
    <row r="5" spans="1:9" x14ac:dyDescent="0.3">
      <c r="A5" s="214">
        <v>2019</v>
      </c>
      <c r="C5" s="2646">
        <v>0.90900000000000003</v>
      </c>
      <c r="D5" s="2645">
        <f>K25</f>
        <v>447712</v>
      </c>
      <c r="E5" s="2649">
        <f>M25</f>
        <v>654.43856765063254</v>
      </c>
      <c r="F5" s="2648">
        <f>O25</f>
        <v>50096.769744835969</v>
      </c>
    </row>
    <row r="6" spans="1:9" x14ac:dyDescent="0.3">
      <c r="A6" s="214">
        <v>2018</v>
      </c>
      <c r="C6" s="2646">
        <v>0.90200000000000002</v>
      </c>
      <c r="D6" s="2645">
        <f>K26</f>
        <v>177381</v>
      </c>
      <c r="E6" s="2644">
        <f>M26</f>
        <v>603.22131457145917</v>
      </c>
      <c r="F6" s="2643">
        <f>O26</f>
        <v>46553.197777665024</v>
      </c>
      <c r="I6" s="211" t="s">
        <v>176</v>
      </c>
    </row>
    <row r="7" spans="1:9" x14ac:dyDescent="0.3">
      <c r="A7" s="214">
        <v>2017</v>
      </c>
      <c r="B7" s="2647">
        <v>1</v>
      </c>
      <c r="C7" s="2646">
        <v>0.9</v>
      </c>
      <c r="D7" s="2645">
        <f>K27+K28</f>
        <v>216891</v>
      </c>
      <c r="E7" s="2644">
        <f>(L27+L28)/(K27+K28)*1000000</f>
        <v>548.66269232010552</v>
      </c>
      <c r="F7" s="2643">
        <f>(O27*(K27/(K27+K28)))+(O28*(K28/(K27+K28)))</f>
        <v>42442.430234541767</v>
      </c>
      <c r="I7" s="211" t="s">
        <v>176</v>
      </c>
    </row>
    <row r="8" spans="1:9" x14ac:dyDescent="0.3">
      <c r="A8" s="214">
        <v>2016</v>
      </c>
      <c r="C8" s="2646">
        <v>0.89900000000000002</v>
      </c>
      <c r="D8" s="2645">
        <v>0</v>
      </c>
      <c r="E8" s="2644" t="s">
        <v>3651</v>
      </c>
      <c r="F8" s="2643" t="s">
        <v>3651</v>
      </c>
    </row>
    <row r="9" spans="1:9" x14ac:dyDescent="0.3">
      <c r="A9" s="214">
        <v>2015</v>
      </c>
      <c r="C9" s="2646">
        <v>0.89900000000000002</v>
      </c>
      <c r="D9" s="2645">
        <f>K30</f>
        <v>75000</v>
      </c>
      <c r="E9" s="2644">
        <f>M30</f>
        <v>480</v>
      </c>
      <c r="F9" s="2643">
        <f>O30</f>
        <v>37147.74912</v>
      </c>
    </row>
    <row r="10" spans="1:9" ht="12" customHeight="1" x14ac:dyDescent="0.3">
      <c r="A10" s="214"/>
      <c r="C10" s="365"/>
      <c r="F10" s="223"/>
    </row>
    <row r="11" spans="1:9" x14ac:dyDescent="0.3">
      <c r="A11" s="6" t="s">
        <v>1405</v>
      </c>
      <c r="C11" s="365"/>
      <c r="F11" s="223"/>
      <c r="H11" s="211" t="s">
        <v>176</v>
      </c>
    </row>
    <row r="12" spans="1:9" ht="32.25" customHeight="1" x14ac:dyDescent="0.3">
      <c r="A12" s="2799" t="s">
        <v>3650</v>
      </c>
      <c r="B12" s="2827"/>
      <c r="C12" s="2827"/>
      <c r="D12" s="2827"/>
      <c r="E12" s="2827"/>
      <c r="F12" s="2801"/>
    </row>
    <row r="13" spans="1:9" ht="45.75" customHeight="1" thickBot="1" x14ac:dyDescent="0.35">
      <c r="A13" s="2802" t="s">
        <v>3649</v>
      </c>
      <c r="B13" s="2803"/>
      <c r="C13" s="2803"/>
      <c r="D13" s="2803"/>
      <c r="E13" s="2803"/>
      <c r="F13" s="2804"/>
    </row>
    <row r="14" spans="1:9" x14ac:dyDescent="0.3">
      <c r="A14" s="2811" t="s">
        <v>3648</v>
      </c>
      <c r="B14" s="2811"/>
      <c r="C14" s="2811"/>
      <c r="D14" s="2811"/>
      <c r="E14" s="2811"/>
      <c r="F14" s="2811"/>
    </row>
    <row r="15" spans="1:9" x14ac:dyDescent="0.3">
      <c r="A15" s="2805"/>
      <c r="B15" s="2805"/>
      <c r="C15" s="2805"/>
      <c r="D15" s="2805"/>
      <c r="E15" s="2805"/>
      <c r="F15" s="2805"/>
    </row>
    <row r="19" spans="9:23" x14ac:dyDescent="0.3">
      <c r="I19" s="211" t="s">
        <v>176</v>
      </c>
    </row>
    <row r="23" spans="9:23" x14ac:dyDescent="0.3">
      <c r="I23" s="211" t="s">
        <v>3647</v>
      </c>
      <c r="J23" s="211" t="s">
        <v>1258</v>
      </c>
      <c r="K23" s="211" t="s">
        <v>2737</v>
      </c>
      <c r="L23" s="211" t="s">
        <v>3646</v>
      </c>
      <c r="M23" s="211" t="s">
        <v>3645</v>
      </c>
      <c r="N23" s="211" t="s">
        <v>928</v>
      </c>
      <c r="O23" s="211" t="s">
        <v>3644</v>
      </c>
      <c r="P23" s="211" t="s">
        <v>2000</v>
      </c>
      <c r="Q23" s="211" t="s">
        <v>3643</v>
      </c>
      <c r="R23" s="211" t="s">
        <v>3642</v>
      </c>
      <c r="S23" s="211" t="s">
        <v>3641</v>
      </c>
      <c r="T23" s="211" t="s">
        <v>3640</v>
      </c>
      <c r="U23" s="211" t="s">
        <v>3639</v>
      </c>
      <c r="V23" s="211" t="s">
        <v>3638</v>
      </c>
    </row>
    <row r="24" spans="9:23" x14ac:dyDescent="0.3">
      <c r="I24" s="211">
        <v>2020</v>
      </c>
      <c r="J24" s="230">
        <v>76549232</v>
      </c>
      <c r="T24" s="227">
        <v>0.90900000000000003</v>
      </c>
      <c r="U24" s="227">
        <v>8.1000000000000003E-2</v>
      </c>
      <c r="V24" s="227">
        <v>0.01</v>
      </c>
      <c r="W24" s="365">
        <f>SUM(T24:V24)</f>
        <v>1</v>
      </c>
    </row>
    <row r="25" spans="9:23" x14ac:dyDescent="0.3">
      <c r="I25" s="211">
        <v>2019</v>
      </c>
      <c r="J25" s="230">
        <v>76549232</v>
      </c>
      <c r="K25" s="230">
        <v>447712</v>
      </c>
      <c r="L25" s="230">
        <v>293</v>
      </c>
      <c r="M25" s="604">
        <f>L25*1000000/K25</f>
        <v>654.43856765063254</v>
      </c>
      <c r="N25" s="227">
        <f>M25/M26-1</f>
        <v>8.490623895735383E-2</v>
      </c>
      <c r="O25" s="230">
        <f>M25*J25/1000000</f>
        <v>50096.769744835969</v>
      </c>
      <c r="P25" s="646"/>
      <c r="Q25" s="646"/>
      <c r="R25" s="646"/>
      <c r="S25" s="646"/>
      <c r="T25" s="227">
        <v>0.90900000000000003</v>
      </c>
      <c r="U25" s="227">
        <v>8.1000000000000003E-2</v>
      </c>
      <c r="V25" s="227">
        <v>0.01</v>
      </c>
      <c r="W25" s="365">
        <f>SUM(T25:V25)</f>
        <v>1</v>
      </c>
    </row>
    <row r="26" spans="9:23" x14ac:dyDescent="0.3">
      <c r="I26" s="211">
        <v>2018</v>
      </c>
      <c r="J26" s="230">
        <v>77174325</v>
      </c>
      <c r="K26" s="230">
        <v>177381</v>
      </c>
      <c r="L26" s="230">
        <v>107</v>
      </c>
      <c r="M26" s="604">
        <f>L26*1000000/K26</f>
        <v>603.22131457145917</v>
      </c>
      <c r="N26" s="227">
        <f>M26/M27-1</f>
        <v>0.11119715842110889</v>
      </c>
      <c r="O26" s="230">
        <f>M26*J26/1000000</f>
        <v>46553.197777665024</v>
      </c>
      <c r="P26" s="646"/>
      <c r="Q26" s="646"/>
      <c r="R26" s="646"/>
      <c r="S26" s="646"/>
      <c r="T26" s="227">
        <v>0.90200000000000002</v>
      </c>
      <c r="U26" s="227">
        <v>8.7999999999999995E-2</v>
      </c>
      <c r="V26" s="227">
        <v>0.01</v>
      </c>
      <c r="W26" s="365">
        <f>SUM(T26:V26)</f>
        <v>1</v>
      </c>
    </row>
    <row r="27" spans="9:23" x14ac:dyDescent="0.3">
      <c r="I27" s="211">
        <v>2017</v>
      </c>
      <c r="J27" s="230">
        <v>77356144</v>
      </c>
      <c r="K27" s="230">
        <f>35000</f>
        <v>35000</v>
      </c>
      <c r="L27" s="230">
        <v>19</v>
      </c>
      <c r="M27" s="604">
        <f>L27*1000000/K27</f>
        <v>542.85714285714289</v>
      </c>
      <c r="N27" s="227"/>
      <c r="O27" s="230">
        <f>M27*J27/1000000</f>
        <v>41993.335314285716</v>
      </c>
      <c r="P27" s="646">
        <v>69602161</v>
      </c>
      <c r="Q27" s="646">
        <v>4100000</v>
      </c>
      <c r="R27" s="646"/>
      <c r="S27" s="646">
        <v>740961</v>
      </c>
      <c r="T27" s="227">
        <v>0.9</v>
      </c>
      <c r="U27" s="227">
        <f>1-T27-V27</f>
        <v>8.9999999999999983E-2</v>
      </c>
      <c r="V27" s="227">
        <v>0.01</v>
      </c>
    </row>
    <row r="28" spans="9:23" x14ac:dyDescent="0.3">
      <c r="I28" s="211" t="s">
        <v>3637</v>
      </c>
      <c r="J28" s="230"/>
      <c r="K28" s="230">
        <v>181891</v>
      </c>
      <c r="L28" s="230">
        <v>100</v>
      </c>
      <c r="M28" s="604">
        <f>L28*1000000/K28</f>
        <v>549.77981318481943</v>
      </c>
      <c r="N28" s="227"/>
      <c r="O28" s="230">
        <f>M28*J27/1000000</f>
        <v>42528.846397017987</v>
      </c>
      <c r="P28" s="646"/>
      <c r="Q28" s="646"/>
      <c r="R28" s="646"/>
      <c r="S28" s="646"/>
      <c r="T28" s="227"/>
      <c r="U28" s="227"/>
      <c r="V28" s="227"/>
    </row>
    <row r="29" spans="9:23" x14ac:dyDescent="0.3">
      <c r="I29" s="211">
        <v>2016</v>
      </c>
      <c r="J29" s="230">
        <v>77391144</v>
      </c>
      <c r="K29" s="230"/>
      <c r="L29" s="230"/>
      <c r="M29" s="604"/>
      <c r="P29" s="646"/>
      <c r="Q29" s="646"/>
      <c r="R29" s="646"/>
      <c r="S29" s="646"/>
      <c r="T29" s="227">
        <v>0.89900000000000002</v>
      </c>
      <c r="U29" s="227">
        <v>9.0999999999999998E-2</v>
      </c>
      <c r="V29" s="227">
        <v>0.01</v>
      </c>
      <c r="W29" s="365">
        <f>SUM(T29:V29)</f>
        <v>1</v>
      </c>
    </row>
    <row r="30" spans="9:23" x14ac:dyDescent="0.3">
      <c r="I30" s="211">
        <v>2015</v>
      </c>
      <c r="J30" s="230">
        <v>77391144</v>
      </c>
      <c r="K30" s="230">
        <v>75000</v>
      </c>
      <c r="L30" s="230">
        <v>36</v>
      </c>
      <c r="M30" s="604">
        <f>L30*1000000/K30</f>
        <v>480</v>
      </c>
      <c r="O30" s="230">
        <f>M30*J30/1000000</f>
        <v>37147.74912</v>
      </c>
      <c r="P30" s="646"/>
      <c r="Q30" s="646"/>
      <c r="R30" s="646"/>
      <c r="S30" s="646"/>
      <c r="T30" s="227"/>
      <c r="U30" s="227"/>
      <c r="V30" s="227"/>
    </row>
    <row r="31" spans="9:23" x14ac:dyDescent="0.3">
      <c r="I31" s="211">
        <v>2014</v>
      </c>
      <c r="J31" s="230">
        <v>77466144</v>
      </c>
      <c r="K31" s="230"/>
      <c r="L31" s="230"/>
      <c r="M31" s="604"/>
      <c r="P31" s="646">
        <v>69902161</v>
      </c>
      <c r="Q31" s="646">
        <v>4100000</v>
      </c>
      <c r="R31" s="646"/>
      <c r="S31" s="646">
        <v>740961</v>
      </c>
      <c r="T31" s="227">
        <v>0.89849999999999997</v>
      </c>
      <c r="U31" s="227">
        <f>1-T31-V31</f>
        <v>9.1900000000000037E-2</v>
      </c>
      <c r="V31" s="227">
        <v>9.5999999999999992E-3</v>
      </c>
    </row>
    <row r="32" spans="9:23" x14ac:dyDescent="0.3">
      <c r="I32" s="211">
        <v>2013</v>
      </c>
      <c r="J32" s="230">
        <v>74609001</v>
      </c>
      <c r="K32" s="230"/>
      <c r="L32" s="230"/>
      <c r="M32" s="604"/>
      <c r="P32" s="646">
        <v>67035061</v>
      </c>
      <c r="Q32" s="646">
        <v>4100000</v>
      </c>
      <c r="R32" s="646"/>
      <c r="S32" s="646">
        <v>595940</v>
      </c>
      <c r="T32" s="227">
        <v>0.89849999999999997</v>
      </c>
      <c r="U32" s="227">
        <f>1-T32-V32</f>
        <v>9.3500000000000028E-2</v>
      </c>
      <c r="V32" s="227">
        <v>8.0000000000000002E-3</v>
      </c>
    </row>
    <row r="33" spans="9:22" x14ac:dyDescent="0.3">
      <c r="I33" s="211">
        <v>2012</v>
      </c>
      <c r="J33" s="230">
        <v>74609001</v>
      </c>
      <c r="K33" s="230"/>
      <c r="L33" s="230"/>
      <c r="M33" s="604"/>
      <c r="P33" s="646"/>
      <c r="Q33" s="646"/>
      <c r="R33" s="646"/>
      <c r="S33" s="646"/>
      <c r="T33" s="227"/>
      <c r="U33" s="227"/>
      <c r="V33" s="227"/>
    </row>
    <row r="34" spans="9:22" x14ac:dyDescent="0.3">
      <c r="I34" s="211">
        <v>2011</v>
      </c>
      <c r="J34" s="230">
        <v>74609001</v>
      </c>
      <c r="K34" s="230"/>
      <c r="L34" s="230"/>
      <c r="M34" s="604"/>
      <c r="P34" s="646"/>
      <c r="Q34" s="646"/>
      <c r="R34" s="646"/>
      <c r="S34" s="646"/>
      <c r="T34" s="227"/>
      <c r="U34" s="227"/>
      <c r="V34" s="227"/>
    </row>
    <row r="35" spans="9:22" x14ac:dyDescent="0.3">
      <c r="I35" s="211">
        <v>2010</v>
      </c>
      <c r="J35" s="230">
        <v>74859001</v>
      </c>
      <c r="K35" s="230">
        <v>250000</v>
      </c>
      <c r="L35" s="230">
        <f>K35*M35/1000000</f>
        <v>56.25</v>
      </c>
      <c r="M35" s="604">
        <v>225</v>
      </c>
      <c r="O35" s="230">
        <f>M35*J35/1000000</f>
        <v>16843.275225000001</v>
      </c>
      <c r="P35" s="646">
        <v>67035061</v>
      </c>
      <c r="Q35" s="646">
        <v>4200000</v>
      </c>
      <c r="R35" s="646"/>
      <c r="S35" s="646">
        <v>595940</v>
      </c>
      <c r="T35" s="227">
        <v>0.89849999999999997</v>
      </c>
      <c r="U35" s="227">
        <f>1-T35-V35</f>
        <v>9.3500000000000028E-2</v>
      </c>
      <c r="V35" s="227">
        <v>8.0000000000000002E-3</v>
      </c>
    </row>
    <row r="36" spans="9:22" x14ac:dyDescent="0.3">
      <c r="I36" s="211">
        <v>2009</v>
      </c>
      <c r="J36" s="230">
        <v>74859001</v>
      </c>
      <c r="K36" s="230"/>
      <c r="L36" s="230"/>
      <c r="P36" s="646">
        <v>66063061</v>
      </c>
      <c r="Q36" s="646">
        <v>4700000</v>
      </c>
      <c r="R36" s="646">
        <v>549277</v>
      </c>
      <c r="S36" s="646">
        <v>749992</v>
      </c>
      <c r="T36" s="227">
        <v>0.88249999999999995</v>
      </c>
      <c r="U36" s="227">
        <f>1-T36-V36-0.0073</f>
        <v>0.10020000000000005</v>
      </c>
      <c r="V36" s="227">
        <v>0.01</v>
      </c>
    </row>
    <row r="37" spans="9:22" x14ac:dyDescent="0.3">
      <c r="I37" s="211">
        <v>2008</v>
      </c>
      <c r="J37" s="230"/>
      <c r="K37" s="230"/>
      <c r="L37" s="230"/>
      <c r="P37" s="646"/>
      <c r="Q37" s="646"/>
      <c r="R37" s="646"/>
      <c r="S37" s="646"/>
      <c r="T37" s="226"/>
      <c r="U37" s="226"/>
      <c r="V37" s="226"/>
    </row>
    <row r="38" spans="9:22" x14ac:dyDescent="0.3">
      <c r="I38" s="211">
        <v>2007</v>
      </c>
      <c r="J38" s="230">
        <v>74489001</v>
      </c>
      <c r="K38" s="230"/>
      <c r="L38" s="230"/>
      <c r="P38" s="646">
        <v>65433130</v>
      </c>
      <c r="Q38" s="646">
        <v>4972000</v>
      </c>
      <c r="R38" s="646">
        <v>749992</v>
      </c>
      <c r="S38" s="646">
        <v>1179208</v>
      </c>
      <c r="T38" s="227">
        <v>0.87839999999999996</v>
      </c>
      <c r="U38" s="227">
        <f>1-T38-V38-0.0157</f>
        <v>9.5900000000000041E-2</v>
      </c>
      <c r="V38" s="226">
        <v>0.01</v>
      </c>
    </row>
    <row r="39" spans="9:22" x14ac:dyDescent="0.3">
      <c r="I39" s="211">
        <v>2006</v>
      </c>
      <c r="J39" s="230">
        <v>9081087</v>
      </c>
      <c r="K39" s="230">
        <v>11724138</v>
      </c>
      <c r="L39" s="230">
        <v>1700</v>
      </c>
      <c r="M39" s="604">
        <v>225</v>
      </c>
      <c r="O39" s="230">
        <f>M39*J39/1000000</f>
        <v>2043.2445749999999</v>
      </c>
      <c r="T39" s="226"/>
      <c r="U39" s="226"/>
      <c r="V39" s="226"/>
    </row>
    <row r="40" spans="9:22" x14ac:dyDescent="0.3">
      <c r="K40" s="211" t="s">
        <v>3636</v>
      </c>
    </row>
  </sheetData>
  <mergeCells count="3">
    <mergeCell ref="A13:F13"/>
    <mergeCell ref="A12:F12"/>
    <mergeCell ref="A14:F15"/>
  </mergeCell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1C55C-EB24-4413-B4C8-65FC0CEAAC06}">
  <sheetPr>
    <tabColor theme="4"/>
  </sheetPr>
  <dimension ref="A1:M32"/>
  <sheetViews>
    <sheetView showGridLines="0" zoomScale="85" zoomScaleNormal="85" workbookViewId="0">
      <selection activeCell="R25" sqref="R25"/>
    </sheetView>
  </sheetViews>
  <sheetFormatPr defaultColWidth="9.109375" defaultRowHeight="15.6" x14ac:dyDescent="0.3"/>
  <cols>
    <col min="1" max="1" width="34.77734375" style="211" customWidth="1"/>
    <col min="2" max="2" width="4.21875" style="211" customWidth="1"/>
    <col min="3" max="3" width="11.44140625" style="211" customWidth="1"/>
    <col min="4" max="4" width="1.6640625" style="211" customWidth="1"/>
    <col min="5" max="5" width="11.21875" style="211" bestFit="1" customWidth="1"/>
    <col min="6" max="6" width="1.6640625" style="211" customWidth="1"/>
    <col min="7" max="16384" width="9.109375" style="211"/>
  </cols>
  <sheetData>
    <row r="1" spans="1:13" x14ac:dyDescent="0.3">
      <c r="A1" s="459" t="s">
        <v>2240</v>
      </c>
      <c r="B1" s="459"/>
    </row>
    <row r="2" spans="1:13" x14ac:dyDescent="0.3">
      <c r="A2" s="152" t="s">
        <v>3775</v>
      </c>
      <c r="B2" s="152"/>
    </row>
    <row r="3" spans="1:13" ht="4.2" customHeight="1" thickBot="1" x14ac:dyDescent="0.35"/>
    <row r="4" spans="1:13" x14ac:dyDescent="0.3">
      <c r="A4" s="212" t="s">
        <v>1250</v>
      </c>
      <c r="B4" s="1776"/>
      <c r="C4" s="712"/>
      <c r="D4" s="712"/>
      <c r="E4" s="712"/>
      <c r="F4" s="713"/>
    </row>
    <row r="5" spans="1:13" x14ac:dyDescent="0.3">
      <c r="A5" s="214" t="s">
        <v>3778</v>
      </c>
      <c r="B5" s="220"/>
      <c r="C5" s="1067">
        <v>2019</v>
      </c>
      <c r="D5" s="1067"/>
      <c r="E5" s="1067">
        <v>2018</v>
      </c>
      <c r="F5" s="1470"/>
    </row>
    <row r="6" spans="1:13" x14ac:dyDescent="0.3">
      <c r="A6" s="214" t="s">
        <v>3774</v>
      </c>
      <c r="B6" s="220"/>
      <c r="C6" s="2776">
        <v>42441</v>
      </c>
      <c r="D6" s="518"/>
      <c r="E6" s="2776">
        <v>41834</v>
      </c>
      <c r="F6" s="1325"/>
    </row>
    <row r="7" spans="1:13" x14ac:dyDescent="0.3">
      <c r="A7" s="214" t="s">
        <v>3776</v>
      </c>
      <c r="B7" s="220"/>
      <c r="C7" s="2775">
        <v>-13747</v>
      </c>
      <c r="D7" s="2775"/>
      <c r="E7" s="2775">
        <v>-14104</v>
      </c>
      <c r="F7" s="1624"/>
    </row>
    <row r="8" spans="1:13" x14ac:dyDescent="0.3">
      <c r="A8" s="214" t="s">
        <v>3777</v>
      </c>
      <c r="C8" s="2780">
        <f>C6+C7</f>
        <v>28694</v>
      </c>
      <c r="D8" s="2763"/>
      <c r="E8" s="2780">
        <f>E6+E7</f>
        <v>27730</v>
      </c>
      <c r="F8" s="1624"/>
      <c r="K8" s="211" t="s">
        <v>176</v>
      </c>
    </row>
    <row r="9" spans="1:13" x14ac:dyDescent="0.3">
      <c r="A9" s="214" t="s">
        <v>1870</v>
      </c>
      <c r="B9" s="220" t="s">
        <v>3786</v>
      </c>
      <c r="C9" s="2988">
        <f>(C8+E8)/2</f>
        <v>28212</v>
      </c>
      <c r="D9" s="2988"/>
      <c r="E9" s="2988"/>
      <c r="F9" s="1624"/>
    </row>
    <row r="10" spans="1:13" x14ac:dyDescent="0.3">
      <c r="A10" s="214"/>
      <c r="B10" s="220"/>
      <c r="C10" s="2779"/>
      <c r="D10" s="2779"/>
      <c r="E10" s="2779"/>
      <c r="F10" s="1624"/>
    </row>
    <row r="11" spans="1:13" x14ac:dyDescent="0.3">
      <c r="A11" s="214"/>
      <c r="B11" s="220"/>
      <c r="C11" s="2988" t="s">
        <v>3792</v>
      </c>
      <c r="D11" s="2988"/>
      <c r="E11" s="2988"/>
      <c r="F11" s="1624"/>
    </row>
    <row r="12" spans="1:13" x14ac:dyDescent="0.3">
      <c r="A12" s="221"/>
      <c r="B12" s="220"/>
      <c r="C12" s="2763" t="s">
        <v>3761</v>
      </c>
      <c r="D12" s="2775"/>
      <c r="E12" s="2763" t="s">
        <v>3782</v>
      </c>
      <c r="F12" s="1624"/>
    </row>
    <row r="13" spans="1:13" x14ac:dyDescent="0.3">
      <c r="A13" s="214" t="s">
        <v>3779</v>
      </c>
      <c r="B13" s="220"/>
      <c r="C13" s="2776">
        <v>684</v>
      </c>
      <c r="D13" s="2775"/>
      <c r="F13" s="1624"/>
      <c r="H13" s="211" t="s">
        <v>176</v>
      </c>
      <c r="M13" s="211" t="s">
        <v>176</v>
      </c>
    </row>
    <row r="14" spans="1:13" x14ac:dyDescent="0.3">
      <c r="A14" s="214" t="s">
        <v>3780</v>
      </c>
      <c r="B14" s="220"/>
      <c r="C14" s="2775">
        <v>-909</v>
      </c>
      <c r="D14" s="2775"/>
      <c r="E14" s="2775"/>
      <c r="F14" s="1624"/>
    </row>
    <row r="15" spans="1:13" x14ac:dyDescent="0.3">
      <c r="A15" s="214" t="s">
        <v>3781</v>
      </c>
      <c r="B15" s="220" t="s">
        <v>3787</v>
      </c>
      <c r="C15" s="2777">
        <f>C13+C14</f>
        <v>-225</v>
      </c>
      <c r="D15" s="2775"/>
      <c r="E15" s="2775"/>
      <c r="F15" s="1624"/>
    </row>
    <row r="16" spans="1:13" x14ac:dyDescent="0.3">
      <c r="A16" s="214"/>
      <c r="B16" s="220"/>
      <c r="C16" s="2775"/>
      <c r="D16" s="2775"/>
      <c r="E16" s="2775"/>
      <c r="F16" s="223"/>
    </row>
    <row r="17" spans="1:6" x14ac:dyDescent="0.3">
      <c r="A17" s="214" t="s">
        <v>3779</v>
      </c>
      <c r="B17" s="220"/>
      <c r="C17" s="2775"/>
      <c r="D17" s="2775"/>
      <c r="E17" s="2776">
        <v>684</v>
      </c>
      <c r="F17" s="223"/>
    </row>
    <row r="18" spans="1:6" x14ac:dyDescent="0.3">
      <c r="A18" s="214" t="s">
        <v>3790</v>
      </c>
      <c r="B18" s="220"/>
      <c r="C18" s="2775"/>
      <c r="D18" s="2775"/>
      <c r="E18" s="2775">
        <v>-76</v>
      </c>
      <c r="F18" s="223"/>
    </row>
    <row r="19" spans="1:6" x14ac:dyDescent="0.3">
      <c r="A19" s="214" t="s">
        <v>3791</v>
      </c>
      <c r="B19" s="220"/>
      <c r="C19" s="2775"/>
      <c r="D19" s="2775"/>
      <c r="E19" s="2775">
        <v>-378</v>
      </c>
      <c r="F19" s="223"/>
    </row>
    <row r="20" spans="1:6" x14ac:dyDescent="0.3">
      <c r="A20" s="214" t="s">
        <v>3783</v>
      </c>
      <c r="B20" s="220"/>
      <c r="C20" s="2775"/>
      <c r="D20" s="2775"/>
      <c r="E20" s="2775">
        <f>378-125</f>
        <v>253</v>
      </c>
      <c r="F20" s="223"/>
    </row>
    <row r="21" spans="1:6" x14ac:dyDescent="0.3">
      <c r="A21" s="214" t="s">
        <v>3784</v>
      </c>
      <c r="B21" s="220"/>
      <c r="C21" s="2775"/>
      <c r="D21" s="2775"/>
      <c r="E21" s="2775">
        <v>-646</v>
      </c>
      <c r="F21" s="223"/>
    </row>
    <row r="22" spans="1:6" x14ac:dyDescent="0.3">
      <c r="A22" s="214" t="s">
        <v>3785</v>
      </c>
      <c r="B22" s="220"/>
      <c r="C22" s="2775"/>
      <c r="D22" s="2775"/>
      <c r="E22" s="2775">
        <v>-1102</v>
      </c>
      <c r="F22" s="223"/>
    </row>
    <row r="23" spans="1:6" x14ac:dyDescent="0.3">
      <c r="A23" s="214" t="s">
        <v>3789</v>
      </c>
      <c r="B23" s="220" t="s">
        <v>3787</v>
      </c>
      <c r="C23" s="518"/>
      <c r="D23" s="518"/>
      <c r="E23" s="2777">
        <f>SUM(E14:E22)</f>
        <v>-1265</v>
      </c>
      <c r="F23" s="1325"/>
    </row>
    <row r="24" spans="1:6" x14ac:dyDescent="0.3">
      <c r="A24" s="214"/>
      <c r="B24" s="220"/>
      <c r="C24" s="518"/>
      <c r="D24" s="518"/>
      <c r="E24" s="2776"/>
      <c r="F24" s="1325"/>
    </row>
    <row r="25" spans="1:6" x14ac:dyDescent="0.3">
      <c r="A25" s="214" t="s">
        <v>3788</v>
      </c>
      <c r="B25" s="220"/>
      <c r="C25" s="2774">
        <f>C15/C9</f>
        <v>-7.9753296469587415E-3</v>
      </c>
      <c r="D25" s="2774"/>
      <c r="E25" s="2774">
        <f>E23/C9</f>
        <v>-4.4839075570679142E-2</v>
      </c>
      <c r="F25" s="1325"/>
    </row>
    <row r="26" spans="1:6" ht="16.2" thickBot="1" x14ac:dyDescent="0.35">
      <c r="A26" s="224" t="s">
        <v>3793</v>
      </c>
      <c r="B26" s="218"/>
      <c r="C26" s="2778">
        <f>C14/C9</f>
        <v>-3.2220331773713314E-2</v>
      </c>
      <c r="D26" s="2778"/>
      <c r="E26" s="2778">
        <f>(E23-E17)/C9</f>
        <v>-6.9084077697433716E-2</v>
      </c>
      <c r="F26" s="1887"/>
    </row>
    <row r="27" spans="1:6" x14ac:dyDescent="0.3">
      <c r="A27" s="2805" t="s">
        <v>3599</v>
      </c>
      <c r="B27" s="2805"/>
      <c r="C27" s="2805"/>
      <c r="D27" s="2805"/>
      <c r="E27" s="2805"/>
      <c r="F27" s="2805"/>
    </row>
    <row r="28" spans="1:6" x14ac:dyDescent="0.3">
      <c r="A28" s="2805"/>
      <c r="B28" s="2805"/>
      <c r="C28" s="2805"/>
      <c r="D28" s="2805"/>
      <c r="E28" s="2805"/>
      <c r="F28" s="2805"/>
    </row>
    <row r="31" spans="1:6" x14ac:dyDescent="0.3">
      <c r="A31" s="211" t="s">
        <v>176</v>
      </c>
    </row>
    <row r="32" spans="1:6" x14ac:dyDescent="0.3">
      <c r="E32" s="211" t="s">
        <v>176</v>
      </c>
    </row>
  </sheetData>
  <mergeCells count="3">
    <mergeCell ref="A27:F28"/>
    <mergeCell ref="C9:E9"/>
    <mergeCell ref="C11:E11"/>
  </mergeCells>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0171-9539-4883-83F9-29463996A885}">
  <sheetPr>
    <tabColor theme="4"/>
  </sheetPr>
  <dimension ref="A1:G24"/>
  <sheetViews>
    <sheetView showGridLines="0" zoomScale="115" zoomScaleNormal="115" workbookViewId="0">
      <selection activeCell="M21" sqref="M21"/>
    </sheetView>
  </sheetViews>
  <sheetFormatPr defaultColWidth="9.109375" defaultRowHeight="15.6" x14ac:dyDescent="0.3"/>
  <cols>
    <col min="1" max="1" width="39.44140625" style="211" customWidth="1"/>
    <col min="2" max="2" width="10" style="211" customWidth="1"/>
    <col min="3" max="3" width="1.6640625" style="211" customWidth="1"/>
    <col min="4" max="4" width="9.44140625" style="211" bestFit="1" customWidth="1"/>
    <col min="5" max="5" width="1.6640625" style="211" customWidth="1"/>
    <col min="6" max="6" width="10.6640625" style="211" bestFit="1" customWidth="1"/>
    <col min="7" max="16384" width="9.109375" style="211"/>
  </cols>
  <sheetData>
    <row r="1" spans="1:7" x14ac:dyDescent="0.3">
      <c r="A1" s="459" t="s">
        <v>2240</v>
      </c>
    </row>
    <row r="2" spans="1:7" x14ac:dyDescent="0.3">
      <c r="A2" s="152" t="s">
        <v>2259</v>
      </c>
    </row>
    <row r="3" spans="1:7" ht="8.25" customHeight="1" thickBot="1" x14ac:dyDescent="0.35"/>
    <row r="4" spans="1:7" x14ac:dyDescent="0.3">
      <c r="A4" s="212" t="s">
        <v>1250</v>
      </c>
      <c r="B4" s="712">
        <v>2019</v>
      </c>
      <c r="C4" s="712"/>
      <c r="D4" s="712">
        <v>2018</v>
      </c>
      <c r="E4" s="712"/>
      <c r="F4" s="713" t="s">
        <v>1290</v>
      </c>
    </row>
    <row r="5" spans="1:7" x14ac:dyDescent="0.3">
      <c r="A5" s="214" t="s">
        <v>2260</v>
      </c>
      <c r="B5" s="2168">
        <v>5635</v>
      </c>
      <c r="C5" s="2168"/>
      <c r="D5" s="2168">
        <v>5822</v>
      </c>
      <c r="E5" s="2168"/>
      <c r="F5" s="2625">
        <f>B5/D5-1</f>
        <v>-3.2119546547578204E-2</v>
      </c>
      <c r="G5" s="211" t="s">
        <v>176</v>
      </c>
    </row>
    <row r="6" spans="1:7" x14ac:dyDescent="0.3">
      <c r="A6" s="214" t="s">
        <v>2261</v>
      </c>
      <c r="B6" s="1622">
        <v>2636</v>
      </c>
      <c r="C6" s="1622"/>
      <c r="D6" s="1622">
        <v>2336</v>
      </c>
      <c r="E6" s="1622"/>
      <c r="F6" s="2625">
        <f>B6/D6-1</f>
        <v>0.12842465753424648</v>
      </c>
    </row>
    <row r="7" spans="1:7" x14ac:dyDescent="0.3">
      <c r="A7" s="214" t="s">
        <v>2262</v>
      </c>
      <c r="B7" s="1622">
        <v>1251</v>
      </c>
      <c r="C7" s="1622"/>
      <c r="D7" s="1622">
        <v>1208</v>
      </c>
      <c r="E7" s="1622"/>
      <c r="F7" s="2625">
        <f>B7/D7-1</f>
        <v>3.5596026490066324E-2</v>
      </c>
    </row>
    <row r="8" spans="1:7" x14ac:dyDescent="0.3">
      <c r="A8" s="214" t="s">
        <v>2263</v>
      </c>
      <c r="B8" s="1328">
        <f>SUM(B5:B7)</f>
        <v>9522</v>
      </c>
      <c r="C8" s="1622"/>
      <c r="D8" s="1328">
        <f>SUM(D5:D7)</f>
        <v>9366</v>
      </c>
      <c r="E8" s="1622"/>
      <c r="F8" s="2624">
        <f>B8/D8-1</f>
        <v>1.6655989750160138E-2</v>
      </c>
    </row>
    <row r="9" spans="1:7" x14ac:dyDescent="0.3">
      <c r="A9" s="214"/>
      <c r="B9" s="1622"/>
      <c r="C9" s="1622"/>
      <c r="D9" s="1622"/>
      <c r="E9" s="1622"/>
      <c r="F9" s="2623"/>
    </row>
    <row r="10" spans="1:7" x14ac:dyDescent="0.3">
      <c r="A10" s="214" t="s">
        <v>2264</v>
      </c>
      <c r="B10" s="1622">
        <v>1681</v>
      </c>
      <c r="C10" s="1622"/>
      <c r="D10" s="1622">
        <v>1836</v>
      </c>
      <c r="E10" s="1622"/>
      <c r="F10" s="2625">
        <f>B10/D10-1</f>
        <v>-8.4422657952069713E-2</v>
      </c>
    </row>
    <row r="11" spans="1:7" x14ac:dyDescent="0.3">
      <c r="A11" s="214" t="s">
        <v>2265</v>
      </c>
      <c r="B11" s="1622">
        <v>874</v>
      </c>
      <c r="C11" s="1622"/>
      <c r="D11" s="1622">
        <v>860</v>
      </c>
      <c r="E11" s="1622"/>
      <c r="F11" s="2625">
        <f>B11/D11-1</f>
        <v>1.6279069767441756E-2</v>
      </c>
    </row>
    <row r="12" spans="1:7" x14ac:dyDescent="0.3">
      <c r="A12" s="214" t="s">
        <v>1075</v>
      </c>
      <c r="B12" s="1622">
        <v>288</v>
      </c>
      <c r="C12" s="1622"/>
      <c r="D12" s="1622">
        <v>246</v>
      </c>
      <c r="E12" s="1622"/>
      <c r="F12" s="2625">
        <f>B12/D12-1</f>
        <v>0.1707317073170731</v>
      </c>
    </row>
    <row r="13" spans="1:7" x14ac:dyDescent="0.3">
      <c r="A13" s="214" t="s">
        <v>2266</v>
      </c>
      <c r="B13" s="1328">
        <f>SUM(B10:B12)</f>
        <v>2843</v>
      </c>
      <c r="C13" s="1622"/>
      <c r="D13" s="1328">
        <f>SUM(D10:D12)</f>
        <v>2942</v>
      </c>
      <c r="E13" s="1622"/>
      <c r="F13" s="2624">
        <f>B13/D13-1</f>
        <v>-3.3650577838205353E-2</v>
      </c>
    </row>
    <row r="14" spans="1:7" x14ac:dyDescent="0.3">
      <c r="A14" s="214"/>
      <c r="F14" s="2623"/>
    </row>
    <row r="15" spans="1:7" x14ac:dyDescent="0.3">
      <c r="A15" s="214" t="s">
        <v>2217</v>
      </c>
      <c r="B15" s="2762">
        <f>B8+B13</f>
        <v>12365</v>
      </c>
      <c r="C15" s="2761"/>
      <c r="D15" s="2762">
        <f>D8+D13</f>
        <v>12308</v>
      </c>
      <c r="E15" s="2168"/>
      <c r="F15" s="2624">
        <f>B15/D15-1</f>
        <v>4.6311342216445173E-3</v>
      </c>
    </row>
    <row r="16" spans="1:7" x14ac:dyDescent="0.3">
      <c r="A16" s="214" t="s">
        <v>3770</v>
      </c>
      <c r="B16" s="2763">
        <v>-2993</v>
      </c>
      <c r="C16" s="2761"/>
      <c r="D16" s="2763">
        <v>-2944</v>
      </c>
      <c r="E16" s="2168"/>
      <c r="F16" s="2765">
        <f t="shared" ref="F16:F17" si="0">B16/D16-1</f>
        <v>1.6644021739130377E-2</v>
      </c>
    </row>
    <row r="17" spans="1:6" ht="16.2" thickBot="1" x14ac:dyDescent="0.35">
      <c r="A17" s="214" t="s">
        <v>3771</v>
      </c>
      <c r="B17" s="2764">
        <f>B15+B16</f>
        <v>9372</v>
      </c>
      <c r="C17" s="2760"/>
      <c r="D17" s="2764">
        <f>D15+D16</f>
        <v>9364</v>
      </c>
      <c r="E17" s="2168"/>
      <c r="F17" s="2625">
        <f t="shared" si="0"/>
        <v>8.5433575395121863E-4</v>
      </c>
    </row>
    <row r="18" spans="1:6" ht="9" customHeight="1" thickTop="1" thickBot="1" x14ac:dyDescent="0.35">
      <c r="A18" s="224"/>
      <c r="B18" s="520"/>
      <c r="C18" s="520"/>
      <c r="D18" s="520"/>
      <c r="E18" s="520"/>
      <c r="F18" s="2596"/>
    </row>
    <row r="19" spans="1:6" x14ac:dyDescent="0.3">
      <c r="A19" s="2805" t="s">
        <v>3656</v>
      </c>
      <c r="B19" s="2805"/>
      <c r="C19" s="2805"/>
      <c r="D19" s="2805"/>
      <c r="E19" s="2805"/>
      <c r="F19" s="2805"/>
    </row>
    <row r="20" spans="1:6" ht="2.4" customHeight="1" x14ac:dyDescent="0.3">
      <c r="A20" s="2805"/>
      <c r="B20" s="2805"/>
      <c r="C20" s="2805"/>
      <c r="D20" s="2805"/>
      <c r="E20" s="2805"/>
      <c r="F20" s="2805"/>
    </row>
    <row r="23" spans="1:6" x14ac:dyDescent="0.3">
      <c r="A23" s="211" t="s">
        <v>176</v>
      </c>
    </row>
    <row r="24" spans="1:6" x14ac:dyDescent="0.3">
      <c r="D24" s="211" t="s">
        <v>176</v>
      </c>
    </row>
  </sheetData>
  <mergeCells count="1">
    <mergeCell ref="A19:F20"/>
  </mergeCells>
  <pageMargins left="0.7" right="0.7" top="0.75" bottom="0.75" header="0.3" footer="0.3"/>
  <ignoredErrors>
    <ignoredError sqref="B8:D8" formulaRange="1"/>
  </ignoredError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2069D-B19B-4FFB-A15A-96A9EE35F1C0}">
  <sheetPr>
    <tabColor theme="4"/>
  </sheetPr>
  <dimension ref="A1:W244"/>
  <sheetViews>
    <sheetView zoomScale="55" zoomScaleNormal="55" workbookViewId="0">
      <pane xSplit="3" ySplit="1" topLeftCell="D219" activePane="bottomRight" state="frozen"/>
      <selection pane="topRight" activeCell="D1" sqref="D1"/>
      <selection pane="bottomLeft" activeCell="A2" sqref="A2"/>
      <selection pane="bottomRight" activeCell="M239" sqref="M239"/>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6" width="23.109375" style="211" bestFit="1" customWidth="1"/>
    <col min="17" max="17" width="20.6640625" style="211" bestFit="1" customWidth="1"/>
    <col min="18" max="18" width="14.109375" style="211" customWidth="1"/>
    <col min="19" max="19" width="16.6640625" style="211" customWidth="1"/>
    <col min="20" max="20" width="17.5546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156</v>
      </c>
    </row>
    <row r="2" spans="1:22" x14ac:dyDescent="0.3">
      <c r="I2" s="2230">
        <v>23653</v>
      </c>
      <c r="J2" s="230">
        <v>1137778</v>
      </c>
      <c r="P2" s="252">
        <f>'3. Financials'!M58</f>
        <v>22138753</v>
      </c>
      <c r="V2" s="2088"/>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Table24568[[#This Row],[Column3]]</f>
        <v>1965-Q1</v>
      </c>
    </row>
    <row r="4" spans="1:22" x14ac:dyDescent="0.3">
      <c r="A4" s="211">
        <v>1965</v>
      </c>
      <c r="B4" s="211" t="s">
        <v>2907</v>
      </c>
      <c r="C4" s="2088" t="str">
        <f t="shared" ref="C4:C67" si="0">CONCATENATE(A4,"-",B4)</f>
        <v>1965-Q2</v>
      </c>
      <c r="D4" s="2228"/>
      <c r="E4" s="252">
        <v>21</v>
      </c>
      <c r="F4" s="252">
        <v>16</v>
      </c>
      <c r="G4" s="252">
        <f t="shared" ref="G4:G82" si="1">AVERAGE(E4:F4)</f>
        <v>18.5</v>
      </c>
      <c r="I4" s="460"/>
      <c r="J4" s="230"/>
      <c r="L4" s="252">
        <f>K3*E4</f>
        <v>22630912.5</v>
      </c>
      <c r="M4" s="252">
        <f>K3*F4</f>
        <v>17242600</v>
      </c>
      <c r="N4" s="252">
        <f t="shared" ref="N4:N67" si="2">AVERAGE(L4:M4)</f>
        <v>19936756.25</v>
      </c>
      <c r="P4" s="252"/>
      <c r="S4" s="348">
        <f>L4/Q3</f>
        <v>0.97005838140047418</v>
      </c>
      <c r="T4" s="348">
        <f>M4/Q3</f>
        <v>0.73909210011464699</v>
      </c>
      <c r="U4" s="1043">
        <f t="shared" ref="U4:U67" si="3">AVERAGE(S4:T4)</f>
        <v>0.85457524075756064</v>
      </c>
      <c r="V4" s="2088" t="str">
        <f>Table24568[[#This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Table24568[[#This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Table24568[[#This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Table24568[[#This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Table24568[[#This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Table24568[[#This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Table24568[[#This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Table24568[[#This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Table24568[[#This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Table24568[[#This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Table24568[[#This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Table24568[[#This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Table24568[[#This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Table24568[[#This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Table24568[[#This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Table24568[[#This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Table24568[[#This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Table24568[[#This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Table24568[[#This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Table24568[[#This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Table24568[[#This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Table24568[[#This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Table24568[[#This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Table24568[[#This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30" t="str">
        <f>Table24568[[#This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Table24568[[#This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Table24568[[#This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Table24568[[#This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Table24568[[#This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Table24568[[#This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Table24568[[#This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Table24568[[#This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Table24568[[#This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Table24568[[#This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Table24568[[#This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c r="V39" s="2088" t="str">
        <f>Table24568[[#This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c r="V40" s="2088" t="str">
        <f>Table24568[[#This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c r="V41" s="2088" t="str">
        <f>Table24568[[#This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c r="V42" s="2088" t="str">
        <f>Table24568[[#This Row],[Column3]]</f>
        <v>1974-Q4</v>
      </c>
    </row>
    <row r="43" spans="1:22" x14ac:dyDescent="0.3">
      <c r="A43" s="211">
        <f t="shared" si="6"/>
        <v>1975</v>
      </c>
      <c r="B43" s="211" t="str">
        <f t="shared" si="7"/>
        <v>Q1</v>
      </c>
      <c r="C43" s="2088" t="str">
        <f t="shared" si="0"/>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si="2"/>
        <v>43590820.5</v>
      </c>
      <c r="P43" s="252">
        <f>'4. Financials'!O84</f>
        <v>92890192</v>
      </c>
      <c r="Q43" s="252">
        <f>AVERAGE(P39,P43)</f>
        <v>90544409.5</v>
      </c>
      <c r="S43" s="348">
        <f>L43/Q43</f>
        <v>0.55175155789160013</v>
      </c>
      <c r="T43" s="348">
        <f>M43/Q43</f>
        <v>0.4111090039192315</v>
      </c>
      <c r="U43" s="1043">
        <f t="shared" si="3"/>
        <v>0.48143028090541584</v>
      </c>
      <c r="V43" s="2088" t="str">
        <f>Table24568[[#This Row],[Column3]]</f>
        <v>1975-Q1</v>
      </c>
    </row>
    <row r="44" spans="1:22" x14ac:dyDescent="0.3">
      <c r="A44" s="211">
        <f t="shared" si="6"/>
        <v>1975</v>
      </c>
      <c r="B44" s="211" t="str">
        <f t="shared" si="7"/>
        <v>Q2</v>
      </c>
      <c r="C44" s="2088" t="str">
        <f t="shared" si="0"/>
        <v>1975-Q2</v>
      </c>
      <c r="E44" s="252">
        <v>51</v>
      </c>
      <c r="F44" s="252">
        <v>45</v>
      </c>
      <c r="G44" s="252">
        <f t="shared" si="1"/>
        <v>48</v>
      </c>
      <c r="J44" s="230"/>
      <c r="L44" s="252">
        <f>K43*E44</f>
        <v>49958019</v>
      </c>
      <c r="M44" s="252">
        <f>K43*F44</f>
        <v>44080605</v>
      </c>
      <c r="N44" s="252">
        <f t="shared" si="2"/>
        <v>47019312</v>
      </c>
      <c r="P44" s="252"/>
      <c r="Q44" s="252"/>
      <c r="S44" s="348">
        <f>L44/Q43</f>
        <v>0.55175155789160013</v>
      </c>
      <c r="T44" s="348">
        <f>M44/Q43</f>
        <v>0.48683960990435304</v>
      </c>
      <c r="U44" s="1043">
        <f t="shared" si="3"/>
        <v>0.51929558389797659</v>
      </c>
      <c r="V44" s="2088" t="str">
        <f>Table24568[[#This Row],[Column3]]</f>
        <v>1975-Q2</v>
      </c>
    </row>
    <row r="45" spans="1:22" x14ac:dyDescent="0.3">
      <c r="A45" s="211">
        <f t="shared" si="6"/>
        <v>1975</v>
      </c>
      <c r="B45" s="211" t="str">
        <f t="shared" si="7"/>
        <v>Q3</v>
      </c>
      <c r="C45" s="2088" t="str">
        <f t="shared" si="0"/>
        <v>1975-Q3</v>
      </c>
      <c r="E45" s="252">
        <v>60</v>
      </c>
      <c r="F45" s="252">
        <v>41</v>
      </c>
      <c r="G45" s="252">
        <f t="shared" si="1"/>
        <v>50.5</v>
      </c>
      <c r="J45" s="230"/>
      <c r="L45" s="252">
        <f>K43*E45</f>
        <v>58774140</v>
      </c>
      <c r="M45" s="252">
        <f>K43*F45</f>
        <v>40162329</v>
      </c>
      <c r="N45" s="252">
        <f t="shared" si="2"/>
        <v>49468234.5</v>
      </c>
      <c r="P45" s="252"/>
      <c r="Q45" s="252"/>
      <c r="S45" s="348">
        <f>L45/Q43</f>
        <v>0.64911947987247076</v>
      </c>
      <c r="T45" s="348">
        <f>M45/Q43</f>
        <v>0.44356497791285504</v>
      </c>
      <c r="U45" s="1043">
        <f t="shared" si="3"/>
        <v>0.54634222889266293</v>
      </c>
      <c r="V45" s="2088" t="str">
        <f>Table24568[[#This Row],[Column3]]</f>
        <v>1975-Q3</v>
      </c>
    </row>
    <row r="46" spans="1:22" x14ac:dyDescent="0.3">
      <c r="A46" s="211">
        <f t="shared" si="6"/>
        <v>1975</v>
      </c>
      <c r="B46" s="211" t="str">
        <f t="shared" si="7"/>
        <v>Q4</v>
      </c>
      <c r="C46" s="2088" t="str">
        <f t="shared" si="0"/>
        <v>1975-Q4</v>
      </c>
      <c r="E46" s="252">
        <v>43</v>
      </c>
      <c r="F46" s="252">
        <v>38</v>
      </c>
      <c r="G46" s="252">
        <f t="shared" si="1"/>
        <v>40.5</v>
      </c>
      <c r="J46" s="230"/>
      <c r="L46" s="252">
        <f>K43*E46</f>
        <v>42121467</v>
      </c>
      <c r="M46" s="252">
        <f>K43*F46</f>
        <v>37223622</v>
      </c>
      <c r="N46" s="252">
        <f t="shared" si="2"/>
        <v>39672544.5</v>
      </c>
      <c r="P46" s="252"/>
      <c r="Q46" s="252"/>
      <c r="S46" s="348">
        <f>L46/Q43</f>
        <v>0.46520229390860407</v>
      </c>
      <c r="T46" s="348">
        <f>M46/Q43</f>
        <v>0.4111090039192315</v>
      </c>
      <c r="U46" s="1043">
        <f t="shared" si="3"/>
        <v>0.43815564891391778</v>
      </c>
      <c r="V46" s="2088" t="str">
        <f>Table24568[[#This Row],[Column3]]</f>
        <v>1975-Q4</v>
      </c>
    </row>
    <row r="47" spans="1:22" x14ac:dyDescent="0.3">
      <c r="A47" s="211">
        <f t="shared" si="6"/>
        <v>1976</v>
      </c>
      <c r="B47" s="211" t="str">
        <f t="shared" si="7"/>
        <v>Q1</v>
      </c>
      <c r="C47" s="2088" t="str">
        <f t="shared" si="0"/>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2"/>
        <v>45883538.5</v>
      </c>
      <c r="P47" s="252">
        <f>'4. Financials'!N84</f>
        <v>115293133</v>
      </c>
      <c r="Q47" s="252">
        <f>AVERAGE(P43,P47)</f>
        <v>104091662.5</v>
      </c>
      <c r="S47" s="348">
        <f>L47/Q47</f>
        <v>0.52520775138931031</v>
      </c>
      <c r="T47" s="348">
        <f>M47/Q47</f>
        <v>0.35639097415703203</v>
      </c>
      <c r="U47" s="1043">
        <f t="shared" si="3"/>
        <v>0.44079936277317117</v>
      </c>
      <c r="V47" s="2088" t="str">
        <f>Table24568[[#This Row],[Column3]]</f>
        <v>1976-Q1</v>
      </c>
    </row>
    <row r="48" spans="1:22" x14ac:dyDescent="0.3">
      <c r="A48" s="211">
        <f t="shared" si="6"/>
        <v>1976</v>
      </c>
      <c r="B48" s="211" t="str">
        <f t="shared" si="7"/>
        <v>Q2</v>
      </c>
      <c r="C48" s="2088" t="str">
        <f t="shared" si="0"/>
        <v>1976-Q2</v>
      </c>
      <c r="E48" s="252">
        <v>60</v>
      </c>
      <c r="F48" s="252">
        <v>55</v>
      </c>
      <c r="G48" s="252">
        <f t="shared" si="1"/>
        <v>57.5</v>
      </c>
      <c r="J48" s="230"/>
      <c r="L48" s="252">
        <f>K47*E48</f>
        <v>58574730</v>
      </c>
      <c r="M48" s="252">
        <f>K47*F48</f>
        <v>53693502.5</v>
      </c>
      <c r="N48" s="252">
        <f t="shared" si="2"/>
        <v>56134116.25</v>
      </c>
      <c r="P48" s="252"/>
      <c r="Q48" s="252"/>
      <c r="S48" s="348">
        <f>L48/Q47</f>
        <v>0.56272259077426112</v>
      </c>
      <c r="T48" s="348">
        <f>M48/Q47</f>
        <v>0.51582904154307263</v>
      </c>
      <c r="U48" s="1043">
        <f t="shared" si="3"/>
        <v>0.53927581615866682</v>
      </c>
      <c r="V48" s="2088" t="str">
        <f>Table24568[[#This Row],[Column3]]</f>
        <v>1976-Q2</v>
      </c>
    </row>
    <row r="49" spans="1:22" x14ac:dyDescent="0.3">
      <c r="A49" s="211">
        <f t="shared" si="6"/>
        <v>1976</v>
      </c>
      <c r="B49" s="211" t="str">
        <f t="shared" si="7"/>
        <v>Q3</v>
      </c>
      <c r="C49" s="2088" t="str">
        <f t="shared" si="0"/>
        <v>1976-Q3</v>
      </c>
      <c r="E49" s="252">
        <v>73</v>
      </c>
      <c r="F49" s="252">
        <v>61</v>
      </c>
      <c r="G49" s="252">
        <f t="shared" si="1"/>
        <v>67</v>
      </c>
      <c r="J49" s="230"/>
      <c r="L49" s="252">
        <f>K47*E49</f>
        <v>71265921.5</v>
      </c>
      <c r="M49" s="252">
        <f>K47*F49</f>
        <v>59550975.5</v>
      </c>
      <c r="N49" s="252">
        <f t="shared" si="2"/>
        <v>65408448.5</v>
      </c>
      <c r="P49" s="252"/>
      <c r="Q49" s="252"/>
      <c r="S49" s="348">
        <f>L49/Q47</f>
        <v>0.68464581877535102</v>
      </c>
      <c r="T49" s="348">
        <f>M49/Q47</f>
        <v>0.5721013006204988</v>
      </c>
      <c r="U49" s="1043">
        <f t="shared" si="3"/>
        <v>0.62837355969792497</v>
      </c>
      <c r="V49" s="2088" t="str">
        <f>Table24568[[#This Row],[Column3]]</f>
        <v>1976-Q3</v>
      </c>
    </row>
    <row r="50" spans="1:22" x14ac:dyDescent="0.3">
      <c r="A50" s="211">
        <f t="shared" si="6"/>
        <v>1976</v>
      </c>
      <c r="B50" s="211" t="str">
        <f t="shared" si="7"/>
        <v>Q4</v>
      </c>
      <c r="C50" s="2088" t="str">
        <f t="shared" si="0"/>
        <v>1976-Q4</v>
      </c>
      <c r="E50" s="252">
        <v>95</v>
      </c>
      <c r="F50" s="252">
        <v>66</v>
      </c>
      <c r="G50" s="252">
        <f t="shared" si="1"/>
        <v>80.5</v>
      </c>
      <c r="J50" s="230"/>
      <c r="L50" s="252">
        <f>K47*E50</f>
        <v>92743322.5</v>
      </c>
      <c r="M50" s="252">
        <f>K47*F50</f>
        <v>64432203</v>
      </c>
      <c r="N50" s="252">
        <f t="shared" si="2"/>
        <v>78587762.75</v>
      </c>
      <c r="P50" s="252"/>
      <c r="Q50" s="252"/>
      <c r="S50" s="348">
        <f>L50/Q47</f>
        <v>0.89097743539258012</v>
      </c>
      <c r="T50" s="348">
        <f>M50/Q47</f>
        <v>0.61899484985168718</v>
      </c>
      <c r="U50" s="1043">
        <f t="shared" si="3"/>
        <v>0.75498614262213359</v>
      </c>
      <c r="V50" s="2088" t="str">
        <f>Table24568[[#This Row],[Column3]]</f>
        <v>1976-Q4</v>
      </c>
    </row>
    <row r="51" spans="1:22" x14ac:dyDescent="0.3">
      <c r="A51" s="211">
        <f t="shared" si="6"/>
        <v>1977</v>
      </c>
      <c r="B51" s="211" t="str">
        <f t="shared" si="7"/>
        <v>Q1</v>
      </c>
      <c r="C51" s="2088" t="str">
        <f t="shared" si="0"/>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si="2"/>
        <v>91163891</v>
      </c>
      <c r="P51" s="252">
        <f>'4. Financials'!M84</f>
        <v>141788403</v>
      </c>
      <c r="Q51" s="252">
        <f>AVERAGE(P47,P51)</f>
        <v>128540768</v>
      </c>
      <c r="S51" s="348">
        <f>L51/Q51</f>
        <v>0.75598347910913366</v>
      </c>
      <c r="T51" s="348">
        <f>M51/Q51</f>
        <v>0.66245974973480792</v>
      </c>
      <c r="U51" s="1043">
        <f t="shared" si="3"/>
        <v>0.70922161442197074</v>
      </c>
      <c r="V51" s="2088" t="str">
        <f>Table24568[[#This Row],[Column3]]</f>
        <v>1977-Q1</v>
      </c>
    </row>
    <row r="52" spans="1:22" x14ac:dyDescent="0.3">
      <c r="A52" s="211">
        <f t="shared" si="6"/>
        <v>1977</v>
      </c>
      <c r="B52" s="211" t="str">
        <f t="shared" si="7"/>
        <v>Q2</v>
      </c>
      <c r="C52" s="2088" t="str">
        <f t="shared" si="0"/>
        <v>1977-Q2</v>
      </c>
      <c r="E52" s="252">
        <v>100</v>
      </c>
      <c r="F52" s="252">
        <v>95</v>
      </c>
      <c r="G52" s="252">
        <f t="shared" si="1"/>
        <v>97.5</v>
      </c>
      <c r="J52" s="230"/>
      <c r="L52" s="252">
        <f>K51*E52</f>
        <v>100180100</v>
      </c>
      <c r="M52" s="252">
        <f>K51*F52</f>
        <v>95171095</v>
      </c>
      <c r="N52" s="252">
        <f t="shared" si="2"/>
        <v>97675597.5</v>
      </c>
      <c r="P52" s="252"/>
      <c r="Q52" s="252"/>
      <c r="S52" s="348">
        <f>L52/Q51</f>
        <v>0.77936441145271518</v>
      </c>
      <c r="T52" s="348">
        <f>M52/Q51</f>
        <v>0.74039619088007935</v>
      </c>
      <c r="U52" s="1043">
        <f t="shared" si="3"/>
        <v>0.75988030116639727</v>
      </c>
      <c r="V52" s="2088" t="str">
        <f>Table24568[[#This Row],[Column3]]</f>
        <v>1977-Q2</v>
      </c>
    </row>
    <row r="53" spans="1:22" x14ac:dyDescent="0.3">
      <c r="A53" s="211">
        <f t="shared" si="6"/>
        <v>1977</v>
      </c>
      <c r="B53" s="211" t="str">
        <f t="shared" si="7"/>
        <v>Q3</v>
      </c>
      <c r="C53" s="2088" t="str">
        <f t="shared" si="0"/>
        <v>1977-Q3</v>
      </c>
      <c r="E53" s="252">
        <v>107</v>
      </c>
      <c r="F53" s="252">
        <v>100</v>
      </c>
      <c r="G53" s="252">
        <f t="shared" si="1"/>
        <v>103.5</v>
      </c>
      <c r="J53" s="230"/>
      <c r="L53" s="252">
        <f>K51*E53</f>
        <v>107192707</v>
      </c>
      <c r="M53" s="252">
        <f>K51*F53</f>
        <v>100180100</v>
      </c>
      <c r="N53" s="252">
        <f t="shared" si="2"/>
        <v>103686403.5</v>
      </c>
      <c r="P53" s="252"/>
      <c r="Q53" s="252"/>
      <c r="S53" s="348">
        <f>L53/Q51</f>
        <v>0.8339199202544052</v>
      </c>
      <c r="T53" s="348">
        <f>M53/Q51</f>
        <v>0.77936441145271518</v>
      </c>
      <c r="U53" s="1043">
        <f t="shared" si="3"/>
        <v>0.80664216585356019</v>
      </c>
      <c r="V53" s="2088" t="str">
        <f>Table24568[[#This Row],[Column3]]</f>
        <v>1977-Q3</v>
      </c>
    </row>
    <row r="54" spans="1:22" x14ac:dyDescent="0.3">
      <c r="A54" s="211">
        <f t="shared" si="6"/>
        <v>1977</v>
      </c>
      <c r="B54" s="211" t="str">
        <f t="shared" si="7"/>
        <v>Q4</v>
      </c>
      <c r="C54" s="2088" t="str">
        <f t="shared" si="0"/>
        <v>1977-Q4</v>
      </c>
      <c r="E54" s="252">
        <v>139</v>
      </c>
      <c r="F54" s="252">
        <v>107</v>
      </c>
      <c r="G54" s="252">
        <f t="shared" si="1"/>
        <v>123</v>
      </c>
      <c r="J54" s="230"/>
      <c r="L54" s="252">
        <f>K51*E54</f>
        <v>139250339</v>
      </c>
      <c r="M54" s="252">
        <f>K51*F54</f>
        <v>107192707</v>
      </c>
      <c r="N54" s="252">
        <f t="shared" si="2"/>
        <v>123221523</v>
      </c>
      <c r="P54" s="252"/>
      <c r="Q54" s="252"/>
      <c r="S54" s="348">
        <f>L54/Q51</f>
        <v>1.0833165319192741</v>
      </c>
      <c r="T54" s="348">
        <f>M54/Q51</f>
        <v>0.8339199202544052</v>
      </c>
      <c r="U54" s="1043">
        <f t="shared" si="3"/>
        <v>0.95861822608683966</v>
      </c>
      <c r="V54" s="2088" t="str">
        <f>Table24568[[#This Row],[Column3]]</f>
        <v>1977-Q4</v>
      </c>
    </row>
    <row r="55" spans="1:22" x14ac:dyDescent="0.3">
      <c r="A55" s="211">
        <f t="shared" si="6"/>
        <v>1978</v>
      </c>
      <c r="B55" s="211" t="str">
        <f t="shared" si="7"/>
        <v>Q1</v>
      </c>
      <c r="C55" s="2088" t="str">
        <f t="shared" si="0"/>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2"/>
        <v>141989925</v>
      </c>
      <c r="P55" s="252">
        <f>'4. Financials'!J84</f>
        <v>254166000</v>
      </c>
      <c r="Q55" s="252">
        <f>AVERAGE(P51,P55)</f>
        <v>197977201.5</v>
      </c>
      <c r="S55" s="348">
        <f>L55/Q55</f>
        <v>0.73799191974132439</v>
      </c>
      <c r="T55" s="348">
        <f>M55/Q55</f>
        <v>0.69641491017843282</v>
      </c>
      <c r="U55" s="1043">
        <f t="shared" si="3"/>
        <v>0.7172034149598786</v>
      </c>
      <c r="V55" s="2088" t="str">
        <f>Table24568[[#This Row],[Column3]]</f>
        <v>1978-Q1</v>
      </c>
    </row>
    <row r="56" spans="1:22" x14ac:dyDescent="0.3">
      <c r="A56" s="211">
        <f t="shared" si="6"/>
        <v>1978</v>
      </c>
      <c r="B56" s="211" t="str">
        <f t="shared" si="7"/>
        <v>Q2</v>
      </c>
      <c r="C56" s="2088" t="str">
        <f t="shared" si="0"/>
        <v>1978-Q2</v>
      </c>
      <c r="E56" s="252">
        <v>180</v>
      </c>
      <c r="F56" s="252">
        <v>142</v>
      </c>
      <c r="G56" s="252">
        <f t="shared" si="1"/>
        <v>161</v>
      </c>
      <c r="J56" s="230"/>
      <c r="L56" s="252">
        <f>K55*E56</f>
        <v>185204250</v>
      </c>
      <c r="M56" s="252">
        <f>K55*F56</f>
        <v>146105575</v>
      </c>
      <c r="N56" s="252">
        <f t="shared" si="2"/>
        <v>165654912.5</v>
      </c>
      <c r="P56" s="252"/>
      <c r="Q56" s="252"/>
      <c r="S56" s="348">
        <f>L56/Q55</f>
        <v>0.9354827151650591</v>
      </c>
      <c r="T56" s="348">
        <f>M56/Q55</f>
        <v>0.73799191974132439</v>
      </c>
      <c r="U56" s="1043">
        <f t="shared" si="3"/>
        <v>0.8367373174531918</v>
      </c>
      <c r="V56" s="2088" t="str">
        <f>Table24568[[#This Row],[Column3]]</f>
        <v>1978-Q2</v>
      </c>
    </row>
    <row r="57" spans="1:22" x14ac:dyDescent="0.3">
      <c r="A57" s="211">
        <f t="shared" si="6"/>
        <v>1978</v>
      </c>
      <c r="B57" s="211" t="str">
        <f t="shared" si="7"/>
        <v>Q3</v>
      </c>
      <c r="C57" s="2088" t="str">
        <f t="shared" si="0"/>
        <v>1978-Q3</v>
      </c>
      <c r="E57" s="252">
        <v>180</v>
      </c>
      <c r="F57" s="252">
        <v>165</v>
      </c>
      <c r="G57" s="252">
        <f t="shared" si="1"/>
        <v>172.5</v>
      </c>
      <c r="J57" s="230"/>
      <c r="L57" s="252">
        <f>K55*E57</f>
        <v>185204250</v>
      </c>
      <c r="M57" s="252">
        <f>K55*F57</f>
        <v>169770562.5</v>
      </c>
      <c r="N57" s="252">
        <f t="shared" si="2"/>
        <v>177487406.25</v>
      </c>
      <c r="P57" s="252"/>
      <c r="Q57" s="252"/>
      <c r="S57" s="348">
        <f>L57/Q55</f>
        <v>0.9354827151650591</v>
      </c>
      <c r="T57" s="348">
        <f>M57/Q55</f>
        <v>0.85752582223463747</v>
      </c>
      <c r="U57" s="1043">
        <f t="shared" si="3"/>
        <v>0.89650426869984834</v>
      </c>
      <c r="V57" s="2088" t="str">
        <f>Table24568[[#This Row],[Column3]]</f>
        <v>1978-Q3</v>
      </c>
    </row>
    <row r="58" spans="1:22" x14ac:dyDescent="0.3">
      <c r="A58" s="211">
        <f t="shared" si="6"/>
        <v>1978</v>
      </c>
      <c r="B58" s="211" t="str">
        <f t="shared" si="7"/>
        <v>Q4</v>
      </c>
      <c r="C58" s="2088" t="str">
        <f t="shared" si="0"/>
        <v>1978-Q4</v>
      </c>
      <c r="E58" s="252">
        <v>189</v>
      </c>
      <c r="F58" s="252">
        <v>152</v>
      </c>
      <c r="G58" s="252">
        <f t="shared" si="1"/>
        <v>170.5</v>
      </c>
      <c r="J58" s="230"/>
      <c r="L58" s="252">
        <f>K55*E58</f>
        <v>194464462.5</v>
      </c>
      <c r="M58" s="252">
        <f>K55*F58</f>
        <v>156394700</v>
      </c>
      <c r="N58" s="252">
        <f t="shared" si="2"/>
        <v>175429581.25</v>
      </c>
      <c r="P58" s="252"/>
      <c r="Q58" s="252"/>
      <c r="S58" s="348">
        <f>L58/Q55</f>
        <v>0.98225685092331194</v>
      </c>
      <c r="T58" s="348">
        <f>M58/Q55</f>
        <v>0.78996318169493873</v>
      </c>
      <c r="U58" s="1043">
        <f t="shared" si="3"/>
        <v>0.88611001630912534</v>
      </c>
      <c r="V58" s="2088" t="str">
        <f>Table24568[[#This Row],[Column3]]</f>
        <v>1978-Q4</v>
      </c>
    </row>
    <row r="59" spans="1:22" x14ac:dyDescent="0.3">
      <c r="A59" s="211">
        <f t="shared" si="6"/>
        <v>1979</v>
      </c>
      <c r="B59" s="211" t="str">
        <f t="shared" si="7"/>
        <v>Q1</v>
      </c>
      <c r="C59" s="2088" t="str">
        <f t="shared" si="0"/>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si="2"/>
        <v>174101077.5</v>
      </c>
      <c r="P59" s="252">
        <f>'4. Financials'!I84</f>
        <v>344962000</v>
      </c>
      <c r="Q59" s="252">
        <f>AVERAGE(P55,P59)</f>
        <v>299564000</v>
      </c>
      <c r="S59" s="348">
        <f>L59/Q59</f>
        <v>0.63432797332122681</v>
      </c>
      <c r="T59" s="348">
        <f>M59/Q59</f>
        <v>0.52803517779172393</v>
      </c>
      <c r="U59" s="1043">
        <f t="shared" si="3"/>
        <v>0.58118157555647532</v>
      </c>
      <c r="V59" s="2088" t="str">
        <f>Table24568[[#This Row],[Column3]]</f>
        <v>1979-Q1</v>
      </c>
    </row>
    <row r="60" spans="1:22" x14ac:dyDescent="0.3">
      <c r="A60" s="211">
        <f t="shared" si="6"/>
        <v>1979</v>
      </c>
      <c r="B60" s="211" t="str">
        <f t="shared" si="7"/>
        <v>Q2</v>
      </c>
      <c r="C60" s="2088" t="str">
        <f t="shared" si="0"/>
        <v>1979-Q2</v>
      </c>
      <c r="E60" s="252">
        <v>215</v>
      </c>
      <c r="F60" s="252">
        <v>185</v>
      </c>
      <c r="G60" s="252">
        <f t="shared" si="1"/>
        <v>200</v>
      </c>
      <c r="J60" s="230"/>
      <c r="L60" s="252">
        <f>K59*E60</f>
        <v>220836175</v>
      </c>
      <c r="M60" s="252">
        <f>K59*F60</f>
        <v>190021825</v>
      </c>
      <c r="N60" s="252">
        <f t="shared" si="2"/>
        <v>205429000</v>
      </c>
      <c r="P60" s="252"/>
      <c r="Q60" s="252"/>
      <c r="S60" s="348">
        <f>L60/Q59</f>
        <v>0.73719196899493933</v>
      </c>
      <c r="T60" s="348">
        <f>M60/Q59</f>
        <v>0.63432797332122681</v>
      </c>
      <c r="U60" s="1043">
        <f t="shared" si="3"/>
        <v>0.68575997115808307</v>
      </c>
      <c r="V60" s="2088" t="str">
        <f>Table24568[[#This Row],[Column3]]</f>
        <v>1979-Q2</v>
      </c>
    </row>
    <row r="61" spans="1:22" x14ac:dyDescent="0.3">
      <c r="A61" s="211">
        <f t="shared" si="6"/>
        <v>1979</v>
      </c>
      <c r="B61" s="211" t="str">
        <f t="shared" si="7"/>
        <v>Q3</v>
      </c>
      <c r="C61" s="2088" t="str">
        <f t="shared" si="0"/>
        <v>1979-Q3</v>
      </c>
      <c r="E61" s="252">
        <v>350</v>
      </c>
      <c r="F61" s="252">
        <v>215</v>
      </c>
      <c r="G61" s="252">
        <f t="shared" si="1"/>
        <v>282.5</v>
      </c>
      <c r="J61" s="230"/>
      <c r="L61" s="252">
        <f>K59*E61</f>
        <v>359500750</v>
      </c>
      <c r="M61" s="252">
        <f>K59*F61</f>
        <v>220836175</v>
      </c>
      <c r="N61" s="252">
        <f t="shared" si="2"/>
        <v>290168462.5</v>
      </c>
      <c r="P61" s="252"/>
      <c r="Q61" s="252"/>
      <c r="S61" s="348">
        <f>L61/Q59</f>
        <v>1.2000799495266454</v>
      </c>
      <c r="T61" s="348">
        <f>M61/Q59</f>
        <v>0.73719196899493933</v>
      </c>
      <c r="U61" s="1043">
        <f t="shared" si="3"/>
        <v>0.96863595926079238</v>
      </c>
      <c r="V61" s="2088" t="str">
        <f>Table24568[[#This Row],[Column3]]</f>
        <v>1979-Q3</v>
      </c>
    </row>
    <row r="62" spans="1:22" x14ac:dyDescent="0.3">
      <c r="A62" s="211">
        <f t="shared" si="6"/>
        <v>1979</v>
      </c>
      <c r="B62" s="211" t="str">
        <f t="shared" si="7"/>
        <v>Q4</v>
      </c>
      <c r="C62" s="2088" t="str">
        <f t="shared" si="0"/>
        <v>1979-Q4</v>
      </c>
      <c r="E62" s="252">
        <v>335</v>
      </c>
      <c r="F62" s="252">
        <v>240</v>
      </c>
      <c r="G62" s="252">
        <f t="shared" si="1"/>
        <v>287.5</v>
      </c>
      <c r="J62" s="230"/>
      <c r="L62" s="252">
        <f>K59*E62</f>
        <v>344093575</v>
      </c>
      <c r="M62" s="252">
        <f>K59*F62</f>
        <v>246514800</v>
      </c>
      <c r="N62" s="252">
        <f t="shared" si="2"/>
        <v>295304187.5</v>
      </c>
      <c r="P62" s="252"/>
      <c r="Q62" s="252"/>
      <c r="S62" s="348">
        <f>L62/Q59</f>
        <v>1.1486479516897892</v>
      </c>
      <c r="T62" s="348">
        <f>M62/Q59</f>
        <v>0.82291196538969968</v>
      </c>
      <c r="U62" s="1043">
        <f t="shared" si="3"/>
        <v>0.98577995853974443</v>
      </c>
      <c r="V62" s="2088" t="str">
        <f>Table24568[[#This Row],[Column3]]</f>
        <v>1979-Q4</v>
      </c>
    </row>
    <row r="63" spans="1:22" x14ac:dyDescent="0.3">
      <c r="A63" s="211">
        <f t="shared" si="6"/>
        <v>1980</v>
      </c>
      <c r="B63" s="211" t="str">
        <f t="shared" si="7"/>
        <v>Q1</v>
      </c>
      <c r="C63" s="2088" t="str">
        <f t="shared" si="0"/>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2"/>
        <v>312046620</v>
      </c>
      <c r="P63" s="252">
        <f>'4. Financials'!H84</f>
        <v>395214000</v>
      </c>
      <c r="Q63" s="252">
        <f>AVERAGE(P59,P63)</f>
        <v>370088000</v>
      </c>
      <c r="S63" s="348">
        <f>L63/Q63</f>
        <v>0.97916365837314367</v>
      </c>
      <c r="T63" s="348">
        <f>M63/Q63</f>
        <v>0.70717375326949261</v>
      </c>
      <c r="U63" s="1043">
        <f t="shared" si="3"/>
        <v>0.8431687058213182</v>
      </c>
      <c r="V63" s="2088" t="str">
        <f>Table24568[[#This Row],[Column3]]</f>
        <v>1980-Q1</v>
      </c>
    </row>
    <row r="64" spans="1:22" x14ac:dyDescent="0.3">
      <c r="A64" s="211">
        <f t="shared" si="6"/>
        <v>1980</v>
      </c>
      <c r="B64" s="211" t="str">
        <f t="shared" si="7"/>
        <v>Q2</v>
      </c>
      <c r="C64" s="2088" t="str">
        <f t="shared" si="0"/>
        <v>1980-Q2</v>
      </c>
      <c r="E64" s="252">
        <v>340</v>
      </c>
      <c r="F64" s="252">
        <v>250</v>
      </c>
      <c r="G64" s="252">
        <f t="shared" si="1"/>
        <v>295</v>
      </c>
      <c r="J64" s="230"/>
      <c r="L64" s="252">
        <f>K63*E64</f>
        <v>342244680</v>
      </c>
      <c r="M64" s="252">
        <f>K63*F64</f>
        <v>251650500</v>
      </c>
      <c r="N64" s="252">
        <f t="shared" si="2"/>
        <v>296947590</v>
      </c>
      <c r="P64" s="252"/>
      <c r="Q64" s="252"/>
      <c r="S64" s="348">
        <f>L64/Q63</f>
        <v>0.92476567735241344</v>
      </c>
      <c r="T64" s="348">
        <f>M64/Q63</f>
        <v>0.6799747627591276</v>
      </c>
      <c r="U64" s="1043">
        <f t="shared" si="3"/>
        <v>0.80237022005577052</v>
      </c>
      <c r="V64" s="2088" t="str">
        <f>Table24568[[#This Row],[Column3]]</f>
        <v>1980-Q2</v>
      </c>
    </row>
    <row r="65" spans="1:22" x14ac:dyDescent="0.3">
      <c r="A65" s="211">
        <f t="shared" si="6"/>
        <v>1980</v>
      </c>
      <c r="B65" s="211" t="str">
        <f t="shared" si="7"/>
        <v>Q3</v>
      </c>
      <c r="C65" s="2088" t="str">
        <f t="shared" si="0"/>
        <v>1980-Q3</v>
      </c>
      <c r="E65" s="252">
        <v>415</v>
      </c>
      <c r="F65" s="252">
        <v>305</v>
      </c>
      <c r="G65" s="252">
        <f t="shared" si="1"/>
        <v>360</v>
      </c>
      <c r="J65" s="230"/>
      <c r="L65" s="252">
        <f>K63*E65</f>
        <v>417739830</v>
      </c>
      <c r="M65" s="252">
        <f>K63*F65</f>
        <v>307013610</v>
      </c>
      <c r="N65" s="252">
        <f t="shared" si="2"/>
        <v>362376720</v>
      </c>
      <c r="P65" s="252"/>
      <c r="Q65" s="252"/>
      <c r="S65" s="348">
        <f>L65/Q63</f>
        <v>1.1287581061801517</v>
      </c>
      <c r="T65" s="348">
        <f>M65/Q63</f>
        <v>0.82956921056613564</v>
      </c>
      <c r="U65" s="1043">
        <f t="shared" si="3"/>
        <v>0.97916365837314367</v>
      </c>
      <c r="V65" s="2088" t="str">
        <f>Table24568[[#This Row],[Column3]]</f>
        <v>1980-Q3</v>
      </c>
    </row>
    <row r="66" spans="1:22" x14ac:dyDescent="0.3">
      <c r="A66" s="211">
        <f t="shared" si="6"/>
        <v>1980</v>
      </c>
      <c r="B66" s="211" t="str">
        <f t="shared" si="7"/>
        <v>Q4</v>
      </c>
      <c r="C66" s="2088" t="str">
        <f t="shared" si="0"/>
        <v>1980-Q4</v>
      </c>
      <c r="E66" s="252">
        <v>490</v>
      </c>
      <c r="F66" s="252">
        <v>385</v>
      </c>
      <c r="G66" s="252">
        <f t="shared" si="1"/>
        <v>437.5</v>
      </c>
      <c r="J66" s="230"/>
      <c r="L66" s="252">
        <f>K63*E66</f>
        <v>493234980</v>
      </c>
      <c r="M66" s="252">
        <f>K63*F66</f>
        <v>387541770</v>
      </c>
      <c r="N66" s="252">
        <f t="shared" si="2"/>
        <v>440388375</v>
      </c>
      <c r="P66" s="252"/>
      <c r="Q66" s="252"/>
      <c r="S66" s="348">
        <f>L66/Q63</f>
        <v>1.3327505350078901</v>
      </c>
      <c r="T66" s="348">
        <f>M66/Q63</f>
        <v>1.0471611346490564</v>
      </c>
      <c r="U66" s="1043">
        <f t="shared" si="3"/>
        <v>1.1899558348284733</v>
      </c>
      <c r="V66" s="2088" t="str">
        <f>Table24568[[#This Row],[Column3]]</f>
        <v>1980-Q4</v>
      </c>
    </row>
    <row r="67" spans="1:22" x14ac:dyDescent="0.3">
      <c r="A67" s="211">
        <f t="shared" si="6"/>
        <v>1981</v>
      </c>
      <c r="B67" s="211" t="str">
        <f t="shared" si="7"/>
        <v>Q1</v>
      </c>
      <c r="C67" s="2088" t="str">
        <f t="shared" si="0"/>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2"/>
        <v>458622060</v>
      </c>
      <c r="P67" s="252">
        <f>'4. Financials'!G84</f>
        <v>519463000</v>
      </c>
      <c r="Q67" s="252">
        <f>AVERAGE(P63,P67)</f>
        <v>457338500</v>
      </c>
      <c r="S67" s="348">
        <f>L67/Q67</f>
        <v>1.0890695185294919</v>
      </c>
      <c r="T67" s="348">
        <f>M67/Q67</f>
        <v>0.91654365420798822</v>
      </c>
      <c r="U67" s="1043">
        <f t="shared" si="3"/>
        <v>1.0028065863687401</v>
      </c>
      <c r="V67" s="2088" t="str">
        <f>Table24568[[#This Row],[Column3]]</f>
        <v>1981-Q1</v>
      </c>
    </row>
    <row r="68" spans="1:22" x14ac:dyDescent="0.3">
      <c r="A68" s="211">
        <f t="shared" si="6"/>
        <v>1981</v>
      </c>
      <c r="B68" s="211" t="str">
        <f t="shared" si="7"/>
        <v>Q2</v>
      </c>
      <c r="C68" s="2088" t="str">
        <f t="shared" ref="C68:C131" si="8">CONCATENATE(A68,"-",B68)</f>
        <v>1981-Q2</v>
      </c>
      <c r="E68" s="252">
        <v>525</v>
      </c>
      <c r="F68" s="252">
        <v>485</v>
      </c>
      <c r="G68" s="252">
        <f t="shared" si="1"/>
        <v>505</v>
      </c>
      <c r="J68" s="230"/>
      <c r="L68" s="252">
        <f>K67*E68</f>
        <v>517799100</v>
      </c>
      <c r="M68" s="252">
        <f>K67*F68</f>
        <v>478347740</v>
      </c>
      <c r="N68" s="252">
        <f t="shared" ref="N68:N121" si="9">AVERAGE(L68:M68)</f>
        <v>498073420</v>
      </c>
      <c r="P68" s="252"/>
      <c r="Q68" s="252"/>
      <c r="S68" s="348">
        <f>L68/Q67</f>
        <v>1.1322009846098677</v>
      </c>
      <c r="T68" s="348">
        <f>M68/Q67</f>
        <v>1.045938052449116</v>
      </c>
      <c r="U68" s="1043">
        <f t="shared" ref="U68:U131" si="10">AVERAGE(S68:T68)</f>
        <v>1.0890695185294919</v>
      </c>
      <c r="V68" s="2088" t="str">
        <f>Table24568[[#This Row],[Column3]]</f>
        <v>1981-Q2</v>
      </c>
    </row>
    <row r="69" spans="1:22" x14ac:dyDescent="0.3">
      <c r="A69" s="211">
        <f t="shared" si="6"/>
        <v>1981</v>
      </c>
      <c r="B69" s="211" t="str">
        <f t="shared" si="7"/>
        <v>Q3</v>
      </c>
      <c r="C69" s="2088" t="str">
        <f t="shared" si="8"/>
        <v>1981-Q3</v>
      </c>
      <c r="E69" s="252">
        <v>520</v>
      </c>
      <c r="F69" s="252">
        <v>460</v>
      </c>
      <c r="G69" s="252">
        <f t="shared" si="1"/>
        <v>490</v>
      </c>
      <c r="J69" s="230"/>
      <c r="L69" s="252">
        <f>K67*E69</f>
        <v>512867680</v>
      </c>
      <c r="M69" s="252">
        <f>K67*F69</f>
        <v>453690640</v>
      </c>
      <c r="N69" s="252">
        <f t="shared" si="9"/>
        <v>483279160</v>
      </c>
      <c r="P69" s="252"/>
      <c r="Q69" s="252"/>
      <c r="S69" s="348">
        <f>L69/Q67</f>
        <v>1.1214181180897738</v>
      </c>
      <c r="T69" s="348">
        <f>M69/Q67</f>
        <v>0.99202371984864601</v>
      </c>
      <c r="U69" s="1043">
        <f t="shared" si="10"/>
        <v>1.0567209189692099</v>
      </c>
      <c r="V69" s="2088" t="str">
        <f>Table24568[[#This Row],[Column3]]</f>
        <v>1981-Q3</v>
      </c>
    </row>
    <row r="70" spans="1:22" x14ac:dyDescent="0.3">
      <c r="A70" s="211">
        <f t="shared" si="6"/>
        <v>1981</v>
      </c>
      <c r="B70" s="211" t="str">
        <f t="shared" si="7"/>
        <v>Q4</v>
      </c>
      <c r="C70" s="2088" t="str">
        <f t="shared" si="8"/>
        <v>1981-Q4</v>
      </c>
      <c r="E70" s="252">
        <v>590</v>
      </c>
      <c r="F70" s="252">
        <v>460</v>
      </c>
      <c r="G70" s="252">
        <f t="shared" si="1"/>
        <v>525</v>
      </c>
      <c r="J70" s="230"/>
      <c r="L70" s="252">
        <f>K67*E70</f>
        <v>581907560</v>
      </c>
      <c r="M70" s="252">
        <f>K67*F70</f>
        <v>453690640</v>
      </c>
      <c r="N70" s="252">
        <f t="shared" si="9"/>
        <v>517799100</v>
      </c>
      <c r="P70" s="252"/>
      <c r="Q70" s="252"/>
      <c r="S70" s="348">
        <f>L70/Q67</f>
        <v>1.2723782493710896</v>
      </c>
      <c r="T70" s="348">
        <f>M70/Q67</f>
        <v>0.99202371984864601</v>
      </c>
      <c r="U70" s="1043">
        <f t="shared" si="10"/>
        <v>1.1322009846098677</v>
      </c>
      <c r="V70" s="2088" t="str">
        <f>Table24568[[#This Row],[Column3]]</f>
        <v>1981-Q4</v>
      </c>
    </row>
    <row r="71" spans="1:22" x14ac:dyDescent="0.3">
      <c r="A71" s="211">
        <f t="shared" si="6"/>
        <v>1982</v>
      </c>
      <c r="B71" s="211" t="str">
        <f t="shared" si="7"/>
        <v>Q1</v>
      </c>
      <c r="C71" s="2088" t="str">
        <f t="shared" si="8"/>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9"/>
        <v>505585862.5</v>
      </c>
      <c r="P71" s="252">
        <f>'4. Financials'!D84</f>
        <v>727483000</v>
      </c>
      <c r="Q71" s="252">
        <f>AVERAGE(P67,P71)</f>
        <v>623473000</v>
      </c>
      <c r="S71" s="348">
        <f>L71/Q71</f>
        <v>0.88607692714840902</v>
      </c>
      <c r="T71" s="348">
        <f>M71/Q71</f>
        <v>0.73576030557858962</v>
      </c>
      <c r="U71" s="1043">
        <f t="shared" si="10"/>
        <v>0.81091861636349938</v>
      </c>
      <c r="V71" s="2088" t="str">
        <f>Table24568[[#This Row],[Column3]]</f>
        <v>1982-Q1</v>
      </c>
    </row>
    <row r="72" spans="1:22" x14ac:dyDescent="0.3">
      <c r="A72" s="211">
        <f t="shared" si="6"/>
        <v>1982</v>
      </c>
      <c r="B72" s="211" t="str">
        <f t="shared" si="7"/>
        <v>Q2</v>
      </c>
      <c r="C72" s="2088" t="str">
        <f t="shared" si="8"/>
        <v>1982-Q2</v>
      </c>
      <c r="E72" s="252">
        <v>520</v>
      </c>
      <c r="F72" s="252">
        <v>470</v>
      </c>
      <c r="G72" s="252">
        <f t="shared" si="1"/>
        <v>495</v>
      </c>
      <c r="J72" s="230"/>
      <c r="L72" s="252">
        <f>K71*E72</f>
        <v>512984680</v>
      </c>
      <c r="M72" s="252">
        <f>K71*F72</f>
        <v>463659230</v>
      </c>
      <c r="N72" s="252">
        <f t="shared" si="9"/>
        <v>488321955</v>
      </c>
      <c r="P72" s="252"/>
      <c r="Q72" s="252"/>
      <c r="S72" s="348">
        <f>L72/Q71</f>
        <v>0.82278571806637979</v>
      </c>
      <c r="T72" s="348">
        <f>M72/Q71</f>
        <v>0.74367170671384331</v>
      </c>
      <c r="U72" s="1043">
        <f t="shared" si="10"/>
        <v>0.7832287123901116</v>
      </c>
      <c r="V72" s="2088" t="str">
        <f>Table24568[[#This Row],[Column3]]</f>
        <v>1982-Q2</v>
      </c>
    </row>
    <row r="73" spans="1:22" x14ac:dyDescent="0.3">
      <c r="A73" s="211">
        <f t="shared" si="6"/>
        <v>1982</v>
      </c>
      <c r="B73" s="211" t="str">
        <f t="shared" si="7"/>
        <v>Q3</v>
      </c>
      <c r="C73" s="2088" t="str">
        <f t="shared" si="8"/>
        <v>1982-Q3</v>
      </c>
      <c r="E73" s="252">
        <v>550</v>
      </c>
      <c r="F73" s="252">
        <v>430</v>
      </c>
      <c r="G73" s="252">
        <f t="shared" si="1"/>
        <v>490</v>
      </c>
      <c r="J73" s="230"/>
      <c r="L73" s="252">
        <f>K71*E73</f>
        <v>542579950</v>
      </c>
      <c r="M73" s="252">
        <f>K71*F73</f>
        <v>424198870</v>
      </c>
      <c r="N73" s="252">
        <f t="shared" si="9"/>
        <v>483389410</v>
      </c>
      <c r="P73" s="252"/>
      <c r="Q73" s="252"/>
      <c r="S73" s="348">
        <f>L73/Q71</f>
        <v>0.87025412487790166</v>
      </c>
      <c r="T73" s="348">
        <f>M73/Q71</f>
        <v>0.68038049763181407</v>
      </c>
      <c r="U73" s="1043">
        <f t="shared" si="10"/>
        <v>0.77531731125485792</v>
      </c>
      <c r="V73" s="2088" t="str">
        <f>Table24568[[#This Row],[Column3]]</f>
        <v>1982-Q3</v>
      </c>
    </row>
    <row r="74" spans="1:22" x14ac:dyDescent="0.3">
      <c r="A74" s="211">
        <f t="shared" si="6"/>
        <v>1982</v>
      </c>
      <c r="B74" s="211" t="str">
        <f t="shared" si="7"/>
        <v>Q4</v>
      </c>
      <c r="C74" s="2088" t="str">
        <f t="shared" si="8"/>
        <v>1982-Q4</v>
      </c>
      <c r="E74" s="252">
        <v>775</v>
      </c>
      <c r="F74" s="252">
        <v>540</v>
      </c>
      <c r="G74" s="252">
        <f t="shared" si="1"/>
        <v>657.5</v>
      </c>
      <c r="J74" s="230"/>
      <c r="L74" s="252">
        <f>K71*E74</f>
        <v>764544475</v>
      </c>
      <c r="M74" s="252">
        <f>K71*F74</f>
        <v>532714860</v>
      </c>
      <c r="N74" s="252">
        <f t="shared" si="9"/>
        <v>648629667.5</v>
      </c>
      <c r="P74" s="252"/>
      <c r="Q74" s="252"/>
      <c r="S74" s="348">
        <f>L74/Q71</f>
        <v>1.226267175964316</v>
      </c>
      <c r="T74" s="348">
        <f>M74/Q71</f>
        <v>0.85443132260739441</v>
      </c>
      <c r="U74" s="1043">
        <f t="shared" si="10"/>
        <v>1.0403492492858553</v>
      </c>
      <c r="V74" s="2088" t="str">
        <f>Table24568[[#This Row],[Column3]]</f>
        <v>1982-Q4</v>
      </c>
    </row>
    <row r="75" spans="1:22" x14ac:dyDescent="0.3">
      <c r="A75" s="211">
        <f t="shared" si="6"/>
        <v>1983</v>
      </c>
      <c r="B75" s="211" t="str">
        <f t="shared" si="7"/>
        <v>Q1</v>
      </c>
      <c r="C75" s="2088" t="str">
        <f t="shared" si="8"/>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si="9"/>
        <v>928036830</v>
      </c>
      <c r="P75" s="252">
        <f>'4. Financials'!C84</f>
        <v>1119193000</v>
      </c>
      <c r="Q75" s="252">
        <f>AVERAGE(P71,P75)</f>
        <v>923338000</v>
      </c>
      <c r="S75" s="348">
        <f>L75/Q75</f>
        <v>1.114840053154966</v>
      </c>
      <c r="T75" s="348">
        <f>M75/Q75</f>
        <v>0.89533786652341829</v>
      </c>
      <c r="U75" s="1043">
        <f t="shared" si="10"/>
        <v>1.0050889598391921</v>
      </c>
      <c r="V75" s="2088" t="str">
        <f>Table24568[[#This Row],[Column3]]</f>
        <v>1983-Q1</v>
      </c>
    </row>
    <row r="76" spans="1:22" x14ac:dyDescent="0.3">
      <c r="A76" s="211">
        <f t="shared" ref="A76:A139" si="11">A72+1</f>
        <v>1983</v>
      </c>
      <c r="B76" s="211" t="str">
        <f t="shared" ref="B76:B139" si="12">B72</f>
        <v>Q2</v>
      </c>
      <c r="C76" s="2088" t="str">
        <f t="shared" si="8"/>
        <v>1983-Q2</v>
      </c>
      <c r="E76" s="252">
        <v>985</v>
      </c>
      <c r="F76" s="252">
        <v>890</v>
      </c>
      <c r="G76" s="252">
        <f t="shared" si="1"/>
        <v>937.5</v>
      </c>
      <c r="J76" s="230"/>
      <c r="L76" s="252">
        <f>K75*E76</f>
        <v>1050708365</v>
      </c>
      <c r="M76" s="252">
        <f>K75*F76</f>
        <v>949371010</v>
      </c>
      <c r="N76" s="252">
        <f t="shared" si="9"/>
        <v>1000039687.5</v>
      </c>
      <c r="P76" s="252"/>
      <c r="Q76" s="252"/>
      <c r="S76" s="348">
        <f>L76/Q75</f>
        <v>1.1379455464846027</v>
      </c>
      <c r="T76" s="348">
        <f>M76/Q75</f>
        <v>1.0281944531688287</v>
      </c>
      <c r="U76" s="1043">
        <f t="shared" si="10"/>
        <v>1.0830699998267157</v>
      </c>
      <c r="V76" s="2088" t="str">
        <f>Table24568[[#This Row],[Column3]]</f>
        <v>1983-Q2</v>
      </c>
    </row>
    <row r="77" spans="1:22" x14ac:dyDescent="0.3">
      <c r="A77" s="211">
        <f t="shared" si="11"/>
        <v>1983</v>
      </c>
      <c r="B77" s="211" t="str">
        <f t="shared" si="12"/>
        <v>Q3</v>
      </c>
      <c r="C77" s="2088" t="str">
        <f t="shared" si="8"/>
        <v>1983-Q3</v>
      </c>
      <c r="E77" s="252">
        <v>1245</v>
      </c>
      <c r="F77" s="252">
        <v>905</v>
      </c>
      <c r="G77" s="252">
        <f t="shared" si="1"/>
        <v>1075</v>
      </c>
      <c r="J77" s="230"/>
      <c r="L77" s="252">
        <f>K75*E77</f>
        <v>1328052705</v>
      </c>
      <c r="M77" s="252">
        <f>K75*F77</f>
        <v>965371645</v>
      </c>
      <c r="N77" s="252">
        <f t="shared" si="9"/>
        <v>1146712175</v>
      </c>
      <c r="P77" s="252"/>
      <c r="Q77" s="252"/>
      <c r="S77" s="348">
        <f>L77/Q75</f>
        <v>1.4383169597698784</v>
      </c>
      <c r="T77" s="348">
        <f>M77/Q75</f>
        <v>1.0455235731660562</v>
      </c>
      <c r="U77" s="1043">
        <f t="shared" si="10"/>
        <v>1.2419202664679672</v>
      </c>
      <c r="V77" s="2088" t="str">
        <f>Table24568[[#This Row],[Column3]]</f>
        <v>1983-Q3</v>
      </c>
    </row>
    <row r="78" spans="1:22" x14ac:dyDescent="0.3">
      <c r="A78" s="211">
        <f t="shared" si="11"/>
        <v>1983</v>
      </c>
      <c r="B78" s="211" t="str">
        <f t="shared" si="12"/>
        <v>Q4</v>
      </c>
      <c r="C78" s="2088" t="str">
        <f t="shared" si="8"/>
        <v>1983-Q4</v>
      </c>
      <c r="E78" s="252">
        <v>1385</v>
      </c>
      <c r="F78" s="252">
        <v>1240</v>
      </c>
      <c r="G78" s="252">
        <f t="shared" si="1"/>
        <v>1312.5</v>
      </c>
      <c r="J78" s="230"/>
      <c r="L78" s="252">
        <f>K75*E78</f>
        <v>1477391965</v>
      </c>
      <c r="M78" s="252">
        <f>K75*F78</f>
        <v>1322719160</v>
      </c>
      <c r="N78" s="252">
        <f t="shared" si="9"/>
        <v>1400055562.5</v>
      </c>
      <c r="P78" s="252"/>
      <c r="Q78" s="252"/>
      <c r="S78" s="348">
        <f>L78/Q75</f>
        <v>1.6000554130773346</v>
      </c>
      <c r="T78" s="348">
        <f>M78/Q75</f>
        <v>1.4325405864374692</v>
      </c>
      <c r="U78" s="1043">
        <f t="shared" si="10"/>
        <v>1.516297999757402</v>
      </c>
      <c r="V78" s="2088" t="str">
        <f>Table24568[[#This Row],[Column3]]</f>
        <v>1983-Q4</v>
      </c>
    </row>
    <row r="79" spans="1:22" x14ac:dyDescent="0.3">
      <c r="A79" s="211">
        <f t="shared" si="11"/>
        <v>1984</v>
      </c>
      <c r="B79" s="211" t="str">
        <f t="shared" si="12"/>
        <v>Q1</v>
      </c>
      <c r="C79" s="2088" t="str">
        <f t="shared" si="8"/>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si="9"/>
        <v>1490981700</v>
      </c>
      <c r="P79" s="252">
        <f>'4. Financials'!B84</f>
        <v>1271761000</v>
      </c>
      <c r="Q79" s="252">
        <f>AVERAGE(P75,P79)</f>
        <v>1195477000</v>
      </c>
      <c r="S79" s="348">
        <f>L79/Q79</f>
        <v>1.3047480127179361</v>
      </c>
      <c r="T79" s="348">
        <f>M79/Q79</f>
        <v>1.1896231880663535</v>
      </c>
      <c r="U79" s="1043">
        <f t="shared" si="10"/>
        <v>1.2471856003921449</v>
      </c>
      <c r="V79" s="2088" t="str">
        <f>Table24568[[#This Row],[Column3]]</f>
        <v>1984-Q1</v>
      </c>
    </row>
    <row r="80" spans="1:22" x14ac:dyDescent="0.3">
      <c r="A80" s="211">
        <f t="shared" si="11"/>
        <v>1984</v>
      </c>
      <c r="B80" s="211" t="str">
        <f t="shared" si="12"/>
        <v>Q2</v>
      </c>
      <c r="C80" s="2088" t="str">
        <f t="shared" si="8"/>
        <v>1984-Q2</v>
      </c>
      <c r="E80" s="252">
        <v>1345</v>
      </c>
      <c r="F80" s="252">
        <v>1220</v>
      </c>
      <c r="G80" s="252">
        <f t="shared" si="1"/>
        <v>1282.5</v>
      </c>
      <c r="J80" s="230"/>
      <c r="L80" s="252">
        <f>K79*E80</f>
        <v>1542592605</v>
      </c>
      <c r="M80" s="252">
        <f>K79*F80</f>
        <v>1399228980</v>
      </c>
      <c r="N80" s="252">
        <f t="shared" si="9"/>
        <v>1470910792.5</v>
      </c>
      <c r="P80" s="252"/>
      <c r="Q80" s="252"/>
      <c r="S80" s="348">
        <f>L80/Q79</f>
        <v>1.2903574096364883</v>
      </c>
      <c r="T80" s="348">
        <f>M80/Q79</f>
        <v>1.1704357172910897</v>
      </c>
      <c r="U80" s="1043">
        <f t="shared" si="10"/>
        <v>1.230396563463789</v>
      </c>
      <c r="V80" s="2088" t="str">
        <f>Table24568[[#This Row],[Column3]]</f>
        <v>1984-Q2</v>
      </c>
    </row>
    <row r="81" spans="1:22" x14ac:dyDescent="0.3">
      <c r="A81" s="211">
        <f t="shared" si="11"/>
        <v>1984</v>
      </c>
      <c r="B81" s="211" t="str">
        <f t="shared" si="12"/>
        <v>Q3</v>
      </c>
      <c r="C81" s="2088" t="str">
        <f t="shared" si="8"/>
        <v>1984-Q3</v>
      </c>
      <c r="E81" s="252">
        <v>1305</v>
      </c>
      <c r="F81" s="252">
        <v>1230</v>
      </c>
      <c r="G81" s="252">
        <f t="shared" si="1"/>
        <v>1267.5</v>
      </c>
      <c r="J81" s="230"/>
      <c r="L81" s="252">
        <f>K79*E81</f>
        <v>1496716245</v>
      </c>
      <c r="M81" s="252">
        <f>K79*F81</f>
        <v>1410698070</v>
      </c>
      <c r="N81" s="252">
        <f t="shared" si="9"/>
        <v>1453707157.5</v>
      </c>
      <c r="P81" s="252"/>
      <c r="Q81" s="252"/>
      <c r="S81" s="348">
        <f>L81/Q79</f>
        <v>1.2519824680859606</v>
      </c>
      <c r="T81" s="348">
        <f>M81/Q79</f>
        <v>1.1800294526787216</v>
      </c>
      <c r="U81" s="1043">
        <f t="shared" si="10"/>
        <v>1.2160059603823412</v>
      </c>
      <c r="V81" s="2088" t="str">
        <f>Table24568[[#This Row],[Column3]]</f>
        <v>1984-Q3</v>
      </c>
    </row>
    <row r="82" spans="1:22" x14ac:dyDescent="0.3">
      <c r="A82" s="211">
        <f t="shared" si="11"/>
        <v>1984</v>
      </c>
      <c r="B82" s="211" t="str">
        <f t="shared" si="12"/>
        <v>Q4</v>
      </c>
      <c r="C82" s="2088" t="str">
        <f t="shared" si="8"/>
        <v>1984-Q4</v>
      </c>
      <c r="E82" s="252">
        <v>1305</v>
      </c>
      <c r="F82" s="252">
        <v>1265</v>
      </c>
      <c r="G82" s="252">
        <f t="shared" si="1"/>
        <v>1285</v>
      </c>
      <c r="J82" s="230"/>
      <c r="L82" s="252">
        <f>K79*E82</f>
        <v>1496716245</v>
      </c>
      <c r="M82" s="252">
        <f>K79*F82</f>
        <v>1450839885</v>
      </c>
      <c r="N82" s="252">
        <f t="shared" si="9"/>
        <v>1473778065</v>
      </c>
      <c r="P82" s="252"/>
      <c r="Q82" s="252"/>
      <c r="S82" s="348">
        <f>L82/Q79</f>
        <v>1.2519824680859606</v>
      </c>
      <c r="T82" s="348">
        <f>M82/Q79</f>
        <v>1.2136075265354331</v>
      </c>
      <c r="U82" s="1043">
        <f t="shared" si="10"/>
        <v>1.2327949973106969</v>
      </c>
      <c r="V82" s="2088" t="str">
        <f>Table24568[[#This Row],[Column3]]</f>
        <v>1984-Q4</v>
      </c>
    </row>
    <row r="83" spans="1:22" x14ac:dyDescent="0.3">
      <c r="A83" s="211">
        <f t="shared" si="11"/>
        <v>1985</v>
      </c>
      <c r="B83" s="211" t="str">
        <f t="shared" si="12"/>
        <v>Q1</v>
      </c>
      <c r="C83" s="2088" t="str">
        <f t="shared" si="8"/>
        <v>1985-Q1</v>
      </c>
      <c r="D83" s="211">
        <v>1985</v>
      </c>
      <c r="E83" s="252">
        <v>1930</v>
      </c>
      <c r="F83" s="252">
        <v>1275</v>
      </c>
      <c r="G83" s="252">
        <f t="shared" ref="G83:G146" si="13">AVERAGE(E83:F83)</f>
        <v>1602.5</v>
      </c>
      <c r="I83" s="2088">
        <v>31412</v>
      </c>
      <c r="J83" s="230">
        <v>1147000</v>
      </c>
      <c r="K83" s="278">
        <f>AVERAGE(J79,J83)</f>
        <v>1146954.5</v>
      </c>
      <c r="L83" s="252">
        <f>K83*E83</f>
        <v>2213622185</v>
      </c>
      <c r="M83" s="252">
        <f>K83*F83</f>
        <v>1462366987.5</v>
      </c>
      <c r="N83" s="252">
        <f t="shared" si="9"/>
        <v>1837994586.25</v>
      </c>
      <c r="P83" s="252">
        <v>1885330000</v>
      </c>
      <c r="Q83" s="252">
        <f>AVERAGE(P79,P83)</f>
        <v>1578545500</v>
      </c>
      <c r="S83" s="348">
        <f>L83/Q83</f>
        <v>1.4023176303755578</v>
      </c>
      <c r="T83" s="348">
        <f>M83/Q83</f>
        <v>0.92640154338281666</v>
      </c>
      <c r="U83" s="1043">
        <f t="shared" si="10"/>
        <v>1.1643595868791872</v>
      </c>
      <c r="V83" s="2088" t="str">
        <f>Table24568[[#This Row],[Column3]]</f>
        <v>1985-Q1</v>
      </c>
    </row>
    <row r="84" spans="1:22" x14ac:dyDescent="0.3">
      <c r="A84" s="211">
        <f t="shared" si="11"/>
        <v>1985</v>
      </c>
      <c r="B84" s="211" t="str">
        <f t="shared" si="12"/>
        <v>Q2</v>
      </c>
      <c r="C84" s="2088" t="str">
        <f t="shared" si="8"/>
        <v>1985-Q2</v>
      </c>
      <c r="E84" s="252">
        <v>2160</v>
      </c>
      <c r="F84" s="252">
        <v>1725</v>
      </c>
      <c r="G84" s="252">
        <f t="shared" si="13"/>
        <v>1942.5</v>
      </c>
      <c r="J84" s="230"/>
      <c r="L84" s="252">
        <f>K83*E84</f>
        <v>2477421720</v>
      </c>
      <c r="M84" s="252">
        <f>K83*F84</f>
        <v>1978496512.5</v>
      </c>
      <c r="N84" s="252">
        <f t="shared" si="9"/>
        <v>2227959116.25</v>
      </c>
      <c r="P84" s="252"/>
      <c r="Q84" s="252"/>
      <c r="S84" s="348">
        <f>L84/Q83</f>
        <v>1.5694332029073599</v>
      </c>
      <c r="T84" s="348">
        <f>M84/Q83</f>
        <v>1.2533667939885167</v>
      </c>
      <c r="U84" s="1043">
        <f t="shared" si="10"/>
        <v>1.4113999984479384</v>
      </c>
      <c r="V84" s="2088" t="str">
        <f>Table24568[[#This Row],[Column3]]</f>
        <v>1985-Q2</v>
      </c>
    </row>
    <row r="85" spans="1:22" x14ac:dyDescent="0.3">
      <c r="A85" s="211">
        <f t="shared" si="11"/>
        <v>1985</v>
      </c>
      <c r="B85" s="211" t="str">
        <f t="shared" si="12"/>
        <v>Q3</v>
      </c>
      <c r="C85" s="2088" t="str">
        <f t="shared" si="8"/>
        <v>1985-Q3</v>
      </c>
      <c r="E85" s="252">
        <v>2235</v>
      </c>
      <c r="F85" s="252">
        <v>2005</v>
      </c>
      <c r="G85" s="252">
        <f t="shared" si="13"/>
        <v>2120</v>
      </c>
      <c r="J85" s="230"/>
      <c r="L85" s="252">
        <f>K83*E85</f>
        <v>2563443307.5</v>
      </c>
      <c r="M85" s="252">
        <f>K83*F85</f>
        <v>2299643772.5</v>
      </c>
      <c r="N85" s="252">
        <f t="shared" si="9"/>
        <v>2431543540</v>
      </c>
      <c r="P85" s="252"/>
      <c r="Q85" s="252"/>
      <c r="S85" s="348">
        <f>L85/Q83</f>
        <v>1.6239274113416433</v>
      </c>
      <c r="T85" s="348">
        <f>M85/Q83</f>
        <v>1.456811838809841</v>
      </c>
      <c r="U85" s="1043">
        <f t="shared" si="10"/>
        <v>1.5403696250757422</v>
      </c>
      <c r="V85" s="2088" t="str">
        <f>Table24568[[#This Row],[Column3]]</f>
        <v>1985-Q3</v>
      </c>
    </row>
    <row r="86" spans="1:22" x14ac:dyDescent="0.3">
      <c r="A86" s="211">
        <f t="shared" si="11"/>
        <v>1985</v>
      </c>
      <c r="B86" s="211" t="str">
        <f t="shared" si="12"/>
        <v>Q4</v>
      </c>
      <c r="C86" s="2088" t="str">
        <f t="shared" si="8"/>
        <v>1985-Q4</v>
      </c>
      <c r="E86" s="252">
        <v>2730</v>
      </c>
      <c r="F86" s="252">
        <v>2075</v>
      </c>
      <c r="G86" s="252">
        <f t="shared" si="13"/>
        <v>2402.5</v>
      </c>
      <c r="J86" s="230"/>
      <c r="L86" s="252">
        <f>K83*E86</f>
        <v>3131185785</v>
      </c>
      <c r="M86" s="252">
        <f>K83*F86</f>
        <v>2379930587.5</v>
      </c>
      <c r="N86" s="252">
        <f t="shared" si="9"/>
        <v>2755558186.25</v>
      </c>
      <c r="P86" s="252"/>
      <c r="Q86" s="252"/>
      <c r="S86" s="348">
        <f>L86/Q83</f>
        <v>1.9835891870079132</v>
      </c>
      <c r="T86" s="348">
        <f>M86/Q83</f>
        <v>1.5076731000151722</v>
      </c>
      <c r="U86" s="1043">
        <f t="shared" si="10"/>
        <v>1.7456311435115426</v>
      </c>
      <c r="V86" s="2088" t="str">
        <f>Table24568[[#This Row],[Column3]]</f>
        <v>1985-Q4</v>
      </c>
    </row>
    <row r="87" spans="1:22" x14ac:dyDescent="0.3">
      <c r="A87" s="211">
        <f t="shared" si="11"/>
        <v>1986</v>
      </c>
      <c r="B87" s="211" t="str">
        <f t="shared" si="12"/>
        <v>Q1</v>
      </c>
      <c r="C87" s="2088" t="str">
        <f t="shared" si="8"/>
        <v>1986-Q1</v>
      </c>
      <c r="D87" s="211">
        <v>1986</v>
      </c>
      <c r="E87" s="252">
        <v>3250</v>
      </c>
      <c r="F87" s="252">
        <v>2220</v>
      </c>
      <c r="G87" s="252">
        <f t="shared" si="13"/>
        <v>2735</v>
      </c>
      <c r="I87" s="2088">
        <v>31777</v>
      </c>
      <c r="J87" s="230">
        <v>1147000</v>
      </c>
      <c r="K87" s="278">
        <f>AVERAGE(J83,J87)</f>
        <v>1147000</v>
      </c>
      <c r="L87" s="252">
        <f>K87*E87</f>
        <v>3727750000</v>
      </c>
      <c r="M87" s="252">
        <f>K87*F87</f>
        <v>2546340000</v>
      </c>
      <c r="N87" s="252">
        <f t="shared" si="9"/>
        <v>3137045000</v>
      </c>
      <c r="P87" s="252">
        <v>2377797000</v>
      </c>
      <c r="Q87" s="252">
        <f>AVERAGE(P83,P87)</f>
        <v>2131563500</v>
      </c>
      <c r="S87" s="348">
        <f>L87/Q87</f>
        <v>1.7488336613007307</v>
      </c>
      <c r="T87" s="348">
        <f>M87/Q87</f>
        <v>1.1945879163346529</v>
      </c>
      <c r="U87" s="1043">
        <f t="shared" si="10"/>
        <v>1.4717107888176919</v>
      </c>
      <c r="V87" s="2088" t="str">
        <f>Table24568[[#This Row],[Column3]]</f>
        <v>1986-Q1</v>
      </c>
    </row>
    <row r="88" spans="1:22" x14ac:dyDescent="0.3">
      <c r="A88" s="211">
        <f t="shared" si="11"/>
        <v>1986</v>
      </c>
      <c r="B88" s="211" t="str">
        <f t="shared" si="12"/>
        <v>Q2</v>
      </c>
      <c r="C88" s="2088" t="str">
        <f t="shared" si="8"/>
        <v>1986-Q2</v>
      </c>
      <c r="E88" s="252">
        <v>3160</v>
      </c>
      <c r="F88" s="252">
        <v>2640</v>
      </c>
      <c r="G88" s="252">
        <f t="shared" si="13"/>
        <v>2900</v>
      </c>
      <c r="J88" s="230"/>
      <c r="L88" s="252">
        <f>K87*E88</f>
        <v>3624520000</v>
      </c>
      <c r="M88" s="252">
        <f>K87*F88</f>
        <v>3028080000</v>
      </c>
      <c r="N88" s="252">
        <f t="shared" si="9"/>
        <v>3326300000</v>
      </c>
      <c r="P88" s="252"/>
      <c r="Q88" s="252"/>
      <c r="S88" s="348">
        <f>L88/Q87</f>
        <v>1.7004044214493259</v>
      </c>
      <c r="T88" s="348">
        <f>M88/Q87</f>
        <v>1.4205910356412088</v>
      </c>
      <c r="U88" s="1043">
        <f t="shared" si="10"/>
        <v>1.5604977285452675</v>
      </c>
      <c r="V88" s="2088" t="str">
        <f>Table24568[[#This Row],[Column3]]</f>
        <v>1986-Q2</v>
      </c>
    </row>
    <row r="89" spans="1:22" x14ac:dyDescent="0.3">
      <c r="A89" s="211">
        <f t="shared" si="11"/>
        <v>1986</v>
      </c>
      <c r="B89" s="211" t="str">
        <f t="shared" si="12"/>
        <v>Q3</v>
      </c>
      <c r="C89" s="2088" t="str">
        <f t="shared" si="8"/>
        <v>1986-Q3</v>
      </c>
      <c r="E89" s="252">
        <v>3100</v>
      </c>
      <c r="F89" s="252">
        <v>2525</v>
      </c>
      <c r="G89" s="252">
        <f t="shared" si="13"/>
        <v>2812.5</v>
      </c>
      <c r="J89" s="230"/>
      <c r="L89" s="252">
        <f>K87*E89</f>
        <v>3555700000</v>
      </c>
      <c r="M89" s="252">
        <f>K87*F89</f>
        <v>2896175000</v>
      </c>
      <c r="N89" s="252">
        <f t="shared" si="9"/>
        <v>3225937500</v>
      </c>
      <c r="P89" s="252"/>
      <c r="Q89" s="252"/>
      <c r="S89" s="348">
        <f>L89/Q87</f>
        <v>1.6681182615483892</v>
      </c>
      <c r="T89" s="348">
        <f>M89/Q87</f>
        <v>1.3587092291644138</v>
      </c>
      <c r="U89" s="1043">
        <f t="shared" si="10"/>
        <v>1.5134137453564014</v>
      </c>
      <c r="V89" s="2088" t="str">
        <f>Table24568[[#This Row],[Column3]]</f>
        <v>1986-Q3</v>
      </c>
    </row>
    <row r="90" spans="1:22" x14ac:dyDescent="0.3">
      <c r="A90" s="211">
        <f t="shared" si="11"/>
        <v>1986</v>
      </c>
      <c r="B90" s="211" t="str">
        <f t="shared" si="12"/>
        <v>Q4</v>
      </c>
      <c r="C90" s="2088" t="str">
        <f t="shared" si="8"/>
        <v>1986-Q4</v>
      </c>
      <c r="E90" s="252">
        <v>2925</v>
      </c>
      <c r="F90" s="252">
        <v>2620</v>
      </c>
      <c r="G90" s="252">
        <f t="shared" si="13"/>
        <v>2772.5</v>
      </c>
      <c r="J90" s="230"/>
      <c r="L90" s="252">
        <f>K87*E90</f>
        <v>3354975000</v>
      </c>
      <c r="M90" s="252">
        <f>K87*F90</f>
        <v>3005140000</v>
      </c>
      <c r="N90" s="252">
        <f t="shared" si="9"/>
        <v>3180057500</v>
      </c>
      <c r="P90" s="252"/>
      <c r="Q90" s="252"/>
      <c r="S90" s="348">
        <f>L90/Q87</f>
        <v>1.5739502951706577</v>
      </c>
      <c r="T90" s="348">
        <f>M90/Q87</f>
        <v>1.4098289823408967</v>
      </c>
      <c r="U90" s="1043">
        <f t="shared" si="10"/>
        <v>1.4918896387557772</v>
      </c>
      <c r="V90" s="2088" t="str">
        <f>Table24568[[#This Row],[Column3]]</f>
        <v>1986-Q4</v>
      </c>
    </row>
    <row r="91" spans="1:22" x14ac:dyDescent="0.3">
      <c r="A91" s="211">
        <f t="shared" si="11"/>
        <v>1987</v>
      </c>
      <c r="B91" s="211" t="str">
        <f t="shared" si="12"/>
        <v>Q1</v>
      </c>
      <c r="C91" s="2088" t="str">
        <f t="shared" si="8"/>
        <v>1987-Q1</v>
      </c>
      <c r="D91" s="211">
        <v>1987</v>
      </c>
      <c r="E91" s="252">
        <v>3630</v>
      </c>
      <c r="F91" s="252">
        <v>2800</v>
      </c>
      <c r="G91" s="252">
        <f t="shared" si="13"/>
        <v>3215</v>
      </c>
      <c r="I91" s="2088">
        <v>32142</v>
      </c>
      <c r="J91" s="230">
        <v>1147000</v>
      </c>
      <c r="K91" s="278">
        <f>AVERAGE(J87,J91)</f>
        <v>1147000</v>
      </c>
      <c r="L91" s="252">
        <f>K91*E91</f>
        <v>4163610000</v>
      </c>
      <c r="M91" s="252">
        <f>K91*F91</f>
        <v>3211600000</v>
      </c>
      <c r="N91" s="252">
        <f t="shared" si="9"/>
        <v>3687605000</v>
      </c>
      <c r="P91" s="252">
        <v>2841659000</v>
      </c>
      <c r="Q91" s="252">
        <f>AVERAGE(P87,P91)</f>
        <v>2609728000</v>
      </c>
      <c r="S91" s="348">
        <f>L91/Q91</f>
        <v>1.5954191394658754</v>
      </c>
      <c r="T91" s="348">
        <f>M91/Q91</f>
        <v>1.2306263334723007</v>
      </c>
      <c r="U91" s="1043">
        <f t="shared" si="10"/>
        <v>1.4130227364690882</v>
      </c>
      <c r="V91" s="2088" t="str">
        <f>Table24568[[#This Row],[Column3]]</f>
        <v>1987-Q1</v>
      </c>
    </row>
    <row r="92" spans="1:22" x14ac:dyDescent="0.3">
      <c r="A92" s="211">
        <f t="shared" si="11"/>
        <v>1987</v>
      </c>
      <c r="B92" s="211" t="str">
        <f t="shared" si="12"/>
        <v>Q2</v>
      </c>
      <c r="C92" s="2088" t="str">
        <f t="shared" si="8"/>
        <v>1987-Q2</v>
      </c>
      <c r="E92" s="252">
        <v>3530</v>
      </c>
      <c r="F92" s="252">
        <v>3300</v>
      </c>
      <c r="G92" s="252">
        <f t="shared" si="13"/>
        <v>3415</v>
      </c>
      <c r="J92" s="230"/>
      <c r="L92" s="252">
        <f>K91*E92</f>
        <v>4048910000</v>
      </c>
      <c r="M92" s="252">
        <f>K91*F92</f>
        <v>3785100000</v>
      </c>
      <c r="N92" s="252">
        <f t="shared" si="9"/>
        <v>3917005000</v>
      </c>
      <c r="P92" s="252"/>
      <c r="Q92" s="252"/>
      <c r="S92" s="348">
        <f>L92/Q91</f>
        <v>1.5514681989847219</v>
      </c>
      <c r="T92" s="348">
        <f>M92/Q91</f>
        <v>1.4503810358780684</v>
      </c>
      <c r="U92" s="1043">
        <f t="shared" si="10"/>
        <v>1.5009246174313953</v>
      </c>
      <c r="V92" s="2088" t="str">
        <f>Table24568[[#This Row],[Column3]]</f>
        <v>1987-Q2</v>
      </c>
    </row>
    <row r="93" spans="1:22" x14ac:dyDescent="0.3">
      <c r="A93" s="211">
        <f t="shared" si="11"/>
        <v>1987</v>
      </c>
      <c r="B93" s="211" t="str">
        <f t="shared" si="12"/>
        <v>Q3</v>
      </c>
      <c r="C93" s="2088" t="str">
        <f t="shared" si="8"/>
        <v>1987-Q3</v>
      </c>
      <c r="E93" s="252">
        <v>4220</v>
      </c>
      <c r="F93" s="252">
        <v>3420</v>
      </c>
      <c r="G93" s="252">
        <f t="shared" si="13"/>
        <v>3820</v>
      </c>
      <c r="J93" s="230"/>
      <c r="L93" s="252">
        <f>K91*E93</f>
        <v>4840340000</v>
      </c>
      <c r="M93" s="252">
        <f>K91*F93</f>
        <v>3922740000</v>
      </c>
      <c r="N93" s="252">
        <f t="shared" si="9"/>
        <v>4381540000</v>
      </c>
      <c r="P93" s="252"/>
      <c r="Q93" s="252"/>
      <c r="S93" s="348">
        <f>L93/Q91</f>
        <v>1.8547296883046815</v>
      </c>
      <c r="T93" s="348">
        <f>M93/Q91</f>
        <v>1.5031221644554529</v>
      </c>
      <c r="U93" s="1043">
        <f t="shared" si="10"/>
        <v>1.6789259263800673</v>
      </c>
      <c r="V93" s="2088" t="str">
        <f>Table24568[[#This Row],[Column3]]</f>
        <v>1987-Q3</v>
      </c>
    </row>
    <row r="94" spans="1:22" x14ac:dyDescent="0.3">
      <c r="A94" s="211">
        <f t="shared" si="11"/>
        <v>1987</v>
      </c>
      <c r="B94" s="211" t="str">
        <f t="shared" si="12"/>
        <v>Q4</v>
      </c>
      <c r="C94" s="2088" t="str">
        <f t="shared" si="8"/>
        <v>1987-Q4</v>
      </c>
      <c r="E94" s="252">
        <v>4270</v>
      </c>
      <c r="F94" s="252">
        <v>2550</v>
      </c>
      <c r="G94" s="252">
        <f t="shared" si="13"/>
        <v>3410</v>
      </c>
      <c r="J94" s="230"/>
      <c r="L94" s="252">
        <f>K91*E94</f>
        <v>4897690000</v>
      </c>
      <c r="M94" s="252">
        <f>K91*F94</f>
        <v>2924850000</v>
      </c>
      <c r="N94" s="252">
        <f t="shared" si="9"/>
        <v>3911270000</v>
      </c>
      <c r="P94" s="252"/>
      <c r="Q94" s="252"/>
      <c r="S94" s="348">
        <f>L94/Q91</f>
        <v>1.8767051585452583</v>
      </c>
      <c r="T94" s="348">
        <f>M94/Q91</f>
        <v>1.1207489822694165</v>
      </c>
      <c r="U94" s="1043">
        <f t="shared" si="10"/>
        <v>1.4987270704073374</v>
      </c>
      <c r="V94" s="2088" t="str">
        <f>Table24568[[#This Row],[Column3]]</f>
        <v>1987-Q4</v>
      </c>
    </row>
    <row r="95" spans="1:22" x14ac:dyDescent="0.3">
      <c r="A95" s="211">
        <f t="shared" si="11"/>
        <v>1988</v>
      </c>
      <c r="B95" s="211" t="str">
        <f t="shared" si="12"/>
        <v>Q1</v>
      </c>
      <c r="C95" s="2088" t="str">
        <f t="shared" si="8"/>
        <v>1988-Q1</v>
      </c>
      <c r="D95" s="211">
        <v>1988</v>
      </c>
      <c r="E95" s="252">
        <v>3500</v>
      </c>
      <c r="F95" s="252">
        <v>3000</v>
      </c>
      <c r="G95" s="252">
        <f t="shared" si="13"/>
        <v>3250</v>
      </c>
      <c r="I95" s="2088">
        <v>32508</v>
      </c>
      <c r="J95" s="230">
        <v>1146000</v>
      </c>
      <c r="K95" s="278">
        <f>AVERAGE(J91,J95)</f>
        <v>1146500</v>
      </c>
      <c r="L95" s="252">
        <f>K95*E95</f>
        <v>4012750000</v>
      </c>
      <c r="M95" s="252">
        <f>K95*F95</f>
        <v>3439500000</v>
      </c>
      <c r="N95" s="252">
        <f t="shared" si="9"/>
        <v>3726125000</v>
      </c>
      <c r="P95" s="252">
        <v>3410108000</v>
      </c>
      <c r="Q95" s="252">
        <f>AVERAGE(P91,P95)</f>
        <v>3125883500</v>
      </c>
      <c r="S95" s="348">
        <f>L95/Q95</f>
        <v>1.2837170675106735</v>
      </c>
      <c r="T95" s="348">
        <f>M95/Q95</f>
        <v>1.1003289150091486</v>
      </c>
      <c r="U95" s="1043">
        <f t="shared" si="10"/>
        <v>1.1920229912599112</v>
      </c>
      <c r="V95" s="2088" t="str">
        <f>Table24568[[#This Row],[Column3]]</f>
        <v>1988-Q1</v>
      </c>
    </row>
    <row r="96" spans="1:22" x14ac:dyDescent="0.3">
      <c r="A96" s="211">
        <f t="shared" si="11"/>
        <v>1988</v>
      </c>
      <c r="B96" s="211" t="str">
        <f t="shared" si="12"/>
        <v>Q2</v>
      </c>
      <c r="C96" s="2088" t="str">
        <f t="shared" si="8"/>
        <v>1988-Q2</v>
      </c>
      <c r="E96" s="252">
        <v>4150</v>
      </c>
      <c r="F96" s="252">
        <v>3400</v>
      </c>
      <c r="G96" s="252">
        <f t="shared" si="13"/>
        <v>3775</v>
      </c>
      <c r="J96" s="230"/>
      <c r="L96" s="252">
        <f>K95*E96</f>
        <v>4757975000</v>
      </c>
      <c r="M96" s="252">
        <f>K95*F96</f>
        <v>3898100000</v>
      </c>
      <c r="N96" s="252">
        <f t="shared" si="9"/>
        <v>4328037500</v>
      </c>
      <c r="P96" s="252"/>
      <c r="Q96" s="252"/>
      <c r="S96" s="348">
        <f>L96/Q95</f>
        <v>1.5221216657626555</v>
      </c>
      <c r="T96" s="348">
        <f>M96/Q95</f>
        <v>1.2470394370103683</v>
      </c>
      <c r="U96" s="1043">
        <f t="shared" si="10"/>
        <v>1.3845805513865119</v>
      </c>
      <c r="V96" s="2088" t="str">
        <f>Table24568[[#This Row],[Column3]]</f>
        <v>1988-Q2</v>
      </c>
    </row>
    <row r="97" spans="1:22" x14ac:dyDescent="0.3">
      <c r="A97" s="211">
        <f t="shared" si="11"/>
        <v>1988</v>
      </c>
      <c r="B97" s="211" t="str">
        <f t="shared" si="12"/>
        <v>Q3</v>
      </c>
      <c r="C97" s="2088" t="str">
        <f t="shared" si="8"/>
        <v>1988-Q3</v>
      </c>
      <c r="E97" s="252">
        <v>5000</v>
      </c>
      <c r="F97" s="252">
        <v>4040</v>
      </c>
      <c r="G97" s="252">
        <f t="shared" si="13"/>
        <v>4520</v>
      </c>
      <c r="J97" s="230"/>
      <c r="L97" s="252">
        <f>K95*E97</f>
        <v>5732500000</v>
      </c>
      <c r="M97" s="252">
        <f>K95*F97</f>
        <v>4631860000</v>
      </c>
      <c r="N97" s="252">
        <f t="shared" si="9"/>
        <v>5182180000</v>
      </c>
      <c r="P97" s="252"/>
      <c r="Q97" s="252"/>
      <c r="S97" s="348">
        <f>L97/Q95</f>
        <v>1.8338815250152476</v>
      </c>
      <c r="T97" s="348">
        <f>M97/Q95</f>
        <v>1.4817762722123202</v>
      </c>
      <c r="U97" s="1043">
        <f t="shared" si="10"/>
        <v>1.6578288986137839</v>
      </c>
      <c r="V97" s="2088" t="str">
        <f>Table24568[[#This Row],[Column3]]</f>
        <v>1988-Q3</v>
      </c>
    </row>
    <row r="98" spans="1:22" x14ac:dyDescent="0.3">
      <c r="A98" s="211">
        <f t="shared" si="11"/>
        <v>1988</v>
      </c>
      <c r="B98" s="211" t="str">
        <f t="shared" si="12"/>
        <v>Q4</v>
      </c>
      <c r="C98" s="2088" t="str">
        <f t="shared" si="8"/>
        <v>1988-Q4</v>
      </c>
      <c r="E98" s="252">
        <v>5050</v>
      </c>
      <c r="F98" s="252">
        <v>4600</v>
      </c>
      <c r="G98" s="252">
        <f t="shared" si="13"/>
        <v>4825</v>
      </c>
      <c r="J98" s="230"/>
      <c r="L98" s="252">
        <f>K95*E98</f>
        <v>5789825000</v>
      </c>
      <c r="M98" s="252">
        <f>K95*F98</f>
        <v>5273900000</v>
      </c>
      <c r="N98" s="252">
        <f t="shared" si="9"/>
        <v>5531862500</v>
      </c>
      <c r="P98" s="252"/>
      <c r="Q98" s="252"/>
      <c r="S98" s="348">
        <f>L98/Q95</f>
        <v>1.8522203402654001</v>
      </c>
      <c r="T98" s="348">
        <f>M98/Q95</f>
        <v>1.6871710030140279</v>
      </c>
      <c r="U98" s="1043">
        <f t="shared" si="10"/>
        <v>1.7696956716397141</v>
      </c>
      <c r="V98" s="2088" t="str">
        <f>Table24568[[#This Row],[Column3]]</f>
        <v>1988-Q4</v>
      </c>
    </row>
    <row r="99" spans="1:22" x14ac:dyDescent="0.3">
      <c r="A99" s="211">
        <f t="shared" si="11"/>
        <v>1989</v>
      </c>
      <c r="B99" s="211" t="str">
        <f t="shared" si="12"/>
        <v>Q1</v>
      </c>
      <c r="C99" s="2088" t="str">
        <f t="shared" si="8"/>
        <v>1989-Q1</v>
      </c>
      <c r="D99" s="211">
        <v>1989</v>
      </c>
      <c r="E99" s="252">
        <v>5025</v>
      </c>
      <c r="F99" s="252">
        <v>4625</v>
      </c>
      <c r="G99" s="252">
        <f t="shared" si="13"/>
        <v>4825</v>
      </c>
      <c r="I99" s="2088">
        <v>32873</v>
      </c>
      <c r="J99" s="230">
        <v>1146000</v>
      </c>
      <c r="K99" s="278">
        <f>AVERAGE(J95,J99)</f>
        <v>1146000</v>
      </c>
      <c r="L99" s="252">
        <f>K99*E99</f>
        <v>5758650000</v>
      </c>
      <c r="M99" s="252">
        <f>K99*F99</f>
        <v>5300250000</v>
      </c>
      <c r="N99" s="252">
        <f t="shared" si="9"/>
        <v>5529450000</v>
      </c>
      <c r="P99" s="252">
        <v>4925126000</v>
      </c>
      <c r="Q99" s="252">
        <f>AVERAGE(P95,P99)</f>
        <v>4167617000</v>
      </c>
      <c r="S99" s="348">
        <f>L99/Q99</f>
        <v>1.3817608479857915</v>
      </c>
      <c r="T99" s="348">
        <f>M99/Q99</f>
        <v>1.2717699347132907</v>
      </c>
      <c r="U99" s="1043">
        <f t="shared" si="10"/>
        <v>1.3267653913495412</v>
      </c>
      <c r="V99" s="2088" t="str">
        <f>Table24568[[#This Row],[Column3]]</f>
        <v>1989-Q1</v>
      </c>
    </row>
    <row r="100" spans="1:22" x14ac:dyDescent="0.3">
      <c r="A100" s="211">
        <f t="shared" si="11"/>
        <v>1989</v>
      </c>
      <c r="B100" s="211" t="str">
        <f t="shared" si="12"/>
        <v>Q2</v>
      </c>
      <c r="C100" s="2088" t="str">
        <f t="shared" si="8"/>
        <v>1989-Q2</v>
      </c>
      <c r="E100" s="252">
        <v>7000</v>
      </c>
      <c r="F100" s="252">
        <v>4950</v>
      </c>
      <c r="G100" s="252">
        <f t="shared" si="13"/>
        <v>5975</v>
      </c>
      <c r="J100" s="230"/>
      <c r="L100" s="252">
        <f>K99*E100</f>
        <v>8022000000</v>
      </c>
      <c r="M100" s="252">
        <f>K99*F100</f>
        <v>5672700000</v>
      </c>
      <c r="N100" s="252">
        <f t="shared" si="9"/>
        <v>6847350000</v>
      </c>
      <c r="P100" s="252"/>
      <c r="Q100" s="252"/>
      <c r="S100" s="348">
        <f>L100/Q99</f>
        <v>1.9248409822687642</v>
      </c>
      <c r="T100" s="348">
        <f>M100/Q99</f>
        <v>1.3611375517471975</v>
      </c>
      <c r="U100" s="1043">
        <f t="shared" si="10"/>
        <v>1.6429892670079809</v>
      </c>
      <c r="V100" s="2088" t="str">
        <f>Table24568[[#This Row],[Column3]]</f>
        <v>1989-Q2</v>
      </c>
    </row>
    <row r="101" spans="1:22" x14ac:dyDescent="0.3">
      <c r="A101" s="211">
        <f t="shared" si="11"/>
        <v>1989</v>
      </c>
      <c r="B101" s="211" t="str">
        <f t="shared" si="12"/>
        <v>Q3</v>
      </c>
      <c r="C101" s="2088" t="str">
        <f t="shared" si="8"/>
        <v>1989-Q3</v>
      </c>
      <c r="E101" s="252">
        <v>8750</v>
      </c>
      <c r="F101" s="252">
        <v>6600</v>
      </c>
      <c r="G101" s="252">
        <f t="shared" si="13"/>
        <v>7675</v>
      </c>
      <c r="J101" s="230"/>
      <c r="L101" s="252">
        <f>K99*E101</f>
        <v>10027500000</v>
      </c>
      <c r="M101" s="252">
        <f>K99*F101</f>
        <v>7563600000</v>
      </c>
      <c r="N101" s="252">
        <f t="shared" si="9"/>
        <v>8795550000</v>
      </c>
      <c r="P101" s="252"/>
      <c r="Q101" s="252"/>
      <c r="S101" s="348">
        <f>L101/Q99</f>
        <v>2.4060512278359552</v>
      </c>
      <c r="T101" s="348">
        <f>M101/Q99</f>
        <v>1.8148500689962632</v>
      </c>
      <c r="U101" s="1043">
        <f t="shared" si="10"/>
        <v>2.1104506484161094</v>
      </c>
      <c r="V101" s="2088" t="str">
        <f>Table24568[[#This Row],[Column3]]</f>
        <v>1989-Q3</v>
      </c>
    </row>
    <row r="102" spans="1:22" x14ac:dyDescent="0.3">
      <c r="A102" s="211">
        <f t="shared" si="11"/>
        <v>1989</v>
      </c>
      <c r="B102" s="211" t="str">
        <f t="shared" si="12"/>
        <v>Q4</v>
      </c>
      <c r="C102" s="2088" t="str">
        <f t="shared" si="8"/>
        <v>1989-Q4</v>
      </c>
      <c r="E102" s="252">
        <v>8900</v>
      </c>
      <c r="F102" s="252">
        <v>7950</v>
      </c>
      <c r="G102" s="252">
        <f t="shared" si="13"/>
        <v>8425</v>
      </c>
      <c r="J102" s="230"/>
      <c r="L102" s="252">
        <f>K99*E102</f>
        <v>10199400000</v>
      </c>
      <c r="M102" s="252">
        <f>K99*F102</f>
        <v>9110700000</v>
      </c>
      <c r="N102" s="252">
        <f t="shared" si="9"/>
        <v>9655050000</v>
      </c>
      <c r="P102" s="252"/>
      <c r="Q102" s="252"/>
      <c r="S102" s="348">
        <f>L102/Q99</f>
        <v>2.447297820313143</v>
      </c>
      <c r="T102" s="348">
        <f>M102/Q99</f>
        <v>2.1860694012909536</v>
      </c>
      <c r="U102" s="1043">
        <f t="shared" si="10"/>
        <v>2.3166836108020483</v>
      </c>
      <c r="V102" s="2088" t="str">
        <f>Table24568[[#This Row],[Column3]]</f>
        <v>1989-Q4</v>
      </c>
    </row>
    <row r="103" spans="1:22" x14ac:dyDescent="0.3">
      <c r="A103" s="211">
        <f t="shared" si="11"/>
        <v>1990</v>
      </c>
      <c r="B103" s="211" t="str">
        <f t="shared" si="12"/>
        <v>Q1</v>
      </c>
      <c r="C103" s="2088" t="str">
        <f t="shared" si="8"/>
        <v>1990-Q1</v>
      </c>
      <c r="D103" s="211">
        <v>1990</v>
      </c>
      <c r="E103" s="252">
        <v>8725</v>
      </c>
      <c r="F103" s="252">
        <v>6675</v>
      </c>
      <c r="G103" s="252">
        <f t="shared" si="13"/>
        <v>7700</v>
      </c>
      <c r="I103" s="2088">
        <v>33238</v>
      </c>
      <c r="J103" s="230">
        <v>1146000</v>
      </c>
      <c r="K103" s="278">
        <f>AVERAGE(J99,J103)</f>
        <v>1146000</v>
      </c>
      <c r="L103" s="252">
        <f>K103*E103</f>
        <v>9998850000</v>
      </c>
      <c r="M103" s="252">
        <f>K103*F103</f>
        <v>7649550000</v>
      </c>
      <c r="N103" s="252">
        <f t="shared" si="9"/>
        <v>8824200000</v>
      </c>
      <c r="P103" s="252">
        <v>5287454000</v>
      </c>
      <c r="Q103" s="252">
        <f>AVERAGE(P99,P103)</f>
        <v>5106290000</v>
      </c>
      <c r="S103" s="348">
        <f>L103/Q103</f>
        <v>1.9581437795346524</v>
      </c>
      <c r="T103" s="348">
        <f>M103/Q103</f>
        <v>1.4980641522514389</v>
      </c>
      <c r="U103" s="1043">
        <f t="shared" si="10"/>
        <v>1.7281039658930455</v>
      </c>
      <c r="V103" s="2088" t="str">
        <f>Table24568[[#This Row],[Column3]]</f>
        <v>1990-Q1</v>
      </c>
    </row>
    <row r="104" spans="1:22" x14ac:dyDescent="0.3">
      <c r="A104" s="211">
        <f t="shared" si="11"/>
        <v>1990</v>
      </c>
      <c r="B104" s="211" t="str">
        <f t="shared" si="12"/>
        <v>Q2</v>
      </c>
      <c r="C104" s="2088" t="str">
        <f t="shared" si="8"/>
        <v>1990-Q2</v>
      </c>
      <c r="E104" s="252">
        <v>7675</v>
      </c>
      <c r="F104" s="252">
        <v>6600</v>
      </c>
      <c r="G104" s="252">
        <f t="shared" si="13"/>
        <v>7137.5</v>
      </c>
      <c r="J104" s="230"/>
      <c r="L104" s="252">
        <f>K103*E104</f>
        <v>8795550000</v>
      </c>
      <c r="M104" s="252">
        <f>K103*F104</f>
        <v>7563600000</v>
      </c>
      <c r="N104" s="252">
        <f t="shared" si="9"/>
        <v>8179575000</v>
      </c>
      <c r="P104" s="252"/>
      <c r="Q104" s="252"/>
      <c r="S104" s="348">
        <f>L104/Q103</f>
        <v>1.7224932387310552</v>
      </c>
      <c r="T104" s="348">
        <f>M104/Q103</f>
        <v>1.4812319707654678</v>
      </c>
      <c r="U104" s="1043">
        <f t="shared" si="10"/>
        <v>1.6018626047482614</v>
      </c>
      <c r="V104" s="2088" t="str">
        <f>Table24568[[#This Row],[Column3]]</f>
        <v>1990-Q2</v>
      </c>
    </row>
    <row r="105" spans="1:22" x14ac:dyDescent="0.3">
      <c r="A105" s="211">
        <f t="shared" si="11"/>
        <v>1990</v>
      </c>
      <c r="B105" s="211" t="str">
        <f t="shared" si="12"/>
        <v>Q3</v>
      </c>
      <c r="C105" s="2088" t="str">
        <f t="shared" si="8"/>
        <v>1990-Q3</v>
      </c>
      <c r="E105" s="252">
        <v>7325</v>
      </c>
      <c r="F105" s="252">
        <v>5500</v>
      </c>
      <c r="G105" s="252">
        <f t="shared" si="13"/>
        <v>6412.5</v>
      </c>
      <c r="J105" s="230"/>
      <c r="L105" s="252">
        <f>K103*E105</f>
        <v>8394450000</v>
      </c>
      <c r="M105" s="252">
        <f>K103*F105</f>
        <v>6303000000</v>
      </c>
      <c r="N105" s="252">
        <f t="shared" si="9"/>
        <v>7348725000</v>
      </c>
      <c r="P105" s="252"/>
      <c r="Q105" s="252"/>
      <c r="S105" s="348">
        <f>L105/Q103</f>
        <v>1.6439430584631896</v>
      </c>
      <c r="T105" s="348">
        <f>M105/Q103</f>
        <v>1.2343599756378898</v>
      </c>
      <c r="U105" s="1043">
        <f t="shared" si="10"/>
        <v>1.4391515170505396</v>
      </c>
      <c r="V105" s="2088" t="str">
        <f>Table24568[[#This Row],[Column3]]</f>
        <v>1990-Q3</v>
      </c>
    </row>
    <row r="106" spans="1:22" x14ac:dyDescent="0.3">
      <c r="A106" s="211">
        <f t="shared" si="11"/>
        <v>1990</v>
      </c>
      <c r="B106" s="211" t="str">
        <f t="shared" si="12"/>
        <v>Q4</v>
      </c>
      <c r="C106" s="2088" t="str">
        <f t="shared" si="8"/>
        <v>1990-Q4</v>
      </c>
      <c r="E106" s="252">
        <v>6900</v>
      </c>
      <c r="F106" s="252">
        <v>5500</v>
      </c>
      <c r="G106" s="252">
        <f t="shared" si="13"/>
        <v>6200</v>
      </c>
      <c r="J106" s="230"/>
      <c r="L106" s="252">
        <f>K103*E106</f>
        <v>7907400000</v>
      </c>
      <c r="M106" s="252">
        <f>K103*F106</f>
        <v>6303000000</v>
      </c>
      <c r="N106" s="252">
        <f t="shared" si="9"/>
        <v>7105200000</v>
      </c>
      <c r="P106" s="252"/>
      <c r="Q106" s="252"/>
      <c r="S106" s="348">
        <f>L106/Q103</f>
        <v>1.5485606967093526</v>
      </c>
      <c r="T106" s="348">
        <f>M106/Q103</f>
        <v>1.2343599756378898</v>
      </c>
      <c r="U106" s="1043">
        <f t="shared" si="10"/>
        <v>1.3914603361736213</v>
      </c>
      <c r="V106" s="2088" t="str">
        <f>Table24568[[#This Row],[Column3]]</f>
        <v>1990-Q4</v>
      </c>
    </row>
    <row r="107" spans="1:22" x14ac:dyDescent="0.3">
      <c r="A107" s="211">
        <f t="shared" si="11"/>
        <v>1991</v>
      </c>
      <c r="B107" s="211" t="str">
        <f t="shared" si="12"/>
        <v>Q1</v>
      </c>
      <c r="C107" s="2088" t="str">
        <f t="shared" si="8"/>
        <v>1991-Q1</v>
      </c>
      <c r="D107" s="211">
        <v>1991</v>
      </c>
      <c r="E107" s="252">
        <v>8275</v>
      </c>
      <c r="F107" s="252">
        <v>6550</v>
      </c>
      <c r="G107" s="252">
        <f t="shared" si="13"/>
        <v>7412.5</v>
      </c>
      <c r="I107" s="2088">
        <v>33603</v>
      </c>
      <c r="J107" s="230">
        <v>1146000</v>
      </c>
      <c r="K107" s="278">
        <f>AVERAGE(J103,J107)</f>
        <v>1146000</v>
      </c>
      <c r="L107" s="252">
        <f>K107*E107</f>
        <v>9483150000</v>
      </c>
      <c r="M107" s="252">
        <f>K107*F107</f>
        <v>7506300000</v>
      </c>
      <c r="N107" s="252">
        <f t="shared" si="9"/>
        <v>8494725000</v>
      </c>
      <c r="P107" s="252">
        <v>7379918000</v>
      </c>
      <c r="Q107" s="252">
        <f>AVERAGE(P103,P107)</f>
        <v>6333686000</v>
      </c>
      <c r="S107" s="348">
        <f>L107/Q107</f>
        <v>1.4972561001603173</v>
      </c>
      <c r="T107" s="348">
        <f>M107/Q107</f>
        <v>1.1851392696133025</v>
      </c>
      <c r="U107" s="1043">
        <f t="shared" si="10"/>
        <v>1.3411976848868099</v>
      </c>
      <c r="V107" s="2088" t="str">
        <f>Table24568[[#This Row],[Column3]]</f>
        <v>1991-Q1</v>
      </c>
    </row>
    <row r="108" spans="1:22" x14ac:dyDescent="0.3">
      <c r="A108" s="211">
        <f t="shared" si="11"/>
        <v>1991</v>
      </c>
      <c r="B108" s="211" t="str">
        <f t="shared" si="12"/>
        <v>Q2</v>
      </c>
      <c r="C108" s="2088" t="str">
        <f t="shared" si="8"/>
        <v>1991-Q2</v>
      </c>
      <c r="E108" s="252">
        <v>8750</v>
      </c>
      <c r="F108" s="252">
        <v>7760</v>
      </c>
      <c r="G108" s="252">
        <f t="shared" si="13"/>
        <v>8255</v>
      </c>
      <c r="J108" s="230"/>
      <c r="L108" s="252">
        <f>K107*E108</f>
        <v>10027500000</v>
      </c>
      <c r="M108" s="252">
        <f>K107*F108</f>
        <v>8892960000</v>
      </c>
      <c r="N108" s="252">
        <f t="shared" si="9"/>
        <v>9460230000</v>
      </c>
      <c r="P108" s="252"/>
      <c r="Q108" s="252"/>
      <c r="S108" s="348">
        <f>L108/Q107</f>
        <v>1.5832013143689156</v>
      </c>
      <c r="T108" s="348">
        <f>M108/Q107</f>
        <v>1.4040733942288899</v>
      </c>
      <c r="U108" s="1043">
        <f t="shared" si="10"/>
        <v>1.4936373542989028</v>
      </c>
      <c r="V108" s="2088" t="str">
        <f>Table24568[[#This Row],[Column3]]</f>
        <v>1991-Q2</v>
      </c>
    </row>
    <row r="109" spans="1:22" x14ac:dyDescent="0.3">
      <c r="A109" s="211">
        <f t="shared" si="11"/>
        <v>1991</v>
      </c>
      <c r="B109" s="211" t="str">
        <f t="shared" si="12"/>
        <v>Q3</v>
      </c>
      <c r="C109" s="2088" t="str">
        <f t="shared" si="8"/>
        <v>1991-Q3</v>
      </c>
      <c r="E109" s="252">
        <v>9000</v>
      </c>
      <c r="F109" s="252">
        <v>8325</v>
      </c>
      <c r="G109" s="252">
        <f t="shared" si="13"/>
        <v>8662.5</v>
      </c>
      <c r="J109" s="230"/>
      <c r="L109" s="252">
        <f>K107*E109</f>
        <v>10314000000</v>
      </c>
      <c r="M109" s="252">
        <f>K107*F109</f>
        <v>9540450000</v>
      </c>
      <c r="N109" s="252">
        <f t="shared" si="9"/>
        <v>9927225000</v>
      </c>
      <c r="P109" s="252"/>
      <c r="Q109" s="252"/>
      <c r="S109" s="348">
        <f>L109/Q107</f>
        <v>1.6284356376365989</v>
      </c>
      <c r="T109" s="348">
        <f>M109/Q107</f>
        <v>1.506302964813854</v>
      </c>
      <c r="U109" s="1043">
        <f t="shared" si="10"/>
        <v>1.5673693012252263</v>
      </c>
      <c r="V109" s="2088" t="str">
        <f>Table24568[[#This Row],[Column3]]</f>
        <v>1991-Q3</v>
      </c>
    </row>
    <row r="110" spans="1:22" x14ac:dyDescent="0.3">
      <c r="A110" s="211">
        <f t="shared" si="11"/>
        <v>1991</v>
      </c>
      <c r="B110" s="211" t="str">
        <f t="shared" si="12"/>
        <v>Q4</v>
      </c>
      <c r="C110" s="2088" t="str">
        <f t="shared" si="8"/>
        <v>1991-Q4</v>
      </c>
      <c r="E110" s="252">
        <v>9125</v>
      </c>
      <c r="F110" s="252">
        <v>8150</v>
      </c>
      <c r="G110" s="252">
        <f t="shared" si="13"/>
        <v>8637.5</v>
      </c>
      <c r="J110" s="230"/>
      <c r="L110" s="252">
        <f>K107*E110</f>
        <v>10457250000</v>
      </c>
      <c r="M110" s="252">
        <f>K107*F110</f>
        <v>9339900000</v>
      </c>
      <c r="N110" s="252">
        <f t="shared" si="9"/>
        <v>9898575000</v>
      </c>
      <c r="P110" s="252"/>
      <c r="Q110" s="252"/>
      <c r="S110" s="348">
        <f>L110/Q107</f>
        <v>1.6510527992704407</v>
      </c>
      <c r="T110" s="348">
        <f>M110/Q107</f>
        <v>1.4746389385264758</v>
      </c>
      <c r="U110" s="1043">
        <f t="shared" si="10"/>
        <v>1.5628458688984583</v>
      </c>
      <c r="V110" s="2088" t="str">
        <f>Table24568[[#This Row],[Column3]]</f>
        <v>1991-Q4</v>
      </c>
    </row>
    <row r="111" spans="1:22" x14ac:dyDescent="0.3">
      <c r="A111" s="211">
        <f t="shared" si="11"/>
        <v>1992</v>
      </c>
      <c r="B111" s="211" t="str">
        <f t="shared" si="12"/>
        <v>Q1</v>
      </c>
      <c r="C111" s="2088" t="str">
        <f t="shared" si="8"/>
        <v>1992-Q1</v>
      </c>
      <c r="D111" s="211">
        <v>1992</v>
      </c>
      <c r="E111" s="252">
        <v>9000</v>
      </c>
      <c r="F111" s="252">
        <v>8575</v>
      </c>
      <c r="G111" s="252">
        <f t="shared" si="13"/>
        <v>8787.5</v>
      </c>
      <c r="I111" s="2088">
        <v>33969</v>
      </c>
      <c r="J111" s="230">
        <v>1149000</v>
      </c>
      <c r="K111" s="278">
        <f>AVERAGE(J107,J111)</f>
        <v>1147500</v>
      </c>
      <c r="L111" s="252">
        <f>K111*E111</f>
        <v>10327500000</v>
      </c>
      <c r="M111" s="252">
        <f>K111*F111</f>
        <v>9839812500</v>
      </c>
      <c r="N111" s="252">
        <f t="shared" si="9"/>
        <v>10083656250</v>
      </c>
      <c r="P111" s="252">
        <v>8896331000</v>
      </c>
      <c r="Q111" s="252">
        <f>AVERAGE(P107,P111)</f>
        <v>8138124500</v>
      </c>
      <c r="S111" s="348">
        <f>L111/Q111</f>
        <v>1.2690270344229804</v>
      </c>
      <c r="T111" s="348">
        <f>M111/Q111</f>
        <v>1.2091007577974509</v>
      </c>
      <c r="U111" s="1043">
        <f t="shared" si="10"/>
        <v>1.2390638961102156</v>
      </c>
      <c r="V111" s="2088" t="str">
        <f>Table24568[[#This Row],[Column3]]</f>
        <v>1992-Q1</v>
      </c>
    </row>
    <row r="112" spans="1:22" x14ac:dyDescent="0.3">
      <c r="A112" s="211">
        <f t="shared" si="11"/>
        <v>1992</v>
      </c>
      <c r="B112" s="211" t="str">
        <f t="shared" si="12"/>
        <v>Q2</v>
      </c>
      <c r="C112" s="2088" t="str">
        <f t="shared" si="8"/>
        <v>1992-Q2</v>
      </c>
      <c r="E112" s="252">
        <v>9300</v>
      </c>
      <c r="F112" s="252">
        <v>8850</v>
      </c>
      <c r="G112" s="252">
        <f t="shared" si="13"/>
        <v>9075</v>
      </c>
      <c r="J112" s="230"/>
      <c r="L112" s="252">
        <f>K111*E112</f>
        <v>10671750000</v>
      </c>
      <c r="M112" s="252">
        <f>K111*F112</f>
        <v>10155375000</v>
      </c>
      <c r="N112" s="252">
        <f t="shared" si="9"/>
        <v>10413562500</v>
      </c>
      <c r="P112" s="252"/>
      <c r="Q112" s="252"/>
      <c r="S112" s="348">
        <f>L112/Q111</f>
        <v>1.3113279355704131</v>
      </c>
      <c r="T112" s="348">
        <f>M112/Q111</f>
        <v>1.247876583849264</v>
      </c>
      <c r="U112" s="1043">
        <f t="shared" si="10"/>
        <v>1.2796022597098387</v>
      </c>
      <c r="V112" s="2088" t="str">
        <f>Table24568[[#This Row],[Column3]]</f>
        <v>1992-Q2</v>
      </c>
    </row>
    <row r="113" spans="1:22" x14ac:dyDescent="0.3">
      <c r="A113" s="211">
        <f t="shared" si="11"/>
        <v>1992</v>
      </c>
      <c r="B113" s="211" t="str">
        <f t="shared" si="12"/>
        <v>Q3</v>
      </c>
      <c r="C113" s="2088" t="str">
        <f t="shared" si="8"/>
        <v>1992-Q3</v>
      </c>
      <c r="E113" s="252">
        <v>9950</v>
      </c>
      <c r="F113" s="252">
        <v>9050</v>
      </c>
      <c r="G113" s="252">
        <f t="shared" si="13"/>
        <v>9500</v>
      </c>
      <c r="J113" s="230"/>
      <c r="L113" s="252">
        <f>K111*E113</f>
        <v>11417625000</v>
      </c>
      <c r="M113" s="252">
        <f>K111*F113</f>
        <v>10384875000</v>
      </c>
      <c r="N113" s="252">
        <f t="shared" si="9"/>
        <v>10901250000</v>
      </c>
      <c r="P113" s="252"/>
      <c r="Q113" s="252"/>
      <c r="S113" s="348">
        <f>L113/Q111</f>
        <v>1.4029798880565172</v>
      </c>
      <c r="T113" s="348">
        <f>M113/Q111</f>
        <v>1.2760771846142192</v>
      </c>
      <c r="U113" s="1043">
        <f t="shared" si="10"/>
        <v>1.3395285363353682</v>
      </c>
      <c r="V113" s="2088" t="str">
        <f>Table24568[[#This Row],[Column3]]</f>
        <v>1992-Q3</v>
      </c>
    </row>
    <row r="114" spans="1:22" x14ac:dyDescent="0.3">
      <c r="A114" s="211">
        <f t="shared" si="11"/>
        <v>1992</v>
      </c>
      <c r="B114" s="211" t="str">
        <f t="shared" si="12"/>
        <v>Q4</v>
      </c>
      <c r="C114" s="2088" t="str">
        <f t="shared" si="8"/>
        <v>1992-Q4</v>
      </c>
      <c r="E114" s="252">
        <v>11750</v>
      </c>
      <c r="F114" s="252">
        <v>9150</v>
      </c>
      <c r="G114" s="252">
        <f t="shared" si="13"/>
        <v>10450</v>
      </c>
      <c r="J114" s="230"/>
      <c r="L114" s="252">
        <f>K111*E114</f>
        <v>13483125000</v>
      </c>
      <c r="M114" s="252">
        <f>K111*F114</f>
        <v>10499625000</v>
      </c>
      <c r="N114" s="252">
        <f t="shared" si="9"/>
        <v>11991375000</v>
      </c>
      <c r="P114" s="252"/>
      <c r="Q114" s="252"/>
      <c r="S114" s="348">
        <f>L114/Q111</f>
        <v>1.6567852949411133</v>
      </c>
      <c r="T114" s="348">
        <f>M114/Q111</f>
        <v>1.2901774849966967</v>
      </c>
      <c r="U114" s="1043">
        <f t="shared" si="10"/>
        <v>1.473481389968905</v>
      </c>
      <c r="V114" s="2088" t="str">
        <f>Table24568[[#This Row],[Column3]]</f>
        <v>1992-Q4</v>
      </c>
    </row>
    <row r="115" spans="1:22" x14ac:dyDescent="0.3">
      <c r="A115" s="211">
        <f t="shared" si="11"/>
        <v>1993</v>
      </c>
      <c r="B115" s="211" t="str">
        <f t="shared" si="12"/>
        <v>Q1</v>
      </c>
      <c r="C115" s="2088" t="str">
        <f t="shared" si="8"/>
        <v>1993-Q1</v>
      </c>
      <c r="D115" s="211">
        <v>1993</v>
      </c>
      <c r="E115" s="252">
        <v>13200</v>
      </c>
      <c r="F115" s="252">
        <v>11350</v>
      </c>
      <c r="G115" s="252">
        <f t="shared" si="13"/>
        <v>12275</v>
      </c>
      <c r="I115" s="2088">
        <v>34334</v>
      </c>
      <c r="J115" s="230">
        <v>1178000</v>
      </c>
      <c r="K115" s="278">
        <f>AVERAGE(J111,J115)</f>
        <v>1163500</v>
      </c>
      <c r="L115" s="252">
        <f>K115*E115</f>
        <v>15358200000</v>
      </c>
      <c r="M115" s="252">
        <f>K115*F115</f>
        <v>13205725000</v>
      </c>
      <c r="N115" s="252">
        <f t="shared" si="9"/>
        <v>14281962500</v>
      </c>
      <c r="P115" s="252">
        <v>10428374000</v>
      </c>
      <c r="Q115" s="252">
        <f>AVERAGE(P111,P115)</f>
        <v>9662352500</v>
      </c>
      <c r="S115" s="348">
        <f>L115/Q115</f>
        <v>1.5894886881843733</v>
      </c>
      <c r="T115" s="348">
        <f>M115/Q115</f>
        <v>1.3667194402191392</v>
      </c>
      <c r="U115" s="1043">
        <f t="shared" si="10"/>
        <v>1.4781040642017562</v>
      </c>
      <c r="V115" s="2088" t="str">
        <f>Table24568[[#This Row],[Column3]]</f>
        <v>1993-Q1</v>
      </c>
    </row>
    <row r="116" spans="1:22" x14ac:dyDescent="0.3">
      <c r="A116" s="211">
        <f t="shared" si="11"/>
        <v>1993</v>
      </c>
      <c r="B116" s="211" t="str">
        <f t="shared" si="12"/>
        <v>Q2</v>
      </c>
      <c r="C116" s="2088" t="str">
        <f t="shared" si="8"/>
        <v>1993-Q2</v>
      </c>
      <c r="E116" s="252">
        <v>16200</v>
      </c>
      <c r="F116" s="252">
        <v>11800</v>
      </c>
      <c r="G116" s="252">
        <f t="shared" si="13"/>
        <v>14000</v>
      </c>
      <c r="J116" s="230"/>
      <c r="L116" s="252">
        <f>K115*E116</f>
        <v>18848700000</v>
      </c>
      <c r="M116" s="252">
        <f>K115*F116</f>
        <v>13729300000</v>
      </c>
      <c r="N116" s="252">
        <f t="shared" si="9"/>
        <v>16289000000</v>
      </c>
      <c r="P116" s="252"/>
      <c r="Q116" s="252"/>
      <c r="S116" s="348">
        <f>L116/Q115</f>
        <v>1.9507361173171855</v>
      </c>
      <c r="T116" s="348">
        <f>M116/Q115</f>
        <v>1.4209065545890609</v>
      </c>
      <c r="U116" s="1043">
        <f t="shared" si="10"/>
        <v>1.6858213359531233</v>
      </c>
      <c r="V116" s="2088" t="str">
        <f>Table24568[[#This Row],[Column3]]</f>
        <v>1993-Q2</v>
      </c>
    </row>
    <row r="117" spans="1:22" x14ac:dyDescent="0.3">
      <c r="A117" s="211">
        <f t="shared" si="11"/>
        <v>1993</v>
      </c>
      <c r="B117" s="211" t="str">
        <f t="shared" si="12"/>
        <v>Q3</v>
      </c>
      <c r="C117" s="2088" t="str">
        <f t="shared" si="8"/>
        <v>1993-Q3</v>
      </c>
      <c r="E117" s="252">
        <v>17800</v>
      </c>
      <c r="F117" s="252">
        <v>15100</v>
      </c>
      <c r="G117" s="252">
        <f t="shared" si="13"/>
        <v>16450</v>
      </c>
      <c r="J117" s="230"/>
      <c r="L117" s="252">
        <f>K115*E117</f>
        <v>20710300000</v>
      </c>
      <c r="M117" s="252">
        <f>K115*F117</f>
        <v>17568850000</v>
      </c>
      <c r="N117" s="252">
        <f t="shared" si="9"/>
        <v>19139575000</v>
      </c>
      <c r="P117" s="252"/>
      <c r="Q117" s="252"/>
      <c r="S117" s="348">
        <f>L117/Q115</f>
        <v>2.1434014128546854</v>
      </c>
      <c r="T117" s="348">
        <f>M117/Q115</f>
        <v>1.8182787266351543</v>
      </c>
      <c r="U117" s="1043">
        <f t="shared" si="10"/>
        <v>1.9808400697449198</v>
      </c>
      <c r="V117" s="2088" t="str">
        <f>Table24568[[#This Row],[Column3]]</f>
        <v>1993-Q3</v>
      </c>
    </row>
    <row r="118" spans="1:22" x14ac:dyDescent="0.3">
      <c r="A118" s="211">
        <f t="shared" si="11"/>
        <v>1993</v>
      </c>
      <c r="B118" s="211" t="str">
        <f t="shared" si="12"/>
        <v>Q4</v>
      </c>
      <c r="C118" s="2088" t="str">
        <f t="shared" si="8"/>
        <v>1993-Q4</v>
      </c>
      <c r="E118" s="252">
        <v>17800</v>
      </c>
      <c r="F118" s="252">
        <v>16200</v>
      </c>
      <c r="G118" s="252">
        <f t="shared" si="13"/>
        <v>17000</v>
      </c>
      <c r="J118" s="230"/>
      <c r="L118" s="252">
        <f>K115*E118</f>
        <v>20710300000</v>
      </c>
      <c r="M118" s="252">
        <f>K115*F118</f>
        <v>18848700000</v>
      </c>
      <c r="N118" s="252">
        <f t="shared" si="9"/>
        <v>19779500000</v>
      </c>
      <c r="P118" s="252"/>
      <c r="Q118" s="252"/>
      <c r="S118" s="348">
        <f>L118/Q115</f>
        <v>2.1434014128546854</v>
      </c>
      <c r="T118" s="348">
        <f>M118/Q115</f>
        <v>1.9507361173171855</v>
      </c>
      <c r="U118" s="1043">
        <f t="shared" si="10"/>
        <v>2.0470687650859354</v>
      </c>
      <c r="V118" s="2088" t="str">
        <f>Table24568[[#This Row],[Column3]]</f>
        <v>1993-Q4</v>
      </c>
    </row>
    <row r="119" spans="1:22" x14ac:dyDescent="0.3">
      <c r="A119" s="211">
        <f t="shared" si="11"/>
        <v>1994</v>
      </c>
      <c r="B119" s="211" t="str">
        <f t="shared" si="12"/>
        <v>Q1</v>
      </c>
      <c r="C119" s="2088" t="str">
        <f t="shared" si="8"/>
        <v>1994-Q1</v>
      </c>
      <c r="D119" s="211">
        <v>1994</v>
      </c>
      <c r="E119" s="252">
        <v>16900</v>
      </c>
      <c r="F119" s="252">
        <v>15150</v>
      </c>
      <c r="G119" s="252">
        <f t="shared" si="13"/>
        <v>16025</v>
      </c>
      <c r="I119" s="2088">
        <v>34699</v>
      </c>
      <c r="J119" s="230">
        <v>1178000</v>
      </c>
      <c r="K119" s="278">
        <f>AVERAGE(J115,J119)</f>
        <v>1178000</v>
      </c>
      <c r="L119" s="252">
        <f>K119*E119</f>
        <v>19908200000</v>
      </c>
      <c r="M119" s="252">
        <f>K119*F119</f>
        <v>17846700000</v>
      </c>
      <c r="N119" s="252">
        <f t="shared" si="9"/>
        <v>18877450000</v>
      </c>
      <c r="P119" s="252">
        <v>11874882000</v>
      </c>
      <c r="Q119" s="252">
        <f>AVERAGE(P115,P119)</f>
        <v>11151628000</v>
      </c>
      <c r="S119" s="348">
        <f>L119/Q119</f>
        <v>1.7852281299196853</v>
      </c>
      <c r="T119" s="348">
        <f>M119/Q119</f>
        <v>1.6003672288924988</v>
      </c>
      <c r="U119" s="1043">
        <f t="shared" si="10"/>
        <v>1.6927976794060919</v>
      </c>
      <c r="V119" s="2088" t="str">
        <f>Table24568[[#This Row],[Column3]]</f>
        <v>1994-Q1</v>
      </c>
    </row>
    <row r="120" spans="1:22" x14ac:dyDescent="0.3">
      <c r="A120" s="211">
        <f t="shared" si="11"/>
        <v>1994</v>
      </c>
      <c r="B120" s="211" t="str">
        <f t="shared" si="12"/>
        <v>Q2</v>
      </c>
      <c r="C120" s="2088" t="str">
        <f t="shared" si="8"/>
        <v>1994-Q2</v>
      </c>
      <c r="E120" s="252">
        <v>16700</v>
      </c>
      <c r="F120" s="252">
        <v>15400</v>
      </c>
      <c r="G120" s="252">
        <f t="shared" si="13"/>
        <v>16050</v>
      </c>
      <c r="J120" s="230"/>
      <c r="L120" s="252">
        <f>K119*E120</f>
        <v>19672600000</v>
      </c>
      <c r="M120" s="252">
        <f>K119*F120</f>
        <v>18141200000</v>
      </c>
      <c r="N120" s="252">
        <f t="shared" si="9"/>
        <v>18906900000</v>
      </c>
      <c r="P120" s="252"/>
      <c r="Q120" s="252"/>
      <c r="S120" s="348">
        <f>L120/Q119</f>
        <v>1.7641011698022926</v>
      </c>
      <c r="T120" s="348">
        <f>M120/Q119</f>
        <v>1.6267759290392398</v>
      </c>
      <c r="U120" s="1043">
        <f t="shared" si="10"/>
        <v>1.6954385494207662</v>
      </c>
      <c r="V120" s="2088" t="str">
        <f>Table24568[[#This Row],[Column3]]</f>
        <v>1994-Q2</v>
      </c>
    </row>
    <row r="121" spans="1:22" x14ac:dyDescent="0.3">
      <c r="A121" s="211">
        <f t="shared" si="11"/>
        <v>1994</v>
      </c>
      <c r="B121" s="211" t="str">
        <f t="shared" si="12"/>
        <v>Q3</v>
      </c>
      <c r="C121" s="2088" t="str">
        <f t="shared" si="8"/>
        <v>1994-Q3</v>
      </c>
      <c r="E121" s="252">
        <v>19750</v>
      </c>
      <c r="F121" s="252">
        <v>16425</v>
      </c>
      <c r="G121" s="252">
        <f t="shared" si="13"/>
        <v>18087.5</v>
      </c>
      <c r="J121" s="230"/>
      <c r="L121" s="252">
        <f>K119*E121</f>
        <v>23265500000</v>
      </c>
      <c r="M121" s="252">
        <f>K119*F121</f>
        <v>19348650000</v>
      </c>
      <c r="N121" s="252">
        <f t="shared" si="9"/>
        <v>21307075000</v>
      </c>
      <c r="P121" s="252"/>
      <c r="Q121" s="252"/>
      <c r="S121" s="348">
        <f>L121/Q119</f>
        <v>2.0862873115925318</v>
      </c>
      <c r="T121" s="348">
        <f>M121/Q119</f>
        <v>1.7350515996408775</v>
      </c>
      <c r="U121" s="1043">
        <f t="shared" si="10"/>
        <v>1.9106694556167048</v>
      </c>
      <c r="V121" s="2088" t="str">
        <f>Table24568[[#This Row],[Column3]]</f>
        <v>1994-Q3</v>
      </c>
    </row>
    <row r="122" spans="1:22" x14ac:dyDescent="0.3">
      <c r="A122" s="211">
        <f t="shared" si="11"/>
        <v>1994</v>
      </c>
      <c r="B122" s="211" t="str">
        <f t="shared" si="12"/>
        <v>Q4</v>
      </c>
      <c r="C122" s="2088" t="str">
        <f t="shared" si="8"/>
        <v>1994-Q4</v>
      </c>
      <c r="E122" s="252">
        <v>20800</v>
      </c>
      <c r="F122" s="252">
        <v>19200</v>
      </c>
      <c r="G122" s="252">
        <f t="shared" si="13"/>
        <v>20000</v>
      </c>
      <c r="J122" s="230"/>
      <c r="L122" s="252">
        <f>K119*E122</f>
        <v>24502400000</v>
      </c>
      <c r="M122" s="252">
        <f>K119*F122</f>
        <v>22617600000</v>
      </c>
      <c r="N122" s="252">
        <f>AVERAGE(L122:M122)</f>
        <v>23560000000</v>
      </c>
      <c r="P122" s="252"/>
      <c r="Q122" s="252"/>
      <c r="S122" s="348">
        <f>L122/Q119</f>
        <v>2.1972038522088435</v>
      </c>
      <c r="T122" s="348">
        <f>M122/Q119</f>
        <v>2.0281881712697016</v>
      </c>
      <c r="U122" s="1043">
        <f t="shared" si="10"/>
        <v>2.1126960117392724</v>
      </c>
      <c r="V122" s="2088" t="str">
        <f>Table24568[[#This Row],[Column3]]</f>
        <v>1994-Q4</v>
      </c>
    </row>
    <row r="123" spans="1:22" x14ac:dyDescent="0.3">
      <c r="A123" s="211">
        <f t="shared" si="11"/>
        <v>1995</v>
      </c>
      <c r="B123" s="211" t="str">
        <f t="shared" si="12"/>
        <v>Q1</v>
      </c>
      <c r="C123" s="2088" t="str">
        <f t="shared" si="8"/>
        <v>1995-Q1</v>
      </c>
      <c r="D123" s="211">
        <v>1995</v>
      </c>
      <c r="E123" s="252">
        <v>25200</v>
      </c>
      <c r="F123" s="252">
        <v>20250</v>
      </c>
      <c r="G123" s="252">
        <f t="shared" si="13"/>
        <v>22725</v>
      </c>
      <c r="I123" s="2088">
        <v>35064</v>
      </c>
      <c r="J123" s="230">
        <v>1194000</v>
      </c>
      <c r="K123" s="230">
        <f>AVERAGE(J119,J123)</f>
        <v>1186000</v>
      </c>
      <c r="L123" s="252">
        <f>K123*E123</f>
        <v>29887200000</v>
      </c>
      <c r="M123" s="252">
        <f>K123*F123</f>
        <v>24016500000</v>
      </c>
      <c r="N123" s="252">
        <f>AVERAGE(L123:M123)</f>
        <v>26951850000</v>
      </c>
      <c r="P123" s="252">
        <v>16739000000</v>
      </c>
      <c r="Q123" s="252">
        <f>AVERAGE(P119,P123)</f>
        <v>14306941000</v>
      </c>
      <c r="S123" s="348">
        <f>L123/Q123</f>
        <v>2.0890000175439321</v>
      </c>
      <c r="T123" s="348">
        <f>M123/Q123</f>
        <v>1.6786607283835169</v>
      </c>
      <c r="U123" s="1043">
        <f t="shared" si="10"/>
        <v>1.8838303729637245</v>
      </c>
      <c r="V123" s="2088" t="str">
        <f>Table24568[[#This Row],[Column3]]</f>
        <v>1995-Q1</v>
      </c>
    </row>
    <row r="124" spans="1:22" x14ac:dyDescent="0.3">
      <c r="A124" s="211">
        <f t="shared" si="11"/>
        <v>1995</v>
      </c>
      <c r="B124" s="211" t="str">
        <f t="shared" si="12"/>
        <v>Q2</v>
      </c>
      <c r="C124" s="2088" t="str">
        <f t="shared" si="8"/>
        <v>1995-Q2</v>
      </c>
      <c r="E124" s="252">
        <v>24450</v>
      </c>
      <c r="F124" s="252">
        <v>21500</v>
      </c>
      <c r="G124" s="252">
        <f t="shared" si="13"/>
        <v>22975</v>
      </c>
      <c r="J124" s="230"/>
      <c r="K124" s="230"/>
      <c r="L124" s="252">
        <f>K123*E124</f>
        <v>28997700000</v>
      </c>
      <c r="M124" s="252">
        <f>K123*F124</f>
        <v>25499000000</v>
      </c>
      <c r="N124" s="252">
        <f t="shared" ref="N124:N161" si="14">AVERAGE(L124:M124)</f>
        <v>27248350000</v>
      </c>
      <c r="P124" s="252"/>
      <c r="Q124" s="252"/>
      <c r="S124" s="348">
        <f>L124/Q123</f>
        <v>2.0268273979741722</v>
      </c>
      <c r="T124" s="348">
        <f>M124/Q123</f>
        <v>1.7822817609997832</v>
      </c>
      <c r="U124" s="1043">
        <f t="shared" si="10"/>
        <v>1.9045545794869776</v>
      </c>
      <c r="V124" s="2088" t="str">
        <f>Table24568[[#This Row],[Column3]]</f>
        <v>1995-Q2</v>
      </c>
    </row>
    <row r="125" spans="1:22" x14ac:dyDescent="0.3">
      <c r="A125" s="211">
        <f t="shared" si="11"/>
        <v>1995</v>
      </c>
      <c r="B125" s="211" t="str">
        <f t="shared" si="12"/>
        <v>Q3</v>
      </c>
      <c r="C125" s="2088" t="str">
        <f t="shared" si="8"/>
        <v>1995-Q3</v>
      </c>
      <c r="E125" s="252">
        <v>30600</v>
      </c>
      <c r="F125" s="252">
        <v>23400</v>
      </c>
      <c r="G125" s="252">
        <f t="shared" si="13"/>
        <v>27000</v>
      </c>
      <c r="J125" s="230"/>
      <c r="K125" s="230"/>
      <c r="L125" s="252">
        <f>K123*E125</f>
        <v>36291600000</v>
      </c>
      <c r="M125" s="252">
        <f>K123*F125</f>
        <v>27752400000</v>
      </c>
      <c r="N125" s="252">
        <f t="shared" si="14"/>
        <v>32022000000</v>
      </c>
      <c r="P125" s="252"/>
      <c r="Q125" s="252"/>
      <c r="S125" s="348">
        <f>L125/Q123</f>
        <v>2.536642878446203</v>
      </c>
      <c r="T125" s="348">
        <f>M125/Q123</f>
        <v>1.9397857305765083</v>
      </c>
      <c r="U125" s="1043">
        <f t="shared" si="10"/>
        <v>2.2382143045113558</v>
      </c>
      <c r="V125" s="2088" t="str">
        <f>Table24568[[#This Row],[Column3]]</f>
        <v>1995-Q3</v>
      </c>
    </row>
    <row r="126" spans="1:22" x14ac:dyDescent="0.3">
      <c r="A126" s="211">
        <f t="shared" si="11"/>
        <v>1995</v>
      </c>
      <c r="B126" s="211" t="str">
        <f t="shared" si="12"/>
        <v>Q4</v>
      </c>
      <c r="C126" s="2088" t="str">
        <f t="shared" si="8"/>
        <v>1995-Q4</v>
      </c>
      <c r="E126" s="252">
        <v>33400</v>
      </c>
      <c r="F126" s="252">
        <v>28850</v>
      </c>
      <c r="G126" s="252">
        <f t="shared" si="13"/>
        <v>31125</v>
      </c>
      <c r="J126" s="230"/>
      <c r="K126" s="230"/>
      <c r="L126" s="252">
        <f>K123*E126</f>
        <v>39612400000</v>
      </c>
      <c r="M126" s="252">
        <f>K123*F126</f>
        <v>34216100000</v>
      </c>
      <c r="N126" s="252">
        <f t="shared" si="14"/>
        <v>36914250000</v>
      </c>
      <c r="P126" s="252"/>
      <c r="Q126" s="252"/>
      <c r="S126" s="348">
        <f>L126/Q123</f>
        <v>2.7687539915066401</v>
      </c>
      <c r="T126" s="348">
        <f>M126/Q123</f>
        <v>2.3915734327834302</v>
      </c>
      <c r="U126" s="1043">
        <f t="shared" si="10"/>
        <v>2.5801637121450351</v>
      </c>
      <c r="V126" s="2088" t="str">
        <f>Table24568[[#This Row],[Column3]]</f>
        <v>1995-Q4</v>
      </c>
    </row>
    <row r="127" spans="1:22" x14ac:dyDescent="0.3">
      <c r="A127" s="211">
        <f t="shared" si="11"/>
        <v>1996</v>
      </c>
      <c r="B127" s="211" t="str">
        <f t="shared" si="12"/>
        <v>Q1</v>
      </c>
      <c r="C127" s="2088" t="str">
        <f t="shared" si="8"/>
        <v>1996-Q1</v>
      </c>
      <c r="D127" s="211">
        <v>1996</v>
      </c>
      <c r="E127" s="252">
        <v>38000</v>
      </c>
      <c r="F127" s="252">
        <v>29800</v>
      </c>
      <c r="G127" s="252">
        <f t="shared" si="13"/>
        <v>33900</v>
      </c>
      <c r="I127" s="2088">
        <v>35430</v>
      </c>
      <c r="J127" s="230">
        <v>1232000</v>
      </c>
      <c r="K127" s="278">
        <f>AVERAGE(J123,J127)</f>
        <v>1213000</v>
      </c>
      <c r="L127" s="252">
        <f>K127*E127</f>
        <v>46094000000</v>
      </c>
      <c r="M127" s="252">
        <f>K127*F127</f>
        <v>36147400000</v>
      </c>
      <c r="N127" s="252">
        <f t="shared" si="14"/>
        <v>41120700000</v>
      </c>
      <c r="P127" s="252">
        <v>23427000000</v>
      </c>
      <c r="Q127" s="252">
        <f>AVERAGE(P123,P127)</f>
        <v>20083000000</v>
      </c>
      <c r="S127" s="348">
        <f>L127/Q127</f>
        <v>2.2951750236518449</v>
      </c>
      <c r="T127" s="348">
        <f>M127/Q127</f>
        <v>1.7999004132848677</v>
      </c>
      <c r="U127" s="1043">
        <f t="shared" si="10"/>
        <v>2.0475377184683561</v>
      </c>
      <c r="V127" s="2088" t="str">
        <f>Table24568[[#This Row],[Column3]]</f>
        <v>1996-Q1</v>
      </c>
    </row>
    <row r="128" spans="1:22" x14ac:dyDescent="0.3">
      <c r="A128" s="211">
        <f t="shared" si="11"/>
        <v>1996</v>
      </c>
      <c r="B128" s="211" t="str">
        <f t="shared" si="12"/>
        <v>Q2</v>
      </c>
      <c r="C128" s="2088" t="str">
        <f t="shared" si="8"/>
        <v>1996-Q2</v>
      </c>
      <c r="E128" s="252">
        <v>36000</v>
      </c>
      <c r="F128" s="252">
        <v>30000</v>
      </c>
      <c r="G128" s="252">
        <f t="shared" si="13"/>
        <v>33000</v>
      </c>
      <c r="J128" s="230"/>
      <c r="L128" s="252">
        <f>K127*E128</f>
        <v>43668000000</v>
      </c>
      <c r="M128" s="252">
        <f>K127*F128</f>
        <v>36390000000</v>
      </c>
      <c r="N128" s="252">
        <f t="shared" si="14"/>
        <v>40029000000</v>
      </c>
      <c r="P128" s="252"/>
      <c r="Q128" s="252"/>
      <c r="S128" s="348">
        <f>L128/Q127</f>
        <v>2.1743763381964847</v>
      </c>
      <c r="T128" s="348">
        <f>M128/Q127</f>
        <v>1.8119802818304038</v>
      </c>
      <c r="U128" s="1043">
        <f t="shared" si="10"/>
        <v>1.9931783100134441</v>
      </c>
      <c r="V128" s="2088" t="str">
        <f>Table24568[[#This Row],[Column3]]</f>
        <v>1996-Q2</v>
      </c>
    </row>
    <row r="129" spans="1:22" x14ac:dyDescent="0.3">
      <c r="A129" s="211">
        <f t="shared" si="11"/>
        <v>1996</v>
      </c>
      <c r="B129" s="211" t="str">
        <f t="shared" si="12"/>
        <v>Q3</v>
      </c>
      <c r="C129" s="2088" t="str">
        <f t="shared" si="8"/>
        <v>1996-Q3</v>
      </c>
      <c r="E129" s="252">
        <v>33500</v>
      </c>
      <c r="F129" s="252">
        <v>30500</v>
      </c>
      <c r="G129" s="252">
        <f t="shared" si="13"/>
        <v>32000</v>
      </c>
      <c r="J129" s="230"/>
      <c r="L129" s="252">
        <f>K127*E129</f>
        <v>40635500000</v>
      </c>
      <c r="M129" s="252">
        <f>K127*F129</f>
        <v>36996500000</v>
      </c>
      <c r="N129" s="252">
        <f t="shared" si="14"/>
        <v>38816000000</v>
      </c>
      <c r="P129" s="252"/>
      <c r="Q129" s="252"/>
      <c r="S129" s="348">
        <f>L129/Q127</f>
        <v>2.0233779813772843</v>
      </c>
      <c r="T129" s="348">
        <f>M129/Q127</f>
        <v>1.842179953194244</v>
      </c>
      <c r="U129" s="1043">
        <f t="shared" si="10"/>
        <v>1.9327789672857643</v>
      </c>
      <c r="V129" s="2088" t="str">
        <f>Table24568[[#This Row],[Column3]]</f>
        <v>1996-Q3</v>
      </c>
    </row>
    <row r="130" spans="1:22" x14ac:dyDescent="0.3">
      <c r="A130" s="211">
        <f t="shared" si="11"/>
        <v>1996</v>
      </c>
      <c r="B130" s="211" t="str">
        <f t="shared" si="12"/>
        <v>Q4</v>
      </c>
      <c r="C130" s="2088" t="str">
        <f t="shared" si="8"/>
        <v>1996-Q4</v>
      </c>
      <c r="E130" s="252">
        <v>36500</v>
      </c>
      <c r="F130" s="252">
        <v>31000</v>
      </c>
      <c r="G130" s="252">
        <f t="shared" si="13"/>
        <v>33750</v>
      </c>
      <c r="J130" s="230"/>
      <c r="L130" s="252">
        <f>K127*E130</f>
        <v>44274500000</v>
      </c>
      <c r="M130" s="252">
        <f>K127*F130</f>
        <v>37603000000</v>
      </c>
      <c r="N130" s="252">
        <f t="shared" si="14"/>
        <v>40938750000</v>
      </c>
      <c r="P130" s="252"/>
      <c r="Q130" s="252"/>
      <c r="S130" s="348">
        <f>L130/Q127</f>
        <v>2.2045760095603248</v>
      </c>
      <c r="T130" s="348">
        <f>M130/Q127</f>
        <v>1.8723796245580839</v>
      </c>
      <c r="U130" s="1043">
        <f t="shared" si="10"/>
        <v>2.0384778170592046</v>
      </c>
      <c r="V130" s="2088" t="str">
        <f>Table24568[[#This Row],[Column3]]</f>
        <v>1996-Q4</v>
      </c>
    </row>
    <row r="131" spans="1:22" x14ac:dyDescent="0.3">
      <c r="A131" s="211">
        <f t="shared" si="11"/>
        <v>1997</v>
      </c>
      <c r="B131" s="211" t="str">
        <f t="shared" si="12"/>
        <v>Q1</v>
      </c>
      <c r="C131" s="2088" t="str">
        <f t="shared" si="8"/>
        <v>1997-Q1</v>
      </c>
      <c r="D131" s="211">
        <v>1997</v>
      </c>
      <c r="E131" s="252">
        <v>37900</v>
      </c>
      <c r="F131" s="252">
        <v>33000</v>
      </c>
      <c r="G131" s="252">
        <f t="shared" si="13"/>
        <v>35450</v>
      </c>
      <c r="I131" s="2088">
        <v>35795</v>
      </c>
      <c r="J131" s="230">
        <v>1234000</v>
      </c>
      <c r="K131" s="230">
        <f>AVERAGE(J127,J131)</f>
        <v>1233000</v>
      </c>
      <c r="L131" s="252">
        <f>K131*E131</f>
        <v>46730700000</v>
      </c>
      <c r="M131" s="252">
        <f>K131*F131</f>
        <v>40689000000</v>
      </c>
      <c r="N131" s="252">
        <f t="shared" si="14"/>
        <v>43709850000</v>
      </c>
      <c r="P131" s="252">
        <v>31455000000</v>
      </c>
      <c r="Q131" s="252">
        <f>AVERAGE(P127,P131)</f>
        <v>27441000000</v>
      </c>
      <c r="S131" s="348">
        <f>L131/Q131</f>
        <v>1.702951787471302</v>
      </c>
      <c r="T131" s="348">
        <f>M131/Q131</f>
        <v>1.4827812397507381</v>
      </c>
      <c r="U131" s="1043">
        <f t="shared" si="10"/>
        <v>1.5928665136110201</v>
      </c>
      <c r="V131" s="2088" t="str">
        <f>Table24568[[#This Row],[Column3]]</f>
        <v>1997-Q1</v>
      </c>
    </row>
    <row r="132" spans="1:22" x14ac:dyDescent="0.3">
      <c r="A132" s="211">
        <f t="shared" si="11"/>
        <v>1997</v>
      </c>
      <c r="B132" s="211" t="str">
        <f t="shared" si="12"/>
        <v>Q2</v>
      </c>
      <c r="C132" s="2088" t="str">
        <f t="shared" ref="C132:C195" si="15">CONCATENATE(A132,"-",B132)</f>
        <v>1997-Q2</v>
      </c>
      <c r="E132" s="252">
        <v>48600</v>
      </c>
      <c r="F132" s="252">
        <v>35900</v>
      </c>
      <c r="G132" s="252">
        <f t="shared" si="13"/>
        <v>42250</v>
      </c>
      <c r="J132" s="230"/>
      <c r="K132" s="230"/>
      <c r="L132" s="252">
        <f>K131*E132</f>
        <v>59923800000</v>
      </c>
      <c r="M132" s="252">
        <f>K131*F132</f>
        <v>44264700000</v>
      </c>
      <c r="N132" s="252">
        <f t="shared" si="14"/>
        <v>52094250000</v>
      </c>
      <c r="P132" s="252"/>
      <c r="Q132" s="252"/>
      <c r="S132" s="348">
        <f>L132/Q131</f>
        <v>2.1837323712692687</v>
      </c>
      <c r="T132" s="348">
        <f>M132/Q131</f>
        <v>1.6130862577894391</v>
      </c>
      <c r="U132" s="1043">
        <f t="shared" ref="U132:U161" si="16">AVERAGE(S132:T132)</f>
        <v>1.8984093145293539</v>
      </c>
      <c r="V132" s="2088" t="str">
        <f>Table24568[[#This Row],[Column3]]</f>
        <v>1997-Q2</v>
      </c>
    </row>
    <row r="133" spans="1:22" x14ac:dyDescent="0.3">
      <c r="A133" s="211">
        <f t="shared" si="11"/>
        <v>1997</v>
      </c>
      <c r="B133" s="211" t="str">
        <f t="shared" si="12"/>
        <v>Q3</v>
      </c>
      <c r="C133" s="2088" t="str">
        <f t="shared" si="15"/>
        <v>1997-Q3</v>
      </c>
      <c r="E133" s="252">
        <v>48300</v>
      </c>
      <c r="F133" s="252">
        <v>41300</v>
      </c>
      <c r="G133" s="252">
        <f t="shared" si="13"/>
        <v>44800</v>
      </c>
      <c r="J133" s="230"/>
      <c r="K133" s="230"/>
      <c r="L133" s="252">
        <f>K131*E133</f>
        <v>59553900000</v>
      </c>
      <c r="M133" s="252">
        <f>K131*F133</f>
        <v>50922900000</v>
      </c>
      <c r="N133" s="252">
        <f t="shared" si="14"/>
        <v>55238400000</v>
      </c>
      <c r="P133" s="252"/>
      <c r="Q133" s="252"/>
      <c r="S133" s="348">
        <f>L133/Q131</f>
        <v>2.1702525418169891</v>
      </c>
      <c r="T133" s="348">
        <f>M133/Q131</f>
        <v>1.855723187930469</v>
      </c>
      <c r="U133" s="1043">
        <f t="shared" si="16"/>
        <v>2.0129878648737289</v>
      </c>
      <c r="V133" s="2088" t="str">
        <f>Table24568[[#This Row],[Column3]]</f>
        <v>1997-Q3</v>
      </c>
    </row>
    <row r="134" spans="1:22" x14ac:dyDescent="0.3">
      <c r="A134" s="211">
        <f t="shared" si="11"/>
        <v>1997</v>
      </c>
      <c r="B134" s="211" t="str">
        <f t="shared" si="12"/>
        <v>Q4</v>
      </c>
      <c r="C134" s="2088" t="str">
        <f t="shared" si="15"/>
        <v>1997-Q4</v>
      </c>
      <c r="E134" s="252">
        <v>47200</v>
      </c>
      <c r="F134" s="252">
        <v>42500</v>
      </c>
      <c r="G134" s="252">
        <f t="shared" si="13"/>
        <v>44850</v>
      </c>
      <c r="J134" s="230"/>
      <c r="K134" s="230"/>
      <c r="L134" s="252">
        <f>K131*E134</f>
        <v>58197600000</v>
      </c>
      <c r="M134" s="252">
        <f>K131*F134</f>
        <v>52402500000</v>
      </c>
      <c r="N134" s="252">
        <f t="shared" si="14"/>
        <v>55300050000</v>
      </c>
      <c r="P134" s="252"/>
      <c r="Q134" s="252"/>
      <c r="S134" s="348">
        <f>L134/Q131</f>
        <v>2.1208265004919644</v>
      </c>
      <c r="T134" s="348">
        <f>M134/Q131</f>
        <v>1.9096425057395867</v>
      </c>
      <c r="U134" s="1043">
        <f t="shared" si="16"/>
        <v>2.0152345031157757</v>
      </c>
      <c r="V134" s="2088" t="str">
        <f>Table24568[[#This Row],[Column3]]</f>
        <v>1997-Q4</v>
      </c>
    </row>
    <row r="135" spans="1:22" x14ac:dyDescent="0.3">
      <c r="A135" s="211">
        <f t="shared" si="11"/>
        <v>1998</v>
      </c>
      <c r="B135" s="211" t="str">
        <f t="shared" si="12"/>
        <v>Q1</v>
      </c>
      <c r="C135" s="2088" t="str">
        <f t="shared" si="15"/>
        <v>1998-Q1</v>
      </c>
      <c r="D135" s="211">
        <v>1998</v>
      </c>
      <c r="E135" s="252">
        <v>69500</v>
      </c>
      <c r="F135" s="252">
        <v>45700</v>
      </c>
      <c r="G135" s="252">
        <f t="shared" si="13"/>
        <v>57600</v>
      </c>
      <c r="I135" s="2088">
        <v>36160</v>
      </c>
      <c r="J135" s="230">
        <v>1519000</v>
      </c>
      <c r="K135" s="230">
        <f>AVERAGE(J131,J135)</f>
        <v>1376500</v>
      </c>
      <c r="L135" s="252">
        <f>K135*E135</f>
        <v>95666750000</v>
      </c>
      <c r="M135" s="252">
        <f>K135*F135</f>
        <v>62906050000</v>
      </c>
      <c r="N135" s="252">
        <f t="shared" si="14"/>
        <v>79286400000</v>
      </c>
      <c r="P135" s="252">
        <v>57403000000</v>
      </c>
      <c r="Q135" s="252">
        <f>AVERAGE(P131,P135)</f>
        <v>44429000000</v>
      </c>
      <c r="S135" s="348">
        <f>L135/Q135</f>
        <v>2.1532501294199733</v>
      </c>
      <c r="T135" s="348">
        <f>M135/Q135</f>
        <v>1.4158781426545726</v>
      </c>
      <c r="U135" s="1043">
        <f t="shared" si="16"/>
        <v>1.784564136037273</v>
      </c>
      <c r="V135" s="2088" t="str">
        <f>Table24568[[#This Row],[Column3]]</f>
        <v>1998-Q1</v>
      </c>
    </row>
    <row r="136" spans="1:22" x14ac:dyDescent="0.3">
      <c r="A136" s="211">
        <f t="shared" si="11"/>
        <v>1998</v>
      </c>
      <c r="B136" s="211" t="str">
        <f t="shared" si="12"/>
        <v>Q2</v>
      </c>
      <c r="C136" s="2088" t="str">
        <f t="shared" si="15"/>
        <v>1998-Q2</v>
      </c>
      <c r="E136" s="252">
        <v>84000</v>
      </c>
      <c r="F136" s="252">
        <v>65800</v>
      </c>
      <c r="G136" s="252">
        <f t="shared" si="13"/>
        <v>74900</v>
      </c>
      <c r="J136" s="230"/>
      <c r="K136" s="230"/>
      <c r="L136" s="252">
        <f>K135*E136</f>
        <v>115626000000</v>
      </c>
      <c r="M136" s="252">
        <f>K135*F136</f>
        <v>90573700000</v>
      </c>
      <c r="N136" s="252">
        <f t="shared" si="14"/>
        <v>103099850000</v>
      </c>
      <c r="P136" s="252"/>
      <c r="Q136" s="252"/>
      <c r="S136" s="348">
        <f>L136/Q135</f>
        <v>2.6024893650543564</v>
      </c>
      <c r="T136" s="348">
        <f>M136/Q135</f>
        <v>2.0386166692925793</v>
      </c>
      <c r="U136" s="1043">
        <f t="shared" si="16"/>
        <v>2.3205530171734678</v>
      </c>
      <c r="V136" s="2088" t="str">
        <f>Table24568[[#This Row],[Column3]]</f>
        <v>1998-Q2</v>
      </c>
    </row>
    <row r="137" spans="1:22" x14ac:dyDescent="0.3">
      <c r="A137" s="211">
        <f t="shared" si="11"/>
        <v>1998</v>
      </c>
      <c r="B137" s="211" t="str">
        <f t="shared" si="12"/>
        <v>Q3</v>
      </c>
      <c r="C137" s="2088" t="str">
        <f t="shared" si="15"/>
        <v>1998-Q3</v>
      </c>
      <c r="E137" s="252">
        <v>78500</v>
      </c>
      <c r="F137" s="252">
        <v>57000</v>
      </c>
      <c r="G137" s="252">
        <f t="shared" si="13"/>
        <v>67750</v>
      </c>
      <c r="J137" s="230"/>
      <c r="K137" s="230"/>
      <c r="L137" s="252">
        <f>K135*E137</f>
        <v>108055250000</v>
      </c>
      <c r="M137" s="252">
        <f>K135*F137</f>
        <v>78460500000</v>
      </c>
      <c r="N137" s="252">
        <f t="shared" si="14"/>
        <v>93257875000</v>
      </c>
      <c r="P137" s="252"/>
      <c r="Q137" s="252"/>
      <c r="S137" s="348">
        <f>L137/Q135</f>
        <v>2.4320882756757976</v>
      </c>
      <c r="T137" s="348">
        <f>M137/Q135</f>
        <v>1.7659749262868847</v>
      </c>
      <c r="U137" s="1043">
        <f t="shared" si="16"/>
        <v>2.0990316009813412</v>
      </c>
      <c r="V137" s="2088" t="str">
        <f>Table24568[[#This Row],[Column3]]</f>
        <v>1998-Q3</v>
      </c>
    </row>
    <row r="138" spans="1:22" x14ac:dyDescent="0.3">
      <c r="A138" s="211">
        <f t="shared" si="11"/>
        <v>1998</v>
      </c>
      <c r="B138" s="211" t="str">
        <f t="shared" si="12"/>
        <v>Q4</v>
      </c>
      <c r="C138" s="2088" t="str">
        <f t="shared" si="15"/>
        <v>1998-Q4</v>
      </c>
      <c r="E138" s="252">
        <v>71000</v>
      </c>
      <c r="F138" s="252">
        <v>57700</v>
      </c>
      <c r="G138" s="252">
        <f t="shared" si="13"/>
        <v>64350</v>
      </c>
      <c r="J138" s="230"/>
      <c r="K138" s="230"/>
      <c r="L138" s="252">
        <f>K135*E138</f>
        <v>97731500000</v>
      </c>
      <c r="M138" s="252">
        <f>K135*F138</f>
        <v>79424050000</v>
      </c>
      <c r="N138" s="252">
        <f t="shared" si="14"/>
        <v>88577775000</v>
      </c>
      <c r="P138" s="252"/>
      <c r="Q138" s="252"/>
      <c r="S138" s="348">
        <f>L138/Q135</f>
        <v>2.1997231537959441</v>
      </c>
      <c r="T138" s="348">
        <f>M138/Q135</f>
        <v>1.7876623376623377</v>
      </c>
      <c r="U138" s="1043">
        <f t="shared" si="16"/>
        <v>1.9936927457291409</v>
      </c>
      <c r="V138" s="2088" t="str">
        <f>Table24568[[#This Row],[Column3]]</f>
        <v>1998-Q4</v>
      </c>
    </row>
    <row r="139" spans="1:22" x14ac:dyDescent="0.3">
      <c r="A139" s="211">
        <f t="shared" si="11"/>
        <v>1999</v>
      </c>
      <c r="B139" s="211" t="str">
        <f t="shared" si="12"/>
        <v>Q1</v>
      </c>
      <c r="C139" s="2088" t="str">
        <f t="shared" si="15"/>
        <v>1999-Q1</v>
      </c>
      <c r="D139" s="211">
        <v>1999</v>
      </c>
      <c r="E139" s="252">
        <v>81100</v>
      </c>
      <c r="F139" s="252">
        <v>61900</v>
      </c>
      <c r="G139" s="252">
        <f t="shared" si="13"/>
        <v>71500</v>
      </c>
      <c r="I139" s="2088">
        <v>36525</v>
      </c>
      <c r="J139" s="230">
        <v>1521000</v>
      </c>
      <c r="K139" s="278">
        <f>AVERAGE(J135,J139)</f>
        <v>1520000</v>
      </c>
      <c r="L139" s="252">
        <f>K139*E139</f>
        <v>123272000000</v>
      </c>
      <c r="M139" s="252">
        <f>K139*F139</f>
        <v>94088000000</v>
      </c>
      <c r="N139" s="252">
        <f t="shared" si="14"/>
        <v>108680000000</v>
      </c>
      <c r="P139" s="252">
        <v>57761000000</v>
      </c>
      <c r="Q139" s="252">
        <f>AVERAGE(P135,P139)</f>
        <v>57582000000</v>
      </c>
      <c r="S139" s="348">
        <f>L139/Q139</f>
        <v>2.1408078913549371</v>
      </c>
      <c r="T139" s="348">
        <f>M139/Q139</f>
        <v>1.6339828418603035</v>
      </c>
      <c r="U139" s="1043">
        <f t="shared" si="16"/>
        <v>1.8873953666076204</v>
      </c>
      <c r="V139" s="2088" t="str">
        <f>Table24568[[#This Row],[Column3]]</f>
        <v>1999-Q1</v>
      </c>
    </row>
    <row r="140" spans="1:22" x14ac:dyDescent="0.3">
      <c r="A140" s="211">
        <f t="shared" ref="A140:A203" si="17">A136+1</f>
        <v>1999</v>
      </c>
      <c r="B140" s="211" t="str">
        <f t="shared" ref="B140:B203" si="18">B136</f>
        <v>Q2</v>
      </c>
      <c r="C140" s="2088" t="str">
        <f t="shared" si="15"/>
        <v>1999-Q2</v>
      </c>
      <c r="E140" s="252">
        <v>78600</v>
      </c>
      <c r="F140" s="252">
        <v>68300</v>
      </c>
      <c r="G140" s="252">
        <f t="shared" si="13"/>
        <v>73450</v>
      </c>
      <c r="J140" s="230"/>
      <c r="L140" s="252">
        <f>K139*E140</f>
        <v>119472000000</v>
      </c>
      <c r="M140" s="252">
        <f>K139*F140</f>
        <v>103816000000</v>
      </c>
      <c r="N140" s="252">
        <f t="shared" si="14"/>
        <v>111644000000</v>
      </c>
      <c r="P140" s="252"/>
      <c r="Q140" s="252"/>
      <c r="S140" s="348">
        <f>L140/Q139</f>
        <v>2.074815046368657</v>
      </c>
      <c r="T140" s="348">
        <f>M140/Q139</f>
        <v>1.8029245250251815</v>
      </c>
      <c r="U140" s="1043">
        <f t="shared" si="16"/>
        <v>1.9388697856969193</v>
      </c>
      <c r="V140" s="2088" t="str">
        <f>Table24568[[#This Row],[Column3]]</f>
        <v>1999-Q2</v>
      </c>
    </row>
    <row r="141" spans="1:22" x14ac:dyDescent="0.3">
      <c r="A141" s="211">
        <f t="shared" si="17"/>
        <v>1999</v>
      </c>
      <c r="B141" s="211" t="str">
        <f t="shared" si="18"/>
        <v>Q3</v>
      </c>
      <c r="C141" s="2088" t="str">
        <f t="shared" si="15"/>
        <v>1999-Q3</v>
      </c>
      <c r="E141" s="252">
        <v>73000</v>
      </c>
      <c r="F141" s="252">
        <v>54000</v>
      </c>
      <c r="G141" s="252">
        <f t="shared" si="13"/>
        <v>63500</v>
      </c>
      <c r="J141" s="230"/>
      <c r="L141" s="252">
        <f>K139*E141</f>
        <v>110960000000</v>
      </c>
      <c r="M141" s="252">
        <f>K139*F141</f>
        <v>82080000000</v>
      </c>
      <c r="N141" s="252">
        <f t="shared" si="14"/>
        <v>96520000000</v>
      </c>
      <c r="P141" s="252"/>
      <c r="Q141" s="252"/>
      <c r="S141" s="348">
        <f>L141/Q139</f>
        <v>1.9269910735993887</v>
      </c>
      <c r="T141" s="348">
        <f>M141/Q139</f>
        <v>1.4254454517036574</v>
      </c>
      <c r="U141" s="1043">
        <f t="shared" si="16"/>
        <v>1.6762182626515232</v>
      </c>
      <c r="V141" s="2088" t="str">
        <f>Table24568[[#This Row],[Column3]]</f>
        <v>1999-Q3</v>
      </c>
    </row>
    <row r="142" spans="1:22" x14ac:dyDescent="0.3">
      <c r="A142" s="211">
        <f t="shared" si="17"/>
        <v>1999</v>
      </c>
      <c r="B142" s="211" t="str">
        <f t="shared" si="18"/>
        <v>Q4</v>
      </c>
      <c r="C142" s="2088" t="str">
        <f t="shared" si="15"/>
        <v>1999-Q4</v>
      </c>
      <c r="E142" s="252">
        <v>66900</v>
      </c>
      <c r="F142" s="252">
        <v>52000</v>
      </c>
      <c r="G142" s="252">
        <f t="shared" si="13"/>
        <v>59450</v>
      </c>
      <c r="J142" s="230"/>
      <c r="L142" s="252">
        <f>K139*E142</f>
        <v>101688000000</v>
      </c>
      <c r="M142" s="252">
        <f>K139*F142</f>
        <v>79040000000</v>
      </c>
      <c r="N142" s="252">
        <f t="shared" si="14"/>
        <v>90364000000</v>
      </c>
      <c r="P142" s="252"/>
      <c r="Q142" s="252"/>
      <c r="S142" s="348">
        <f>L142/Q139</f>
        <v>1.7659685318328644</v>
      </c>
      <c r="T142" s="348">
        <f>M142/Q139</f>
        <v>1.3726511757146331</v>
      </c>
      <c r="U142" s="1043">
        <f t="shared" si="16"/>
        <v>1.5693098537737487</v>
      </c>
      <c r="V142" s="2088" t="str">
        <f>Table24568[[#This Row],[Column3]]</f>
        <v>1999-Q4</v>
      </c>
    </row>
    <row r="143" spans="1:22" x14ac:dyDescent="0.3">
      <c r="A143" s="211">
        <f t="shared" si="17"/>
        <v>2000</v>
      </c>
      <c r="B143" s="211" t="str">
        <f t="shared" si="18"/>
        <v>Q1</v>
      </c>
      <c r="C143" s="2088" t="str">
        <f t="shared" si="15"/>
        <v>2000-Q1</v>
      </c>
      <c r="D143" s="211">
        <v>2000</v>
      </c>
      <c r="E143" s="252">
        <v>58000</v>
      </c>
      <c r="F143" s="252">
        <v>40800</v>
      </c>
      <c r="G143" s="252">
        <f t="shared" si="13"/>
        <v>49400</v>
      </c>
      <c r="I143" s="2088">
        <v>36891</v>
      </c>
      <c r="J143" s="230">
        <v>1526000</v>
      </c>
      <c r="K143" s="230">
        <f>AVERAGE(J139,J143)</f>
        <v>1523500</v>
      </c>
      <c r="L143" s="252">
        <f>K143*E143</f>
        <v>88363000000</v>
      </c>
      <c r="M143" s="252">
        <f>K143*F143</f>
        <v>62158800000</v>
      </c>
      <c r="N143" s="252">
        <f t="shared" si="14"/>
        <v>75260900000</v>
      </c>
      <c r="P143" s="252">
        <v>61724000000</v>
      </c>
      <c r="Q143" s="252">
        <f>AVERAGE(P139,P143)</f>
        <v>59742500000</v>
      </c>
      <c r="S143" s="348">
        <f>L143/Q143</f>
        <v>1.4790643176967819</v>
      </c>
      <c r="T143" s="348">
        <f>M143/Q143</f>
        <v>1.0404452441729086</v>
      </c>
      <c r="U143" s="1043">
        <f t="shared" si="16"/>
        <v>1.2597547809348453</v>
      </c>
      <c r="V143" s="2088" t="str">
        <f>Table24568[[#This Row],[Column3]]</f>
        <v>2000-Q1</v>
      </c>
    </row>
    <row r="144" spans="1:22" x14ac:dyDescent="0.3">
      <c r="A144" s="211">
        <f t="shared" si="17"/>
        <v>2000</v>
      </c>
      <c r="B144" s="211" t="str">
        <f t="shared" si="18"/>
        <v>Q2</v>
      </c>
      <c r="C144" s="2088" t="str">
        <f t="shared" si="15"/>
        <v>2000-Q2</v>
      </c>
      <c r="E144" s="252">
        <v>60800</v>
      </c>
      <c r="F144" s="252">
        <v>51800</v>
      </c>
      <c r="G144" s="252">
        <f t="shared" si="13"/>
        <v>56300</v>
      </c>
      <c r="J144" s="230"/>
      <c r="K144" s="230"/>
      <c r="L144" s="252">
        <f>K143*E144</f>
        <v>92628800000</v>
      </c>
      <c r="M144" s="252">
        <f>K143*F144</f>
        <v>78917300000</v>
      </c>
      <c r="N144" s="252">
        <f t="shared" si="14"/>
        <v>85773050000</v>
      </c>
      <c r="P144" s="252"/>
      <c r="Q144" s="252"/>
      <c r="S144" s="348">
        <f>L144/Q143</f>
        <v>1.5504674226890405</v>
      </c>
      <c r="T144" s="348">
        <f>M144/Q143</f>
        <v>1.3209574423567811</v>
      </c>
      <c r="U144" s="1043">
        <f t="shared" si="16"/>
        <v>1.4357124325229109</v>
      </c>
      <c r="V144" s="2088" t="str">
        <f>Table24568[[#This Row],[Column3]]</f>
        <v>2000-Q2</v>
      </c>
    </row>
    <row r="145" spans="1:22" x14ac:dyDescent="0.3">
      <c r="A145" s="211">
        <f t="shared" si="17"/>
        <v>2000</v>
      </c>
      <c r="B145" s="211" t="str">
        <f t="shared" si="18"/>
        <v>Q3</v>
      </c>
      <c r="C145" s="2088" t="str">
        <f t="shared" si="15"/>
        <v>2000-Q3</v>
      </c>
      <c r="E145" s="252">
        <v>64400</v>
      </c>
      <c r="F145" s="252">
        <v>51600</v>
      </c>
      <c r="G145" s="252">
        <f t="shared" si="13"/>
        <v>58000</v>
      </c>
      <c r="J145" s="230"/>
      <c r="K145" s="230"/>
      <c r="L145" s="252">
        <f>K143*E145</f>
        <v>98113400000</v>
      </c>
      <c r="M145" s="252">
        <f>K143*F145</f>
        <v>78612600000</v>
      </c>
      <c r="N145" s="252">
        <f t="shared" si="14"/>
        <v>88363000000</v>
      </c>
      <c r="P145" s="252"/>
      <c r="Q145" s="252"/>
      <c r="S145" s="348">
        <f>L145/Q143</f>
        <v>1.6422714148219442</v>
      </c>
      <c r="T145" s="348">
        <f>M145/Q143</f>
        <v>1.3158572205716199</v>
      </c>
      <c r="U145" s="1043">
        <f t="shared" si="16"/>
        <v>1.4790643176967819</v>
      </c>
      <c r="V145" s="2088" t="str">
        <f>Table24568[[#This Row],[Column3]]</f>
        <v>2000-Q3</v>
      </c>
    </row>
    <row r="146" spans="1:22" x14ac:dyDescent="0.3">
      <c r="A146" s="211">
        <f t="shared" si="17"/>
        <v>2000</v>
      </c>
      <c r="B146" s="211" t="str">
        <f t="shared" si="18"/>
        <v>Q4</v>
      </c>
      <c r="C146" s="2088" t="str">
        <f t="shared" si="15"/>
        <v>2000-Q4</v>
      </c>
      <c r="E146" s="252">
        <v>71300</v>
      </c>
      <c r="F146" s="252">
        <v>53500</v>
      </c>
      <c r="G146" s="252">
        <f t="shared" si="13"/>
        <v>62400</v>
      </c>
      <c r="J146" s="230"/>
      <c r="K146" s="230"/>
      <c r="L146" s="252">
        <f>K143*E146</f>
        <v>108625550000</v>
      </c>
      <c r="M146" s="252">
        <f>K143*F146</f>
        <v>81507250000</v>
      </c>
      <c r="N146" s="252">
        <f t="shared" si="14"/>
        <v>95066400000</v>
      </c>
      <c r="P146" s="252"/>
      <c r="Q146" s="252"/>
      <c r="S146" s="348">
        <f>L146/Q143</f>
        <v>1.8182290664100096</v>
      </c>
      <c r="T146" s="348">
        <f>M146/Q143</f>
        <v>1.3643093275306524</v>
      </c>
      <c r="U146" s="1043">
        <f t="shared" si="16"/>
        <v>1.591269196970331</v>
      </c>
      <c r="V146" s="2088" t="str">
        <f>Table24568[[#This Row],[Column3]]</f>
        <v>2000-Q4</v>
      </c>
    </row>
    <row r="147" spans="1:22" x14ac:dyDescent="0.3">
      <c r="A147" s="211">
        <f t="shared" si="17"/>
        <v>2001</v>
      </c>
      <c r="B147" s="211" t="str">
        <f t="shared" si="18"/>
        <v>Q1</v>
      </c>
      <c r="C147" s="2088" t="str">
        <f t="shared" si="15"/>
        <v>2001-Q1</v>
      </c>
      <c r="D147" s="211">
        <v>2001</v>
      </c>
      <c r="E147" s="252">
        <v>74600</v>
      </c>
      <c r="F147" s="252">
        <v>63000</v>
      </c>
      <c r="G147" s="252">
        <f t="shared" ref="G147:G161" si="19">AVERAGE(E147:F147)</f>
        <v>68800</v>
      </c>
      <c r="I147" s="2088">
        <v>37256</v>
      </c>
      <c r="J147" s="230">
        <v>1528000</v>
      </c>
      <c r="K147" s="230">
        <f>AVERAGE(J143,J147)</f>
        <v>1527000</v>
      </c>
      <c r="L147" s="252">
        <f>K147*E147</f>
        <v>113914200000</v>
      </c>
      <c r="M147" s="252">
        <f>K147*F147</f>
        <v>96201000000</v>
      </c>
      <c r="N147" s="252">
        <f t="shared" si="14"/>
        <v>105057600000</v>
      </c>
      <c r="P147" s="252">
        <v>57950000000</v>
      </c>
      <c r="Q147" s="252">
        <f>AVERAGE(P143,P147)</f>
        <v>59837000000</v>
      </c>
      <c r="S147" s="348">
        <f>L147/Q147</f>
        <v>1.9037418319768704</v>
      </c>
      <c r="T147" s="348">
        <f>M147/Q147</f>
        <v>1.607717632902719</v>
      </c>
      <c r="U147" s="1043">
        <f t="shared" si="16"/>
        <v>1.7557297324397947</v>
      </c>
      <c r="V147" s="2088" t="str">
        <f>Table24568[[#This Row],[Column3]]</f>
        <v>2001-Q1</v>
      </c>
    </row>
    <row r="148" spans="1:22" x14ac:dyDescent="0.3">
      <c r="A148" s="211">
        <f t="shared" si="17"/>
        <v>2001</v>
      </c>
      <c r="B148" s="211" t="str">
        <f t="shared" si="18"/>
        <v>Q2</v>
      </c>
      <c r="C148" s="2088" t="str">
        <f t="shared" si="15"/>
        <v>2001-Q2</v>
      </c>
      <c r="E148" s="252">
        <v>69800</v>
      </c>
      <c r="F148" s="252">
        <v>62800</v>
      </c>
      <c r="G148" s="252">
        <f t="shared" si="19"/>
        <v>66300</v>
      </c>
      <c r="J148" s="230"/>
      <c r="K148" s="230"/>
      <c r="L148" s="252">
        <f>K147*E148</f>
        <v>106584600000</v>
      </c>
      <c r="M148" s="252">
        <f>K147*F148</f>
        <v>95895600000</v>
      </c>
      <c r="N148" s="252">
        <f t="shared" si="14"/>
        <v>101240100000</v>
      </c>
      <c r="P148" s="252"/>
      <c r="Q148" s="252"/>
      <c r="S148" s="348">
        <f>L148/Q147</f>
        <v>1.7812490599461872</v>
      </c>
      <c r="T148" s="348">
        <f>M148/Q147</f>
        <v>1.6026137674014407</v>
      </c>
      <c r="U148" s="1043">
        <f t="shared" si="16"/>
        <v>1.6919314136738139</v>
      </c>
      <c r="V148" s="2088" t="str">
        <f>Table24568[[#This Row],[Column3]]</f>
        <v>2001-Q2</v>
      </c>
    </row>
    <row r="149" spans="1:22" x14ac:dyDescent="0.3">
      <c r="A149" s="211">
        <f t="shared" si="17"/>
        <v>2001</v>
      </c>
      <c r="B149" s="211" t="str">
        <f t="shared" si="18"/>
        <v>Q3</v>
      </c>
      <c r="C149" s="2088" t="str">
        <f t="shared" si="15"/>
        <v>2001-Q3</v>
      </c>
      <c r="E149" s="252">
        <v>70900</v>
      </c>
      <c r="F149" s="252">
        <v>59000</v>
      </c>
      <c r="G149" s="252">
        <f t="shared" si="19"/>
        <v>64950</v>
      </c>
      <c r="J149" s="230"/>
      <c r="K149" s="230"/>
      <c r="L149" s="252">
        <f>K147*E149</f>
        <v>108264300000</v>
      </c>
      <c r="M149" s="252">
        <f>K147*F149</f>
        <v>90093000000</v>
      </c>
      <c r="N149" s="252">
        <f t="shared" si="14"/>
        <v>99178650000</v>
      </c>
      <c r="P149" s="252"/>
      <c r="Q149" s="252"/>
      <c r="S149" s="348">
        <f>L149/Q147</f>
        <v>1.8093203202032186</v>
      </c>
      <c r="T149" s="348">
        <f>M149/Q147</f>
        <v>1.5056403228771496</v>
      </c>
      <c r="U149" s="1043">
        <f t="shared" si="16"/>
        <v>1.6574803215401841</v>
      </c>
      <c r="V149" s="2088" t="str">
        <f>Table24568[[#This Row],[Column3]]</f>
        <v>2001-Q3</v>
      </c>
    </row>
    <row r="150" spans="1:22" x14ac:dyDescent="0.3">
      <c r="A150" s="211">
        <f t="shared" si="17"/>
        <v>2001</v>
      </c>
      <c r="B150" s="211" t="str">
        <f t="shared" si="18"/>
        <v>Q4</v>
      </c>
      <c r="C150" s="2088" t="str">
        <f t="shared" si="15"/>
        <v>2001-Q4</v>
      </c>
      <c r="E150" s="252">
        <v>75600</v>
      </c>
      <c r="F150" s="252">
        <v>66600</v>
      </c>
      <c r="G150" s="252">
        <f t="shared" si="19"/>
        <v>71100</v>
      </c>
      <c r="J150" s="230"/>
      <c r="K150" s="230"/>
      <c r="L150" s="252">
        <f>K147*E150</f>
        <v>115441200000</v>
      </c>
      <c r="M150" s="252">
        <f>K147*F150</f>
        <v>101698200000</v>
      </c>
      <c r="N150" s="252">
        <f t="shared" si="14"/>
        <v>108569700000</v>
      </c>
      <c r="P150" s="252"/>
      <c r="Q150" s="252"/>
      <c r="S150" s="348">
        <f>L150/Q147</f>
        <v>1.9292611594832629</v>
      </c>
      <c r="T150" s="348">
        <f>M150/Q147</f>
        <v>1.6995872119257316</v>
      </c>
      <c r="U150" s="1043">
        <f t="shared" si="16"/>
        <v>1.8144241857044974</v>
      </c>
      <c r="V150" s="2088" t="str">
        <f>Table24568[[#This Row],[Column3]]</f>
        <v>2001-Q4</v>
      </c>
    </row>
    <row r="151" spans="1:22" x14ac:dyDescent="0.3">
      <c r="A151" s="211">
        <f t="shared" si="17"/>
        <v>2002</v>
      </c>
      <c r="B151" s="211" t="str">
        <f t="shared" si="18"/>
        <v>Q1</v>
      </c>
      <c r="C151" s="2088" t="str">
        <f t="shared" si="15"/>
        <v>2002-Q1</v>
      </c>
      <c r="D151" s="211">
        <v>2002</v>
      </c>
      <c r="E151" s="252">
        <v>74900</v>
      </c>
      <c r="F151" s="252">
        <v>69000</v>
      </c>
      <c r="G151" s="252">
        <f t="shared" si="19"/>
        <v>71950</v>
      </c>
      <c r="I151" s="2088">
        <v>37621</v>
      </c>
      <c r="J151" s="230">
        <v>1535000</v>
      </c>
      <c r="K151" s="278">
        <f>AVERAGE(J147,J151)</f>
        <v>1531500</v>
      </c>
      <c r="L151" s="252">
        <f>K151*E151</f>
        <v>114709350000</v>
      </c>
      <c r="M151" s="252">
        <f>K151*F151</f>
        <v>105673500000</v>
      </c>
      <c r="N151" s="252">
        <f t="shared" si="14"/>
        <v>110191425000</v>
      </c>
      <c r="P151" s="252">
        <v>64037000000</v>
      </c>
      <c r="Q151" s="252">
        <f>AVERAGE(P147,P151)</f>
        <v>60993500000</v>
      </c>
      <c r="S151" s="348">
        <f>L151/Q151</f>
        <v>1.8806815480338068</v>
      </c>
      <c r="T151" s="348">
        <f>M151/Q151</f>
        <v>1.7325370736225991</v>
      </c>
      <c r="U151" s="1043">
        <f t="shared" si="16"/>
        <v>1.8066093108282031</v>
      </c>
      <c r="V151" s="2088" t="str">
        <f>Table24568[[#This Row],[Column3]]</f>
        <v>2002-Q1</v>
      </c>
    </row>
    <row r="152" spans="1:22" x14ac:dyDescent="0.3">
      <c r="A152" s="211">
        <f t="shared" si="17"/>
        <v>2002</v>
      </c>
      <c r="B152" s="211" t="str">
        <f t="shared" si="18"/>
        <v>Q2</v>
      </c>
      <c r="C152" s="2088" t="str">
        <f t="shared" si="15"/>
        <v>2002-Q2</v>
      </c>
      <c r="E152" s="252">
        <v>78500</v>
      </c>
      <c r="F152" s="252">
        <v>66500</v>
      </c>
      <c r="G152" s="252">
        <f t="shared" si="19"/>
        <v>72500</v>
      </c>
      <c r="J152" s="230"/>
      <c r="L152" s="252">
        <f>K151*E152</f>
        <v>120222750000</v>
      </c>
      <c r="M152" s="252">
        <f>K151*F152</f>
        <v>101844750000</v>
      </c>
      <c r="N152" s="252">
        <f t="shared" si="14"/>
        <v>111033750000</v>
      </c>
      <c r="P152" s="252"/>
      <c r="Q152" s="252"/>
      <c r="S152" s="348">
        <f>L152/Q151</f>
        <v>1.9710747866575946</v>
      </c>
      <c r="T152" s="348">
        <f>M152/Q151</f>
        <v>1.6697639912449687</v>
      </c>
      <c r="U152" s="1043">
        <f t="shared" si="16"/>
        <v>1.8204193889512816</v>
      </c>
      <c r="V152" s="2088" t="str">
        <f>Table24568[[#This Row],[Column3]]</f>
        <v>2002-Q2</v>
      </c>
    </row>
    <row r="153" spans="1:22" x14ac:dyDescent="0.3">
      <c r="A153" s="211">
        <f t="shared" si="17"/>
        <v>2002</v>
      </c>
      <c r="B153" s="211" t="str">
        <f t="shared" si="18"/>
        <v>Q3</v>
      </c>
      <c r="C153" s="2088" t="str">
        <f t="shared" si="15"/>
        <v>2002-Q3</v>
      </c>
      <c r="E153" s="252">
        <v>75900</v>
      </c>
      <c r="F153" s="252">
        <v>59600</v>
      </c>
      <c r="G153" s="252">
        <f t="shared" si="19"/>
        <v>67750</v>
      </c>
      <c r="J153" s="230"/>
      <c r="L153" s="252">
        <f>K151*E153</f>
        <v>116240850000</v>
      </c>
      <c r="M153" s="252">
        <f>K151*F153</f>
        <v>91277400000</v>
      </c>
      <c r="N153" s="252">
        <f t="shared" si="14"/>
        <v>103759125000</v>
      </c>
      <c r="P153" s="252"/>
      <c r="Q153" s="252"/>
      <c r="S153" s="348">
        <f>L153/Q151</f>
        <v>1.9057907809848591</v>
      </c>
      <c r="T153" s="348">
        <f>M153/Q151</f>
        <v>1.4965102838827089</v>
      </c>
      <c r="U153" s="1043">
        <f t="shared" si="16"/>
        <v>1.7011505324337839</v>
      </c>
      <c r="V153" s="2088" t="str">
        <f>Table24568[[#This Row],[Column3]]</f>
        <v>2002-Q3</v>
      </c>
    </row>
    <row r="154" spans="1:22" x14ac:dyDescent="0.3">
      <c r="A154" s="211">
        <f t="shared" si="17"/>
        <v>2002</v>
      </c>
      <c r="B154" s="211" t="str">
        <f t="shared" si="18"/>
        <v>Q4</v>
      </c>
      <c r="C154" s="2088" t="str">
        <f t="shared" si="15"/>
        <v>2002-Q4</v>
      </c>
      <c r="E154" s="252">
        <v>75000</v>
      </c>
      <c r="F154" s="252">
        <v>67800</v>
      </c>
      <c r="G154" s="252">
        <f t="shared" si="19"/>
        <v>71400</v>
      </c>
      <c r="J154" s="230"/>
      <c r="L154" s="252">
        <f>K151*E154</f>
        <v>114862500000</v>
      </c>
      <c r="M154" s="252">
        <f>K151*F154</f>
        <v>103835700000</v>
      </c>
      <c r="N154" s="252">
        <f t="shared" si="14"/>
        <v>109349100000</v>
      </c>
      <c r="P154" s="252"/>
      <c r="Q154" s="252"/>
      <c r="S154" s="348">
        <f>L154/Q151</f>
        <v>1.8831924713289121</v>
      </c>
      <c r="T154" s="348">
        <f>M154/Q151</f>
        <v>1.7024059940813365</v>
      </c>
      <c r="U154" s="1043">
        <f t="shared" si="16"/>
        <v>1.7927992327051243</v>
      </c>
      <c r="V154" s="2088" t="str">
        <f>Table24568[[#This Row],[Column3]]</f>
        <v>2002-Q4</v>
      </c>
    </row>
    <row r="155" spans="1:22" x14ac:dyDescent="0.3">
      <c r="A155" s="211">
        <f t="shared" si="17"/>
        <v>2003</v>
      </c>
      <c r="B155" s="211" t="str">
        <f t="shared" si="18"/>
        <v>Q1</v>
      </c>
      <c r="C155" s="2088" t="str">
        <f t="shared" si="15"/>
        <v>2003-Q1</v>
      </c>
      <c r="D155" s="211">
        <v>2003</v>
      </c>
      <c r="E155" s="252">
        <v>73005</v>
      </c>
      <c r="F155" s="252">
        <v>60600</v>
      </c>
      <c r="G155" s="252">
        <f t="shared" si="19"/>
        <v>66802.5</v>
      </c>
      <c r="I155" s="2088">
        <v>37986</v>
      </c>
      <c r="J155" s="230">
        <v>1537000</v>
      </c>
      <c r="K155" s="230">
        <f>AVERAGE(J151,J155)</f>
        <v>1536000</v>
      </c>
      <c r="L155" s="252">
        <f>K155*E155</f>
        <v>112135680000</v>
      </c>
      <c r="M155" s="252">
        <f>K155*F155</f>
        <v>93081600000</v>
      </c>
      <c r="N155" s="252">
        <f t="shared" si="14"/>
        <v>102608640000</v>
      </c>
      <c r="P155" s="252">
        <v>77596000000</v>
      </c>
      <c r="Q155" s="252">
        <f>AVERAGE(P151,P155)</f>
        <v>70816500000</v>
      </c>
      <c r="S155" s="348">
        <f>L155/Q155</f>
        <v>1.5834682595157907</v>
      </c>
      <c r="T155" s="348">
        <f>M155/Q155</f>
        <v>1.3144055410815276</v>
      </c>
      <c r="U155" s="1043">
        <f t="shared" si="16"/>
        <v>1.4489369002986592</v>
      </c>
      <c r="V155" s="2088" t="str">
        <f>Table24568[[#This Row],[Column3]]</f>
        <v>2003-Q1</v>
      </c>
    </row>
    <row r="156" spans="1:22" x14ac:dyDescent="0.3">
      <c r="A156" s="211">
        <f t="shared" si="17"/>
        <v>2003</v>
      </c>
      <c r="B156" s="211" t="str">
        <f t="shared" si="18"/>
        <v>Q2</v>
      </c>
      <c r="C156" s="2088" t="str">
        <f t="shared" si="15"/>
        <v>2003-Q2</v>
      </c>
      <c r="E156" s="252">
        <v>75500</v>
      </c>
      <c r="F156" s="252">
        <v>64305</v>
      </c>
      <c r="G156" s="252">
        <f t="shared" si="19"/>
        <v>69902.5</v>
      </c>
      <c r="J156" s="230"/>
      <c r="K156" s="230"/>
      <c r="L156" s="252">
        <f>K155*E156</f>
        <v>115968000000</v>
      </c>
      <c r="M156" s="252">
        <f>K155*F156</f>
        <v>98772480000</v>
      </c>
      <c r="N156" s="252">
        <f t="shared" si="14"/>
        <v>107370240000</v>
      </c>
      <c r="P156" s="252"/>
      <c r="Q156" s="252"/>
      <c r="S156" s="348">
        <f>L156/Q155</f>
        <v>1.6375844612484378</v>
      </c>
      <c r="T156" s="348">
        <f>M156/Q155</f>
        <v>1.3947664739149774</v>
      </c>
      <c r="U156" s="1043">
        <f t="shared" si="16"/>
        <v>1.5161754675817076</v>
      </c>
      <c r="V156" s="2088" t="str">
        <f>Table24568[[#This Row],[Column3]]</f>
        <v>2003-Q2</v>
      </c>
    </row>
    <row r="157" spans="1:22" x14ac:dyDescent="0.3">
      <c r="A157" s="211">
        <f t="shared" si="17"/>
        <v>2003</v>
      </c>
      <c r="B157" s="211" t="str">
        <f t="shared" si="18"/>
        <v>Q3</v>
      </c>
      <c r="C157" s="2088" t="str">
        <f t="shared" si="15"/>
        <v>2003-Q3</v>
      </c>
      <c r="E157" s="252">
        <v>76400</v>
      </c>
      <c r="F157" s="252">
        <v>70900</v>
      </c>
      <c r="G157" s="252">
        <f t="shared" si="19"/>
        <v>73650</v>
      </c>
      <c r="J157" s="230"/>
      <c r="K157" s="230"/>
      <c r="L157" s="252">
        <f>K155*E157</f>
        <v>117350400000</v>
      </c>
      <c r="M157" s="252">
        <f>K155*F157</f>
        <v>108902400000</v>
      </c>
      <c r="N157" s="252">
        <f t="shared" si="14"/>
        <v>113126400000</v>
      </c>
      <c r="P157" s="252"/>
      <c r="Q157" s="252"/>
      <c r="S157" s="348">
        <f>L157/Q155</f>
        <v>1.6571053356209358</v>
      </c>
      <c r="T157" s="348">
        <f>M157/Q155</f>
        <v>1.5378111033445596</v>
      </c>
      <c r="U157" s="1043">
        <f t="shared" si="16"/>
        <v>1.5974582194827476</v>
      </c>
      <c r="V157" s="2088" t="str">
        <f>Table24568[[#This Row],[Column3]]</f>
        <v>2003-Q3</v>
      </c>
    </row>
    <row r="158" spans="1:22" x14ac:dyDescent="0.3">
      <c r="A158" s="211">
        <f t="shared" si="17"/>
        <v>2003</v>
      </c>
      <c r="B158" s="211" t="str">
        <f t="shared" si="18"/>
        <v>Q4</v>
      </c>
      <c r="C158" s="2088" t="str">
        <f t="shared" si="15"/>
        <v>2003-Q4</v>
      </c>
      <c r="E158" s="252">
        <v>84700</v>
      </c>
      <c r="F158" s="252">
        <v>75150</v>
      </c>
      <c r="G158" s="252">
        <f t="shared" si="19"/>
        <v>79925</v>
      </c>
      <c r="J158" s="230"/>
      <c r="K158" s="230"/>
      <c r="L158" s="252">
        <f>K155*E158</f>
        <v>130099200000</v>
      </c>
      <c r="M158" s="252">
        <f>K155*F158</f>
        <v>115430400000</v>
      </c>
      <c r="N158" s="252">
        <f t="shared" si="14"/>
        <v>122764800000</v>
      </c>
      <c r="P158" s="252"/>
      <c r="Q158" s="252"/>
      <c r="S158" s="348">
        <f>L158/Q155</f>
        <v>1.8371311770561944</v>
      </c>
      <c r="T158" s="348">
        <f>M158/Q155</f>
        <v>1.6299930101035776</v>
      </c>
      <c r="U158" s="1043">
        <f t="shared" si="16"/>
        <v>1.7335620935798861</v>
      </c>
      <c r="V158" s="2088" t="str">
        <f>Table24568[[#This Row],[Column3]]</f>
        <v>2003-Q4</v>
      </c>
    </row>
    <row r="159" spans="1:22" x14ac:dyDescent="0.3">
      <c r="A159" s="211">
        <f t="shared" si="17"/>
        <v>2004</v>
      </c>
      <c r="B159" s="211" t="str">
        <f t="shared" si="18"/>
        <v>Q1</v>
      </c>
      <c r="C159" s="2088" t="str">
        <f t="shared" si="15"/>
        <v>2004-Q1</v>
      </c>
      <c r="D159" s="211">
        <v>2004</v>
      </c>
      <c r="E159" s="252">
        <v>95700</v>
      </c>
      <c r="F159" s="252">
        <v>84000</v>
      </c>
      <c r="G159" s="252">
        <f t="shared" si="19"/>
        <v>89850</v>
      </c>
      <c r="I159" s="2088">
        <v>38352</v>
      </c>
      <c r="J159" s="230">
        <v>1539000</v>
      </c>
      <c r="K159" s="230">
        <f>AVERAGE(J155,J159)</f>
        <v>1538000</v>
      </c>
      <c r="L159" s="252">
        <f>K159*E159</f>
        <v>147186600000</v>
      </c>
      <c r="M159" s="252">
        <f>K159*F159</f>
        <v>129192000000</v>
      </c>
      <c r="N159" s="252">
        <f t="shared" si="14"/>
        <v>138189300000</v>
      </c>
      <c r="P159" s="252">
        <v>85900000000</v>
      </c>
      <c r="Q159" s="252">
        <f>AVERAGE(P155,P159)</f>
        <v>81748000000</v>
      </c>
      <c r="S159" s="348">
        <f>L159/Q159</f>
        <v>1.8004917551499731</v>
      </c>
      <c r="T159" s="348">
        <f>M159/Q159</f>
        <v>1.5803689386896316</v>
      </c>
      <c r="U159" s="1043">
        <f t="shared" si="16"/>
        <v>1.6904303469198023</v>
      </c>
      <c r="V159" s="2088" t="str">
        <f>Table24568[[#This Row],[Column3]]</f>
        <v>2004-Q1</v>
      </c>
    </row>
    <row r="160" spans="1:22" x14ac:dyDescent="0.3">
      <c r="A160" s="211">
        <f t="shared" si="17"/>
        <v>2004</v>
      </c>
      <c r="B160" s="211" t="str">
        <f t="shared" si="18"/>
        <v>Q2</v>
      </c>
      <c r="C160" s="2088" t="str">
        <f t="shared" si="15"/>
        <v>2004-Q2</v>
      </c>
      <c r="E160" s="252">
        <v>95650</v>
      </c>
      <c r="F160" s="252">
        <v>85100</v>
      </c>
      <c r="G160" s="252">
        <f t="shared" si="19"/>
        <v>90375</v>
      </c>
      <c r="J160" s="230"/>
      <c r="K160" s="230"/>
      <c r="L160" s="252">
        <f>K159*E160</f>
        <v>147109700000</v>
      </c>
      <c r="M160" s="252">
        <f>K159*F160</f>
        <v>130883800000</v>
      </c>
      <c r="N160" s="252">
        <f t="shared" si="14"/>
        <v>138996750000</v>
      </c>
      <c r="P160" s="252"/>
      <c r="Q160" s="252"/>
      <c r="S160" s="348">
        <f>L160/Q159</f>
        <v>1.7995510593531341</v>
      </c>
      <c r="T160" s="348">
        <f>M160/Q159</f>
        <v>1.601064246220091</v>
      </c>
      <c r="U160" s="1043">
        <f t="shared" si="16"/>
        <v>1.7003076527866126</v>
      </c>
      <c r="V160" s="2088" t="str">
        <f>Table24568[[#This Row],[Column3]]</f>
        <v>2004-Q2</v>
      </c>
    </row>
    <row r="161" spans="1:22" x14ac:dyDescent="0.3">
      <c r="A161" s="211">
        <f t="shared" si="17"/>
        <v>2004</v>
      </c>
      <c r="B161" s="211" t="str">
        <f t="shared" si="18"/>
        <v>Q3</v>
      </c>
      <c r="C161" s="2088" t="str">
        <f t="shared" si="15"/>
        <v>2004-Q3</v>
      </c>
      <c r="E161" s="252">
        <v>90750</v>
      </c>
      <c r="F161" s="252">
        <v>83400</v>
      </c>
      <c r="G161" s="252">
        <f t="shared" si="19"/>
        <v>87075</v>
      </c>
      <c r="J161" s="230"/>
      <c r="K161" s="230"/>
      <c r="L161" s="252">
        <f>K159*E161</f>
        <v>139573500000</v>
      </c>
      <c r="M161" s="252">
        <f>K159*F161</f>
        <v>128269200000</v>
      </c>
      <c r="N161" s="252">
        <f t="shared" si="14"/>
        <v>133921350000</v>
      </c>
      <c r="P161" s="252"/>
      <c r="Q161" s="252"/>
      <c r="S161" s="348">
        <f>L161/Q159</f>
        <v>1.7073628712629054</v>
      </c>
      <c r="T161" s="348">
        <f>M161/Q159</f>
        <v>1.5690805891275628</v>
      </c>
      <c r="U161" s="1043">
        <f t="shared" si="16"/>
        <v>1.6382217301952342</v>
      </c>
      <c r="V161" s="2088" t="str">
        <f>Table24568[[#This Row],[Column3]]</f>
        <v>2004-Q3</v>
      </c>
    </row>
    <row r="162" spans="1:22" x14ac:dyDescent="0.3">
      <c r="A162" s="211">
        <f t="shared" si="17"/>
        <v>2004</v>
      </c>
      <c r="B162" s="211" t="str">
        <f t="shared" si="18"/>
        <v>Q4</v>
      </c>
      <c r="C162" s="2088" t="str">
        <f t="shared" si="15"/>
        <v>2004-Q4</v>
      </c>
      <c r="E162" s="252">
        <v>89500</v>
      </c>
      <c r="F162" s="252">
        <v>81150</v>
      </c>
      <c r="G162" s="252">
        <f>AVERAGE(E162:F162)</f>
        <v>85325</v>
      </c>
      <c r="J162" s="230"/>
      <c r="K162" s="230"/>
      <c r="L162" s="252">
        <f>K159*E162</f>
        <v>137651000000</v>
      </c>
      <c r="M162" s="252">
        <f>K159*F162</f>
        <v>124808700000</v>
      </c>
      <c r="N162" s="252">
        <f>AVERAGE(L162:M162)</f>
        <v>131229850000</v>
      </c>
      <c r="P162" s="252"/>
      <c r="Q162" s="252"/>
      <c r="S162" s="348">
        <f>L162/Q159</f>
        <v>1.6838454763419288</v>
      </c>
      <c r="T162" s="348">
        <f>M162/Q159</f>
        <v>1.5267492782698047</v>
      </c>
      <c r="U162" s="1043">
        <f>AVERAGE(S162:T162)</f>
        <v>1.6052973773058667</v>
      </c>
      <c r="V162" s="2088" t="str">
        <f>Table24568[[#This Row],[Column3]]</f>
        <v>2004-Q4</v>
      </c>
    </row>
    <row r="163" spans="1:22" x14ac:dyDescent="0.3">
      <c r="A163" s="211">
        <f t="shared" si="17"/>
        <v>2005</v>
      </c>
      <c r="B163" s="211" t="str">
        <f t="shared" si="18"/>
        <v>Q1</v>
      </c>
      <c r="C163" s="2088" t="str">
        <f t="shared" si="15"/>
        <v>2005-Q1</v>
      </c>
      <c r="D163" s="211">
        <v>2005</v>
      </c>
      <c r="E163" s="252">
        <v>92000</v>
      </c>
      <c r="F163" s="252">
        <v>84500</v>
      </c>
      <c r="G163" s="252">
        <f t="shared" ref="G163:G202" si="20">AVERAGE(E163:F163)</f>
        <v>88250</v>
      </c>
      <c r="I163" s="2088">
        <v>38717</v>
      </c>
      <c r="J163" s="230">
        <v>1541000</v>
      </c>
      <c r="K163" s="230">
        <f>AVERAGE(J159,J163)</f>
        <v>1540000</v>
      </c>
      <c r="L163" s="252">
        <f>K163*E163</f>
        <v>141680000000</v>
      </c>
      <c r="M163" s="252">
        <f>K163*F163</f>
        <v>130130000000</v>
      </c>
      <c r="N163" s="252">
        <f t="shared" ref="N163:N202" si="21">AVERAGE(L163:M163)</f>
        <v>135905000000</v>
      </c>
      <c r="P163" s="252">
        <v>91484000000</v>
      </c>
      <c r="Q163" s="252">
        <f>AVERAGE(P159,P163)</f>
        <v>88692000000</v>
      </c>
      <c r="S163" s="348">
        <f>L163/Q163</f>
        <v>1.5974383258918505</v>
      </c>
      <c r="T163" s="348">
        <f>M163/Q163</f>
        <v>1.4672123754115365</v>
      </c>
      <c r="U163" s="1043">
        <f t="shared" ref="U163:U202" si="22">AVERAGE(S163:T163)</f>
        <v>1.5323253506516936</v>
      </c>
      <c r="V163" s="2088" t="str">
        <f>Table24568[[#This Row],[Column3]]</f>
        <v>2005-Q1</v>
      </c>
    </row>
    <row r="164" spans="1:22" x14ac:dyDescent="0.3">
      <c r="A164" s="211">
        <f t="shared" si="17"/>
        <v>2005</v>
      </c>
      <c r="B164" s="211" t="str">
        <f t="shared" si="18"/>
        <v>Q2</v>
      </c>
      <c r="C164" s="2088" t="str">
        <f t="shared" si="15"/>
        <v>2005-Q2</v>
      </c>
      <c r="E164" s="252">
        <v>88900</v>
      </c>
      <c r="F164" s="252">
        <v>82000</v>
      </c>
      <c r="G164" s="252">
        <f t="shared" si="20"/>
        <v>85450</v>
      </c>
      <c r="J164" s="230"/>
      <c r="K164" s="230"/>
      <c r="L164" s="252">
        <f>K163*E164</f>
        <v>136906000000</v>
      </c>
      <c r="M164" s="252">
        <f>K163*F164</f>
        <v>126280000000</v>
      </c>
      <c r="N164" s="252">
        <f t="shared" si="21"/>
        <v>131593000000</v>
      </c>
      <c r="P164" s="252"/>
      <c r="Q164" s="252"/>
      <c r="S164" s="348">
        <f>L164/Q163</f>
        <v>1.5436115996933206</v>
      </c>
      <c r="T164" s="348">
        <f>M164/Q163</f>
        <v>1.423803725251432</v>
      </c>
      <c r="U164" s="1043">
        <f t="shared" si="22"/>
        <v>1.4837076624723764</v>
      </c>
      <c r="V164" s="2088" t="str">
        <f>Table24568[[#This Row],[Column3]]</f>
        <v>2005-Q2</v>
      </c>
    </row>
    <row r="165" spans="1:22" x14ac:dyDescent="0.3">
      <c r="A165" s="211">
        <f t="shared" si="17"/>
        <v>2005</v>
      </c>
      <c r="B165" s="211" t="str">
        <f t="shared" si="18"/>
        <v>Q3</v>
      </c>
      <c r="C165" s="2088" t="str">
        <f t="shared" si="15"/>
        <v>2005-Q3</v>
      </c>
      <c r="E165" s="252">
        <v>88450</v>
      </c>
      <c r="F165" s="252">
        <v>78800</v>
      </c>
      <c r="G165" s="252">
        <f t="shared" si="20"/>
        <v>83625</v>
      </c>
      <c r="J165" s="230"/>
      <c r="K165" s="230"/>
      <c r="L165" s="252">
        <f>K163*E165</f>
        <v>136213000000</v>
      </c>
      <c r="M165" s="252">
        <f>K163*F165</f>
        <v>121352000000</v>
      </c>
      <c r="N165" s="252">
        <f t="shared" si="21"/>
        <v>128782500000</v>
      </c>
      <c r="P165" s="252"/>
      <c r="Q165" s="252"/>
      <c r="S165" s="348">
        <f>L165/Q163</f>
        <v>1.5357980426645019</v>
      </c>
      <c r="T165" s="348">
        <f>M165/Q163</f>
        <v>1.3682406530464979</v>
      </c>
      <c r="U165" s="1043">
        <f t="shared" si="22"/>
        <v>1.4520193478554999</v>
      </c>
      <c r="V165" s="2088" t="str">
        <f>Table24568[[#This Row],[Column3]]</f>
        <v>2005-Q3</v>
      </c>
    </row>
    <row r="166" spans="1:22" x14ac:dyDescent="0.3">
      <c r="A166" s="211">
        <f t="shared" si="17"/>
        <v>2005</v>
      </c>
      <c r="B166" s="211" t="str">
        <f t="shared" si="18"/>
        <v>Q4</v>
      </c>
      <c r="C166" s="2088" t="str">
        <f t="shared" si="15"/>
        <v>2005-Q4</v>
      </c>
      <c r="E166" s="252">
        <v>91200</v>
      </c>
      <c r="F166" s="252">
        <v>82100</v>
      </c>
      <c r="G166" s="252">
        <f t="shared" si="20"/>
        <v>86650</v>
      </c>
      <c r="J166" s="230"/>
      <c r="K166" s="230"/>
      <c r="L166" s="252">
        <f>K163*E166</f>
        <v>140448000000</v>
      </c>
      <c r="M166" s="252">
        <f>K163*F166</f>
        <v>126434000000</v>
      </c>
      <c r="N166" s="252">
        <f t="shared" si="21"/>
        <v>133441000000</v>
      </c>
      <c r="P166" s="252"/>
      <c r="Q166" s="252"/>
      <c r="S166" s="348">
        <f>L166/Q163</f>
        <v>1.5835475578406171</v>
      </c>
      <c r="T166" s="348">
        <f>M166/Q163</f>
        <v>1.4255400712578361</v>
      </c>
      <c r="U166" s="1043">
        <f t="shared" si="22"/>
        <v>1.5045438145492267</v>
      </c>
      <c r="V166" s="2088" t="str">
        <f>Table24568[[#This Row],[Column3]]</f>
        <v>2005-Q4</v>
      </c>
    </row>
    <row r="167" spans="1:22" x14ac:dyDescent="0.3">
      <c r="A167" s="211">
        <f t="shared" si="17"/>
        <v>2006</v>
      </c>
      <c r="B167" s="211" t="str">
        <f t="shared" si="18"/>
        <v>Q1</v>
      </c>
      <c r="C167" s="2088" t="str">
        <f t="shared" si="15"/>
        <v>2006-Q1</v>
      </c>
      <c r="D167" s="211">
        <v>2006</v>
      </c>
      <c r="E167" s="252">
        <v>90650</v>
      </c>
      <c r="F167" s="252">
        <v>86200</v>
      </c>
      <c r="G167" s="252">
        <f t="shared" si="20"/>
        <v>88425</v>
      </c>
      <c r="I167" s="2088">
        <v>39082</v>
      </c>
      <c r="J167" s="230">
        <v>1543000</v>
      </c>
      <c r="K167" s="230">
        <f>AVERAGE(J163,J167)</f>
        <v>1542000</v>
      </c>
      <c r="L167" s="252">
        <f>K167*E167</f>
        <v>139782300000</v>
      </c>
      <c r="M167" s="252">
        <f>K167*F167</f>
        <v>132920400000</v>
      </c>
      <c r="N167" s="252">
        <f t="shared" si="21"/>
        <v>136351350000</v>
      </c>
      <c r="P167" s="252">
        <v>108419000000</v>
      </c>
      <c r="Q167" s="252">
        <f>AVERAGE(P163,P167)</f>
        <v>99951500000</v>
      </c>
      <c r="S167" s="348">
        <f>L167/Q167</f>
        <v>1.398501273117462</v>
      </c>
      <c r="T167" s="348">
        <f>M167/Q167</f>
        <v>1.3298489767537256</v>
      </c>
      <c r="U167" s="1043">
        <f t="shared" si="22"/>
        <v>1.3641751249355938</v>
      </c>
      <c r="V167" s="2088" t="str">
        <f>Table24568[[#This Row],[Column3]]</f>
        <v>2006-Q1</v>
      </c>
    </row>
    <row r="168" spans="1:22" x14ac:dyDescent="0.3">
      <c r="A168" s="211">
        <f t="shared" si="17"/>
        <v>2006</v>
      </c>
      <c r="B168" s="211" t="str">
        <f t="shared" si="18"/>
        <v>Q2</v>
      </c>
      <c r="C168" s="2088" t="str">
        <f t="shared" si="15"/>
        <v>2006-Q2</v>
      </c>
      <c r="E168" s="252">
        <v>93100</v>
      </c>
      <c r="F168" s="252">
        <v>85400</v>
      </c>
      <c r="G168" s="252">
        <f t="shared" si="20"/>
        <v>89250</v>
      </c>
      <c r="J168" s="230"/>
      <c r="K168" s="230"/>
      <c r="L168" s="252">
        <f>K167*E168</f>
        <v>143560200000</v>
      </c>
      <c r="M168" s="252">
        <f>K167*F168</f>
        <v>131686800000</v>
      </c>
      <c r="N168" s="252">
        <f t="shared" si="21"/>
        <v>137623500000</v>
      </c>
      <c r="P168" s="252"/>
      <c r="Q168" s="252"/>
      <c r="S168" s="348">
        <f>L168/Q167</f>
        <v>1.4362986048233393</v>
      </c>
      <c r="T168" s="348">
        <f>M168/Q167</f>
        <v>1.3175069908905819</v>
      </c>
      <c r="U168" s="1043">
        <f t="shared" si="22"/>
        <v>1.3769027978569606</v>
      </c>
      <c r="V168" s="2088" t="str">
        <f>Table24568[[#This Row],[Column3]]</f>
        <v>2006-Q2</v>
      </c>
    </row>
    <row r="169" spans="1:22" x14ac:dyDescent="0.3">
      <c r="A169" s="211">
        <f t="shared" si="17"/>
        <v>2006</v>
      </c>
      <c r="B169" s="211" t="str">
        <f t="shared" si="18"/>
        <v>Q3</v>
      </c>
      <c r="C169" s="2088" t="str">
        <f t="shared" si="15"/>
        <v>2006-Q3</v>
      </c>
      <c r="E169" s="252">
        <v>97100</v>
      </c>
      <c r="F169" s="252">
        <v>89400</v>
      </c>
      <c r="G169" s="252">
        <f t="shared" si="20"/>
        <v>93250</v>
      </c>
      <c r="J169" s="230"/>
      <c r="K169" s="230"/>
      <c r="L169" s="252">
        <f>K167*E169</f>
        <v>149728200000</v>
      </c>
      <c r="M169" s="252">
        <f>K167*F169</f>
        <v>137854800000</v>
      </c>
      <c r="N169" s="252">
        <f t="shared" si="21"/>
        <v>143791500000</v>
      </c>
      <c r="P169" s="252"/>
      <c r="Q169" s="252"/>
      <c r="S169" s="348">
        <f>L169/Q167</f>
        <v>1.4980085341390574</v>
      </c>
      <c r="T169" s="348">
        <f>M169/Q167</f>
        <v>1.3792169202063</v>
      </c>
      <c r="U169" s="1043">
        <f t="shared" si="22"/>
        <v>1.4386127271726787</v>
      </c>
      <c r="V169" s="2088" t="str">
        <f>Table24568[[#This Row],[Column3]]</f>
        <v>2006-Q3</v>
      </c>
    </row>
    <row r="170" spans="1:22" x14ac:dyDescent="0.3">
      <c r="A170" s="211">
        <f t="shared" si="17"/>
        <v>2006</v>
      </c>
      <c r="B170" s="211" t="str">
        <f t="shared" si="18"/>
        <v>Q4</v>
      </c>
      <c r="C170" s="2088" t="str">
        <f t="shared" si="15"/>
        <v>2006-Q4</v>
      </c>
      <c r="E170" s="252">
        <v>114500</v>
      </c>
      <c r="F170" s="252">
        <v>95200</v>
      </c>
      <c r="G170" s="252">
        <f t="shared" si="20"/>
        <v>104850</v>
      </c>
      <c r="J170" s="230"/>
      <c r="K170" s="230"/>
      <c r="L170" s="252">
        <f>K167*E170</f>
        <v>176559000000</v>
      </c>
      <c r="M170" s="252">
        <f>K167*F170</f>
        <v>146798400000</v>
      </c>
      <c r="N170" s="252">
        <f t="shared" si="21"/>
        <v>161678700000</v>
      </c>
      <c r="P170" s="252"/>
      <c r="Q170" s="252"/>
      <c r="S170" s="348">
        <f>L170/Q167</f>
        <v>1.7664467266624313</v>
      </c>
      <c r="T170" s="348">
        <f>M170/Q167</f>
        <v>1.4686963177140913</v>
      </c>
      <c r="U170" s="1043">
        <f t="shared" si="22"/>
        <v>1.6175715221882614</v>
      </c>
      <c r="V170" s="2088" t="str">
        <f>Table24568[[#This Row],[Column3]]</f>
        <v>2006-Q4</v>
      </c>
    </row>
    <row r="171" spans="1:22" x14ac:dyDescent="0.3">
      <c r="A171" s="211">
        <f t="shared" si="17"/>
        <v>2007</v>
      </c>
      <c r="B171" s="211" t="str">
        <f t="shared" si="18"/>
        <v>Q1</v>
      </c>
      <c r="C171" s="2088" t="str">
        <f t="shared" si="15"/>
        <v>2007-Q1</v>
      </c>
      <c r="D171" s="211">
        <v>2007</v>
      </c>
      <c r="E171" s="252">
        <v>110700</v>
      </c>
      <c r="F171" s="252">
        <v>103800</v>
      </c>
      <c r="G171" s="252">
        <f t="shared" si="20"/>
        <v>107250</v>
      </c>
      <c r="I171" s="2088">
        <v>39447</v>
      </c>
      <c r="J171" s="230">
        <v>1548000</v>
      </c>
      <c r="K171" s="230">
        <f>AVERAGE(J167,J171)</f>
        <v>1545500</v>
      </c>
      <c r="L171" s="252">
        <f>K171*E171</f>
        <v>171086850000</v>
      </c>
      <c r="M171" s="252">
        <f>K171*F171</f>
        <v>160422900000</v>
      </c>
      <c r="N171" s="252">
        <f t="shared" si="21"/>
        <v>165754875000</v>
      </c>
      <c r="P171" s="252">
        <v>120733000000</v>
      </c>
      <c r="Q171" s="252">
        <f>AVERAGE(P167,P171)</f>
        <v>114576000000</v>
      </c>
      <c r="S171" s="348">
        <f>L171/Q171</f>
        <v>1.4932171658986175</v>
      </c>
      <c r="T171" s="348">
        <f>M171/Q171</f>
        <v>1.4001440092165898</v>
      </c>
      <c r="U171" s="1043">
        <f t="shared" si="22"/>
        <v>1.4466805875576036</v>
      </c>
      <c r="V171" s="2088" t="str">
        <f>Table24568[[#This Row],[Column3]]</f>
        <v>2007-Q1</v>
      </c>
    </row>
    <row r="172" spans="1:22" x14ac:dyDescent="0.3">
      <c r="A172" s="211">
        <f t="shared" si="17"/>
        <v>2007</v>
      </c>
      <c r="B172" s="211" t="str">
        <f t="shared" si="18"/>
        <v>Q2</v>
      </c>
      <c r="C172" s="2088" t="str">
        <f t="shared" si="15"/>
        <v>2007-Q2</v>
      </c>
      <c r="E172" s="252">
        <v>110490</v>
      </c>
      <c r="F172" s="252">
        <v>107200</v>
      </c>
      <c r="G172" s="252">
        <f t="shared" si="20"/>
        <v>108845</v>
      </c>
      <c r="J172" s="230"/>
      <c r="K172" s="230"/>
      <c r="L172" s="252">
        <f>K171*E172</f>
        <v>170762295000</v>
      </c>
      <c r="M172" s="252">
        <f>K171*F172</f>
        <v>165677600000</v>
      </c>
      <c r="N172" s="252">
        <f t="shared" si="21"/>
        <v>168219947500</v>
      </c>
      <c r="P172" s="252"/>
      <c r="Q172" s="252"/>
      <c r="S172" s="348">
        <f>L172/Q171</f>
        <v>1.4903845046082949</v>
      </c>
      <c r="T172" s="348">
        <f>M172/Q171</f>
        <v>1.4460061443932413</v>
      </c>
      <c r="U172" s="1043">
        <f t="shared" si="22"/>
        <v>1.4681953245007682</v>
      </c>
      <c r="V172" s="2088" t="str">
        <f>Table24568[[#This Row],[Column3]]</f>
        <v>2007-Q2</v>
      </c>
    </row>
    <row r="173" spans="1:22" x14ac:dyDescent="0.3">
      <c r="A173" s="211">
        <f t="shared" si="17"/>
        <v>2007</v>
      </c>
      <c r="B173" s="211" t="str">
        <f t="shared" si="18"/>
        <v>Q3</v>
      </c>
      <c r="C173" s="2088" t="str">
        <f t="shared" si="15"/>
        <v>2007-Q3</v>
      </c>
      <c r="E173" s="252">
        <v>120800</v>
      </c>
      <c r="F173" s="252">
        <v>108600</v>
      </c>
      <c r="G173" s="252">
        <f t="shared" si="20"/>
        <v>114700</v>
      </c>
      <c r="J173" s="230"/>
      <c r="K173" s="230"/>
      <c r="L173" s="252">
        <f>K171*E173</f>
        <v>186696400000</v>
      </c>
      <c r="M173" s="252">
        <f>K171*F173</f>
        <v>167841300000</v>
      </c>
      <c r="N173" s="252">
        <f t="shared" si="21"/>
        <v>177268850000</v>
      </c>
      <c r="P173" s="252"/>
      <c r="Q173" s="252"/>
      <c r="S173" s="348">
        <f>L173/Q171</f>
        <v>1.6294546850998464</v>
      </c>
      <c r="T173" s="348">
        <f>M173/Q171</f>
        <v>1.4648905529953917</v>
      </c>
      <c r="U173" s="1043">
        <f t="shared" si="22"/>
        <v>1.5471726190476192</v>
      </c>
      <c r="V173" s="2088" t="str">
        <f>Table24568[[#This Row],[Column3]]</f>
        <v>2007-Q3</v>
      </c>
    </row>
    <row r="174" spans="1:22" x14ac:dyDescent="0.3">
      <c r="A174" s="211">
        <f t="shared" si="17"/>
        <v>2007</v>
      </c>
      <c r="B174" s="211" t="str">
        <f t="shared" si="18"/>
        <v>Q4</v>
      </c>
      <c r="C174" s="2088" t="str">
        <f t="shared" si="15"/>
        <v>2007-Q4</v>
      </c>
      <c r="E174" s="252">
        <v>151560</v>
      </c>
      <c r="F174" s="252">
        <v>118400</v>
      </c>
      <c r="G174" s="252">
        <f t="shared" si="20"/>
        <v>134980</v>
      </c>
      <c r="J174" s="230"/>
      <c r="K174" s="230"/>
      <c r="L174" s="252">
        <f>K171*E174</f>
        <v>234235980000</v>
      </c>
      <c r="M174" s="252">
        <f>K171*F174</f>
        <v>182987200000</v>
      </c>
      <c r="N174" s="252">
        <f t="shared" si="21"/>
        <v>208611590000</v>
      </c>
      <c r="P174" s="252"/>
      <c r="Q174" s="252"/>
      <c r="S174" s="348">
        <f>L174/Q171</f>
        <v>2.0443721198156681</v>
      </c>
      <c r="T174" s="348">
        <f>M174/Q171</f>
        <v>1.5970814132104454</v>
      </c>
      <c r="U174" s="1043">
        <f t="shared" si="22"/>
        <v>1.8207267665130566</v>
      </c>
      <c r="V174" s="2088" t="str">
        <f>Table24568[[#This Row],[Column3]]</f>
        <v>2007-Q4</v>
      </c>
    </row>
    <row r="175" spans="1:22" x14ac:dyDescent="0.3">
      <c r="A175" s="211">
        <f t="shared" si="17"/>
        <v>2008</v>
      </c>
      <c r="B175" s="211" t="str">
        <f t="shared" si="18"/>
        <v>Q1</v>
      </c>
      <c r="C175" s="2088" t="str">
        <f t="shared" si="15"/>
        <v>2008-Q1</v>
      </c>
      <c r="D175" s="211">
        <v>2008</v>
      </c>
      <c r="E175" s="252">
        <v>145900</v>
      </c>
      <c r="F175" s="252">
        <v>126100</v>
      </c>
      <c r="G175" s="252">
        <f t="shared" si="20"/>
        <v>136000</v>
      </c>
      <c r="I175" s="2088">
        <v>39813</v>
      </c>
      <c r="J175" s="230">
        <v>1549000</v>
      </c>
      <c r="K175" s="230">
        <f>AVERAGE(J171,J175)</f>
        <v>1548500</v>
      </c>
      <c r="L175" s="252">
        <f>K175*E175</f>
        <v>225926150000</v>
      </c>
      <c r="M175" s="252">
        <f>K175*F175</f>
        <v>195265850000</v>
      </c>
      <c r="N175" s="252">
        <f t="shared" si="21"/>
        <v>210596000000</v>
      </c>
      <c r="P175" s="252">
        <v>109267000000</v>
      </c>
      <c r="Q175" s="252">
        <f>AVERAGE(P171,P175)</f>
        <v>115000000000</v>
      </c>
      <c r="S175" s="348">
        <f>L175/Q175</f>
        <v>1.9645752173913043</v>
      </c>
      <c r="T175" s="348">
        <f>M175/Q175</f>
        <v>1.6979639130434783</v>
      </c>
      <c r="U175" s="1043">
        <f t="shared" si="22"/>
        <v>1.8312695652173914</v>
      </c>
      <c r="V175" s="2088" t="str">
        <f>Table24568[[#This Row],[Column3]]</f>
        <v>2008-Q1</v>
      </c>
    </row>
    <row r="176" spans="1:22" x14ac:dyDescent="0.3">
      <c r="A176" s="211">
        <f t="shared" si="17"/>
        <v>2008</v>
      </c>
      <c r="B176" s="211" t="str">
        <f t="shared" si="18"/>
        <v>Q2</v>
      </c>
      <c r="C176" s="2088" t="str">
        <f t="shared" si="15"/>
        <v>2008-Q2</v>
      </c>
      <c r="E176" s="252">
        <v>135500</v>
      </c>
      <c r="F176" s="252">
        <v>119450</v>
      </c>
      <c r="G176" s="252">
        <f t="shared" si="20"/>
        <v>127475</v>
      </c>
      <c r="J176" s="230"/>
      <c r="K176" s="230"/>
      <c r="L176" s="252">
        <f>K175*E176</f>
        <v>209821750000</v>
      </c>
      <c r="M176" s="252">
        <f>K175*F176</f>
        <v>184968325000</v>
      </c>
      <c r="N176" s="252">
        <f t="shared" si="21"/>
        <v>197395037500</v>
      </c>
      <c r="P176" s="252"/>
      <c r="Q176" s="252"/>
      <c r="S176" s="348">
        <f>L176/Q175</f>
        <v>1.8245369565217391</v>
      </c>
      <c r="T176" s="348">
        <f>M176/Q175</f>
        <v>1.6084202173913043</v>
      </c>
      <c r="U176" s="1043">
        <f t="shared" si="22"/>
        <v>1.7164785869565216</v>
      </c>
      <c r="V176" s="2088" t="str">
        <f>Table24568[[#This Row],[Column3]]</f>
        <v>2008-Q2</v>
      </c>
    </row>
    <row r="177" spans="1:22" x14ac:dyDescent="0.3">
      <c r="A177" s="211">
        <f t="shared" si="17"/>
        <v>2008</v>
      </c>
      <c r="B177" s="211" t="str">
        <f t="shared" si="18"/>
        <v>Q3</v>
      </c>
      <c r="C177" s="2088" t="str">
        <f t="shared" si="15"/>
        <v>2008-Q3</v>
      </c>
      <c r="E177" s="252">
        <v>147000</v>
      </c>
      <c r="F177" s="252">
        <v>111000</v>
      </c>
      <c r="G177" s="252">
        <f t="shared" si="20"/>
        <v>129000</v>
      </c>
      <c r="J177" s="230"/>
      <c r="K177" s="230"/>
      <c r="L177" s="252">
        <f>K175*E177</f>
        <v>227629500000</v>
      </c>
      <c r="M177" s="252">
        <f>K175*F177</f>
        <v>171883500000</v>
      </c>
      <c r="N177" s="252">
        <f t="shared" si="21"/>
        <v>199756500000</v>
      </c>
      <c r="P177" s="252"/>
      <c r="Q177" s="252"/>
      <c r="S177" s="348">
        <f>L177/Q175</f>
        <v>1.9793869565217392</v>
      </c>
      <c r="T177" s="348">
        <f>M177/Q175</f>
        <v>1.4946391304347826</v>
      </c>
      <c r="U177" s="1043">
        <f t="shared" si="22"/>
        <v>1.7370130434782609</v>
      </c>
      <c r="V177" s="2088" t="str">
        <f>Table24568[[#This Row],[Column3]]</f>
        <v>2008-Q3</v>
      </c>
    </row>
    <row r="178" spans="1:22" x14ac:dyDescent="0.3">
      <c r="A178" s="211">
        <f t="shared" si="17"/>
        <v>2008</v>
      </c>
      <c r="B178" s="211" t="str">
        <f t="shared" si="18"/>
        <v>Q4</v>
      </c>
      <c r="C178" s="2088" t="str">
        <f t="shared" si="15"/>
        <v>2008-Q4</v>
      </c>
      <c r="E178" s="252">
        <v>115750</v>
      </c>
      <c r="F178" s="252">
        <v>74100</v>
      </c>
      <c r="G178" s="252">
        <f t="shared" si="20"/>
        <v>94925</v>
      </c>
      <c r="J178" s="230"/>
      <c r="K178" s="230"/>
      <c r="L178" s="252">
        <f>K175*E178</f>
        <v>179238875000</v>
      </c>
      <c r="M178" s="252">
        <f>K175*F178</f>
        <v>114743850000</v>
      </c>
      <c r="N178" s="252">
        <f t="shared" si="21"/>
        <v>146991362500</v>
      </c>
      <c r="P178" s="252"/>
      <c r="Q178" s="252"/>
      <c r="S178" s="348">
        <f>L178/Q175</f>
        <v>1.5585989130434783</v>
      </c>
      <c r="T178" s="348">
        <f>M178/Q175</f>
        <v>0.99777260869565221</v>
      </c>
      <c r="U178" s="1043">
        <f t="shared" si="22"/>
        <v>1.2781857608695653</v>
      </c>
      <c r="V178" s="2088" t="str">
        <f>Table24568[[#This Row],[Column3]]</f>
        <v>2008-Q4</v>
      </c>
    </row>
    <row r="179" spans="1:22" x14ac:dyDescent="0.3">
      <c r="A179" s="211">
        <f t="shared" si="17"/>
        <v>2009</v>
      </c>
      <c r="B179" s="211" t="str">
        <f t="shared" si="18"/>
        <v>Q1</v>
      </c>
      <c r="C179" s="2088" t="str">
        <f t="shared" si="15"/>
        <v>2009-Q1</v>
      </c>
      <c r="D179" s="211">
        <v>2009</v>
      </c>
      <c r="E179" s="252">
        <v>102600</v>
      </c>
      <c r="F179" s="252">
        <v>70050</v>
      </c>
      <c r="G179" s="252">
        <f t="shared" si="20"/>
        <v>86325</v>
      </c>
      <c r="I179" s="2088">
        <v>40178</v>
      </c>
      <c r="J179" s="230">
        <v>1552000</v>
      </c>
      <c r="K179" s="230">
        <f>AVERAGE(J175,J179)</f>
        <v>1550500</v>
      </c>
      <c r="L179" s="252">
        <f>K179*E179</f>
        <v>159081300000</v>
      </c>
      <c r="M179" s="252">
        <f>K179*F179</f>
        <v>108612525000</v>
      </c>
      <c r="N179" s="252">
        <f t="shared" si="21"/>
        <v>133846912500</v>
      </c>
      <c r="P179" s="252">
        <v>131102000000</v>
      </c>
      <c r="Q179" s="252">
        <f>AVERAGE(P175,P179)</f>
        <v>120184500000</v>
      </c>
      <c r="S179" s="348">
        <f>L179/Q179</f>
        <v>1.3236423998102917</v>
      </c>
      <c r="T179" s="348">
        <f>M179/Q179</f>
        <v>0.90371491332076936</v>
      </c>
      <c r="U179" s="1043">
        <f t="shared" si="22"/>
        <v>1.1136786565655306</v>
      </c>
      <c r="V179" s="2088" t="str">
        <f>Table24568[[#This Row],[Column3]]</f>
        <v>2009-Q1</v>
      </c>
    </row>
    <row r="180" spans="1:22" x14ac:dyDescent="0.3">
      <c r="A180" s="211">
        <f t="shared" si="17"/>
        <v>2009</v>
      </c>
      <c r="B180" s="211" t="str">
        <f t="shared" si="18"/>
        <v>Q2</v>
      </c>
      <c r="C180" s="2088" t="str">
        <f t="shared" si="15"/>
        <v>2009-Q2</v>
      </c>
      <c r="E180" s="252">
        <v>95500</v>
      </c>
      <c r="F180" s="252">
        <v>83957</v>
      </c>
      <c r="G180" s="252">
        <f t="shared" si="20"/>
        <v>89728.5</v>
      </c>
      <c r="J180" s="230"/>
      <c r="K180" s="230"/>
      <c r="L180" s="252">
        <f>K179*E180</f>
        <v>148072750000</v>
      </c>
      <c r="M180" s="252">
        <f>K179*F180</f>
        <v>130175328500</v>
      </c>
      <c r="N180" s="252">
        <f t="shared" si="21"/>
        <v>139124039250</v>
      </c>
      <c r="P180" s="252"/>
      <c r="Q180" s="252"/>
      <c r="S180" s="348">
        <f>L180/Q179</f>
        <v>1.2320453136635756</v>
      </c>
      <c r="T180" s="348">
        <f>M180/Q179</f>
        <v>1.0831290931858935</v>
      </c>
      <c r="U180" s="1043">
        <f t="shared" si="22"/>
        <v>1.1575872034247345</v>
      </c>
      <c r="V180" s="2088" t="str">
        <f>Table24568[[#This Row],[Column3]]</f>
        <v>2009-Q2</v>
      </c>
    </row>
    <row r="181" spans="1:22" x14ac:dyDescent="0.3">
      <c r="A181" s="211">
        <f t="shared" si="17"/>
        <v>2009</v>
      </c>
      <c r="B181" s="211" t="str">
        <f t="shared" si="18"/>
        <v>Q3</v>
      </c>
      <c r="C181" s="2088" t="str">
        <f t="shared" si="15"/>
        <v>2009-Q3</v>
      </c>
      <c r="E181" s="252">
        <v>108450</v>
      </c>
      <c r="F181" s="252">
        <v>84600</v>
      </c>
      <c r="G181" s="252">
        <f t="shared" si="20"/>
        <v>96525</v>
      </c>
      <c r="J181" s="230"/>
      <c r="K181" s="230"/>
      <c r="L181" s="252">
        <f>K179*E181</f>
        <v>168151725000</v>
      </c>
      <c r="M181" s="252">
        <f>K179*F181</f>
        <v>131172300000</v>
      </c>
      <c r="N181" s="252">
        <f t="shared" si="21"/>
        <v>149662012500</v>
      </c>
      <c r="P181" s="252"/>
      <c r="Q181" s="252"/>
      <c r="S181" s="348">
        <f>L181/Q179</f>
        <v>1.3991132383959661</v>
      </c>
      <c r="T181" s="348">
        <f>M181/Q179</f>
        <v>1.0914244349312932</v>
      </c>
      <c r="U181" s="1043">
        <f t="shared" si="22"/>
        <v>1.2452688366636298</v>
      </c>
      <c r="V181" s="2088" t="str">
        <f>Table24568[[#This Row],[Column3]]</f>
        <v>2009-Q3</v>
      </c>
    </row>
    <row r="182" spans="1:22" x14ac:dyDescent="0.3">
      <c r="A182" s="211">
        <f t="shared" si="17"/>
        <v>2009</v>
      </c>
      <c r="B182" s="211" t="str">
        <f t="shared" si="18"/>
        <v>Q4</v>
      </c>
      <c r="C182" s="2088" t="str">
        <f t="shared" si="15"/>
        <v>2009-Q4</v>
      </c>
      <c r="E182" s="252">
        <v>105980</v>
      </c>
      <c r="F182" s="252">
        <v>97870</v>
      </c>
      <c r="G182" s="252">
        <f t="shared" si="20"/>
        <v>101925</v>
      </c>
      <c r="J182" s="230"/>
      <c r="K182" s="230"/>
      <c r="L182" s="252">
        <f>K179*E182</f>
        <v>164321990000</v>
      </c>
      <c r="M182" s="252">
        <f>K179*F182</f>
        <v>151747435000</v>
      </c>
      <c r="N182" s="252">
        <f t="shared" si="21"/>
        <v>158034712500</v>
      </c>
      <c r="P182" s="252"/>
      <c r="Q182" s="252"/>
      <c r="S182" s="348">
        <f>L182/Q179</f>
        <v>1.3672477732153481</v>
      </c>
      <c r="T182" s="348">
        <f>M182/Q179</f>
        <v>1.2626206790393104</v>
      </c>
      <c r="U182" s="1043">
        <f t="shared" si="22"/>
        <v>1.3149342261273294</v>
      </c>
      <c r="V182" s="2088" t="str">
        <f>Table24568[[#This Row],[Column3]]</f>
        <v>2009-Q4</v>
      </c>
    </row>
    <row r="183" spans="1:22" x14ac:dyDescent="0.3">
      <c r="A183" s="211">
        <f t="shared" si="17"/>
        <v>2010</v>
      </c>
      <c r="B183" s="211" t="str">
        <f t="shared" si="18"/>
        <v>Q1</v>
      </c>
      <c r="C183" s="2088" t="str">
        <f t="shared" si="15"/>
        <v>2010-Q1</v>
      </c>
      <c r="D183" s="211">
        <v>2010</v>
      </c>
      <c r="E183" s="252">
        <v>125252</v>
      </c>
      <c r="F183" s="252">
        <v>97205</v>
      </c>
      <c r="G183" s="252">
        <f t="shared" si="20"/>
        <v>111228.5</v>
      </c>
      <c r="I183" s="2088">
        <v>40543</v>
      </c>
      <c r="J183" s="230">
        <v>1648000</v>
      </c>
      <c r="K183" s="230">
        <f>AVERAGE(J179,J183)</f>
        <v>1600000</v>
      </c>
      <c r="L183" s="252">
        <f>K183*E183</f>
        <v>200403200000</v>
      </c>
      <c r="M183" s="252">
        <f>K183*F183</f>
        <v>155528000000</v>
      </c>
      <c r="N183" s="252">
        <f t="shared" si="21"/>
        <v>177965600000</v>
      </c>
      <c r="P183" s="252">
        <v>157318000000</v>
      </c>
      <c r="Q183" s="252">
        <f>AVERAGE(P179,P183)</f>
        <v>144210000000</v>
      </c>
      <c r="S183" s="348">
        <f>L183/Q183</f>
        <v>1.3896622980375841</v>
      </c>
      <c r="T183" s="348">
        <f>M183/Q183</f>
        <v>1.0784827681852853</v>
      </c>
      <c r="U183" s="1043">
        <f t="shared" si="22"/>
        <v>1.2340725331114348</v>
      </c>
      <c r="V183" s="2088" t="str">
        <f>Table24568[[#This Row],[Column3]]</f>
        <v>2010-Q1</v>
      </c>
    </row>
    <row r="184" spans="1:22" x14ac:dyDescent="0.3">
      <c r="A184" s="211">
        <f t="shared" si="17"/>
        <v>2010</v>
      </c>
      <c r="B184" s="211" t="str">
        <f t="shared" si="18"/>
        <v>Q2</v>
      </c>
      <c r="C184" s="2088" t="str">
        <f t="shared" si="15"/>
        <v>2010-Q2</v>
      </c>
      <c r="E184" s="252">
        <v>122908</v>
      </c>
      <c r="F184" s="252">
        <v>102751</v>
      </c>
      <c r="G184" s="252">
        <f t="shared" si="20"/>
        <v>112829.5</v>
      </c>
      <c r="J184" s="230"/>
      <c r="K184" s="230"/>
      <c r="L184" s="252">
        <f>K183*E184</f>
        <v>196652800000</v>
      </c>
      <c r="M184" s="252">
        <f>K183*F184</f>
        <v>164401600000</v>
      </c>
      <c r="N184" s="252">
        <f t="shared" si="21"/>
        <v>180527200000</v>
      </c>
      <c r="P184" s="252"/>
      <c r="Q184" s="252"/>
      <c r="S184" s="348">
        <f>L184/Q183</f>
        <v>1.3636557797656197</v>
      </c>
      <c r="T184" s="348">
        <f>M184/Q183</f>
        <v>1.1400152555301297</v>
      </c>
      <c r="U184" s="1043">
        <f t="shared" si="22"/>
        <v>1.2518355176478746</v>
      </c>
      <c r="V184" s="2088" t="str">
        <f>Table24568[[#This Row],[Column3]]</f>
        <v>2010-Q2</v>
      </c>
    </row>
    <row r="185" spans="1:22" x14ac:dyDescent="0.3">
      <c r="A185" s="211">
        <f t="shared" si="17"/>
        <v>2010</v>
      </c>
      <c r="B185" s="211" t="str">
        <f t="shared" si="18"/>
        <v>Q3</v>
      </c>
      <c r="C185" s="2088" t="str">
        <f t="shared" si="15"/>
        <v>2010-Q3</v>
      </c>
      <c r="E185" s="252">
        <v>128730</v>
      </c>
      <c r="F185" s="252">
        <v>113622</v>
      </c>
      <c r="G185" s="252">
        <f t="shared" si="20"/>
        <v>121176</v>
      </c>
      <c r="J185" s="230"/>
      <c r="K185" s="230"/>
      <c r="L185" s="252">
        <f>K183*E185</f>
        <v>205968000000</v>
      </c>
      <c r="M185" s="252">
        <f>K183*F185</f>
        <v>181795200000</v>
      </c>
      <c r="N185" s="252">
        <f t="shared" si="21"/>
        <v>193881600000</v>
      </c>
      <c r="P185" s="252"/>
      <c r="Q185" s="252"/>
      <c r="S185" s="348">
        <f>L185/Q183</f>
        <v>1.4282504680674017</v>
      </c>
      <c r="T185" s="348">
        <f>M185/Q183</f>
        <v>1.2606282504680675</v>
      </c>
      <c r="U185" s="1043">
        <f t="shared" si="22"/>
        <v>1.3444393592677346</v>
      </c>
      <c r="V185" s="2088" t="str">
        <f>Table24568[[#This Row],[Column3]]</f>
        <v>2010-Q3</v>
      </c>
    </row>
    <row r="186" spans="1:22" x14ac:dyDescent="0.3">
      <c r="A186" s="211">
        <f t="shared" si="17"/>
        <v>2010</v>
      </c>
      <c r="B186" s="211" t="str">
        <f t="shared" si="18"/>
        <v>Q4</v>
      </c>
      <c r="C186" s="2088" t="str">
        <f t="shared" si="15"/>
        <v>2010-Q4</v>
      </c>
      <c r="E186" s="252">
        <v>126568</v>
      </c>
      <c r="F186" s="252">
        <v>118201</v>
      </c>
      <c r="G186" s="252">
        <f t="shared" si="20"/>
        <v>122384.5</v>
      </c>
      <c r="J186" s="230"/>
      <c r="K186" s="230"/>
      <c r="L186" s="252">
        <f>K183*E186</f>
        <v>202508800000</v>
      </c>
      <c r="M186" s="252">
        <f>K183*F186</f>
        <v>189121600000</v>
      </c>
      <c r="N186" s="252">
        <f t="shared" si="21"/>
        <v>195815200000</v>
      </c>
      <c r="P186" s="252"/>
      <c r="Q186" s="252"/>
      <c r="S186" s="348">
        <f>L186/Q183</f>
        <v>1.4042632272380555</v>
      </c>
      <c r="T186" s="348">
        <f>M186/Q183</f>
        <v>1.3114319395326259</v>
      </c>
      <c r="U186" s="1043">
        <f t="shared" si="22"/>
        <v>1.3578475833853407</v>
      </c>
      <c r="V186" s="2088" t="str">
        <f>Table24568[[#This Row],[Column3]]</f>
        <v>2010-Q4</v>
      </c>
    </row>
    <row r="187" spans="1:22" x14ac:dyDescent="0.3">
      <c r="A187" s="211">
        <f t="shared" si="17"/>
        <v>2011</v>
      </c>
      <c r="B187" s="211" t="str">
        <f t="shared" si="18"/>
        <v>Q1</v>
      </c>
      <c r="C187" s="2088" t="str">
        <f t="shared" si="15"/>
        <v>2011-Q1</v>
      </c>
      <c r="D187" s="211">
        <v>2011</v>
      </c>
      <c r="E187" s="252">
        <v>131463</v>
      </c>
      <c r="F187" s="252">
        <v>118792</v>
      </c>
      <c r="G187" s="252">
        <f t="shared" si="20"/>
        <v>125127.5</v>
      </c>
      <c r="I187" s="2088">
        <v>40908</v>
      </c>
      <c r="J187" s="230">
        <v>1651000</v>
      </c>
      <c r="K187" s="230">
        <f>AVERAGE(J183,J187)</f>
        <v>1649500</v>
      </c>
      <c r="L187" s="252">
        <f>K187*E187</f>
        <v>216848218500</v>
      </c>
      <c r="M187" s="252">
        <f>K187*F187</f>
        <v>195947404000</v>
      </c>
      <c r="N187" s="252">
        <f t="shared" si="21"/>
        <v>206397811250</v>
      </c>
      <c r="P187" s="252">
        <v>164850000000</v>
      </c>
      <c r="Q187" s="252">
        <f>AVERAGE(P183,P187)</f>
        <v>161084000000</v>
      </c>
      <c r="S187" s="348">
        <f>L187/Q187</f>
        <v>1.3461809894216683</v>
      </c>
      <c r="T187" s="348">
        <f>M187/Q187</f>
        <v>1.2164299620073999</v>
      </c>
      <c r="U187" s="1043">
        <f t="shared" si="22"/>
        <v>1.2813054757145341</v>
      </c>
      <c r="V187" s="2088" t="str">
        <f>Table24568[[#This Row],[Column3]]</f>
        <v>2011-Q1</v>
      </c>
    </row>
    <row r="188" spans="1:22" x14ac:dyDescent="0.3">
      <c r="A188" s="211">
        <f t="shared" si="17"/>
        <v>2011</v>
      </c>
      <c r="B188" s="211" t="str">
        <f t="shared" si="18"/>
        <v>Q2</v>
      </c>
      <c r="C188" s="2088" t="str">
        <f t="shared" si="15"/>
        <v>2011-Q2</v>
      </c>
      <c r="E188" s="252">
        <v>126100</v>
      </c>
      <c r="F188" s="252">
        <v>109925</v>
      </c>
      <c r="G188" s="252">
        <f t="shared" si="20"/>
        <v>118012.5</v>
      </c>
      <c r="J188" s="230"/>
      <c r="K188" s="230"/>
      <c r="L188" s="252">
        <f>K187*E188</f>
        <v>208001950000</v>
      </c>
      <c r="M188" s="252">
        <f>K187*F188</f>
        <v>181321287500</v>
      </c>
      <c r="N188" s="252">
        <f t="shared" si="21"/>
        <v>194661618750</v>
      </c>
      <c r="P188" s="252"/>
      <c r="Q188" s="252"/>
      <c r="S188" s="348">
        <f>L188/Q187</f>
        <v>1.2912638747485783</v>
      </c>
      <c r="T188" s="348">
        <f>M188/Q187</f>
        <v>1.1256318908147303</v>
      </c>
      <c r="U188" s="1043">
        <f t="shared" si="22"/>
        <v>1.2084478827816543</v>
      </c>
      <c r="V188" s="2088" t="str">
        <f>Table24568[[#This Row],[Column3]]</f>
        <v>2011-Q2</v>
      </c>
    </row>
    <row r="189" spans="1:22" x14ac:dyDescent="0.3">
      <c r="A189" s="211">
        <f t="shared" si="17"/>
        <v>2011</v>
      </c>
      <c r="B189" s="211" t="str">
        <f t="shared" si="18"/>
        <v>Q3</v>
      </c>
      <c r="C189" s="2088" t="str">
        <f t="shared" si="15"/>
        <v>2011-Q3</v>
      </c>
      <c r="E189" s="252">
        <v>117250</v>
      </c>
      <c r="F189" s="252">
        <v>98952</v>
      </c>
      <c r="G189" s="252">
        <f t="shared" si="20"/>
        <v>108101</v>
      </c>
      <c r="J189" s="230"/>
      <c r="K189" s="230"/>
      <c r="L189" s="252">
        <f>K187*E189</f>
        <v>193403875000</v>
      </c>
      <c r="M189" s="252">
        <f>K187*F189</f>
        <v>163221324000</v>
      </c>
      <c r="N189" s="252">
        <f t="shared" si="21"/>
        <v>178312599500</v>
      </c>
      <c r="P189" s="252"/>
      <c r="Q189" s="252"/>
      <c r="S189" s="348">
        <f>L189/Q187</f>
        <v>1.2006398835390231</v>
      </c>
      <c r="T189" s="348">
        <f>M189/Q187</f>
        <v>1.0132683817138883</v>
      </c>
      <c r="U189" s="1043">
        <f t="shared" si="22"/>
        <v>1.1069541326264556</v>
      </c>
      <c r="V189" s="2088" t="str">
        <f>Table24568[[#This Row],[Column3]]</f>
        <v>2011-Q3</v>
      </c>
    </row>
    <row r="190" spans="1:22" x14ac:dyDescent="0.3">
      <c r="A190" s="211">
        <f t="shared" si="17"/>
        <v>2011</v>
      </c>
      <c r="B190" s="211" t="str">
        <f t="shared" si="18"/>
        <v>Q4</v>
      </c>
      <c r="C190" s="2088" t="str">
        <f t="shared" si="15"/>
        <v>2011-Q4</v>
      </c>
      <c r="E190" s="252">
        <v>120755</v>
      </c>
      <c r="F190" s="252">
        <v>104701</v>
      </c>
      <c r="G190" s="252">
        <f t="shared" si="20"/>
        <v>112728</v>
      </c>
      <c r="J190" s="230"/>
      <c r="K190" s="230"/>
      <c r="L190" s="252">
        <f>K187*E190</f>
        <v>199185372500</v>
      </c>
      <c r="M190" s="252">
        <f>K187*F190</f>
        <v>172704299500</v>
      </c>
      <c r="N190" s="252">
        <f t="shared" si="21"/>
        <v>185944836000</v>
      </c>
      <c r="P190" s="252"/>
      <c r="Q190" s="252"/>
      <c r="S190" s="348">
        <f>L190/Q187</f>
        <v>1.2365310800576097</v>
      </c>
      <c r="T190" s="348">
        <f>M190/Q187</f>
        <v>1.0721381360035758</v>
      </c>
      <c r="U190" s="1043">
        <f t="shared" si="22"/>
        <v>1.1543346080305927</v>
      </c>
      <c r="V190" s="2088" t="str">
        <f>Table24568[[#This Row],[Column3]]</f>
        <v>2011-Q4</v>
      </c>
    </row>
    <row r="191" spans="1:22" x14ac:dyDescent="0.3">
      <c r="A191" s="211">
        <f t="shared" si="17"/>
        <v>2012</v>
      </c>
      <c r="B191" s="211" t="str">
        <f t="shared" si="18"/>
        <v>Q1</v>
      </c>
      <c r="C191" s="2088" t="str">
        <f t="shared" si="15"/>
        <v>2012-Q1</v>
      </c>
      <c r="D191" s="211">
        <v>2012</v>
      </c>
      <c r="E191" s="252">
        <v>123578</v>
      </c>
      <c r="F191" s="252">
        <v>113855</v>
      </c>
      <c r="G191" s="252">
        <f t="shared" si="20"/>
        <v>118716.5</v>
      </c>
      <c r="I191" s="2088">
        <v>41274</v>
      </c>
      <c r="J191" s="230">
        <v>1643000</v>
      </c>
      <c r="K191" s="230">
        <f>AVERAGE(J187,J191)</f>
        <v>1647000</v>
      </c>
      <c r="L191" s="252">
        <f>K191*E191</f>
        <v>203532966000</v>
      </c>
      <c r="M191" s="252">
        <f>K191*F191</f>
        <v>187519185000</v>
      </c>
      <c r="N191" s="252">
        <f t="shared" si="21"/>
        <v>195526075500</v>
      </c>
      <c r="P191" s="252">
        <v>187647000000</v>
      </c>
      <c r="Q191" s="252">
        <f>AVERAGE(P187,P191)</f>
        <v>176248500000</v>
      </c>
      <c r="S191" s="348">
        <f>L191/Q191</f>
        <v>1.1548067983557306</v>
      </c>
      <c r="T191" s="348">
        <f>M191/Q191</f>
        <v>1.0639476931718568</v>
      </c>
      <c r="U191" s="1043">
        <f t="shared" si="22"/>
        <v>1.1093772457637936</v>
      </c>
      <c r="V191" s="2088" t="str">
        <f>Table24568[[#This Row],[Column3]]</f>
        <v>2012-Q1</v>
      </c>
    </row>
    <row r="192" spans="1:22" x14ac:dyDescent="0.3">
      <c r="A192" s="211">
        <f t="shared" si="17"/>
        <v>2012</v>
      </c>
      <c r="B192" s="211" t="str">
        <f t="shared" si="18"/>
        <v>Q2</v>
      </c>
      <c r="C192" s="2088" t="str">
        <f t="shared" si="15"/>
        <v>2012-Q2</v>
      </c>
      <c r="E192" s="252">
        <v>124950</v>
      </c>
      <c r="F192" s="252">
        <v>117551</v>
      </c>
      <c r="G192" s="252">
        <f t="shared" si="20"/>
        <v>121250.5</v>
      </c>
      <c r="J192" s="230"/>
      <c r="K192" s="230"/>
      <c r="L192" s="252">
        <f>K191*E192</f>
        <v>205792650000</v>
      </c>
      <c r="M192" s="252">
        <f>K191*F192</f>
        <v>193606497000</v>
      </c>
      <c r="N192" s="252">
        <f t="shared" si="21"/>
        <v>199699573500</v>
      </c>
      <c r="P192" s="252"/>
      <c r="Q192" s="252"/>
      <c r="S192" s="348">
        <f>L192/Q191</f>
        <v>1.1676278095983796</v>
      </c>
      <c r="T192" s="348">
        <f>M192/Q191</f>
        <v>1.0984859275398089</v>
      </c>
      <c r="U192" s="1043">
        <f t="shared" si="22"/>
        <v>1.1330568685690943</v>
      </c>
      <c r="V192" s="2088" t="str">
        <f>Table24568[[#This Row],[Column3]]</f>
        <v>2012-Q2</v>
      </c>
    </row>
    <row r="193" spans="1:22" x14ac:dyDescent="0.3">
      <c r="A193" s="211">
        <f t="shared" si="17"/>
        <v>2012</v>
      </c>
      <c r="B193" s="211" t="str">
        <f t="shared" si="18"/>
        <v>Q3</v>
      </c>
      <c r="C193" s="2088" t="str">
        <f t="shared" si="15"/>
        <v>2012-Q3</v>
      </c>
      <c r="E193" s="252">
        <v>134892</v>
      </c>
      <c r="F193" s="252">
        <v>123227</v>
      </c>
      <c r="G193" s="252">
        <f t="shared" si="20"/>
        <v>129059.5</v>
      </c>
      <c r="J193" s="230"/>
      <c r="K193" s="230"/>
      <c r="L193" s="252">
        <f>K191*E193</f>
        <v>222167124000</v>
      </c>
      <c r="M193" s="252">
        <f>K191*F193</f>
        <v>202954869000</v>
      </c>
      <c r="N193" s="252">
        <f t="shared" si="21"/>
        <v>212560996500</v>
      </c>
      <c r="P193" s="252"/>
      <c r="Q193" s="252"/>
      <c r="S193" s="348">
        <f>L193/Q191</f>
        <v>1.2605334173056792</v>
      </c>
      <c r="T193" s="348">
        <f>M193/Q191</f>
        <v>1.151526787462021</v>
      </c>
      <c r="U193" s="1043">
        <f t="shared" si="22"/>
        <v>1.20603010238385</v>
      </c>
      <c r="V193" s="2088" t="str">
        <f>Table24568[[#This Row],[Column3]]</f>
        <v>2012-Q3</v>
      </c>
    </row>
    <row r="194" spans="1:22" x14ac:dyDescent="0.3">
      <c r="A194" s="211">
        <f t="shared" si="17"/>
        <v>2012</v>
      </c>
      <c r="B194" s="211" t="str">
        <f t="shared" si="18"/>
        <v>Q4</v>
      </c>
      <c r="C194" s="2088" t="str">
        <f t="shared" si="15"/>
        <v>2012-Q4</v>
      </c>
      <c r="E194" s="252">
        <v>136345</v>
      </c>
      <c r="F194" s="252">
        <v>125950</v>
      </c>
      <c r="G194" s="252">
        <f t="shared" si="20"/>
        <v>131147.5</v>
      </c>
      <c r="J194" s="230"/>
      <c r="K194" s="230"/>
      <c r="L194" s="252">
        <f>K191*E194</f>
        <v>224560215000</v>
      </c>
      <c r="M194" s="252">
        <f>K191*F194</f>
        <v>207439650000</v>
      </c>
      <c r="N194" s="252">
        <f t="shared" si="21"/>
        <v>215999932500</v>
      </c>
      <c r="P194" s="252"/>
      <c r="Q194" s="252"/>
      <c r="S194" s="348">
        <f>L194/Q191</f>
        <v>1.2741113541391842</v>
      </c>
      <c r="T194" s="348">
        <f>M194/Q191</f>
        <v>1.176972569979319</v>
      </c>
      <c r="U194" s="1043">
        <f t="shared" si="22"/>
        <v>1.2255419620592516</v>
      </c>
      <c r="V194" s="2088" t="str">
        <f>Table24568[[#This Row],[Column3]]</f>
        <v>2012-Q4</v>
      </c>
    </row>
    <row r="195" spans="1:22" x14ac:dyDescent="0.3">
      <c r="A195" s="211">
        <f t="shared" si="17"/>
        <v>2013</v>
      </c>
      <c r="B195" s="211" t="str">
        <f t="shared" si="18"/>
        <v>Q1</v>
      </c>
      <c r="C195" s="2088" t="str">
        <f t="shared" si="15"/>
        <v>2013-Q1</v>
      </c>
      <c r="D195" s="211">
        <v>2013</v>
      </c>
      <c r="E195" s="252">
        <v>156634</v>
      </c>
      <c r="F195" s="252">
        <v>136850</v>
      </c>
      <c r="G195" s="252">
        <f t="shared" si="20"/>
        <v>146742</v>
      </c>
      <c r="I195" s="2088">
        <v>41639</v>
      </c>
      <c r="J195" s="230">
        <v>1644000</v>
      </c>
      <c r="K195" s="230">
        <f>AVERAGE(J191,J195)</f>
        <v>1643500</v>
      </c>
      <c r="L195" s="252">
        <f>K195*E195</f>
        <v>257427979000</v>
      </c>
      <c r="M195" s="252">
        <f>K195*F195</f>
        <v>224912975000</v>
      </c>
      <c r="N195" s="252">
        <f t="shared" si="21"/>
        <v>241170477000</v>
      </c>
      <c r="P195" s="252">
        <v>221890000000</v>
      </c>
      <c r="Q195" s="252">
        <f>AVERAGE(P191,P195)</f>
        <v>204768500000</v>
      </c>
      <c r="S195" s="348">
        <f>L195/Q195</f>
        <v>1.2571659166326852</v>
      </c>
      <c r="T195" s="348">
        <f>M195/Q195</f>
        <v>1.0983768255371309</v>
      </c>
      <c r="U195" s="1043">
        <f t="shared" si="22"/>
        <v>1.177771371084908</v>
      </c>
      <c r="V195" s="2088" t="str">
        <f>Table24568[[#This Row],[Column3]]</f>
        <v>2013-Q1</v>
      </c>
    </row>
    <row r="196" spans="1:22" x14ac:dyDescent="0.3">
      <c r="A196" s="211">
        <f t="shared" si="17"/>
        <v>2013</v>
      </c>
      <c r="B196" s="211" t="str">
        <f t="shared" si="18"/>
        <v>Q2</v>
      </c>
      <c r="C196" s="2088" t="str">
        <f t="shared" ref="C196:C202" si="23">CONCATENATE(A196,"-",B196)</f>
        <v>2013-Q2</v>
      </c>
      <c r="E196" s="252">
        <v>173810</v>
      </c>
      <c r="F196" s="252">
        <v>154145</v>
      </c>
      <c r="G196" s="252">
        <f t="shared" si="20"/>
        <v>163977.5</v>
      </c>
      <c r="J196" s="230"/>
      <c r="K196" s="230"/>
      <c r="L196" s="252">
        <f>K195*E196</f>
        <v>285656735000</v>
      </c>
      <c r="M196" s="252">
        <f>K195*F196</f>
        <v>253337307500</v>
      </c>
      <c r="N196" s="252">
        <f t="shared" si="21"/>
        <v>269497021250</v>
      </c>
      <c r="P196" s="252"/>
      <c r="Q196" s="252"/>
      <c r="S196" s="348">
        <f>L196/Q195</f>
        <v>1.3950228428688982</v>
      </c>
      <c r="T196" s="348">
        <f>M196/Q195</f>
        <v>1.2371888620564198</v>
      </c>
      <c r="U196" s="1043">
        <f t="shared" si="22"/>
        <v>1.316105852462659</v>
      </c>
      <c r="V196" s="2088" t="str">
        <f>Table24568[[#This Row],[Column3]]</f>
        <v>2013-Q2</v>
      </c>
    </row>
    <row r="197" spans="1:22" x14ac:dyDescent="0.3">
      <c r="A197" s="211">
        <f t="shared" si="17"/>
        <v>2013</v>
      </c>
      <c r="B197" s="211" t="str">
        <f t="shared" si="18"/>
        <v>Q3</v>
      </c>
      <c r="C197" s="2088" t="str">
        <f t="shared" si="23"/>
        <v>2013-Q3</v>
      </c>
      <c r="E197" s="252">
        <v>178900</v>
      </c>
      <c r="F197" s="252">
        <v>166168</v>
      </c>
      <c r="G197" s="252">
        <f t="shared" si="20"/>
        <v>172534</v>
      </c>
      <c r="J197" s="230"/>
      <c r="K197" s="230"/>
      <c r="L197" s="252">
        <f>K195*E197</f>
        <v>294022150000</v>
      </c>
      <c r="M197" s="252">
        <f>K195*F197</f>
        <v>273097108000</v>
      </c>
      <c r="N197" s="252">
        <f t="shared" si="21"/>
        <v>283559629000</v>
      </c>
      <c r="P197" s="252"/>
      <c r="Q197" s="252"/>
      <c r="S197" s="348">
        <f>L197/Q195</f>
        <v>1.4358758793466768</v>
      </c>
      <c r="T197" s="348">
        <f>M197/Q195</f>
        <v>1.3336871051944024</v>
      </c>
      <c r="U197" s="1043">
        <f t="shared" si="22"/>
        <v>1.3847814922705397</v>
      </c>
      <c r="V197" s="2088" t="str">
        <f>Table24568[[#This Row],[Column3]]</f>
        <v>2013-Q3</v>
      </c>
    </row>
    <row r="198" spans="1:22" x14ac:dyDescent="0.3">
      <c r="A198" s="211">
        <f t="shared" si="17"/>
        <v>2013</v>
      </c>
      <c r="B198" s="211" t="str">
        <f t="shared" si="18"/>
        <v>Q4</v>
      </c>
      <c r="C198" s="2088" t="str">
        <f t="shared" si="23"/>
        <v>2013-Q4</v>
      </c>
      <c r="E198" s="252">
        <v>177950</v>
      </c>
      <c r="F198" s="252">
        <v>166510</v>
      </c>
      <c r="G198" s="252">
        <f t="shared" si="20"/>
        <v>172230</v>
      </c>
      <c r="J198" s="230"/>
      <c r="K198" s="230"/>
      <c r="L198" s="252">
        <f>K195*E198</f>
        <v>292460825000</v>
      </c>
      <c r="M198" s="252">
        <f>K195*F198</f>
        <v>273659185000</v>
      </c>
      <c r="N198" s="252">
        <f t="shared" si="21"/>
        <v>283060005000</v>
      </c>
      <c r="P198" s="252"/>
      <c r="Q198" s="252"/>
      <c r="S198" s="348">
        <f>L198/Q195</f>
        <v>1.4282510493557359</v>
      </c>
      <c r="T198" s="348">
        <f>M198/Q195</f>
        <v>1.3364320439911412</v>
      </c>
      <c r="U198" s="1043">
        <f t="shared" si="22"/>
        <v>1.3823415466734386</v>
      </c>
      <c r="V198" s="2088" t="str">
        <f>Table24568[[#This Row],[Column3]]</f>
        <v>2013-Q4</v>
      </c>
    </row>
    <row r="199" spans="1:22" x14ac:dyDescent="0.3">
      <c r="A199" s="211">
        <f t="shared" si="17"/>
        <v>2014</v>
      </c>
      <c r="B199" s="211" t="str">
        <f t="shared" si="18"/>
        <v>Q1</v>
      </c>
      <c r="C199" s="2088" t="str">
        <f t="shared" si="23"/>
        <v>2014-Q1</v>
      </c>
      <c r="D199" s="211">
        <v>2014</v>
      </c>
      <c r="E199" s="252">
        <v>188853</v>
      </c>
      <c r="F199" s="252">
        <v>163039</v>
      </c>
      <c r="G199" s="252">
        <f t="shared" si="20"/>
        <v>175946</v>
      </c>
      <c r="I199" s="2088">
        <v>42004</v>
      </c>
      <c r="J199" s="230">
        <v>1643000</v>
      </c>
      <c r="K199" s="230">
        <f>AVERAGE(J195,J199)</f>
        <v>1643500</v>
      </c>
      <c r="L199" s="252">
        <f>K199*E199</f>
        <v>310379905500</v>
      </c>
      <c r="M199" s="252">
        <f>K199*F199</f>
        <v>267954596500</v>
      </c>
      <c r="N199" s="252">
        <f t="shared" si="21"/>
        <v>289167251000</v>
      </c>
      <c r="P199" s="252">
        <v>240170000000</v>
      </c>
      <c r="Q199" s="252">
        <f>AVERAGE(P195,P199)</f>
        <v>231030000000</v>
      </c>
      <c r="S199" s="348">
        <f>L199/Q199</f>
        <v>1.3434614790286976</v>
      </c>
      <c r="T199" s="348">
        <f>M199/Q199</f>
        <v>1.1598259814742675</v>
      </c>
      <c r="U199" s="1043">
        <f t="shared" si="22"/>
        <v>1.2516437302514825</v>
      </c>
      <c r="V199" s="2088" t="str">
        <f>Table24568[[#This Row],[Column3]]</f>
        <v>2014-Q1</v>
      </c>
    </row>
    <row r="200" spans="1:22" x14ac:dyDescent="0.3">
      <c r="A200" s="211">
        <f t="shared" si="17"/>
        <v>2014</v>
      </c>
      <c r="B200" s="211" t="str">
        <f t="shared" si="18"/>
        <v>Q2</v>
      </c>
      <c r="C200" s="2088" t="str">
        <f t="shared" si="23"/>
        <v>2014-Q2</v>
      </c>
      <c r="E200" s="252">
        <v>194670</v>
      </c>
      <c r="F200" s="252">
        <v>181785</v>
      </c>
      <c r="G200" s="252">
        <f t="shared" si="20"/>
        <v>188227.5</v>
      </c>
      <c r="J200" s="230"/>
      <c r="K200" s="230"/>
      <c r="L200" s="252">
        <f>K199*E200</f>
        <v>319940145000</v>
      </c>
      <c r="M200" s="252">
        <f>K199*F200</f>
        <v>298763647500</v>
      </c>
      <c r="N200" s="252">
        <f t="shared" si="21"/>
        <v>309351896250</v>
      </c>
      <c r="P200" s="252"/>
      <c r="Q200" s="252"/>
      <c r="S200" s="348">
        <f>L200/Q199</f>
        <v>1.3848424230619401</v>
      </c>
      <c r="T200" s="348">
        <f>M200/Q199</f>
        <v>1.2931811777691209</v>
      </c>
      <c r="U200" s="1043">
        <f t="shared" si="22"/>
        <v>1.3390118004155305</v>
      </c>
      <c r="V200" s="2088" t="str">
        <f>Table24568[[#This Row],[Column3]]</f>
        <v>2014-Q2</v>
      </c>
    </row>
    <row r="201" spans="1:22" x14ac:dyDescent="0.3">
      <c r="A201" s="211">
        <f t="shared" si="17"/>
        <v>2014</v>
      </c>
      <c r="B201" s="211" t="str">
        <f t="shared" si="18"/>
        <v>Q3</v>
      </c>
      <c r="C201" s="2088" t="str">
        <f t="shared" si="23"/>
        <v>2014-Q3</v>
      </c>
      <c r="E201" s="252">
        <v>213612</v>
      </c>
      <c r="F201" s="252">
        <v>185005</v>
      </c>
      <c r="G201" s="252">
        <f t="shared" si="20"/>
        <v>199308.5</v>
      </c>
      <c r="J201" s="230"/>
      <c r="L201" s="252">
        <f>K199*E201</f>
        <v>351071322000</v>
      </c>
      <c r="M201" s="252">
        <f>K199*F201</f>
        <v>304055717500</v>
      </c>
      <c r="N201" s="252">
        <f t="shared" si="21"/>
        <v>327563519750</v>
      </c>
      <c r="P201" s="252"/>
      <c r="Q201" s="252"/>
      <c r="S201" s="348">
        <f>L201/Q199</f>
        <v>1.5195919231268666</v>
      </c>
      <c r="T201" s="348">
        <f>M201/Q199</f>
        <v>1.3160875968488941</v>
      </c>
      <c r="U201" s="1043">
        <f t="shared" si="22"/>
        <v>1.4178397599878805</v>
      </c>
      <c r="V201" s="2088" t="str">
        <f>Table24568[[#This Row],[Column3]]</f>
        <v>2014-Q3</v>
      </c>
    </row>
    <row r="202" spans="1:22" x14ac:dyDescent="0.3">
      <c r="A202" s="211">
        <f t="shared" si="17"/>
        <v>2014</v>
      </c>
      <c r="B202" s="211" t="str">
        <f t="shared" si="18"/>
        <v>Q4</v>
      </c>
      <c r="C202" s="2088" t="str">
        <f t="shared" si="23"/>
        <v>2014-Q4</v>
      </c>
      <c r="E202" s="252">
        <v>229374</v>
      </c>
      <c r="F202" s="252">
        <v>198000</v>
      </c>
      <c r="G202" s="252">
        <f t="shared" si="20"/>
        <v>213687</v>
      </c>
      <c r="J202" s="230"/>
      <c r="K202" s="230"/>
      <c r="L202" s="252">
        <f>K199*E202</f>
        <v>376976169000</v>
      </c>
      <c r="M202" s="252">
        <f>K199*F202</f>
        <v>325413000000</v>
      </c>
      <c r="N202" s="252">
        <f t="shared" si="21"/>
        <v>351194584500</v>
      </c>
      <c r="P202" s="252"/>
      <c r="Q202" s="252"/>
      <c r="S202" s="348">
        <f>L202/Q199</f>
        <v>1.6317195559018309</v>
      </c>
      <c r="T202" s="348">
        <f>M202/Q199</f>
        <v>1.408531359563693</v>
      </c>
      <c r="U202" s="1043">
        <f t="shared" si="22"/>
        <v>1.5201254577327621</v>
      </c>
      <c r="V202" s="2088" t="str">
        <f>Table24568[[#This Row],[Column3]]</f>
        <v>2014-Q4</v>
      </c>
    </row>
    <row r="203" spans="1:22" x14ac:dyDescent="0.3">
      <c r="A203" s="211">
        <f t="shared" si="17"/>
        <v>2015</v>
      </c>
      <c r="B203" s="211" t="str">
        <f t="shared" si="18"/>
        <v>Q1</v>
      </c>
      <c r="C203" s="2088" t="str">
        <f t="shared" ref="C203:C222" si="24">CONCATENATE(A203,"-",B203)</f>
        <v>2015-Q1</v>
      </c>
      <c r="D203" s="211">
        <v>2015</v>
      </c>
      <c r="E203" s="252">
        <v>227500</v>
      </c>
      <c r="F203" s="252">
        <v>215151</v>
      </c>
      <c r="G203" s="252">
        <f t="shared" ref="G203:G222" si="25">AVERAGE(E203:F203)</f>
        <v>221325.5</v>
      </c>
      <c r="I203" s="2088">
        <v>42369</v>
      </c>
      <c r="J203" s="230">
        <v>1643000</v>
      </c>
      <c r="K203" s="230">
        <f>AVERAGE(J199,J203)</f>
        <v>1643000</v>
      </c>
      <c r="L203" s="252">
        <f>K203*E203</f>
        <v>373782500000</v>
      </c>
      <c r="M203" s="252">
        <f>K203*F203</f>
        <v>353493093000</v>
      </c>
      <c r="N203" s="252">
        <f>AVERAGE(L203:M203)</f>
        <v>363637796500</v>
      </c>
      <c r="P203" s="252">
        <v>254619000000</v>
      </c>
      <c r="Q203" s="252">
        <f>AVERAGE(P199,P203)</f>
        <v>247394500000</v>
      </c>
      <c r="S203" s="348">
        <f>L203/Q203</f>
        <v>1.5108763533546623</v>
      </c>
      <c r="T203" s="348">
        <f>M203/Q203</f>
        <v>1.4288639925301492</v>
      </c>
      <c r="U203" s="1043">
        <f t="shared" ref="U203:U222" si="26">AVERAGE(S203:T203)</f>
        <v>1.4698701729424057</v>
      </c>
      <c r="V203" s="2088" t="str">
        <f>Table24568[[#This Row],[Column3]]</f>
        <v>2015-Q1</v>
      </c>
    </row>
    <row r="204" spans="1:22" x14ac:dyDescent="0.3">
      <c r="A204" s="211">
        <f t="shared" ref="A204:A222" si="27">A200+1</f>
        <v>2015</v>
      </c>
      <c r="B204" s="211" t="str">
        <f t="shared" ref="B204:B222" si="28">B200</f>
        <v>Q2</v>
      </c>
      <c r="C204" s="2088" t="str">
        <f t="shared" si="24"/>
        <v>2015-Q2</v>
      </c>
      <c r="E204" s="252">
        <v>223012</v>
      </c>
      <c r="F204" s="252">
        <v>204800</v>
      </c>
      <c r="G204" s="252">
        <f t="shared" si="25"/>
        <v>213906</v>
      </c>
      <c r="J204" s="230"/>
      <c r="K204" s="230"/>
      <c r="L204" s="252">
        <f>K203*E204</f>
        <v>366408716000</v>
      </c>
      <c r="M204" s="252">
        <f>K203*F204</f>
        <v>336486400000</v>
      </c>
      <c r="N204" s="252">
        <f t="shared" ref="N204:N222" si="29">AVERAGE(L204:M204)</f>
        <v>351447558000</v>
      </c>
      <c r="P204" s="252"/>
      <c r="Q204" s="252"/>
      <c r="S204" s="348">
        <f>L204/Q203</f>
        <v>1.4810705816014502</v>
      </c>
      <c r="T204" s="348">
        <f>M204/Q203</f>
        <v>1.3601207787561971</v>
      </c>
      <c r="U204" s="1043">
        <f t="shared" si="26"/>
        <v>1.4205956801788235</v>
      </c>
      <c r="V204" s="2088" t="str">
        <f>Table24568[[#This Row],[Column3]]</f>
        <v>2015-Q2</v>
      </c>
    </row>
    <row r="205" spans="1:22" x14ac:dyDescent="0.3">
      <c r="A205" s="211">
        <f t="shared" si="27"/>
        <v>2015</v>
      </c>
      <c r="B205" s="211" t="str">
        <f t="shared" si="28"/>
        <v>Q3</v>
      </c>
      <c r="C205" s="2088" t="str">
        <f t="shared" si="24"/>
        <v>2015-Q3</v>
      </c>
      <c r="E205" s="252">
        <v>217100</v>
      </c>
      <c r="F205" s="252">
        <v>190007</v>
      </c>
      <c r="G205" s="252">
        <f t="shared" si="25"/>
        <v>203553.5</v>
      </c>
      <c r="J205" s="230"/>
      <c r="K205" s="230"/>
      <c r="L205" s="252">
        <f>K203*E205</f>
        <v>356695300000</v>
      </c>
      <c r="M205" s="252">
        <f>K203*F205</f>
        <v>312181501000</v>
      </c>
      <c r="N205" s="252">
        <f t="shared" si="29"/>
        <v>334438400500</v>
      </c>
      <c r="P205" s="252"/>
      <c r="Q205" s="252"/>
      <c r="S205" s="348">
        <f>L205/Q203</f>
        <v>1.4418077200584491</v>
      </c>
      <c r="T205" s="348">
        <f>M205/Q203</f>
        <v>1.261877289107074</v>
      </c>
      <c r="U205" s="1043">
        <f t="shared" si="26"/>
        <v>1.3518425045827616</v>
      </c>
      <c r="V205" s="2088" t="str">
        <f>Table24568[[#This Row],[Column3]]</f>
        <v>2015-Q3</v>
      </c>
    </row>
    <row r="206" spans="1:22" x14ac:dyDescent="0.3">
      <c r="A206" s="211">
        <f t="shared" si="27"/>
        <v>2015</v>
      </c>
      <c r="B206" s="211" t="str">
        <f t="shared" si="28"/>
        <v>Q4</v>
      </c>
      <c r="C206" s="2088" t="str">
        <f t="shared" si="24"/>
        <v>2015-Q4</v>
      </c>
      <c r="E206" s="252">
        <v>207780</v>
      </c>
      <c r="F206" s="252">
        <v>192200</v>
      </c>
      <c r="G206" s="252">
        <f t="shared" si="25"/>
        <v>199990</v>
      </c>
      <c r="J206" s="230"/>
      <c r="K206" s="230"/>
      <c r="L206" s="252">
        <f>K203*E206</f>
        <v>341382540000</v>
      </c>
      <c r="M206" s="252">
        <f>K203*F206</f>
        <v>315784600000</v>
      </c>
      <c r="N206" s="252">
        <f t="shared" si="29"/>
        <v>328583570000</v>
      </c>
      <c r="P206" s="252"/>
      <c r="Q206" s="252"/>
      <c r="S206" s="348">
        <f>L206/Q203</f>
        <v>1.3799115986814581</v>
      </c>
      <c r="T206" s="348">
        <f>M206/Q203</f>
        <v>1.2764414730319389</v>
      </c>
      <c r="U206" s="1043">
        <f t="shared" si="26"/>
        <v>1.3281765358566986</v>
      </c>
      <c r="V206" s="2088" t="str">
        <f>Table24568[[#This Row],[Column3]]</f>
        <v>2015-Q4</v>
      </c>
    </row>
    <row r="207" spans="1:22" x14ac:dyDescent="0.3">
      <c r="A207" s="211">
        <f t="shared" si="27"/>
        <v>2016</v>
      </c>
      <c r="B207" s="211" t="str">
        <f t="shared" si="28"/>
        <v>Q1</v>
      </c>
      <c r="C207" s="2088" t="str">
        <f t="shared" si="24"/>
        <v>2016-Q1</v>
      </c>
      <c r="D207" s="211">
        <v>2016</v>
      </c>
      <c r="E207" s="252">
        <v>215130</v>
      </c>
      <c r="F207" s="252">
        <v>186900</v>
      </c>
      <c r="G207" s="252">
        <f t="shared" si="25"/>
        <v>201015</v>
      </c>
      <c r="I207" s="2088">
        <v>42735</v>
      </c>
      <c r="J207" s="230">
        <v>1644000</v>
      </c>
      <c r="K207" s="230">
        <f>AVERAGE(J203,J207)</f>
        <v>1643500</v>
      </c>
      <c r="L207" s="252">
        <f>K207*E207</f>
        <v>353566155000</v>
      </c>
      <c r="M207" s="252">
        <f>K207*F207</f>
        <v>307170150000</v>
      </c>
      <c r="N207" s="252">
        <f t="shared" si="29"/>
        <v>330368152500</v>
      </c>
      <c r="P207" s="252">
        <v>282070000000</v>
      </c>
      <c r="Q207" s="252">
        <f>AVERAGE(P203,P207)</f>
        <v>268344500000</v>
      </c>
      <c r="S207" s="348">
        <f>L207/Q207</f>
        <v>1.3175830136261411</v>
      </c>
      <c r="T207" s="348">
        <f>M207/Q207</f>
        <v>1.1446858422661914</v>
      </c>
      <c r="U207" s="1043">
        <f t="shared" si="26"/>
        <v>1.2311344279461662</v>
      </c>
      <c r="V207" s="2088" t="str">
        <f>Table24568[[#This Row],[Column3]]</f>
        <v>2016-Q1</v>
      </c>
    </row>
    <row r="208" spans="1:22" x14ac:dyDescent="0.3">
      <c r="A208" s="211">
        <f t="shared" si="27"/>
        <v>2016</v>
      </c>
      <c r="B208" s="211" t="str">
        <f t="shared" si="28"/>
        <v>Q2</v>
      </c>
      <c r="C208" s="2088" t="str">
        <f t="shared" si="24"/>
        <v>2016-Q2</v>
      </c>
      <c r="E208" s="252">
        <v>221985</v>
      </c>
      <c r="F208" s="252">
        <v>205074</v>
      </c>
      <c r="G208" s="252">
        <f t="shared" si="25"/>
        <v>213529.5</v>
      </c>
      <c r="J208" s="230"/>
      <c r="K208" s="230"/>
      <c r="L208" s="252">
        <f>K207*E208</f>
        <v>364832347500</v>
      </c>
      <c r="M208" s="252">
        <f>K207*F208</f>
        <v>337039119000</v>
      </c>
      <c r="N208" s="252">
        <f t="shared" si="29"/>
        <v>350935733250</v>
      </c>
      <c r="P208" s="252"/>
      <c r="Q208" s="252"/>
      <c r="S208" s="348">
        <f>L208/Q207</f>
        <v>1.3595670770222605</v>
      </c>
      <c r="T208" s="348">
        <f>M208/Q207</f>
        <v>1.2559941381321398</v>
      </c>
      <c r="U208" s="1043">
        <f t="shared" si="26"/>
        <v>1.3077806075772003</v>
      </c>
      <c r="V208" s="2088" t="str">
        <f>Table24568[[#This Row],[Column3]]</f>
        <v>2016-Q2</v>
      </c>
    </row>
    <row r="209" spans="1:22" x14ac:dyDescent="0.3">
      <c r="A209" s="211">
        <f t="shared" si="27"/>
        <v>2016</v>
      </c>
      <c r="B209" s="211" t="str">
        <f t="shared" si="28"/>
        <v>Q3</v>
      </c>
      <c r="C209" s="2088" t="str">
        <f t="shared" si="24"/>
        <v>2016-Q3</v>
      </c>
      <c r="E209" s="252">
        <v>226490</v>
      </c>
      <c r="F209" s="252">
        <v>211500</v>
      </c>
      <c r="G209" s="252">
        <f t="shared" si="25"/>
        <v>218995</v>
      </c>
      <c r="J209" s="230"/>
      <c r="K209" s="230"/>
      <c r="L209" s="252">
        <f>K207*E209</f>
        <v>372236315000</v>
      </c>
      <c r="M209" s="252">
        <f>K207*F209</f>
        <v>347600250000</v>
      </c>
      <c r="N209" s="252">
        <f t="shared" si="29"/>
        <v>359918282500</v>
      </c>
      <c r="P209" s="252"/>
      <c r="Q209" s="252"/>
      <c r="S209" s="348">
        <f>L209/Q207</f>
        <v>1.3871583542796666</v>
      </c>
      <c r="T209" s="348">
        <f>M209/Q207</f>
        <v>1.2953507524842134</v>
      </c>
      <c r="U209" s="1043">
        <f t="shared" si="26"/>
        <v>1.34125455338194</v>
      </c>
      <c r="V209" s="2088" t="str">
        <f>Table24568[[#This Row],[Column3]]</f>
        <v>2016-Q3</v>
      </c>
    </row>
    <row r="210" spans="1:22" x14ac:dyDescent="0.3">
      <c r="A210" s="211">
        <f t="shared" si="27"/>
        <v>2016</v>
      </c>
      <c r="B210" s="211" t="str">
        <f t="shared" si="28"/>
        <v>Q4</v>
      </c>
      <c r="C210" s="2088" t="str">
        <f t="shared" si="24"/>
        <v>2016-Q4</v>
      </c>
      <c r="E210" s="252">
        <v>250786</v>
      </c>
      <c r="F210" s="252">
        <v>213030</v>
      </c>
      <c r="G210" s="252">
        <f t="shared" si="25"/>
        <v>231908</v>
      </c>
      <c r="J210" s="230"/>
      <c r="K210" s="230"/>
      <c r="L210" s="252">
        <f>K207*E210</f>
        <v>412166791000</v>
      </c>
      <c r="M210" s="252">
        <f>K207*F210</f>
        <v>350114805000</v>
      </c>
      <c r="N210" s="252">
        <f t="shared" si="29"/>
        <v>381140798000</v>
      </c>
      <c r="P210" s="252"/>
      <c r="Q210" s="252"/>
      <c r="S210" s="348">
        <f>L210/Q207</f>
        <v>1.5359613891844253</v>
      </c>
      <c r="T210" s="348">
        <f>M210/Q207</f>
        <v>1.3047213749489928</v>
      </c>
      <c r="U210" s="1043">
        <f t="shared" si="26"/>
        <v>1.420341382066709</v>
      </c>
      <c r="V210" s="2088" t="str">
        <f>Table24568[[#This Row],[Column3]]</f>
        <v>2016-Q4</v>
      </c>
    </row>
    <row r="211" spans="1:22" x14ac:dyDescent="0.3">
      <c r="A211" s="211">
        <f t="shared" si="27"/>
        <v>2017</v>
      </c>
      <c r="B211" s="211" t="str">
        <f t="shared" si="28"/>
        <v>Q1</v>
      </c>
      <c r="C211" s="2088" t="str">
        <f t="shared" si="24"/>
        <v>2017-Q1</v>
      </c>
      <c r="D211" s="211">
        <v>2017</v>
      </c>
      <c r="E211" s="252">
        <v>266445</v>
      </c>
      <c r="F211" s="252">
        <v>237983</v>
      </c>
      <c r="G211" s="252">
        <f t="shared" si="25"/>
        <v>252214</v>
      </c>
      <c r="I211" s="2088">
        <v>43100</v>
      </c>
      <c r="J211" s="230">
        <v>1645000</v>
      </c>
      <c r="K211" s="230">
        <f>AVERAGE(J207,J211)</f>
        <v>1644500</v>
      </c>
      <c r="L211" s="252">
        <f>K211*E211</f>
        <v>438168802500</v>
      </c>
      <c r="M211" s="252">
        <f>K211*F211</f>
        <v>391363043500</v>
      </c>
      <c r="N211" s="252">
        <f t="shared" si="29"/>
        <v>414765923000</v>
      </c>
      <c r="P211" s="252">
        <v>348296000000</v>
      </c>
      <c r="Q211" s="252">
        <f>AVERAGE(P207,P211)</f>
        <v>315183000000</v>
      </c>
      <c r="S211" s="348">
        <f>L211/Q211</f>
        <v>1.3902044288556172</v>
      </c>
      <c r="T211" s="348">
        <f>M211/Q211</f>
        <v>1.241700991170209</v>
      </c>
      <c r="U211" s="1043">
        <f t="shared" si="26"/>
        <v>1.3159527100129131</v>
      </c>
      <c r="V211" s="2088" t="str">
        <f>Table24568[[#This Row],[Column3]]</f>
        <v>2017-Q1</v>
      </c>
    </row>
    <row r="212" spans="1:22" x14ac:dyDescent="0.3">
      <c r="A212" s="211">
        <f t="shared" si="27"/>
        <v>2017</v>
      </c>
      <c r="B212" s="211" t="str">
        <f t="shared" si="28"/>
        <v>Q2</v>
      </c>
      <c r="C212" s="2088" t="str">
        <f t="shared" si="24"/>
        <v>2017-Q2</v>
      </c>
      <c r="E212" s="252">
        <v>257944</v>
      </c>
      <c r="F212" s="252">
        <v>242180</v>
      </c>
      <c r="G212" s="252">
        <f t="shared" si="25"/>
        <v>250062</v>
      </c>
      <c r="J212" s="230"/>
      <c r="K212" s="230"/>
      <c r="L212" s="252">
        <f>K211*E212</f>
        <v>424188908000</v>
      </c>
      <c r="M212" s="252">
        <f>K211*F212</f>
        <v>398265010000</v>
      </c>
      <c r="N212" s="252">
        <f t="shared" si="29"/>
        <v>411226959000</v>
      </c>
      <c r="P212" s="252"/>
      <c r="Q212" s="252"/>
      <c r="S212" s="348">
        <f>L212/Q211</f>
        <v>1.3458495794506684</v>
      </c>
      <c r="T212" s="348">
        <f>M212/Q211</f>
        <v>1.263599274072523</v>
      </c>
      <c r="U212" s="1043">
        <f t="shared" si="26"/>
        <v>1.3047244267615956</v>
      </c>
      <c r="V212" s="2088" t="str">
        <f>Table24568[[#This Row],[Column3]]</f>
        <v>2017-Q2</v>
      </c>
    </row>
    <row r="213" spans="1:22" x14ac:dyDescent="0.3">
      <c r="A213" s="211">
        <f t="shared" si="27"/>
        <v>2017</v>
      </c>
      <c r="B213" s="211" t="str">
        <f t="shared" si="28"/>
        <v>Q3</v>
      </c>
      <c r="C213" s="2088" t="str">
        <f t="shared" si="24"/>
        <v>2017-Q3</v>
      </c>
      <c r="E213" s="252">
        <v>275945</v>
      </c>
      <c r="F213" s="252">
        <v>252254</v>
      </c>
      <c r="G213" s="252">
        <f t="shared" si="25"/>
        <v>264099.5</v>
      </c>
      <c r="J213" s="230"/>
      <c r="K213" s="230"/>
      <c r="L213" s="252">
        <f>K211*E213</f>
        <v>453791552500</v>
      </c>
      <c r="M213" s="252">
        <f>K211*F213</f>
        <v>414831703000</v>
      </c>
      <c r="N213" s="252">
        <f t="shared" si="29"/>
        <v>434311627750</v>
      </c>
      <c r="P213" s="252"/>
      <c r="Q213" s="252"/>
      <c r="S213" s="348">
        <f>L213/Q211</f>
        <v>1.4397716643981433</v>
      </c>
      <c r="T213" s="348">
        <f>M213/Q211</f>
        <v>1.3161614141625659</v>
      </c>
      <c r="U213" s="1043">
        <f t="shared" si="26"/>
        <v>1.3779665392803546</v>
      </c>
      <c r="V213" s="2088" t="str">
        <f>Table24568[[#This Row],[Column3]]</f>
        <v>2017-Q3</v>
      </c>
    </row>
    <row r="214" spans="1:22" x14ac:dyDescent="0.3">
      <c r="A214" s="211">
        <f t="shared" si="27"/>
        <v>2017</v>
      </c>
      <c r="B214" s="211" t="str">
        <f t="shared" si="28"/>
        <v>Q4</v>
      </c>
      <c r="C214" s="2088" t="str">
        <f t="shared" si="24"/>
        <v>2017-Q4</v>
      </c>
      <c r="E214" s="252">
        <v>301000</v>
      </c>
      <c r="F214" s="252">
        <v>270250</v>
      </c>
      <c r="G214" s="252">
        <f t="shared" si="25"/>
        <v>285625</v>
      </c>
      <c r="J214" s="230"/>
      <c r="K214" s="230"/>
      <c r="L214" s="252">
        <f>K211*E214</f>
        <v>494994500000</v>
      </c>
      <c r="M214" s="252">
        <f>K211*F214</f>
        <v>444426125000</v>
      </c>
      <c r="N214" s="252">
        <f t="shared" si="29"/>
        <v>469710312500</v>
      </c>
      <c r="P214" s="252"/>
      <c r="Q214" s="252"/>
      <c r="S214" s="348">
        <f>L214/Q211</f>
        <v>1.5704987261368792</v>
      </c>
      <c r="T214" s="348">
        <f>M214/Q211</f>
        <v>1.4100574110913342</v>
      </c>
      <c r="U214" s="1043">
        <f t="shared" si="26"/>
        <v>1.4902780686141068</v>
      </c>
      <c r="V214" s="2088" t="str">
        <f>Table24568[[#This Row],[Column3]]</f>
        <v>2017-Q4</v>
      </c>
    </row>
    <row r="215" spans="1:22" x14ac:dyDescent="0.3">
      <c r="A215" s="211">
        <f t="shared" si="27"/>
        <v>2018</v>
      </c>
      <c r="B215" s="211" t="str">
        <f t="shared" si="28"/>
        <v>Q1</v>
      </c>
      <c r="C215" s="2088" t="str">
        <f t="shared" si="24"/>
        <v>2018-Q1</v>
      </c>
      <c r="D215" s="211">
        <v>2018</v>
      </c>
      <c r="E215" s="252">
        <v>326350</v>
      </c>
      <c r="F215" s="252">
        <v>285250</v>
      </c>
      <c r="G215" s="252">
        <f t="shared" si="25"/>
        <v>305800</v>
      </c>
      <c r="I215" s="2088">
        <v>43465</v>
      </c>
      <c r="J215" s="230">
        <v>1641000</v>
      </c>
      <c r="K215" s="230">
        <f>AVERAGE(J211,J215)</f>
        <v>1643000</v>
      </c>
      <c r="L215" s="252">
        <f>K215*E215</f>
        <v>536193050000</v>
      </c>
      <c r="M215" s="252">
        <f>K215*F215</f>
        <v>468665750000</v>
      </c>
      <c r="N215" s="252">
        <f t="shared" si="29"/>
        <v>502429400000</v>
      </c>
      <c r="P215" s="252">
        <v>348703000000</v>
      </c>
      <c r="Q215" s="252">
        <f>AVERAGE(P211,P215)</f>
        <v>348499500000</v>
      </c>
      <c r="S215" s="348">
        <f>L215/Q215</f>
        <v>1.5385762389902999</v>
      </c>
      <c r="T215" s="348">
        <f>M215/Q215</f>
        <v>1.3448103942760319</v>
      </c>
      <c r="U215" s="1043">
        <f t="shared" si="26"/>
        <v>1.4416933166331658</v>
      </c>
      <c r="V215" s="2088" t="str">
        <f>Table24568[[#This Row],[Column3]]</f>
        <v>2018-Q1</v>
      </c>
    </row>
    <row r="216" spans="1:22" x14ac:dyDescent="0.3">
      <c r="A216" s="211">
        <f t="shared" si="27"/>
        <v>2018</v>
      </c>
      <c r="B216" s="211" t="str">
        <f t="shared" si="28"/>
        <v>Q2</v>
      </c>
      <c r="C216" s="2088" t="str">
        <f t="shared" si="24"/>
        <v>2018-Q2</v>
      </c>
      <c r="E216" s="252">
        <v>304200</v>
      </c>
      <c r="F216" s="252">
        <v>280428</v>
      </c>
      <c r="G216" s="252">
        <f t="shared" si="25"/>
        <v>292314</v>
      </c>
      <c r="J216" s="230"/>
      <c r="K216" s="230"/>
      <c r="L216" s="252">
        <f>K215*E216</f>
        <v>499800600000</v>
      </c>
      <c r="M216" s="252">
        <f>K215*F216</f>
        <v>460743204000</v>
      </c>
      <c r="N216" s="252">
        <f t="shared" si="29"/>
        <v>480271902000</v>
      </c>
      <c r="P216" s="252"/>
      <c r="Q216" s="252"/>
      <c r="S216" s="348">
        <f>L216/Q215</f>
        <v>1.4341501207318805</v>
      </c>
      <c r="T216" s="348">
        <f>M216/Q215</f>
        <v>1.3220770876285333</v>
      </c>
      <c r="U216" s="1043">
        <f t="shared" si="26"/>
        <v>1.3781136041802069</v>
      </c>
      <c r="V216" s="2088" t="str">
        <f>Table24568[[#This Row],[Column3]]</f>
        <v>2018-Q2</v>
      </c>
    </row>
    <row r="217" spans="1:22" x14ac:dyDescent="0.3">
      <c r="A217" s="211">
        <f t="shared" si="27"/>
        <v>2018</v>
      </c>
      <c r="B217" s="211" t="str">
        <f t="shared" si="28"/>
        <v>Q3</v>
      </c>
      <c r="C217" s="2088" t="str">
        <f t="shared" si="24"/>
        <v>2018-Q3</v>
      </c>
      <c r="E217" s="252">
        <v>334560</v>
      </c>
      <c r="F217" s="252">
        <v>281600</v>
      </c>
      <c r="G217" s="252">
        <f t="shared" si="25"/>
        <v>308080</v>
      </c>
      <c r="J217" s="230"/>
      <c r="K217" s="230"/>
      <c r="L217" s="252">
        <f>K215*E217</f>
        <v>549682080000</v>
      </c>
      <c r="M217" s="252">
        <f>K215*F217</f>
        <v>462668800000</v>
      </c>
      <c r="N217" s="252">
        <f t="shared" si="29"/>
        <v>506175440000</v>
      </c>
      <c r="P217" s="252"/>
      <c r="Q217" s="252"/>
      <c r="S217" s="348">
        <f>L217/Q215</f>
        <v>1.5772822629587704</v>
      </c>
      <c r="T217" s="348">
        <f>M217/Q215</f>
        <v>1.3276024786262248</v>
      </c>
      <c r="U217" s="1043">
        <f t="shared" si="26"/>
        <v>1.4524423707924976</v>
      </c>
      <c r="V217" s="2088" t="str">
        <f>Table24568[[#This Row],[Column3]]</f>
        <v>2018-Q3</v>
      </c>
    </row>
    <row r="218" spans="1:22" x14ac:dyDescent="0.3">
      <c r="A218" s="211">
        <f t="shared" si="27"/>
        <v>2018</v>
      </c>
      <c r="B218" s="211" t="str">
        <f t="shared" si="28"/>
        <v>Q4</v>
      </c>
      <c r="C218" s="2088" t="str">
        <f t="shared" si="24"/>
        <v>2018-Q4</v>
      </c>
      <c r="E218" s="252">
        <v>335900</v>
      </c>
      <c r="F218" s="252">
        <v>279410</v>
      </c>
      <c r="G218" s="252">
        <f t="shared" si="25"/>
        <v>307655</v>
      </c>
      <c r="J218" s="230"/>
      <c r="K218" s="230"/>
      <c r="L218" s="252">
        <f>K215*E218</f>
        <v>551883700000</v>
      </c>
      <c r="M218" s="252">
        <f>K215*F218</f>
        <v>459070630000</v>
      </c>
      <c r="N218" s="252">
        <f t="shared" si="29"/>
        <v>505477165000</v>
      </c>
      <c r="P218" s="252"/>
      <c r="Q218" s="252"/>
      <c r="S218" s="348">
        <f>L218/Q215</f>
        <v>1.5835996895260969</v>
      </c>
      <c r="T218" s="348">
        <f>M218/Q215</f>
        <v>1.3172777292363405</v>
      </c>
      <c r="U218" s="1043">
        <f t="shared" si="26"/>
        <v>1.4504387093812188</v>
      </c>
      <c r="V218" s="2088" t="str">
        <f>Table24568[[#This Row],[Column3]]</f>
        <v>2018-Q4</v>
      </c>
    </row>
    <row r="219" spans="1:22" x14ac:dyDescent="0.3">
      <c r="A219" s="211">
        <f t="shared" si="27"/>
        <v>2019</v>
      </c>
      <c r="B219" s="211" t="str">
        <f t="shared" si="28"/>
        <v>Q1</v>
      </c>
      <c r="C219" s="2088" t="str">
        <f t="shared" si="24"/>
        <v>2019-Q1</v>
      </c>
      <c r="D219" s="211">
        <v>2019</v>
      </c>
      <c r="E219" s="252">
        <v>313960</v>
      </c>
      <c r="F219" s="252">
        <v>286650</v>
      </c>
      <c r="G219" s="252">
        <f t="shared" si="25"/>
        <v>300305</v>
      </c>
      <c r="I219" s="2088">
        <v>43830</v>
      </c>
      <c r="J219" s="230">
        <v>1625000</v>
      </c>
      <c r="K219" s="230">
        <f>AVERAGE(J215,J219)</f>
        <v>1633000</v>
      </c>
      <c r="L219" s="252">
        <f>K219*E219</f>
        <v>512696680000</v>
      </c>
      <c r="M219" s="252">
        <f>K219*F219</f>
        <v>468099450000</v>
      </c>
      <c r="N219" s="252">
        <f t="shared" si="29"/>
        <v>490398065000</v>
      </c>
      <c r="P219" s="252">
        <v>424791000000</v>
      </c>
      <c r="Q219" s="252">
        <f>AVERAGE(P215,P219)</f>
        <v>386747000000</v>
      </c>
      <c r="S219" s="348">
        <f>L219/Q219</f>
        <v>1.3256642714746334</v>
      </c>
      <c r="T219" s="348">
        <f>M219/Q219</f>
        <v>1.2103505650981132</v>
      </c>
      <c r="U219" s="1043">
        <f t="shared" si="26"/>
        <v>1.2680074182863734</v>
      </c>
      <c r="V219" s="2088" t="str">
        <f>Table24568[[#This Row],[Column3]]</f>
        <v>2019-Q1</v>
      </c>
    </row>
    <row r="220" spans="1:22" x14ac:dyDescent="0.3">
      <c r="A220" s="211">
        <f t="shared" si="27"/>
        <v>2019</v>
      </c>
      <c r="B220" s="211" t="str">
        <f t="shared" si="28"/>
        <v>Q2</v>
      </c>
      <c r="C220" s="2088" t="str">
        <f t="shared" si="24"/>
        <v>2019-Q2</v>
      </c>
      <c r="E220" s="252">
        <v>328555</v>
      </c>
      <c r="F220" s="252">
        <v>296623</v>
      </c>
      <c r="G220" s="252">
        <f t="shared" si="25"/>
        <v>312589</v>
      </c>
      <c r="J220" s="230"/>
      <c r="K220" s="230"/>
      <c r="L220" s="252">
        <f>K219*E220</f>
        <v>536530315000</v>
      </c>
      <c r="M220" s="252">
        <f>K219*F220</f>
        <v>484385359000</v>
      </c>
      <c r="N220" s="252">
        <f t="shared" si="29"/>
        <v>510457837000</v>
      </c>
      <c r="P220" s="252"/>
      <c r="Q220" s="252"/>
      <c r="S220" s="348">
        <f>L220/Q219</f>
        <v>1.3872901793679071</v>
      </c>
      <c r="T220" s="348">
        <f>M220/Q219</f>
        <v>1.2524605465588614</v>
      </c>
      <c r="U220" s="1043">
        <f t="shared" si="26"/>
        <v>1.3198753629633844</v>
      </c>
      <c r="V220" s="2088" t="str">
        <f>Table24568[[#This Row],[Column3]]</f>
        <v>2019-Q2</v>
      </c>
    </row>
    <row r="221" spans="1:22" x14ac:dyDescent="0.3">
      <c r="A221" s="211">
        <f t="shared" si="27"/>
        <v>2019</v>
      </c>
      <c r="B221" s="211" t="str">
        <f t="shared" si="28"/>
        <v>Q3</v>
      </c>
      <c r="C221" s="2088" t="str">
        <f t="shared" si="24"/>
        <v>2019-Q3</v>
      </c>
      <c r="E221" s="252">
        <v>324711</v>
      </c>
      <c r="F221" s="252">
        <v>294511</v>
      </c>
      <c r="G221" s="252">
        <f t="shared" si="25"/>
        <v>309611</v>
      </c>
      <c r="J221" s="230"/>
      <c r="K221" s="230"/>
      <c r="L221" s="252">
        <f>K219*E221</f>
        <v>530253063000</v>
      </c>
      <c r="M221" s="252">
        <f>K219*F221</f>
        <v>480936463000</v>
      </c>
      <c r="N221" s="252">
        <f t="shared" si="29"/>
        <v>505594763000</v>
      </c>
      <c r="P221" s="252"/>
      <c r="Q221" s="252"/>
      <c r="S221" s="348">
        <f>L221/Q219</f>
        <v>1.3710592790635738</v>
      </c>
      <c r="T221" s="348">
        <f>M221/Q219</f>
        <v>1.2435428406684472</v>
      </c>
      <c r="U221" s="1043">
        <f t="shared" si="26"/>
        <v>1.3073010598660106</v>
      </c>
      <c r="V221" s="2088" t="str">
        <f>Table24568[[#This Row],[Column3]]</f>
        <v>2019-Q3</v>
      </c>
    </row>
    <row r="222" spans="1:22" x14ac:dyDescent="0.3">
      <c r="A222" s="211">
        <f t="shared" si="27"/>
        <v>2019</v>
      </c>
      <c r="B222" s="211" t="str">
        <f t="shared" si="28"/>
        <v>Q4</v>
      </c>
      <c r="C222" s="2088" t="str">
        <f t="shared" si="24"/>
        <v>2019-Q4</v>
      </c>
      <c r="E222" s="252">
        <v>342250</v>
      </c>
      <c r="F222" s="252">
        <v>302260</v>
      </c>
      <c r="G222" s="252">
        <f t="shared" si="25"/>
        <v>322255</v>
      </c>
      <c r="J222" s="230"/>
      <c r="L222" s="252">
        <f>K219*E222</f>
        <v>558894250000</v>
      </c>
      <c r="M222" s="252">
        <f>K219*F222</f>
        <v>493590580000</v>
      </c>
      <c r="N222" s="252">
        <f t="shared" si="29"/>
        <v>526242415000</v>
      </c>
      <c r="P222" s="252"/>
      <c r="Q222" s="252"/>
      <c r="S222" s="348">
        <f>L222/Q219</f>
        <v>1.4451159285010615</v>
      </c>
      <c r="T222" s="348">
        <f>M222/Q219</f>
        <v>1.2762622075930776</v>
      </c>
      <c r="U222" s="1043">
        <f t="shared" si="26"/>
        <v>1.3606890680470696</v>
      </c>
      <c r="V222" s="2088" t="str">
        <f>Table24568[[#This Row],[Column3]]</f>
        <v>2019-Q4</v>
      </c>
    </row>
    <row r="223" spans="1:22" x14ac:dyDescent="0.3">
      <c r="C223" s="2088" t="str">
        <f>CONCATENATE(A223,"-",B223)</f>
        <v>-</v>
      </c>
      <c r="D223" s="211">
        <v>2020</v>
      </c>
      <c r="E223" s="252"/>
      <c r="F223" s="252"/>
      <c r="G223" s="252"/>
      <c r="I223" s="2088">
        <v>44196</v>
      </c>
      <c r="J223" s="230"/>
      <c r="L223" s="252"/>
      <c r="M223" s="252"/>
      <c r="N223" s="252" t="e">
        <f>AVERAGE(L223:M223)</f>
        <v>#DIV/0!</v>
      </c>
      <c r="P223" s="252"/>
      <c r="Q223" s="252"/>
      <c r="S223" s="348"/>
      <c r="T223" s="348"/>
      <c r="U223" s="1043"/>
      <c r="V223" s="2088" t="str">
        <f>Table24568[[#This Row],[Column3]]</f>
        <v>-</v>
      </c>
    </row>
    <row r="224" spans="1:22" x14ac:dyDescent="0.3">
      <c r="C224" s="2088"/>
      <c r="E224" s="252"/>
      <c r="F224" s="252"/>
      <c r="G224" s="252"/>
      <c r="J224" s="230"/>
      <c r="L224" s="252"/>
      <c r="M224" s="252"/>
      <c r="N224" s="252"/>
      <c r="P224" s="252"/>
      <c r="Q224" s="252"/>
      <c r="S224" s="348"/>
      <c r="T224" s="348"/>
      <c r="U224" s="1043"/>
      <c r="V224" s="2088"/>
    </row>
    <row r="225" spans="3:22" x14ac:dyDescent="0.3">
      <c r="C225" s="2088"/>
      <c r="E225" s="252"/>
      <c r="F225" s="252"/>
      <c r="G225" s="252"/>
      <c r="J225" s="230"/>
      <c r="L225" s="252"/>
      <c r="M225" s="252"/>
      <c r="N225" s="252"/>
      <c r="P225" s="252"/>
      <c r="Q225" s="252"/>
      <c r="S225" s="348"/>
      <c r="T225" s="348"/>
      <c r="U225" s="1043"/>
      <c r="V225" s="2088"/>
    </row>
    <row r="226" spans="3:22" x14ac:dyDescent="0.3">
      <c r="C226" s="2088"/>
      <c r="E226" s="252"/>
      <c r="F226" s="252"/>
      <c r="G226" s="252"/>
      <c r="J226" s="230"/>
      <c r="L226" s="252"/>
      <c r="M226" s="252"/>
      <c r="N226" s="252"/>
      <c r="P226" s="252"/>
      <c r="Q226" s="252"/>
      <c r="S226" s="348"/>
      <c r="T226" s="348"/>
      <c r="U226" s="1043"/>
      <c r="V226" s="2088"/>
    </row>
    <row r="227" spans="3:22" x14ac:dyDescent="0.3">
      <c r="C227" s="2088"/>
      <c r="E227" s="252"/>
      <c r="F227" s="252"/>
      <c r="G227" s="252"/>
      <c r="J227" s="230"/>
      <c r="L227" s="252"/>
      <c r="M227" s="252"/>
      <c r="N227" s="252"/>
      <c r="P227" s="252"/>
      <c r="Q227" s="252"/>
      <c r="S227" s="348"/>
      <c r="T227" s="348"/>
      <c r="U227" s="1043"/>
      <c r="V227" s="2088"/>
    </row>
    <row r="228" spans="3:22" x14ac:dyDescent="0.3">
      <c r="C228" s="2088"/>
      <c r="E228" s="252"/>
      <c r="F228" s="252"/>
      <c r="G228" s="252"/>
      <c r="J228" s="230"/>
      <c r="L228" s="252" t="s">
        <v>706</v>
      </c>
      <c r="M228" s="252" t="s">
        <v>1072</v>
      </c>
      <c r="N228" s="252"/>
      <c r="P228" s="252"/>
      <c r="Q228" s="252"/>
      <c r="S228" s="348"/>
      <c r="T228" s="348"/>
      <c r="U228" s="1043"/>
      <c r="V228" s="2088"/>
    </row>
    <row r="229" spans="3:22" x14ac:dyDescent="0.3">
      <c r="C229" s="2088"/>
      <c r="E229" s="252"/>
      <c r="F229" s="252"/>
      <c r="G229" s="252"/>
      <c r="J229" s="230"/>
      <c r="N229" s="252"/>
      <c r="P229" s="252"/>
      <c r="Q229" s="252"/>
      <c r="S229" s="348"/>
      <c r="T229" s="348"/>
      <c r="U229" s="1043"/>
      <c r="V229" s="2088"/>
    </row>
    <row r="230" spans="3:22" x14ac:dyDescent="0.3">
      <c r="C230" s="2088"/>
      <c r="E230" s="252"/>
      <c r="F230" s="252"/>
      <c r="G230" s="252"/>
      <c r="J230" s="230"/>
      <c r="L230" s="252"/>
      <c r="M230" s="252"/>
      <c r="N230" s="252"/>
      <c r="P230" s="252"/>
      <c r="Q230" s="252"/>
      <c r="S230" s="348"/>
      <c r="T230" s="348"/>
      <c r="U230" s="1043"/>
      <c r="V230" s="2088"/>
    </row>
    <row r="231" spans="3:22" x14ac:dyDescent="0.3">
      <c r="C231" s="2088"/>
      <c r="E231" s="252"/>
      <c r="F231" s="252"/>
      <c r="G231" s="252"/>
      <c r="J231" s="230"/>
      <c r="N231" s="252"/>
      <c r="P231" s="252"/>
      <c r="Q231" s="252"/>
      <c r="S231" s="348"/>
      <c r="T231" s="348"/>
      <c r="U231" s="1043"/>
      <c r="V231" s="2088"/>
    </row>
    <row r="235" spans="3:22" x14ac:dyDescent="0.3">
      <c r="J235" s="211">
        <f>J199/J159</f>
        <v>1.0675763482781027</v>
      </c>
      <c r="K235" s="211">
        <f>K199/K159</f>
        <v>1.0685955786736021</v>
      </c>
      <c r="P235" s="211">
        <f>P199/P159</f>
        <v>2.7959254947613505</v>
      </c>
      <c r="Q235" s="211">
        <f>Q199/Q159</f>
        <v>2.8261241865244409</v>
      </c>
      <c r="T235" s="211">
        <f>T202/T162</f>
        <v>0.92256887205469473</v>
      </c>
      <c r="U235" s="211">
        <f>U202/U162</f>
        <v>0.94694321390093672</v>
      </c>
    </row>
    <row r="236" spans="3:22" x14ac:dyDescent="0.3">
      <c r="J236" s="350">
        <f>J235^(1/10)-1</f>
        <v>6.5605250019598049E-3</v>
      </c>
      <c r="K236" s="350">
        <f>K235^(1/10)-1</f>
        <v>6.6565815129533412E-3</v>
      </c>
      <c r="P236" s="227">
        <f>P235^(1/10)-1</f>
        <v>0.10828781751596006</v>
      </c>
      <c r="Q236" s="227">
        <f>Q235^(1/10)-1</f>
        <v>0.10947909651436749</v>
      </c>
      <c r="T236" s="350">
        <f>T235^(1/10)-1</f>
        <v>-8.0269354924169534E-3</v>
      </c>
      <c r="U236" s="350">
        <f>U235^(1/10)-1</f>
        <v>-5.4367820925428356E-3</v>
      </c>
    </row>
    <row r="241" spans="16:17" x14ac:dyDescent="0.3">
      <c r="P241" s="211" t="s">
        <v>3274</v>
      </c>
      <c r="Q241" s="2228">
        <f>Q159/K159</f>
        <v>53152.145643693111</v>
      </c>
    </row>
    <row r="242" spans="16:17" x14ac:dyDescent="0.3">
      <c r="P242" s="211" t="s">
        <v>3275</v>
      </c>
      <c r="Q242" s="211">
        <f>Q199/K199</f>
        <v>140571.95010648007</v>
      </c>
    </row>
    <row r="243" spans="16:17" x14ac:dyDescent="0.3">
      <c r="Q243" s="211">
        <f>Q242/Q241</f>
        <v>2.6447088523727351</v>
      </c>
    </row>
    <row r="244" spans="16:17" x14ac:dyDescent="0.3">
      <c r="Q244" s="211">
        <f>Q243^(1/10)-1</f>
        <v>0.10214259449521235</v>
      </c>
    </row>
  </sheetData>
  <pageMargins left="0.7" right="0.7" top="0.75" bottom="0.75" header="0.3" footer="0.3"/>
  <pageSetup orientation="portrait" r:id="rId1"/>
  <drawing r:id="rId2"/>
  <tableParts count="1">
    <tablePart r:id="rId3"/>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11397-D7F9-4DB7-9722-EE7FC6E9BD02}">
  <sheetPr>
    <tabColor theme="4"/>
  </sheetPr>
  <dimension ref="A1:K1260"/>
  <sheetViews>
    <sheetView workbookViewId="0">
      <pane xSplit="1" ySplit="1" topLeftCell="B1043" activePane="bottomRight" state="frozen"/>
      <selection pane="topRight" activeCell="B1" sqref="B1"/>
      <selection pane="bottomLeft" activeCell="A2" sqref="A2"/>
      <selection pane="bottomRight" activeCell="J1065" sqref="J1065"/>
    </sheetView>
  </sheetViews>
  <sheetFormatPr defaultRowHeight="15.6" x14ac:dyDescent="0.3"/>
  <cols>
    <col min="1" max="1" width="14.33203125" style="2677" customWidth="1"/>
    <col min="2" max="16384" width="8.88671875" style="2677"/>
  </cols>
  <sheetData>
    <row r="1" spans="1:7" x14ac:dyDescent="0.3">
      <c r="A1" s="2677" t="s">
        <v>2938</v>
      </c>
      <c r="B1" s="2677" t="s">
        <v>3694</v>
      </c>
      <c r="C1" s="2677" t="s">
        <v>2904</v>
      </c>
      <c r="D1" s="2677" t="s">
        <v>2905</v>
      </c>
      <c r="E1" s="2677" t="s">
        <v>3693</v>
      </c>
      <c r="F1" s="2677" t="s">
        <v>3692</v>
      </c>
      <c r="G1" s="2677" t="s">
        <v>3691</v>
      </c>
    </row>
    <row r="2" spans="1:7" x14ac:dyDescent="0.3">
      <c r="A2" s="2678">
        <v>42310</v>
      </c>
      <c r="B2" s="2677">
        <v>205200</v>
      </c>
      <c r="C2" s="2677">
        <v>207780</v>
      </c>
      <c r="D2" s="2677">
        <v>204620</v>
      </c>
      <c r="E2" s="2677">
        <v>207745</v>
      </c>
      <c r="F2" s="2677">
        <v>207745</v>
      </c>
      <c r="G2" s="2677">
        <v>200</v>
      </c>
    </row>
    <row r="3" spans="1:7" x14ac:dyDescent="0.3">
      <c r="A3" s="2678">
        <v>42311</v>
      </c>
      <c r="B3" s="2677">
        <v>207340</v>
      </c>
      <c r="C3" s="2677">
        <v>207760</v>
      </c>
      <c r="D3" s="2677">
        <v>206655</v>
      </c>
      <c r="E3" s="2677">
        <v>206704</v>
      </c>
      <c r="F3" s="2677">
        <v>206704</v>
      </c>
      <c r="G3" s="2677">
        <v>200</v>
      </c>
    </row>
    <row r="4" spans="1:7" x14ac:dyDescent="0.3">
      <c r="A4" s="2678">
        <v>42312</v>
      </c>
      <c r="B4" s="2677">
        <v>206704</v>
      </c>
      <c r="C4" s="2677">
        <v>206965</v>
      </c>
      <c r="D4" s="2677">
        <v>205769</v>
      </c>
      <c r="E4" s="2677">
        <v>206120</v>
      </c>
      <c r="F4" s="2677">
        <v>206120</v>
      </c>
      <c r="G4" s="2677">
        <v>200</v>
      </c>
    </row>
    <row r="5" spans="1:7" x14ac:dyDescent="0.3">
      <c r="A5" s="2678">
        <v>42313</v>
      </c>
      <c r="B5" s="2677">
        <v>206050</v>
      </c>
      <c r="C5" s="2677">
        <v>207000</v>
      </c>
      <c r="D5" s="2677">
        <v>204550</v>
      </c>
      <c r="E5" s="2677">
        <v>204694</v>
      </c>
      <c r="F5" s="2677">
        <v>204694</v>
      </c>
      <c r="G5" s="2677">
        <v>300</v>
      </c>
    </row>
    <row r="6" spans="1:7" x14ac:dyDescent="0.3">
      <c r="A6" s="2678">
        <v>42314</v>
      </c>
      <c r="B6" s="2677">
        <v>205340</v>
      </c>
      <c r="C6" s="2677">
        <v>205540</v>
      </c>
      <c r="D6" s="2677">
        <v>202767</v>
      </c>
      <c r="E6" s="2677">
        <v>203100</v>
      </c>
      <c r="F6" s="2677">
        <v>203100</v>
      </c>
      <c r="G6" s="2677">
        <v>500</v>
      </c>
    </row>
    <row r="7" spans="1:7" x14ac:dyDescent="0.3">
      <c r="A7" s="2678">
        <v>42317</v>
      </c>
      <c r="B7" s="2677">
        <v>203240</v>
      </c>
      <c r="C7" s="2677">
        <v>203435</v>
      </c>
      <c r="D7" s="2677">
        <v>200120</v>
      </c>
      <c r="E7" s="2677">
        <v>201000</v>
      </c>
      <c r="F7" s="2677">
        <v>201000</v>
      </c>
      <c r="G7" s="2677">
        <v>400</v>
      </c>
    </row>
    <row r="8" spans="1:7" x14ac:dyDescent="0.3">
      <c r="A8" s="2678">
        <v>42318</v>
      </c>
      <c r="B8" s="2677">
        <v>201450</v>
      </c>
      <c r="C8" s="2677">
        <v>201815</v>
      </c>
      <c r="D8" s="2677">
        <v>200500</v>
      </c>
      <c r="E8" s="2677">
        <v>201754</v>
      </c>
      <c r="F8" s="2677">
        <v>201754</v>
      </c>
      <c r="G8" s="2677">
        <v>100</v>
      </c>
    </row>
    <row r="9" spans="1:7" x14ac:dyDescent="0.3">
      <c r="A9" s="2678">
        <v>42319</v>
      </c>
      <c r="B9" s="2677">
        <v>202000</v>
      </c>
      <c r="C9" s="2677">
        <v>202829</v>
      </c>
      <c r="D9" s="2677">
        <v>201375</v>
      </c>
      <c r="E9" s="2677">
        <v>202355</v>
      </c>
      <c r="F9" s="2677">
        <v>202355</v>
      </c>
      <c r="G9" s="2677">
        <v>100</v>
      </c>
    </row>
    <row r="10" spans="1:7" x14ac:dyDescent="0.3">
      <c r="A10" s="2678">
        <v>42320</v>
      </c>
      <c r="B10" s="2677">
        <v>201989</v>
      </c>
      <c r="C10" s="2677">
        <v>201989</v>
      </c>
      <c r="D10" s="2677">
        <v>199240</v>
      </c>
      <c r="E10" s="2677">
        <v>199371</v>
      </c>
      <c r="F10" s="2677">
        <v>199371</v>
      </c>
      <c r="G10" s="2677">
        <v>200</v>
      </c>
    </row>
    <row r="11" spans="1:7" x14ac:dyDescent="0.3">
      <c r="A11" s="2678">
        <v>42321</v>
      </c>
      <c r="B11" s="2677">
        <v>199500</v>
      </c>
      <c r="C11" s="2677">
        <v>200260</v>
      </c>
      <c r="D11" s="2677">
        <v>197760</v>
      </c>
      <c r="E11" s="2677">
        <v>197825</v>
      </c>
      <c r="F11" s="2677">
        <v>197825</v>
      </c>
      <c r="G11" s="2677">
        <v>100</v>
      </c>
    </row>
    <row r="12" spans="1:7" x14ac:dyDescent="0.3">
      <c r="A12" s="2678">
        <v>42324</v>
      </c>
      <c r="B12" s="2677">
        <v>197899</v>
      </c>
      <c r="C12" s="2677">
        <v>199860</v>
      </c>
      <c r="D12" s="2677">
        <v>197280</v>
      </c>
      <c r="E12" s="2677">
        <v>199800</v>
      </c>
      <c r="F12" s="2677">
        <v>199800</v>
      </c>
      <c r="G12" s="2677">
        <v>400</v>
      </c>
    </row>
    <row r="13" spans="1:7" x14ac:dyDescent="0.3">
      <c r="A13" s="2678">
        <v>42325</v>
      </c>
      <c r="B13" s="2677">
        <v>200400</v>
      </c>
      <c r="C13" s="2677">
        <v>200805</v>
      </c>
      <c r="D13" s="2677">
        <v>199120</v>
      </c>
      <c r="E13" s="2677">
        <v>200045</v>
      </c>
      <c r="F13" s="2677">
        <v>200045</v>
      </c>
      <c r="G13" s="2677">
        <v>400</v>
      </c>
    </row>
    <row r="14" spans="1:7" x14ac:dyDescent="0.3">
      <c r="A14" s="2678">
        <v>42326</v>
      </c>
      <c r="B14" s="2677">
        <v>200100</v>
      </c>
      <c r="C14" s="2677">
        <v>204415</v>
      </c>
      <c r="D14" s="2677">
        <v>200100</v>
      </c>
      <c r="E14" s="2677">
        <v>204280</v>
      </c>
      <c r="F14" s="2677">
        <v>204280</v>
      </c>
      <c r="G14" s="2677">
        <v>300</v>
      </c>
    </row>
    <row r="15" spans="1:7" x14ac:dyDescent="0.3">
      <c r="A15" s="2678">
        <v>42327</v>
      </c>
      <c r="B15" s="2677">
        <v>204130</v>
      </c>
      <c r="C15" s="2677">
        <v>205298</v>
      </c>
      <c r="D15" s="2677">
        <v>203530</v>
      </c>
      <c r="E15" s="2677">
        <v>204901</v>
      </c>
      <c r="F15" s="2677">
        <v>204901</v>
      </c>
      <c r="G15" s="2677">
        <v>300</v>
      </c>
    </row>
    <row r="16" spans="1:7" x14ac:dyDescent="0.3">
      <c r="A16" s="2678">
        <v>42328</v>
      </c>
      <c r="B16" s="2677">
        <v>205500</v>
      </c>
      <c r="C16" s="2677">
        <v>206069</v>
      </c>
      <c r="D16" s="2677">
        <v>203989</v>
      </c>
      <c r="E16" s="2677">
        <v>204600</v>
      </c>
      <c r="F16" s="2677">
        <v>204600</v>
      </c>
      <c r="G16" s="2677">
        <v>200</v>
      </c>
    </row>
    <row r="17" spans="1:7" x14ac:dyDescent="0.3">
      <c r="A17" s="2678">
        <v>42331</v>
      </c>
      <c r="B17" s="2677">
        <v>204800</v>
      </c>
      <c r="C17" s="2677">
        <v>205130</v>
      </c>
      <c r="D17" s="2677">
        <v>203779</v>
      </c>
      <c r="E17" s="2677">
        <v>203779</v>
      </c>
      <c r="F17" s="2677">
        <v>203779</v>
      </c>
      <c r="G17" s="2677">
        <v>100</v>
      </c>
    </row>
    <row r="18" spans="1:7" x14ac:dyDescent="0.3">
      <c r="A18" s="2678">
        <v>42332</v>
      </c>
      <c r="B18" s="2677">
        <v>203320</v>
      </c>
      <c r="C18" s="2677">
        <v>203755</v>
      </c>
      <c r="D18" s="2677">
        <v>201253</v>
      </c>
      <c r="E18" s="2677">
        <v>203360</v>
      </c>
      <c r="F18" s="2677">
        <v>203360</v>
      </c>
      <c r="G18" s="2677">
        <v>200</v>
      </c>
    </row>
    <row r="19" spans="1:7" x14ac:dyDescent="0.3">
      <c r="A19" s="2678">
        <v>42333</v>
      </c>
      <c r="B19" s="2677">
        <v>203470</v>
      </c>
      <c r="C19" s="2677">
        <v>203805</v>
      </c>
      <c r="D19" s="2677">
        <v>202285</v>
      </c>
      <c r="E19" s="2677">
        <v>202285</v>
      </c>
      <c r="F19" s="2677">
        <v>202285</v>
      </c>
      <c r="G19" s="2677">
        <v>200</v>
      </c>
    </row>
    <row r="20" spans="1:7" x14ac:dyDescent="0.3">
      <c r="A20" s="2678">
        <v>42335</v>
      </c>
      <c r="B20" s="2677">
        <v>203045</v>
      </c>
      <c r="C20" s="2677">
        <v>203080</v>
      </c>
      <c r="D20" s="2677">
        <v>201624</v>
      </c>
      <c r="E20" s="2677">
        <v>201624</v>
      </c>
      <c r="F20" s="2677">
        <v>201624</v>
      </c>
      <c r="G20" s="2677">
        <v>100</v>
      </c>
    </row>
    <row r="21" spans="1:7" x14ac:dyDescent="0.3">
      <c r="A21" s="2678">
        <v>42338</v>
      </c>
      <c r="B21" s="2677">
        <v>202051</v>
      </c>
      <c r="C21" s="2677">
        <v>202567</v>
      </c>
      <c r="D21" s="2677">
        <v>200794</v>
      </c>
      <c r="E21" s="2677">
        <v>201360</v>
      </c>
      <c r="F21" s="2677">
        <v>201360</v>
      </c>
      <c r="G21" s="2677">
        <v>200</v>
      </c>
    </row>
    <row r="22" spans="1:7" x14ac:dyDescent="0.3">
      <c r="A22" s="2678">
        <v>42339</v>
      </c>
      <c r="B22" s="2677">
        <v>201850</v>
      </c>
      <c r="C22" s="2677">
        <v>204945</v>
      </c>
      <c r="D22" s="2677">
        <v>201850</v>
      </c>
      <c r="E22" s="2677">
        <v>204945</v>
      </c>
      <c r="F22" s="2677">
        <v>204945</v>
      </c>
      <c r="G22" s="2677">
        <v>300</v>
      </c>
    </row>
    <row r="23" spans="1:7" x14ac:dyDescent="0.3">
      <c r="A23" s="2678">
        <v>42340</v>
      </c>
      <c r="B23" s="2677">
        <v>204740</v>
      </c>
      <c r="C23" s="2677">
        <v>205015</v>
      </c>
      <c r="D23" s="2677">
        <v>202683</v>
      </c>
      <c r="E23" s="2677">
        <v>202930</v>
      </c>
      <c r="F23" s="2677">
        <v>202930</v>
      </c>
      <c r="G23" s="2677">
        <v>200</v>
      </c>
    </row>
    <row r="24" spans="1:7" x14ac:dyDescent="0.3">
      <c r="A24" s="2678">
        <v>42341</v>
      </c>
      <c r="B24" s="2677">
        <v>202800</v>
      </c>
      <c r="C24" s="2677">
        <v>202910</v>
      </c>
      <c r="D24" s="2677">
        <v>198540</v>
      </c>
      <c r="E24" s="2677">
        <v>198801</v>
      </c>
      <c r="F24" s="2677">
        <v>198801</v>
      </c>
      <c r="G24" s="2677">
        <v>300</v>
      </c>
    </row>
    <row r="25" spans="1:7" x14ac:dyDescent="0.3">
      <c r="A25" s="2678">
        <v>42342</v>
      </c>
      <c r="B25" s="2677">
        <v>199800</v>
      </c>
      <c r="C25" s="2677">
        <v>204705</v>
      </c>
      <c r="D25" s="2677">
        <v>199800</v>
      </c>
      <c r="E25" s="2677">
        <v>204500</v>
      </c>
      <c r="F25" s="2677">
        <v>204500</v>
      </c>
      <c r="G25" s="2677">
        <v>500</v>
      </c>
    </row>
    <row r="26" spans="1:7" x14ac:dyDescent="0.3">
      <c r="A26" s="2678">
        <v>42345</v>
      </c>
      <c r="B26" s="2677">
        <v>204473</v>
      </c>
      <c r="C26" s="2677">
        <v>204473</v>
      </c>
      <c r="D26" s="2677">
        <v>202060</v>
      </c>
      <c r="E26" s="2677">
        <v>203500</v>
      </c>
      <c r="F26" s="2677">
        <v>203500</v>
      </c>
      <c r="G26" s="2677">
        <v>200</v>
      </c>
    </row>
    <row r="27" spans="1:7" x14ac:dyDescent="0.3">
      <c r="A27" s="2678">
        <v>42346</v>
      </c>
      <c r="B27" s="2677">
        <v>202005</v>
      </c>
      <c r="C27" s="2677">
        <v>202200</v>
      </c>
      <c r="D27" s="2677">
        <v>199900</v>
      </c>
      <c r="E27" s="2677">
        <v>200105</v>
      </c>
      <c r="F27" s="2677">
        <v>200105</v>
      </c>
      <c r="G27" s="2677">
        <v>300</v>
      </c>
    </row>
    <row r="28" spans="1:7" x14ac:dyDescent="0.3">
      <c r="A28" s="2678">
        <v>42347</v>
      </c>
      <c r="B28" s="2677">
        <v>199760</v>
      </c>
      <c r="C28" s="2677">
        <v>201140</v>
      </c>
      <c r="D28" s="2677">
        <v>196850</v>
      </c>
      <c r="E28" s="2677">
        <v>197660</v>
      </c>
      <c r="F28" s="2677">
        <v>197660</v>
      </c>
      <c r="G28" s="2677">
        <v>400</v>
      </c>
    </row>
    <row r="29" spans="1:7" x14ac:dyDescent="0.3">
      <c r="A29" s="2678">
        <v>42348</v>
      </c>
      <c r="B29" s="2677">
        <v>197940</v>
      </c>
      <c r="C29" s="2677">
        <v>198826</v>
      </c>
      <c r="D29" s="2677">
        <v>197000</v>
      </c>
      <c r="E29" s="2677">
        <v>197505</v>
      </c>
      <c r="F29" s="2677">
        <v>197505</v>
      </c>
      <c r="G29" s="2677">
        <v>400</v>
      </c>
    </row>
    <row r="30" spans="1:7" x14ac:dyDescent="0.3">
      <c r="A30" s="2678">
        <v>42349</v>
      </c>
      <c r="B30" s="2677">
        <v>195750</v>
      </c>
      <c r="C30" s="2677">
        <v>196357</v>
      </c>
      <c r="D30" s="2677">
        <v>194500</v>
      </c>
      <c r="E30" s="2677">
        <v>195757</v>
      </c>
      <c r="F30" s="2677">
        <v>195757</v>
      </c>
      <c r="G30" s="2677">
        <v>300</v>
      </c>
    </row>
    <row r="31" spans="1:7" x14ac:dyDescent="0.3">
      <c r="A31" s="2678">
        <v>42352</v>
      </c>
      <c r="B31" s="2677">
        <v>195620</v>
      </c>
      <c r="C31" s="2677">
        <v>198212</v>
      </c>
      <c r="D31" s="2677">
        <v>195270</v>
      </c>
      <c r="E31" s="2677">
        <v>198040</v>
      </c>
      <c r="F31" s="2677">
        <v>198040</v>
      </c>
      <c r="G31" s="2677">
        <v>400</v>
      </c>
    </row>
    <row r="32" spans="1:7" x14ac:dyDescent="0.3">
      <c r="A32" s="2678">
        <v>42353</v>
      </c>
      <c r="B32" s="2677">
        <v>199600</v>
      </c>
      <c r="C32" s="2677">
        <v>203320</v>
      </c>
      <c r="D32" s="2677">
        <v>199400</v>
      </c>
      <c r="E32" s="2677">
        <v>202440</v>
      </c>
      <c r="F32" s="2677">
        <v>202440</v>
      </c>
      <c r="G32" s="2677">
        <v>500</v>
      </c>
    </row>
    <row r="33" spans="1:11" x14ac:dyDescent="0.3">
      <c r="A33" s="2678">
        <v>42354</v>
      </c>
      <c r="B33" s="2677">
        <v>203460</v>
      </c>
      <c r="C33" s="2677">
        <v>204100</v>
      </c>
      <c r="D33" s="2677">
        <v>199939</v>
      </c>
      <c r="E33" s="2677">
        <v>203800</v>
      </c>
      <c r="F33" s="2677">
        <v>203800</v>
      </c>
      <c r="G33" s="2677">
        <v>600</v>
      </c>
    </row>
    <row r="34" spans="1:11" x14ac:dyDescent="0.3">
      <c r="A34" s="2678">
        <v>42355</v>
      </c>
      <c r="B34" s="2677">
        <v>203600</v>
      </c>
      <c r="C34" s="2677">
        <v>204000</v>
      </c>
      <c r="D34" s="2677">
        <v>200920</v>
      </c>
      <c r="E34" s="2677">
        <v>201000</v>
      </c>
      <c r="F34" s="2677">
        <v>201000</v>
      </c>
      <c r="G34" s="2677">
        <v>200</v>
      </c>
    </row>
    <row r="35" spans="1:11" x14ac:dyDescent="0.3">
      <c r="A35" s="2678">
        <v>42356</v>
      </c>
      <c r="B35" s="2677">
        <v>199161</v>
      </c>
      <c r="C35" s="2677">
        <v>199400</v>
      </c>
      <c r="D35" s="2677">
        <v>194720</v>
      </c>
      <c r="E35" s="2677">
        <v>194720</v>
      </c>
      <c r="F35" s="2677">
        <v>194720</v>
      </c>
      <c r="G35" s="2677">
        <v>600</v>
      </c>
    </row>
    <row r="36" spans="1:11" x14ac:dyDescent="0.3">
      <c r="A36" s="2678">
        <v>42359</v>
      </c>
      <c r="B36" s="2677">
        <v>196398</v>
      </c>
      <c r="C36" s="2677">
        <v>197500</v>
      </c>
      <c r="D36" s="2677">
        <v>194500</v>
      </c>
      <c r="E36" s="2677">
        <v>196801</v>
      </c>
      <c r="F36" s="2677">
        <v>196801</v>
      </c>
      <c r="G36" s="2677">
        <v>400</v>
      </c>
    </row>
    <row r="37" spans="1:11" x14ac:dyDescent="0.3">
      <c r="A37" s="2678">
        <v>42360</v>
      </c>
      <c r="B37" s="2677">
        <v>197798</v>
      </c>
      <c r="C37" s="2677">
        <v>199920</v>
      </c>
      <c r="D37" s="2677">
        <v>196680</v>
      </c>
      <c r="E37" s="2677">
        <v>199680</v>
      </c>
      <c r="F37" s="2677">
        <v>199680</v>
      </c>
      <c r="G37" s="2677">
        <v>500</v>
      </c>
    </row>
    <row r="38" spans="1:11" x14ac:dyDescent="0.3">
      <c r="A38" s="2678">
        <v>42361</v>
      </c>
      <c r="B38" s="2677">
        <v>200000</v>
      </c>
      <c r="C38" s="2677">
        <v>203600</v>
      </c>
      <c r="D38" s="2677">
        <v>199860</v>
      </c>
      <c r="E38" s="2677">
        <v>200000</v>
      </c>
      <c r="F38" s="2677">
        <v>200000</v>
      </c>
      <c r="G38" s="2677">
        <v>500</v>
      </c>
    </row>
    <row r="39" spans="1:11" x14ac:dyDescent="0.3">
      <c r="A39" s="2678">
        <v>42362</v>
      </c>
      <c r="B39" s="2677">
        <v>201035</v>
      </c>
      <c r="C39" s="2677">
        <v>201624</v>
      </c>
      <c r="D39" s="2677">
        <v>200225</v>
      </c>
      <c r="E39" s="2677">
        <v>201137</v>
      </c>
      <c r="F39" s="2677">
        <v>201137</v>
      </c>
      <c r="G39" s="2677">
        <v>100</v>
      </c>
    </row>
    <row r="40" spans="1:11" x14ac:dyDescent="0.3">
      <c r="A40" s="2678">
        <v>42366</v>
      </c>
      <c r="B40" s="2677">
        <v>200200</v>
      </c>
      <c r="C40" s="2677">
        <v>200200</v>
      </c>
      <c r="D40" s="2677">
        <v>198800</v>
      </c>
      <c r="E40" s="2677">
        <v>199876</v>
      </c>
      <c r="F40" s="2677">
        <v>199876</v>
      </c>
      <c r="G40" s="2677">
        <v>300</v>
      </c>
    </row>
    <row r="41" spans="1:11" x14ac:dyDescent="0.3">
      <c r="A41" s="2678">
        <v>42367</v>
      </c>
      <c r="B41" s="2677">
        <v>200500</v>
      </c>
      <c r="C41" s="2677">
        <v>201800</v>
      </c>
      <c r="D41" s="2677">
        <v>199480</v>
      </c>
      <c r="E41" s="2677">
        <v>200050</v>
      </c>
      <c r="F41" s="2677">
        <v>200050</v>
      </c>
      <c r="G41" s="2677">
        <v>400</v>
      </c>
    </row>
    <row r="42" spans="1:11" x14ac:dyDescent="0.3">
      <c r="A42" s="2678">
        <v>42368</v>
      </c>
      <c r="B42" s="2677">
        <v>200520</v>
      </c>
      <c r="C42" s="2677">
        <v>201150</v>
      </c>
      <c r="D42" s="2677">
        <v>199740</v>
      </c>
      <c r="E42" s="2677">
        <v>200081</v>
      </c>
      <c r="F42" s="2677">
        <v>200081</v>
      </c>
      <c r="G42" s="2677">
        <v>300</v>
      </c>
    </row>
    <row r="43" spans="1:11" x14ac:dyDescent="0.3">
      <c r="A43" s="2678">
        <v>42369</v>
      </c>
      <c r="B43" s="2677">
        <v>199220</v>
      </c>
      <c r="C43" s="2677">
        <v>200000</v>
      </c>
      <c r="D43" s="2677">
        <v>197800</v>
      </c>
      <c r="E43" s="2677">
        <v>197800</v>
      </c>
      <c r="F43" s="2677">
        <v>197800</v>
      </c>
      <c r="G43" s="2677">
        <v>300</v>
      </c>
    </row>
    <row r="44" spans="1:11" x14ac:dyDescent="0.3">
      <c r="A44" s="2678">
        <v>42373</v>
      </c>
      <c r="B44" s="2677">
        <v>195000</v>
      </c>
      <c r="C44" s="2677">
        <v>196760</v>
      </c>
      <c r="D44" s="2677">
        <v>193300</v>
      </c>
      <c r="E44" s="2677">
        <v>196295</v>
      </c>
      <c r="F44" s="2677">
        <v>196295</v>
      </c>
      <c r="G44" s="2677">
        <v>800</v>
      </c>
      <c r="I44" s="2677">
        <f>MAX(C44:C104)</f>
        <v>215130</v>
      </c>
      <c r="J44" s="2677">
        <f>MIN(D44:D104)</f>
        <v>186900</v>
      </c>
      <c r="K44" s="2677" t="s">
        <v>3690</v>
      </c>
    </row>
    <row r="45" spans="1:11" x14ac:dyDescent="0.3">
      <c r="A45" s="2678">
        <v>42374</v>
      </c>
      <c r="B45" s="2677">
        <v>196300</v>
      </c>
      <c r="C45" s="2677">
        <v>197314</v>
      </c>
      <c r="D45" s="2677">
        <v>195000</v>
      </c>
      <c r="E45" s="2677">
        <v>197000</v>
      </c>
      <c r="F45" s="2677">
        <v>197000</v>
      </c>
      <c r="G45" s="2677">
        <v>500</v>
      </c>
    </row>
    <row r="46" spans="1:11" x14ac:dyDescent="0.3">
      <c r="A46" s="2678">
        <v>42375</v>
      </c>
      <c r="B46" s="2677">
        <v>195041</v>
      </c>
      <c r="C46" s="2677">
        <v>197880</v>
      </c>
      <c r="D46" s="2677">
        <v>194701</v>
      </c>
      <c r="E46" s="2677">
        <v>197415</v>
      </c>
      <c r="F46" s="2677">
        <v>197415</v>
      </c>
      <c r="G46" s="2677">
        <v>600</v>
      </c>
    </row>
    <row r="47" spans="1:11" x14ac:dyDescent="0.3">
      <c r="A47" s="2678">
        <v>42376</v>
      </c>
      <c r="B47" s="2677">
        <v>194299</v>
      </c>
      <c r="C47" s="2677">
        <v>196200</v>
      </c>
      <c r="D47" s="2677">
        <v>194000</v>
      </c>
      <c r="E47" s="2677">
        <v>195580</v>
      </c>
      <c r="F47" s="2677">
        <v>195580</v>
      </c>
      <c r="G47" s="2677">
        <v>1100</v>
      </c>
    </row>
    <row r="48" spans="1:11" x14ac:dyDescent="0.3">
      <c r="A48" s="2678">
        <v>42377</v>
      </c>
      <c r="B48" s="2677">
        <v>195650</v>
      </c>
      <c r="C48" s="2677">
        <v>196000</v>
      </c>
      <c r="D48" s="2677">
        <v>193275</v>
      </c>
      <c r="E48" s="2677">
        <v>193900</v>
      </c>
      <c r="F48" s="2677">
        <v>193900</v>
      </c>
      <c r="G48" s="2677">
        <v>400</v>
      </c>
    </row>
    <row r="49" spans="1:7" x14ac:dyDescent="0.3">
      <c r="A49" s="2678">
        <v>42380</v>
      </c>
      <c r="B49" s="2677">
        <v>194140</v>
      </c>
      <c r="C49" s="2677">
        <v>194810</v>
      </c>
      <c r="D49" s="2677">
        <v>191461</v>
      </c>
      <c r="E49" s="2677">
        <v>193060</v>
      </c>
      <c r="F49" s="2677">
        <v>193060</v>
      </c>
      <c r="G49" s="2677">
        <v>300</v>
      </c>
    </row>
    <row r="50" spans="1:7" x14ac:dyDescent="0.3">
      <c r="A50" s="2678">
        <v>42381</v>
      </c>
      <c r="B50" s="2677">
        <v>193900</v>
      </c>
      <c r="C50" s="2677">
        <v>194740</v>
      </c>
      <c r="D50" s="2677">
        <v>191700</v>
      </c>
      <c r="E50" s="2677">
        <v>194000</v>
      </c>
      <c r="F50" s="2677">
        <v>194000</v>
      </c>
      <c r="G50" s="2677">
        <v>300</v>
      </c>
    </row>
    <row r="51" spans="1:7" x14ac:dyDescent="0.3">
      <c r="A51" s="2678">
        <v>42382</v>
      </c>
      <c r="B51" s="2677">
        <v>194100</v>
      </c>
      <c r="C51" s="2677">
        <v>194339</v>
      </c>
      <c r="D51" s="2677">
        <v>189540</v>
      </c>
      <c r="E51" s="2677">
        <v>190500</v>
      </c>
      <c r="F51" s="2677">
        <v>190500</v>
      </c>
      <c r="G51" s="2677">
        <v>500</v>
      </c>
    </row>
    <row r="52" spans="1:7" x14ac:dyDescent="0.3">
      <c r="A52" s="2678">
        <v>42383</v>
      </c>
      <c r="B52" s="2677">
        <v>190150</v>
      </c>
      <c r="C52" s="2677">
        <v>194000</v>
      </c>
      <c r="D52" s="2677">
        <v>189661</v>
      </c>
      <c r="E52" s="2677">
        <v>192250</v>
      </c>
      <c r="F52" s="2677">
        <v>192250</v>
      </c>
      <c r="G52" s="2677">
        <v>300</v>
      </c>
    </row>
    <row r="53" spans="1:7" x14ac:dyDescent="0.3">
      <c r="A53" s="2678">
        <v>42384</v>
      </c>
      <c r="B53" s="2677">
        <v>188520</v>
      </c>
      <c r="C53" s="2677">
        <v>191200</v>
      </c>
      <c r="D53" s="2677">
        <v>187655</v>
      </c>
      <c r="E53" s="2677">
        <v>190000</v>
      </c>
      <c r="F53" s="2677">
        <v>190000</v>
      </c>
      <c r="G53" s="2677">
        <v>600</v>
      </c>
    </row>
    <row r="54" spans="1:7" x14ac:dyDescent="0.3">
      <c r="A54" s="2678">
        <v>42388</v>
      </c>
      <c r="B54" s="2677">
        <v>191005</v>
      </c>
      <c r="C54" s="2677">
        <v>192938</v>
      </c>
      <c r="D54" s="2677">
        <v>191000</v>
      </c>
      <c r="E54" s="2677">
        <v>191700</v>
      </c>
      <c r="F54" s="2677">
        <v>191700</v>
      </c>
      <c r="G54" s="2677">
        <v>300</v>
      </c>
    </row>
    <row r="55" spans="1:7" x14ac:dyDescent="0.3">
      <c r="A55" s="2678">
        <v>42389</v>
      </c>
      <c r="B55" s="2677">
        <v>188620</v>
      </c>
      <c r="C55" s="2677">
        <v>189959</v>
      </c>
      <c r="D55" s="2677">
        <v>187100</v>
      </c>
      <c r="E55" s="2677">
        <v>188470</v>
      </c>
      <c r="F55" s="2677">
        <v>188470</v>
      </c>
      <c r="G55" s="2677">
        <v>500</v>
      </c>
    </row>
    <row r="56" spans="1:7" x14ac:dyDescent="0.3">
      <c r="A56" s="2678">
        <v>42390</v>
      </c>
      <c r="B56" s="2677">
        <v>188501</v>
      </c>
      <c r="C56" s="2677">
        <v>190750</v>
      </c>
      <c r="D56" s="2677">
        <v>187500</v>
      </c>
      <c r="E56" s="2677">
        <v>189455</v>
      </c>
      <c r="F56" s="2677">
        <v>189455</v>
      </c>
      <c r="G56" s="2677">
        <v>200</v>
      </c>
    </row>
    <row r="57" spans="1:7" x14ac:dyDescent="0.3">
      <c r="A57" s="2678">
        <v>42391</v>
      </c>
      <c r="B57" s="2677">
        <v>191901</v>
      </c>
      <c r="C57" s="2677">
        <v>192260</v>
      </c>
      <c r="D57" s="2677">
        <v>189990</v>
      </c>
      <c r="E57" s="2677">
        <v>191396</v>
      </c>
      <c r="F57" s="2677">
        <v>191396</v>
      </c>
      <c r="G57" s="2677">
        <v>200</v>
      </c>
    </row>
    <row r="58" spans="1:7" x14ac:dyDescent="0.3">
      <c r="A58" s="2678">
        <v>42394</v>
      </c>
      <c r="B58" s="2677">
        <v>190000</v>
      </c>
      <c r="C58" s="2677">
        <v>190000</v>
      </c>
      <c r="D58" s="2677">
        <v>186900</v>
      </c>
      <c r="E58" s="2677">
        <v>187001</v>
      </c>
      <c r="F58" s="2677">
        <v>187001</v>
      </c>
      <c r="G58" s="2677">
        <v>200</v>
      </c>
    </row>
    <row r="59" spans="1:7" x14ac:dyDescent="0.3">
      <c r="A59" s="2678">
        <v>42395</v>
      </c>
      <c r="B59" s="2677">
        <v>187510</v>
      </c>
      <c r="C59" s="2677">
        <v>190500</v>
      </c>
      <c r="D59" s="2677">
        <v>187510</v>
      </c>
      <c r="E59" s="2677">
        <v>189640</v>
      </c>
      <c r="F59" s="2677">
        <v>189640</v>
      </c>
      <c r="G59" s="2677">
        <v>400</v>
      </c>
    </row>
    <row r="60" spans="1:7" x14ac:dyDescent="0.3">
      <c r="A60" s="2678">
        <v>42396</v>
      </c>
      <c r="B60" s="2677">
        <v>189395</v>
      </c>
      <c r="C60" s="2677">
        <v>191580</v>
      </c>
      <c r="D60" s="2677">
        <v>187996</v>
      </c>
      <c r="E60" s="2677">
        <v>189091</v>
      </c>
      <c r="F60" s="2677">
        <v>189091</v>
      </c>
      <c r="G60" s="2677">
        <v>200</v>
      </c>
    </row>
    <row r="61" spans="1:7" x14ac:dyDescent="0.3">
      <c r="A61" s="2678">
        <v>42397</v>
      </c>
      <c r="B61" s="2677">
        <v>189840</v>
      </c>
      <c r="C61" s="2677">
        <v>190900</v>
      </c>
      <c r="D61" s="2677">
        <v>187500</v>
      </c>
      <c r="E61" s="2677">
        <v>188300</v>
      </c>
      <c r="F61" s="2677">
        <v>188300</v>
      </c>
      <c r="G61" s="2677">
        <v>200</v>
      </c>
    </row>
    <row r="62" spans="1:7" x14ac:dyDescent="0.3">
      <c r="A62" s="2678">
        <v>42398</v>
      </c>
      <c r="B62" s="2677">
        <v>190020</v>
      </c>
      <c r="C62" s="2677">
        <v>194650</v>
      </c>
      <c r="D62" s="2677">
        <v>190020</v>
      </c>
      <c r="E62" s="2677">
        <v>194360</v>
      </c>
      <c r="F62" s="2677">
        <v>194360</v>
      </c>
      <c r="G62" s="2677">
        <v>500</v>
      </c>
    </row>
    <row r="63" spans="1:7" x14ac:dyDescent="0.3">
      <c r="A63" s="2678">
        <v>42401</v>
      </c>
      <c r="B63" s="2677">
        <v>194000</v>
      </c>
      <c r="C63" s="2677">
        <v>195190</v>
      </c>
      <c r="D63" s="2677">
        <v>191900</v>
      </c>
      <c r="E63" s="2677">
        <v>194759</v>
      </c>
      <c r="F63" s="2677">
        <v>194759</v>
      </c>
      <c r="G63" s="2677">
        <v>500</v>
      </c>
    </row>
    <row r="64" spans="1:7" x14ac:dyDescent="0.3">
      <c r="A64" s="2678">
        <v>42402</v>
      </c>
      <c r="B64" s="2677">
        <v>193100</v>
      </c>
      <c r="C64" s="2677">
        <v>194000</v>
      </c>
      <c r="D64" s="2677">
        <v>189800</v>
      </c>
      <c r="E64" s="2677">
        <v>189902</v>
      </c>
      <c r="F64" s="2677">
        <v>189902</v>
      </c>
      <c r="G64" s="2677">
        <v>400</v>
      </c>
    </row>
    <row r="65" spans="1:7" x14ac:dyDescent="0.3">
      <c r="A65" s="2678">
        <v>42403</v>
      </c>
      <c r="B65" s="2677">
        <v>190501</v>
      </c>
      <c r="C65" s="2677">
        <v>190620</v>
      </c>
      <c r="D65" s="2677">
        <v>186921</v>
      </c>
      <c r="E65" s="2677">
        <v>189861</v>
      </c>
      <c r="F65" s="2677">
        <v>189861</v>
      </c>
      <c r="G65" s="2677">
        <v>400</v>
      </c>
    </row>
    <row r="66" spans="1:7" x14ac:dyDescent="0.3">
      <c r="A66" s="2678">
        <v>42404</v>
      </c>
      <c r="B66" s="2677">
        <v>189502</v>
      </c>
      <c r="C66" s="2677">
        <v>192200</v>
      </c>
      <c r="D66" s="2677">
        <v>189502</v>
      </c>
      <c r="E66" s="2677">
        <v>192200</v>
      </c>
      <c r="F66" s="2677">
        <v>192200</v>
      </c>
      <c r="G66" s="2677">
        <v>200</v>
      </c>
    </row>
    <row r="67" spans="1:7" x14ac:dyDescent="0.3">
      <c r="A67" s="2678">
        <v>42405</v>
      </c>
      <c r="B67" s="2677">
        <v>191385</v>
      </c>
      <c r="C67" s="2677">
        <v>191880</v>
      </c>
      <c r="D67" s="2677">
        <v>189520</v>
      </c>
      <c r="E67" s="2677">
        <v>190820</v>
      </c>
      <c r="F67" s="2677">
        <v>190820</v>
      </c>
      <c r="G67" s="2677">
        <v>300</v>
      </c>
    </row>
    <row r="68" spans="1:7" x14ac:dyDescent="0.3">
      <c r="A68" s="2678">
        <v>42408</v>
      </c>
      <c r="B68" s="2677">
        <v>189120</v>
      </c>
      <c r="C68" s="2677">
        <v>192440</v>
      </c>
      <c r="D68" s="2677">
        <v>188500</v>
      </c>
      <c r="E68" s="2677">
        <v>191255</v>
      </c>
      <c r="F68" s="2677">
        <v>191255</v>
      </c>
      <c r="G68" s="2677">
        <v>400</v>
      </c>
    </row>
    <row r="69" spans="1:7" x14ac:dyDescent="0.3">
      <c r="A69" s="2678">
        <v>42409</v>
      </c>
      <c r="B69" s="2677">
        <v>189725</v>
      </c>
      <c r="C69" s="2677">
        <v>193000</v>
      </c>
      <c r="D69" s="2677">
        <v>189365</v>
      </c>
      <c r="E69" s="2677">
        <v>192635</v>
      </c>
      <c r="F69" s="2677">
        <v>192635</v>
      </c>
      <c r="G69" s="2677">
        <v>600</v>
      </c>
    </row>
    <row r="70" spans="1:7" x14ac:dyDescent="0.3">
      <c r="A70" s="2678">
        <v>42410</v>
      </c>
      <c r="B70" s="2677">
        <v>192861</v>
      </c>
      <c r="C70" s="2677">
        <v>194700</v>
      </c>
      <c r="D70" s="2677">
        <v>190471</v>
      </c>
      <c r="E70" s="2677">
        <v>190520</v>
      </c>
      <c r="F70" s="2677">
        <v>190520</v>
      </c>
      <c r="G70" s="2677">
        <v>300</v>
      </c>
    </row>
    <row r="71" spans="1:7" x14ac:dyDescent="0.3">
      <c r="A71" s="2678">
        <v>42411</v>
      </c>
      <c r="B71" s="2677">
        <v>187865</v>
      </c>
      <c r="C71" s="2677">
        <v>190200</v>
      </c>
      <c r="D71" s="2677">
        <v>187405</v>
      </c>
      <c r="E71" s="2677">
        <v>190000</v>
      </c>
      <c r="F71" s="2677">
        <v>190000</v>
      </c>
      <c r="G71" s="2677">
        <v>600</v>
      </c>
    </row>
    <row r="72" spans="1:7" x14ac:dyDescent="0.3">
      <c r="A72" s="2678">
        <v>42412</v>
      </c>
      <c r="B72" s="2677">
        <v>190300</v>
      </c>
      <c r="C72" s="2677">
        <v>193999</v>
      </c>
      <c r="D72" s="2677">
        <v>190300</v>
      </c>
      <c r="E72" s="2677">
        <v>193999</v>
      </c>
      <c r="F72" s="2677">
        <v>193999</v>
      </c>
      <c r="G72" s="2677">
        <v>600</v>
      </c>
    </row>
    <row r="73" spans="1:7" x14ac:dyDescent="0.3">
      <c r="A73" s="2678">
        <v>42416</v>
      </c>
      <c r="B73" s="2677">
        <v>195540</v>
      </c>
      <c r="C73" s="2677">
        <v>195540</v>
      </c>
      <c r="D73" s="2677">
        <v>193106</v>
      </c>
      <c r="E73" s="2677">
        <v>193465</v>
      </c>
      <c r="F73" s="2677">
        <v>193465</v>
      </c>
      <c r="G73" s="2677">
        <v>300</v>
      </c>
    </row>
    <row r="74" spans="1:7" x14ac:dyDescent="0.3">
      <c r="A74" s="2678">
        <v>42417</v>
      </c>
      <c r="B74" s="2677">
        <v>194741</v>
      </c>
      <c r="C74" s="2677">
        <v>196070</v>
      </c>
      <c r="D74" s="2677">
        <v>194063</v>
      </c>
      <c r="E74" s="2677">
        <v>195903</v>
      </c>
      <c r="F74" s="2677">
        <v>195903</v>
      </c>
      <c r="G74" s="2677">
        <v>400</v>
      </c>
    </row>
    <row r="75" spans="1:7" x14ac:dyDescent="0.3">
      <c r="A75" s="2678">
        <v>42418</v>
      </c>
      <c r="B75" s="2677">
        <v>196450</v>
      </c>
      <c r="C75" s="2677">
        <v>199001</v>
      </c>
      <c r="D75" s="2677">
        <v>196025</v>
      </c>
      <c r="E75" s="2677">
        <v>196025</v>
      </c>
      <c r="F75" s="2677">
        <v>196025</v>
      </c>
      <c r="G75" s="2677">
        <v>400</v>
      </c>
    </row>
    <row r="76" spans="1:7" x14ac:dyDescent="0.3">
      <c r="A76" s="2678">
        <v>42419</v>
      </c>
      <c r="B76" s="2677">
        <v>196075</v>
      </c>
      <c r="C76" s="2677">
        <v>197660</v>
      </c>
      <c r="D76" s="2677">
        <v>195726</v>
      </c>
      <c r="E76" s="2677">
        <v>197310</v>
      </c>
      <c r="F76" s="2677">
        <v>197310</v>
      </c>
      <c r="G76" s="2677">
        <v>100</v>
      </c>
    </row>
    <row r="77" spans="1:7" x14ac:dyDescent="0.3">
      <c r="A77" s="2678">
        <v>42422</v>
      </c>
      <c r="B77" s="2677">
        <v>199000</v>
      </c>
      <c r="C77" s="2677">
        <v>199800</v>
      </c>
      <c r="D77" s="2677">
        <v>197631</v>
      </c>
      <c r="E77" s="2677">
        <v>198650</v>
      </c>
      <c r="F77" s="2677">
        <v>198650</v>
      </c>
      <c r="G77" s="2677">
        <v>200</v>
      </c>
    </row>
    <row r="78" spans="1:7" x14ac:dyDescent="0.3">
      <c r="A78" s="2678">
        <v>42423</v>
      </c>
      <c r="B78" s="2677">
        <v>197880</v>
      </c>
      <c r="C78" s="2677">
        <v>198300</v>
      </c>
      <c r="D78" s="2677">
        <v>196502</v>
      </c>
      <c r="E78" s="2677">
        <v>196502</v>
      </c>
      <c r="F78" s="2677">
        <v>196502</v>
      </c>
      <c r="G78" s="2677">
        <v>100</v>
      </c>
    </row>
    <row r="79" spans="1:7" x14ac:dyDescent="0.3">
      <c r="A79" s="2678">
        <v>42424</v>
      </c>
      <c r="B79" s="2677">
        <v>195755</v>
      </c>
      <c r="C79" s="2677">
        <v>197400</v>
      </c>
      <c r="D79" s="2677">
        <v>194201</v>
      </c>
      <c r="E79" s="2677">
        <v>196511</v>
      </c>
      <c r="F79" s="2677">
        <v>196511</v>
      </c>
      <c r="G79" s="2677">
        <v>300</v>
      </c>
    </row>
    <row r="80" spans="1:7" x14ac:dyDescent="0.3">
      <c r="A80" s="2678">
        <v>42425</v>
      </c>
      <c r="B80" s="2677">
        <v>197690</v>
      </c>
      <c r="C80" s="2677">
        <v>198899</v>
      </c>
      <c r="D80" s="2677">
        <v>196100</v>
      </c>
      <c r="E80" s="2677">
        <v>198899</v>
      </c>
      <c r="F80" s="2677">
        <v>198899</v>
      </c>
      <c r="G80" s="2677">
        <v>400</v>
      </c>
    </row>
    <row r="81" spans="1:7" x14ac:dyDescent="0.3">
      <c r="A81" s="2678">
        <v>42426</v>
      </c>
      <c r="B81" s="2677">
        <v>199000</v>
      </c>
      <c r="C81" s="2677">
        <v>200000</v>
      </c>
      <c r="D81" s="2677">
        <v>198000</v>
      </c>
      <c r="E81" s="2677">
        <v>198191</v>
      </c>
      <c r="F81" s="2677">
        <v>198191</v>
      </c>
      <c r="G81" s="2677">
        <v>400</v>
      </c>
    </row>
    <row r="82" spans="1:7" x14ac:dyDescent="0.3">
      <c r="A82" s="2678">
        <v>42429</v>
      </c>
      <c r="B82" s="2677">
        <v>200100</v>
      </c>
      <c r="C82" s="2677">
        <v>203192</v>
      </c>
      <c r="D82" s="2677">
        <v>200000</v>
      </c>
      <c r="E82" s="2677">
        <v>202555</v>
      </c>
      <c r="F82" s="2677">
        <v>202555</v>
      </c>
      <c r="G82" s="2677">
        <v>900</v>
      </c>
    </row>
    <row r="83" spans="1:7" x14ac:dyDescent="0.3">
      <c r="A83" s="2678">
        <v>42430</v>
      </c>
      <c r="B83" s="2677">
        <v>203899</v>
      </c>
      <c r="C83" s="2677">
        <v>205606</v>
      </c>
      <c r="D83" s="2677">
        <v>202600</v>
      </c>
      <c r="E83" s="2677">
        <v>205500</v>
      </c>
      <c r="F83" s="2677">
        <v>205500</v>
      </c>
      <c r="G83" s="2677">
        <v>700</v>
      </c>
    </row>
    <row r="84" spans="1:7" x14ac:dyDescent="0.3">
      <c r="A84" s="2678">
        <v>42431</v>
      </c>
      <c r="B84" s="2677">
        <v>206000</v>
      </c>
      <c r="C84" s="2677">
        <v>206009</v>
      </c>
      <c r="D84" s="2677">
        <v>204580</v>
      </c>
      <c r="E84" s="2677">
        <v>205500</v>
      </c>
      <c r="F84" s="2677">
        <v>205500</v>
      </c>
      <c r="G84" s="2677">
        <v>400</v>
      </c>
    </row>
    <row r="85" spans="1:7" x14ac:dyDescent="0.3">
      <c r="A85" s="2678">
        <v>42432</v>
      </c>
      <c r="B85" s="2677">
        <v>205750</v>
      </c>
      <c r="C85" s="2677">
        <v>206395</v>
      </c>
      <c r="D85" s="2677">
        <v>204999</v>
      </c>
      <c r="E85" s="2677">
        <v>206000</v>
      </c>
      <c r="F85" s="2677">
        <v>206000</v>
      </c>
      <c r="G85" s="2677">
        <v>400</v>
      </c>
    </row>
    <row r="86" spans="1:7" x14ac:dyDescent="0.3">
      <c r="A86" s="2678">
        <v>42433</v>
      </c>
      <c r="B86" s="2677">
        <v>206200</v>
      </c>
      <c r="C86" s="2677">
        <v>207945</v>
      </c>
      <c r="D86" s="2677">
        <v>205700</v>
      </c>
      <c r="E86" s="2677">
        <v>207945</v>
      </c>
      <c r="F86" s="2677">
        <v>207945</v>
      </c>
      <c r="G86" s="2677">
        <v>1100</v>
      </c>
    </row>
    <row r="87" spans="1:7" x14ac:dyDescent="0.3">
      <c r="A87" s="2678">
        <v>42436</v>
      </c>
      <c r="B87" s="2677">
        <v>207500</v>
      </c>
      <c r="C87" s="2677">
        <v>208750</v>
      </c>
      <c r="D87" s="2677">
        <v>206621</v>
      </c>
      <c r="E87" s="2677">
        <v>208500</v>
      </c>
      <c r="F87" s="2677">
        <v>208500</v>
      </c>
      <c r="G87" s="2677">
        <v>700</v>
      </c>
    </row>
    <row r="88" spans="1:7" x14ac:dyDescent="0.3">
      <c r="A88" s="2678">
        <v>42437</v>
      </c>
      <c r="B88" s="2677">
        <v>208150</v>
      </c>
      <c r="C88" s="2677">
        <v>208700</v>
      </c>
      <c r="D88" s="2677">
        <v>207280</v>
      </c>
      <c r="E88" s="2677">
        <v>207989</v>
      </c>
      <c r="F88" s="2677">
        <v>207989</v>
      </c>
      <c r="G88" s="2677">
        <v>600</v>
      </c>
    </row>
    <row r="89" spans="1:7" x14ac:dyDescent="0.3">
      <c r="A89" s="2678">
        <v>42438</v>
      </c>
      <c r="B89" s="2677">
        <v>208336</v>
      </c>
      <c r="C89" s="2677">
        <v>209425</v>
      </c>
      <c r="D89" s="2677">
        <v>208250</v>
      </c>
      <c r="E89" s="2677">
        <v>209250</v>
      </c>
      <c r="F89" s="2677">
        <v>209250</v>
      </c>
      <c r="G89" s="2677">
        <v>500</v>
      </c>
    </row>
    <row r="90" spans="1:7" x14ac:dyDescent="0.3">
      <c r="A90" s="2678">
        <v>42439</v>
      </c>
      <c r="B90" s="2677">
        <v>209865</v>
      </c>
      <c r="C90" s="2677">
        <v>210001</v>
      </c>
      <c r="D90" s="2677">
        <v>207930</v>
      </c>
      <c r="E90" s="2677">
        <v>209120</v>
      </c>
      <c r="F90" s="2677">
        <v>209120</v>
      </c>
      <c r="G90" s="2677">
        <v>700</v>
      </c>
    </row>
    <row r="91" spans="1:7" x14ac:dyDescent="0.3">
      <c r="A91" s="2678">
        <v>42440</v>
      </c>
      <c r="B91" s="2677">
        <v>209990</v>
      </c>
      <c r="C91" s="2677">
        <v>211600</v>
      </c>
      <c r="D91" s="2677">
        <v>209490</v>
      </c>
      <c r="E91" s="2677">
        <v>211600</v>
      </c>
      <c r="F91" s="2677">
        <v>211600</v>
      </c>
      <c r="G91" s="2677">
        <v>600</v>
      </c>
    </row>
    <row r="92" spans="1:7" x14ac:dyDescent="0.3">
      <c r="A92" s="2678">
        <v>42443</v>
      </c>
      <c r="B92" s="2677">
        <v>212000</v>
      </c>
      <c r="C92" s="2677">
        <v>212250</v>
      </c>
      <c r="D92" s="2677">
        <v>209850</v>
      </c>
      <c r="E92" s="2677">
        <v>210300</v>
      </c>
      <c r="F92" s="2677">
        <v>210300</v>
      </c>
      <c r="G92" s="2677">
        <v>200</v>
      </c>
    </row>
    <row r="93" spans="1:7" x14ac:dyDescent="0.3">
      <c r="A93" s="2678">
        <v>42444</v>
      </c>
      <c r="B93" s="2677">
        <v>209720</v>
      </c>
      <c r="C93" s="2677">
        <v>211200</v>
      </c>
      <c r="D93" s="2677">
        <v>209173</v>
      </c>
      <c r="E93" s="2677">
        <v>211070</v>
      </c>
      <c r="F93" s="2677">
        <v>211070</v>
      </c>
      <c r="G93" s="2677">
        <v>200</v>
      </c>
    </row>
    <row r="94" spans="1:7" x14ac:dyDescent="0.3">
      <c r="A94" s="2678">
        <v>42445</v>
      </c>
      <c r="B94" s="2677">
        <v>210200</v>
      </c>
      <c r="C94" s="2677">
        <v>211000</v>
      </c>
      <c r="D94" s="2677">
        <v>210140</v>
      </c>
      <c r="E94" s="2677">
        <v>210200</v>
      </c>
      <c r="F94" s="2677">
        <v>210200</v>
      </c>
      <c r="G94" s="2677">
        <v>400</v>
      </c>
    </row>
    <row r="95" spans="1:7" x14ac:dyDescent="0.3">
      <c r="A95" s="2678">
        <v>42446</v>
      </c>
      <c r="B95" s="2677">
        <v>210240</v>
      </c>
      <c r="C95" s="2677">
        <v>214000</v>
      </c>
      <c r="D95" s="2677">
        <v>209925</v>
      </c>
      <c r="E95" s="2677">
        <v>213600</v>
      </c>
      <c r="F95" s="2677">
        <v>213600</v>
      </c>
      <c r="G95" s="2677">
        <v>400</v>
      </c>
    </row>
    <row r="96" spans="1:7" x14ac:dyDescent="0.3">
      <c r="A96" s="2678">
        <v>42447</v>
      </c>
      <c r="B96" s="2677">
        <v>214250</v>
      </c>
      <c r="C96" s="2677">
        <v>214560</v>
      </c>
      <c r="D96" s="2677">
        <v>212481</v>
      </c>
      <c r="E96" s="2677">
        <v>213330</v>
      </c>
      <c r="F96" s="2677">
        <v>213330</v>
      </c>
      <c r="G96" s="2677">
        <v>300</v>
      </c>
    </row>
    <row r="97" spans="1:10" x14ac:dyDescent="0.3">
      <c r="A97" s="2678">
        <v>42450</v>
      </c>
      <c r="B97" s="2677">
        <v>213330</v>
      </c>
      <c r="C97" s="2677">
        <v>214000</v>
      </c>
      <c r="D97" s="2677">
        <v>212860</v>
      </c>
      <c r="E97" s="2677">
        <v>213300</v>
      </c>
      <c r="F97" s="2677">
        <v>213300</v>
      </c>
      <c r="G97" s="2677">
        <v>200</v>
      </c>
    </row>
    <row r="98" spans="1:10" x14ac:dyDescent="0.3">
      <c r="A98" s="2678">
        <v>42451</v>
      </c>
      <c r="B98" s="2677">
        <v>213200</v>
      </c>
      <c r="C98" s="2677">
        <v>214538</v>
      </c>
      <c r="D98" s="2677">
        <v>212790</v>
      </c>
      <c r="E98" s="2677">
        <v>213400</v>
      </c>
      <c r="F98" s="2677">
        <v>213400</v>
      </c>
      <c r="G98" s="2677">
        <v>200</v>
      </c>
    </row>
    <row r="99" spans="1:10" x14ac:dyDescent="0.3">
      <c r="A99" s="2678">
        <v>42452</v>
      </c>
      <c r="B99" s="2677">
        <v>212900</v>
      </c>
      <c r="C99" s="2677">
        <v>213340</v>
      </c>
      <c r="D99" s="2677">
        <v>211370</v>
      </c>
      <c r="E99" s="2677">
        <v>211370</v>
      </c>
      <c r="F99" s="2677">
        <v>211370</v>
      </c>
      <c r="G99" s="2677">
        <v>300</v>
      </c>
    </row>
    <row r="100" spans="1:10" x14ac:dyDescent="0.3">
      <c r="A100" s="2678">
        <v>42453</v>
      </c>
      <c r="B100" s="2677">
        <v>210200</v>
      </c>
      <c r="C100" s="2677">
        <v>210980</v>
      </c>
      <c r="D100" s="2677">
        <v>209525</v>
      </c>
      <c r="E100" s="2677">
        <v>210530</v>
      </c>
      <c r="F100" s="2677">
        <v>210530</v>
      </c>
      <c r="G100" s="2677">
        <v>200</v>
      </c>
    </row>
    <row r="101" spans="1:10" x14ac:dyDescent="0.3">
      <c r="A101" s="2678">
        <v>42457</v>
      </c>
      <c r="B101" s="2677">
        <v>211120</v>
      </c>
      <c r="C101" s="2677">
        <v>212619</v>
      </c>
      <c r="D101" s="2677">
        <v>210790</v>
      </c>
      <c r="E101" s="2677">
        <v>212125</v>
      </c>
      <c r="F101" s="2677">
        <v>212125</v>
      </c>
      <c r="G101" s="2677">
        <v>200</v>
      </c>
    </row>
    <row r="102" spans="1:10" x14ac:dyDescent="0.3">
      <c r="A102" s="2678">
        <v>42458</v>
      </c>
      <c r="B102" s="2677">
        <v>212435</v>
      </c>
      <c r="C102" s="2677">
        <v>213000</v>
      </c>
      <c r="D102" s="2677">
        <v>211000</v>
      </c>
      <c r="E102" s="2677">
        <v>212800</v>
      </c>
      <c r="F102" s="2677">
        <v>212800</v>
      </c>
      <c r="G102" s="2677">
        <v>100</v>
      </c>
    </row>
    <row r="103" spans="1:10" x14ac:dyDescent="0.3">
      <c r="A103" s="2678">
        <v>42459</v>
      </c>
      <c r="B103" s="2677">
        <v>214345</v>
      </c>
      <c r="C103" s="2677">
        <v>215130</v>
      </c>
      <c r="D103" s="2677">
        <v>213588</v>
      </c>
      <c r="E103" s="2677">
        <v>214035</v>
      </c>
      <c r="F103" s="2677">
        <v>214035</v>
      </c>
      <c r="G103" s="2677">
        <v>300</v>
      </c>
    </row>
    <row r="104" spans="1:10" x14ac:dyDescent="0.3">
      <c r="A104" s="2678">
        <v>42460</v>
      </c>
      <c r="B104" s="2677">
        <v>214125</v>
      </c>
      <c r="C104" s="2677">
        <v>214623</v>
      </c>
      <c r="D104" s="2677">
        <v>212400</v>
      </c>
      <c r="E104" s="2677">
        <v>213450</v>
      </c>
      <c r="F104" s="2677">
        <v>213450</v>
      </c>
      <c r="G104" s="2677">
        <v>200</v>
      </c>
    </row>
    <row r="105" spans="1:10" x14ac:dyDescent="0.3">
      <c r="A105" s="2678">
        <v>42461</v>
      </c>
      <c r="B105" s="2677">
        <v>211850</v>
      </c>
      <c r="C105" s="2677">
        <v>215950</v>
      </c>
      <c r="D105" s="2677">
        <v>209641</v>
      </c>
      <c r="E105" s="2677">
        <v>215740</v>
      </c>
      <c r="F105" s="2677">
        <v>215740</v>
      </c>
      <c r="G105" s="2677">
        <v>300</v>
      </c>
      <c r="I105" s="2677">
        <f>MAX(C105:C168)</f>
        <v>221985</v>
      </c>
      <c r="J105" s="2677">
        <f>MIN(D105:D168)</f>
        <v>205074</v>
      </c>
    </row>
    <row r="106" spans="1:10" x14ac:dyDescent="0.3">
      <c r="A106" s="2678">
        <v>42464</v>
      </c>
      <c r="B106" s="2677">
        <v>215560</v>
      </c>
      <c r="C106" s="2677">
        <v>215600</v>
      </c>
      <c r="D106" s="2677">
        <v>214360</v>
      </c>
      <c r="E106" s="2677">
        <v>215060</v>
      </c>
      <c r="F106" s="2677">
        <v>215060</v>
      </c>
      <c r="G106" s="2677">
        <v>200</v>
      </c>
    </row>
    <row r="107" spans="1:10" x14ac:dyDescent="0.3">
      <c r="A107" s="2678">
        <v>42465</v>
      </c>
      <c r="B107" s="2677">
        <v>213501</v>
      </c>
      <c r="C107" s="2677">
        <v>213884</v>
      </c>
      <c r="D107" s="2677">
        <v>211900</v>
      </c>
      <c r="E107" s="2677">
        <v>212340</v>
      </c>
      <c r="F107" s="2677">
        <v>212340</v>
      </c>
      <c r="G107" s="2677">
        <v>200</v>
      </c>
    </row>
    <row r="108" spans="1:10" x14ac:dyDescent="0.3">
      <c r="A108" s="2678">
        <v>42466</v>
      </c>
      <c r="B108" s="2677">
        <v>212299</v>
      </c>
      <c r="C108" s="2677">
        <v>212990</v>
      </c>
      <c r="D108" s="2677">
        <v>211000</v>
      </c>
      <c r="E108" s="2677">
        <v>212990</v>
      </c>
      <c r="F108" s="2677">
        <v>212990</v>
      </c>
      <c r="G108" s="2677">
        <v>200</v>
      </c>
    </row>
    <row r="109" spans="1:10" x14ac:dyDescent="0.3">
      <c r="A109" s="2678">
        <v>42467</v>
      </c>
      <c r="B109" s="2677">
        <v>211302</v>
      </c>
      <c r="C109" s="2677">
        <v>211911</v>
      </c>
      <c r="D109" s="2677">
        <v>210670</v>
      </c>
      <c r="E109" s="2677">
        <v>211401</v>
      </c>
      <c r="F109" s="2677">
        <v>211401</v>
      </c>
      <c r="G109" s="2677">
        <v>200</v>
      </c>
    </row>
    <row r="110" spans="1:10" x14ac:dyDescent="0.3">
      <c r="A110" s="2678">
        <v>42468</v>
      </c>
      <c r="B110" s="2677">
        <v>212300</v>
      </c>
      <c r="C110" s="2677">
        <v>213144</v>
      </c>
      <c r="D110" s="2677">
        <v>211250</v>
      </c>
      <c r="E110" s="2677">
        <v>211705</v>
      </c>
      <c r="F110" s="2677">
        <v>211705</v>
      </c>
      <c r="G110" s="2677">
        <v>100</v>
      </c>
    </row>
    <row r="111" spans="1:10" x14ac:dyDescent="0.3">
      <c r="A111" s="2678">
        <v>42471</v>
      </c>
      <c r="B111" s="2677">
        <v>212340</v>
      </c>
      <c r="C111" s="2677">
        <v>213180</v>
      </c>
      <c r="D111" s="2677">
        <v>211660</v>
      </c>
      <c r="E111" s="2677">
        <v>211660</v>
      </c>
      <c r="F111" s="2677">
        <v>211660</v>
      </c>
      <c r="G111" s="2677">
        <v>100</v>
      </c>
    </row>
    <row r="112" spans="1:10" x14ac:dyDescent="0.3">
      <c r="A112" s="2678">
        <v>42472</v>
      </c>
      <c r="B112" s="2677">
        <v>212250</v>
      </c>
      <c r="C112" s="2677">
        <v>213720</v>
      </c>
      <c r="D112" s="2677">
        <v>211652</v>
      </c>
      <c r="E112" s="2677">
        <v>213700</v>
      </c>
      <c r="F112" s="2677">
        <v>213700</v>
      </c>
      <c r="G112" s="2677">
        <v>200</v>
      </c>
    </row>
    <row r="113" spans="1:7" x14ac:dyDescent="0.3">
      <c r="A113" s="2678">
        <v>42473</v>
      </c>
      <c r="B113" s="2677">
        <v>214480</v>
      </c>
      <c r="C113" s="2677">
        <v>216178</v>
      </c>
      <c r="D113" s="2677">
        <v>214294</v>
      </c>
      <c r="E113" s="2677">
        <v>216130</v>
      </c>
      <c r="F113" s="2677">
        <v>216130</v>
      </c>
      <c r="G113" s="2677">
        <v>300</v>
      </c>
    </row>
    <row r="114" spans="1:7" x14ac:dyDescent="0.3">
      <c r="A114" s="2678">
        <v>42474</v>
      </c>
      <c r="B114" s="2677">
        <v>216250</v>
      </c>
      <c r="C114" s="2677">
        <v>216250</v>
      </c>
      <c r="D114" s="2677">
        <v>215310</v>
      </c>
      <c r="E114" s="2677">
        <v>215600</v>
      </c>
      <c r="F114" s="2677">
        <v>215600</v>
      </c>
      <c r="G114" s="2677">
        <v>200</v>
      </c>
    </row>
    <row r="115" spans="1:7" x14ac:dyDescent="0.3">
      <c r="A115" s="2678">
        <v>42475</v>
      </c>
      <c r="B115" s="2677">
        <v>216080</v>
      </c>
      <c r="C115" s="2677">
        <v>216080</v>
      </c>
      <c r="D115" s="2677">
        <v>214470</v>
      </c>
      <c r="E115" s="2677">
        <v>215110</v>
      </c>
      <c r="F115" s="2677">
        <v>215110</v>
      </c>
      <c r="G115" s="2677">
        <v>200</v>
      </c>
    </row>
    <row r="116" spans="1:7" x14ac:dyDescent="0.3">
      <c r="A116" s="2678">
        <v>42478</v>
      </c>
      <c r="B116" s="2677">
        <v>214350</v>
      </c>
      <c r="C116" s="2677">
        <v>216650</v>
      </c>
      <c r="D116" s="2677">
        <v>214350</v>
      </c>
      <c r="E116" s="2677">
        <v>216650</v>
      </c>
      <c r="F116" s="2677">
        <v>216650</v>
      </c>
      <c r="G116" s="2677">
        <v>200</v>
      </c>
    </row>
    <row r="117" spans="1:7" x14ac:dyDescent="0.3">
      <c r="A117" s="2678">
        <v>42479</v>
      </c>
      <c r="B117" s="2677">
        <v>216945</v>
      </c>
      <c r="C117" s="2677">
        <v>219499</v>
      </c>
      <c r="D117" s="2677">
        <v>216840</v>
      </c>
      <c r="E117" s="2677">
        <v>219000</v>
      </c>
      <c r="F117" s="2677">
        <v>219000</v>
      </c>
      <c r="G117" s="2677">
        <v>300</v>
      </c>
    </row>
    <row r="118" spans="1:7" x14ac:dyDescent="0.3">
      <c r="A118" s="2678">
        <v>42480</v>
      </c>
      <c r="B118" s="2677">
        <v>218400</v>
      </c>
      <c r="C118" s="2677">
        <v>219600</v>
      </c>
      <c r="D118" s="2677">
        <v>218060</v>
      </c>
      <c r="E118" s="2677">
        <v>218928</v>
      </c>
      <c r="F118" s="2677">
        <v>218928</v>
      </c>
      <c r="G118" s="2677">
        <v>200</v>
      </c>
    </row>
    <row r="119" spans="1:7" x14ac:dyDescent="0.3">
      <c r="A119" s="2678">
        <v>42481</v>
      </c>
      <c r="B119" s="2677">
        <v>219120</v>
      </c>
      <c r="C119" s="2677">
        <v>219495</v>
      </c>
      <c r="D119" s="2677">
        <v>217045</v>
      </c>
      <c r="E119" s="2677">
        <v>217460</v>
      </c>
      <c r="F119" s="2677">
        <v>217460</v>
      </c>
      <c r="G119" s="2677">
        <v>300</v>
      </c>
    </row>
    <row r="120" spans="1:7" x14ac:dyDescent="0.3">
      <c r="A120" s="2678">
        <v>42482</v>
      </c>
      <c r="B120" s="2677">
        <v>217400</v>
      </c>
      <c r="C120" s="2677">
        <v>219500</v>
      </c>
      <c r="D120" s="2677">
        <v>217400</v>
      </c>
      <c r="E120" s="2677">
        <v>219038</v>
      </c>
      <c r="F120" s="2677">
        <v>219038</v>
      </c>
      <c r="G120" s="2677">
        <v>200</v>
      </c>
    </row>
    <row r="121" spans="1:7" x14ac:dyDescent="0.3">
      <c r="A121" s="2678">
        <v>42485</v>
      </c>
      <c r="B121" s="2677">
        <v>218700</v>
      </c>
      <c r="C121" s="2677">
        <v>219393</v>
      </c>
      <c r="D121" s="2677">
        <v>218330</v>
      </c>
      <c r="E121" s="2677">
        <v>219278</v>
      </c>
      <c r="F121" s="2677">
        <v>219278</v>
      </c>
      <c r="G121" s="2677">
        <v>100</v>
      </c>
    </row>
    <row r="122" spans="1:7" x14ac:dyDescent="0.3">
      <c r="A122" s="2678">
        <v>42486</v>
      </c>
      <c r="B122" s="2677">
        <v>219600</v>
      </c>
      <c r="C122" s="2677">
        <v>220680</v>
      </c>
      <c r="D122" s="2677">
        <v>219540</v>
      </c>
      <c r="E122" s="2677">
        <v>220340</v>
      </c>
      <c r="F122" s="2677">
        <v>220340</v>
      </c>
      <c r="G122" s="2677">
        <v>400</v>
      </c>
    </row>
    <row r="123" spans="1:7" x14ac:dyDescent="0.3">
      <c r="A123" s="2678">
        <v>42487</v>
      </c>
      <c r="B123" s="2677">
        <v>220330</v>
      </c>
      <c r="C123" s="2677">
        <v>221985</v>
      </c>
      <c r="D123" s="2677">
        <v>219980</v>
      </c>
      <c r="E123" s="2677">
        <v>221430</v>
      </c>
      <c r="F123" s="2677">
        <v>221430</v>
      </c>
      <c r="G123" s="2677">
        <v>200</v>
      </c>
    </row>
    <row r="124" spans="1:7" x14ac:dyDescent="0.3">
      <c r="A124" s="2678">
        <v>42488</v>
      </c>
      <c r="B124" s="2677">
        <v>219870</v>
      </c>
      <c r="C124" s="2677">
        <v>221030</v>
      </c>
      <c r="D124" s="2677">
        <v>218661</v>
      </c>
      <c r="E124" s="2677">
        <v>219120</v>
      </c>
      <c r="F124" s="2677">
        <v>219120</v>
      </c>
      <c r="G124" s="2677">
        <v>200</v>
      </c>
    </row>
    <row r="125" spans="1:7" x14ac:dyDescent="0.3">
      <c r="A125" s="2678">
        <v>42489</v>
      </c>
      <c r="B125" s="2677">
        <v>218679</v>
      </c>
      <c r="C125" s="2677">
        <v>219750</v>
      </c>
      <c r="D125" s="2677">
        <v>216860</v>
      </c>
      <c r="E125" s="2677">
        <v>219000</v>
      </c>
      <c r="F125" s="2677">
        <v>219000</v>
      </c>
      <c r="G125" s="2677">
        <v>200</v>
      </c>
    </row>
    <row r="126" spans="1:7" x14ac:dyDescent="0.3">
      <c r="A126" s="2678">
        <v>42492</v>
      </c>
      <c r="B126" s="2677">
        <v>219180</v>
      </c>
      <c r="C126" s="2677">
        <v>220640</v>
      </c>
      <c r="D126" s="2677">
        <v>218730</v>
      </c>
      <c r="E126" s="2677">
        <v>220253</v>
      </c>
      <c r="F126" s="2677">
        <v>220253</v>
      </c>
      <c r="G126" s="2677">
        <v>200</v>
      </c>
    </row>
    <row r="127" spans="1:7" x14ac:dyDescent="0.3">
      <c r="A127" s="2678">
        <v>42493</v>
      </c>
      <c r="B127" s="2677">
        <v>219800</v>
      </c>
      <c r="C127" s="2677">
        <v>219800</v>
      </c>
      <c r="D127" s="2677">
        <v>216300</v>
      </c>
      <c r="E127" s="2677">
        <v>217354</v>
      </c>
      <c r="F127" s="2677">
        <v>217354</v>
      </c>
      <c r="G127" s="2677">
        <v>300</v>
      </c>
    </row>
    <row r="128" spans="1:7" x14ac:dyDescent="0.3">
      <c r="A128" s="2678">
        <v>42494</v>
      </c>
      <c r="B128" s="2677">
        <v>215755</v>
      </c>
      <c r="C128" s="2677">
        <v>216550</v>
      </c>
      <c r="D128" s="2677">
        <v>215103</v>
      </c>
      <c r="E128" s="2677">
        <v>216515</v>
      </c>
      <c r="F128" s="2677">
        <v>216515</v>
      </c>
      <c r="G128" s="2677">
        <v>200</v>
      </c>
    </row>
    <row r="129" spans="1:7" x14ac:dyDescent="0.3">
      <c r="A129" s="2678">
        <v>42495</v>
      </c>
      <c r="B129" s="2677">
        <v>216515</v>
      </c>
      <c r="C129" s="2677">
        <v>217200</v>
      </c>
      <c r="D129" s="2677">
        <v>215230</v>
      </c>
      <c r="E129" s="2677">
        <v>215880</v>
      </c>
      <c r="F129" s="2677">
        <v>215880</v>
      </c>
      <c r="G129" s="2677">
        <v>200</v>
      </c>
    </row>
    <row r="130" spans="1:7" x14ac:dyDescent="0.3">
      <c r="A130" s="2678">
        <v>42496</v>
      </c>
      <c r="B130" s="2677">
        <v>215390</v>
      </c>
      <c r="C130" s="2677">
        <v>217245</v>
      </c>
      <c r="D130" s="2677">
        <v>215135</v>
      </c>
      <c r="E130" s="2677">
        <v>217000</v>
      </c>
      <c r="F130" s="2677">
        <v>217000</v>
      </c>
      <c r="G130" s="2677">
        <v>200</v>
      </c>
    </row>
    <row r="131" spans="1:7" x14ac:dyDescent="0.3">
      <c r="A131" s="2678">
        <v>42499</v>
      </c>
      <c r="B131" s="2677">
        <v>216580</v>
      </c>
      <c r="C131" s="2677">
        <v>216580</v>
      </c>
      <c r="D131" s="2677">
        <v>212950</v>
      </c>
      <c r="E131" s="2677">
        <v>214430</v>
      </c>
      <c r="F131" s="2677">
        <v>214430</v>
      </c>
      <c r="G131" s="2677">
        <v>200</v>
      </c>
    </row>
    <row r="132" spans="1:7" x14ac:dyDescent="0.3">
      <c r="A132" s="2678">
        <v>42500</v>
      </c>
      <c r="B132" s="2677">
        <v>214700</v>
      </c>
      <c r="C132" s="2677">
        <v>217280</v>
      </c>
      <c r="D132" s="2677">
        <v>214700</v>
      </c>
      <c r="E132" s="2677">
        <v>216975</v>
      </c>
      <c r="F132" s="2677">
        <v>216975</v>
      </c>
      <c r="G132" s="2677">
        <v>300</v>
      </c>
    </row>
    <row r="133" spans="1:7" x14ac:dyDescent="0.3">
      <c r="A133" s="2678">
        <v>42501</v>
      </c>
      <c r="B133" s="2677">
        <v>217100</v>
      </c>
      <c r="C133" s="2677">
        <v>217205</v>
      </c>
      <c r="D133" s="2677">
        <v>214211</v>
      </c>
      <c r="E133" s="2677">
        <v>214468</v>
      </c>
      <c r="F133" s="2677">
        <v>214468</v>
      </c>
      <c r="G133" s="2677">
        <v>200</v>
      </c>
    </row>
    <row r="134" spans="1:7" x14ac:dyDescent="0.3">
      <c r="A134" s="2678">
        <v>42502</v>
      </c>
      <c r="B134" s="2677">
        <v>214900</v>
      </c>
      <c r="C134" s="2677">
        <v>215570</v>
      </c>
      <c r="D134" s="2677">
        <v>213435</v>
      </c>
      <c r="E134" s="2677">
        <v>214860</v>
      </c>
      <c r="F134" s="2677">
        <v>214860</v>
      </c>
      <c r="G134" s="2677">
        <v>200</v>
      </c>
    </row>
    <row r="135" spans="1:7" x14ac:dyDescent="0.3">
      <c r="A135" s="2678">
        <v>42503</v>
      </c>
      <c r="B135" s="2677">
        <v>214550</v>
      </c>
      <c r="C135" s="2677">
        <v>215200</v>
      </c>
      <c r="D135" s="2677">
        <v>211750</v>
      </c>
      <c r="E135" s="2677">
        <v>212140</v>
      </c>
      <c r="F135" s="2677">
        <v>212140</v>
      </c>
      <c r="G135" s="2677">
        <v>300</v>
      </c>
    </row>
    <row r="136" spans="1:7" x14ac:dyDescent="0.3">
      <c r="A136" s="2678">
        <v>42506</v>
      </c>
      <c r="B136" s="2677">
        <v>211905</v>
      </c>
      <c r="C136" s="2677">
        <v>213150</v>
      </c>
      <c r="D136" s="2677">
        <v>211905</v>
      </c>
      <c r="E136" s="2677">
        <v>212530</v>
      </c>
      <c r="F136" s="2677">
        <v>212530</v>
      </c>
      <c r="G136" s="2677">
        <v>300</v>
      </c>
    </row>
    <row r="137" spans="1:7" x14ac:dyDescent="0.3">
      <c r="A137" s="2678">
        <v>42507</v>
      </c>
      <c r="B137" s="2677">
        <v>212780</v>
      </c>
      <c r="C137" s="2677">
        <v>212780</v>
      </c>
      <c r="D137" s="2677">
        <v>209865</v>
      </c>
      <c r="E137" s="2677">
        <v>210695</v>
      </c>
      <c r="F137" s="2677">
        <v>210695</v>
      </c>
      <c r="G137" s="2677">
        <v>300</v>
      </c>
    </row>
    <row r="138" spans="1:7" x14ac:dyDescent="0.3">
      <c r="A138" s="2678">
        <v>42508</v>
      </c>
      <c r="B138" s="2677">
        <v>210155</v>
      </c>
      <c r="C138" s="2677">
        <v>212700</v>
      </c>
      <c r="D138" s="2677">
        <v>209940</v>
      </c>
      <c r="E138" s="2677">
        <v>212200</v>
      </c>
      <c r="F138" s="2677">
        <v>212200</v>
      </c>
      <c r="G138" s="2677">
        <v>200</v>
      </c>
    </row>
    <row r="139" spans="1:7" x14ac:dyDescent="0.3">
      <c r="A139" s="2678">
        <v>42509</v>
      </c>
      <c r="B139" s="2677">
        <v>211250</v>
      </c>
      <c r="C139" s="2677">
        <v>212070</v>
      </c>
      <c r="D139" s="2677">
        <v>209600</v>
      </c>
      <c r="E139" s="2677">
        <v>211180</v>
      </c>
      <c r="F139" s="2677">
        <v>211180</v>
      </c>
      <c r="G139" s="2677">
        <v>300</v>
      </c>
    </row>
    <row r="140" spans="1:7" x14ac:dyDescent="0.3">
      <c r="A140" s="2678">
        <v>42510</v>
      </c>
      <c r="B140" s="2677">
        <v>211810</v>
      </c>
      <c r="C140" s="2677">
        <v>213680</v>
      </c>
      <c r="D140" s="2677">
        <v>211810</v>
      </c>
      <c r="E140" s="2677">
        <v>212833</v>
      </c>
      <c r="F140" s="2677">
        <v>212833</v>
      </c>
      <c r="G140" s="2677">
        <v>300</v>
      </c>
    </row>
    <row r="141" spans="1:7" x14ac:dyDescent="0.3">
      <c r="A141" s="2678">
        <v>42513</v>
      </c>
      <c r="B141" s="2677">
        <v>213050</v>
      </c>
      <c r="C141" s="2677">
        <v>213050</v>
      </c>
      <c r="D141" s="2677">
        <v>211650</v>
      </c>
      <c r="E141" s="2677">
        <v>212210</v>
      </c>
      <c r="F141" s="2677">
        <v>212210</v>
      </c>
      <c r="G141" s="2677">
        <v>200</v>
      </c>
    </row>
    <row r="142" spans="1:7" x14ac:dyDescent="0.3">
      <c r="A142" s="2678">
        <v>42514</v>
      </c>
      <c r="B142" s="2677">
        <v>213080</v>
      </c>
      <c r="C142" s="2677">
        <v>216090</v>
      </c>
      <c r="D142" s="2677">
        <v>213000</v>
      </c>
      <c r="E142" s="2677">
        <v>215650</v>
      </c>
      <c r="F142" s="2677">
        <v>215650</v>
      </c>
      <c r="G142" s="2677">
        <v>300</v>
      </c>
    </row>
    <row r="143" spans="1:7" x14ac:dyDescent="0.3">
      <c r="A143" s="2678">
        <v>42515</v>
      </c>
      <c r="B143" s="2677">
        <v>215650</v>
      </c>
      <c r="C143" s="2677">
        <v>217300</v>
      </c>
      <c r="D143" s="2677">
        <v>215565</v>
      </c>
      <c r="E143" s="2677">
        <v>216185</v>
      </c>
      <c r="F143" s="2677">
        <v>216185</v>
      </c>
      <c r="G143" s="2677">
        <v>300</v>
      </c>
    </row>
    <row r="144" spans="1:7" x14ac:dyDescent="0.3">
      <c r="A144" s="2678">
        <v>42516</v>
      </c>
      <c r="B144" s="2677">
        <v>215750</v>
      </c>
      <c r="C144" s="2677">
        <v>215970</v>
      </c>
      <c r="D144" s="2677">
        <v>214360</v>
      </c>
      <c r="E144" s="2677">
        <v>214600</v>
      </c>
      <c r="F144" s="2677">
        <v>214600</v>
      </c>
      <c r="G144" s="2677">
        <v>200</v>
      </c>
    </row>
    <row r="145" spans="1:7" x14ac:dyDescent="0.3">
      <c r="A145" s="2678">
        <v>42517</v>
      </c>
      <c r="B145" s="2677">
        <v>215380</v>
      </c>
      <c r="C145" s="2677">
        <v>215380</v>
      </c>
      <c r="D145" s="2677">
        <v>214290</v>
      </c>
      <c r="E145" s="2677">
        <v>214303</v>
      </c>
      <c r="F145" s="2677">
        <v>214303</v>
      </c>
      <c r="G145" s="2677">
        <v>200</v>
      </c>
    </row>
    <row r="146" spans="1:7" x14ac:dyDescent="0.3">
      <c r="A146" s="2678">
        <v>42521</v>
      </c>
      <c r="B146" s="2677">
        <v>215900</v>
      </c>
      <c r="C146" s="2677">
        <v>216070</v>
      </c>
      <c r="D146" s="2677">
        <v>211695</v>
      </c>
      <c r="E146" s="2677">
        <v>211695</v>
      </c>
      <c r="F146" s="2677">
        <v>211695</v>
      </c>
      <c r="G146" s="2677">
        <v>200</v>
      </c>
    </row>
    <row r="147" spans="1:7" x14ac:dyDescent="0.3">
      <c r="A147" s="2678">
        <v>42522</v>
      </c>
      <c r="B147" s="2677">
        <v>211100</v>
      </c>
      <c r="C147" s="2677">
        <v>213090</v>
      </c>
      <c r="D147" s="2677">
        <v>210703</v>
      </c>
      <c r="E147" s="2677">
        <v>212360</v>
      </c>
      <c r="F147" s="2677">
        <v>212360</v>
      </c>
      <c r="G147" s="2677">
        <v>200</v>
      </c>
    </row>
    <row r="148" spans="1:7" x14ac:dyDescent="0.3">
      <c r="A148" s="2678">
        <v>42523</v>
      </c>
      <c r="B148" s="2677">
        <v>212148</v>
      </c>
      <c r="C148" s="2677">
        <v>213060</v>
      </c>
      <c r="D148" s="2677">
        <v>211570</v>
      </c>
      <c r="E148" s="2677">
        <v>212355</v>
      </c>
      <c r="F148" s="2677">
        <v>212355</v>
      </c>
      <c r="G148" s="2677">
        <v>200</v>
      </c>
    </row>
    <row r="149" spans="1:7" x14ac:dyDescent="0.3">
      <c r="A149" s="2678">
        <v>42524</v>
      </c>
      <c r="B149" s="2677">
        <v>211700</v>
      </c>
      <c r="C149" s="2677">
        <v>212240</v>
      </c>
      <c r="D149" s="2677">
        <v>210210</v>
      </c>
      <c r="E149" s="2677">
        <v>211615</v>
      </c>
      <c r="F149" s="2677">
        <v>211615</v>
      </c>
      <c r="G149" s="2677">
        <v>200</v>
      </c>
    </row>
    <row r="150" spans="1:7" x14ac:dyDescent="0.3">
      <c r="A150" s="2678">
        <v>42527</v>
      </c>
      <c r="B150" s="2677">
        <v>212205</v>
      </c>
      <c r="C150" s="2677">
        <v>213710</v>
      </c>
      <c r="D150" s="2677">
        <v>212205</v>
      </c>
      <c r="E150" s="2677">
        <v>212880</v>
      </c>
      <c r="F150" s="2677">
        <v>212880</v>
      </c>
      <c r="G150" s="2677">
        <v>300</v>
      </c>
    </row>
    <row r="151" spans="1:7" x14ac:dyDescent="0.3">
      <c r="A151" s="2678">
        <v>42528</v>
      </c>
      <c r="B151" s="2677">
        <v>213200</v>
      </c>
      <c r="C151" s="2677">
        <v>213662</v>
      </c>
      <c r="D151" s="2677">
        <v>212180</v>
      </c>
      <c r="E151" s="2677">
        <v>212210</v>
      </c>
      <c r="F151" s="2677">
        <v>212210</v>
      </c>
      <c r="G151" s="2677">
        <v>200</v>
      </c>
    </row>
    <row r="152" spans="1:7" x14ac:dyDescent="0.3">
      <c r="A152" s="2678">
        <v>42529</v>
      </c>
      <c r="B152" s="2677">
        <v>212620</v>
      </c>
      <c r="C152" s="2677">
        <v>214000</v>
      </c>
      <c r="D152" s="2677">
        <v>212620</v>
      </c>
      <c r="E152" s="2677">
        <v>213500</v>
      </c>
      <c r="F152" s="2677">
        <v>213500</v>
      </c>
      <c r="G152" s="2677">
        <v>100</v>
      </c>
    </row>
    <row r="153" spans="1:7" x14ac:dyDescent="0.3">
      <c r="A153" s="2678">
        <v>42530</v>
      </c>
      <c r="B153" s="2677">
        <v>213287</v>
      </c>
      <c r="C153" s="2677">
        <v>213650</v>
      </c>
      <c r="D153" s="2677">
        <v>211810</v>
      </c>
      <c r="E153" s="2677">
        <v>213210</v>
      </c>
      <c r="F153" s="2677">
        <v>213210</v>
      </c>
      <c r="G153" s="2677">
        <v>100</v>
      </c>
    </row>
    <row r="154" spans="1:7" x14ac:dyDescent="0.3">
      <c r="A154" s="2678">
        <v>42531</v>
      </c>
      <c r="B154" s="2677">
        <v>211800</v>
      </c>
      <c r="C154" s="2677">
        <v>213460</v>
      </c>
      <c r="D154" s="2677">
        <v>211800</v>
      </c>
      <c r="E154" s="2677">
        <v>212622</v>
      </c>
      <c r="F154" s="2677">
        <v>212622</v>
      </c>
      <c r="G154" s="2677">
        <v>100</v>
      </c>
    </row>
    <row r="155" spans="1:7" x14ac:dyDescent="0.3">
      <c r="A155" s="2678">
        <v>42534</v>
      </c>
      <c r="B155" s="2677">
        <v>212300</v>
      </c>
      <c r="C155" s="2677">
        <v>213925</v>
      </c>
      <c r="D155" s="2677">
        <v>211450</v>
      </c>
      <c r="E155" s="2677">
        <v>211450</v>
      </c>
      <c r="F155" s="2677">
        <v>211450</v>
      </c>
      <c r="G155" s="2677">
        <v>200</v>
      </c>
    </row>
    <row r="156" spans="1:7" x14ac:dyDescent="0.3">
      <c r="A156" s="2678">
        <v>42535</v>
      </c>
      <c r="B156" s="2677">
        <v>211240</v>
      </c>
      <c r="C156" s="2677">
        <v>212250</v>
      </c>
      <c r="D156" s="2677">
        <v>210880</v>
      </c>
      <c r="E156" s="2677">
        <v>212070</v>
      </c>
      <c r="F156" s="2677">
        <v>212070</v>
      </c>
      <c r="G156" s="2677">
        <v>500</v>
      </c>
    </row>
    <row r="157" spans="1:7" x14ac:dyDescent="0.3">
      <c r="A157" s="2678">
        <v>42536</v>
      </c>
      <c r="B157" s="2677">
        <v>212405</v>
      </c>
      <c r="C157" s="2677">
        <v>213210</v>
      </c>
      <c r="D157" s="2677">
        <v>210050</v>
      </c>
      <c r="E157" s="2677">
        <v>210050</v>
      </c>
      <c r="F157" s="2677">
        <v>210050</v>
      </c>
      <c r="G157" s="2677">
        <v>300</v>
      </c>
    </row>
    <row r="158" spans="1:7" x14ac:dyDescent="0.3">
      <c r="A158" s="2678">
        <v>42537</v>
      </c>
      <c r="B158" s="2677">
        <v>210100</v>
      </c>
      <c r="C158" s="2677">
        <v>213000</v>
      </c>
      <c r="D158" s="2677">
        <v>208610</v>
      </c>
      <c r="E158" s="2677">
        <v>213000</v>
      </c>
      <c r="F158" s="2677">
        <v>213000</v>
      </c>
      <c r="G158" s="2677">
        <v>300</v>
      </c>
    </row>
    <row r="159" spans="1:7" x14ac:dyDescent="0.3">
      <c r="A159" s="2678">
        <v>42538</v>
      </c>
      <c r="B159" s="2677">
        <v>212350</v>
      </c>
      <c r="C159" s="2677">
        <v>212350</v>
      </c>
      <c r="D159" s="2677">
        <v>210651</v>
      </c>
      <c r="E159" s="2677">
        <v>211200</v>
      </c>
      <c r="F159" s="2677">
        <v>211200</v>
      </c>
      <c r="G159" s="2677">
        <v>300</v>
      </c>
    </row>
    <row r="160" spans="1:7" x14ac:dyDescent="0.3">
      <c r="A160" s="2678">
        <v>42541</v>
      </c>
      <c r="B160" s="2677">
        <v>213200</v>
      </c>
      <c r="C160" s="2677">
        <v>214396</v>
      </c>
      <c r="D160" s="2677">
        <v>212500</v>
      </c>
      <c r="E160" s="2677">
        <v>212630</v>
      </c>
      <c r="F160" s="2677">
        <v>212630</v>
      </c>
      <c r="G160" s="2677">
        <v>200</v>
      </c>
    </row>
    <row r="161" spans="1:7" x14ac:dyDescent="0.3">
      <c r="A161" s="2678">
        <v>42542</v>
      </c>
      <c r="B161" s="2677">
        <v>213140</v>
      </c>
      <c r="C161" s="2677">
        <v>215420</v>
      </c>
      <c r="D161" s="2677">
        <v>212830</v>
      </c>
      <c r="E161" s="2677">
        <v>215420</v>
      </c>
      <c r="F161" s="2677">
        <v>215420</v>
      </c>
      <c r="G161" s="2677">
        <v>300</v>
      </c>
    </row>
    <row r="162" spans="1:7" x14ac:dyDescent="0.3">
      <c r="A162" s="2678">
        <v>42543</v>
      </c>
      <c r="B162" s="2677">
        <v>215420</v>
      </c>
      <c r="C162" s="2677">
        <v>216940</v>
      </c>
      <c r="D162" s="2677">
        <v>215420</v>
      </c>
      <c r="E162" s="2677">
        <v>216266</v>
      </c>
      <c r="F162" s="2677">
        <v>216266</v>
      </c>
      <c r="G162" s="2677">
        <v>200</v>
      </c>
    </row>
    <row r="163" spans="1:7" x14ac:dyDescent="0.3">
      <c r="A163" s="2678">
        <v>42544</v>
      </c>
      <c r="B163" s="2677">
        <v>217021</v>
      </c>
      <c r="C163" s="2677">
        <v>218850</v>
      </c>
      <c r="D163" s="2677">
        <v>216983</v>
      </c>
      <c r="E163" s="2677">
        <v>218850</v>
      </c>
      <c r="F163" s="2677">
        <v>218850</v>
      </c>
      <c r="G163" s="2677">
        <v>400</v>
      </c>
    </row>
    <row r="164" spans="1:7" x14ac:dyDescent="0.3">
      <c r="A164" s="2678">
        <v>42545</v>
      </c>
      <c r="B164" s="2677">
        <v>210505</v>
      </c>
      <c r="C164" s="2677">
        <v>212730</v>
      </c>
      <c r="D164" s="2677">
        <v>209500</v>
      </c>
      <c r="E164" s="2677">
        <v>209852</v>
      </c>
      <c r="F164" s="2677">
        <v>209852</v>
      </c>
      <c r="G164" s="2677">
        <v>900</v>
      </c>
    </row>
    <row r="165" spans="1:7" x14ac:dyDescent="0.3">
      <c r="A165" s="2678">
        <v>42548</v>
      </c>
      <c r="B165" s="2677">
        <v>208860</v>
      </c>
      <c r="C165" s="2677">
        <v>208860</v>
      </c>
      <c r="D165" s="2677">
        <v>205074</v>
      </c>
      <c r="E165" s="2677">
        <v>208000</v>
      </c>
      <c r="F165" s="2677">
        <v>208000</v>
      </c>
      <c r="G165" s="2677">
        <v>400</v>
      </c>
    </row>
    <row r="166" spans="1:7" x14ac:dyDescent="0.3">
      <c r="A166" s="2678">
        <v>42549</v>
      </c>
      <c r="B166" s="2677">
        <v>209505</v>
      </c>
      <c r="C166" s="2677">
        <v>210500</v>
      </c>
      <c r="D166" s="2677">
        <v>207650</v>
      </c>
      <c r="E166" s="2677">
        <v>210400</v>
      </c>
      <c r="F166" s="2677">
        <v>210400</v>
      </c>
      <c r="G166" s="2677">
        <v>300</v>
      </c>
    </row>
    <row r="167" spans="1:7" x14ac:dyDescent="0.3">
      <c r="A167" s="2678">
        <v>42550</v>
      </c>
      <c r="B167" s="2677">
        <v>212100</v>
      </c>
      <c r="C167" s="2677">
        <v>213080</v>
      </c>
      <c r="D167" s="2677">
        <v>210000</v>
      </c>
      <c r="E167" s="2677">
        <v>212645</v>
      </c>
      <c r="F167" s="2677">
        <v>212645</v>
      </c>
      <c r="G167" s="2677">
        <v>400</v>
      </c>
    </row>
    <row r="168" spans="1:7" x14ac:dyDescent="0.3">
      <c r="A168" s="2678">
        <v>42551</v>
      </c>
      <c r="B168" s="2677">
        <v>213400</v>
      </c>
      <c r="C168" s="2677">
        <v>217030</v>
      </c>
      <c r="D168" s="2677">
        <v>213220</v>
      </c>
      <c r="E168" s="2677">
        <v>216975</v>
      </c>
      <c r="F168" s="2677">
        <v>216975</v>
      </c>
      <c r="G168" s="2677">
        <v>600</v>
      </c>
    </row>
    <row r="169" spans="1:7" x14ac:dyDescent="0.3">
      <c r="A169" s="2678">
        <v>42552</v>
      </c>
      <c r="B169" s="2677">
        <v>216421</v>
      </c>
      <c r="C169" s="2677">
        <v>217210</v>
      </c>
      <c r="D169" s="2677">
        <v>215600</v>
      </c>
      <c r="E169" s="2677">
        <v>216298</v>
      </c>
      <c r="F169" s="2677">
        <v>216298</v>
      </c>
      <c r="G169" s="2677">
        <v>200</v>
      </c>
    </row>
    <row r="170" spans="1:7" x14ac:dyDescent="0.3">
      <c r="A170" s="2678">
        <v>42556</v>
      </c>
      <c r="B170" s="2677">
        <v>214710</v>
      </c>
      <c r="C170" s="2677">
        <v>215270</v>
      </c>
      <c r="D170" s="2677">
        <v>212650</v>
      </c>
      <c r="E170" s="2677">
        <v>212960</v>
      </c>
      <c r="F170" s="2677">
        <v>212960</v>
      </c>
      <c r="G170" s="2677">
        <v>200</v>
      </c>
    </row>
    <row r="171" spans="1:7" x14ac:dyDescent="0.3">
      <c r="A171" s="2678">
        <v>42557</v>
      </c>
      <c r="B171" s="2677">
        <v>212010</v>
      </c>
      <c r="C171" s="2677">
        <v>213950</v>
      </c>
      <c r="D171" s="2677">
        <v>211500</v>
      </c>
      <c r="E171" s="2677">
        <v>213620</v>
      </c>
      <c r="F171" s="2677">
        <v>213620</v>
      </c>
      <c r="G171" s="2677">
        <v>200</v>
      </c>
    </row>
    <row r="172" spans="1:7" x14ac:dyDescent="0.3">
      <c r="A172" s="2678">
        <v>42558</v>
      </c>
      <c r="B172" s="2677">
        <v>214036</v>
      </c>
      <c r="C172" s="2677">
        <v>214450</v>
      </c>
      <c r="D172" s="2677">
        <v>211900</v>
      </c>
      <c r="E172" s="2677">
        <v>212501</v>
      </c>
      <c r="F172" s="2677">
        <v>212501</v>
      </c>
      <c r="G172" s="2677">
        <v>300</v>
      </c>
    </row>
    <row r="173" spans="1:7" x14ac:dyDescent="0.3">
      <c r="A173" s="2678">
        <v>42559</v>
      </c>
      <c r="B173" s="2677">
        <v>214590</v>
      </c>
      <c r="C173" s="2677">
        <v>215550</v>
      </c>
      <c r="D173" s="2677">
        <v>214035</v>
      </c>
      <c r="E173" s="2677">
        <v>214720</v>
      </c>
      <c r="F173" s="2677">
        <v>214720</v>
      </c>
      <c r="G173" s="2677">
        <v>200</v>
      </c>
    </row>
    <row r="174" spans="1:7" x14ac:dyDescent="0.3">
      <c r="A174" s="2678">
        <v>42562</v>
      </c>
      <c r="B174" s="2677">
        <v>216405</v>
      </c>
      <c r="C174" s="2677">
        <v>216405</v>
      </c>
      <c r="D174" s="2677">
        <v>215200</v>
      </c>
      <c r="E174" s="2677">
        <v>215824</v>
      </c>
      <c r="F174" s="2677">
        <v>215824</v>
      </c>
      <c r="G174" s="2677">
        <v>200</v>
      </c>
    </row>
    <row r="175" spans="1:7" x14ac:dyDescent="0.3">
      <c r="A175" s="2678">
        <v>42563</v>
      </c>
      <c r="B175" s="2677">
        <v>216140</v>
      </c>
      <c r="C175" s="2677">
        <v>217500</v>
      </c>
      <c r="D175" s="2677">
        <v>216070</v>
      </c>
      <c r="E175" s="2677">
        <v>217050</v>
      </c>
      <c r="F175" s="2677">
        <v>217050</v>
      </c>
      <c r="G175" s="2677">
        <v>200</v>
      </c>
    </row>
    <row r="176" spans="1:7" x14ac:dyDescent="0.3">
      <c r="A176" s="2678">
        <v>42564</v>
      </c>
      <c r="B176" s="2677">
        <v>216975</v>
      </c>
      <c r="C176" s="2677">
        <v>218950</v>
      </c>
      <c r="D176" s="2677">
        <v>216690</v>
      </c>
      <c r="E176" s="2677">
        <v>218950</v>
      </c>
      <c r="F176" s="2677">
        <v>218950</v>
      </c>
      <c r="G176" s="2677">
        <v>300</v>
      </c>
    </row>
    <row r="177" spans="1:7" x14ac:dyDescent="0.3">
      <c r="A177" s="2678">
        <v>42565</v>
      </c>
      <c r="B177" s="2677">
        <v>219250</v>
      </c>
      <c r="C177" s="2677">
        <v>219940</v>
      </c>
      <c r="D177" s="2677">
        <v>218280</v>
      </c>
      <c r="E177" s="2677">
        <v>218591</v>
      </c>
      <c r="F177" s="2677">
        <v>218591</v>
      </c>
      <c r="G177" s="2677">
        <v>300</v>
      </c>
    </row>
    <row r="178" spans="1:7" x14ac:dyDescent="0.3">
      <c r="A178" s="2678">
        <v>42566</v>
      </c>
      <c r="B178" s="2677">
        <v>219280</v>
      </c>
      <c r="C178" s="2677">
        <v>219400</v>
      </c>
      <c r="D178" s="2677">
        <v>217660</v>
      </c>
      <c r="E178" s="2677">
        <v>218990</v>
      </c>
      <c r="F178" s="2677">
        <v>218990</v>
      </c>
      <c r="G178" s="2677">
        <v>100</v>
      </c>
    </row>
    <row r="179" spans="1:7" x14ac:dyDescent="0.3">
      <c r="A179" s="2678">
        <v>42569</v>
      </c>
      <c r="B179" s="2677">
        <v>219000</v>
      </c>
      <c r="C179" s="2677">
        <v>220000</v>
      </c>
      <c r="D179" s="2677">
        <v>219000</v>
      </c>
      <c r="E179" s="2677">
        <v>219900</v>
      </c>
      <c r="F179" s="2677">
        <v>219900</v>
      </c>
      <c r="G179" s="2677">
        <v>400</v>
      </c>
    </row>
    <row r="180" spans="1:7" x14ac:dyDescent="0.3">
      <c r="A180" s="2678">
        <v>42570</v>
      </c>
      <c r="B180" s="2677">
        <v>219060</v>
      </c>
      <c r="C180" s="2677">
        <v>220360</v>
      </c>
      <c r="D180" s="2677">
        <v>218900</v>
      </c>
      <c r="E180" s="2677">
        <v>220265</v>
      </c>
      <c r="F180" s="2677">
        <v>220265</v>
      </c>
      <c r="G180" s="2677">
        <v>500</v>
      </c>
    </row>
    <row r="181" spans="1:7" x14ac:dyDescent="0.3">
      <c r="A181" s="2678">
        <v>42571</v>
      </c>
      <c r="B181" s="2677">
        <v>220003</v>
      </c>
      <c r="C181" s="2677">
        <v>220270</v>
      </c>
      <c r="D181" s="2677">
        <v>218590</v>
      </c>
      <c r="E181" s="2677">
        <v>219187</v>
      </c>
      <c r="F181" s="2677">
        <v>219187</v>
      </c>
      <c r="G181" s="2677">
        <v>200</v>
      </c>
    </row>
    <row r="182" spans="1:7" x14ac:dyDescent="0.3">
      <c r="A182" s="2678">
        <v>42572</v>
      </c>
      <c r="B182" s="2677">
        <v>218900</v>
      </c>
      <c r="C182" s="2677">
        <v>219044</v>
      </c>
      <c r="D182" s="2677">
        <v>216315</v>
      </c>
      <c r="E182" s="2677">
        <v>216315</v>
      </c>
      <c r="F182" s="2677">
        <v>216315</v>
      </c>
      <c r="G182" s="2677">
        <v>300</v>
      </c>
    </row>
    <row r="183" spans="1:7" x14ac:dyDescent="0.3">
      <c r="A183" s="2678">
        <v>42573</v>
      </c>
      <c r="B183" s="2677">
        <v>216760</v>
      </c>
      <c r="C183" s="2677">
        <v>217158</v>
      </c>
      <c r="D183" s="2677">
        <v>215920</v>
      </c>
      <c r="E183" s="2677">
        <v>216805</v>
      </c>
      <c r="F183" s="2677">
        <v>216805</v>
      </c>
      <c r="G183" s="2677">
        <v>200</v>
      </c>
    </row>
    <row r="184" spans="1:7" x14ac:dyDescent="0.3">
      <c r="A184" s="2678">
        <v>42576</v>
      </c>
      <c r="B184" s="2677">
        <v>217600</v>
      </c>
      <c r="C184" s="2677">
        <v>217600</v>
      </c>
      <c r="D184" s="2677">
        <v>215430</v>
      </c>
      <c r="E184" s="2677">
        <v>216005</v>
      </c>
      <c r="F184" s="2677">
        <v>216005</v>
      </c>
      <c r="G184" s="2677">
        <v>100</v>
      </c>
    </row>
    <row r="185" spans="1:7" x14ac:dyDescent="0.3">
      <c r="A185" s="2678">
        <v>42577</v>
      </c>
      <c r="B185" s="2677">
        <v>216640</v>
      </c>
      <c r="C185" s="2677">
        <v>217190</v>
      </c>
      <c r="D185" s="2677">
        <v>215901</v>
      </c>
      <c r="E185" s="2677">
        <v>216400</v>
      </c>
      <c r="F185" s="2677">
        <v>216400</v>
      </c>
      <c r="G185" s="2677">
        <v>100</v>
      </c>
    </row>
    <row r="186" spans="1:7" x14ac:dyDescent="0.3">
      <c r="A186" s="2678">
        <v>42578</v>
      </c>
      <c r="B186" s="2677">
        <v>216220</v>
      </c>
      <c r="C186" s="2677">
        <v>217100</v>
      </c>
      <c r="D186" s="2677">
        <v>215670</v>
      </c>
      <c r="E186" s="2677">
        <v>216300</v>
      </c>
      <c r="F186" s="2677">
        <v>216300</v>
      </c>
      <c r="G186" s="2677">
        <v>100</v>
      </c>
    </row>
    <row r="187" spans="1:7" x14ac:dyDescent="0.3">
      <c r="A187" s="2678">
        <v>42579</v>
      </c>
      <c r="B187" s="2677">
        <v>216000</v>
      </c>
      <c r="C187" s="2677">
        <v>217011</v>
      </c>
      <c r="D187" s="2677">
        <v>215250</v>
      </c>
      <c r="E187" s="2677">
        <v>216660</v>
      </c>
      <c r="F187" s="2677">
        <v>216660</v>
      </c>
      <c r="G187" s="2677">
        <v>100</v>
      </c>
    </row>
    <row r="188" spans="1:7" x14ac:dyDescent="0.3">
      <c r="A188" s="2678">
        <v>42580</v>
      </c>
      <c r="B188" s="2677">
        <v>215800</v>
      </c>
      <c r="C188" s="2677">
        <v>216750</v>
      </c>
      <c r="D188" s="2677">
        <v>215710</v>
      </c>
      <c r="E188" s="2677">
        <v>216000</v>
      </c>
      <c r="F188" s="2677">
        <v>216000</v>
      </c>
      <c r="G188" s="2677">
        <v>100</v>
      </c>
    </row>
    <row r="189" spans="1:7" x14ac:dyDescent="0.3">
      <c r="A189" s="2678">
        <v>42583</v>
      </c>
      <c r="B189" s="2677">
        <v>216540</v>
      </c>
      <c r="C189" s="2677">
        <v>216790</v>
      </c>
      <c r="D189" s="2677">
        <v>215430</v>
      </c>
      <c r="E189" s="2677">
        <v>215960</v>
      </c>
      <c r="F189" s="2677">
        <v>215960</v>
      </c>
      <c r="G189" s="2677">
        <v>100</v>
      </c>
    </row>
    <row r="190" spans="1:7" x14ac:dyDescent="0.3">
      <c r="A190" s="2678">
        <v>42584</v>
      </c>
      <c r="B190" s="2677">
        <v>215350</v>
      </c>
      <c r="C190" s="2677">
        <v>215630</v>
      </c>
      <c r="D190" s="2677">
        <v>214520</v>
      </c>
      <c r="E190" s="2677">
        <v>214900</v>
      </c>
      <c r="F190" s="2677">
        <v>214900</v>
      </c>
      <c r="G190" s="2677">
        <v>200</v>
      </c>
    </row>
    <row r="191" spans="1:7" x14ac:dyDescent="0.3">
      <c r="A191" s="2678">
        <v>42585</v>
      </c>
      <c r="B191" s="2677">
        <v>215735</v>
      </c>
      <c r="C191" s="2677">
        <v>215735</v>
      </c>
      <c r="D191" s="2677">
        <v>214620</v>
      </c>
      <c r="E191" s="2677">
        <v>215300</v>
      </c>
      <c r="F191" s="2677">
        <v>215300</v>
      </c>
      <c r="G191" s="2677">
        <v>200</v>
      </c>
    </row>
    <row r="192" spans="1:7" x14ac:dyDescent="0.3">
      <c r="A192" s="2678">
        <v>42586</v>
      </c>
      <c r="B192" s="2677">
        <v>215610</v>
      </c>
      <c r="C192" s="2677">
        <v>215620</v>
      </c>
      <c r="D192" s="2677">
        <v>214400</v>
      </c>
      <c r="E192" s="2677">
        <v>214830</v>
      </c>
      <c r="F192" s="2677">
        <v>214830</v>
      </c>
      <c r="G192" s="2677">
        <v>100</v>
      </c>
    </row>
    <row r="193" spans="1:7" x14ac:dyDescent="0.3">
      <c r="A193" s="2678">
        <v>42587</v>
      </c>
      <c r="B193" s="2677">
        <v>215970</v>
      </c>
      <c r="C193" s="2677">
        <v>218150</v>
      </c>
      <c r="D193" s="2677">
        <v>215800</v>
      </c>
      <c r="E193" s="2677">
        <v>218010</v>
      </c>
      <c r="F193" s="2677">
        <v>218010</v>
      </c>
      <c r="G193" s="2677">
        <v>600</v>
      </c>
    </row>
    <row r="194" spans="1:7" x14ac:dyDescent="0.3">
      <c r="A194" s="2678">
        <v>42590</v>
      </c>
      <c r="B194" s="2677">
        <v>218000</v>
      </c>
      <c r="C194" s="2677">
        <v>218500</v>
      </c>
      <c r="D194" s="2677">
        <v>216460</v>
      </c>
      <c r="E194" s="2677">
        <v>218300</v>
      </c>
      <c r="F194" s="2677">
        <v>218300</v>
      </c>
      <c r="G194" s="2677">
        <v>400</v>
      </c>
    </row>
    <row r="195" spans="1:7" x14ac:dyDescent="0.3">
      <c r="A195" s="2678">
        <v>42591</v>
      </c>
      <c r="B195" s="2677">
        <v>218500</v>
      </c>
      <c r="C195" s="2677">
        <v>221140</v>
      </c>
      <c r="D195" s="2677">
        <v>218310</v>
      </c>
      <c r="E195" s="2677">
        <v>220605</v>
      </c>
      <c r="F195" s="2677">
        <v>220605</v>
      </c>
      <c r="G195" s="2677">
        <v>800</v>
      </c>
    </row>
    <row r="196" spans="1:7" x14ac:dyDescent="0.3">
      <c r="A196" s="2678">
        <v>42592</v>
      </c>
      <c r="B196" s="2677">
        <v>220740</v>
      </c>
      <c r="C196" s="2677">
        <v>221040</v>
      </c>
      <c r="D196" s="2677">
        <v>219260</v>
      </c>
      <c r="E196" s="2677">
        <v>220000</v>
      </c>
      <c r="F196" s="2677">
        <v>220000</v>
      </c>
      <c r="G196" s="2677">
        <v>400</v>
      </c>
    </row>
    <row r="197" spans="1:7" x14ac:dyDescent="0.3">
      <c r="A197" s="2678">
        <v>42593</v>
      </c>
      <c r="B197" s="2677">
        <v>220495</v>
      </c>
      <c r="C197" s="2677">
        <v>222030</v>
      </c>
      <c r="D197" s="2677">
        <v>220000</v>
      </c>
      <c r="E197" s="2677">
        <v>221890</v>
      </c>
      <c r="F197" s="2677">
        <v>221890</v>
      </c>
      <c r="G197" s="2677">
        <v>600</v>
      </c>
    </row>
    <row r="198" spans="1:7" x14ac:dyDescent="0.3">
      <c r="A198" s="2678">
        <v>42594</v>
      </c>
      <c r="B198" s="2677">
        <v>220630</v>
      </c>
      <c r="C198" s="2677">
        <v>221750</v>
      </c>
      <c r="D198" s="2677">
        <v>220630</v>
      </c>
      <c r="E198" s="2677">
        <v>221750</v>
      </c>
      <c r="F198" s="2677">
        <v>221750</v>
      </c>
      <c r="G198" s="2677">
        <v>300</v>
      </c>
    </row>
    <row r="199" spans="1:7" x14ac:dyDescent="0.3">
      <c r="A199" s="2678">
        <v>42597</v>
      </c>
      <c r="B199" s="2677">
        <v>221523</v>
      </c>
      <c r="C199" s="2677">
        <v>221995</v>
      </c>
      <c r="D199" s="2677">
        <v>220750</v>
      </c>
      <c r="E199" s="2677">
        <v>221995</v>
      </c>
      <c r="F199" s="2677">
        <v>221995</v>
      </c>
      <c r="G199" s="2677">
        <v>300</v>
      </c>
    </row>
    <row r="200" spans="1:7" x14ac:dyDescent="0.3">
      <c r="A200" s="2678">
        <v>42598</v>
      </c>
      <c r="B200" s="2677">
        <v>221605</v>
      </c>
      <c r="C200" s="2677">
        <v>221995</v>
      </c>
      <c r="D200" s="2677">
        <v>220805</v>
      </c>
      <c r="E200" s="2677">
        <v>220805</v>
      </c>
      <c r="F200" s="2677">
        <v>220805</v>
      </c>
      <c r="G200" s="2677">
        <v>500</v>
      </c>
    </row>
    <row r="201" spans="1:7" x14ac:dyDescent="0.3">
      <c r="A201" s="2678">
        <v>42599</v>
      </c>
      <c r="B201" s="2677">
        <v>220920</v>
      </c>
      <c r="C201" s="2677">
        <v>223960</v>
      </c>
      <c r="D201" s="2677">
        <v>220920</v>
      </c>
      <c r="E201" s="2677">
        <v>223890</v>
      </c>
      <c r="F201" s="2677">
        <v>223890</v>
      </c>
      <c r="G201" s="2677">
        <v>400</v>
      </c>
    </row>
    <row r="202" spans="1:7" x14ac:dyDescent="0.3">
      <c r="A202" s="2678">
        <v>42600</v>
      </c>
      <c r="B202" s="2677">
        <v>223850</v>
      </c>
      <c r="C202" s="2677">
        <v>224000</v>
      </c>
      <c r="D202" s="2677">
        <v>222855</v>
      </c>
      <c r="E202" s="2677">
        <v>223200</v>
      </c>
      <c r="F202" s="2677">
        <v>223200</v>
      </c>
      <c r="G202" s="2677">
        <v>300</v>
      </c>
    </row>
    <row r="203" spans="1:7" x14ac:dyDescent="0.3">
      <c r="A203" s="2678">
        <v>42601</v>
      </c>
      <c r="B203" s="2677">
        <v>223000</v>
      </c>
      <c r="C203" s="2677">
        <v>223220</v>
      </c>
      <c r="D203" s="2677">
        <v>221900</v>
      </c>
      <c r="E203" s="2677">
        <v>223040</v>
      </c>
      <c r="F203" s="2677">
        <v>223040</v>
      </c>
      <c r="G203" s="2677">
        <v>300</v>
      </c>
    </row>
    <row r="204" spans="1:7" x14ac:dyDescent="0.3">
      <c r="A204" s="2678">
        <v>42604</v>
      </c>
      <c r="B204" s="2677">
        <v>222750</v>
      </c>
      <c r="C204" s="2677">
        <v>223050</v>
      </c>
      <c r="D204" s="2677">
        <v>221970</v>
      </c>
      <c r="E204" s="2677">
        <v>222446</v>
      </c>
      <c r="F204" s="2677">
        <v>222446</v>
      </c>
      <c r="G204" s="2677">
        <v>100</v>
      </c>
    </row>
    <row r="205" spans="1:7" x14ac:dyDescent="0.3">
      <c r="A205" s="2678">
        <v>42605</v>
      </c>
      <c r="B205" s="2677">
        <v>223020</v>
      </c>
      <c r="C205" s="2677">
        <v>223870</v>
      </c>
      <c r="D205" s="2677">
        <v>222851</v>
      </c>
      <c r="E205" s="2677">
        <v>223500</v>
      </c>
      <c r="F205" s="2677">
        <v>223500</v>
      </c>
      <c r="G205" s="2677">
        <v>200</v>
      </c>
    </row>
    <row r="206" spans="1:7" x14ac:dyDescent="0.3">
      <c r="A206" s="2678">
        <v>42606</v>
      </c>
      <c r="B206" s="2677">
        <v>223000</v>
      </c>
      <c r="C206" s="2677">
        <v>223201</v>
      </c>
      <c r="D206" s="2677">
        <v>222270</v>
      </c>
      <c r="E206" s="2677">
        <v>222824</v>
      </c>
      <c r="F206" s="2677">
        <v>222824</v>
      </c>
      <c r="G206" s="2677">
        <v>100</v>
      </c>
    </row>
    <row r="207" spans="1:7" x14ac:dyDescent="0.3">
      <c r="A207" s="2678">
        <v>42607</v>
      </c>
      <c r="B207" s="2677">
        <v>222700</v>
      </c>
      <c r="C207" s="2677">
        <v>223060</v>
      </c>
      <c r="D207" s="2677">
        <v>222250</v>
      </c>
      <c r="E207" s="2677">
        <v>222999</v>
      </c>
      <c r="F207" s="2677">
        <v>222999</v>
      </c>
      <c r="G207" s="2677">
        <v>400</v>
      </c>
    </row>
    <row r="208" spans="1:7" x14ac:dyDescent="0.3">
      <c r="A208" s="2678">
        <v>42608</v>
      </c>
      <c r="B208" s="2677">
        <v>222930</v>
      </c>
      <c r="C208" s="2677">
        <v>223630</v>
      </c>
      <c r="D208" s="2677">
        <v>220890</v>
      </c>
      <c r="E208" s="2677">
        <v>222040</v>
      </c>
      <c r="F208" s="2677">
        <v>222040</v>
      </c>
      <c r="G208" s="2677">
        <v>500</v>
      </c>
    </row>
    <row r="209" spans="1:7" x14ac:dyDescent="0.3">
      <c r="A209" s="2678">
        <v>42611</v>
      </c>
      <c r="B209" s="2677">
        <v>222800</v>
      </c>
      <c r="C209" s="2677">
        <v>224450</v>
      </c>
      <c r="D209" s="2677">
        <v>222800</v>
      </c>
      <c r="E209" s="2677">
        <v>223400</v>
      </c>
      <c r="F209" s="2677">
        <v>223400</v>
      </c>
      <c r="G209" s="2677">
        <v>400</v>
      </c>
    </row>
    <row r="210" spans="1:7" x14ac:dyDescent="0.3">
      <c r="A210" s="2678">
        <v>42612</v>
      </c>
      <c r="B210" s="2677">
        <v>224040</v>
      </c>
      <c r="C210" s="2677">
        <v>225330</v>
      </c>
      <c r="D210" s="2677">
        <v>224040</v>
      </c>
      <c r="E210" s="2677">
        <v>224850</v>
      </c>
      <c r="F210" s="2677">
        <v>224850</v>
      </c>
      <c r="G210" s="2677">
        <v>200</v>
      </c>
    </row>
    <row r="211" spans="1:7" x14ac:dyDescent="0.3">
      <c r="A211" s="2678">
        <v>42613</v>
      </c>
      <c r="B211" s="2677">
        <v>225280</v>
      </c>
      <c r="C211" s="2677">
        <v>226145</v>
      </c>
      <c r="D211" s="2677">
        <v>223040</v>
      </c>
      <c r="E211" s="2677">
        <v>225760</v>
      </c>
      <c r="F211" s="2677">
        <v>225760</v>
      </c>
      <c r="G211" s="2677">
        <v>200</v>
      </c>
    </row>
    <row r="212" spans="1:7" x14ac:dyDescent="0.3">
      <c r="A212" s="2678">
        <v>42614</v>
      </c>
      <c r="B212" s="2677">
        <v>225680</v>
      </c>
      <c r="C212" s="2677">
        <v>226440</v>
      </c>
      <c r="D212" s="2677">
        <v>223240</v>
      </c>
      <c r="E212" s="2677">
        <v>225350</v>
      </c>
      <c r="F212" s="2677">
        <v>225350</v>
      </c>
      <c r="G212" s="2677">
        <v>200</v>
      </c>
    </row>
    <row r="213" spans="1:7" x14ac:dyDescent="0.3">
      <c r="A213" s="2678">
        <v>42615</v>
      </c>
      <c r="B213" s="2677">
        <v>225970</v>
      </c>
      <c r="C213" s="2677">
        <v>226490</v>
      </c>
      <c r="D213" s="2677">
        <v>225040</v>
      </c>
      <c r="E213" s="2677">
        <v>226050</v>
      </c>
      <c r="F213" s="2677">
        <v>226050</v>
      </c>
      <c r="G213" s="2677">
        <v>100</v>
      </c>
    </row>
    <row r="214" spans="1:7" x14ac:dyDescent="0.3">
      <c r="A214" s="2678">
        <v>42619</v>
      </c>
      <c r="B214" s="2677">
        <v>226340</v>
      </c>
      <c r="C214" s="2677">
        <v>226340</v>
      </c>
      <c r="D214" s="2677">
        <v>224000</v>
      </c>
      <c r="E214" s="2677">
        <v>225849</v>
      </c>
      <c r="F214" s="2677">
        <v>225849</v>
      </c>
      <c r="G214" s="2677">
        <v>200</v>
      </c>
    </row>
    <row r="215" spans="1:7" x14ac:dyDescent="0.3">
      <c r="A215" s="2678">
        <v>42620</v>
      </c>
      <c r="B215" s="2677">
        <v>225510</v>
      </c>
      <c r="C215" s="2677">
        <v>225660</v>
      </c>
      <c r="D215" s="2677">
        <v>224080</v>
      </c>
      <c r="E215" s="2677">
        <v>224230</v>
      </c>
      <c r="F215" s="2677">
        <v>224230</v>
      </c>
      <c r="G215" s="2677">
        <v>200</v>
      </c>
    </row>
    <row r="216" spans="1:7" x14ac:dyDescent="0.3">
      <c r="A216" s="2678">
        <v>42621</v>
      </c>
      <c r="B216" s="2677">
        <v>224500</v>
      </c>
      <c r="C216" s="2677">
        <v>225100</v>
      </c>
      <c r="D216" s="2677">
        <v>224055</v>
      </c>
      <c r="E216" s="2677">
        <v>224740</v>
      </c>
      <c r="F216" s="2677">
        <v>224740</v>
      </c>
      <c r="G216" s="2677">
        <v>300</v>
      </c>
    </row>
    <row r="217" spans="1:7" x14ac:dyDescent="0.3">
      <c r="A217" s="2678">
        <v>42622</v>
      </c>
      <c r="B217" s="2677">
        <v>224100</v>
      </c>
      <c r="C217" s="2677">
        <v>224211</v>
      </c>
      <c r="D217" s="2677">
        <v>219870</v>
      </c>
      <c r="E217" s="2677">
        <v>220110</v>
      </c>
      <c r="F217" s="2677">
        <v>220110</v>
      </c>
      <c r="G217" s="2677">
        <v>300</v>
      </c>
    </row>
    <row r="218" spans="1:7" x14ac:dyDescent="0.3">
      <c r="A218" s="2678">
        <v>42625</v>
      </c>
      <c r="B218" s="2677">
        <v>219640</v>
      </c>
      <c r="C218" s="2677">
        <v>224000</v>
      </c>
      <c r="D218" s="2677">
        <v>219000</v>
      </c>
      <c r="E218" s="2677">
        <v>223520</v>
      </c>
      <c r="F218" s="2677">
        <v>223520</v>
      </c>
      <c r="G218" s="2677">
        <v>300</v>
      </c>
    </row>
    <row r="219" spans="1:7" x14ac:dyDescent="0.3">
      <c r="A219" s="2678">
        <v>42626</v>
      </c>
      <c r="B219" s="2677">
        <v>221900</v>
      </c>
      <c r="C219" s="2677">
        <v>221900</v>
      </c>
      <c r="D219" s="2677">
        <v>218000</v>
      </c>
      <c r="E219" s="2677">
        <v>219150</v>
      </c>
      <c r="F219" s="2677">
        <v>219150</v>
      </c>
      <c r="G219" s="2677">
        <v>500</v>
      </c>
    </row>
    <row r="220" spans="1:7" x14ac:dyDescent="0.3">
      <c r="A220" s="2678">
        <v>42627</v>
      </c>
      <c r="B220" s="2677">
        <v>219040</v>
      </c>
      <c r="C220" s="2677">
        <v>220310</v>
      </c>
      <c r="D220" s="2677">
        <v>218080</v>
      </c>
      <c r="E220" s="2677">
        <v>218610</v>
      </c>
      <c r="F220" s="2677">
        <v>218610</v>
      </c>
      <c r="G220" s="2677">
        <v>300</v>
      </c>
    </row>
    <row r="221" spans="1:7" x14ac:dyDescent="0.3">
      <c r="A221" s="2678">
        <v>42628</v>
      </c>
      <c r="B221" s="2677">
        <v>218700</v>
      </c>
      <c r="C221" s="2677">
        <v>220564</v>
      </c>
      <c r="D221" s="2677">
        <v>218434</v>
      </c>
      <c r="E221" s="2677">
        <v>220339</v>
      </c>
      <c r="F221" s="2677">
        <v>220339</v>
      </c>
      <c r="G221" s="2677">
        <v>200</v>
      </c>
    </row>
    <row r="222" spans="1:7" x14ac:dyDescent="0.3">
      <c r="A222" s="2678">
        <v>42629</v>
      </c>
      <c r="B222" s="2677">
        <v>218380</v>
      </c>
      <c r="C222" s="2677">
        <v>218530</v>
      </c>
      <c r="D222" s="2677">
        <v>216810</v>
      </c>
      <c r="E222" s="2677">
        <v>218400</v>
      </c>
      <c r="F222" s="2677">
        <v>218400</v>
      </c>
      <c r="G222" s="2677">
        <v>700</v>
      </c>
    </row>
    <row r="223" spans="1:7" x14ac:dyDescent="0.3">
      <c r="A223" s="2678">
        <v>42632</v>
      </c>
      <c r="B223" s="2677">
        <v>218379</v>
      </c>
      <c r="C223" s="2677">
        <v>219210</v>
      </c>
      <c r="D223" s="2677">
        <v>217360</v>
      </c>
      <c r="E223" s="2677">
        <v>218000</v>
      </c>
      <c r="F223" s="2677">
        <v>218000</v>
      </c>
      <c r="G223" s="2677">
        <v>300</v>
      </c>
    </row>
    <row r="224" spans="1:7" x14ac:dyDescent="0.3">
      <c r="A224" s="2678">
        <v>42633</v>
      </c>
      <c r="B224" s="2677">
        <v>218860</v>
      </c>
      <c r="C224" s="2677">
        <v>218970</v>
      </c>
      <c r="D224" s="2677">
        <v>217251</v>
      </c>
      <c r="E224" s="2677">
        <v>217870</v>
      </c>
      <c r="F224" s="2677">
        <v>217870</v>
      </c>
      <c r="G224" s="2677">
        <v>200</v>
      </c>
    </row>
    <row r="225" spans="1:7" x14ac:dyDescent="0.3">
      <c r="A225" s="2678">
        <v>42634</v>
      </c>
      <c r="B225" s="2677">
        <v>218939</v>
      </c>
      <c r="C225" s="2677">
        <v>219680</v>
      </c>
      <c r="D225" s="2677">
        <v>217500</v>
      </c>
      <c r="E225" s="2677">
        <v>219440</v>
      </c>
      <c r="F225" s="2677">
        <v>219440</v>
      </c>
      <c r="G225" s="2677">
        <v>500</v>
      </c>
    </row>
    <row r="226" spans="1:7" x14ac:dyDescent="0.3">
      <c r="A226" s="2678">
        <v>42635</v>
      </c>
      <c r="B226" s="2677">
        <v>219900</v>
      </c>
      <c r="C226" s="2677">
        <v>220500</v>
      </c>
      <c r="D226" s="2677">
        <v>219250</v>
      </c>
      <c r="E226" s="2677">
        <v>220000</v>
      </c>
      <c r="F226" s="2677">
        <v>220000</v>
      </c>
      <c r="G226" s="2677">
        <v>300</v>
      </c>
    </row>
    <row r="227" spans="1:7" x14ac:dyDescent="0.3">
      <c r="A227" s="2678">
        <v>42636</v>
      </c>
      <c r="B227" s="2677">
        <v>219440</v>
      </c>
      <c r="C227" s="2677">
        <v>219530</v>
      </c>
      <c r="D227" s="2677">
        <v>217432</v>
      </c>
      <c r="E227" s="2677">
        <v>217750</v>
      </c>
      <c r="F227" s="2677">
        <v>217750</v>
      </c>
      <c r="G227" s="2677">
        <v>200</v>
      </c>
    </row>
    <row r="228" spans="1:7" x14ac:dyDescent="0.3">
      <c r="A228" s="2678">
        <v>42639</v>
      </c>
      <c r="B228" s="2677">
        <v>217000</v>
      </c>
      <c r="C228" s="2677">
        <v>217350</v>
      </c>
      <c r="D228" s="2677">
        <v>216080</v>
      </c>
      <c r="E228" s="2677">
        <v>216160</v>
      </c>
      <c r="F228" s="2677">
        <v>216160</v>
      </c>
      <c r="G228" s="2677">
        <v>200</v>
      </c>
    </row>
    <row r="229" spans="1:7" x14ac:dyDescent="0.3">
      <c r="A229" s="2678">
        <v>42640</v>
      </c>
      <c r="B229" s="2677">
        <v>216160</v>
      </c>
      <c r="C229" s="2677">
        <v>218030</v>
      </c>
      <c r="D229" s="2677">
        <v>216120</v>
      </c>
      <c r="E229" s="2677">
        <v>217960</v>
      </c>
      <c r="F229" s="2677">
        <v>217960</v>
      </c>
      <c r="G229" s="2677">
        <v>300</v>
      </c>
    </row>
    <row r="230" spans="1:7" x14ac:dyDescent="0.3">
      <c r="A230" s="2678">
        <v>42641</v>
      </c>
      <c r="B230" s="2677">
        <v>217700</v>
      </c>
      <c r="C230" s="2677">
        <v>217930</v>
      </c>
      <c r="D230" s="2677">
        <v>216070</v>
      </c>
      <c r="E230" s="2677">
        <v>217695</v>
      </c>
      <c r="F230" s="2677">
        <v>217695</v>
      </c>
      <c r="G230" s="2677">
        <v>300</v>
      </c>
    </row>
    <row r="231" spans="1:7" x14ac:dyDescent="0.3">
      <c r="A231" s="2678">
        <v>42642</v>
      </c>
      <c r="B231" s="2677">
        <v>217790</v>
      </c>
      <c r="C231" s="2677">
        <v>218200</v>
      </c>
      <c r="D231" s="2677">
        <v>215208</v>
      </c>
      <c r="E231" s="2677">
        <v>215300</v>
      </c>
      <c r="F231" s="2677">
        <v>215300</v>
      </c>
      <c r="G231" s="2677">
        <v>300</v>
      </c>
    </row>
    <row r="232" spans="1:7" x14ac:dyDescent="0.3">
      <c r="A232" s="2678">
        <v>42643</v>
      </c>
      <c r="B232" s="2677">
        <v>216620</v>
      </c>
      <c r="C232" s="2677">
        <v>218049</v>
      </c>
      <c r="D232" s="2677">
        <v>216220</v>
      </c>
      <c r="E232" s="2677">
        <v>216220</v>
      </c>
      <c r="F232" s="2677">
        <v>216220</v>
      </c>
      <c r="G232" s="2677">
        <v>300</v>
      </c>
    </row>
    <row r="233" spans="1:7" x14ac:dyDescent="0.3">
      <c r="A233" s="2678">
        <v>42646</v>
      </c>
      <c r="B233" s="2677">
        <v>216000</v>
      </c>
      <c r="C233" s="2677">
        <v>216380</v>
      </c>
      <c r="D233" s="2677">
        <v>214820</v>
      </c>
      <c r="E233" s="2677">
        <v>215700</v>
      </c>
      <c r="F233" s="2677">
        <v>215700</v>
      </c>
      <c r="G233" s="2677">
        <v>300</v>
      </c>
    </row>
    <row r="234" spans="1:7" x14ac:dyDescent="0.3">
      <c r="A234" s="2678">
        <v>42647</v>
      </c>
      <c r="B234" s="2677">
        <v>215960</v>
      </c>
      <c r="C234" s="2677">
        <v>216210</v>
      </c>
      <c r="D234" s="2677">
        <v>214270</v>
      </c>
      <c r="E234" s="2677">
        <v>214520</v>
      </c>
      <c r="F234" s="2677">
        <v>214520</v>
      </c>
      <c r="G234" s="2677">
        <v>200</v>
      </c>
    </row>
    <row r="235" spans="1:7" x14ac:dyDescent="0.3">
      <c r="A235" s="2678">
        <v>42648</v>
      </c>
      <c r="B235" s="2677">
        <v>215459</v>
      </c>
      <c r="C235" s="2677">
        <v>216400</v>
      </c>
      <c r="D235" s="2677">
        <v>215010</v>
      </c>
      <c r="E235" s="2677">
        <v>216300</v>
      </c>
      <c r="F235" s="2677">
        <v>216300</v>
      </c>
      <c r="G235" s="2677">
        <v>100</v>
      </c>
    </row>
    <row r="236" spans="1:7" x14ac:dyDescent="0.3">
      <c r="A236" s="2678">
        <v>42649</v>
      </c>
      <c r="B236" s="2677">
        <v>215970</v>
      </c>
      <c r="C236" s="2677">
        <v>215970</v>
      </c>
      <c r="D236" s="2677">
        <v>214945</v>
      </c>
      <c r="E236" s="2677">
        <v>215860</v>
      </c>
      <c r="F236" s="2677">
        <v>215860</v>
      </c>
      <c r="G236" s="2677">
        <v>200</v>
      </c>
    </row>
    <row r="237" spans="1:7" x14ac:dyDescent="0.3">
      <c r="A237" s="2678">
        <v>42650</v>
      </c>
      <c r="B237" s="2677">
        <v>215890</v>
      </c>
      <c r="C237" s="2677">
        <v>217370</v>
      </c>
      <c r="D237" s="2677">
        <v>215780</v>
      </c>
      <c r="E237" s="2677">
        <v>216640</v>
      </c>
      <c r="F237" s="2677">
        <v>216640</v>
      </c>
      <c r="G237" s="2677">
        <v>300</v>
      </c>
    </row>
    <row r="238" spans="1:7" x14ac:dyDescent="0.3">
      <c r="A238" s="2678">
        <v>42653</v>
      </c>
      <c r="B238" s="2677">
        <v>217530</v>
      </c>
      <c r="C238" s="2677">
        <v>218470</v>
      </c>
      <c r="D238" s="2677">
        <v>217500</v>
      </c>
      <c r="E238" s="2677">
        <v>217730</v>
      </c>
      <c r="F238" s="2677">
        <v>217730</v>
      </c>
      <c r="G238" s="2677">
        <v>100</v>
      </c>
    </row>
    <row r="239" spans="1:7" x14ac:dyDescent="0.3">
      <c r="A239" s="2678">
        <v>42654</v>
      </c>
      <c r="B239" s="2677">
        <v>217599</v>
      </c>
      <c r="C239" s="2677">
        <v>217599</v>
      </c>
      <c r="D239" s="2677">
        <v>215373</v>
      </c>
      <c r="E239" s="2677">
        <v>215920</v>
      </c>
      <c r="F239" s="2677">
        <v>215920</v>
      </c>
      <c r="G239" s="2677">
        <v>200</v>
      </c>
    </row>
    <row r="240" spans="1:7" x14ac:dyDescent="0.3">
      <c r="A240" s="2678">
        <v>42655</v>
      </c>
      <c r="B240" s="2677">
        <v>216351</v>
      </c>
      <c r="C240" s="2677">
        <v>217800</v>
      </c>
      <c r="D240" s="2677">
        <v>216300</v>
      </c>
      <c r="E240" s="2677">
        <v>217230</v>
      </c>
      <c r="F240" s="2677">
        <v>217230</v>
      </c>
      <c r="G240" s="2677">
        <v>100</v>
      </c>
    </row>
    <row r="241" spans="1:7" x14ac:dyDescent="0.3">
      <c r="A241" s="2678">
        <v>42656</v>
      </c>
      <c r="B241" s="2677">
        <v>216100</v>
      </c>
      <c r="C241" s="2677">
        <v>216100</v>
      </c>
      <c r="D241" s="2677">
        <v>213030</v>
      </c>
      <c r="E241" s="2677">
        <v>214660</v>
      </c>
      <c r="F241" s="2677">
        <v>214660</v>
      </c>
      <c r="G241" s="2677">
        <v>600</v>
      </c>
    </row>
    <row r="242" spans="1:7" x14ac:dyDescent="0.3">
      <c r="A242" s="2678">
        <v>42657</v>
      </c>
      <c r="B242" s="2677">
        <v>215620</v>
      </c>
      <c r="C242" s="2677">
        <v>217280</v>
      </c>
      <c r="D242" s="2677">
        <v>215620</v>
      </c>
      <c r="E242" s="2677">
        <v>216370</v>
      </c>
      <c r="F242" s="2677">
        <v>216370</v>
      </c>
      <c r="G242" s="2677">
        <v>200</v>
      </c>
    </row>
    <row r="243" spans="1:7" x14ac:dyDescent="0.3">
      <c r="A243" s="2678">
        <v>42660</v>
      </c>
      <c r="B243" s="2677">
        <v>216900</v>
      </c>
      <c r="C243" s="2677">
        <v>216900</v>
      </c>
      <c r="D243" s="2677">
        <v>215100</v>
      </c>
      <c r="E243" s="2677">
        <v>216225</v>
      </c>
      <c r="F243" s="2677">
        <v>216225</v>
      </c>
      <c r="G243" s="2677">
        <v>100</v>
      </c>
    </row>
    <row r="244" spans="1:7" x14ac:dyDescent="0.3">
      <c r="A244" s="2678">
        <v>42661</v>
      </c>
      <c r="B244" s="2677">
        <v>216600</v>
      </c>
      <c r="C244" s="2677">
        <v>217480</v>
      </c>
      <c r="D244" s="2677">
        <v>216200</v>
      </c>
      <c r="E244" s="2677">
        <v>216300</v>
      </c>
      <c r="F244" s="2677">
        <v>216300</v>
      </c>
      <c r="G244" s="2677">
        <v>200</v>
      </c>
    </row>
    <row r="245" spans="1:7" x14ac:dyDescent="0.3">
      <c r="A245" s="2678">
        <v>42662</v>
      </c>
      <c r="B245" s="2677">
        <v>216700</v>
      </c>
      <c r="C245" s="2677">
        <v>218500</v>
      </c>
      <c r="D245" s="2677">
        <v>216700</v>
      </c>
      <c r="E245" s="2677">
        <v>217350</v>
      </c>
      <c r="F245" s="2677">
        <v>217350</v>
      </c>
      <c r="G245" s="2677">
        <v>200</v>
      </c>
    </row>
    <row r="246" spans="1:7" x14ac:dyDescent="0.3">
      <c r="A246" s="2678">
        <v>42663</v>
      </c>
      <c r="B246" s="2677">
        <v>217014</v>
      </c>
      <c r="C246" s="2677">
        <v>218000</v>
      </c>
      <c r="D246" s="2677">
        <v>216340</v>
      </c>
      <c r="E246" s="2677">
        <v>216975</v>
      </c>
      <c r="F246" s="2677">
        <v>216975</v>
      </c>
      <c r="G246" s="2677">
        <v>200</v>
      </c>
    </row>
    <row r="247" spans="1:7" x14ac:dyDescent="0.3">
      <c r="A247" s="2678">
        <v>42664</v>
      </c>
      <c r="B247" s="2677">
        <v>215400</v>
      </c>
      <c r="C247" s="2677">
        <v>215940</v>
      </c>
      <c r="D247" s="2677">
        <v>214259</v>
      </c>
      <c r="E247" s="2677">
        <v>215600</v>
      </c>
      <c r="F247" s="2677">
        <v>215600</v>
      </c>
      <c r="G247" s="2677">
        <v>200</v>
      </c>
    </row>
    <row r="248" spans="1:7" x14ac:dyDescent="0.3">
      <c r="A248" s="2678">
        <v>42667</v>
      </c>
      <c r="B248" s="2677">
        <v>216440</v>
      </c>
      <c r="C248" s="2677">
        <v>217260</v>
      </c>
      <c r="D248" s="2677">
        <v>215500</v>
      </c>
      <c r="E248" s="2677">
        <v>215500</v>
      </c>
      <c r="F248" s="2677">
        <v>215500</v>
      </c>
      <c r="G248" s="2677">
        <v>200</v>
      </c>
    </row>
    <row r="249" spans="1:7" x14ac:dyDescent="0.3">
      <c r="A249" s="2678">
        <v>42668</v>
      </c>
      <c r="B249" s="2677">
        <v>215347</v>
      </c>
      <c r="C249" s="2677">
        <v>216190</v>
      </c>
      <c r="D249" s="2677">
        <v>214880</v>
      </c>
      <c r="E249" s="2677">
        <v>215250</v>
      </c>
      <c r="F249" s="2677">
        <v>215250</v>
      </c>
      <c r="G249" s="2677">
        <v>300</v>
      </c>
    </row>
    <row r="250" spans="1:7" x14ac:dyDescent="0.3">
      <c r="A250" s="2678">
        <v>42669</v>
      </c>
      <c r="B250" s="2677">
        <v>214900</v>
      </c>
      <c r="C250" s="2677">
        <v>216660</v>
      </c>
      <c r="D250" s="2677">
        <v>214710</v>
      </c>
      <c r="E250" s="2677">
        <v>215840</v>
      </c>
      <c r="F250" s="2677">
        <v>215840</v>
      </c>
      <c r="G250" s="2677">
        <v>500</v>
      </c>
    </row>
    <row r="251" spans="1:7" x14ac:dyDescent="0.3">
      <c r="A251" s="2678">
        <v>42670</v>
      </c>
      <c r="B251" s="2677">
        <v>216400</v>
      </c>
      <c r="C251" s="2677">
        <v>217110</v>
      </c>
      <c r="D251" s="2677">
        <v>215860</v>
      </c>
      <c r="E251" s="2677">
        <v>216820</v>
      </c>
      <c r="F251" s="2677">
        <v>216820</v>
      </c>
      <c r="G251" s="2677">
        <v>400</v>
      </c>
    </row>
    <row r="252" spans="1:7" x14ac:dyDescent="0.3">
      <c r="A252" s="2678">
        <v>42671</v>
      </c>
      <c r="B252" s="2677">
        <v>217010</v>
      </c>
      <c r="C252" s="2677">
        <v>217810</v>
      </c>
      <c r="D252" s="2677">
        <v>214470</v>
      </c>
      <c r="E252" s="2677">
        <v>216200</v>
      </c>
      <c r="F252" s="2677">
        <v>216200</v>
      </c>
      <c r="G252" s="2677">
        <v>300</v>
      </c>
    </row>
    <row r="253" spans="1:7" x14ac:dyDescent="0.3">
      <c r="A253" s="2678">
        <v>42674</v>
      </c>
      <c r="B253" s="2677">
        <v>215900</v>
      </c>
      <c r="C253" s="2677">
        <v>217000</v>
      </c>
      <c r="D253" s="2677">
        <v>215700</v>
      </c>
      <c r="E253" s="2677">
        <v>215700</v>
      </c>
      <c r="F253" s="2677">
        <v>215700</v>
      </c>
      <c r="G253" s="2677">
        <v>300</v>
      </c>
    </row>
    <row r="254" spans="1:7" x14ac:dyDescent="0.3">
      <c r="A254" s="2678">
        <v>42675</v>
      </c>
      <c r="B254" s="2677">
        <v>216798</v>
      </c>
      <c r="C254" s="2677">
        <v>217090</v>
      </c>
      <c r="D254" s="2677">
        <v>214835</v>
      </c>
      <c r="E254" s="2677">
        <v>215370</v>
      </c>
      <c r="F254" s="2677">
        <v>215370</v>
      </c>
      <c r="G254" s="2677">
        <v>700</v>
      </c>
    </row>
    <row r="255" spans="1:7" x14ac:dyDescent="0.3">
      <c r="A255" s="2678">
        <v>42676</v>
      </c>
      <c r="B255" s="2677">
        <v>214640</v>
      </c>
      <c r="C255" s="2677">
        <v>215700</v>
      </c>
      <c r="D255" s="2677">
        <v>214640</v>
      </c>
      <c r="E255" s="2677">
        <v>214900</v>
      </c>
      <c r="F255" s="2677">
        <v>214900</v>
      </c>
      <c r="G255" s="2677">
        <v>600</v>
      </c>
    </row>
    <row r="256" spans="1:7" x14ac:dyDescent="0.3">
      <c r="A256" s="2678">
        <v>42677</v>
      </c>
      <c r="B256" s="2677">
        <v>214860</v>
      </c>
      <c r="C256" s="2677">
        <v>216630</v>
      </c>
      <c r="D256" s="2677">
        <v>214860</v>
      </c>
      <c r="E256" s="2677">
        <v>215001</v>
      </c>
      <c r="F256" s="2677">
        <v>215001</v>
      </c>
      <c r="G256" s="2677">
        <v>300</v>
      </c>
    </row>
    <row r="257" spans="1:7" x14ac:dyDescent="0.3">
      <c r="A257" s="2678">
        <v>42678</v>
      </c>
      <c r="B257" s="2677">
        <v>214960</v>
      </c>
      <c r="C257" s="2677">
        <v>215680</v>
      </c>
      <c r="D257" s="2677">
        <v>213680</v>
      </c>
      <c r="E257" s="2677">
        <v>214545</v>
      </c>
      <c r="F257" s="2677">
        <v>214545</v>
      </c>
      <c r="G257" s="2677">
        <v>500</v>
      </c>
    </row>
    <row r="258" spans="1:7" x14ac:dyDescent="0.3">
      <c r="A258" s="2678">
        <v>42681</v>
      </c>
      <c r="B258" s="2677">
        <v>216850</v>
      </c>
      <c r="C258" s="2677">
        <v>220720</v>
      </c>
      <c r="D258" s="2677">
        <v>216600</v>
      </c>
      <c r="E258" s="2677">
        <v>220303</v>
      </c>
      <c r="F258" s="2677">
        <v>220303</v>
      </c>
      <c r="G258" s="2677">
        <v>900</v>
      </c>
    </row>
    <row r="259" spans="1:7" x14ac:dyDescent="0.3">
      <c r="A259" s="2678">
        <v>42682</v>
      </c>
      <c r="B259" s="2677">
        <v>220425</v>
      </c>
      <c r="C259" s="2677">
        <v>222150</v>
      </c>
      <c r="D259" s="2677">
        <v>219650</v>
      </c>
      <c r="E259" s="2677">
        <v>221485</v>
      </c>
      <c r="F259" s="2677">
        <v>221485</v>
      </c>
      <c r="G259" s="2677">
        <v>600</v>
      </c>
    </row>
    <row r="260" spans="1:7" x14ac:dyDescent="0.3">
      <c r="A260" s="2678">
        <v>42683</v>
      </c>
      <c r="B260" s="2677">
        <v>218930</v>
      </c>
      <c r="C260" s="2677">
        <v>227368</v>
      </c>
      <c r="D260" s="2677">
        <v>218500</v>
      </c>
      <c r="E260" s="2677">
        <v>227135</v>
      </c>
      <c r="F260" s="2677">
        <v>227135</v>
      </c>
      <c r="G260" s="2677">
        <v>1100</v>
      </c>
    </row>
    <row r="261" spans="1:7" x14ac:dyDescent="0.3">
      <c r="A261" s="2678">
        <v>42684</v>
      </c>
      <c r="B261" s="2677">
        <v>227499</v>
      </c>
      <c r="C261" s="2677">
        <v>234910</v>
      </c>
      <c r="D261" s="2677">
        <v>227499</v>
      </c>
      <c r="E261" s="2677">
        <v>233750</v>
      </c>
      <c r="F261" s="2677">
        <v>233750</v>
      </c>
      <c r="G261" s="2677">
        <v>1400</v>
      </c>
    </row>
    <row r="262" spans="1:7" x14ac:dyDescent="0.3">
      <c r="A262" s="2678">
        <v>42685</v>
      </c>
      <c r="B262" s="2677">
        <v>233310</v>
      </c>
      <c r="C262" s="2677">
        <v>235870</v>
      </c>
      <c r="D262" s="2677">
        <v>232771</v>
      </c>
      <c r="E262" s="2677">
        <v>234860</v>
      </c>
      <c r="F262" s="2677">
        <v>234860</v>
      </c>
      <c r="G262" s="2677">
        <v>400</v>
      </c>
    </row>
    <row r="263" spans="1:7" x14ac:dyDescent="0.3">
      <c r="A263" s="2678">
        <v>42688</v>
      </c>
      <c r="B263" s="2677">
        <v>236150</v>
      </c>
      <c r="C263" s="2677">
        <v>237153</v>
      </c>
      <c r="D263" s="2677">
        <v>234930</v>
      </c>
      <c r="E263" s="2677">
        <v>236650</v>
      </c>
      <c r="F263" s="2677">
        <v>236650</v>
      </c>
      <c r="G263" s="2677">
        <v>900</v>
      </c>
    </row>
    <row r="264" spans="1:7" x14ac:dyDescent="0.3">
      <c r="A264" s="2678">
        <v>42689</v>
      </c>
      <c r="B264" s="2677">
        <v>236300</v>
      </c>
      <c r="C264" s="2677">
        <v>236370</v>
      </c>
      <c r="D264" s="2677">
        <v>234000</v>
      </c>
      <c r="E264" s="2677">
        <v>236000</v>
      </c>
      <c r="F264" s="2677">
        <v>236000</v>
      </c>
      <c r="G264" s="2677">
        <v>700</v>
      </c>
    </row>
    <row r="265" spans="1:7" x14ac:dyDescent="0.3">
      <c r="A265" s="2678">
        <v>42690</v>
      </c>
      <c r="B265" s="2677">
        <v>235101</v>
      </c>
      <c r="C265" s="2677">
        <v>236320</v>
      </c>
      <c r="D265" s="2677">
        <v>234130</v>
      </c>
      <c r="E265" s="2677">
        <v>235470</v>
      </c>
      <c r="F265" s="2677">
        <v>235470</v>
      </c>
      <c r="G265" s="2677">
        <v>400</v>
      </c>
    </row>
    <row r="266" spans="1:7" x14ac:dyDescent="0.3">
      <c r="A266" s="2678">
        <v>42691</v>
      </c>
      <c r="B266" s="2677">
        <v>234910</v>
      </c>
      <c r="C266" s="2677">
        <v>237893</v>
      </c>
      <c r="D266" s="2677">
        <v>234470</v>
      </c>
      <c r="E266" s="2677">
        <v>237550</v>
      </c>
      <c r="F266" s="2677">
        <v>237550</v>
      </c>
      <c r="G266" s="2677">
        <v>400</v>
      </c>
    </row>
    <row r="267" spans="1:7" x14ac:dyDescent="0.3">
      <c r="A267" s="2678">
        <v>42692</v>
      </c>
      <c r="B267" s="2677">
        <v>237240</v>
      </c>
      <c r="C267" s="2677">
        <v>237686</v>
      </c>
      <c r="D267" s="2677">
        <v>236000</v>
      </c>
      <c r="E267" s="2677">
        <v>236391</v>
      </c>
      <c r="F267" s="2677">
        <v>236391</v>
      </c>
      <c r="G267" s="2677">
        <v>500</v>
      </c>
    </row>
    <row r="268" spans="1:7" x14ac:dyDescent="0.3">
      <c r="A268" s="2678">
        <v>42695</v>
      </c>
      <c r="B268" s="2677">
        <v>236340</v>
      </c>
      <c r="C268" s="2677">
        <v>238050</v>
      </c>
      <c r="D268" s="2677">
        <v>236160</v>
      </c>
      <c r="E268" s="2677">
        <v>237500</v>
      </c>
      <c r="F268" s="2677">
        <v>237500</v>
      </c>
      <c r="G268" s="2677">
        <v>400</v>
      </c>
    </row>
    <row r="269" spans="1:7" x14ac:dyDescent="0.3">
      <c r="A269" s="2678">
        <v>42696</v>
      </c>
      <c r="B269" s="2677">
        <v>238590</v>
      </c>
      <c r="C269" s="2677">
        <v>238590</v>
      </c>
      <c r="D269" s="2677">
        <v>236740</v>
      </c>
      <c r="E269" s="2677">
        <v>237801</v>
      </c>
      <c r="F269" s="2677">
        <v>237801</v>
      </c>
      <c r="G269" s="2677">
        <v>300</v>
      </c>
    </row>
    <row r="270" spans="1:7" x14ac:dyDescent="0.3">
      <c r="A270" s="2678">
        <v>42697</v>
      </c>
      <c r="B270" s="2677">
        <v>238250</v>
      </c>
      <c r="C270" s="2677">
        <v>238250</v>
      </c>
      <c r="D270" s="2677">
        <v>236070</v>
      </c>
      <c r="E270" s="2677">
        <v>237070</v>
      </c>
      <c r="F270" s="2677">
        <v>237070</v>
      </c>
      <c r="G270" s="2677">
        <v>300</v>
      </c>
    </row>
    <row r="271" spans="1:7" x14ac:dyDescent="0.3">
      <c r="A271" s="2678">
        <v>42699</v>
      </c>
      <c r="B271" s="2677">
        <v>237150</v>
      </c>
      <c r="C271" s="2677">
        <v>237635</v>
      </c>
      <c r="D271" s="2677">
        <v>236510</v>
      </c>
      <c r="E271" s="2677">
        <v>237085</v>
      </c>
      <c r="F271" s="2677">
        <v>237085</v>
      </c>
      <c r="G271" s="2677">
        <v>200</v>
      </c>
    </row>
    <row r="272" spans="1:7" x14ac:dyDescent="0.3">
      <c r="A272" s="2678">
        <v>42702</v>
      </c>
      <c r="B272" s="2677">
        <v>236659</v>
      </c>
      <c r="C272" s="2677">
        <v>237660</v>
      </c>
      <c r="D272" s="2677">
        <v>235370</v>
      </c>
      <c r="E272" s="2677">
        <v>235400</v>
      </c>
      <c r="F272" s="2677">
        <v>235400</v>
      </c>
      <c r="G272" s="2677">
        <v>200</v>
      </c>
    </row>
    <row r="273" spans="1:7" x14ac:dyDescent="0.3">
      <c r="A273" s="2678">
        <v>42703</v>
      </c>
      <c r="B273" s="2677">
        <v>235795</v>
      </c>
      <c r="C273" s="2677">
        <v>236900</v>
      </c>
      <c r="D273" s="2677">
        <v>235320</v>
      </c>
      <c r="E273" s="2677">
        <v>236391</v>
      </c>
      <c r="F273" s="2677">
        <v>236391</v>
      </c>
      <c r="G273" s="2677">
        <v>200</v>
      </c>
    </row>
    <row r="274" spans="1:7" x14ac:dyDescent="0.3">
      <c r="A274" s="2678">
        <v>42704</v>
      </c>
      <c r="B274" s="2677">
        <v>237230</v>
      </c>
      <c r="C274" s="2677">
        <v>237999</v>
      </c>
      <c r="D274" s="2677">
        <v>236330</v>
      </c>
      <c r="E274" s="2677">
        <v>237000</v>
      </c>
      <c r="F274" s="2677">
        <v>237000</v>
      </c>
      <c r="G274" s="2677">
        <v>300</v>
      </c>
    </row>
    <row r="275" spans="1:7" x14ac:dyDescent="0.3">
      <c r="A275" s="2678">
        <v>42705</v>
      </c>
      <c r="B275" s="2677">
        <v>236361</v>
      </c>
      <c r="C275" s="2677">
        <v>240200</v>
      </c>
      <c r="D275" s="2677">
        <v>236340</v>
      </c>
      <c r="E275" s="2677">
        <v>239821</v>
      </c>
      <c r="F275" s="2677">
        <v>239821</v>
      </c>
      <c r="G275" s="2677">
        <v>500</v>
      </c>
    </row>
    <row r="276" spans="1:7" x14ac:dyDescent="0.3">
      <c r="A276" s="2678">
        <v>42706</v>
      </c>
      <c r="B276" s="2677">
        <v>240000</v>
      </c>
      <c r="C276" s="2677">
        <v>240000</v>
      </c>
      <c r="D276" s="2677">
        <v>238173</v>
      </c>
      <c r="E276" s="2677">
        <v>239070</v>
      </c>
      <c r="F276" s="2677">
        <v>239070</v>
      </c>
      <c r="G276" s="2677">
        <v>300</v>
      </c>
    </row>
    <row r="277" spans="1:7" x14ac:dyDescent="0.3">
      <c r="A277" s="2678">
        <v>42709</v>
      </c>
      <c r="B277" s="2677">
        <v>240250</v>
      </c>
      <c r="C277" s="2677">
        <v>241040</v>
      </c>
      <c r="D277" s="2677">
        <v>239000</v>
      </c>
      <c r="E277" s="2677">
        <v>240000</v>
      </c>
      <c r="F277" s="2677">
        <v>240000</v>
      </c>
      <c r="G277" s="2677">
        <v>300</v>
      </c>
    </row>
    <row r="278" spans="1:7" x14ac:dyDescent="0.3">
      <c r="A278" s="2678">
        <v>42710</v>
      </c>
      <c r="B278" s="2677">
        <v>240430</v>
      </c>
      <c r="C278" s="2677">
        <v>242210</v>
      </c>
      <c r="D278" s="2677">
        <v>239950</v>
      </c>
      <c r="E278" s="2677">
        <v>241836</v>
      </c>
      <c r="F278" s="2677">
        <v>241836</v>
      </c>
      <c r="G278" s="2677">
        <v>300</v>
      </c>
    </row>
    <row r="279" spans="1:7" x14ac:dyDescent="0.3">
      <c r="A279" s="2678">
        <v>42711</v>
      </c>
      <c r="B279" s="2677">
        <v>242600</v>
      </c>
      <c r="C279" s="2677">
        <v>246890</v>
      </c>
      <c r="D279" s="2677">
        <v>242410</v>
      </c>
      <c r="E279" s="2677">
        <v>246380</v>
      </c>
      <c r="F279" s="2677">
        <v>246380</v>
      </c>
      <c r="G279" s="2677">
        <v>800</v>
      </c>
    </row>
    <row r="280" spans="1:7" x14ac:dyDescent="0.3">
      <c r="A280" s="2678">
        <v>42712</v>
      </c>
      <c r="B280" s="2677">
        <v>247160</v>
      </c>
      <c r="C280" s="2677">
        <v>248820</v>
      </c>
      <c r="D280" s="2677">
        <v>245270</v>
      </c>
      <c r="E280" s="2677">
        <v>246120</v>
      </c>
      <c r="F280" s="2677">
        <v>246120</v>
      </c>
      <c r="G280" s="2677">
        <v>500</v>
      </c>
    </row>
    <row r="281" spans="1:7" x14ac:dyDescent="0.3">
      <c r="A281" s="2678">
        <v>42713</v>
      </c>
      <c r="B281" s="2677">
        <v>246000</v>
      </c>
      <c r="C281" s="2677">
        <v>247680</v>
      </c>
      <c r="D281" s="2677">
        <v>244600</v>
      </c>
      <c r="E281" s="2677">
        <v>247190</v>
      </c>
      <c r="F281" s="2677">
        <v>247190</v>
      </c>
      <c r="G281" s="2677">
        <v>300</v>
      </c>
    </row>
    <row r="282" spans="1:7" x14ac:dyDescent="0.3">
      <c r="A282" s="2678">
        <v>42716</v>
      </c>
      <c r="B282" s="2677">
        <v>246670</v>
      </c>
      <c r="C282" s="2677">
        <v>249969</v>
      </c>
      <c r="D282" s="2677">
        <v>246441</v>
      </c>
      <c r="E282" s="2677">
        <v>248889</v>
      </c>
      <c r="F282" s="2677">
        <v>248889</v>
      </c>
      <c r="G282" s="2677">
        <v>900</v>
      </c>
    </row>
    <row r="283" spans="1:7" x14ac:dyDescent="0.3">
      <c r="A283" s="2678">
        <v>42717</v>
      </c>
      <c r="B283" s="2677">
        <v>249750</v>
      </c>
      <c r="C283" s="2677">
        <v>250420</v>
      </c>
      <c r="D283" s="2677">
        <v>248110</v>
      </c>
      <c r="E283" s="2677">
        <v>249711</v>
      </c>
      <c r="F283" s="2677">
        <v>249711</v>
      </c>
      <c r="G283" s="2677">
        <v>300</v>
      </c>
    </row>
    <row r="284" spans="1:7" x14ac:dyDescent="0.3">
      <c r="A284" s="2678">
        <v>42718</v>
      </c>
      <c r="B284" s="2677">
        <v>249360</v>
      </c>
      <c r="C284" s="2677">
        <v>250786</v>
      </c>
      <c r="D284" s="2677">
        <v>247020</v>
      </c>
      <c r="E284" s="2677">
        <v>247120</v>
      </c>
      <c r="F284" s="2677">
        <v>247120</v>
      </c>
      <c r="G284" s="2677">
        <v>300</v>
      </c>
    </row>
    <row r="285" spans="1:7" x14ac:dyDescent="0.3">
      <c r="A285" s="2678">
        <v>42719</v>
      </c>
      <c r="B285" s="2677">
        <v>248061</v>
      </c>
      <c r="C285" s="2677">
        <v>250500</v>
      </c>
      <c r="D285" s="2677">
        <v>247190</v>
      </c>
      <c r="E285" s="2677">
        <v>248271</v>
      </c>
      <c r="F285" s="2677">
        <v>248271</v>
      </c>
      <c r="G285" s="2677">
        <v>300</v>
      </c>
    </row>
    <row r="286" spans="1:7" x14ac:dyDescent="0.3">
      <c r="A286" s="2678">
        <v>42720</v>
      </c>
      <c r="B286" s="2677">
        <v>248540</v>
      </c>
      <c r="C286" s="2677">
        <v>248900</v>
      </c>
      <c r="D286" s="2677">
        <v>246405</v>
      </c>
      <c r="E286" s="2677">
        <v>246405</v>
      </c>
      <c r="F286" s="2677">
        <v>246405</v>
      </c>
      <c r="G286" s="2677">
        <v>200</v>
      </c>
    </row>
    <row r="287" spans="1:7" x14ac:dyDescent="0.3">
      <c r="A287" s="2678">
        <v>42723</v>
      </c>
      <c r="B287" s="2677">
        <v>247899</v>
      </c>
      <c r="C287" s="2677">
        <v>248330</v>
      </c>
      <c r="D287" s="2677">
        <v>246700</v>
      </c>
      <c r="E287" s="2677">
        <v>248330</v>
      </c>
      <c r="F287" s="2677">
        <v>248330</v>
      </c>
      <c r="G287" s="2677">
        <v>200</v>
      </c>
    </row>
    <row r="288" spans="1:7" x14ac:dyDescent="0.3">
      <c r="A288" s="2678">
        <v>42724</v>
      </c>
      <c r="B288" s="2677">
        <v>248300</v>
      </c>
      <c r="C288" s="2677">
        <v>249585</v>
      </c>
      <c r="D288" s="2677">
        <v>248120</v>
      </c>
      <c r="E288" s="2677">
        <v>249041</v>
      </c>
      <c r="F288" s="2677">
        <v>249041</v>
      </c>
      <c r="G288" s="2677">
        <v>300</v>
      </c>
    </row>
    <row r="289" spans="1:7" x14ac:dyDescent="0.3">
      <c r="A289" s="2678">
        <v>42725</v>
      </c>
      <c r="B289" s="2677">
        <v>249100</v>
      </c>
      <c r="C289" s="2677">
        <v>249929</v>
      </c>
      <c r="D289" s="2677">
        <v>248480</v>
      </c>
      <c r="E289" s="2677">
        <v>248631</v>
      </c>
      <c r="F289" s="2677">
        <v>248631</v>
      </c>
      <c r="G289" s="2677">
        <v>300</v>
      </c>
    </row>
    <row r="290" spans="1:7" x14ac:dyDescent="0.3">
      <c r="A290" s="2678">
        <v>42726</v>
      </c>
      <c r="B290" s="2677">
        <v>248190</v>
      </c>
      <c r="C290" s="2677">
        <v>249100</v>
      </c>
      <c r="D290" s="2677">
        <v>247420</v>
      </c>
      <c r="E290" s="2677">
        <v>249000</v>
      </c>
      <c r="F290" s="2677">
        <v>249000</v>
      </c>
      <c r="G290" s="2677">
        <v>200</v>
      </c>
    </row>
    <row r="291" spans="1:7" x14ac:dyDescent="0.3">
      <c r="A291" s="2678">
        <v>42727</v>
      </c>
      <c r="B291" s="2677">
        <v>249000</v>
      </c>
      <c r="C291" s="2677">
        <v>249000</v>
      </c>
      <c r="D291" s="2677">
        <v>247200</v>
      </c>
      <c r="E291" s="2677">
        <v>248000</v>
      </c>
      <c r="F291" s="2677">
        <v>248000</v>
      </c>
      <c r="G291" s="2677">
        <v>200</v>
      </c>
    </row>
    <row r="292" spans="1:7" x14ac:dyDescent="0.3">
      <c r="A292" s="2678">
        <v>42731</v>
      </c>
      <c r="B292" s="2677">
        <v>248000</v>
      </c>
      <c r="C292" s="2677">
        <v>248625</v>
      </c>
      <c r="D292" s="2677">
        <v>247150</v>
      </c>
      <c r="E292" s="2677">
        <v>247300</v>
      </c>
      <c r="F292" s="2677">
        <v>247300</v>
      </c>
      <c r="G292" s="2677">
        <v>200</v>
      </c>
    </row>
    <row r="293" spans="1:7" x14ac:dyDescent="0.3">
      <c r="A293" s="2678">
        <v>42732</v>
      </c>
      <c r="B293" s="2677">
        <v>248000</v>
      </c>
      <c r="C293" s="2677">
        <v>248200</v>
      </c>
      <c r="D293" s="2677">
        <v>245330</v>
      </c>
      <c r="E293" s="2677">
        <v>245330</v>
      </c>
      <c r="F293" s="2677">
        <v>245330</v>
      </c>
      <c r="G293" s="2677">
        <v>200</v>
      </c>
    </row>
    <row r="294" spans="1:7" x14ac:dyDescent="0.3">
      <c r="A294" s="2678">
        <v>42733</v>
      </c>
      <c r="B294" s="2677">
        <v>245870</v>
      </c>
      <c r="C294" s="2677">
        <v>246720</v>
      </c>
      <c r="D294" s="2677">
        <v>244500</v>
      </c>
      <c r="E294" s="2677">
        <v>244500</v>
      </c>
      <c r="F294" s="2677">
        <v>244500</v>
      </c>
      <c r="G294" s="2677">
        <v>100</v>
      </c>
    </row>
    <row r="295" spans="1:7" x14ac:dyDescent="0.3">
      <c r="A295" s="2678">
        <v>42734</v>
      </c>
      <c r="B295" s="2677">
        <v>244850</v>
      </c>
      <c r="C295" s="2677">
        <v>245580</v>
      </c>
      <c r="D295" s="2677">
        <v>243930</v>
      </c>
      <c r="E295" s="2677">
        <v>244121</v>
      </c>
      <c r="F295" s="2677">
        <v>244121</v>
      </c>
      <c r="G295" s="2677">
        <v>200</v>
      </c>
    </row>
    <row r="296" spans="1:7" x14ac:dyDescent="0.3">
      <c r="A296" s="2678">
        <v>42738</v>
      </c>
      <c r="B296" s="2677">
        <v>246382</v>
      </c>
      <c r="C296" s="2677">
        <v>246730</v>
      </c>
      <c r="D296" s="2677">
        <v>243800</v>
      </c>
      <c r="E296" s="2677">
        <v>245850</v>
      </c>
      <c r="F296" s="2677">
        <v>245850</v>
      </c>
      <c r="G296" s="2677">
        <v>400</v>
      </c>
    </row>
    <row r="297" spans="1:7" x14ac:dyDescent="0.3">
      <c r="A297" s="2678">
        <v>42739</v>
      </c>
      <c r="B297" s="2677">
        <v>246600</v>
      </c>
      <c r="C297" s="2677">
        <v>246600</v>
      </c>
      <c r="D297" s="2677">
        <v>244550</v>
      </c>
      <c r="E297" s="2677">
        <v>246600</v>
      </c>
      <c r="F297" s="2677">
        <v>246600</v>
      </c>
      <c r="G297" s="2677">
        <v>300</v>
      </c>
    </row>
    <row r="298" spans="1:7" x14ac:dyDescent="0.3">
      <c r="A298" s="2678">
        <v>42740</v>
      </c>
      <c r="B298" s="2677">
        <v>245665</v>
      </c>
      <c r="C298" s="2677">
        <v>245665</v>
      </c>
      <c r="D298" s="2677">
        <v>243360</v>
      </c>
      <c r="E298" s="2677">
        <v>244852</v>
      </c>
      <c r="F298" s="2677">
        <v>244852</v>
      </c>
      <c r="G298" s="2677">
        <v>200</v>
      </c>
    </row>
    <row r="299" spans="1:7" x14ac:dyDescent="0.3">
      <c r="A299" s="2678">
        <v>42741</v>
      </c>
      <c r="B299" s="2677">
        <v>245575</v>
      </c>
      <c r="C299" s="2677">
        <v>245650</v>
      </c>
      <c r="D299" s="2677">
        <v>244190</v>
      </c>
      <c r="E299" s="2677">
        <v>245394</v>
      </c>
      <c r="F299" s="2677">
        <v>245394</v>
      </c>
      <c r="G299" s="2677">
        <v>200</v>
      </c>
    </row>
    <row r="300" spans="1:7" x14ac:dyDescent="0.3">
      <c r="A300" s="2678">
        <v>42744</v>
      </c>
      <c r="B300" s="2677">
        <v>244990</v>
      </c>
      <c r="C300" s="2677">
        <v>244990</v>
      </c>
      <c r="D300" s="2677">
        <v>243111</v>
      </c>
      <c r="E300" s="2677">
        <v>243111</v>
      </c>
      <c r="F300" s="2677">
        <v>243111</v>
      </c>
      <c r="G300" s="2677">
        <v>200</v>
      </c>
    </row>
    <row r="301" spans="1:7" x14ac:dyDescent="0.3">
      <c r="A301" s="2678">
        <v>42745</v>
      </c>
      <c r="B301" s="2677">
        <v>243000</v>
      </c>
      <c r="C301" s="2677">
        <v>244010</v>
      </c>
      <c r="D301" s="2677">
        <v>242077</v>
      </c>
      <c r="E301" s="2677">
        <v>242077</v>
      </c>
      <c r="F301" s="2677">
        <v>242077</v>
      </c>
      <c r="G301" s="2677">
        <v>200</v>
      </c>
    </row>
    <row r="302" spans="1:7" x14ac:dyDescent="0.3">
      <c r="A302" s="2678">
        <v>42746</v>
      </c>
      <c r="B302" s="2677">
        <v>242425</v>
      </c>
      <c r="C302" s="2677">
        <v>243540</v>
      </c>
      <c r="D302" s="2677">
        <v>241711</v>
      </c>
      <c r="E302" s="2677">
        <v>243160</v>
      </c>
      <c r="F302" s="2677">
        <v>243160</v>
      </c>
      <c r="G302" s="2677">
        <v>200</v>
      </c>
    </row>
    <row r="303" spans="1:7" x14ac:dyDescent="0.3">
      <c r="A303" s="2678">
        <v>42747</v>
      </c>
      <c r="B303" s="2677">
        <v>242920</v>
      </c>
      <c r="C303" s="2677">
        <v>242920</v>
      </c>
      <c r="D303" s="2677">
        <v>240580</v>
      </c>
      <c r="E303" s="2677">
        <v>242850</v>
      </c>
      <c r="F303" s="2677">
        <v>242850</v>
      </c>
      <c r="G303" s="2677">
        <v>200</v>
      </c>
    </row>
    <row r="304" spans="1:7" x14ac:dyDescent="0.3">
      <c r="A304" s="2678">
        <v>42748</v>
      </c>
      <c r="B304" s="2677">
        <v>242165</v>
      </c>
      <c r="C304" s="2677">
        <v>244690</v>
      </c>
      <c r="D304" s="2677">
        <v>242165</v>
      </c>
      <c r="E304" s="2677">
        <v>242500</v>
      </c>
      <c r="F304" s="2677">
        <v>242500</v>
      </c>
      <c r="G304" s="2677">
        <v>400</v>
      </c>
    </row>
    <row r="305" spans="1:7" x14ac:dyDescent="0.3">
      <c r="A305" s="2678">
        <v>42752</v>
      </c>
      <c r="B305" s="2677">
        <v>242300</v>
      </c>
      <c r="C305" s="2677">
        <v>242300</v>
      </c>
      <c r="D305" s="2677">
        <v>239000</v>
      </c>
      <c r="E305" s="2677">
        <v>239166</v>
      </c>
      <c r="F305" s="2677">
        <v>239166</v>
      </c>
      <c r="G305" s="2677">
        <v>600</v>
      </c>
    </row>
    <row r="306" spans="1:7" x14ac:dyDescent="0.3">
      <c r="A306" s="2678">
        <v>42753</v>
      </c>
      <c r="B306" s="2677">
        <v>240698</v>
      </c>
      <c r="C306" s="2677">
        <v>241000</v>
      </c>
      <c r="D306" s="2677">
        <v>239250</v>
      </c>
      <c r="E306" s="2677">
        <v>240700</v>
      </c>
      <c r="F306" s="2677">
        <v>240700</v>
      </c>
      <c r="G306" s="2677">
        <v>400</v>
      </c>
    </row>
    <row r="307" spans="1:7" x14ac:dyDescent="0.3">
      <c r="A307" s="2678">
        <v>42754</v>
      </c>
      <c r="B307" s="2677">
        <v>241000</v>
      </c>
      <c r="C307" s="2677">
        <v>241500</v>
      </c>
      <c r="D307" s="2677">
        <v>238730</v>
      </c>
      <c r="E307" s="2677">
        <v>239120</v>
      </c>
      <c r="F307" s="2677">
        <v>239120</v>
      </c>
      <c r="G307" s="2677">
        <v>200</v>
      </c>
    </row>
    <row r="308" spans="1:7" x14ac:dyDescent="0.3">
      <c r="A308" s="2678">
        <v>42755</v>
      </c>
      <c r="B308" s="2677">
        <v>240280</v>
      </c>
      <c r="C308" s="2677">
        <v>240980</v>
      </c>
      <c r="D308" s="2677">
        <v>239460</v>
      </c>
      <c r="E308" s="2677">
        <v>240280</v>
      </c>
      <c r="F308" s="2677">
        <v>240280</v>
      </c>
      <c r="G308" s="2677">
        <v>200</v>
      </c>
    </row>
    <row r="309" spans="1:7" x14ac:dyDescent="0.3">
      <c r="A309" s="2678">
        <v>42758</v>
      </c>
      <c r="B309" s="2677">
        <v>239500</v>
      </c>
      <c r="C309" s="2677">
        <v>240250</v>
      </c>
      <c r="D309" s="2677">
        <v>237984</v>
      </c>
      <c r="E309" s="2677">
        <v>238100</v>
      </c>
      <c r="F309" s="2677">
        <v>238100</v>
      </c>
      <c r="G309" s="2677">
        <v>200</v>
      </c>
    </row>
    <row r="310" spans="1:7" x14ac:dyDescent="0.3">
      <c r="A310" s="2678">
        <v>42759</v>
      </c>
      <c r="B310" s="2677">
        <v>238900</v>
      </c>
      <c r="C310" s="2677">
        <v>241560</v>
      </c>
      <c r="D310" s="2677">
        <v>238310</v>
      </c>
      <c r="E310" s="2677">
        <v>240940</v>
      </c>
      <c r="F310" s="2677">
        <v>240940</v>
      </c>
      <c r="G310" s="2677">
        <v>200</v>
      </c>
    </row>
    <row r="311" spans="1:7" x14ac:dyDescent="0.3">
      <c r="A311" s="2678">
        <v>42760</v>
      </c>
      <c r="B311" s="2677">
        <v>242840</v>
      </c>
      <c r="C311" s="2677">
        <v>246900</v>
      </c>
      <c r="D311" s="2677">
        <v>242161</v>
      </c>
      <c r="E311" s="2677">
        <v>246340</v>
      </c>
      <c r="F311" s="2677">
        <v>246340</v>
      </c>
      <c r="G311" s="2677">
        <v>300</v>
      </c>
    </row>
    <row r="312" spans="1:7" x14ac:dyDescent="0.3">
      <c r="A312" s="2678">
        <v>42761</v>
      </c>
      <c r="B312" s="2677">
        <v>247500</v>
      </c>
      <c r="C312" s="2677">
        <v>247640</v>
      </c>
      <c r="D312" s="2677">
        <v>246210</v>
      </c>
      <c r="E312" s="2677">
        <v>247640</v>
      </c>
      <c r="F312" s="2677">
        <v>247640</v>
      </c>
      <c r="G312" s="2677">
        <v>200</v>
      </c>
    </row>
    <row r="313" spans="1:7" x14ac:dyDescent="0.3">
      <c r="A313" s="2678">
        <v>42762</v>
      </c>
      <c r="B313" s="2677">
        <v>247420</v>
      </c>
      <c r="C313" s="2677">
        <v>247500</v>
      </c>
      <c r="D313" s="2677">
        <v>245360</v>
      </c>
      <c r="E313" s="2677">
        <v>247000</v>
      </c>
      <c r="F313" s="2677">
        <v>247000</v>
      </c>
      <c r="G313" s="2677">
        <v>100</v>
      </c>
    </row>
    <row r="314" spans="1:7" x14ac:dyDescent="0.3">
      <c r="A314" s="2678">
        <v>42765</v>
      </c>
      <c r="B314" s="2677">
        <v>246260</v>
      </c>
      <c r="C314" s="2677">
        <v>247340</v>
      </c>
      <c r="D314" s="2677">
        <v>244880</v>
      </c>
      <c r="E314" s="2677">
        <v>246500</v>
      </c>
      <c r="F314" s="2677">
        <v>246500</v>
      </c>
      <c r="G314" s="2677">
        <v>200</v>
      </c>
    </row>
    <row r="315" spans="1:7" x14ac:dyDescent="0.3">
      <c r="A315" s="2678">
        <v>42766</v>
      </c>
      <c r="B315" s="2677">
        <v>246800</v>
      </c>
      <c r="C315" s="2677">
        <v>247738</v>
      </c>
      <c r="D315" s="2677">
        <v>244640</v>
      </c>
      <c r="E315" s="2677">
        <v>245980</v>
      </c>
      <c r="F315" s="2677">
        <v>245980</v>
      </c>
      <c r="G315" s="2677">
        <v>200</v>
      </c>
    </row>
    <row r="316" spans="1:7" x14ac:dyDescent="0.3">
      <c r="A316" s="2678">
        <v>42767</v>
      </c>
      <c r="B316" s="2677">
        <v>247700</v>
      </c>
      <c r="C316" s="2677">
        <v>247775</v>
      </c>
      <c r="D316" s="2677">
        <v>245000</v>
      </c>
      <c r="E316" s="2677">
        <v>245430</v>
      </c>
      <c r="F316" s="2677">
        <v>245430</v>
      </c>
      <c r="G316" s="2677">
        <v>300</v>
      </c>
    </row>
    <row r="317" spans="1:7" x14ac:dyDescent="0.3">
      <c r="A317" s="2678">
        <v>42768</v>
      </c>
      <c r="B317" s="2677">
        <v>244718</v>
      </c>
      <c r="C317" s="2677">
        <v>244790</v>
      </c>
      <c r="D317" s="2677">
        <v>243410</v>
      </c>
      <c r="E317" s="2677">
        <v>244330</v>
      </c>
      <c r="F317" s="2677">
        <v>244330</v>
      </c>
      <c r="G317" s="2677">
        <v>400</v>
      </c>
    </row>
    <row r="318" spans="1:7" x14ac:dyDescent="0.3">
      <c r="A318" s="2678">
        <v>42769</v>
      </c>
      <c r="B318" s="2677">
        <v>245830</v>
      </c>
      <c r="C318" s="2677">
        <v>246200</v>
      </c>
      <c r="D318" s="2677">
        <v>244040</v>
      </c>
      <c r="E318" s="2677">
        <v>245646</v>
      </c>
      <c r="F318" s="2677">
        <v>245646</v>
      </c>
      <c r="G318" s="2677">
        <v>300</v>
      </c>
    </row>
    <row r="319" spans="1:7" x14ac:dyDescent="0.3">
      <c r="A319" s="2678">
        <v>42772</v>
      </c>
      <c r="B319" s="2677">
        <v>245050</v>
      </c>
      <c r="C319" s="2677">
        <v>245750</v>
      </c>
      <c r="D319" s="2677">
        <v>244622</v>
      </c>
      <c r="E319" s="2677">
        <v>244825</v>
      </c>
      <c r="F319" s="2677">
        <v>244825</v>
      </c>
      <c r="G319" s="2677">
        <v>200</v>
      </c>
    </row>
    <row r="320" spans="1:7" x14ac:dyDescent="0.3">
      <c r="A320" s="2678">
        <v>42773</v>
      </c>
      <c r="B320" s="2677">
        <v>245400</v>
      </c>
      <c r="C320" s="2677">
        <v>245650</v>
      </c>
      <c r="D320" s="2677">
        <v>243957</v>
      </c>
      <c r="E320" s="2677">
        <v>244260</v>
      </c>
      <c r="F320" s="2677">
        <v>244260</v>
      </c>
      <c r="G320" s="2677">
        <v>200</v>
      </c>
    </row>
    <row r="321" spans="1:7" x14ac:dyDescent="0.3">
      <c r="A321" s="2678">
        <v>42774</v>
      </c>
      <c r="B321" s="2677">
        <v>244600</v>
      </c>
      <c r="C321" s="2677">
        <v>244600</v>
      </c>
      <c r="D321" s="2677">
        <v>243370</v>
      </c>
      <c r="E321" s="2677">
        <v>244151</v>
      </c>
      <c r="F321" s="2677">
        <v>244151</v>
      </c>
      <c r="G321" s="2677">
        <v>300</v>
      </c>
    </row>
    <row r="322" spans="1:7" x14ac:dyDescent="0.3">
      <c r="A322" s="2678">
        <v>42775</v>
      </c>
      <c r="B322" s="2677">
        <v>244877</v>
      </c>
      <c r="C322" s="2677">
        <v>246700</v>
      </c>
      <c r="D322" s="2677">
        <v>244350</v>
      </c>
      <c r="E322" s="2677">
        <v>246000</v>
      </c>
      <c r="F322" s="2677">
        <v>246000</v>
      </c>
      <c r="G322" s="2677">
        <v>500</v>
      </c>
    </row>
    <row r="323" spans="1:7" x14ac:dyDescent="0.3">
      <c r="A323" s="2678">
        <v>42776</v>
      </c>
      <c r="B323" s="2677">
        <v>246900</v>
      </c>
      <c r="C323" s="2677">
        <v>246950</v>
      </c>
      <c r="D323" s="2677">
        <v>245490</v>
      </c>
      <c r="E323" s="2677">
        <v>246000</v>
      </c>
      <c r="F323" s="2677">
        <v>246000</v>
      </c>
      <c r="G323" s="2677">
        <v>300</v>
      </c>
    </row>
    <row r="324" spans="1:7" x14ac:dyDescent="0.3">
      <c r="A324" s="2678">
        <v>42779</v>
      </c>
      <c r="B324" s="2677">
        <v>246800</v>
      </c>
      <c r="C324" s="2677">
        <v>249270</v>
      </c>
      <c r="D324" s="2677">
        <v>246800</v>
      </c>
      <c r="E324" s="2677">
        <v>248340</v>
      </c>
      <c r="F324" s="2677">
        <v>248340</v>
      </c>
      <c r="G324" s="2677">
        <v>400</v>
      </c>
    </row>
    <row r="325" spans="1:7" x14ac:dyDescent="0.3">
      <c r="A325" s="2678">
        <v>42780</v>
      </c>
      <c r="B325" s="2677">
        <v>248750</v>
      </c>
      <c r="C325" s="2677">
        <v>250440</v>
      </c>
      <c r="D325" s="2677">
        <v>247810</v>
      </c>
      <c r="E325" s="2677">
        <v>250419</v>
      </c>
      <c r="F325" s="2677">
        <v>250419</v>
      </c>
      <c r="G325" s="2677">
        <v>400</v>
      </c>
    </row>
    <row r="326" spans="1:7" x14ac:dyDescent="0.3">
      <c r="A326" s="2678">
        <v>42781</v>
      </c>
      <c r="B326" s="2677">
        <v>250419</v>
      </c>
      <c r="C326" s="2677">
        <v>250990</v>
      </c>
      <c r="D326" s="2677">
        <v>249240</v>
      </c>
      <c r="E326" s="2677">
        <v>250990</v>
      </c>
      <c r="F326" s="2677">
        <v>250990</v>
      </c>
      <c r="G326" s="2677">
        <v>800</v>
      </c>
    </row>
    <row r="327" spans="1:7" x14ac:dyDescent="0.3">
      <c r="A327" s="2678">
        <v>42782</v>
      </c>
      <c r="B327" s="2677">
        <v>251000</v>
      </c>
      <c r="C327" s="2677">
        <v>251610</v>
      </c>
      <c r="D327" s="2677">
        <v>249160</v>
      </c>
      <c r="E327" s="2677">
        <v>251500</v>
      </c>
      <c r="F327" s="2677">
        <v>251500</v>
      </c>
      <c r="G327" s="2677">
        <v>500</v>
      </c>
    </row>
    <row r="328" spans="1:7" x14ac:dyDescent="0.3">
      <c r="A328" s="2678">
        <v>42783</v>
      </c>
      <c r="B328" s="2677">
        <v>250800</v>
      </c>
      <c r="C328" s="2677">
        <v>252860</v>
      </c>
      <c r="D328" s="2677">
        <v>250060</v>
      </c>
      <c r="E328" s="2677">
        <v>252838</v>
      </c>
      <c r="F328" s="2677">
        <v>252838</v>
      </c>
      <c r="G328" s="2677">
        <v>300</v>
      </c>
    </row>
    <row r="329" spans="1:7" x14ac:dyDescent="0.3">
      <c r="A329" s="2678">
        <v>42787</v>
      </c>
      <c r="B329" s="2677">
        <v>253100</v>
      </c>
      <c r="C329" s="2677">
        <v>254380</v>
      </c>
      <c r="D329" s="2677">
        <v>252760</v>
      </c>
      <c r="E329" s="2677">
        <v>253690</v>
      </c>
      <c r="F329" s="2677">
        <v>253690</v>
      </c>
      <c r="G329" s="2677">
        <v>600</v>
      </c>
    </row>
    <row r="330" spans="1:7" x14ac:dyDescent="0.3">
      <c r="A330" s="2678">
        <v>42788</v>
      </c>
      <c r="B330" s="2677">
        <v>253600</v>
      </c>
      <c r="C330" s="2677">
        <v>254500</v>
      </c>
      <c r="D330" s="2677">
        <v>252580</v>
      </c>
      <c r="E330" s="2677">
        <v>254151</v>
      </c>
      <c r="F330" s="2677">
        <v>254151</v>
      </c>
      <c r="G330" s="2677">
        <v>400</v>
      </c>
    </row>
    <row r="331" spans="1:7" x14ac:dyDescent="0.3">
      <c r="A331" s="2678">
        <v>42789</v>
      </c>
      <c r="B331" s="2677">
        <v>254520</v>
      </c>
      <c r="C331" s="2677">
        <v>255200</v>
      </c>
      <c r="D331" s="2677">
        <v>253730</v>
      </c>
      <c r="E331" s="2677">
        <v>254900</v>
      </c>
      <c r="F331" s="2677">
        <v>254900</v>
      </c>
      <c r="G331" s="2677">
        <v>400</v>
      </c>
    </row>
    <row r="332" spans="1:7" x14ac:dyDescent="0.3">
      <c r="A332" s="2678">
        <v>42790</v>
      </c>
      <c r="B332" s="2677">
        <v>254560</v>
      </c>
      <c r="C332" s="2677">
        <v>255200</v>
      </c>
      <c r="D332" s="2677">
        <v>253810</v>
      </c>
      <c r="E332" s="2677">
        <v>255040</v>
      </c>
      <c r="F332" s="2677">
        <v>255040</v>
      </c>
      <c r="G332" s="2677">
        <v>500</v>
      </c>
    </row>
    <row r="333" spans="1:7" x14ac:dyDescent="0.3">
      <c r="A333" s="2678">
        <v>42793</v>
      </c>
      <c r="B333" s="2677">
        <v>256231</v>
      </c>
      <c r="C333" s="2677">
        <v>256760</v>
      </c>
      <c r="D333" s="2677">
        <v>255501</v>
      </c>
      <c r="E333" s="2677">
        <v>255795</v>
      </c>
      <c r="F333" s="2677">
        <v>255795</v>
      </c>
      <c r="G333" s="2677">
        <v>400</v>
      </c>
    </row>
    <row r="334" spans="1:7" x14ac:dyDescent="0.3">
      <c r="A334" s="2678">
        <v>42794</v>
      </c>
      <c r="B334" s="2677">
        <v>256330</v>
      </c>
      <c r="C334" s="2677">
        <v>258270</v>
      </c>
      <c r="D334" s="2677">
        <v>255870</v>
      </c>
      <c r="E334" s="2677">
        <v>257100</v>
      </c>
      <c r="F334" s="2677">
        <v>257100</v>
      </c>
      <c r="G334" s="2677">
        <v>1000</v>
      </c>
    </row>
    <row r="335" spans="1:7" x14ac:dyDescent="0.3">
      <c r="A335" s="2678">
        <v>42795</v>
      </c>
      <c r="B335" s="2677">
        <v>261815</v>
      </c>
      <c r="C335" s="2677">
        <v>266020</v>
      </c>
      <c r="D335" s="2677">
        <v>261370</v>
      </c>
      <c r="E335" s="2677">
        <v>266013</v>
      </c>
      <c r="F335" s="2677">
        <v>266013</v>
      </c>
      <c r="G335" s="2677">
        <v>1000</v>
      </c>
    </row>
    <row r="336" spans="1:7" x14ac:dyDescent="0.3">
      <c r="A336" s="2678">
        <v>42796</v>
      </c>
      <c r="B336" s="2677">
        <v>266390</v>
      </c>
      <c r="C336" s="2677">
        <v>266445</v>
      </c>
      <c r="D336" s="2677">
        <v>263261</v>
      </c>
      <c r="E336" s="2677">
        <v>263600</v>
      </c>
      <c r="F336" s="2677">
        <v>263600</v>
      </c>
      <c r="G336" s="2677">
        <v>400</v>
      </c>
    </row>
    <row r="337" spans="1:7" x14ac:dyDescent="0.3">
      <c r="A337" s="2678">
        <v>42797</v>
      </c>
      <c r="B337" s="2677">
        <v>263780</v>
      </c>
      <c r="C337" s="2677">
        <v>264690</v>
      </c>
      <c r="D337" s="2677">
        <v>262700</v>
      </c>
      <c r="E337" s="2677">
        <v>263160</v>
      </c>
      <c r="F337" s="2677">
        <v>263160</v>
      </c>
      <c r="G337" s="2677">
        <v>300</v>
      </c>
    </row>
    <row r="338" spans="1:7" x14ac:dyDescent="0.3">
      <c r="A338" s="2678">
        <v>42800</v>
      </c>
      <c r="B338" s="2677">
        <v>263151</v>
      </c>
      <c r="C338" s="2677">
        <v>263760</v>
      </c>
      <c r="D338" s="2677">
        <v>261500</v>
      </c>
      <c r="E338" s="2677">
        <v>262800</v>
      </c>
      <c r="F338" s="2677">
        <v>262800</v>
      </c>
      <c r="G338" s="2677">
        <v>200</v>
      </c>
    </row>
    <row r="339" spans="1:7" x14ac:dyDescent="0.3">
      <c r="A339" s="2678">
        <v>42801</v>
      </c>
      <c r="B339" s="2677">
        <v>263100</v>
      </c>
      <c r="C339" s="2677">
        <v>263560</v>
      </c>
      <c r="D339" s="2677">
        <v>262500</v>
      </c>
      <c r="E339" s="2677">
        <v>262860</v>
      </c>
      <c r="F339" s="2677">
        <v>262860</v>
      </c>
      <c r="G339" s="2677">
        <v>200</v>
      </c>
    </row>
    <row r="340" spans="1:7" x14ac:dyDescent="0.3">
      <c r="A340" s="2678">
        <v>42802</v>
      </c>
      <c r="B340" s="2677">
        <v>263900</v>
      </c>
      <c r="C340" s="2677">
        <v>263900</v>
      </c>
      <c r="D340" s="2677">
        <v>262280</v>
      </c>
      <c r="E340" s="2677">
        <v>262350</v>
      </c>
      <c r="F340" s="2677">
        <v>262350</v>
      </c>
      <c r="G340" s="2677">
        <v>300</v>
      </c>
    </row>
    <row r="341" spans="1:7" x14ac:dyDescent="0.3">
      <c r="A341" s="2678">
        <v>42803</v>
      </c>
      <c r="B341" s="2677">
        <v>263480</v>
      </c>
      <c r="C341" s="2677">
        <v>263620</v>
      </c>
      <c r="D341" s="2677">
        <v>262380</v>
      </c>
      <c r="E341" s="2677">
        <v>262866</v>
      </c>
      <c r="F341" s="2677">
        <v>262866</v>
      </c>
      <c r="G341" s="2677">
        <v>300</v>
      </c>
    </row>
    <row r="342" spans="1:7" x14ac:dyDescent="0.3">
      <c r="A342" s="2678">
        <v>42804</v>
      </c>
      <c r="B342" s="2677">
        <v>263500</v>
      </c>
      <c r="C342" s="2677">
        <v>263800</v>
      </c>
      <c r="D342" s="2677">
        <v>261660</v>
      </c>
      <c r="E342" s="2677">
        <v>262491</v>
      </c>
      <c r="F342" s="2677">
        <v>262491</v>
      </c>
      <c r="G342" s="2677">
        <v>600</v>
      </c>
    </row>
    <row r="343" spans="1:7" x14ac:dyDescent="0.3">
      <c r="A343" s="2678">
        <v>42807</v>
      </c>
      <c r="B343" s="2677">
        <v>262880</v>
      </c>
      <c r="C343" s="2677">
        <v>263340</v>
      </c>
      <c r="D343" s="2677">
        <v>262040</v>
      </c>
      <c r="E343" s="2677">
        <v>262990</v>
      </c>
      <c r="F343" s="2677">
        <v>262990</v>
      </c>
      <c r="G343" s="2677">
        <v>300</v>
      </c>
    </row>
    <row r="344" spans="1:7" x14ac:dyDescent="0.3">
      <c r="A344" s="2678">
        <v>42808</v>
      </c>
      <c r="B344" s="2677">
        <v>262880</v>
      </c>
      <c r="C344" s="2677">
        <v>263100</v>
      </c>
      <c r="D344" s="2677">
        <v>261390</v>
      </c>
      <c r="E344" s="2677">
        <v>261900</v>
      </c>
      <c r="F344" s="2677">
        <v>261900</v>
      </c>
      <c r="G344" s="2677">
        <v>400</v>
      </c>
    </row>
    <row r="345" spans="1:7" x14ac:dyDescent="0.3">
      <c r="A345" s="2678">
        <v>42809</v>
      </c>
      <c r="B345" s="2677">
        <v>262000</v>
      </c>
      <c r="C345" s="2677">
        <v>262500</v>
      </c>
      <c r="D345" s="2677">
        <v>260606</v>
      </c>
      <c r="E345" s="2677">
        <v>261787</v>
      </c>
      <c r="F345" s="2677">
        <v>261787</v>
      </c>
      <c r="G345" s="2677">
        <v>700</v>
      </c>
    </row>
    <row r="346" spans="1:7" x14ac:dyDescent="0.3">
      <c r="A346" s="2678">
        <v>42810</v>
      </c>
      <c r="B346" s="2677">
        <v>262910</v>
      </c>
      <c r="C346" s="2677">
        <v>263050</v>
      </c>
      <c r="D346" s="2677">
        <v>260600</v>
      </c>
      <c r="E346" s="2677">
        <v>260919</v>
      </c>
      <c r="F346" s="2677">
        <v>260919</v>
      </c>
      <c r="G346" s="2677">
        <v>300</v>
      </c>
    </row>
    <row r="347" spans="1:7" x14ac:dyDescent="0.3">
      <c r="A347" s="2678">
        <v>42811</v>
      </c>
      <c r="B347" s="2677">
        <v>260320</v>
      </c>
      <c r="C347" s="2677">
        <v>260475</v>
      </c>
      <c r="D347" s="2677">
        <v>258610</v>
      </c>
      <c r="E347" s="2677">
        <v>258952</v>
      </c>
      <c r="F347" s="2677">
        <v>258952</v>
      </c>
      <c r="G347" s="2677">
        <v>400</v>
      </c>
    </row>
    <row r="348" spans="1:7" x14ac:dyDescent="0.3">
      <c r="A348" s="2678">
        <v>42814</v>
      </c>
      <c r="B348" s="2677">
        <v>258650</v>
      </c>
      <c r="C348" s="2677">
        <v>259270</v>
      </c>
      <c r="D348" s="2677">
        <v>257598</v>
      </c>
      <c r="E348" s="2677">
        <v>258000</v>
      </c>
      <c r="F348" s="2677">
        <v>258000</v>
      </c>
      <c r="G348" s="2677">
        <v>200</v>
      </c>
    </row>
    <row r="349" spans="1:7" x14ac:dyDescent="0.3">
      <c r="A349" s="2678">
        <v>42815</v>
      </c>
      <c r="B349" s="2677">
        <v>257900</v>
      </c>
      <c r="C349" s="2677">
        <v>258300</v>
      </c>
      <c r="D349" s="2677">
        <v>253651</v>
      </c>
      <c r="E349" s="2677">
        <v>253651</v>
      </c>
      <c r="F349" s="2677">
        <v>253651</v>
      </c>
      <c r="G349" s="2677">
        <v>400</v>
      </c>
    </row>
    <row r="350" spans="1:7" x14ac:dyDescent="0.3">
      <c r="A350" s="2678">
        <v>42816</v>
      </c>
      <c r="B350" s="2677">
        <v>253200</v>
      </c>
      <c r="C350" s="2677">
        <v>254900</v>
      </c>
      <c r="D350" s="2677">
        <v>252400</v>
      </c>
      <c r="E350" s="2677">
        <v>253880</v>
      </c>
      <c r="F350" s="2677">
        <v>253880</v>
      </c>
      <c r="G350" s="2677">
        <v>200</v>
      </c>
    </row>
    <row r="351" spans="1:7" x14ac:dyDescent="0.3">
      <c r="A351" s="2678">
        <v>42817</v>
      </c>
      <c r="B351" s="2677">
        <v>254120</v>
      </c>
      <c r="C351" s="2677">
        <v>257020</v>
      </c>
      <c r="D351" s="2677">
        <v>253900</v>
      </c>
      <c r="E351" s="2677">
        <v>254702</v>
      </c>
      <c r="F351" s="2677">
        <v>254702</v>
      </c>
      <c r="G351" s="2677">
        <v>300</v>
      </c>
    </row>
    <row r="352" spans="1:7" x14ac:dyDescent="0.3">
      <c r="A352" s="2678">
        <v>42818</v>
      </c>
      <c r="B352" s="2677">
        <v>255440</v>
      </c>
      <c r="C352" s="2677">
        <v>255440</v>
      </c>
      <c r="D352" s="2677">
        <v>252100</v>
      </c>
      <c r="E352" s="2677">
        <v>252301</v>
      </c>
      <c r="F352" s="2677">
        <v>252301</v>
      </c>
      <c r="G352" s="2677">
        <v>300</v>
      </c>
    </row>
    <row r="353" spans="1:7" x14ac:dyDescent="0.3">
      <c r="A353" s="2678">
        <v>42821</v>
      </c>
      <c r="B353" s="2677">
        <v>250100</v>
      </c>
      <c r="C353" s="2677">
        <v>251270</v>
      </c>
      <c r="D353" s="2677">
        <v>248810</v>
      </c>
      <c r="E353" s="2677">
        <v>250881</v>
      </c>
      <c r="F353" s="2677">
        <v>250881</v>
      </c>
      <c r="G353" s="2677">
        <v>500</v>
      </c>
    </row>
    <row r="354" spans="1:7" x14ac:dyDescent="0.3">
      <c r="A354" s="2678">
        <v>42822</v>
      </c>
      <c r="B354" s="2677">
        <v>251300</v>
      </c>
      <c r="C354" s="2677">
        <v>253000</v>
      </c>
      <c r="D354" s="2677">
        <v>249660</v>
      </c>
      <c r="E354" s="2677">
        <v>252520</v>
      </c>
      <c r="F354" s="2677">
        <v>252520</v>
      </c>
      <c r="G354" s="2677">
        <v>400</v>
      </c>
    </row>
    <row r="355" spans="1:7" x14ac:dyDescent="0.3">
      <c r="A355" s="2678">
        <v>42823</v>
      </c>
      <c r="B355" s="2677">
        <v>252420</v>
      </c>
      <c r="C355" s="2677">
        <v>252420</v>
      </c>
      <c r="D355" s="2677">
        <v>249761</v>
      </c>
      <c r="E355" s="2677">
        <v>249761</v>
      </c>
      <c r="F355" s="2677">
        <v>249761</v>
      </c>
      <c r="G355" s="2677">
        <v>300</v>
      </c>
    </row>
    <row r="356" spans="1:7" x14ac:dyDescent="0.3">
      <c r="A356" s="2678">
        <v>42824</v>
      </c>
      <c r="B356" s="2677">
        <v>249500</v>
      </c>
      <c r="C356" s="2677">
        <v>251831</v>
      </c>
      <c r="D356" s="2677">
        <v>249040</v>
      </c>
      <c r="E356" s="2677">
        <v>251800</v>
      </c>
      <c r="F356" s="2677">
        <v>251800</v>
      </c>
      <c r="G356" s="2677">
        <v>300</v>
      </c>
    </row>
    <row r="357" spans="1:7" x14ac:dyDescent="0.3">
      <c r="A357" s="2678">
        <v>42825</v>
      </c>
      <c r="B357" s="2677">
        <v>251500</v>
      </c>
      <c r="C357" s="2677">
        <v>251620</v>
      </c>
      <c r="D357" s="2677">
        <v>249850</v>
      </c>
      <c r="E357" s="2677">
        <v>249850</v>
      </c>
      <c r="F357" s="2677">
        <v>249850</v>
      </c>
      <c r="G357" s="2677">
        <v>300</v>
      </c>
    </row>
    <row r="358" spans="1:7" x14ac:dyDescent="0.3">
      <c r="A358" s="2678">
        <v>42828</v>
      </c>
      <c r="B358" s="2677">
        <v>250121</v>
      </c>
      <c r="C358" s="2677">
        <v>250600</v>
      </c>
      <c r="D358" s="2677">
        <v>248523</v>
      </c>
      <c r="E358" s="2677">
        <v>250600</v>
      </c>
      <c r="F358" s="2677">
        <v>250600</v>
      </c>
      <c r="G358" s="2677">
        <v>200</v>
      </c>
    </row>
    <row r="359" spans="1:7" x14ac:dyDescent="0.3">
      <c r="A359" s="2678">
        <v>42829</v>
      </c>
      <c r="B359" s="2677">
        <v>250000</v>
      </c>
      <c r="C359" s="2677">
        <v>250696</v>
      </c>
      <c r="D359" s="2677">
        <v>249324</v>
      </c>
      <c r="E359" s="2677">
        <v>250550</v>
      </c>
      <c r="F359" s="2677">
        <v>250550</v>
      </c>
      <c r="G359" s="2677">
        <v>400</v>
      </c>
    </row>
    <row r="360" spans="1:7" x14ac:dyDescent="0.3">
      <c r="A360" s="2678">
        <v>42830</v>
      </c>
      <c r="B360" s="2677">
        <v>251400</v>
      </c>
      <c r="C360" s="2677">
        <v>252424</v>
      </c>
      <c r="D360" s="2677">
        <v>248900</v>
      </c>
      <c r="E360" s="2677">
        <v>248900</v>
      </c>
      <c r="F360" s="2677">
        <v>248900</v>
      </c>
      <c r="G360" s="2677">
        <v>300</v>
      </c>
    </row>
    <row r="361" spans="1:7" x14ac:dyDescent="0.3">
      <c r="A361" s="2678">
        <v>42831</v>
      </c>
      <c r="B361" s="2677">
        <v>249099</v>
      </c>
      <c r="C361" s="2677">
        <v>250463</v>
      </c>
      <c r="D361" s="2677">
        <v>248000</v>
      </c>
      <c r="E361" s="2677">
        <v>250290</v>
      </c>
      <c r="F361" s="2677">
        <v>250290</v>
      </c>
      <c r="G361" s="2677">
        <v>100</v>
      </c>
    </row>
    <row r="362" spans="1:7" x14ac:dyDescent="0.3">
      <c r="A362" s="2678">
        <v>42832</v>
      </c>
      <c r="B362" s="2677">
        <v>248998</v>
      </c>
      <c r="C362" s="2677">
        <v>250397</v>
      </c>
      <c r="D362" s="2677">
        <v>248370</v>
      </c>
      <c r="E362" s="2677">
        <v>249465</v>
      </c>
      <c r="F362" s="2677">
        <v>249465</v>
      </c>
      <c r="G362" s="2677">
        <v>200</v>
      </c>
    </row>
    <row r="363" spans="1:7" x14ac:dyDescent="0.3">
      <c r="A363" s="2678">
        <v>42835</v>
      </c>
      <c r="B363" s="2677">
        <v>249560</v>
      </c>
      <c r="C363" s="2677">
        <v>250930</v>
      </c>
      <c r="D363" s="2677">
        <v>249360</v>
      </c>
      <c r="E363" s="2677">
        <v>250399</v>
      </c>
      <c r="F363" s="2677">
        <v>250399</v>
      </c>
      <c r="G363" s="2677">
        <v>300</v>
      </c>
    </row>
    <row r="364" spans="1:7" x14ac:dyDescent="0.3">
      <c r="A364" s="2678">
        <v>42836</v>
      </c>
      <c r="B364" s="2677">
        <v>248947</v>
      </c>
      <c r="C364" s="2677">
        <v>249720</v>
      </c>
      <c r="D364" s="2677">
        <v>247875</v>
      </c>
      <c r="E364" s="2677">
        <v>248601</v>
      </c>
      <c r="F364" s="2677">
        <v>248601</v>
      </c>
      <c r="G364" s="2677">
        <v>300</v>
      </c>
    </row>
    <row r="365" spans="1:7" x14ac:dyDescent="0.3">
      <c r="A365" s="2678">
        <v>42837</v>
      </c>
      <c r="B365" s="2677">
        <v>248200</v>
      </c>
      <c r="C365" s="2677">
        <v>248400</v>
      </c>
      <c r="D365" s="2677">
        <v>247341</v>
      </c>
      <c r="E365" s="2677">
        <v>247930</v>
      </c>
      <c r="F365" s="2677">
        <v>247930</v>
      </c>
      <c r="G365" s="2677">
        <v>200</v>
      </c>
    </row>
    <row r="366" spans="1:7" x14ac:dyDescent="0.3">
      <c r="A366" s="2678">
        <v>42838</v>
      </c>
      <c r="B366" s="2677">
        <v>247380</v>
      </c>
      <c r="C366" s="2677">
        <v>248140</v>
      </c>
      <c r="D366" s="2677">
        <v>245000</v>
      </c>
      <c r="E366" s="2677">
        <v>245000</v>
      </c>
      <c r="F366" s="2677">
        <v>245000</v>
      </c>
      <c r="G366" s="2677">
        <v>200</v>
      </c>
    </row>
    <row r="367" spans="1:7" x14ac:dyDescent="0.3">
      <c r="A367" s="2678">
        <v>42842</v>
      </c>
      <c r="B367" s="2677">
        <v>245860</v>
      </c>
      <c r="C367" s="2677">
        <v>247026</v>
      </c>
      <c r="D367" s="2677">
        <v>244416</v>
      </c>
      <c r="E367" s="2677">
        <v>246700</v>
      </c>
      <c r="F367" s="2677">
        <v>246700</v>
      </c>
      <c r="G367" s="2677">
        <v>200</v>
      </c>
    </row>
    <row r="368" spans="1:7" x14ac:dyDescent="0.3">
      <c r="A368" s="2678">
        <v>42843</v>
      </c>
      <c r="B368" s="2677">
        <v>246340</v>
      </c>
      <c r="C368" s="2677">
        <v>246400</v>
      </c>
      <c r="D368" s="2677">
        <v>245000</v>
      </c>
      <c r="E368" s="2677">
        <v>245750</v>
      </c>
      <c r="F368" s="2677">
        <v>245750</v>
      </c>
      <c r="G368" s="2677">
        <v>100</v>
      </c>
    </row>
    <row r="369" spans="1:7" x14ac:dyDescent="0.3">
      <c r="A369" s="2678">
        <v>42844</v>
      </c>
      <c r="B369" s="2677">
        <v>246050</v>
      </c>
      <c r="C369" s="2677">
        <v>246684</v>
      </c>
      <c r="D369" s="2677">
        <v>243600</v>
      </c>
      <c r="E369" s="2677">
        <v>244047</v>
      </c>
      <c r="F369" s="2677">
        <v>244047</v>
      </c>
      <c r="G369" s="2677">
        <v>300</v>
      </c>
    </row>
    <row r="370" spans="1:7" x14ac:dyDescent="0.3">
      <c r="A370" s="2678">
        <v>42845</v>
      </c>
      <c r="B370" s="2677">
        <v>244701</v>
      </c>
      <c r="C370" s="2677">
        <v>247950</v>
      </c>
      <c r="D370" s="2677">
        <v>244701</v>
      </c>
      <c r="E370" s="2677">
        <v>247200</v>
      </c>
      <c r="F370" s="2677">
        <v>247200</v>
      </c>
      <c r="G370" s="2677">
        <v>200</v>
      </c>
    </row>
    <row r="371" spans="1:7" x14ac:dyDescent="0.3">
      <c r="A371" s="2678">
        <v>42846</v>
      </c>
      <c r="B371" s="2677">
        <v>247850</v>
      </c>
      <c r="C371" s="2677">
        <v>247850</v>
      </c>
      <c r="D371" s="2677">
        <v>245060</v>
      </c>
      <c r="E371" s="2677">
        <v>245550</v>
      </c>
      <c r="F371" s="2677">
        <v>245550</v>
      </c>
      <c r="G371" s="2677">
        <v>200</v>
      </c>
    </row>
    <row r="372" spans="1:7" x14ac:dyDescent="0.3">
      <c r="A372" s="2678">
        <v>42849</v>
      </c>
      <c r="B372" s="2677">
        <v>248999</v>
      </c>
      <c r="C372" s="2677">
        <v>249000</v>
      </c>
      <c r="D372" s="2677">
        <v>246880</v>
      </c>
      <c r="E372" s="2677">
        <v>248850</v>
      </c>
      <c r="F372" s="2677">
        <v>248850</v>
      </c>
      <c r="G372" s="2677">
        <v>200</v>
      </c>
    </row>
    <row r="373" spans="1:7" x14ac:dyDescent="0.3">
      <c r="A373" s="2678">
        <v>42850</v>
      </c>
      <c r="B373" s="2677">
        <v>250125</v>
      </c>
      <c r="C373" s="2677">
        <v>252000</v>
      </c>
      <c r="D373" s="2677">
        <v>250125</v>
      </c>
      <c r="E373" s="2677">
        <v>251231</v>
      </c>
      <c r="F373" s="2677">
        <v>251231</v>
      </c>
      <c r="G373" s="2677">
        <v>400</v>
      </c>
    </row>
    <row r="374" spans="1:7" x14ac:dyDescent="0.3">
      <c r="A374" s="2678">
        <v>42851</v>
      </c>
      <c r="B374" s="2677">
        <v>251231</v>
      </c>
      <c r="C374" s="2677">
        <v>253390</v>
      </c>
      <c r="D374" s="2677">
        <v>250920</v>
      </c>
      <c r="E374" s="2677">
        <v>251351</v>
      </c>
      <c r="F374" s="2677">
        <v>251351</v>
      </c>
      <c r="G374" s="2677">
        <v>300</v>
      </c>
    </row>
    <row r="375" spans="1:7" x14ac:dyDescent="0.3">
      <c r="A375" s="2678">
        <v>42852</v>
      </c>
      <c r="B375" s="2677">
        <v>251460</v>
      </c>
      <c r="C375" s="2677">
        <v>251600</v>
      </c>
      <c r="D375" s="2677">
        <v>248475</v>
      </c>
      <c r="E375" s="2677">
        <v>249950</v>
      </c>
      <c r="F375" s="2677">
        <v>249950</v>
      </c>
      <c r="G375" s="2677">
        <v>300</v>
      </c>
    </row>
    <row r="376" spans="1:7" x14ac:dyDescent="0.3">
      <c r="A376" s="2678">
        <v>42853</v>
      </c>
      <c r="B376" s="2677">
        <v>249500</v>
      </c>
      <c r="C376" s="2677">
        <v>249500</v>
      </c>
      <c r="D376" s="2677">
        <v>246750</v>
      </c>
      <c r="E376" s="2677">
        <v>247780</v>
      </c>
      <c r="F376" s="2677">
        <v>247780</v>
      </c>
      <c r="G376" s="2677">
        <v>300</v>
      </c>
    </row>
    <row r="377" spans="1:7" x14ac:dyDescent="0.3">
      <c r="A377" s="2678">
        <v>42856</v>
      </c>
      <c r="B377" s="2677">
        <v>248460</v>
      </c>
      <c r="C377" s="2677">
        <v>249420</v>
      </c>
      <c r="D377" s="2677">
        <v>248000</v>
      </c>
      <c r="E377" s="2677">
        <v>248270</v>
      </c>
      <c r="F377" s="2677">
        <v>248270</v>
      </c>
      <c r="G377" s="2677">
        <v>200</v>
      </c>
    </row>
    <row r="378" spans="1:7" x14ac:dyDescent="0.3">
      <c r="A378" s="2678">
        <v>42857</v>
      </c>
      <c r="B378" s="2677">
        <v>248900</v>
      </c>
      <c r="C378" s="2677">
        <v>249460</v>
      </c>
      <c r="D378" s="2677">
        <v>248000</v>
      </c>
      <c r="E378" s="2677">
        <v>249010</v>
      </c>
      <c r="F378" s="2677">
        <v>249010</v>
      </c>
      <c r="G378" s="2677">
        <v>200</v>
      </c>
    </row>
    <row r="379" spans="1:7" x14ac:dyDescent="0.3">
      <c r="A379" s="2678">
        <v>42858</v>
      </c>
      <c r="B379" s="2677">
        <v>248900</v>
      </c>
      <c r="C379" s="2677">
        <v>250825</v>
      </c>
      <c r="D379" s="2677">
        <v>248900</v>
      </c>
      <c r="E379" s="2677">
        <v>250000</v>
      </c>
      <c r="F379" s="2677">
        <v>250000</v>
      </c>
      <c r="G379" s="2677">
        <v>200</v>
      </c>
    </row>
    <row r="380" spans="1:7" x14ac:dyDescent="0.3">
      <c r="A380" s="2678">
        <v>42859</v>
      </c>
      <c r="B380" s="2677">
        <v>251200</v>
      </c>
      <c r="C380" s="2677">
        <v>252000</v>
      </c>
      <c r="D380" s="2677">
        <v>249400</v>
      </c>
      <c r="E380" s="2677">
        <v>249540</v>
      </c>
      <c r="F380" s="2677">
        <v>249540</v>
      </c>
      <c r="G380" s="2677">
        <v>300</v>
      </c>
    </row>
    <row r="381" spans="1:7" x14ac:dyDescent="0.3">
      <c r="A381" s="2678">
        <v>42860</v>
      </c>
      <c r="B381" s="2677">
        <v>250530</v>
      </c>
      <c r="C381" s="2677">
        <v>250530</v>
      </c>
      <c r="D381" s="2677">
        <v>249100</v>
      </c>
      <c r="E381" s="2677">
        <v>250000</v>
      </c>
      <c r="F381" s="2677">
        <v>250000</v>
      </c>
      <c r="G381" s="2677">
        <v>400</v>
      </c>
    </row>
    <row r="382" spans="1:7" x14ac:dyDescent="0.3">
      <c r="A382" s="2678">
        <v>42863</v>
      </c>
      <c r="B382" s="2677">
        <v>250000</v>
      </c>
      <c r="C382" s="2677">
        <v>250000</v>
      </c>
      <c r="D382" s="2677">
        <v>246401</v>
      </c>
      <c r="E382" s="2677">
        <v>247160</v>
      </c>
      <c r="F382" s="2677">
        <v>247160</v>
      </c>
      <c r="G382" s="2677">
        <v>300</v>
      </c>
    </row>
    <row r="383" spans="1:7" x14ac:dyDescent="0.3">
      <c r="A383" s="2678">
        <v>42864</v>
      </c>
      <c r="B383" s="2677">
        <v>247750</v>
      </c>
      <c r="C383" s="2677">
        <v>247940</v>
      </c>
      <c r="D383" s="2677">
        <v>245000</v>
      </c>
      <c r="E383" s="2677">
        <v>246000</v>
      </c>
      <c r="F383" s="2677">
        <v>246000</v>
      </c>
      <c r="G383" s="2677">
        <v>400</v>
      </c>
    </row>
    <row r="384" spans="1:7" x14ac:dyDescent="0.3">
      <c r="A384" s="2678">
        <v>42865</v>
      </c>
      <c r="B384" s="2677">
        <v>245800</v>
      </c>
      <c r="C384" s="2677">
        <v>245850</v>
      </c>
      <c r="D384" s="2677">
        <v>245100</v>
      </c>
      <c r="E384" s="2677">
        <v>245850</v>
      </c>
      <c r="F384" s="2677">
        <v>245850</v>
      </c>
      <c r="G384" s="2677">
        <v>400</v>
      </c>
    </row>
    <row r="385" spans="1:7" x14ac:dyDescent="0.3">
      <c r="A385" s="2678">
        <v>42866</v>
      </c>
      <c r="B385" s="2677">
        <v>245770</v>
      </c>
      <c r="C385" s="2677">
        <v>245770</v>
      </c>
      <c r="D385" s="2677">
        <v>243770</v>
      </c>
      <c r="E385" s="2677">
        <v>245240</v>
      </c>
      <c r="F385" s="2677">
        <v>245240</v>
      </c>
      <c r="G385" s="2677">
        <v>200</v>
      </c>
    </row>
    <row r="386" spans="1:7" x14ac:dyDescent="0.3">
      <c r="A386" s="2678">
        <v>42867</v>
      </c>
      <c r="B386" s="2677">
        <v>244725</v>
      </c>
      <c r="C386" s="2677">
        <v>245590</v>
      </c>
      <c r="D386" s="2677">
        <v>244146</v>
      </c>
      <c r="E386" s="2677">
        <v>245220</v>
      </c>
      <c r="F386" s="2677">
        <v>245220</v>
      </c>
      <c r="G386" s="2677">
        <v>200</v>
      </c>
    </row>
    <row r="387" spans="1:7" x14ac:dyDescent="0.3">
      <c r="A387" s="2678">
        <v>42870</v>
      </c>
      <c r="B387" s="2677">
        <v>246200</v>
      </c>
      <c r="C387" s="2677">
        <v>246277</v>
      </c>
      <c r="D387" s="2677">
        <v>245371</v>
      </c>
      <c r="E387" s="2677">
        <v>245800</v>
      </c>
      <c r="F387" s="2677">
        <v>245800</v>
      </c>
      <c r="G387" s="2677">
        <v>300</v>
      </c>
    </row>
    <row r="388" spans="1:7" x14ac:dyDescent="0.3">
      <c r="A388" s="2678">
        <v>42871</v>
      </c>
      <c r="B388" s="2677">
        <v>246450</v>
      </c>
      <c r="C388" s="2677">
        <v>246450</v>
      </c>
      <c r="D388" s="2677">
        <v>245200</v>
      </c>
      <c r="E388" s="2677">
        <v>245701</v>
      </c>
      <c r="F388" s="2677">
        <v>245701</v>
      </c>
      <c r="G388" s="2677">
        <v>100</v>
      </c>
    </row>
    <row r="389" spans="1:7" x14ac:dyDescent="0.3">
      <c r="A389" s="2678">
        <v>42872</v>
      </c>
      <c r="B389" s="2677">
        <v>244500</v>
      </c>
      <c r="C389" s="2677">
        <v>244680</v>
      </c>
      <c r="D389" s="2677">
        <v>242500</v>
      </c>
      <c r="E389" s="2677">
        <v>243110</v>
      </c>
      <c r="F389" s="2677">
        <v>243110</v>
      </c>
      <c r="G389" s="2677">
        <v>500</v>
      </c>
    </row>
    <row r="390" spans="1:7" x14ac:dyDescent="0.3">
      <c r="A390" s="2678">
        <v>42873</v>
      </c>
      <c r="B390" s="2677">
        <v>243000</v>
      </c>
      <c r="C390" s="2677">
        <v>244450</v>
      </c>
      <c r="D390" s="2677">
        <v>242180</v>
      </c>
      <c r="E390" s="2677">
        <v>242510</v>
      </c>
      <c r="F390" s="2677">
        <v>242510</v>
      </c>
      <c r="G390" s="2677">
        <v>300</v>
      </c>
    </row>
    <row r="391" spans="1:7" x14ac:dyDescent="0.3">
      <c r="A391" s="2678">
        <v>42874</v>
      </c>
      <c r="B391" s="2677">
        <v>243355</v>
      </c>
      <c r="C391" s="2677">
        <v>246220</v>
      </c>
      <c r="D391" s="2677">
        <v>242841</v>
      </c>
      <c r="E391" s="2677">
        <v>244910</v>
      </c>
      <c r="F391" s="2677">
        <v>244910</v>
      </c>
      <c r="G391" s="2677">
        <v>300</v>
      </c>
    </row>
    <row r="392" spans="1:7" x14ac:dyDescent="0.3">
      <c r="A392" s="2678">
        <v>42877</v>
      </c>
      <c r="B392" s="2677">
        <v>247500</v>
      </c>
      <c r="C392" s="2677">
        <v>248270</v>
      </c>
      <c r="D392" s="2677">
        <v>246201</v>
      </c>
      <c r="E392" s="2677">
        <v>247820</v>
      </c>
      <c r="F392" s="2677">
        <v>247820</v>
      </c>
      <c r="G392" s="2677">
        <v>500</v>
      </c>
    </row>
    <row r="393" spans="1:7" x14ac:dyDescent="0.3">
      <c r="A393" s="2678">
        <v>42878</v>
      </c>
      <c r="B393" s="2677">
        <v>248100</v>
      </c>
      <c r="C393" s="2677">
        <v>248690</v>
      </c>
      <c r="D393" s="2677">
        <v>247390</v>
      </c>
      <c r="E393" s="2677">
        <v>248121</v>
      </c>
      <c r="F393" s="2677">
        <v>248121</v>
      </c>
      <c r="G393" s="2677">
        <v>300</v>
      </c>
    </row>
    <row r="394" spans="1:7" x14ac:dyDescent="0.3">
      <c r="A394" s="2678">
        <v>42879</v>
      </c>
      <c r="B394" s="2677">
        <v>248501</v>
      </c>
      <c r="C394" s="2677">
        <v>248501</v>
      </c>
      <c r="D394" s="2677">
        <v>246910</v>
      </c>
      <c r="E394" s="2677">
        <v>247479</v>
      </c>
      <c r="F394" s="2677">
        <v>247479</v>
      </c>
      <c r="G394" s="2677">
        <v>400</v>
      </c>
    </row>
    <row r="395" spans="1:7" x14ac:dyDescent="0.3">
      <c r="A395" s="2678">
        <v>42880</v>
      </c>
      <c r="B395" s="2677">
        <v>248120</v>
      </c>
      <c r="C395" s="2677">
        <v>248620</v>
      </c>
      <c r="D395" s="2677">
        <v>247110</v>
      </c>
      <c r="E395" s="2677">
        <v>247850</v>
      </c>
      <c r="F395" s="2677">
        <v>247850</v>
      </c>
      <c r="G395" s="2677">
        <v>200</v>
      </c>
    </row>
    <row r="396" spans="1:7" x14ac:dyDescent="0.3">
      <c r="A396" s="2678">
        <v>42881</v>
      </c>
      <c r="B396" s="2677">
        <v>247730</v>
      </c>
      <c r="C396" s="2677">
        <v>248820</v>
      </c>
      <c r="D396" s="2677">
        <v>247690</v>
      </c>
      <c r="E396" s="2677">
        <v>248540</v>
      </c>
      <c r="F396" s="2677">
        <v>248540</v>
      </c>
      <c r="G396" s="2677">
        <v>200</v>
      </c>
    </row>
    <row r="397" spans="1:7" x14ac:dyDescent="0.3">
      <c r="A397" s="2678">
        <v>42885</v>
      </c>
      <c r="B397" s="2677">
        <v>249010</v>
      </c>
      <c r="C397" s="2677">
        <v>249010</v>
      </c>
      <c r="D397" s="2677">
        <v>247025</v>
      </c>
      <c r="E397" s="2677">
        <v>248101</v>
      </c>
      <c r="F397" s="2677">
        <v>248101</v>
      </c>
      <c r="G397" s="2677">
        <v>300</v>
      </c>
    </row>
    <row r="398" spans="1:7" x14ac:dyDescent="0.3">
      <c r="A398" s="2678">
        <v>42886</v>
      </c>
      <c r="B398" s="2677">
        <v>248000</v>
      </c>
      <c r="C398" s="2677">
        <v>248467</v>
      </c>
      <c r="D398" s="2677">
        <v>246520</v>
      </c>
      <c r="E398" s="2677">
        <v>248440</v>
      </c>
      <c r="F398" s="2677">
        <v>248440</v>
      </c>
      <c r="G398" s="2677">
        <v>900</v>
      </c>
    </row>
    <row r="399" spans="1:7" x14ac:dyDescent="0.3">
      <c r="A399" s="2678">
        <v>42887</v>
      </c>
      <c r="B399" s="2677">
        <v>248530</v>
      </c>
      <c r="C399" s="2677">
        <v>250290</v>
      </c>
      <c r="D399" s="2677">
        <v>247610</v>
      </c>
      <c r="E399" s="2677">
        <v>250000</v>
      </c>
      <c r="F399" s="2677">
        <v>250000</v>
      </c>
      <c r="G399" s="2677">
        <v>1100</v>
      </c>
    </row>
    <row r="400" spans="1:7" x14ac:dyDescent="0.3">
      <c r="A400" s="2678">
        <v>42888</v>
      </c>
      <c r="B400" s="2677">
        <v>249700</v>
      </c>
      <c r="C400" s="2677">
        <v>250600</v>
      </c>
      <c r="D400" s="2677">
        <v>248936</v>
      </c>
      <c r="E400" s="2677">
        <v>249660</v>
      </c>
      <c r="F400" s="2677">
        <v>249660</v>
      </c>
      <c r="G400" s="2677">
        <v>500</v>
      </c>
    </row>
    <row r="401" spans="1:7" x14ac:dyDescent="0.3">
      <c r="A401" s="2678">
        <v>42891</v>
      </c>
      <c r="B401" s="2677">
        <v>249860</v>
      </c>
      <c r="C401" s="2677">
        <v>250660</v>
      </c>
      <c r="D401" s="2677">
        <v>249660</v>
      </c>
      <c r="E401" s="2677">
        <v>250000</v>
      </c>
      <c r="F401" s="2677">
        <v>250000</v>
      </c>
      <c r="G401" s="2677">
        <v>300</v>
      </c>
    </row>
    <row r="402" spans="1:7" x14ac:dyDescent="0.3">
      <c r="A402" s="2678">
        <v>42892</v>
      </c>
      <c r="B402" s="2677">
        <v>249200</v>
      </c>
      <c r="C402" s="2677">
        <v>250012</v>
      </c>
      <c r="D402" s="2677">
        <v>248650</v>
      </c>
      <c r="E402" s="2677">
        <v>249300</v>
      </c>
      <c r="F402" s="2677">
        <v>249300</v>
      </c>
      <c r="G402" s="2677">
        <v>300</v>
      </c>
    </row>
    <row r="403" spans="1:7" x14ac:dyDescent="0.3">
      <c r="A403" s="2678">
        <v>42893</v>
      </c>
      <c r="B403" s="2677">
        <v>249330</v>
      </c>
      <c r="C403" s="2677">
        <v>250105</v>
      </c>
      <c r="D403" s="2677">
        <v>249000</v>
      </c>
      <c r="E403" s="2677">
        <v>249621</v>
      </c>
      <c r="F403" s="2677">
        <v>249621</v>
      </c>
      <c r="G403" s="2677">
        <v>400</v>
      </c>
    </row>
    <row r="404" spans="1:7" x14ac:dyDescent="0.3">
      <c r="A404" s="2678">
        <v>42894</v>
      </c>
      <c r="B404" s="2677">
        <v>249500</v>
      </c>
      <c r="C404" s="2677">
        <v>251820</v>
      </c>
      <c r="D404" s="2677">
        <v>249500</v>
      </c>
      <c r="E404" s="2677">
        <v>250305</v>
      </c>
      <c r="F404" s="2677">
        <v>250305</v>
      </c>
      <c r="G404" s="2677">
        <v>400</v>
      </c>
    </row>
    <row r="405" spans="1:7" x14ac:dyDescent="0.3">
      <c r="A405" s="2678">
        <v>42895</v>
      </c>
      <c r="B405" s="2677">
        <v>251660</v>
      </c>
      <c r="C405" s="2677">
        <v>255180</v>
      </c>
      <c r="D405" s="2677">
        <v>251280</v>
      </c>
      <c r="E405" s="2677">
        <v>254965</v>
      </c>
      <c r="F405" s="2677">
        <v>254965</v>
      </c>
      <c r="G405" s="2677">
        <v>500</v>
      </c>
    </row>
    <row r="406" spans="1:7" x14ac:dyDescent="0.3">
      <c r="A406" s="2678">
        <v>42898</v>
      </c>
      <c r="B406" s="2677">
        <v>254965</v>
      </c>
      <c r="C406" s="2677">
        <v>255900</v>
      </c>
      <c r="D406" s="2677">
        <v>254400</v>
      </c>
      <c r="E406" s="2677">
        <v>255900</v>
      </c>
      <c r="F406" s="2677">
        <v>255900</v>
      </c>
      <c r="G406" s="2677">
        <v>300</v>
      </c>
    </row>
    <row r="407" spans="1:7" x14ac:dyDescent="0.3">
      <c r="A407" s="2678">
        <v>42899</v>
      </c>
      <c r="B407" s="2677">
        <v>257100</v>
      </c>
      <c r="C407" s="2677">
        <v>257698</v>
      </c>
      <c r="D407" s="2677">
        <v>256495</v>
      </c>
      <c r="E407" s="2677">
        <v>257200</v>
      </c>
      <c r="F407" s="2677">
        <v>257200</v>
      </c>
      <c r="G407" s="2677">
        <v>400</v>
      </c>
    </row>
    <row r="408" spans="1:7" x14ac:dyDescent="0.3">
      <c r="A408" s="2678">
        <v>42900</v>
      </c>
      <c r="B408" s="2677">
        <v>256500</v>
      </c>
      <c r="C408" s="2677">
        <v>257200</v>
      </c>
      <c r="D408" s="2677">
        <v>254000</v>
      </c>
      <c r="E408" s="2677">
        <v>257150</v>
      </c>
      <c r="F408" s="2677">
        <v>257150</v>
      </c>
      <c r="G408" s="2677">
        <v>300</v>
      </c>
    </row>
    <row r="409" spans="1:7" x14ac:dyDescent="0.3">
      <c r="A409" s="2678">
        <v>42901</v>
      </c>
      <c r="B409" s="2677">
        <v>255920</v>
      </c>
      <c r="C409" s="2677">
        <v>256300</v>
      </c>
      <c r="D409" s="2677">
        <v>254440</v>
      </c>
      <c r="E409" s="2677">
        <v>255596</v>
      </c>
      <c r="F409" s="2677">
        <v>255596</v>
      </c>
      <c r="G409" s="2677">
        <v>300</v>
      </c>
    </row>
    <row r="410" spans="1:7" x14ac:dyDescent="0.3">
      <c r="A410" s="2678">
        <v>42902</v>
      </c>
      <c r="B410" s="2677">
        <v>256070</v>
      </c>
      <c r="C410" s="2677">
        <v>256450</v>
      </c>
      <c r="D410" s="2677">
        <v>255130</v>
      </c>
      <c r="E410" s="2677">
        <v>256450</v>
      </c>
      <c r="F410" s="2677">
        <v>256450</v>
      </c>
      <c r="G410" s="2677">
        <v>600</v>
      </c>
    </row>
    <row r="411" spans="1:7" x14ac:dyDescent="0.3">
      <c r="A411" s="2678">
        <v>42905</v>
      </c>
      <c r="B411" s="2677">
        <v>256960</v>
      </c>
      <c r="C411" s="2677">
        <v>257945</v>
      </c>
      <c r="D411" s="2677">
        <v>256310</v>
      </c>
      <c r="E411" s="2677">
        <v>257320</v>
      </c>
      <c r="F411" s="2677">
        <v>257320</v>
      </c>
      <c r="G411" s="2677">
        <v>300</v>
      </c>
    </row>
    <row r="412" spans="1:7" x14ac:dyDescent="0.3">
      <c r="A412" s="2678">
        <v>42906</v>
      </c>
      <c r="B412" s="2677">
        <v>256900</v>
      </c>
      <c r="C412" s="2677">
        <v>257290</v>
      </c>
      <c r="D412" s="2677">
        <v>255740</v>
      </c>
      <c r="E412" s="2677">
        <v>255860</v>
      </c>
      <c r="F412" s="2677">
        <v>255860</v>
      </c>
      <c r="G412" s="2677">
        <v>200</v>
      </c>
    </row>
    <row r="413" spans="1:7" x14ac:dyDescent="0.3">
      <c r="A413" s="2678">
        <v>42907</v>
      </c>
      <c r="B413" s="2677">
        <v>256400</v>
      </c>
      <c r="C413" s="2677">
        <v>256400</v>
      </c>
      <c r="D413" s="2677">
        <v>254290</v>
      </c>
      <c r="E413" s="2677">
        <v>254400</v>
      </c>
      <c r="F413" s="2677">
        <v>254400</v>
      </c>
      <c r="G413" s="2677">
        <v>100</v>
      </c>
    </row>
    <row r="414" spans="1:7" x14ac:dyDescent="0.3">
      <c r="A414" s="2678">
        <v>42908</v>
      </c>
      <c r="B414" s="2677">
        <v>253480</v>
      </c>
      <c r="C414" s="2677">
        <v>254040</v>
      </c>
      <c r="D414" s="2677">
        <v>252510</v>
      </c>
      <c r="E414" s="2677">
        <v>252620</v>
      </c>
      <c r="F414" s="2677">
        <v>252620</v>
      </c>
      <c r="G414" s="2677">
        <v>200</v>
      </c>
    </row>
    <row r="415" spans="1:7" x14ac:dyDescent="0.3">
      <c r="A415" s="2678">
        <v>42909</v>
      </c>
      <c r="B415" s="2677">
        <v>253300</v>
      </c>
      <c r="C415" s="2677">
        <v>253300</v>
      </c>
      <c r="D415" s="2677">
        <v>250000</v>
      </c>
      <c r="E415" s="2677">
        <v>251800</v>
      </c>
      <c r="F415" s="2677">
        <v>251800</v>
      </c>
      <c r="G415" s="2677">
        <v>300</v>
      </c>
    </row>
    <row r="416" spans="1:7" x14ac:dyDescent="0.3">
      <c r="A416" s="2678">
        <v>42912</v>
      </c>
      <c r="B416" s="2677">
        <v>252150</v>
      </c>
      <c r="C416" s="2677">
        <v>252450</v>
      </c>
      <c r="D416" s="2677">
        <v>250580</v>
      </c>
      <c r="E416" s="2677">
        <v>251480</v>
      </c>
      <c r="F416" s="2677">
        <v>251480</v>
      </c>
      <c r="G416" s="2677">
        <v>300</v>
      </c>
    </row>
    <row r="417" spans="1:7" x14ac:dyDescent="0.3">
      <c r="A417" s="2678">
        <v>42913</v>
      </c>
      <c r="B417" s="2677">
        <v>251520</v>
      </c>
      <c r="C417" s="2677">
        <v>252065</v>
      </c>
      <c r="D417" s="2677">
        <v>250165</v>
      </c>
      <c r="E417" s="2677">
        <v>251310</v>
      </c>
      <c r="F417" s="2677">
        <v>251310</v>
      </c>
      <c r="G417" s="2677">
        <v>300</v>
      </c>
    </row>
    <row r="418" spans="1:7" x14ac:dyDescent="0.3">
      <c r="A418" s="2678">
        <v>42914</v>
      </c>
      <c r="B418" s="2677">
        <v>251920</v>
      </c>
      <c r="C418" s="2677">
        <v>255230</v>
      </c>
      <c r="D418" s="2677">
        <v>251920</v>
      </c>
      <c r="E418" s="2677">
        <v>254660</v>
      </c>
      <c r="F418" s="2677">
        <v>254660</v>
      </c>
      <c r="G418" s="2677">
        <v>400</v>
      </c>
    </row>
    <row r="419" spans="1:7" x14ac:dyDescent="0.3">
      <c r="A419" s="2678">
        <v>42915</v>
      </c>
      <c r="B419" s="2677">
        <v>256170</v>
      </c>
      <c r="C419" s="2677">
        <v>256610</v>
      </c>
      <c r="D419" s="2677">
        <v>253030</v>
      </c>
      <c r="E419" s="2677">
        <v>253901</v>
      </c>
      <c r="F419" s="2677">
        <v>253901</v>
      </c>
      <c r="G419" s="2677">
        <v>300</v>
      </c>
    </row>
    <row r="420" spans="1:7" x14ac:dyDescent="0.3">
      <c r="A420" s="2678">
        <v>42916</v>
      </c>
      <c r="B420" s="2677">
        <v>254240</v>
      </c>
      <c r="C420" s="2677">
        <v>255160</v>
      </c>
      <c r="D420" s="2677">
        <v>253980</v>
      </c>
      <c r="E420" s="2677">
        <v>254700</v>
      </c>
      <c r="F420" s="2677">
        <v>254700</v>
      </c>
      <c r="G420" s="2677">
        <v>300</v>
      </c>
    </row>
    <row r="421" spans="1:7" x14ac:dyDescent="0.3">
      <c r="A421" s="2678">
        <v>42919</v>
      </c>
      <c r="B421" s="2677">
        <v>254990</v>
      </c>
      <c r="C421" s="2677">
        <v>258970</v>
      </c>
      <c r="D421" s="2677">
        <v>254990</v>
      </c>
      <c r="E421" s="2677">
        <v>257980</v>
      </c>
      <c r="F421" s="2677">
        <v>257980</v>
      </c>
      <c r="G421" s="2677">
        <v>200</v>
      </c>
    </row>
    <row r="422" spans="1:7" x14ac:dyDescent="0.3">
      <c r="A422" s="2678">
        <v>42921</v>
      </c>
      <c r="B422" s="2677">
        <v>257402</v>
      </c>
      <c r="C422" s="2677">
        <v>258750</v>
      </c>
      <c r="D422" s="2677">
        <v>257178</v>
      </c>
      <c r="E422" s="2677">
        <v>257500</v>
      </c>
      <c r="F422" s="2677">
        <v>257500</v>
      </c>
      <c r="G422" s="2677">
        <v>300</v>
      </c>
    </row>
    <row r="423" spans="1:7" x14ac:dyDescent="0.3">
      <c r="A423" s="2678">
        <v>42922</v>
      </c>
      <c r="B423" s="2677">
        <v>257640</v>
      </c>
      <c r="C423" s="2677">
        <v>257862</v>
      </c>
      <c r="D423" s="2677">
        <v>255150</v>
      </c>
      <c r="E423" s="2677">
        <v>255550</v>
      </c>
      <c r="F423" s="2677">
        <v>255550</v>
      </c>
      <c r="G423" s="2677">
        <v>300</v>
      </c>
    </row>
    <row r="424" spans="1:7" x14ac:dyDescent="0.3">
      <c r="A424" s="2678">
        <v>42923</v>
      </c>
      <c r="B424" s="2677">
        <v>255820</v>
      </c>
      <c r="C424" s="2677">
        <v>257000</v>
      </c>
      <c r="D424" s="2677">
        <v>254840</v>
      </c>
      <c r="E424" s="2677">
        <v>256780</v>
      </c>
      <c r="F424" s="2677">
        <v>256780</v>
      </c>
      <c r="G424" s="2677">
        <v>300</v>
      </c>
    </row>
    <row r="425" spans="1:7" x14ac:dyDescent="0.3">
      <c r="A425" s="2678">
        <v>42926</v>
      </c>
      <c r="B425" s="2677">
        <v>256750</v>
      </c>
      <c r="C425" s="2677">
        <v>257015</v>
      </c>
      <c r="D425" s="2677">
        <v>255050</v>
      </c>
      <c r="E425" s="2677">
        <v>255400</v>
      </c>
      <c r="F425" s="2677">
        <v>255400</v>
      </c>
      <c r="G425" s="2677">
        <v>200</v>
      </c>
    </row>
    <row r="426" spans="1:7" x14ac:dyDescent="0.3">
      <c r="A426" s="2678">
        <v>42927</v>
      </c>
      <c r="B426" s="2677">
        <v>255200</v>
      </c>
      <c r="C426" s="2677">
        <v>256270</v>
      </c>
      <c r="D426" s="2677">
        <v>252254</v>
      </c>
      <c r="E426" s="2677">
        <v>255500</v>
      </c>
      <c r="F426" s="2677">
        <v>255500</v>
      </c>
      <c r="G426" s="2677">
        <v>700</v>
      </c>
    </row>
    <row r="427" spans="1:7" x14ac:dyDescent="0.3">
      <c r="A427" s="2678">
        <v>42928</v>
      </c>
      <c r="B427" s="2677">
        <v>255500</v>
      </c>
      <c r="C427" s="2677">
        <v>256132</v>
      </c>
      <c r="D427" s="2677">
        <v>254500</v>
      </c>
      <c r="E427" s="2677">
        <v>256000</v>
      </c>
      <c r="F427" s="2677">
        <v>256000</v>
      </c>
      <c r="G427" s="2677">
        <v>700</v>
      </c>
    </row>
    <row r="428" spans="1:7" x14ac:dyDescent="0.3">
      <c r="A428" s="2678">
        <v>42929</v>
      </c>
      <c r="B428" s="2677">
        <v>256300</v>
      </c>
      <c r="C428" s="2677">
        <v>256300</v>
      </c>
      <c r="D428" s="2677">
        <v>255180</v>
      </c>
      <c r="E428" s="2677">
        <v>256000</v>
      </c>
      <c r="F428" s="2677">
        <v>256000</v>
      </c>
      <c r="G428" s="2677">
        <v>500</v>
      </c>
    </row>
    <row r="429" spans="1:7" x14ac:dyDescent="0.3">
      <c r="A429" s="2678">
        <v>42930</v>
      </c>
      <c r="B429" s="2677">
        <v>255149</v>
      </c>
      <c r="C429" s="2677">
        <v>256262</v>
      </c>
      <c r="D429" s="2677">
        <v>254400</v>
      </c>
      <c r="E429" s="2677">
        <v>256020</v>
      </c>
      <c r="F429" s="2677">
        <v>256020</v>
      </c>
      <c r="G429" s="2677">
        <v>400</v>
      </c>
    </row>
    <row r="430" spans="1:7" x14ac:dyDescent="0.3">
      <c r="A430" s="2678">
        <v>42933</v>
      </c>
      <c r="B430" s="2677">
        <v>255950</v>
      </c>
      <c r="C430" s="2677">
        <v>257665</v>
      </c>
      <c r="D430" s="2677">
        <v>255650</v>
      </c>
      <c r="E430" s="2677">
        <v>256200</v>
      </c>
      <c r="F430" s="2677">
        <v>256200</v>
      </c>
      <c r="G430" s="2677">
        <v>400</v>
      </c>
    </row>
    <row r="431" spans="1:7" x14ac:dyDescent="0.3">
      <c r="A431" s="2678">
        <v>42934</v>
      </c>
      <c r="B431" s="2677">
        <v>256390</v>
      </c>
      <c r="C431" s="2677">
        <v>256880</v>
      </c>
      <c r="D431" s="2677">
        <v>255860</v>
      </c>
      <c r="E431" s="2677">
        <v>256100</v>
      </c>
      <c r="F431" s="2677">
        <v>256100</v>
      </c>
      <c r="G431" s="2677">
        <v>200</v>
      </c>
    </row>
    <row r="432" spans="1:7" x14ac:dyDescent="0.3">
      <c r="A432" s="2678">
        <v>42935</v>
      </c>
      <c r="B432" s="2677">
        <v>256600</v>
      </c>
      <c r="C432" s="2677">
        <v>257786</v>
      </c>
      <c r="D432" s="2677">
        <v>256600</v>
      </c>
      <c r="E432" s="2677">
        <v>257500</v>
      </c>
      <c r="F432" s="2677">
        <v>257500</v>
      </c>
      <c r="G432" s="2677">
        <v>200</v>
      </c>
    </row>
    <row r="433" spans="1:7" x14ac:dyDescent="0.3">
      <c r="A433" s="2678">
        <v>42936</v>
      </c>
      <c r="B433" s="2677">
        <v>257800</v>
      </c>
      <c r="C433" s="2677">
        <v>258300</v>
      </c>
      <c r="D433" s="2677">
        <v>257415</v>
      </c>
      <c r="E433" s="2677">
        <v>257651</v>
      </c>
      <c r="F433" s="2677">
        <v>257651</v>
      </c>
      <c r="G433" s="2677">
        <v>200</v>
      </c>
    </row>
    <row r="434" spans="1:7" x14ac:dyDescent="0.3">
      <c r="A434" s="2678">
        <v>42937</v>
      </c>
      <c r="B434" s="2677">
        <v>257779</v>
      </c>
      <c r="C434" s="2677">
        <v>257779</v>
      </c>
      <c r="D434" s="2677">
        <v>256540</v>
      </c>
      <c r="E434" s="2677">
        <v>257645</v>
      </c>
      <c r="F434" s="2677">
        <v>257645</v>
      </c>
      <c r="G434" s="2677">
        <v>300</v>
      </c>
    </row>
    <row r="435" spans="1:7" x14ac:dyDescent="0.3">
      <c r="A435" s="2678">
        <v>42940</v>
      </c>
      <c r="B435" s="2677">
        <v>257644</v>
      </c>
      <c r="C435" s="2677">
        <v>258210</v>
      </c>
      <c r="D435" s="2677">
        <v>257020</v>
      </c>
      <c r="E435" s="2677">
        <v>257689</v>
      </c>
      <c r="F435" s="2677">
        <v>257689</v>
      </c>
      <c r="G435" s="2677">
        <v>200</v>
      </c>
    </row>
    <row r="436" spans="1:7" x14ac:dyDescent="0.3">
      <c r="A436" s="2678">
        <v>42941</v>
      </c>
      <c r="B436" s="2677">
        <v>258730</v>
      </c>
      <c r="C436" s="2677">
        <v>260060</v>
      </c>
      <c r="D436" s="2677">
        <v>258660</v>
      </c>
      <c r="E436" s="2677">
        <v>259410</v>
      </c>
      <c r="F436" s="2677">
        <v>259410</v>
      </c>
      <c r="G436" s="2677">
        <v>400</v>
      </c>
    </row>
    <row r="437" spans="1:7" x14ac:dyDescent="0.3">
      <c r="A437" s="2678">
        <v>42942</v>
      </c>
      <c r="B437" s="2677">
        <v>259600</v>
      </c>
      <c r="C437" s="2677">
        <v>260741</v>
      </c>
      <c r="D437" s="2677">
        <v>259300</v>
      </c>
      <c r="E437" s="2677">
        <v>259600</v>
      </c>
      <c r="F437" s="2677">
        <v>259600</v>
      </c>
      <c r="G437" s="2677">
        <v>200</v>
      </c>
    </row>
    <row r="438" spans="1:7" x14ac:dyDescent="0.3">
      <c r="A438" s="2678">
        <v>42943</v>
      </c>
      <c r="B438" s="2677">
        <v>259390</v>
      </c>
      <c r="C438" s="2677">
        <v>259860</v>
      </c>
      <c r="D438" s="2677">
        <v>258760</v>
      </c>
      <c r="E438" s="2677">
        <v>259709</v>
      </c>
      <c r="F438" s="2677">
        <v>259709</v>
      </c>
      <c r="G438" s="2677">
        <v>200</v>
      </c>
    </row>
    <row r="439" spans="1:7" x14ac:dyDescent="0.3">
      <c r="A439" s="2678">
        <v>42944</v>
      </c>
      <c r="B439" s="2677">
        <v>259820</v>
      </c>
      <c r="C439" s="2677">
        <v>261560</v>
      </c>
      <c r="D439" s="2677">
        <v>258472</v>
      </c>
      <c r="E439" s="2677">
        <v>261026</v>
      </c>
      <c r="F439" s="2677">
        <v>261026</v>
      </c>
      <c r="G439" s="2677">
        <v>200</v>
      </c>
    </row>
    <row r="440" spans="1:7" x14ac:dyDescent="0.3">
      <c r="A440" s="2678">
        <v>42947</v>
      </c>
      <c r="B440" s="2677">
        <v>261604</v>
      </c>
      <c r="C440" s="2677">
        <v>263441</v>
      </c>
      <c r="D440" s="2677">
        <v>261370</v>
      </c>
      <c r="E440" s="2677">
        <v>262786</v>
      </c>
      <c r="F440" s="2677">
        <v>262786</v>
      </c>
      <c r="G440" s="2677">
        <v>300</v>
      </c>
    </row>
    <row r="441" spans="1:7" x14ac:dyDescent="0.3">
      <c r="A441" s="2678">
        <v>42948</v>
      </c>
      <c r="B441" s="2677">
        <v>263929</v>
      </c>
      <c r="C441" s="2677">
        <v>264500</v>
      </c>
      <c r="D441" s="2677">
        <v>262700</v>
      </c>
      <c r="E441" s="2677">
        <v>264321</v>
      </c>
      <c r="F441" s="2677">
        <v>264321</v>
      </c>
      <c r="G441" s="2677">
        <v>100</v>
      </c>
    </row>
    <row r="442" spans="1:7" x14ac:dyDescent="0.3">
      <c r="A442" s="2678">
        <v>42949</v>
      </c>
      <c r="B442" s="2677">
        <v>264680</v>
      </c>
      <c r="C442" s="2677">
        <v>266950</v>
      </c>
      <c r="D442" s="2677">
        <v>264500</v>
      </c>
      <c r="E442" s="2677">
        <v>266730</v>
      </c>
      <c r="F442" s="2677">
        <v>266730</v>
      </c>
      <c r="G442" s="2677">
        <v>300</v>
      </c>
    </row>
    <row r="443" spans="1:7" x14ac:dyDescent="0.3">
      <c r="A443" s="2678">
        <v>42950</v>
      </c>
      <c r="B443" s="2677">
        <v>266625</v>
      </c>
      <c r="C443" s="2677">
        <v>268430</v>
      </c>
      <c r="D443" s="2677">
        <v>266201</v>
      </c>
      <c r="E443" s="2677">
        <v>268370</v>
      </c>
      <c r="F443" s="2677">
        <v>268370</v>
      </c>
      <c r="G443" s="2677">
        <v>300</v>
      </c>
    </row>
    <row r="444" spans="1:7" x14ac:dyDescent="0.3">
      <c r="A444" s="2678">
        <v>42951</v>
      </c>
      <c r="B444" s="2677">
        <v>268600</v>
      </c>
      <c r="C444" s="2677">
        <v>270000</v>
      </c>
      <c r="D444" s="2677">
        <v>268160</v>
      </c>
      <c r="E444" s="2677">
        <v>270000</v>
      </c>
      <c r="F444" s="2677">
        <v>270000</v>
      </c>
      <c r="G444" s="2677">
        <v>300</v>
      </c>
    </row>
    <row r="445" spans="1:7" x14ac:dyDescent="0.3">
      <c r="A445" s="2678">
        <v>42954</v>
      </c>
      <c r="B445" s="2677">
        <v>266350</v>
      </c>
      <c r="C445" s="2677">
        <v>267610</v>
      </c>
      <c r="D445" s="2677">
        <v>265850</v>
      </c>
      <c r="E445" s="2677">
        <v>266985</v>
      </c>
      <c r="F445" s="2677">
        <v>266985</v>
      </c>
      <c r="G445" s="2677">
        <v>200</v>
      </c>
    </row>
    <row r="446" spans="1:7" x14ac:dyDescent="0.3">
      <c r="A446" s="2678">
        <v>42955</v>
      </c>
      <c r="B446" s="2677">
        <v>266860</v>
      </c>
      <c r="C446" s="2677">
        <v>267360</v>
      </c>
      <c r="D446" s="2677">
        <v>264566</v>
      </c>
      <c r="E446" s="2677">
        <v>264566</v>
      </c>
      <c r="F446" s="2677">
        <v>264566</v>
      </c>
      <c r="G446" s="2677">
        <v>200</v>
      </c>
    </row>
    <row r="447" spans="1:7" x14ac:dyDescent="0.3">
      <c r="A447" s="2678">
        <v>42956</v>
      </c>
      <c r="B447" s="2677">
        <v>263390</v>
      </c>
      <c r="C447" s="2677">
        <v>267225</v>
      </c>
      <c r="D447" s="2677">
        <v>263270</v>
      </c>
      <c r="E447" s="2677">
        <v>267030</v>
      </c>
      <c r="F447" s="2677">
        <v>267030</v>
      </c>
      <c r="G447" s="2677">
        <v>300</v>
      </c>
    </row>
    <row r="448" spans="1:7" x14ac:dyDescent="0.3">
      <c r="A448" s="2678">
        <v>42957</v>
      </c>
      <c r="B448" s="2677">
        <v>265730</v>
      </c>
      <c r="C448" s="2677">
        <v>266711</v>
      </c>
      <c r="D448" s="2677">
        <v>264601</v>
      </c>
      <c r="E448" s="2677">
        <v>264601</v>
      </c>
      <c r="F448" s="2677">
        <v>264601</v>
      </c>
      <c r="G448" s="2677">
        <v>200</v>
      </c>
    </row>
    <row r="449" spans="1:7" x14ac:dyDescent="0.3">
      <c r="A449" s="2678">
        <v>42958</v>
      </c>
      <c r="B449" s="2677">
        <v>264660</v>
      </c>
      <c r="C449" s="2677">
        <v>265500</v>
      </c>
      <c r="D449" s="2677">
        <v>263000</v>
      </c>
      <c r="E449" s="2677">
        <v>263000</v>
      </c>
      <c r="F449" s="2677">
        <v>263000</v>
      </c>
      <c r="G449" s="2677">
        <v>200</v>
      </c>
    </row>
    <row r="450" spans="1:7" x14ac:dyDescent="0.3">
      <c r="A450" s="2678">
        <v>42961</v>
      </c>
      <c r="B450" s="2677">
        <v>265000</v>
      </c>
      <c r="C450" s="2677">
        <v>266543</v>
      </c>
      <c r="D450" s="2677">
        <v>265000</v>
      </c>
      <c r="E450" s="2677">
        <v>266370</v>
      </c>
      <c r="F450" s="2677">
        <v>266370</v>
      </c>
      <c r="G450" s="2677">
        <v>200</v>
      </c>
    </row>
    <row r="451" spans="1:7" x14ac:dyDescent="0.3">
      <c r="A451" s="2678">
        <v>42962</v>
      </c>
      <c r="B451" s="2677">
        <v>267100</v>
      </c>
      <c r="C451" s="2677">
        <v>267380</v>
      </c>
      <c r="D451" s="2677">
        <v>266012</v>
      </c>
      <c r="E451" s="2677">
        <v>266795</v>
      </c>
      <c r="F451" s="2677">
        <v>266795</v>
      </c>
      <c r="G451" s="2677">
        <v>300</v>
      </c>
    </row>
    <row r="452" spans="1:7" x14ac:dyDescent="0.3">
      <c r="A452" s="2678">
        <v>42963</v>
      </c>
      <c r="B452" s="2677">
        <v>267000</v>
      </c>
      <c r="C452" s="2677">
        <v>268700</v>
      </c>
      <c r="D452" s="2677">
        <v>266590</v>
      </c>
      <c r="E452" s="2677">
        <v>267856</v>
      </c>
      <c r="F452" s="2677">
        <v>267856</v>
      </c>
      <c r="G452" s="2677">
        <v>300</v>
      </c>
    </row>
    <row r="453" spans="1:7" x14ac:dyDescent="0.3">
      <c r="A453" s="2678">
        <v>42964</v>
      </c>
      <c r="B453" s="2677">
        <v>268100</v>
      </c>
      <c r="C453" s="2677">
        <v>268440</v>
      </c>
      <c r="D453" s="2677">
        <v>266636</v>
      </c>
      <c r="E453" s="2677">
        <v>267075</v>
      </c>
      <c r="F453" s="2677">
        <v>267075</v>
      </c>
      <c r="G453" s="2677">
        <v>600</v>
      </c>
    </row>
    <row r="454" spans="1:7" x14ac:dyDescent="0.3">
      <c r="A454" s="2678">
        <v>42965</v>
      </c>
      <c r="B454" s="2677">
        <v>266100</v>
      </c>
      <c r="C454" s="2677">
        <v>268761</v>
      </c>
      <c r="D454" s="2677">
        <v>265612</v>
      </c>
      <c r="E454" s="2677">
        <v>267377</v>
      </c>
      <c r="F454" s="2677">
        <v>267377</v>
      </c>
      <c r="G454" s="2677">
        <v>500</v>
      </c>
    </row>
    <row r="455" spans="1:7" x14ac:dyDescent="0.3">
      <c r="A455" s="2678">
        <v>42968</v>
      </c>
      <c r="B455" s="2677">
        <v>267301</v>
      </c>
      <c r="C455" s="2677">
        <v>268614</v>
      </c>
      <c r="D455" s="2677">
        <v>266600</v>
      </c>
      <c r="E455" s="2677">
        <v>268540</v>
      </c>
      <c r="F455" s="2677">
        <v>268540</v>
      </c>
      <c r="G455" s="2677">
        <v>300</v>
      </c>
    </row>
    <row r="456" spans="1:7" x14ac:dyDescent="0.3">
      <c r="A456" s="2678">
        <v>42969</v>
      </c>
      <c r="B456" s="2677">
        <v>268252</v>
      </c>
      <c r="C456" s="2677">
        <v>271369</v>
      </c>
      <c r="D456" s="2677">
        <v>268252</v>
      </c>
      <c r="E456" s="2677">
        <v>270960</v>
      </c>
      <c r="F456" s="2677">
        <v>270960</v>
      </c>
      <c r="G456" s="2677">
        <v>300</v>
      </c>
    </row>
    <row r="457" spans="1:7" x14ac:dyDescent="0.3">
      <c r="A457" s="2678">
        <v>42970</v>
      </c>
      <c r="B457" s="2677">
        <v>269000</v>
      </c>
      <c r="C457" s="2677">
        <v>271199</v>
      </c>
      <c r="D457" s="2677">
        <v>269000</v>
      </c>
      <c r="E457" s="2677">
        <v>270430</v>
      </c>
      <c r="F457" s="2677">
        <v>270430</v>
      </c>
      <c r="G457" s="2677">
        <v>200</v>
      </c>
    </row>
    <row r="458" spans="1:7" x14ac:dyDescent="0.3">
      <c r="A458" s="2678">
        <v>42971</v>
      </c>
      <c r="B458" s="2677">
        <v>270500</v>
      </c>
      <c r="C458" s="2677">
        <v>270630</v>
      </c>
      <c r="D458" s="2677">
        <v>267590</v>
      </c>
      <c r="E458" s="2677">
        <v>268565</v>
      </c>
      <c r="F458" s="2677">
        <v>268565</v>
      </c>
      <c r="G458" s="2677">
        <v>300</v>
      </c>
    </row>
    <row r="459" spans="1:7" x14ac:dyDescent="0.3">
      <c r="A459" s="2678">
        <v>42972</v>
      </c>
      <c r="B459" s="2677">
        <v>268820</v>
      </c>
      <c r="C459" s="2677">
        <v>270550</v>
      </c>
      <c r="D459" s="2677">
        <v>268820</v>
      </c>
      <c r="E459" s="2677">
        <v>269761</v>
      </c>
      <c r="F459" s="2677">
        <v>269761</v>
      </c>
      <c r="G459" s="2677">
        <v>200</v>
      </c>
    </row>
    <row r="460" spans="1:7" x14ac:dyDescent="0.3">
      <c r="A460" s="2678">
        <v>42975</v>
      </c>
      <c r="B460" s="2677">
        <v>270400</v>
      </c>
      <c r="C460" s="2677">
        <v>270400</v>
      </c>
      <c r="D460" s="2677">
        <v>267450</v>
      </c>
      <c r="E460" s="2677">
        <v>268035</v>
      </c>
      <c r="F460" s="2677">
        <v>268035</v>
      </c>
      <c r="G460" s="2677">
        <v>300</v>
      </c>
    </row>
    <row r="461" spans="1:7" x14ac:dyDescent="0.3">
      <c r="A461" s="2678">
        <v>42976</v>
      </c>
      <c r="B461" s="2677">
        <v>267250</v>
      </c>
      <c r="C461" s="2677">
        <v>268160</v>
      </c>
      <c r="D461" s="2677">
        <v>266045</v>
      </c>
      <c r="E461" s="2677">
        <v>268090</v>
      </c>
      <c r="F461" s="2677">
        <v>268090</v>
      </c>
      <c r="G461" s="2677">
        <v>300</v>
      </c>
    </row>
    <row r="462" spans="1:7" x14ac:dyDescent="0.3">
      <c r="A462" s="2678">
        <v>42977</v>
      </c>
      <c r="B462" s="2677">
        <v>268450</v>
      </c>
      <c r="C462" s="2677">
        <v>271470</v>
      </c>
      <c r="D462" s="2677">
        <v>268100</v>
      </c>
      <c r="E462" s="2677">
        <v>270420</v>
      </c>
      <c r="F462" s="2677">
        <v>270420</v>
      </c>
      <c r="G462" s="2677">
        <v>300</v>
      </c>
    </row>
    <row r="463" spans="1:7" x14ac:dyDescent="0.3">
      <c r="A463" s="2678">
        <v>42978</v>
      </c>
      <c r="B463" s="2677">
        <v>271000</v>
      </c>
      <c r="C463" s="2677">
        <v>272857</v>
      </c>
      <c r="D463" s="2677">
        <v>270985</v>
      </c>
      <c r="E463" s="2677">
        <v>271450</v>
      </c>
      <c r="F463" s="2677">
        <v>271450</v>
      </c>
      <c r="G463" s="2677">
        <v>200</v>
      </c>
    </row>
    <row r="464" spans="1:7" x14ac:dyDescent="0.3">
      <c r="A464" s="2678">
        <v>42979</v>
      </c>
      <c r="B464" s="2677">
        <v>272800</v>
      </c>
      <c r="C464" s="2677">
        <v>272885</v>
      </c>
      <c r="D464" s="2677">
        <v>271040</v>
      </c>
      <c r="E464" s="2677">
        <v>271062</v>
      </c>
      <c r="F464" s="2677">
        <v>271062</v>
      </c>
      <c r="G464" s="2677">
        <v>200</v>
      </c>
    </row>
    <row r="465" spans="1:7" x14ac:dyDescent="0.3">
      <c r="A465" s="2678">
        <v>42983</v>
      </c>
      <c r="B465" s="2677">
        <v>270350</v>
      </c>
      <c r="C465" s="2677">
        <v>270395</v>
      </c>
      <c r="D465" s="2677">
        <v>264600</v>
      </c>
      <c r="E465" s="2677">
        <v>265744</v>
      </c>
      <c r="F465" s="2677">
        <v>265744</v>
      </c>
      <c r="G465" s="2677">
        <v>500</v>
      </c>
    </row>
    <row r="466" spans="1:7" x14ac:dyDescent="0.3">
      <c r="A466" s="2678">
        <v>42984</v>
      </c>
      <c r="B466" s="2677">
        <v>266500</v>
      </c>
      <c r="C466" s="2677">
        <v>266859</v>
      </c>
      <c r="D466" s="2677">
        <v>265160</v>
      </c>
      <c r="E466" s="2677">
        <v>265420</v>
      </c>
      <c r="F466" s="2677">
        <v>265420</v>
      </c>
      <c r="G466" s="2677">
        <v>400</v>
      </c>
    </row>
    <row r="467" spans="1:7" x14ac:dyDescent="0.3">
      <c r="A467" s="2678">
        <v>42985</v>
      </c>
      <c r="B467" s="2677">
        <v>265760</v>
      </c>
      <c r="C467" s="2677">
        <v>265760</v>
      </c>
      <c r="D467" s="2677">
        <v>259040</v>
      </c>
      <c r="E467" s="2677">
        <v>260500</v>
      </c>
      <c r="F467" s="2677">
        <v>260500</v>
      </c>
      <c r="G467" s="2677">
        <v>600</v>
      </c>
    </row>
    <row r="468" spans="1:7" x14ac:dyDescent="0.3">
      <c r="A468" s="2678">
        <v>42986</v>
      </c>
      <c r="B468" s="2677">
        <v>260500</v>
      </c>
      <c r="C468" s="2677">
        <v>263820</v>
      </c>
      <c r="D468" s="2677">
        <v>260490</v>
      </c>
      <c r="E468" s="2677">
        <v>263600</v>
      </c>
      <c r="F468" s="2677">
        <v>263600</v>
      </c>
      <c r="G468" s="2677">
        <v>200</v>
      </c>
    </row>
    <row r="469" spans="1:7" x14ac:dyDescent="0.3">
      <c r="A469" s="2678">
        <v>42989</v>
      </c>
      <c r="B469" s="2677">
        <v>267005</v>
      </c>
      <c r="C469" s="2677">
        <v>268880</v>
      </c>
      <c r="D469" s="2677">
        <v>266100</v>
      </c>
      <c r="E469" s="2677">
        <v>266870</v>
      </c>
      <c r="F469" s="2677">
        <v>266870</v>
      </c>
      <c r="G469" s="2677">
        <v>200</v>
      </c>
    </row>
    <row r="470" spans="1:7" x14ac:dyDescent="0.3">
      <c r="A470" s="2678">
        <v>42990</v>
      </c>
      <c r="B470" s="2677">
        <v>267400</v>
      </c>
      <c r="C470" s="2677">
        <v>268000</v>
      </c>
      <c r="D470" s="2677">
        <v>266798</v>
      </c>
      <c r="E470" s="2677">
        <v>267911</v>
      </c>
      <c r="F470" s="2677">
        <v>267911</v>
      </c>
      <c r="G470" s="2677">
        <v>200</v>
      </c>
    </row>
    <row r="471" spans="1:7" x14ac:dyDescent="0.3">
      <c r="A471" s="2678">
        <v>42991</v>
      </c>
      <c r="B471" s="2677">
        <v>267100</v>
      </c>
      <c r="C471" s="2677">
        <v>268570</v>
      </c>
      <c r="D471" s="2677">
        <v>266890</v>
      </c>
      <c r="E471" s="2677">
        <v>268450</v>
      </c>
      <c r="F471" s="2677">
        <v>268450</v>
      </c>
      <c r="G471" s="2677">
        <v>200</v>
      </c>
    </row>
    <row r="472" spans="1:7" x14ac:dyDescent="0.3">
      <c r="A472" s="2678">
        <v>42992</v>
      </c>
      <c r="B472" s="2677">
        <v>268400</v>
      </c>
      <c r="C472" s="2677">
        <v>268620</v>
      </c>
      <c r="D472" s="2677">
        <v>267760</v>
      </c>
      <c r="E472" s="2677">
        <v>268322</v>
      </c>
      <c r="F472" s="2677">
        <v>268322</v>
      </c>
      <c r="G472" s="2677">
        <v>200</v>
      </c>
    </row>
    <row r="473" spans="1:7" x14ac:dyDescent="0.3">
      <c r="A473" s="2678">
        <v>42993</v>
      </c>
      <c r="B473" s="2677">
        <v>268800</v>
      </c>
      <c r="C473" s="2677">
        <v>270510</v>
      </c>
      <c r="D473" s="2677">
        <v>268680</v>
      </c>
      <c r="E473" s="2677">
        <v>270200</v>
      </c>
      <c r="F473" s="2677">
        <v>270200</v>
      </c>
      <c r="G473" s="2677">
        <v>400</v>
      </c>
    </row>
    <row r="474" spans="1:7" x14ac:dyDescent="0.3">
      <c r="A474" s="2678">
        <v>42996</v>
      </c>
      <c r="B474" s="2677">
        <v>270980</v>
      </c>
      <c r="C474" s="2677">
        <v>272580</v>
      </c>
      <c r="D474" s="2677">
        <v>270340</v>
      </c>
      <c r="E474" s="2677">
        <v>272480</v>
      </c>
      <c r="F474" s="2677">
        <v>272480</v>
      </c>
      <c r="G474" s="2677">
        <v>300</v>
      </c>
    </row>
    <row r="475" spans="1:7" x14ac:dyDescent="0.3">
      <c r="A475" s="2678">
        <v>42997</v>
      </c>
      <c r="B475" s="2677">
        <v>271950</v>
      </c>
      <c r="C475" s="2677">
        <v>274850</v>
      </c>
      <c r="D475" s="2677">
        <v>271950</v>
      </c>
      <c r="E475" s="2677">
        <v>274850</v>
      </c>
      <c r="F475" s="2677">
        <v>274850</v>
      </c>
      <c r="G475" s="2677">
        <v>300</v>
      </c>
    </row>
    <row r="476" spans="1:7" x14ac:dyDescent="0.3">
      <c r="A476" s="2678">
        <v>42998</v>
      </c>
      <c r="B476" s="2677">
        <v>275040</v>
      </c>
      <c r="C476" s="2677">
        <v>275820</v>
      </c>
      <c r="D476" s="2677">
        <v>273730</v>
      </c>
      <c r="E476" s="2677">
        <v>275630</v>
      </c>
      <c r="F476" s="2677">
        <v>275630</v>
      </c>
      <c r="G476" s="2677">
        <v>700</v>
      </c>
    </row>
    <row r="477" spans="1:7" x14ac:dyDescent="0.3">
      <c r="A477" s="2678">
        <v>42999</v>
      </c>
      <c r="B477" s="2677">
        <v>275475</v>
      </c>
      <c r="C477" s="2677">
        <v>275740</v>
      </c>
      <c r="D477" s="2677">
        <v>274600</v>
      </c>
      <c r="E477" s="2677">
        <v>274600</v>
      </c>
      <c r="F477" s="2677">
        <v>274600</v>
      </c>
      <c r="G477" s="2677">
        <v>300</v>
      </c>
    </row>
    <row r="478" spans="1:7" x14ac:dyDescent="0.3">
      <c r="A478" s="2678">
        <v>43000</v>
      </c>
      <c r="B478" s="2677">
        <v>274165</v>
      </c>
      <c r="C478" s="2677">
        <v>274200</v>
      </c>
      <c r="D478" s="2677">
        <v>272000</v>
      </c>
      <c r="E478" s="2677">
        <v>273139</v>
      </c>
      <c r="F478" s="2677">
        <v>273139</v>
      </c>
      <c r="G478" s="2677">
        <v>200</v>
      </c>
    </row>
    <row r="479" spans="1:7" x14ac:dyDescent="0.3">
      <c r="A479" s="2678">
        <v>43003</v>
      </c>
      <c r="B479" s="2677">
        <v>273379</v>
      </c>
      <c r="C479" s="2677">
        <v>273861</v>
      </c>
      <c r="D479" s="2677">
        <v>271250</v>
      </c>
      <c r="E479" s="2677">
        <v>273660</v>
      </c>
      <c r="F479" s="2677">
        <v>273660</v>
      </c>
      <c r="G479" s="2677">
        <v>200</v>
      </c>
    </row>
    <row r="480" spans="1:7" x14ac:dyDescent="0.3">
      <c r="A480" s="2678">
        <v>43004</v>
      </c>
      <c r="B480" s="2677">
        <v>273700</v>
      </c>
      <c r="C480" s="2677">
        <v>274270</v>
      </c>
      <c r="D480" s="2677">
        <v>272600</v>
      </c>
      <c r="E480" s="2677">
        <v>272800</v>
      </c>
      <c r="F480" s="2677">
        <v>272800</v>
      </c>
      <c r="G480" s="2677">
        <v>200</v>
      </c>
    </row>
    <row r="481" spans="1:7" x14ac:dyDescent="0.3">
      <c r="A481" s="2678">
        <v>43005</v>
      </c>
      <c r="B481" s="2677">
        <v>274260</v>
      </c>
      <c r="C481" s="2677">
        <v>275745</v>
      </c>
      <c r="D481" s="2677">
        <v>273801</v>
      </c>
      <c r="E481" s="2677">
        <v>274940</v>
      </c>
      <c r="F481" s="2677">
        <v>274940</v>
      </c>
      <c r="G481" s="2677">
        <v>200</v>
      </c>
    </row>
    <row r="482" spans="1:7" x14ac:dyDescent="0.3">
      <c r="A482" s="2678">
        <v>43006</v>
      </c>
      <c r="B482" s="2677">
        <v>275870</v>
      </c>
      <c r="C482" s="2677">
        <v>275945</v>
      </c>
      <c r="D482" s="2677">
        <v>273825</v>
      </c>
      <c r="E482" s="2677">
        <v>274770</v>
      </c>
      <c r="F482" s="2677">
        <v>274770</v>
      </c>
      <c r="G482" s="2677">
        <v>100</v>
      </c>
    </row>
    <row r="483" spans="1:7" x14ac:dyDescent="0.3">
      <c r="A483" s="2678">
        <v>43007</v>
      </c>
      <c r="B483" s="2677">
        <v>274900</v>
      </c>
      <c r="C483" s="2677">
        <v>274950</v>
      </c>
      <c r="D483" s="2677">
        <v>273755</v>
      </c>
      <c r="E483" s="2677">
        <v>274740</v>
      </c>
      <c r="F483" s="2677">
        <v>274740</v>
      </c>
      <c r="G483" s="2677">
        <v>200</v>
      </c>
    </row>
    <row r="484" spans="1:7" x14ac:dyDescent="0.3">
      <c r="A484" s="2678">
        <v>43010</v>
      </c>
      <c r="B484" s="2677">
        <v>274999</v>
      </c>
      <c r="C484" s="2677">
        <v>278010</v>
      </c>
      <c r="D484" s="2677">
        <v>274500</v>
      </c>
      <c r="E484" s="2677">
        <v>278010</v>
      </c>
      <c r="F484" s="2677">
        <v>278010</v>
      </c>
      <c r="G484" s="2677">
        <v>200</v>
      </c>
    </row>
    <row r="485" spans="1:7" x14ac:dyDescent="0.3">
      <c r="A485" s="2678">
        <v>43011</v>
      </c>
      <c r="B485" s="2677">
        <v>278200</v>
      </c>
      <c r="C485" s="2677">
        <v>279660</v>
      </c>
      <c r="D485" s="2677">
        <v>277000</v>
      </c>
      <c r="E485" s="2677">
        <v>278700</v>
      </c>
      <c r="F485" s="2677">
        <v>278700</v>
      </c>
      <c r="G485" s="2677">
        <v>200</v>
      </c>
    </row>
    <row r="486" spans="1:7" x14ac:dyDescent="0.3">
      <c r="A486" s="2678">
        <v>43012</v>
      </c>
      <c r="B486" s="2677">
        <v>279200</v>
      </c>
      <c r="C486" s="2677">
        <v>279960</v>
      </c>
      <c r="D486" s="2677">
        <v>278385</v>
      </c>
      <c r="E486" s="2677">
        <v>278670</v>
      </c>
      <c r="F486" s="2677">
        <v>278670</v>
      </c>
      <c r="G486" s="2677">
        <v>100</v>
      </c>
    </row>
    <row r="487" spans="1:7" x14ac:dyDescent="0.3">
      <c r="A487" s="2678">
        <v>43013</v>
      </c>
      <c r="B487" s="2677">
        <v>279350</v>
      </c>
      <c r="C487" s="2677">
        <v>282000</v>
      </c>
      <c r="D487" s="2677">
        <v>278780</v>
      </c>
      <c r="E487" s="2677">
        <v>280360</v>
      </c>
      <c r="F487" s="2677">
        <v>280360</v>
      </c>
      <c r="G487" s="2677">
        <v>300</v>
      </c>
    </row>
    <row r="488" spans="1:7" x14ac:dyDescent="0.3">
      <c r="A488" s="2678">
        <v>43014</v>
      </c>
      <c r="B488" s="2677">
        <v>281030</v>
      </c>
      <c r="C488" s="2677">
        <v>281180</v>
      </c>
      <c r="D488" s="2677">
        <v>279280</v>
      </c>
      <c r="E488" s="2677">
        <v>281000</v>
      </c>
      <c r="F488" s="2677">
        <v>281000</v>
      </c>
      <c r="G488" s="2677">
        <v>200</v>
      </c>
    </row>
    <row r="489" spans="1:7" x14ac:dyDescent="0.3">
      <c r="A489" s="2678">
        <v>43017</v>
      </c>
      <c r="B489" s="2677">
        <v>281460</v>
      </c>
      <c r="C489" s="2677">
        <v>281700</v>
      </c>
      <c r="D489" s="2677">
        <v>280000</v>
      </c>
      <c r="E489" s="2677">
        <v>281089</v>
      </c>
      <c r="F489" s="2677">
        <v>281089</v>
      </c>
      <c r="G489" s="2677">
        <v>100</v>
      </c>
    </row>
    <row r="490" spans="1:7" x14ac:dyDescent="0.3">
      <c r="A490" s="2678">
        <v>43018</v>
      </c>
      <c r="B490" s="2677">
        <v>281000</v>
      </c>
      <c r="C490" s="2677">
        <v>282270</v>
      </c>
      <c r="D490" s="2677">
        <v>280800</v>
      </c>
      <c r="E490" s="2677">
        <v>281950</v>
      </c>
      <c r="F490" s="2677">
        <v>281950</v>
      </c>
      <c r="G490" s="2677">
        <v>300</v>
      </c>
    </row>
    <row r="491" spans="1:7" x14ac:dyDescent="0.3">
      <c r="A491" s="2678">
        <v>43019</v>
      </c>
      <c r="B491" s="2677">
        <v>282100</v>
      </c>
      <c r="C491" s="2677">
        <v>282100</v>
      </c>
      <c r="D491" s="2677">
        <v>279760</v>
      </c>
      <c r="E491" s="2677">
        <v>281085</v>
      </c>
      <c r="F491" s="2677">
        <v>281085</v>
      </c>
      <c r="G491" s="2677">
        <v>200</v>
      </c>
    </row>
    <row r="492" spans="1:7" x14ac:dyDescent="0.3">
      <c r="A492" s="2678">
        <v>43020</v>
      </c>
      <c r="B492" s="2677">
        <v>281410</v>
      </c>
      <c r="C492" s="2677">
        <v>281800</v>
      </c>
      <c r="D492" s="2677">
        <v>278980</v>
      </c>
      <c r="E492" s="2677">
        <v>279383</v>
      </c>
      <c r="F492" s="2677">
        <v>279383</v>
      </c>
      <c r="G492" s="2677">
        <v>200</v>
      </c>
    </row>
    <row r="493" spans="1:7" x14ac:dyDescent="0.3">
      <c r="A493" s="2678">
        <v>43021</v>
      </c>
      <c r="B493" s="2677">
        <v>280240</v>
      </c>
      <c r="C493" s="2677">
        <v>281930</v>
      </c>
      <c r="D493" s="2677">
        <v>279780</v>
      </c>
      <c r="E493" s="2677">
        <v>280850</v>
      </c>
      <c r="F493" s="2677">
        <v>280850</v>
      </c>
      <c r="G493" s="2677">
        <v>200</v>
      </c>
    </row>
    <row r="494" spans="1:7" x14ac:dyDescent="0.3">
      <c r="A494" s="2678">
        <v>43024</v>
      </c>
      <c r="B494" s="2677">
        <v>281800</v>
      </c>
      <c r="C494" s="2677">
        <v>282880</v>
      </c>
      <c r="D494" s="2677">
        <v>281410</v>
      </c>
      <c r="E494" s="2677">
        <v>281960</v>
      </c>
      <c r="F494" s="2677">
        <v>281960</v>
      </c>
      <c r="G494" s="2677">
        <v>300</v>
      </c>
    </row>
    <row r="495" spans="1:7" x14ac:dyDescent="0.3">
      <c r="A495" s="2678">
        <v>43025</v>
      </c>
      <c r="B495" s="2677">
        <v>283000</v>
      </c>
      <c r="C495" s="2677">
        <v>283000</v>
      </c>
      <c r="D495" s="2677">
        <v>279900</v>
      </c>
      <c r="E495" s="2677">
        <v>281050</v>
      </c>
      <c r="F495" s="2677">
        <v>281050</v>
      </c>
      <c r="G495" s="2677">
        <v>200</v>
      </c>
    </row>
    <row r="496" spans="1:7" x14ac:dyDescent="0.3">
      <c r="A496" s="2678">
        <v>43026</v>
      </c>
      <c r="B496" s="2677">
        <v>281715</v>
      </c>
      <c r="C496" s="2677">
        <v>282130</v>
      </c>
      <c r="D496" s="2677">
        <v>280790</v>
      </c>
      <c r="E496" s="2677">
        <v>281290</v>
      </c>
      <c r="F496" s="2677">
        <v>281290</v>
      </c>
      <c r="G496" s="2677">
        <v>100</v>
      </c>
    </row>
    <row r="497" spans="1:7" x14ac:dyDescent="0.3">
      <c r="A497" s="2678">
        <v>43027</v>
      </c>
      <c r="B497" s="2677">
        <v>280500</v>
      </c>
      <c r="C497" s="2677">
        <v>280960</v>
      </c>
      <c r="D497" s="2677">
        <v>279700</v>
      </c>
      <c r="E497" s="2677">
        <v>280815</v>
      </c>
      <c r="F497" s="2677">
        <v>280815</v>
      </c>
      <c r="G497" s="2677">
        <v>200</v>
      </c>
    </row>
    <row r="498" spans="1:7" x14ac:dyDescent="0.3">
      <c r="A498" s="2678">
        <v>43028</v>
      </c>
      <c r="B498" s="2677">
        <v>281780</v>
      </c>
      <c r="C498" s="2677">
        <v>283390</v>
      </c>
      <c r="D498" s="2677">
        <v>281460</v>
      </c>
      <c r="E498" s="2677">
        <v>283353</v>
      </c>
      <c r="F498" s="2677">
        <v>283353</v>
      </c>
      <c r="G498" s="2677">
        <v>200</v>
      </c>
    </row>
    <row r="499" spans="1:7" x14ac:dyDescent="0.3">
      <c r="A499" s="2678">
        <v>43031</v>
      </c>
      <c r="B499" s="2677">
        <v>283520</v>
      </c>
      <c r="C499" s="2677">
        <v>284575</v>
      </c>
      <c r="D499" s="2677">
        <v>283220</v>
      </c>
      <c r="E499" s="2677">
        <v>284198</v>
      </c>
      <c r="F499" s="2677">
        <v>284198</v>
      </c>
      <c r="G499" s="2677">
        <v>200</v>
      </c>
    </row>
    <row r="500" spans="1:7" x14ac:dyDescent="0.3">
      <c r="A500" s="2678">
        <v>43032</v>
      </c>
      <c r="B500" s="2677">
        <v>284800</v>
      </c>
      <c r="C500" s="2677">
        <v>285950</v>
      </c>
      <c r="D500" s="2677">
        <v>284335</v>
      </c>
      <c r="E500" s="2677">
        <v>284570</v>
      </c>
      <c r="F500" s="2677">
        <v>284570</v>
      </c>
      <c r="G500" s="2677">
        <v>300</v>
      </c>
    </row>
    <row r="501" spans="1:7" x14ac:dyDescent="0.3">
      <c r="A501" s="2678">
        <v>43033</v>
      </c>
      <c r="B501" s="2677">
        <v>285350</v>
      </c>
      <c r="C501" s="2677">
        <v>285350</v>
      </c>
      <c r="D501" s="2677">
        <v>281600</v>
      </c>
      <c r="E501" s="2677">
        <v>283035</v>
      </c>
      <c r="F501" s="2677">
        <v>283035</v>
      </c>
      <c r="G501" s="2677">
        <v>300</v>
      </c>
    </row>
    <row r="502" spans="1:7" x14ac:dyDescent="0.3">
      <c r="A502" s="2678">
        <v>43034</v>
      </c>
      <c r="B502" s="2677">
        <v>284290</v>
      </c>
      <c r="C502" s="2677">
        <v>284640</v>
      </c>
      <c r="D502" s="2677">
        <v>281870</v>
      </c>
      <c r="E502" s="2677">
        <v>282810</v>
      </c>
      <c r="F502" s="2677">
        <v>282810</v>
      </c>
      <c r="G502" s="2677">
        <v>200</v>
      </c>
    </row>
    <row r="503" spans="1:7" x14ac:dyDescent="0.3">
      <c r="A503" s="2678">
        <v>43035</v>
      </c>
      <c r="B503" s="2677">
        <v>282700</v>
      </c>
      <c r="C503" s="2677">
        <v>282799</v>
      </c>
      <c r="D503" s="2677">
        <v>280660</v>
      </c>
      <c r="E503" s="2677">
        <v>281600</v>
      </c>
      <c r="F503" s="2677">
        <v>281600</v>
      </c>
      <c r="G503" s="2677">
        <v>200</v>
      </c>
    </row>
    <row r="504" spans="1:7" x14ac:dyDescent="0.3">
      <c r="A504" s="2678">
        <v>43038</v>
      </c>
      <c r="B504" s="2677">
        <v>282150</v>
      </c>
      <c r="C504" s="2677">
        <v>282790</v>
      </c>
      <c r="D504" s="2677">
        <v>281190</v>
      </c>
      <c r="E504" s="2677">
        <v>281940</v>
      </c>
      <c r="F504" s="2677">
        <v>281940</v>
      </c>
      <c r="G504" s="2677">
        <v>200</v>
      </c>
    </row>
    <row r="505" spans="1:7" x14ac:dyDescent="0.3">
      <c r="A505" s="2678">
        <v>43039</v>
      </c>
      <c r="B505" s="2677">
        <v>282100</v>
      </c>
      <c r="C505" s="2677">
        <v>282100</v>
      </c>
      <c r="D505" s="2677">
        <v>279690</v>
      </c>
      <c r="E505" s="2677">
        <v>280470</v>
      </c>
      <c r="F505" s="2677">
        <v>280470</v>
      </c>
      <c r="G505" s="2677">
        <v>300</v>
      </c>
    </row>
    <row r="506" spans="1:7" x14ac:dyDescent="0.3">
      <c r="A506" s="2678">
        <v>43040</v>
      </c>
      <c r="B506" s="2677">
        <v>282200</v>
      </c>
      <c r="C506" s="2677">
        <v>282200</v>
      </c>
      <c r="D506" s="2677">
        <v>280000</v>
      </c>
      <c r="E506" s="2677">
        <v>280000</v>
      </c>
      <c r="F506" s="2677">
        <v>280000</v>
      </c>
      <c r="G506" s="2677">
        <v>300</v>
      </c>
    </row>
    <row r="507" spans="1:7" x14ac:dyDescent="0.3">
      <c r="A507" s="2678">
        <v>43041</v>
      </c>
      <c r="B507" s="2677">
        <v>280000</v>
      </c>
      <c r="C507" s="2677">
        <v>283434</v>
      </c>
      <c r="D507" s="2677">
        <v>278930</v>
      </c>
      <c r="E507" s="2677">
        <v>283434</v>
      </c>
      <c r="F507" s="2677">
        <v>283434</v>
      </c>
      <c r="G507" s="2677">
        <v>200</v>
      </c>
    </row>
    <row r="508" spans="1:7" x14ac:dyDescent="0.3">
      <c r="A508" s="2678">
        <v>43042</v>
      </c>
      <c r="B508" s="2677">
        <v>282699</v>
      </c>
      <c r="C508" s="2677">
        <v>282699</v>
      </c>
      <c r="D508" s="2677">
        <v>280470</v>
      </c>
      <c r="E508" s="2677">
        <v>280470</v>
      </c>
      <c r="F508" s="2677">
        <v>280470</v>
      </c>
      <c r="G508" s="2677">
        <v>100</v>
      </c>
    </row>
    <row r="509" spans="1:7" x14ac:dyDescent="0.3">
      <c r="A509" s="2678">
        <v>43045</v>
      </c>
      <c r="B509" s="2677">
        <v>279630</v>
      </c>
      <c r="C509" s="2677">
        <v>281320</v>
      </c>
      <c r="D509" s="2677">
        <v>278000</v>
      </c>
      <c r="E509" s="2677">
        <v>280170</v>
      </c>
      <c r="F509" s="2677">
        <v>280170</v>
      </c>
      <c r="G509" s="2677">
        <v>200</v>
      </c>
    </row>
    <row r="510" spans="1:7" x14ac:dyDescent="0.3">
      <c r="A510" s="2678">
        <v>43046</v>
      </c>
      <c r="B510" s="2677">
        <v>281600</v>
      </c>
      <c r="C510" s="2677">
        <v>282290</v>
      </c>
      <c r="D510" s="2677">
        <v>278750</v>
      </c>
      <c r="E510" s="2677">
        <v>279361</v>
      </c>
      <c r="F510" s="2677">
        <v>279361</v>
      </c>
      <c r="G510" s="2677">
        <v>200</v>
      </c>
    </row>
    <row r="511" spans="1:7" x14ac:dyDescent="0.3">
      <c r="A511" s="2678">
        <v>43047</v>
      </c>
      <c r="B511" s="2677">
        <v>279900</v>
      </c>
      <c r="C511" s="2677">
        <v>279900</v>
      </c>
      <c r="D511" s="2677">
        <v>276600</v>
      </c>
      <c r="E511" s="2677">
        <v>276676</v>
      </c>
      <c r="F511" s="2677">
        <v>276676</v>
      </c>
      <c r="G511" s="2677">
        <v>300</v>
      </c>
    </row>
    <row r="512" spans="1:7" x14ac:dyDescent="0.3">
      <c r="A512" s="2678">
        <v>43048</v>
      </c>
      <c r="B512" s="2677">
        <v>276100</v>
      </c>
      <c r="C512" s="2677">
        <v>276895</v>
      </c>
      <c r="D512" s="2677">
        <v>272795</v>
      </c>
      <c r="E512" s="2677">
        <v>276556</v>
      </c>
      <c r="F512" s="2677">
        <v>276556</v>
      </c>
      <c r="G512" s="2677">
        <v>400</v>
      </c>
    </row>
    <row r="513" spans="1:7" x14ac:dyDescent="0.3">
      <c r="A513" s="2678">
        <v>43049</v>
      </c>
      <c r="B513" s="2677">
        <v>275281</v>
      </c>
      <c r="C513" s="2677">
        <v>275660</v>
      </c>
      <c r="D513" s="2677">
        <v>273213</v>
      </c>
      <c r="E513" s="2677">
        <v>275660</v>
      </c>
      <c r="F513" s="2677">
        <v>275660</v>
      </c>
      <c r="G513" s="2677">
        <v>200</v>
      </c>
    </row>
    <row r="514" spans="1:7" x14ac:dyDescent="0.3">
      <c r="A514" s="2678">
        <v>43052</v>
      </c>
      <c r="B514" s="2677">
        <v>275200</v>
      </c>
      <c r="C514" s="2677">
        <v>277290</v>
      </c>
      <c r="D514" s="2677">
        <v>274815</v>
      </c>
      <c r="E514" s="2677">
        <v>276347</v>
      </c>
      <c r="F514" s="2677">
        <v>276347</v>
      </c>
      <c r="G514" s="2677">
        <v>100</v>
      </c>
    </row>
    <row r="515" spans="1:7" x14ac:dyDescent="0.3">
      <c r="A515" s="2678">
        <v>43053</v>
      </c>
      <c r="B515" s="2677">
        <v>275570</v>
      </c>
      <c r="C515" s="2677">
        <v>275860</v>
      </c>
      <c r="D515" s="2677">
        <v>273930</v>
      </c>
      <c r="E515" s="2677">
        <v>274810</v>
      </c>
      <c r="F515" s="2677">
        <v>274810</v>
      </c>
      <c r="G515" s="2677">
        <v>200</v>
      </c>
    </row>
    <row r="516" spans="1:7" x14ac:dyDescent="0.3">
      <c r="A516" s="2678">
        <v>43054</v>
      </c>
      <c r="B516" s="2677">
        <v>273700</v>
      </c>
      <c r="C516" s="2677">
        <v>274110</v>
      </c>
      <c r="D516" s="2677">
        <v>272150</v>
      </c>
      <c r="E516" s="2677">
        <v>272730</v>
      </c>
      <c r="F516" s="2677">
        <v>272730</v>
      </c>
      <c r="G516" s="2677">
        <v>200</v>
      </c>
    </row>
    <row r="517" spans="1:7" x14ac:dyDescent="0.3">
      <c r="A517" s="2678">
        <v>43055</v>
      </c>
      <c r="B517" s="2677">
        <v>273680</v>
      </c>
      <c r="C517" s="2677">
        <v>275200</v>
      </c>
      <c r="D517" s="2677">
        <v>272660</v>
      </c>
      <c r="E517" s="2677">
        <v>272700</v>
      </c>
      <c r="F517" s="2677">
        <v>272700</v>
      </c>
      <c r="G517" s="2677">
        <v>100</v>
      </c>
    </row>
    <row r="518" spans="1:7" x14ac:dyDescent="0.3">
      <c r="A518" s="2678">
        <v>43056</v>
      </c>
      <c r="B518" s="2677">
        <v>272300</v>
      </c>
      <c r="C518" s="2677">
        <v>272540</v>
      </c>
      <c r="D518" s="2677">
        <v>270250</v>
      </c>
      <c r="E518" s="2677">
        <v>271410</v>
      </c>
      <c r="F518" s="2677">
        <v>271410</v>
      </c>
      <c r="G518" s="2677">
        <v>300</v>
      </c>
    </row>
    <row r="519" spans="1:7" x14ac:dyDescent="0.3">
      <c r="A519" s="2678">
        <v>43059</v>
      </c>
      <c r="B519" s="2677">
        <v>271640</v>
      </c>
      <c r="C519" s="2677">
        <v>272950</v>
      </c>
      <c r="D519" s="2677">
        <v>270800</v>
      </c>
      <c r="E519" s="2677">
        <v>272005</v>
      </c>
      <c r="F519" s="2677">
        <v>272005</v>
      </c>
      <c r="G519" s="2677">
        <v>100</v>
      </c>
    </row>
    <row r="520" spans="1:7" x14ac:dyDescent="0.3">
      <c r="A520" s="2678">
        <v>43060</v>
      </c>
      <c r="B520" s="2677">
        <v>272600</v>
      </c>
      <c r="C520" s="2677">
        <v>275258</v>
      </c>
      <c r="D520" s="2677">
        <v>272600</v>
      </c>
      <c r="E520" s="2677">
        <v>275000</v>
      </c>
      <c r="F520" s="2677">
        <v>275000</v>
      </c>
      <c r="G520" s="2677">
        <v>300</v>
      </c>
    </row>
    <row r="521" spans="1:7" x14ac:dyDescent="0.3">
      <c r="A521" s="2678">
        <v>43061</v>
      </c>
      <c r="B521" s="2677">
        <v>275050</v>
      </c>
      <c r="C521" s="2677">
        <v>275050</v>
      </c>
      <c r="D521" s="2677">
        <v>273390</v>
      </c>
      <c r="E521" s="2677">
        <v>275000</v>
      </c>
      <c r="F521" s="2677">
        <v>275000</v>
      </c>
      <c r="G521" s="2677">
        <v>600</v>
      </c>
    </row>
    <row r="522" spans="1:7" x14ac:dyDescent="0.3">
      <c r="A522" s="2678">
        <v>43063</v>
      </c>
      <c r="B522" s="2677">
        <v>274800</v>
      </c>
      <c r="C522" s="2677">
        <v>275220</v>
      </c>
      <c r="D522" s="2677">
        <v>274000</v>
      </c>
      <c r="E522" s="2677">
        <v>274417</v>
      </c>
      <c r="F522" s="2677">
        <v>274417</v>
      </c>
      <c r="G522" s="2677">
        <v>200</v>
      </c>
    </row>
    <row r="523" spans="1:7" x14ac:dyDescent="0.3">
      <c r="A523" s="2678">
        <v>43066</v>
      </c>
      <c r="B523" s="2677">
        <v>275000</v>
      </c>
      <c r="C523" s="2677">
        <v>276470</v>
      </c>
      <c r="D523" s="2677">
        <v>274450</v>
      </c>
      <c r="E523" s="2677">
        <v>276230</v>
      </c>
      <c r="F523" s="2677">
        <v>276230</v>
      </c>
      <c r="G523" s="2677">
        <v>300</v>
      </c>
    </row>
    <row r="524" spans="1:7" x14ac:dyDescent="0.3">
      <c r="A524" s="2678">
        <v>43067</v>
      </c>
      <c r="B524" s="2677">
        <v>276540</v>
      </c>
      <c r="C524" s="2677">
        <v>281876</v>
      </c>
      <c r="D524" s="2677">
        <v>276540</v>
      </c>
      <c r="E524" s="2677">
        <v>280440</v>
      </c>
      <c r="F524" s="2677">
        <v>280440</v>
      </c>
      <c r="G524" s="2677">
        <v>400</v>
      </c>
    </row>
    <row r="525" spans="1:7" x14ac:dyDescent="0.3">
      <c r="A525" s="2678">
        <v>43068</v>
      </c>
      <c r="B525" s="2677">
        <v>281700</v>
      </c>
      <c r="C525" s="2677">
        <v>287900</v>
      </c>
      <c r="D525" s="2677">
        <v>281700</v>
      </c>
      <c r="E525" s="2677">
        <v>284900</v>
      </c>
      <c r="F525" s="2677">
        <v>284900</v>
      </c>
      <c r="G525" s="2677">
        <v>500</v>
      </c>
    </row>
    <row r="526" spans="1:7" x14ac:dyDescent="0.3">
      <c r="A526" s="2678">
        <v>43069</v>
      </c>
      <c r="B526" s="2677">
        <v>284650</v>
      </c>
      <c r="C526" s="2677">
        <v>291500</v>
      </c>
      <c r="D526" s="2677">
        <v>284650</v>
      </c>
      <c r="E526" s="2677">
        <v>291500</v>
      </c>
      <c r="F526" s="2677">
        <v>291500</v>
      </c>
      <c r="G526" s="2677">
        <v>600</v>
      </c>
    </row>
    <row r="527" spans="1:7" x14ac:dyDescent="0.3">
      <c r="A527" s="2678">
        <v>43070</v>
      </c>
      <c r="B527" s="2677">
        <v>290634</v>
      </c>
      <c r="C527" s="2677">
        <v>292170</v>
      </c>
      <c r="D527" s="2677">
        <v>284750</v>
      </c>
      <c r="E527" s="2677">
        <v>291000</v>
      </c>
      <c r="F527" s="2677">
        <v>291000</v>
      </c>
      <c r="G527" s="2677">
        <v>500</v>
      </c>
    </row>
    <row r="528" spans="1:7" x14ac:dyDescent="0.3">
      <c r="A528" s="2678">
        <v>43073</v>
      </c>
      <c r="B528" s="2677">
        <v>294450</v>
      </c>
      <c r="C528" s="2677">
        <v>299080</v>
      </c>
      <c r="D528" s="2677">
        <v>294450</v>
      </c>
      <c r="E528" s="2677">
        <v>295490</v>
      </c>
      <c r="F528" s="2677">
        <v>295490</v>
      </c>
      <c r="G528" s="2677">
        <v>600</v>
      </c>
    </row>
    <row r="529" spans="1:7" x14ac:dyDescent="0.3">
      <c r="A529" s="2678">
        <v>43074</v>
      </c>
      <c r="B529" s="2677">
        <v>297000</v>
      </c>
      <c r="C529" s="2677">
        <v>297000</v>
      </c>
      <c r="D529" s="2677">
        <v>293320</v>
      </c>
      <c r="E529" s="2677">
        <v>294105</v>
      </c>
      <c r="F529" s="2677">
        <v>294105</v>
      </c>
      <c r="G529" s="2677">
        <v>400</v>
      </c>
    </row>
    <row r="530" spans="1:7" x14ac:dyDescent="0.3">
      <c r="A530" s="2678">
        <v>43075</v>
      </c>
      <c r="B530" s="2677">
        <v>293581</v>
      </c>
      <c r="C530" s="2677">
        <v>295130</v>
      </c>
      <c r="D530" s="2677">
        <v>292300</v>
      </c>
      <c r="E530" s="2677">
        <v>294146</v>
      </c>
      <c r="F530" s="2677">
        <v>294146</v>
      </c>
      <c r="G530" s="2677">
        <v>200</v>
      </c>
    </row>
    <row r="531" spans="1:7" x14ac:dyDescent="0.3">
      <c r="A531" s="2678">
        <v>43076</v>
      </c>
      <c r="B531" s="2677">
        <v>294000</v>
      </c>
      <c r="C531" s="2677">
        <v>295000</v>
      </c>
      <c r="D531" s="2677">
        <v>292580</v>
      </c>
      <c r="E531" s="2677">
        <v>294100</v>
      </c>
      <c r="F531" s="2677">
        <v>294100</v>
      </c>
      <c r="G531" s="2677">
        <v>100</v>
      </c>
    </row>
    <row r="532" spans="1:7" x14ac:dyDescent="0.3">
      <c r="A532" s="2678">
        <v>43077</v>
      </c>
      <c r="B532" s="2677">
        <v>295320</v>
      </c>
      <c r="C532" s="2677">
        <v>295560</v>
      </c>
      <c r="D532" s="2677">
        <v>292910</v>
      </c>
      <c r="E532" s="2677">
        <v>294385</v>
      </c>
      <c r="F532" s="2677">
        <v>294385</v>
      </c>
      <c r="G532" s="2677">
        <v>200</v>
      </c>
    </row>
    <row r="533" spans="1:7" x14ac:dyDescent="0.3">
      <c r="A533" s="2678">
        <v>43080</v>
      </c>
      <c r="B533" s="2677">
        <v>295021</v>
      </c>
      <c r="C533" s="2677">
        <v>295480</v>
      </c>
      <c r="D533" s="2677">
        <v>293100</v>
      </c>
      <c r="E533" s="2677">
        <v>295480</v>
      </c>
      <c r="F533" s="2677">
        <v>295480</v>
      </c>
      <c r="G533" s="2677">
        <v>400</v>
      </c>
    </row>
    <row r="534" spans="1:7" x14ac:dyDescent="0.3">
      <c r="A534" s="2678">
        <v>43081</v>
      </c>
      <c r="B534" s="2677">
        <v>296500</v>
      </c>
      <c r="C534" s="2677">
        <v>299790</v>
      </c>
      <c r="D534" s="2677">
        <v>296000</v>
      </c>
      <c r="E534" s="2677">
        <v>298630</v>
      </c>
      <c r="F534" s="2677">
        <v>298630</v>
      </c>
      <c r="G534" s="2677">
        <v>300</v>
      </c>
    </row>
    <row r="535" spans="1:7" x14ac:dyDescent="0.3">
      <c r="A535" s="2678">
        <v>43082</v>
      </c>
      <c r="B535" s="2677">
        <v>298180</v>
      </c>
      <c r="C535" s="2677">
        <v>299320</v>
      </c>
      <c r="D535" s="2677">
        <v>296026</v>
      </c>
      <c r="E535" s="2677">
        <v>296180</v>
      </c>
      <c r="F535" s="2677">
        <v>296180</v>
      </c>
      <c r="G535" s="2677">
        <v>300</v>
      </c>
    </row>
    <row r="536" spans="1:7" x14ac:dyDescent="0.3">
      <c r="A536" s="2678">
        <v>43083</v>
      </c>
      <c r="B536" s="2677">
        <v>296750</v>
      </c>
      <c r="C536" s="2677">
        <v>297000</v>
      </c>
      <c r="D536" s="2677">
        <v>293990</v>
      </c>
      <c r="E536" s="2677">
        <v>295815</v>
      </c>
      <c r="F536" s="2677">
        <v>295815</v>
      </c>
      <c r="G536" s="2677">
        <v>200</v>
      </c>
    </row>
    <row r="537" spans="1:7" x14ac:dyDescent="0.3">
      <c r="A537" s="2678">
        <v>43084</v>
      </c>
      <c r="B537" s="2677">
        <v>297080</v>
      </c>
      <c r="C537" s="2677">
        <v>298880</v>
      </c>
      <c r="D537" s="2677">
        <v>296080</v>
      </c>
      <c r="E537" s="2677">
        <v>296280</v>
      </c>
      <c r="F537" s="2677">
        <v>296280</v>
      </c>
      <c r="G537" s="2677">
        <v>500</v>
      </c>
    </row>
    <row r="538" spans="1:7" x14ac:dyDescent="0.3">
      <c r="A538" s="2678">
        <v>43087</v>
      </c>
      <c r="B538" s="2677">
        <v>298150</v>
      </c>
      <c r="C538" s="2677">
        <v>300300</v>
      </c>
      <c r="D538" s="2677">
        <v>298150</v>
      </c>
      <c r="E538" s="2677">
        <v>299360</v>
      </c>
      <c r="F538" s="2677">
        <v>299360</v>
      </c>
      <c r="G538" s="2677">
        <v>400</v>
      </c>
    </row>
    <row r="539" spans="1:7" x14ac:dyDescent="0.3">
      <c r="A539" s="2678">
        <v>43088</v>
      </c>
      <c r="B539" s="2677">
        <v>301000</v>
      </c>
      <c r="C539" s="2677">
        <v>301000</v>
      </c>
      <c r="D539" s="2677">
        <v>296740</v>
      </c>
      <c r="E539" s="2677">
        <v>296992</v>
      </c>
      <c r="F539" s="2677">
        <v>296992</v>
      </c>
      <c r="G539" s="2677">
        <v>400</v>
      </c>
    </row>
    <row r="540" spans="1:7" x14ac:dyDescent="0.3">
      <c r="A540" s="2678">
        <v>43089</v>
      </c>
      <c r="B540" s="2677">
        <v>298600</v>
      </c>
      <c r="C540" s="2677">
        <v>299990</v>
      </c>
      <c r="D540" s="2677">
        <v>296260</v>
      </c>
      <c r="E540" s="2677">
        <v>296500</v>
      </c>
      <c r="F540" s="2677">
        <v>296500</v>
      </c>
      <c r="G540" s="2677">
        <v>400</v>
      </c>
    </row>
    <row r="541" spans="1:7" x14ac:dyDescent="0.3">
      <c r="A541" s="2678">
        <v>43090</v>
      </c>
      <c r="B541" s="2677">
        <v>297560</v>
      </c>
      <c r="C541" s="2677">
        <v>299200</v>
      </c>
      <c r="D541" s="2677">
        <v>297260</v>
      </c>
      <c r="E541" s="2677">
        <v>298200</v>
      </c>
      <c r="F541" s="2677">
        <v>298200</v>
      </c>
      <c r="G541" s="2677">
        <v>200</v>
      </c>
    </row>
    <row r="542" spans="1:7" x14ac:dyDescent="0.3">
      <c r="A542" s="2678">
        <v>43091</v>
      </c>
      <c r="B542" s="2677">
        <v>298650</v>
      </c>
      <c r="C542" s="2677">
        <v>298829</v>
      </c>
      <c r="D542" s="2677">
        <v>295710</v>
      </c>
      <c r="E542" s="2677">
        <v>296400</v>
      </c>
      <c r="F542" s="2677">
        <v>296400</v>
      </c>
      <c r="G542" s="2677">
        <v>200</v>
      </c>
    </row>
    <row r="543" spans="1:7" x14ac:dyDescent="0.3">
      <c r="A543" s="2678">
        <v>43095</v>
      </c>
      <c r="B543" s="2677">
        <v>296400</v>
      </c>
      <c r="C543" s="2677">
        <v>297800</v>
      </c>
      <c r="D543" s="2677">
        <v>296000</v>
      </c>
      <c r="E543" s="2677">
        <v>296370</v>
      </c>
      <c r="F543" s="2677">
        <v>296370</v>
      </c>
      <c r="G543" s="2677">
        <v>100</v>
      </c>
    </row>
    <row r="544" spans="1:7" x14ac:dyDescent="0.3">
      <c r="A544" s="2678">
        <v>43096</v>
      </c>
      <c r="B544" s="2677">
        <v>296020</v>
      </c>
      <c r="C544" s="2677">
        <v>298120</v>
      </c>
      <c r="D544" s="2677">
        <v>296000</v>
      </c>
      <c r="E544" s="2677">
        <v>298120</v>
      </c>
      <c r="F544" s="2677">
        <v>298120</v>
      </c>
      <c r="G544" s="2677">
        <v>100</v>
      </c>
    </row>
    <row r="545" spans="1:10" x14ac:dyDescent="0.3">
      <c r="A545" s="2678">
        <v>43097</v>
      </c>
      <c r="B545" s="2677">
        <v>298611</v>
      </c>
      <c r="C545" s="2677">
        <v>299910</v>
      </c>
      <c r="D545" s="2677">
        <v>298200</v>
      </c>
      <c r="E545" s="2677">
        <v>299210</v>
      </c>
      <c r="F545" s="2677">
        <v>299210</v>
      </c>
      <c r="G545" s="2677">
        <v>200</v>
      </c>
    </row>
    <row r="546" spans="1:10" x14ac:dyDescent="0.3">
      <c r="A546" s="2678">
        <v>43098</v>
      </c>
      <c r="B546" s="2677">
        <v>300000</v>
      </c>
      <c r="C546" s="2677">
        <v>300000</v>
      </c>
      <c r="D546" s="2677">
        <v>297540</v>
      </c>
      <c r="E546" s="2677">
        <v>297600</v>
      </c>
      <c r="F546" s="2677">
        <v>297600</v>
      </c>
      <c r="G546" s="2677">
        <v>300</v>
      </c>
    </row>
    <row r="547" spans="1:10" x14ac:dyDescent="0.3">
      <c r="A547" s="2678">
        <v>43102</v>
      </c>
      <c r="B547" s="2677">
        <v>297400</v>
      </c>
      <c r="C547" s="2677">
        <v>298000</v>
      </c>
      <c r="D547" s="2677">
        <v>294000</v>
      </c>
      <c r="E547" s="2677">
        <v>295755</v>
      </c>
      <c r="F547" s="2677">
        <v>295755</v>
      </c>
      <c r="G547" s="2677">
        <v>300</v>
      </c>
      <c r="I547" s="2677">
        <f>MAX(C547:C607)</f>
        <v>326350</v>
      </c>
      <c r="J547" s="2677">
        <f>MIN(D547:D607)</f>
        <v>285250</v>
      </c>
    </row>
    <row r="548" spans="1:10" x14ac:dyDescent="0.3">
      <c r="A548" s="2678">
        <v>43103</v>
      </c>
      <c r="B548" s="2677">
        <v>296200</v>
      </c>
      <c r="C548" s="2677">
        <v>299920</v>
      </c>
      <c r="D548" s="2677">
        <v>295801</v>
      </c>
      <c r="E548" s="2677">
        <v>299905</v>
      </c>
      <c r="F548" s="2677">
        <v>299905</v>
      </c>
      <c r="G548" s="2677">
        <v>200</v>
      </c>
    </row>
    <row r="549" spans="1:10" x14ac:dyDescent="0.3">
      <c r="A549" s="2678">
        <v>43104</v>
      </c>
      <c r="B549" s="2677">
        <v>300450</v>
      </c>
      <c r="C549" s="2677">
        <v>302980</v>
      </c>
      <c r="D549" s="2677">
        <v>300000</v>
      </c>
      <c r="E549" s="2677">
        <v>300516</v>
      </c>
      <c r="F549" s="2677">
        <v>300516</v>
      </c>
      <c r="G549" s="2677">
        <v>500</v>
      </c>
    </row>
    <row r="550" spans="1:10" x14ac:dyDescent="0.3">
      <c r="A550" s="2678">
        <v>43105</v>
      </c>
      <c r="B550" s="2677">
        <v>302200</v>
      </c>
      <c r="C550" s="2677">
        <v>302430</v>
      </c>
      <c r="D550" s="2677">
        <v>297900</v>
      </c>
      <c r="E550" s="2677">
        <v>301525</v>
      </c>
      <c r="F550" s="2677">
        <v>301525</v>
      </c>
      <c r="G550" s="2677">
        <v>300</v>
      </c>
    </row>
    <row r="551" spans="1:10" x14ac:dyDescent="0.3">
      <c r="A551" s="2678">
        <v>43108</v>
      </c>
      <c r="B551" s="2677">
        <v>299500</v>
      </c>
      <c r="C551" s="2677">
        <v>304530</v>
      </c>
      <c r="D551" s="2677">
        <v>299500</v>
      </c>
      <c r="E551" s="2677">
        <v>304180</v>
      </c>
      <c r="F551" s="2677">
        <v>304180</v>
      </c>
      <c r="G551" s="2677">
        <v>500</v>
      </c>
    </row>
    <row r="552" spans="1:10" x14ac:dyDescent="0.3">
      <c r="A552" s="2678">
        <v>43109</v>
      </c>
      <c r="B552" s="2677">
        <v>305784</v>
      </c>
      <c r="C552" s="2677">
        <v>306280</v>
      </c>
      <c r="D552" s="2677">
        <v>303880</v>
      </c>
      <c r="E552" s="2677">
        <v>304500</v>
      </c>
      <c r="F552" s="2677">
        <v>304500</v>
      </c>
      <c r="G552" s="2677">
        <v>600</v>
      </c>
    </row>
    <row r="553" spans="1:10" x14ac:dyDescent="0.3">
      <c r="A553" s="2678">
        <v>43110</v>
      </c>
      <c r="B553" s="2677">
        <v>304625</v>
      </c>
      <c r="C553" s="2677">
        <v>308600</v>
      </c>
      <c r="D553" s="2677">
        <v>303930</v>
      </c>
      <c r="E553" s="2677">
        <v>308350</v>
      </c>
      <c r="F553" s="2677">
        <v>308350</v>
      </c>
      <c r="G553" s="2677">
        <v>400</v>
      </c>
    </row>
    <row r="554" spans="1:10" x14ac:dyDescent="0.3">
      <c r="A554" s="2678">
        <v>43111</v>
      </c>
      <c r="B554" s="2677">
        <v>309000</v>
      </c>
      <c r="C554" s="2677">
        <v>310760</v>
      </c>
      <c r="D554" s="2677">
        <v>308800</v>
      </c>
      <c r="E554" s="2677">
        <v>309950</v>
      </c>
      <c r="F554" s="2677">
        <v>309950</v>
      </c>
      <c r="G554" s="2677">
        <v>400</v>
      </c>
    </row>
    <row r="555" spans="1:10" x14ac:dyDescent="0.3">
      <c r="A555" s="2678">
        <v>43112</v>
      </c>
      <c r="B555" s="2677">
        <v>310100</v>
      </c>
      <c r="C555" s="2677">
        <v>315390</v>
      </c>
      <c r="D555" s="2677">
        <v>309910</v>
      </c>
      <c r="E555" s="2677">
        <v>315225</v>
      </c>
      <c r="F555" s="2677">
        <v>315225</v>
      </c>
      <c r="G555" s="2677">
        <v>400</v>
      </c>
    </row>
    <row r="556" spans="1:10" x14ac:dyDescent="0.3">
      <c r="A556" s="2678">
        <v>43116</v>
      </c>
      <c r="B556" s="2677">
        <v>319620</v>
      </c>
      <c r="C556" s="2677">
        <v>321060</v>
      </c>
      <c r="D556" s="2677">
        <v>313980</v>
      </c>
      <c r="E556" s="2677">
        <v>315261</v>
      </c>
      <c r="F556" s="2677">
        <v>315261</v>
      </c>
      <c r="G556" s="2677">
        <v>500</v>
      </c>
    </row>
    <row r="557" spans="1:10" x14ac:dyDescent="0.3">
      <c r="A557" s="2678">
        <v>43117</v>
      </c>
      <c r="B557" s="2677">
        <v>317800</v>
      </c>
      <c r="C557" s="2677">
        <v>323630</v>
      </c>
      <c r="D557" s="2677">
        <v>315561</v>
      </c>
      <c r="E557" s="2677">
        <v>321469</v>
      </c>
      <c r="F557" s="2677">
        <v>321469</v>
      </c>
      <c r="G557" s="2677">
        <v>300</v>
      </c>
    </row>
    <row r="558" spans="1:10" x14ac:dyDescent="0.3">
      <c r="A558" s="2678">
        <v>43118</v>
      </c>
      <c r="B558" s="2677">
        <v>324300</v>
      </c>
      <c r="C558" s="2677">
        <v>324300</v>
      </c>
      <c r="D558" s="2677">
        <v>319620</v>
      </c>
      <c r="E558" s="2677">
        <v>320000</v>
      </c>
      <c r="F558" s="2677">
        <v>320000</v>
      </c>
      <c r="G558" s="2677">
        <v>600</v>
      </c>
    </row>
    <row r="559" spans="1:10" x14ac:dyDescent="0.3">
      <c r="A559" s="2678">
        <v>43119</v>
      </c>
      <c r="B559" s="2677">
        <v>320800</v>
      </c>
      <c r="C559" s="2677">
        <v>321000</v>
      </c>
      <c r="D559" s="2677">
        <v>318191</v>
      </c>
      <c r="E559" s="2677">
        <v>320238</v>
      </c>
      <c r="F559" s="2677">
        <v>320238</v>
      </c>
      <c r="G559" s="2677">
        <v>400</v>
      </c>
    </row>
    <row r="560" spans="1:10" x14ac:dyDescent="0.3">
      <c r="A560" s="2678">
        <v>43122</v>
      </c>
      <c r="B560" s="2677">
        <v>320130</v>
      </c>
      <c r="C560" s="2677">
        <v>324064</v>
      </c>
      <c r="D560" s="2677">
        <v>320085</v>
      </c>
      <c r="E560" s="2677">
        <v>324064</v>
      </c>
      <c r="F560" s="2677">
        <v>324064</v>
      </c>
      <c r="G560" s="2677">
        <v>400</v>
      </c>
    </row>
    <row r="561" spans="1:7" x14ac:dyDescent="0.3">
      <c r="A561" s="2678">
        <v>43123</v>
      </c>
      <c r="B561" s="2677">
        <v>324500</v>
      </c>
      <c r="C561" s="2677">
        <v>324619</v>
      </c>
      <c r="D561" s="2677">
        <v>319393</v>
      </c>
      <c r="E561" s="2677">
        <v>322885</v>
      </c>
      <c r="F561" s="2677">
        <v>322885</v>
      </c>
      <c r="G561" s="2677">
        <v>400</v>
      </c>
    </row>
    <row r="562" spans="1:7" x14ac:dyDescent="0.3">
      <c r="A562" s="2678">
        <v>43124</v>
      </c>
      <c r="B562" s="2677">
        <v>323551</v>
      </c>
      <c r="C562" s="2677">
        <v>325230</v>
      </c>
      <c r="D562" s="2677">
        <v>322000</v>
      </c>
      <c r="E562" s="2677">
        <v>323480</v>
      </c>
      <c r="F562" s="2677">
        <v>323480</v>
      </c>
      <c r="G562" s="2677">
        <v>300</v>
      </c>
    </row>
    <row r="563" spans="1:7" x14ac:dyDescent="0.3">
      <c r="A563" s="2678">
        <v>43125</v>
      </c>
      <c r="B563" s="2677">
        <v>324600</v>
      </c>
      <c r="C563" s="2677">
        <v>324600</v>
      </c>
      <c r="D563" s="2677">
        <v>321520</v>
      </c>
      <c r="E563" s="2677">
        <v>322850</v>
      </c>
      <c r="F563" s="2677">
        <v>322850</v>
      </c>
      <c r="G563" s="2677">
        <v>200</v>
      </c>
    </row>
    <row r="564" spans="1:7" x14ac:dyDescent="0.3">
      <c r="A564" s="2678">
        <v>43126</v>
      </c>
      <c r="B564" s="2677">
        <v>323100</v>
      </c>
      <c r="C564" s="2677">
        <v>325915</v>
      </c>
      <c r="D564" s="2677">
        <v>323100</v>
      </c>
      <c r="E564" s="2677">
        <v>325915</v>
      </c>
      <c r="F564" s="2677">
        <v>325915</v>
      </c>
      <c r="G564" s="2677">
        <v>400</v>
      </c>
    </row>
    <row r="565" spans="1:7" x14ac:dyDescent="0.3">
      <c r="A565" s="2678">
        <v>43129</v>
      </c>
      <c r="B565" s="2677">
        <v>325650</v>
      </c>
      <c r="C565" s="2677">
        <v>326350</v>
      </c>
      <c r="D565" s="2677">
        <v>322910</v>
      </c>
      <c r="E565" s="2677">
        <v>323500</v>
      </c>
      <c r="F565" s="2677">
        <v>323500</v>
      </c>
      <c r="G565" s="2677">
        <v>200</v>
      </c>
    </row>
    <row r="566" spans="1:7" x14ac:dyDescent="0.3">
      <c r="A566" s="2678">
        <v>43130</v>
      </c>
      <c r="B566" s="2677">
        <v>322480</v>
      </c>
      <c r="C566" s="2677">
        <v>324915</v>
      </c>
      <c r="D566" s="2677">
        <v>322155</v>
      </c>
      <c r="E566" s="2677">
        <v>323000</v>
      </c>
      <c r="F566" s="2677">
        <v>323000</v>
      </c>
      <c r="G566" s="2677">
        <v>900</v>
      </c>
    </row>
    <row r="567" spans="1:7" x14ac:dyDescent="0.3">
      <c r="A567" s="2678">
        <v>43131</v>
      </c>
      <c r="B567" s="2677">
        <v>323000</v>
      </c>
      <c r="C567" s="2677">
        <v>323500</v>
      </c>
      <c r="D567" s="2677">
        <v>321010</v>
      </c>
      <c r="E567" s="2677">
        <v>323375</v>
      </c>
      <c r="F567" s="2677">
        <v>323375</v>
      </c>
      <c r="G567" s="2677">
        <v>600</v>
      </c>
    </row>
    <row r="568" spans="1:7" x14ac:dyDescent="0.3">
      <c r="A568" s="2678">
        <v>43132</v>
      </c>
      <c r="B568" s="2677">
        <v>322300</v>
      </c>
      <c r="C568" s="2677">
        <v>326110</v>
      </c>
      <c r="D568" s="2677">
        <v>322000</v>
      </c>
      <c r="E568" s="2677">
        <v>325900</v>
      </c>
      <c r="F568" s="2677">
        <v>325900</v>
      </c>
      <c r="G568" s="2677">
        <v>400</v>
      </c>
    </row>
    <row r="569" spans="1:7" x14ac:dyDescent="0.3">
      <c r="A569" s="2678">
        <v>43133</v>
      </c>
      <c r="B569" s="2677">
        <v>324351</v>
      </c>
      <c r="C569" s="2677">
        <v>324380</v>
      </c>
      <c r="D569" s="2677">
        <v>312030</v>
      </c>
      <c r="E569" s="2677">
        <v>314340</v>
      </c>
      <c r="F569" s="2677">
        <v>314340</v>
      </c>
      <c r="G569" s="2677">
        <v>600</v>
      </c>
    </row>
    <row r="570" spans="1:7" x14ac:dyDescent="0.3">
      <c r="A570" s="2678">
        <v>43136</v>
      </c>
      <c r="B570" s="2677">
        <v>308500</v>
      </c>
      <c r="C570" s="2677">
        <v>311850</v>
      </c>
      <c r="D570" s="2677">
        <v>295000</v>
      </c>
      <c r="E570" s="2677">
        <v>295600</v>
      </c>
      <c r="F570" s="2677">
        <v>295600</v>
      </c>
      <c r="G570" s="2677">
        <v>1000</v>
      </c>
    </row>
    <row r="571" spans="1:7" x14ac:dyDescent="0.3">
      <c r="A571" s="2678">
        <v>43137</v>
      </c>
      <c r="B571" s="2677">
        <v>293150</v>
      </c>
      <c r="C571" s="2677">
        <v>303431</v>
      </c>
      <c r="D571" s="2677">
        <v>288540</v>
      </c>
      <c r="E571" s="2677">
        <v>303000</v>
      </c>
      <c r="F571" s="2677">
        <v>303000</v>
      </c>
      <c r="G571" s="2677">
        <v>1200</v>
      </c>
    </row>
    <row r="572" spans="1:7" x14ac:dyDescent="0.3">
      <c r="A572" s="2678">
        <v>43138</v>
      </c>
      <c r="B572" s="2677">
        <v>304200</v>
      </c>
      <c r="C572" s="2677">
        <v>306710</v>
      </c>
      <c r="D572" s="2677">
        <v>301000</v>
      </c>
      <c r="E572" s="2677">
        <v>301000</v>
      </c>
      <c r="F572" s="2677">
        <v>301000</v>
      </c>
      <c r="G572" s="2677">
        <v>500</v>
      </c>
    </row>
    <row r="573" spans="1:7" x14ac:dyDescent="0.3">
      <c r="A573" s="2678">
        <v>43139</v>
      </c>
      <c r="B573" s="2677">
        <v>301190</v>
      </c>
      <c r="C573" s="2677">
        <v>301190</v>
      </c>
      <c r="D573" s="2677">
        <v>288000</v>
      </c>
      <c r="E573" s="2677">
        <v>288000</v>
      </c>
      <c r="F573" s="2677">
        <v>288000</v>
      </c>
      <c r="G573" s="2677">
        <v>600</v>
      </c>
    </row>
    <row r="574" spans="1:7" x14ac:dyDescent="0.3">
      <c r="A574" s="2678">
        <v>43140</v>
      </c>
      <c r="B574" s="2677">
        <v>293859</v>
      </c>
      <c r="C574" s="2677">
        <v>296296</v>
      </c>
      <c r="D574" s="2677">
        <v>285250</v>
      </c>
      <c r="E574" s="2677">
        <v>294140</v>
      </c>
      <c r="F574" s="2677">
        <v>294140</v>
      </c>
      <c r="G574" s="2677">
        <v>900</v>
      </c>
    </row>
    <row r="575" spans="1:7" x14ac:dyDescent="0.3">
      <c r="A575" s="2678">
        <v>43143</v>
      </c>
      <c r="B575" s="2677">
        <v>298100</v>
      </c>
      <c r="C575" s="2677">
        <v>301020</v>
      </c>
      <c r="D575" s="2677">
        <v>295000</v>
      </c>
      <c r="E575" s="2677">
        <v>298940</v>
      </c>
      <c r="F575" s="2677">
        <v>298940</v>
      </c>
      <c r="G575" s="2677">
        <v>400</v>
      </c>
    </row>
    <row r="576" spans="1:7" x14ac:dyDescent="0.3">
      <c r="A576" s="2678">
        <v>43144</v>
      </c>
      <c r="B576" s="2677">
        <v>296400</v>
      </c>
      <c r="C576" s="2677">
        <v>298508</v>
      </c>
      <c r="D576" s="2677">
        <v>294500</v>
      </c>
      <c r="E576" s="2677">
        <v>297500</v>
      </c>
      <c r="F576" s="2677">
        <v>297500</v>
      </c>
      <c r="G576" s="2677">
        <v>300</v>
      </c>
    </row>
    <row r="577" spans="1:7" x14ac:dyDescent="0.3">
      <c r="A577" s="2678">
        <v>43145</v>
      </c>
      <c r="B577" s="2677">
        <v>295960</v>
      </c>
      <c r="C577" s="2677">
        <v>301180</v>
      </c>
      <c r="D577" s="2677">
        <v>294458</v>
      </c>
      <c r="E577" s="2677">
        <v>301005</v>
      </c>
      <c r="F577" s="2677">
        <v>301005</v>
      </c>
      <c r="G577" s="2677">
        <v>200</v>
      </c>
    </row>
    <row r="578" spans="1:7" x14ac:dyDescent="0.3">
      <c r="A578" s="2678">
        <v>43146</v>
      </c>
      <c r="B578" s="2677">
        <v>303580</v>
      </c>
      <c r="C578" s="2677">
        <v>305999</v>
      </c>
      <c r="D578" s="2677">
        <v>301100</v>
      </c>
      <c r="E578" s="2677">
        <v>305999</v>
      </c>
      <c r="F578" s="2677">
        <v>305999</v>
      </c>
      <c r="G578" s="2677">
        <v>300</v>
      </c>
    </row>
    <row r="579" spans="1:7" x14ac:dyDescent="0.3">
      <c r="A579" s="2678">
        <v>43147</v>
      </c>
      <c r="B579" s="2677">
        <v>304650</v>
      </c>
      <c r="C579" s="2677">
        <v>309590</v>
      </c>
      <c r="D579" s="2677">
        <v>304650</v>
      </c>
      <c r="E579" s="2677">
        <v>306000</v>
      </c>
      <c r="F579" s="2677">
        <v>306000</v>
      </c>
      <c r="G579" s="2677">
        <v>400</v>
      </c>
    </row>
    <row r="580" spans="1:7" x14ac:dyDescent="0.3">
      <c r="A580" s="2678">
        <v>43151</v>
      </c>
      <c r="B580" s="2677">
        <v>305400</v>
      </c>
      <c r="C580" s="2677">
        <v>306805</v>
      </c>
      <c r="D580" s="2677">
        <v>303660</v>
      </c>
      <c r="E580" s="2677">
        <v>304904</v>
      </c>
      <c r="F580" s="2677">
        <v>304904</v>
      </c>
      <c r="G580" s="2677">
        <v>200</v>
      </c>
    </row>
    <row r="581" spans="1:7" x14ac:dyDescent="0.3">
      <c r="A581" s="2678">
        <v>43152</v>
      </c>
      <c r="B581" s="2677">
        <v>304470</v>
      </c>
      <c r="C581" s="2677">
        <v>307770</v>
      </c>
      <c r="D581" s="2677">
        <v>301240</v>
      </c>
      <c r="E581" s="2677">
        <v>301530</v>
      </c>
      <c r="F581" s="2677">
        <v>301530</v>
      </c>
      <c r="G581" s="2677">
        <v>200</v>
      </c>
    </row>
    <row r="582" spans="1:7" x14ac:dyDescent="0.3">
      <c r="A582" s="2678">
        <v>43153</v>
      </c>
      <c r="B582" s="2677">
        <v>302500</v>
      </c>
      <c r="C582" s="2677">
        <v>305020</v>
      </c>
      <c r="D582" s="2677">
        <v>300345</v>
      </c>
      <c r="E582" s="2677">
        <v>301404</v>
      </c>
      <c r="F582" s="2677">
        <v>301404</v>
      </c>
      <c r="G582" s="2677">
        <v>300</v>
      </c>
    </row>
    <row r="583" spans="1:7" x14ac:dyDescent="0.3">
      <c r="A583" s="2678">
        <v>43154</v>
      </c>
      <c r="B583" s="2677">
        <v>301860</v>
      </c>
      <c r="C583" s="2677">
        <v>306400</v>
      </c>
      <c r="D583" s="2677">
        <v>301425</v>
      </c>
      <c r="E583" s="2677">
        <v>304020</v>
      </c>
      <c r="F583" s="2677">
        <v>304020</v>
      </c>
      <c r="G583" s="2677">
        <v>400</v>
      </c>
    </row>
    <row r="584" spans="1:7" x14ac:dyDescent="0.3">
      <c r="A584" s="2678">
        <v>43157</v>
      </c>
      <c r="B584" s="2677">
        <v>311240</v>
      </c>
      <c r="C584" s="2677">
        <v>316520</v>
      </c>
      <c r="D584" s="2677">
        <v>308455</v>
      </c>
      <c r="E584" s="2677">
        <v>316126</v>
      </c>
      <c r="F584" s="2677">
        <v>316126</v>
      </c>
      <c r="G584" s="2677">
        <v>800</v>
      </c>
    </row>
    <row r="585" spans="1:7" x14ac:dyDescent="0.3">
      <c r="A585" s="2678">
        <v>43158</v>
      </c>
      <c r="B585" s="2677">
        <v>318150</v>
      </c>
      <c r="C585" s="2677">
        <v>319500</v>
      </c>
      <c r="D585" s="2677">
        <v>314345</v>
      </c>
      <c r="E585" s="2677">
        <v>314345</v>
      </c>
      <c r="F585" s="2677">
        <v>314345</v>
      </c>
      <c r="G585" s="2677">
        <v>600</v>
      </c>
    </row>
    <row r="586" spans="1:7" x14ac:dyDescent="0.3">
      <c r="A586" s="2678">
        <v>43159</v>
      </c>
      <c r="B586" s="2677">
        <v>316100</v>
      </c>
      <c r="C586" s="2677">
        <v>317410</v>
      </c>
      <c r="D586" s="2677">
        <v>310250</v>
      </c>
      <c r="E586" s="2677">
        <v>310250</v>
      </c>
      <c r="F586" s="2677">
        <v>310250</v>
      </c>
      <c r="G586" s="2677">
        <v>300</v>
      </c>
    </row>
    <row r="587" spans="1:7" x14ac:dyDescent="0.3">
      <c r="A587" s="2678">
        <v>43160</v>
      </c>
      <c r="B587" s="2677">
        <v>311000</v>
      </c>
      <c r="C587" s="2677">
        <v>313000</v>
      </c>
      <c r="D587" s="2677">
        <v>301405</v>
      </c>
      <c r="E587" s="2677">
        <v>302946</v>
      </c>
      <c r="F587" s="2677">
        <v>302946</v>
      </c>
      <c r="G587" s="2677">
        <v>400</v>
      </c>
    </row>
    <row r="588" spans="1:7" x14ac:dyDescent="0.3">
      <c r="A588" s="2678">
        <v>43161</v>
      </c>
      <c r="B588" s="2677">
        <v>300980</v>
      </c>
      <c r="C588" s="2677">
        <v>303693</v>
      </c>
      <c r="D588" s="2677">
        <v>299360</v>
      </c>
      <c r="E588" s="2677">
        <v>303100</v>
      </c>
      <c r="F588" s="2677">
        <v>303100</v>
      </c>
      <c r="G588" s="2677">
        <v>300</v>
      </c>
    </row>
    <row r="589" spans="1:7" x14ac:dyDescent="0.3">
      <c r="A589" s="2678">
        <v>43164</v>
      </c>
      <c r="B589" s="2677">
        <v>302000</v>
      </c>
      <c r="C589" s="2677">
        <v>306499</v>
      </c>
      <c r="D589" s="2677">
        <v>300240</v>
      </c>
      <c r="E589" s="2677">
        <v>304500</v>
      </c>
      <c r="F589" s="2677">
        <v>304500</v>
      </c>
      <c r="G589" s="2677">
        <v>200</v>
      </c>
    </row>
    <row r="590" spans="1:7" x14ac:dyDescent="0.3">
      <c r="A590" s="2678">
        <v>43165</v>
      </c>
      <c r="B590" s="2677">
        <v>307000</v>
      </c>
      <c r="C590" s="2677">
        <v>307499</v>
      </c>
      <c r="D590" s="2677">
        <v>304400</v>
      </c>
      <c r="E590" s="2677">
        <v>307005</v>
      </c>
      <c r="F590" s="2677">
        <v>307005</v>
      </c>
      <c r="G590" s="2677">
        <v>200</v>
      </c>
    </row>
    <row r="591" spans="1:7" x14ac:dyDescent="0.3">
      <c r="A591" s="2678">
        <v>43166</v>
      </c>
      <c r="B591" s="2677">
        <v>303900</v>
      </c>
      <c r="C591" s="2677">
        <v>307560</v>
      </c>
      <c r="D591" s="2677">
        <v>303430</v>
      </c>
      <c r="E591" s="2677">
        <v>306756</v>
      </c>
      <c r="F591" s="2677">
        <v>306756</v>
      </c>
      <c r="G591" s="2677">
        <v>200</v>
      </c>
    </row>
    <row r="592" spans="1:7" x14ac:dyDescent="0.3">
      <c r="A592" s="2678">
        <v>43167</v>
      </c>
      <c r="B592" s="2677">
        <v>306400</v>
      </c>
      <c r="C592" s="2677">
        <v>310994</v>
      </c>
      <c r="D592" s="2677">
        <v>305240</v>
      </c>
      <c r="E592" s="2677">
        <v>307700</v>
      </c>
      <c r="F592" s="2677">
        <v>307700</v>
      </c>
      <c r="G592" s="2677">
        <v>300</v>
      </c>
    </row>
    <row r="593" spans="1:10" x14ac:dyDescent="0.3">
      <c r="A593" s="2678">
        <v>43168</v>
      </c>
      <c r="B593" s="2677">
        <v>311540</v>
      </c>
      <c r="C593" s="2677">
        <v>319780</v>
      </c>
      <c r="D593" s="2677">
        <v>309355</v>
      </c>
      <c r="E593" s="2677">
        <v>319600</v>
      </c>
      <c r="F593" s="2677">
        <v>319600</v>
      </c>
      <c r="G593" s="2677">
        <v>500</v>
      </c>
    </row>
    <row r="594" spans="1:10" x14ac:dyDescent="0.3">
      <c r="A594" s="2678">
        <v>43171</v>
      </c>
      <c r="B594" s="2677">
        <v>319320</v>
      </c>
      <c r="C594" s="2677">
        <v>320000</v>
      </c>
      <c r="D594" s="2677">
        <v>317130</v>
      </c>
      <c r="E594" s="2677">
        <v>317746</v>
      </c>
      <c r="F594" s="2677">
        <v>317746</v>
      </c>
      <c r="G594" s="2677">
        <v>300</v>
      </c>
    </row>
    <row r="595" spans="1:10" x14ac:dyDescent="0.3">
      <c r="A595" s="2678">
        <v>43172</v>
      </c>
      <c r="B595" s="2677">
        <v>318020</v>
      </c>
      <c r="C595" s="2677">
        <v>319860</v>
      </c>
      <c r="D595" s="2677">
        <v>313395</v>
      </c>
      <c r="E595" s="2677">
        <v>314039</v>
      </c>
      <c r="F595" s="2677">
        <v>314039</v>
      </c>
      <c r="G595" s="2677">
        <v>400</v>
      </c>
    </row>
    <row r="596" spans="1:10" x14ac:dyDescent="0.3">
      <c r="A596" s="2678">
        <v>43173</v>
      </c>
      <c r="B596" s="2677">
        <v>315485</v>
      </c>
      <c r="C596" s="2677">
        <v>315485</v>
      </c>
      <c r="D596" s="2677">
        <v>309435</v>
      </c>
      <c r="E596" s="2677">
        <v>310655</v>
      </c>
      <c r="F596" s="2677">
        <v>310655</v>
      </c>
      <c r="G596" s="2677">
        <v>300</v>
      </c>
    </row>
    <row r="597" spans="1:10" x14ac:dyDescent="0.3">
      <c r="A597" s="2678">
        <v>43174</v>
      </c>
      <c r="B597" s="2677">
        <v>312501</v>
      </c>
      <c r="C597" s="2677">
        <v>313950</v>
      </c>
      <c r="D597" s="2677">
        <v>308000</v>
      </c>
      <c r="E597" s="2677">
        <v>311601</v>
      </c>
      <c r="F597" s="2677">
        <v>311601</v>
      </c>
      <c r="G597" s="2677">
        <v>200</v>
      </c>
    </row>
    <row r="598" spans="1:10" x14ac:dyDescent="0.3">
      <c r="A598" s="2678">
        <v>43175</v>
      </c>
      <c r="B598" s="2677">
        <v>313340</v>
      </c>
      <c r="C598" s="2677">
        <v>313340</v>
      </c>
      <c r="D598" s="2677">
        <v>309880</v>
      </c>
      <c r="E598" s="2677">
        <v>310630</v>
      </c>
      <c r="F598" s="2677">
        <v>310630</v>
      </c>
      <c r="G598" s="2677">
        <v>200</v>
      </c>
    </row>
    <row r="599" spans="1:10" x14ac:dyDescent="0.3">
      <c r="A599" s="2678">
        <v>43178</v>
      </c>
      <c r="B599" s="2677">
        <v>310400</v>
      </c>
      <c r="C599" s="2677">
        <v>310513</v>
      </c>
      <c r="D599" s="2677">
        <v>304100</v>
      </c>
      <c r="E599" s="2677">
        <v>305980</v>
      </c>
      <c r="F599" s="2677">
        <v>305980</v>
      </c>
      <c r="G599" s="2677">
        <v>300</v>
      </c>
    </row>
    <row r="600" spans="1:10" x14ac:dyDescent="0.3">
      <c r="A600" s="2678">
        <v>43179</v>
      </c>
      <c r="B600" s="2677">
        <v>307501</v>
      </c>
      <c r="C600" s="2677">
        <v>308210</v>
      </c>
      <c r="D600" s="2677">
        <v>305810</v>
      </c>
      <c r="E600" s="2677">
        <v>307100</v>
      </c>
      <c r="F600" s="2677">
        <v>307100</v>
      </c>
      <c r="G600" s="2677">
        <v>200</v>
      </c>
    </row>
    <row r="601" spans="1:10" x14ac:dyDescent="0.3">
      <c r="A601" s="2678">
        <v>43180</v>
      </c>
      <c r="B601" s="2677">
        <v>308950</v>
      </c>
      <c r="C601" s="2677">
        <v>310720</v>
      </c>
      <c r="D601" s="2677">
        <v>306020</v>
      </c>
      <c r="E601" s="2677">
        <v>307600</v>
      </c>
      <c r="F601" s="2677">
        <v>307600</v>
      </c>
      <c r="G601" s="2677">
        <v>300</v>
      </c>
    </row>
    <row r="602" spans="1:10" x14ac:dyDescent="0.3">
      <c r="A602" s="2678">
        <v>43181</v>
      </c>
      <c r="B602" s="2677">
        <v>304730</v>
      </c>
      <c r="C602" s="2677">
        <v>304730</v>
      </c>
      <c r="D602" s="2677">
        <v>295950</v>
      </c>
      <c r="E602" s="2677">
        <v>296949</v>
      </c>
      <c r="F602" s="2677">
        <v>296949</v>
      </c>
      <c r="G602" s="2677">
        <v>600</v>
      </c>
    </row>
    <row r="603" spans="1:10" x14ac:dyDescent="0.3">
      <c r="A603" s="2678">
        <v>43182</v>
      </c>
      <c r="B603" s="2677">
        <v>297440</v>
      </c>
      <c r="C603" s="2677">
        <v>298389</v>
      </c>
      <c r="D603" s="2677">
        <v>288450</v>
      </c>
      <c r="E603" s="2677">
        <v>288755</v>
      </c>
      <c r="F603" s="2677">
        <v>288755</v>
      </c>
      <c r="G603" s="2677">
        <v>500</v>
      </c>
    </row>
    <row r="604" spans="1:10" x14ac:dyDescent="0.3">
      <c r="A604" s="2678">
        <v>43185</v>
      </c>
      <c r="B604" s="2677">
        <v>295500</v>
      </c>
      <c r="C604" s="2677">
        <v>299925</v>
      </c>
      <c r="D604" s="2677">
        <v>293455</v>
      </c>
      <c r="E604" s="2677">
        <v>299500</v>
      </c>
      <c r="F604" s="2677">
        <v>299500</v>
      </c>
      <c r="G604" s="2677">
        <v>400</v>
      </c>
    </row>
    <row r="605" spans="1:10" x14ac:dyDescent="0.3">
      <c r="A605" s="2678">
        <v>43186</v>
      </c>
      <c r="B605" s="2677">
        <v>301000</v>
      </c>
      <c r="C605" s="2677">
        <v>302590</v>
      </c>
      <c r="D605" s="2677">
        <v>292380</v>
      </c>
      <c r="E605" s="2677">
        <v>294650</v>
      </c>
      <c r="F605" s="2677">
        <v>294650</v>
      </c>
      <c r="G605" s="2677">
        <v>300</v>
      </c>
    </row>
    <row r="606" spans="1:10" x14ac:dyDescent="0.3">
      <c r="A606" s="2678">
        <v>43187</v>
      </c>
      <c r="B606" s="2677">
        <v>296400</v>
      </c>
      <c r="C606" s="2677">
        <v>298145</v>
      </c>
      <c r="D606" s="2677">
        <v>291640</v>
      </c>
      <c r="E606" s="2677">
        <v>295041</v>
      </c>
      <c r="F606" s="2677">
        <v>295041</v>
      </c>
      <c r="G606" s="2677">
        <v>300</v>
      </c>
    </row>
    <row r="607" spans="1:10" x14ac:dyDescent="0.3">
      <c r="A607" s="2678">
        <v>43188</v>
      </c>
      <c r="B607" s="2677">
        <v>296540</v>
      </c>
      <c r="C607" s="2677">
        <v>301518</v>
      </c>
      <c r="D607" s="2677">
        <v>296540</v>
      </c>
      <c r="E607" s="2677">
        <v>299100</v>
      </c>
      <c r="F607" s="2677">
        <v>299100</v>
      </c>
      <c r="G607" s="2677">
        <v>300</v>
      </c>
    </row>
    <row r="608" spans="1:10" x14ac:dyDescent="0.3">
      <c r="A608" s="2678">
        <v>43192</v>
      </c>
      <c r="B608" s="2677">
        <v>298620</v>
      </c>
      <c r="C608" s="2677">
        <v>299100</v>
      </c>
      <c r="D608" s="2677">
        <v>288740</v>
      </c>
      <c r="E608" s="2677">
        <v>293410</v>
      </c>
      <c r="F608" s="2677">
        <v>293410</v>
      </c>
      <c r="G608" s="2677">
        <v>500</v>
      </c>
      <c r="I608" s="2677">
        <f>MAX(C608:C671)</f>
        <v>304200</v>
      </c>
      <c r="J608" s="2677">
        <f>MIN(D608:D671)</f>
        <v>280428</v>
      </c>
    </row>
    <row r="609" spans="1:7" x14ac:dyDescent="0.3">
      <c r="A609" s="2678">
        <v>43193</v>
      </c>
      <c r="B609" s="2677">
        <v>295480</v>
      </c>
      <c r="C609" s="2677">
        <v>297325</v>
      </c>
      <c r="D609" s="2677">
        <v>291885</v>
      </c>
      <c r="E609" s="2677">
        <v>296850</v>
      </c>
      <c r="F609" s="2677">
        <v>296850</v>
      </c>
      <c r="G609" s="2677">
        <v>200</v>
      </c>
    </row>
    <row r="610" spans="1:7" x14ac:dyDescent="0.3">
      <c r="A610" s="2678">
        <v>43194</v>
      </c>
      <c r="B610" s="2677">
        <v>291100</v>
      </c>
      <c r="C610" s="2677">
        <v>300900</v>
      </c>
      <c r="D610" s="2677">
        <v>291100</v>
      </c>
      <c r="E610" s="2677">
        <v>299850</v>
      </c>
      <c r="F610" s="2677">
        <v>299850</v>
      </c>
      <c r="G610" s="2677">
        <v>400</v>
      </c>
    </row>
    <row r="611" spans="1:7" x14ac:dyDescent="0.3">
      <c r="A611" s="2678">
        <v>43195</v>
      </c>
      <c r="B611" s="2677">
        <v>301410</v>
      </c>
      <c r="C611" s="2677">
        <v>304200</v>
      </c>
      <c r="D611" s="2677">
        <v>300500</v>
      </c>
      <c r="E611" s="2677">
        <v>301750</v>
      </c>
      <c r="F611" s="2677">
        <v>301750</v>
      </c>
      <c r="G611" s="2677">
        <v>400</v>
      </c>
    </row>
    <row r="612" spans="1:7" x14ac:dyDescent="0.3">
      <c r="A612" s="2678">
        <v>43196</v>
      </c>
      <c r="B612" s="2677">
        <v>298810</v>
      </c>
      <c r="C612" s="2677">
        <v>299750</v>
      </c>
      <c r="D612" s="2677">
        <v>290990</v>
      </c>
      <c r="E612" s="2677">
        <v>294000</v>
      </c>
      <c r="F612" s="2677">
        <v>294000</v>
      </c>
      <c r="G612" s="2677">
        <v>400</v>
      </c>
    </row>
    <row r="613" spans="1:7" x14ac:dyDescent="0.3">
      <c r="A613" s="2678">
        <v>43199</v>
      </c>
      <c r="B613" s="2677">
        <v>296150</v>
      </c>
      <c r="C613" s="2677">
        <v>298000</v>
      </c>
      <c r="D613" s="2677">
        <v>292560</v>
      </c>
      <c r="E613" s="2677">
        <v>292671</v>
      </c>
      <c r="F613" s="2677">
        <v>292671</v>
      </c>
      <c r="G613" s="2677">
        <v>300</v>
      </c>
    </row>
    <row r="614" spans="1:7" x14ac:dyDescent="0.3">
      <c r="A614" s="2678">
        <v>43200</v>
      </c>
      <c r="B614" s="2677">
        <v>296760</v>
      </c>
      <c r="C614" s="2677">
        <v>299500</v>
      </c>
      <c r="D614" s="2677">
        <v>296300</v>
      </c>
      <c r="E614" s="2677">
        <v>296556</v>
      </c>
      <c r="F614" s="2677">
        <v>296556</v>
      </c>
      <c r="G614" s="2677">
        <v>300</v>
      </c>
    </row>
    <row r="615" spans="1:7" x14ac:dyDescent="0.3">
      <c r="A615" s="2678">
        <v>43201</v>
      </c>
      <c r="B615" s="2677">
        <v>295250</v>
      </c>
      <c r="C615" s="2677">
        <v>295500</v>
      </c>
      <c r="D615" s="2677">
        <v>292690</v>
      </c>
      <c r="E615" s="2677">
        <v>293249</v>
      </c>
      <c r="F615" s="2677">
        <v>293249</v>
      </c>
      <c r="G615" s="2677">
        <v>200</v>
      </c>
    </row>
    <row r="616" spans="1:7" x14ac:dyDescent="0.3">
      <c r="A616" s="2678">
        <v>43202</v>
      </c>
      <c r="B616" s="2677">
        <v>295320</v>
      </c>
      <c r="C616" s="2677">
        <v>299370</v>
      </c>
      <c r="D616" s="2677">
        <v>295000</v>
      </c>
      <c r="E616" s="2677">
        <v>297021</v>
      </c>
      <c r="F616" s="2677">
        <v>297021</v>
      </c>
      <c r="G616" s="2677">
        <v>300</v>
      </c>
    </row>
    <row r="617" spans="1:7" x14ac:dyDescent="0.3">
      <c r="A617" s="2678">
        <v>43203</v>
      </c>
      <c r="B617" s="2677">
        <v>299200</v>
      </c>
      <c r="C617" s="2677">
        <v>299960</v>
      </c>
      <c r="D617" s="2677">
        <v>294300</v>
      </c>
      <c r="E617" s="2677">
        <v>295891</v>
      </c>
      <c r="F617" s="2677">
        <v>295891</v>
      </c>
      <c r="G617" s="2677">
        <v>200</v>
      </c>
    </row>
    <row r="618" spans="1:7" x14ac:dyDescent="0.3">
      <c r="A618" s="2678">
        <v>43206</v>
      </c>
      <c r="B618" s="2677">
        <v>297949</v>
      </c>
      <c r="C618" s="2677">
        <v>299892</v>
      </c>
      <c r="D618" s="2677">
        <v>296600</v>
      </c>
      <c r="E618" s="2677">
        <v>297181</v>
      </c>
      <c r="F618" s="2677">
        <v>297181</v>
      </c>
      <c r="G618" s="2677">
        <v>200</v>
      </c>
    </row>
    <row r="619" spans="1:7" x14ac:dyDescent="0.3">
      <c r="A619" s="2678">
        <v>43207</v>
      </c>
      <c r="B619" s="2677">
        <v>299499</v>
      </c>
      <c r="C619" s="2677">
        <v>300950</v>
      </c>
      <c r="D619" s="2677">
        <v>298590</v>
      </c>
      <c r="E619" s="2677">
        <v>298701</v>
      </c>
      <c r="F619" s="2677">
        <v>298701</v>
      </c>
      <c r="G619" s="2677">
        <v>200</v>
      </c>
    </row>
    <row r="620" spans="1:7" x14ac:dyDescent="0.3">
      <c r="A620" s="2678">
        <v>43208</v>
      </c>
      <c r="B620" s="2677">
        <v>300170</v>
      </c>
      <c r="C620" s="2677">
        <v>301300</v>
      </c>
      <c r="D620" s="2677">
        <v>299130</v>
      </c>
      <c r="E620" s="2677">
        <v>299205</v>
      </c>
      <c r="F620" s="2677">
        <v>299205</v>
      </c>
      <c r="G620" s="2677">
        <v>100</v>
      </c>
    </row>
    <row r="621" spans="1:7" x14ac:dyDescent="0.3">
      <c r="A621" s="2678">
        <v>43209</v>
      </c>
      <c r="B621" s="2677">
        <v>300000</v>
      </c>
      <c r="C621" s="2677">
        <v>302000</v>
      </c>
      <c r="D621" s="2677">
        <v>298990</v>
      </c>
      <c r="E621" s="2677">
        <v>300300</v>
      </c>
      <c r="F621" s="2677">
        <v>300300</v>
      </c>
      <c r="G621" s="2677">
        <v>100</v>
      </c>
    </row>
    <row r="622" spans="1:7" x14ac:dyDescent="0.3">
      <c r="A622" s="2678">
        <v>43210</v>
      </c>
      <c r="B622" s="2677">
        <v>301680</v>
      </c>
      <c r="C622" s="2677">
        <v>301680</v>
      </c>
      <c r="D622" s="2677">
        <v>298450</v>
      </c>
      <c r="E622" s="2677">
        <v>300140</v>
      </c>
      <c r="F622" s="2677">
        <v>300140</v>
      </c>
      <c r="G622" s="2677">
        <v>100</v>
      </c>
    </row>
    <row r="623" spans="1:7" x14ac:dyDescent="0.3">
      <c r="A623" s="2678">
        <v>43213</v>
      </c>
      <c r="B623" s="2677">
        <v>300998</v>
      </c>
      <c r="C623" s="2677">
        <v>301420</v>
      </c>
      <c r="D623" s="2677">
        <v>298000</v>
      </c>
      <c r="E623" s="2677">
        <v>298821</v>
      </c>
      <c r="F623" s="2677">
        <v>298821</v>
      </c>
      <c r="G623" s="2677">
        <v>200</v>
      </c>
    </row>
    <row r="624" spans="1:7" x14ac:dyDescent="0.3">
      <c r="A624" s="2678">
        <v>43214</v>
      </c>
      <c r="B624" s="2677">
        <v>299600</v>
      </c>
      <c r="C624" s="2677">
        <v>300750</v>
      </c>
      <c r="D624" s="2677">
        <v>293000</v>
      </c>
      <c r="E624" s="2677">
        <v>295734</v>
      </c>
      <c r="F624" s="2677">
        <v>295734</v>
      </c>
      <c r="G624" s="2677">
        <v>300</v>
      </c>
    </row>
    <row r="625" spans="1:7" x14ac:dyDescent="0.3">
      <c r="A625" s="2678">
        <v>43215</v>
      </c>
      <c r="B625" s="2677">
        <v>294660</v>
      </c>
      <c r="C625" s="2677">
        <v>296010</v>
      </c>
      <c r="D625" s="2677">
        <v>291995</v>
      </c>
      <c r="E625" s="2677">
        <v>295279</v>
      </c>
      <c r="F625" s="2677">
        <v>295279</v>
      </c>
      <c r="G625" s="2677">
        <v>200</v>
      </c>
    </row>
    <row r="626" spans="1:7" x14ac:dyDescent="0.3">
      <c r="A626" s="2678">
        <v>43216</v>
      </c>
      <c r="B626" s="2677">
        <v>296750</v>
      </c>
      <c r="C626" s="2677">
        <v>296760</v>
      </c>
      <c r="D626" s="2677">
        <v>294400</v>
      </c>
      <c r="E626" s="2677">
        <v>295769</v>
      </c>
      <c r="F626" s="2677">
        <v>295769</v>
      </c>
      <c r="G626" s="2677">
        <v>100</v>
      </c>
    </row>
    <row r="627" spans="1:7" x14ac:dyDescent="0.3">
      <c r="A627" s="2678">
        <v>43217</v>
      </c>
      <c r="B627" s="2677">
        <v>295850</v>
      </c>
      <c r="C627" s="2677">
        <v>296455</v>
      </c>
      <c r="D627" s="2677">
        <v>293980</v>
      </c>
      <c r="E627" s="2677">
        <v>295995</v>
      </c>
      <c r="F627" s="2677">
        <v>295995</v>
      </c>
      <c r="G627" s="2677">
        <v>100</v>
      </c>
    </row>
    <row r="628" spans="1:7" x14ac:dyDescent="0.3">
      <c r="A628" s="2678">
        <v>43220</v>
      </c>
      <c r="B628" s="2677">
        <v>296900</v>
      </c>
      <c r="C628" s="2677">
        <v>297240</v>
      </c>
      <c r="D628" s="2677">
        <v>290650</v>
      </c>
      <c r="E628" s="2677">
        <v>290650</v>
      </c>
      <c r="F628" s="2677">
        <v>290650</v>
      </c>
      <c r="G628" s="2677">
        <v>300</v>
      </c>
    </row>
    <row r="629" spans="1:7" x14ac:dyDescent="0.3">
      <c r="A629" s="2678">
        <v>43221</v>
      </c>
      <c r="B629" s="2677">
        <v>291150</v>
      </c>
      <c r="C629" s="2677">
        <v>292730</v>
      </c>
      <c r="D629" s="2677">
        <v>289170</v>
      </c>
      <c r="E629" s="2677">
        <v>292730</v>
      </c>
      <c r="F629" s="2677">
        <v>292730</v>
      </c>
      <c r="G629" s="2677">
        <v>400</v>
      </c>
    </row>
    <row r="630" spans="1:7" x14ac:dyDescent="0.3">
      <c r="A630" s="2678">
        <v>43222</v>
      </c>
      <c r="B630" s="2677">
        <v>291850</v>
      </c>
      <c r="C630" s="2677">
        <v>292400</v>
      </c>
      <c r="D630" s="2677">
        <v>289750</v>
      </c>
      <c r="E630" s="2677">
        <v>290450</v>
      </c>
      <c r="F630" s="2677">
        <v>290450</v>
      </c>
      <c r="G630" s="2677">
        <v>300</v>
      </c>
    </row>
    <row r="631" spans="1:7" x14ac:dyDescent="0.3">
      <c r="A631" s="2678">
        <v>43223</v>
      </c>
      <c r="B631" s="2677">
        <v>289171</v>
      </c>
      <c r="C631" s="2677">
        <v>289171</v>
      </c>
      <c r="D631" s="2677">
        <v>284850</v>
      </c>
      <c r="E631" s="2677">
        <v>287051</v>
      </c>
      <c r="F631" s="2677">
        <v>287051</v>
      </c>
      <c r="G631" s="2677">
        <v>500</v>
      </c>
    </row>
    <row r="632" spans="1:7" x14ac:dyDescent="0.3">
      <c r="A632" s="2678">
        <v>43224</v>
      </c>
      <c r="B632" s="2677">
        <v>288200</v>
      </c>
      <c r="C632" s="2677">
        <v>294349</v>
      </c>
      <c r="D632" s="2677">
        <v>280428</v>
      </c>
      <c r="E632" s="2677">
        <v>292600</v>
      </c>
      <c r="F632" s="2677">
        <v>292600</v>
      </c>
      <c r="G632" s="2677">
        <v>700</v>
      </c>
    </row>
    <row r="633" spans="1:7" x14ac:dyDescent="0.3">
      <c r="A633" s="2678">
        <v>43227</v>
      </c>
      <c r="B633" s="2677">
        <v>294720</v>
      </c>
      <c r="C633" s="2677">
        <v>297500</v>
      </c>
      <c r="D633" s="2677">
        <v>293700</v>
      </c>
      <c r="E633" s="2677">
        <v>295600</v>
      </c>
      <c r="F633" s="2677">
        <v>295600</v>
      </c>
      <c r="G633" s="2677">
        <v>300</v>
      </c>
    </row>
    <row r="634" spans="1:7" x14ac:dyDescent="0.3">
      <c r="A634" s="2678">
        <v>43228</v>
      </c>
      <c r="B634" s="2677">
        <v>295560</v>
      </c>
      <c r="C634" s="2677">
        <v>295770</v>
      </c>
      <c r="D634" s="2677">
        <v>292240</v>
      </c>
      <c r="E634" s="2677">
        <v>295700</v>
      </c>
      <c r="F634" s="2677">
        <v>295700</v>
      </c>
      <c r="G634" s="2677">
        <v>300</v>
      </c>
    </row>
    <row r="635" spans="1:7" x14ac:dyDescent="0.3">
      <c r="A635" s="2678">
        <v>43229</v>
      </c>
      <c r="B635" s="2677">
        <v>295000</v>
      </c>
      <c r="C635" s="2677">
        <v>300000</v>
      </c>
      <c r="D635" s="2677">
        <v>294950</v>
      </c>
      <c r="E635" s="2677">
        <v>299991</v>
      </c>
      <c r="F635" s="2677">
        <v>299991</v>
      </c>
      <c r="G635" s="2677">
        <v>200</v>
      </c>
    </row>
    <row r="636" spans="1:7" x14ac:dyDescent="0.3">
      <c r="A636" s="2678">
        <v>43230</v>
      </c>
      <c r="B636" s="2677">
        <v>300140</v>
      </c>
      <c r="C636" s="2677">
        <v>301630</v>
      </c>
      <c r="D636" s="2677">
        <v>298635</v>
      </c>
      <c r="E636" s="2677">
        <v>301630</v>
      </c>
      <c r="F636" s="2677">
        <v>301630</v>
      </c>
      <c r="G636" s="2677">
        <v>300</v>
      </c>
    </row>
    <row r="637" spans="1:7" x14ac:dyDescent="0.3">
      <c r="A637" s="2678">
        <v>43231</v>
      </c>
      <c r="B637" s="2677">
        <v>300300</v>
      </c>
      <c r="C637" s="2677">
        <v>303530</v>
      </c>
      <c r="D637" s="2677">
        <v>298360</v>
      </c>
      <c r="E637" s="2677">
        <v>298770</v>
      </c>
      <c r="F637" s="2677">
        <v>298770</v>
      </c>
      <c r="G637" s="2677">
        <v>300</v>
      </c>
    </row>
    <row r="638" spans="1:7" x14ac:dyDescent="0.3">
      <c r="A638" s="2678">
        <v>43234</v>
      </c>
      <c r="B638" s="2677">
        <v>300000</v>
      </c>
      <c r="C638" s="2677">
        <v>300730</v>
      </c>
      <c r="D638" s="2677">
        <v>298100</v>
      </c>
      <c r="E638" s="2677">
        <v>298200</v>
      </c>
      <c r="F638" s="2677">
        <v>298200</v>
      </c>
      <c r="G638" s="2677">
        <v>200</v>
      </c>
    </row>
    <row r="639" spans="1:7" x14ac:dyDescent="0.3">
      <c r="A639" s="2678">
        <v>43235</v>
      </c>
      <c r="B639" s="2677">
        <v>297555</v>
      </c>
      <c r="C639" s="2677">
        <v>298155</v>
      </c>
      <c r="D639" s="2677">
        <v>294420</v>
      </c>
      <c r="E639" s="2677">
        <v>296200</v>
      </c>
      <c r="F639" s="2677">
        <v>296200</v>
      </c>
      <c r="G639" s="2677">
        <v>200</v>
      </c>
    </row>
    <row r="640" spans="1:7" x14ac:dyDescent="0.3">
      <c r="A640" s="2678">
        <v>43236</v>
      </c>
      <c r="B640" s="2677">
        <v>295700</v>
      </c>
      <c r="C640" s="2677">
        <v>297580</v>
      </c>
      <c r="D640" s="2677">
        <v>295000</v>
      </c>
      <c r="E640" s="2677">
        <v>296300</v>
      </c>
      <c r="F640" s="2677">
        <v>296300</v>
      </c>
      <c r="G640" s="2677">
        <v>100</v>
      </c>
    </row>
    <row r="641" spans="1:7" x14ac:dyDescent="0.3">
      <c r="A641" s="2678">
        <v>43237</v>
      </c>
      <c r="B641" s="2677">
        <v>296750</v>
      </c>
      <c r="C641" s="2677">
        <v>296840</v>
      </c>
      <c r="D641" s="2677">
        <v>295000</v>
      </c>
      <c r="E641" s="2677">
        <v>296440</v>
      </c>
      <c r="F641" s="2677">
        <v>296440</v>
      </c>
      <c r="G641" s="2677">
        <v>100</v>
      </c>
    </row>
    <row r="642" spans="1:7" x14ac:dyDescent="0.3">
      <c r="A642" s="2678">
        <v>43238</v>
      </c>
      <c r="B642" s="2677">
        <v>296440</v>
      </c>
      <c r="C642" s="2677">
        <v>296440</v>
      </c>
      <c r="D642" s="2677">
        <v>293965</v>
      </c>
      <c r="E642" s="2677">
        <v>294380</v>
      </c>
      <c r="F642" s="2677">
        <v>294380</v>
      </c>
      <c r="G642" s="2677">
        <v>200</v>
      </c>
    </row>
    <row r="643" spans="1:7" x14ac:dyDescent="0.3">
      <c r="A643" s="2678">
        <v>43241</v>
      </c>
      <c r="B643" s="2677">
        <v>296200</v>
      </c>
      <c r="C643" s="2677">
        <v>297775</v>
      </c>
      <c r="D643" s="2677">
        <v>295745</v>
      </c>
      <c r="E643" s="2677">
        <v>296620</v>
      </c>
      <c r="F643" s="2677">
        <v>296620</v>
      </c>
      <c r="G643" s="2677">
        <v>200</v>
      </c>
    </row>
    <row r="644" spans="1:7" x14ac:dyDescent="0.3">
      <c r="A644" s="2678">
        <v>43242</v>
      </c>
      <c r="B644" s="2677">
        <v>297300</v>
      </c>
      <c r="C644" s="2677">
        <v>298300</v>
      </c>
      <c r="D644" s="2677">
        <v>296006</v>
      </c>
      <c r="E644" s="2677">
        <v>296991</v>
      </c>
      <c r="F644" s="2677">
        <v>296991</v>
      </c>
      <c r="G644" s="2677">
        <v>200</v>
      </c>
    </row>
    <row r="645" spans="1:7" x14ac:dyDescent="0.3">
      <c r="A645" s="2678">
        <v>43243</v>
      </c>
      <c r="B645" s="2677">
        <v>296500</v>
      </c>
      <c r="C645" s="2677">
        <v>296580</v>
      </c>
      <c r="D645" s="2677">
        <v>292647</v>
      </c>
      <c r="E645" s="2677">
        <v>294400</v>
      </c>
      <c r="F645" s="2677">
        <v>294400</v>
      </c>
      <c r="G645" s="2677">
        <v>300</v>
      </c>
    </row>
    <row r="646" spans="1:7" x14ac:dyDescent="0.3">
      <c r="A646" s="2678">
        <v>43244</v>
      </c>
      <c r="B646" s="2677">
        <v>293980</v>
      </c>
      <c r="C646" s="2677">
        <v>294110</v>
      </c>
      <c r="D646" s="2677">
        <v>291222</v>
      </c>
      <c r="E646" s="2677">
        <v>291850</v>
      </c>
      <c r="F646" s="2677">
        <v>291850</v>
      </c>
      <c r="G646" s="2677">
        <v>200</v>
      </c>
    </row>
    <row r="647" spans="1:7" x14ac:dyDescent="0.3">
      <c r="A647" s="2678">
        <v>43245</v>
      </c>
      <c r="B647" s="2677">
        <v>291600</v>
      </c>
      <c r="C647" s="2677">
        <v>292370</v>
      </c>
      <c r="D647" s="2677">
        <v>290100</v>
      </c>
      <c r="E647" s="2677">
        <v>290886</v>
      </c>
      <c r="F647" s="2677">
        <v>290886</v>
      </c>
      <c r="G647" s="2677">
        <v>200</v>
      </c>
    </row>
    <row r="648" spans="1:7" x14ac:dyDescent="0.3">
      <c r="A648" s="2678">
        <v>43249</v>
      </c>
      <c r="B648" s="2677">
        <v>289700</v>
      </c>
      <c r="C648" s="2677">
        <v>289700</v>
      </c>
      <c r="D648" s="2677">
        <v>283600</v>
      </c>
      <c r="E648" s="2677">
        <v>286000</v>
      </c>
      <c r="F648" s="2677">
        <v>286000</v>
      </c>
      <c r="G648" s="2677">
        <v>900</v>
      </c>
    </row>
    <row r="649" spans="1:7" x14ac:dyDescent="0.3">
      <c r="A649" s="2678">
        <v>43250</v>
      </c>
      <c r="B649" s="2677">
        <v>288500</v>
      </c>
      <c r="C649" s="2677">
        <v>293116</v>
      </c>
      <c r="D649" s="2677">
        <v>288300</v>
      </c>
      <c r="E649" s="2677">
        <v>292000</v>
      </c>
      <c r="F649" s="2677">
        <v>292000</v>
      </c>
      <c r="G649" s="2677">
        <v>600</v>
      </c>
    </row>
    <row r="650" spans="1:7" x14ac:dyDescent="0.3">
      <c r="A650" s="2678">
        <v>43251</v>
      </c>
      <c r="B650" s="2677">
        <v>291000</v>
      </c>
      <c r="C650" s="2677">
        <v>291700</v>
      </c>
      <c r="D650" s="2677">
        <v>287200</v>
      </c>
      <c r="E650" s="2677">
        <v>287200</v>
      </c>
      <c r="F650" s="2677">
        <v>287200</v>
      </c>
      <c r="G650" s="2677">
        <v>400</v>
      </c>
    </row>
    <row r="651" spans="1:7" x14ac:dyDescent="0.3">
      <c r="A651" s="2678">
        <v>43252</v>
      </c>
      <c r="B651" s="2677">
        <v>290080</v>
      </c>
      <c r="C651" s="2677">
        <v>291000</v>
      </c>
      <c r="D651" s="2677">
        <v>288470</v>
      </c>
      <c r="E651" s="2677">
        <v>289200</v>
      </c>
      <c r="F651" s="2677">
        <v>289200</v>
      </c>
      <c r="G651" s="2677">
        <v>200</v>
      </c>
    </row>
    <row r="652" spans="1:7" x14ac:dyDescent="0.3">
      <c r="A652" s="2678">
        <v>43255</v>
      </c>
      <c r="B652" s="2677">
        <v>290095</v>
      </c>
      <c r="C652" s="2677">
        <v>291080</v>
      </c>
      <c r="D652" s="2677">
        <v>288000</v>
      </c>
      <c r="E652" s="2677">
        <v>288000</v>
      </c>
      <c r="F652" s="2677">
        <v>288000</v>
      </c>
      <c r="G652" s="2677">
        <v>200</v>
      </c>
    </row>
    <row r="653" spans="1:7" x14ac:dyDescent="0.3">
      <c r="A653" s="2678">
        <v>43256</v>
      </c>
      <c r="B653" s="2677">
        <v>288000</v>
      </c>
      <c r="C653" s="2677">
        <v>288100</v>
      </c>
      <c r="D653" s="2677">
        <v>286200</v>
      </c>
      <c r="E653" s="2677">
        <v>286700</v>
      </c>
      <c r="F653" s="2677">
        <v>286700</v>
      </c>
      <c r="G653" s="2677">
        <v>300</v>
      </c>
    </row>
    <row r="654" spans="1:7" x14ac:dyDescent="0.3">
      <c r="A654" s="2678">
        <v>43257</v>
      </c>
      <c r="B654" s="2677">
        <v>287680</v>
      </c>
      <c r="C654" s="2677">
        <v>291261</v>
      </c>
      <c r="D654" s="2677">
        <v>287680</v>
      </c>
      <c r="E654" s="2677">
        <v>290722</v>
      </c>
      <c r="F654" s="2677">
        <v>290722</v>
      </c>
      <c r="G654" s="2677">
        <v>300</v>
      </c>
    </row>
    <row r="655" spans="1:7" x14ac:dyDescent="0.3">
      <c r="A655" s="2678">
        <v>43258</v>
      </c>
      <c r="B655" s="2677">
        <v>291900</v>
      </c>
      <c r="C655" s="2677">
        <v>294000</v>
      </c>
      <c r="D655" s="2677">
        <v>291110</v>
      </c>
      <c r="E655" s="2677">
        <v>292900</v>
      </c>
      <c r="F655" s="2677">
        <v>292900</v>
      </c>
      <c r="G655" s="2677">
        <v>300</v>
      </c>
    </row>
    <row r="656" spans="1:7" x14ac:dyDescent="0.3">
      <c r="A656" s="2678">
        <v>43259</v>
      </c>
      <c r="B656" s="2677">
        <v>292300</v>
      </c>
      <c r="C656" s="2677">
        <v>294540</v>
      </c>
      <c r="D656" s="2677">
        <v>291645</v>
      </c>
      <c r="E656" s="2677">
        <v>294055</v>
      </c>
      <c r="F656" s="2677">
        <v>294055</v>
      </c>
      <c r="G656" s="2677">
        <v>200</v>
      </c>
    </row>
    <row r="657" spans="1:10" x14ac:dyDescent="0.3">
      <c r="A657" s="2678">
        <v>43262</v>
      </c>
      <c r="B657" s="2677">
        <v>294600</v>
      </c>
      <c r="C657" s="2677">
        <v>295302</v>
      </c>
      <c r="D657" s="2677">
        <v>292770</v>
      </c>
      <c r="E657" s="2677">
        <v>292770</v>
      </c>
      <c r="F657" s="2677">
        <v>292770</v>
      </c>
      <c r="G657" s="2677">
        <v>200</v>
      </c>
    </row>
    <row r="658" spans="1:10" x14ac:dyDescent="0.3">
      <c r="A658" s="2678">
        <v>43263</v>
      </c>
      <c r="B658" s="2677">
        <v>293450</v>
      </c>
      <c r="C658" s="2677">
        <v>294190</v>
      </c>
      <c r="D658" s="2677">
        <v>292370</v>
      </c>
      <c r="E658" s="2677">
        <v>293005</v>
      </c>
      <c r="F658" s="2677">
        <v>293005</v>
      </c>
      <c r="G658" s="2677">
        <v>200</v>
      </c>
    </row>
    <row r="659" spans="1:10" x14ac:dyDescent="0.3">
      <c r="A659" s="2678">
        <v>43264</v>
      </c>
      <c r="B659" s="2677">
        <v>293100</v>
      </c>
      <c r="C659" s="2677">
        <v>294020</v>
      </c>
      <c r="D659" s="2677">
        <v>291825</v>
      </c>
      <c r="E659" s="2677">
        <v>292769</v>
      </c>
      <c r="F659" s="2677">
        <v>292769</v>
      </c>
      <c r="G659" s="2677">
        <v>200</v>
      </c>
    </row>
    <row r="660" spans="1:10" x14ac:dyDescent="0.3">
      <c r="A660" s="2678">
        <v>43265</v>
      </c>
      <c r="B660" s="2677">
        <v>292800</v>
      </c>
      <c r="C660" s="2677">
        <v>292800</v>
      </c>
      <c r="D660" s="2677">
        <v>288978</v>
      </c>
      <c r="E660" s="2677">
        <v>289670</v>
      </c>
      <c r="F660" s="2677">
        <v>289670</v>
      </c>
      <c r="G660" s="2677">
        <v>300</v>
      </c>
    </row>
    <row r="661" spans="1:10" x14ac:dyDescent="0.3">
      <c r="A661" s="2678">
        <v>43266</v>
      </c>
      <c r="B661" s="2677">
        <v>289600</v>
      </c>
      <c r="C661" s="2677">
        <v>289600</v>
      </c>
      <c r="D661" s="2677">
        <v>286200</v>
      </c>
      <c r="E661" s="2677">
        <v>287626</v>
      </c>
      <c r="F661" s="2677">
        <v>287626</v>
      </c>
      <c r="G661" s="2677">
        <v>300</v>
      </c>
    </row>
    <row r="662" spans="1:10" x14ac:dyDescent="0.3">
      <c r="A662" s="2678">
        <v>43269</v>
      </c>
      <c r="B662" s="2677">
        <v>286100</v>
      </c>
      <c r="C662" s="2677">
        <v>287850</v>
      </c>
      <c r="D662" s="2677">
        <v>285700</v>
      </c>
      <c r="E662" s="2677">
        <v>287600</v>
      </c>
      <c r="F662" s="2677">
        <v>287600</v>
      </c>
      <c r="G662" s="2677">
        <v>200</v>
      </c>
    </row>
    <row r="663" spans="1:10" x14ac:dyDescent="0.3">
      <c r="A663" s="2678">
        <v>43270</v>
      </c>
      <c r="B663" s="2677">
        <v>286450</v>
      </c>
      <c r="C663" s="2677">
        <v>287164</v>
      </c>
      <c r="D663" s="2677">
        <v>284800</v>
      </c>
      <c r="E663" s="2677">
        <v>286700</v>
      </c>
      <c r="F663" s="2677">
        <v>286700</v>
      </c>
      <c r="G663" s="2677">
        <v>300</v>
      </c>
    </row>
    <row r="664" spans="1:10" x14ac:dyDescent="0.3">
      <c r="A664" s="2678">
        <v>43271</v>
      </c>
      <c r="B664" s="2677">
        <v>286780</v>
      </c>
      <c r="C664" s="2677">
        <v>286780</v>
      </c>
      <c r="D664" s="2677">
        <v>285000</v>
      </c>
      <c r="E664" s="2677">
        <v>285000</v>
      </c>
      <c r="F664" s="2677">
        <v>285000</v>
      </c>
      <c r="G664" s="2677">
        <v>300</v>
      </c>
    </row>
    <row r="665" spans="1:10" x14ac:dyDescent="0.3">
      <c r="A665" s="2678">
        <v>43272</v>
      </c>
      <c r="B665" s="2677">
        <v>285300</v>
      </c>
      <c r="C665" s="2677">
        <v>285800</v>
      </c>
      <c r="D665" s="2677">
        <v>283600</v>
      </c>
      <c r="E665" s="2677">
        <v>285000</v>
      </c>
      <c r="F665" s="2677">
        <v>285000</v>
      </c>
      <c r="G665" s="2677">
        <v>500</v>
      </c>
    </row>
    <row r="666" spans="1:10" x14ac:dyDescent="0.3">
      <c r="A666" s="2678">
        <v>43273</v>
      </c>
      <c r="B666" s="2677">
        <v>285900</v>
      </c>
      <c r="C666" s="2677">
        <v>287310</v>
      </c>
      <c r="D666" s="2677">
        <v>285401</v>
      </c>
      <c r="E666" s="2677">
        <v>286541</v>
      </c>
      <c r="F666" s="2677">
        <v>286541</v>
      </c>
      <c r="G666" s="2677">
        <v>500</v>
      </c>
    </row>
    <row r="667" spans="1:10" x14ac:dyDescent="0.3">
      <c r="A667" s="2678">
        <v>43276</v>
      </c>
      <c r="B667" s="2677">
        <v>285000</v>
      </c>
      <c r="C667" s="2677">
        <v>285705</v>
      </c>
      <c r="D667" s="2677">
        <v>282500</v>
      </c>
      <c r="E667" s="2677">
        <v>284640</v>
      </c>
      <c r="F667" s="2677">
        <v>284640</v>
      </c>
      <c r="G667" s="2677">
        <v>300</v>
      </c>
    </row>
    <row r="668" spans="1:10" x14ac:dyDescent="0.3">
      <c r="A668" s="2678">
        <v>43277</v>
      </c>
      <c r="B668" s="2677">
        <v>283200</v>
      </c>
      <c r="C668" s="2677">
        <v>287000</v>
      </c>
      <c r="D668" s="2677">
        <v>282400</v>
      </c>
      <c r="E668" s="2677">
        <v>284500</v>
      </c>
      <c r="F668" s="2677">
        <v>284500</v>
      </c>
      <c r="G668" s="2677">
        <v>500</v>
      </c>
    </row>
    <row r="669" spans="1:10" x14ac:dyDescent="0.3">
      <c r="A669" s="2678">
        <v>43278</v>
      </c>
      <c r="B669" s="2677">
        <v>284500</v>
      </c>
      <c r="C669" s="2677">
        <v>285700</v>
      </c>
      <c r="D669" s="2677">
        <v>281600</v>
      </c>
      <c r="E669" s="2677">
        <v>281600</v>
      </c>
      <c r="F669" s="2677">
        <v>281600</v>
      </c>
      <c r="G669" s="2677">
        <v>600</v>
      </c>
    </row>
    <row r="670" spans="1:10" x14ac:dyDescent="0.3">
      <c r="A670" s="2678">
        <v>43279</v>
      </c>
      <c r="B670" s="2677">
        <v>282950</v>
      </c>
      <c r="C670" s="2677">
        <v>285625</v>
      </c>
      <c r="D670" s="2677">
        <v>282000</v>
      </c>
      <c r="E670" s="2677">
        <v>284920</v>
      </c>
      <c r="F670" s="2677">
        <v>284920</v>
      </c>
      <c r="G670" s="2677">
        <v>500</v>
      </c>
    </row>
    <row r="671" spans="1:10" x14ac:dyDescent="0.3">
      <c r="A671" s="2678">
        <v>43280</v>
      </c>
      <c r="B671" s="2677">
        <v>286700</v>
      </c>
      <c r="C671" s="2677">
        <v>288080</v>
      </c>
      <c r="D671" s="2677">
        <v>282000</v>
      </c>
      <c r="E671" s="2677">
        <v>282040</v>
      </c>
      <c r="F671" s="2677">
        <v>282040</v>
      </c>
      <c r="G671" s="2677">
        <v>400</v>
      </c>
    </row>
    <row r="672" spans="1:10" x14ac:dyDescent="0.3">
      <c r="A672" s="2678">
        <v>43283</v>
      </c>
      <c r="B672" s="2677">
        <v>282050</v>
      </c>
      <c r="C672" s="2677">
        <v>284501</v>
      </c>
      <c r="D672" s="2677">
        <v>282050</v>
      </c>
      <c r="E672" s="2677">
        <v>283800</v>
      </c>
      <c r="F672" s="2677">
        <v>283800</v>
      </c>
      <c r="G672" s="2677">
        <v>100</v>
      </c>
      <c r="I672" s="2677">
        <f>MAX(C672:C734)</f>
        <v>334560</v>
      </c>
      <c r="J672" s="2677">
        <f>MIN(D672:D734)</f>
        <v>281600</v>
      </c>
    </row>
    <row r="673" spans="1:7" x14ac:dyDescent="0.3">
      <c r="A673" s="2678">
        <v>43284</v>
      </c>
      <c r="B673" s="2677">
        <v>284900</v>
      </c>
      <c r="C673" s="2677">
        <v>285000</v>
      </c>
      <c r="D673" s="2677">
        <v>281600</v>
      </c>
      <c r="E673" s="2677">
        <v>282000</v>
      </c>
      <c r="F673" s="2677">
        <v>282000</v>
      </c>
      <c r="G673" s="2677">
        <v>100</v>
      </c>
    </row>
    <row r="674" spans="1:7" x14ac:dyDescent="0.3">
      <c r="A674" s="2678">
        <v>43286</v>
      </c>
      <c r="B674" s="2677">
        <v>282400</v>
      </c>
      <c r="C674" s="2677">
        <v>284203</v>
      </c>
      <c r="D674" s="2677">
        <v>282140</v>
      </c>
      <c r="E674" s="2677">
        <v>283635</v>
      </c>
      <c r="F674" s="2677">
        <v>283635</v>
      </c>
      <c r="G674" s="2677">
        <v>200</v>
      </c>
    </row>
    <row r="675" spans="1:7" x14ac:dyDescent="0.3">
      <c r="A675" s="2678">
        <v>43287</v>
      </c>
      <c r="B675" s="2677">
        <v>283140</v>
      </c>
      <c r="C675" s="2677">
        <v>285406</v>
      </c>
      <c r="D675" s="2677">
        <v>282840</v>
      </c>
      <c r="E675" s="2677">
        <v>283700</v>
      </c>
      <c r="F675" s="2677">
        <v>283700</v>
      </c>
      <c r="G675" s="2677">
        <v>100</v>
      </c>
    </row>
    <row r="676" spans="1:7" x14ac:dyDescent="0.3">
      <c r="A676" s="2678">
        <v>43290</v>
      </c>
      <c r="B676" s="2677">
        <v>285000</v>
      </c>
      <c r="C676" s="2677">
        <v>286720</v>
      </c>
      <c r="D676" s="2677">
        <v>284515</v>
      </c>
      <c r="E676" s="2677">
        <v>286720</v>
      </c>
      <c r="F676" s="2677">
        <v>286720</v>
      </c>
      <c r="G676" s="2677">
        <v>100</v>
      </c>
    </row>
    <row r="677" spans="1:7" x14ac:dyDescent="0.3">
      <c r="A677" s="2678">
        <v>43291</v>
      </c>
      <c r="B677" s="2677">
        <v>287499</v>
      </c>
      <c r="C677" s="2677">
        <v>287770</v>
      </c>
      <c r="D677" s="2677">
        <v>286070</v>
      </c>
      <c r="E677" s="2677">
        <v>286385</v>
      </c>
      <c r="F677" s="2677">
        <v>286385</v>
      </c>
      <c r="G677" s="2677">
        <v>200</v>
      </c>
    </row>
    <row r="678" spans="1:7" x14ac:dyDescent="0.3">
      <c r="A678" s="2678">
        <v>43292</v>
      </c>
      <c r="B678" s="2677">
        <v>285500</v>
      </c>
      <c r="C678" s="2677">
        <v>289500</v>
      </c>
      <c r="D678" s="2677">
        <v>285010</v>
      </c>
      <c r="E678" s="2677">
        <v>288481</v>
      </c>
      <c r="F678" s="2677">
        <v>288481</v>
      </c>
      <c r="G678" s="2677">
        <v>400</v>
      </c>
    </row>
    <row r="679" spans="1:7" x14ac:dyDescent="0.3">
      <c r="A679" s="2678">
        <v>43293</v>
      </c>
      <c r="B679" s="2677">
        <v>288550</v>
      </c>
      <c r="C679" s="2677">
        <v>289800</v>
      </c>
      <c r="D679" s="2677">
        <v>286161</v>
      </c>
      <c r="E679" s="2677">
        <v>288000</v>
      </c>
      <c r="F679" s="2677">
        <v>288000</v>
      </c>
      <c r="G679" s="2677">
        <v>500</v>
      </c>
    </row>
    <row r="680" spans="1:7" x14ac:dyDescent="0.3">
      <c r="A680" s="2678">
        <v>43294</v>
      </c>
      <c r="B680" s="2677">
        <v>288000</v>
      </c>
      <c r="C680" s="2677">
        <v>290100</v>
      </c>
      <c r="D680" s="2677">
        <v>287221</v>
      </c>
      <c r="E680" s="2677">
        <v>290000</v>
      </c>
      <c r="F680" s="2677">
        <v>290000</v>
      </c>
      <c r="G680" s="2677">
        <v>600</v>
      </c>
    </row>
    <row r="681" spans="1:7" x14ac:dyDescent="0.3">
      <c r="A681" s="2678">
        <v>43297</v>
      </c>
      <c r="B681" s="2677">
        <v>288800</v>
      </c>
      <c r="C681" s="2677">
        <v>290920</v>
      </c>
      <c r="D681" s="2677">
        <v>288800</v>
      </c>
      <c r="E681" s="2677">
        <v>289000</v>
      </c>
      <c r="F681" s="2677">
        <v>289000</v>
      </c>
      <c r="G681" s="2677">
        <v>300</v>
      </c>
    </row>
    <row r="682" spans="1:7" x14ac:dyDescent="0.3">
      <c r="A682" s="2678">
        <v>43298</v>
      </c>
      <c r="B682" s="2677">
        <v>289220</v>
      </c>
      <c r="C682" s="2677">
        <v>289800</v>
      </c>
      <c r="D682" s="2677">
        <v>287560</v>
      </c>
      <c r="E682" s="2677">
        <v>288500</v>
      </c>
      <c r="F682" s="2677">
        <v>288500</v>
      </c>
      <c r="G682" s="2677">
        <v>200</v>
      </c>
    </row>
    <row r="683" spans="1:7" x14ac:dyDescent="0.3">
      <c r="A683" s="2678">
        <v>43299</v>
      </c>
      <c r="B683" s="2677">
        <v>295060</v>
      </c>
      <c r="C683" s="2677">
        <v>304100</v>
      </c>
      <c r="D683" s="2677">
        <v>295060</v>
      </c>
      <c r="E683" s="2677">
        <v>303210</v>
      </c>
      <c r="F683" s="2677">
        <v>303210</v>
      </c>
      <c r="G683" s="2677">
        <v>1000</v>
      </c>
    </row>
    <row r="684" spans="1:7" x14ac:dyDescent="0.3">
      <c r="A684" s="2678">
        <v>43300</v>
      </c>
      <c r="B684" s="2677">
        <v>303210</v>
      </c>
      <c r="C684" s="2677">
        <v>303549</v>
      </c>
      <c r="D684" s="2677">
        <v>298205</v>
      </c>
      <c r="E684" s="2677">
        <v>299000</v>
      </c>
      <c r="F684" s="2677">
        <v>299000</v>
      </c>
      <c r="G684" s="2677">
        <v>300</v>
      </c>
    </row>
    <row r="685" spans="1:7" x14ac:dyDescent="0.3">
      <c r="A685" s="2678">
        <v>43301</v>
      </c>
      <c r="B685" s="2677">
        <v>298005</v>
      </c>
      <c r="C685" s="2677">
        <v>299380</v>
      </c>
      <c r="D685" s="2677">
        <v>298005</v>
      </c>
      <c r="E685" s="2677">
        <v>299380</v>
      </c>
      <c r="F685" s="2677">
        <v>299380</v>
      </c>
      <c r="G685" s="2677">
        <v>200</v>
      </c>
    </row>
    <row r="686" spans="1:7" x14ac:dyDescent="0.3">
      <c r="A686" s="2678">
        <v>43304</v>
      </c>
      <c r="B686" s="2677">
        <v>298900</v>
      </c>
      <c r="C686" s="2677">
        <v>301560</v>
      </c>
      <c r="D686" s="2677">
        <v>298835</v>
      </c>
      <c r="E686" s="2677">
        <v>300230</v>
      </c>
      <c r="F686" s="2677">
        <v>300230</v>
      </c>
      <c r="G686" s="2677">
        <v>500</v>
      </c>
    </row>
    <row r="687" spans="1:7" x14ac:dyDescent="0.3">
      <c r="A687" s="2678">
        <v>43305</v>
      </c>
      <c r="B687" s="2677">
        <v>300650</v>
      </c>
      <c r="C687" s="2677">
        <v>303400</v>
      </c>
      <c r="D687" s="2677">
        <v>300400</v>
      </c>
      <c r="E687" s="2677">
        <v>300400</v>
      </c>
      <c r="F687" s="2677">
        <v>300400</v>
      </c>
      <c r="G687" s="2677">
        <v>200</v>
      </c>
    </row>
    <row r="688" spans="1:7" x14ac:dyDescent="0.3">
      <c r="A688" s="2678">
        <v>43306</v>
      </c>
      <c r="B688" s="2677">
        <v>300000</v>
      </c>
      <c r="C688" s="2677">
        <v>300500</v>
      </c>
      <c r="D688" s="2677">
        <v>297888</v>
      </c>
      <c r="E688" s="2677">
        <v>299816</v>
      </c>
      <c r="F688" s="2677">
        <v>299816</v>
      </c>
      <c r="G688" s="2677">
        <v>200</v>
      </c>
    </row>
    <row r="689" spans="1:7" x14ac:dyDescent="0.3">
      <c r="A689" s="2678">
        <v>43307</v>
      </c>
      <c r="B689" s="2677">
        <v>300300</v>
      </c>
      <c r="C689" s="2677">
        <v>302000</v>
      </c>
      <c r="D689" s="2677">
        <v>300300</v>
      </c>
      <c r="E689" s="2677">
        <v>300501</v>
      </c>
      <c r="F689" s="2677">
        <v>300501</v>
      </c>
      <c r="G689" s="2677">
        <v>200</v>
      </c>
    </row>
    <row r="690" spans="1:7" x14ac:dyDescent="0.3">
      <c r="A690" s="2678">
        <v>43308</v>
      </c>
      <c r="B690" s="2677">
        <v>300500</v>
      </c>
      <c r="C690" s="2677">
        <v>302749</v>
      </c>
      <c r="D690" s="2677">
        <v>300500</v>
      </c>
      <c r="E690" s="2677">
        <v>302000</v>
      </c>
      <c r="F690" s="2677">
        <v>302000</v>
      </c>
      <c r="G690" s="2677">
        <v>300</v>
      </c>
    </row>
    <row r="691" spans="1:7" x14ac:dyDescent="0.3">
      <c r="A691" s="2678">
        <v>43311</v>
      </c>
      <c r="B691" s="2677">
        <v>301240</v>
      </c>
      <c r="C691" s="2677">
        <v>304400</v>
      </c>
      <c r="D691" s="2677">
        <v>301240</v>
      </c>
      <c r="E691" s="2677">
        <v>303432</v>
      </c>
      <c r="F691" s="2677">
        <v>303432</v>
      </c>
      <c r="G691" s="2677">
        <v>400</v>
      </c>
    </row>
    <row r="692" spans="1:7" x14ac:dyDescent="0.3">
      <c r="A692" s="2678">
        <v>43312</v>
      </c>
      <c r="B692" s="2677">
        <v>303400</v>
      </c>
      <c r="C692" s="2677">
        <v>303400</v>
      </c>
      <c r="D692" s="2677">
        <v>301080</v>
      </c>
      <c r="E692" s="2677">
        <v>301550</v>
      </c>
      <c r="F692" s="2677">
        <v>301550</v>
      </c>
      <c r="G692" s="2677">
        <v>500</v>
      </c>
    </row>
    <row r="693" spans="1:7" x14ac:dyDescent="0.3">
      <c r="A693" s="2678">
        <v>43313</v>
      </c>
      <c r="B693" s="2677">
        <v>302500</v>
      </c>
      <c r="C693" s="2677">
        <v>303900</v>
      </c>
      <c r="D693" s="2677">
        <v>300770</v>
      </c>
      <c r="E693" s="2677">
        <v>301200</v>
      </c>
      <c r="F693" s="2677">
        <v>301200</v>
      </c>
      <c r="G693" s="2677">
        <v>200</v>
      </c>
    </row>
    <row r="694" spans="1:7" x14ac:dyDescent="0.3">
      <c r="A694" s="2678">
        <v>43314</v>
      </c>
      <c r="B694" s="2677">
        <v>300550</v>
      </c>
      <c r="C694" s="2677">
        <v>302175</v>
      </c>
      <c r="D694" s="2677">
        <v>299000</v>
      </c>
      <c r="E694" s="2677">
        <v>301160</v>
      </c>
      <c r="F694" s="2677">
        <v>301160</v>
      </c>
      <c r="G694" s="2677">
        <v>200</v>
      </c>
    </row>
    <row r="695" spans="1:7" x14ac:dyDescent="0.3">
      <c r="A695" s="2678">
        <v>43315</v>
      </c>
      <c r="B695" s="2677">
        <v>302300</v>
      </c>
      <c r="C695" s="2677">
        <v>304990</v>
      </c>
      <c r="D695" s="2677">
        <v>301720</v>
      </c>
      <c r="E695" s="2677">
        <v>304671</v>
      </c>
      <c r="F695" s="2677">
        <v>304671</v>
      </c>
      <c r="G695" s="2677">
        <v>300</v>
      </c>
    </row>
    <row r="696" spans="1:7" x14ac:dyDescent="0.3">
      <c r="A696" s="2678">
        <v>43318</v>
      </c>
      <c r="B696" s="2677">
        <v>309000</v>
      </c>
      <c r="C696" s="2677">
        <v>315015</v>
      </c>
      <c r="D696" s="2677">
        <v>308600</v>
      </c>
      <c r="E696" s="2677">
        <v>311806</v>
      </c>
      <c r="F696" s="2677">
        <v>311806</v>
      </c>
      <c r="G696" s="2677">
        <v>700</v>
      </c>
    </row>
    <row r="697" spans="1:7" x14ac:dyDescent="0.3">
      <c r="A697" s="2678">
        <v>43319</v>
      </c>
      <c r="B697" s="2677">
        <v>313950</v>
      </c>
      <c r="C697" s="2677">
        <v>317100</v>
      </c>
      <c r="D697" s="2677">
        <v>313950</v>
      </c>
      <c r="E697" s="2677">
        <v>315600</v>
      </c>
      <c r="F697" s="2677">
        <v>315600</v>
      </c>
      <c r="G697" s="2677">
        <v>500</v>
      </c>
    </row>
    <row r="698" spans="1:7" x14ac:dyDescent="0.3">
      <c r="A698" s="2678">
        <v>43320</v>
      </c>
      <c r="B698" s="2677">
        <v>315550</v>
      </c>
      <c r="C698" s="2677">
        <v>316599</v>
      </c>
      <c r="D698" s="2677">
        <v>314376</v>
      </c>
      <c r="E698" s="2677">
        <v>315300</v>
      </c>
      <c r="F698" s="2677">
        <v>315300</v>
      </c>
      <c r="G698" s="2677">
        <v>200</v>
      </c>
    </row>
    <row r="699" spans="1:7" x14ac:dyDescent="0.3">
      <c r="A699" s="2678">
        <v>43321</v>
      </c>
      <c r="B699" s="2677">
        <v>315400</v>
      </c>
      <c r="C699" s="2677">
        <v>316575</v>
      </c>
      <c r="D699" s="2677">
        <v>315000</v>
      </c>
      <c r="E699" s="2677">
        <v>315100</v>
      </c>
      <c r="F699" s="2677">
        <v>315100</v>
      </c>
      <c r="G699" s="2677">
        <v>100</v>
      </c>
    </row>
    <row r="700" spans="1:7" x14ac:dyDescent="0.3">
      <c r="A700" s="2678">
        <v>43322</v>
      </c>
      <c r="B700" s="2677">
        <v>313799</v>
      </c>
      <c r="C700" s="2677">
        <v>313799</v>
      </c>
      <c r="D700" s="2677">
        <v>310540</v>
      </c>
      <c r="E700" s="2677">
        <v>312000</v>
      </c>
      <c r="F700" s="2677">
        <v>312000</v>
      </c>
      <c r="G700" s="2677">
        <v>200</v>
      </c>
    </row>
    <row r="701" spans="1:7" x14ac:dyDescent="0.3">
      <c r="A701" s="2678">
        <v>43325</v>
      </c>
      <c r="B701" s="2677">
        <v>311200</v>
      </c>
      <c r="C701" s="2677">
        <v>312750</v>
      </c>
      <c r="D701" s="2677">
        <v>309983</v>
      </c>
      <c r="E701" s="2677">
        <v>310230</v>
      </c>
      <c r="F701" s="2677">
        <v>310230</v>
      </c>
      <c r="G701" s="2677">
        <v>200</v>
      </c>
    </row>
    <row r="702" spans="1:7" x14ac:dyDescent="0.3">
      <c r="A702" s="2678">
        <v>43326</v>
      </c>
      <c r="B702" s="2677">
        <v>310745</v>
      </c>
      <c r="C702" s="2677">
        <v>312108</v>
      </c>
      <c r="D702" s="2677">
        <v>310250</v>
      </c>
      <c r="E702" s="2677">
        <v>310815</v>
      </c>
      <c r="F702" s="2677">
        <v>310815</v>
      </c>
      <c r="G702" s="2677">
        <v>100</v>
      </c>
    </row>
    <row r="703" spans="1:7" x14ac:dyDescent="0.3">
      <c r="A703" s="2678">
        <v>43327</v>
      </c>
      <c r="B703" s="2677">
        <v>310000</v>
      </c>
      <c r="C703" s="2677">
        <v>311300</v>
      </c>
      <c r="D703" s="2677">
        <v>308000</v>
      </c>
      <c r="E703" s="2677">
        <v>309050</v>
      </c>
      <c r="F703" s="2677">
        <v>309050</v>
      </c>
      <c r="G703" s="2677">
        <v>100</v>
      </c>
    </row>
    <row r="704" spans="1:7" x14ac:dyDescent="0.3">
      <c r="A704" s="2678">
        <v>43328</v>
      </c>
      <c r="B704" s="2677">
        <v>310120</v>
      </c>
      <c r="C704" s="2677">
        <v>313195</v>
      </c>
      <c r="D704" s="2677">
        <v>309950</v>
      </c>
      <c r="E704" s="2677">
        <v>313000</v>
      </c>
      <c r="F704" s="2677">
        <v>313000</v>
      </c>
      <c r="G704" s="2677">
        <v>200</v>
      </c>
    </row>
    <row r="705" spans="1:7" x14ac:dyDescent="0.3">
      <c r="A705" s="2678">
        <v>43329</v>
      </c>
      <c r="B705" s="2677">
        <v>312975</v>
      </c>
      <c r="C705" s="2677">
        <v>314290</v>
      </c>
      <c r="D705" s="2677">
        <v>312260</v>
      </c>
      <c r="E705" s="2677">
        <v>313465</v>
      </c>
      <c r="F705" s="2677">
        <v>313465</v>
      </c>
      <c r="G705" s="2677">
        <v>200</v>
      </c>
    </row>
    <row r="706" spans="1:7" x14ac:dyDescent="0.3">
      <c r="A706" s="2678">
        <v>43332</v>
      </c>
      <c r="B706" s="2677">
        <v>313465</v>
      </c>
      <c r="C706" s="2677">
        <v>315535</v>
      </c>
      <c r="D706" s="2677">
        <v>313465</v>
      </c>
      <c r="E706" s="2677">
        <v>314060</v>
      </c>
      <c r="F706" s="2677">
        <v>314060</v>
      </c>
      <c r="G706" s="2677">
        <v>100</v>
      </c>
    </row>
    <row r="707" spans="1:7" x14ac:dyDescent="0.3">
      <c r="A707" s="2678">
        <v>43333</v>
      </c>
      <c r="B707" s="2677">
        <v>314950</v>
      </c>
      <c r="C707" s="2677">
        <v>315600</v>
      </c>
      <c r="D707" s="2677">
        <v>313725</v>
      </c>
      <c r="E707" s="2677">
        <v>313725</v>
      </c>
      <c r="F707" s="2677">
        <v>313725</v>
      </c>
      <c r="G707" s="2677">
        <v>200</v>
      </c>
    </row>
    <row r="708" spans="1:7" x14ac:dyDescent="0.3">
      <c r="A708" s="2678">
        <v>43334</v>
      </c>
      <c r="B708" s="2677">
        <v>313250</v>
      </c>
      <c r="C708" s="2677">
        <v>313250</v>
      </c>
      <c r="D708" s="2677">
        <v>311960</v>
      </c>
      <c r="E708" s="2677">
        <v>312400</v>
      </c>
      <c r="F708" s="2677">
        <v>312400</v>
      </c>
      <c r="G708" s="2677">
        <v>100</v>
      </c>
    </row>
    <row r="709" spans="1:7" x14ac:dyDescent="0.3">
      <c r="A709" s="2678">
        <v>43335</v>
      </c>
      <c r="B709" s="2677">
        <v>312300</v>
      </c>
      <c r="C709" s="2677">
        <v>312930</v>
      </c>
      <c r="D709" s="2677">
        <v>311710</v>
      </c>
      <c r="E709" s="2677">
        <v>311983</v>
      </c>
      <c r="F709" s="2677">
        <v>311983</v>
      </c>
      <c r="G709" s="2677">
        <v>100</v>
      </c>
    </row>
    <row r="710" spans="1:7" x14ac:dyDescent="0.3">
      <c r="A710" s="2678">
        <v>43336</v>
      </c>
      <c r="B710" s="2677">
        <v>312150</v>
      </c>
      <c r="C710" s="2677">
        <v>313640</v>
      </c>
      <c r="D710" s="2677">
        <v>312150</v>
      </c>
      <c r="E710" s="2677">
        <v>312850</v>
      </c>
      <c r="F710" s="2677">
        <v>312850</v>
      </c>
      <c r="G710" s="2677">
        <v>200</v>
      </c>
    </row>
    <row r="711" spans="1:7" x14ac:dyDescent="0.3">
      <c r="A711" s="2678">
        <v>43339</v>
      </c>
      <c r="B711" s="2677">
        <v>314250</v>
      </c>
      <c r="C711" s="2677">
        <v>317500</v>
      </c>
      <c r="D711" s="2677">
        <v>314250</v>
      </c>
      <c r="E711" s="2677">
        <v>316200</v>
      </c>
      <c r="F711" s="2677">
        <v>316200</v>
      </c>
      <c r="G711" s="2677">
        <v>200</v>
      </c>
    </row>
    <row r="712" spans="1:7" x14ac:dyDescent="0.3">
      <c r="A712" s="2678">
        <v>43340</v>
      </c>
      <c r="B712" s="2677">
        <v>316700</v>
      </c>
      <c r="C712" s="2677">
        <v>317730</v>
      </c>
      <c r="D712" s="2677">
        <v>316110</v>
      </c>
      <c r="E712" s="2677">
        <v>317124</v>
      </c>
      <c r="F712" s="2677">
        <v>317124</v>
      </c>
      <c r="G712" s="2677">
        <v>300</v>
      </c>
    </row>
    <row r="713" spans="1:7" x14ac:dyDescent="0.3">
      <c r="A713" s="2678">
        <v>43341</v>
      </c>
      <c r="B713" s="2677">
        <v>317850</v>
      </c>
      <c r="C713" s="2677">
        <v>317850</v>
      </c>
      <c r="D713" s="2677">
        <v>316320</v>
      </c>
      <c r="E713" s="2677">
        <v>317505</v>
      </c>
      <c r="F713" s="2677">
        <v>317505</v>
      </c>
      <c r="G713" s="2677">
        <v>200</v>
      </c>
    </row>
    <row r="714" spans="1:7" x14ac:dyDescent="0.3">
      <c r="A714" s="2678">
        <v>43342</v>
      </c>
      <c r="B714" s="2677">
        <v>317000</v>
      </c>
      <c r="C714" s="2677">
        <v>317450</v>
      </c>
      <c r="D714" s="2677">
        <v>315880</v>
      </c>
      <c r="E714" s="2677">
        <v>317000</v>
      </c>
      <c r="F714" s="2677">
        <v>317000</v>
      </c>
      <c r="G714" s="2677">
        <v>400</v>
      </c>
    </row>
    <row r="715" spans="1:7" x14ac:dyDescent="0.3">
      <c r="A715" s="2678">
        <v>43343</v>
      </c>
      <c r="B715" s="2677">
        <v>316900</v>
      </c>
      <c r="C715" s="2677">
        <v>316900</v>
      </c>
      <c r="D715" s="2677">
        <v>315000</v>
      </c>
      <c r="E715" s="2677">
        <v>315800</v>
      </c>
      <c r="F715" s="2677">
        <v>315800</v>
      </c>
      <c r="G715" s="2677">
        <v>500</v>
      </c>
    </row>
    <row r="716" spans="1:7" x14ac:dyDescent="0.3">
      <c r="A716" s="2678">
        <v>43347</v>
      </c>
      <c r="B716" s="2677">
        <v>315800</v>
      </c>
      <c r="C716" s="2677">
        <v>317250</v>
      </c>
      <c r="D716" s="2677">
        <v>315000</v>
      </c>
      <c r="E716" s="2677">
        <v>317250</v>
      </c>
      <c r="F716" s="2677">
        <v>317250</v>
      </c>
      <c r="G716" s="2677">
        <v>200</v>
      </c>
    </row>
    <row r="717" spans="1:7" x14ac:dyDescent="0.3">
      <c r="A717" s="2678">
        <v>43348</v>
      </c>
      <c r="B717" s="2677">
        <v>316500</v>
      </c>
      <c r="C717" s="2677">
        <v>319950</v>
      </c>
      <c r="D717" s="2677">
        <v>316123</v>
      </c>
      <c r="E717" s="2677">
        <v>319920</v>
      </c>
      <c r="F717" s="2677">
        <v>319920</v>
      </c>
      <c r="G717" s="2677">
        <v>300</v>
      </c>
    </row>
    <row r="718" spans="1:7" x14ac:dyDescent="0.3">
      <c r="A718" s="2678">
        <v>43349</v>
      </c>
      <c r="B718" s="2677">
        <v>318500</v>
      </c>
      <c r="C718" s="2677">
        <v>321175</v>
      </c>
      <c r="D718" s="2677">
        <v>318500</v>
      </c>
      <c r="E718" s="2677">
        <v>320035</v>
      </c>
      <c r="F718" s="2677">
        <v>320035</v>
      </c>
      <c r="G718" s="2677">
        <v>400</v>
      </c>
    </row>
    <row r="719" spans="1:7" x14ac:dyDescent="0.3">
      <c r="A719" s="2678">
        <v>43350</v>
      </c>
      <c r="B719" s="2677">
        <v>320000</v>
      </c>
      <c r="C719" s="2677">
        <v>322743</v>
      </c>
      <c r="D719" s="2677">
        <v>320000</v>
      </c>
      <c r="E719" s="2677">
        <v>321700</v>
      </c>
      <c r="F719" s="2677">
        <v>321700</v>
      </c>
      <c r="G719" s="2677">
        <v>300</v>
      </c>
    </row>
    <row r="720" spans="1:7" x14ac:dyDescent="0.3">
      <c r="A720" s="2678">
        <v>43353</v>
      </c>
      <c r="B720" s="2677">
        <v>322200</v>
      </c>
      <c r="C720" s="2677">
        <v>324995</v>
      </c>
      <c r="D720" s="2677">
        <v>322105</v>
      </c>
      <c r="E720" s="2677">
        <v>322560</v>
      </c>
      <c r="F720" s="2677">
        <v>322560</v>
      </c>
      <c r="G720" s="2677">
        <v>300</v>
      </c>
    </row>
    <row r="721" spans="1:10" x14ac:dyDescent="0.3">
      <c r="A721" s="2678">
        <v>43354</v>
      </c>
      <c r="B721" s="2677">
        <v>321200</v>
      </c>
      <c r="C721" s="2677">
        <v>324420</v>
      </c>
      <c r="D721" s="2677">
        <v>320070</v>
      </c>
      <c r="E721" s="2677">
        <v>323242</v>
      </c>
      <c r="F721" s="2677">
        <v>323242</v>
      </c>
      <c r="G721" s="2677">
        <v>200</v>
      </c>
    </row>
    <row r="722" spans="1:10" x14ac:dyDescent="0.3">
      <c r="A722" s="2678">
        <v>43355</v>
      </c>
      <c r="B722" s="2677">
        <v>321750</v>
      </c>
      <c r="C722" s="2677">
        <v>323420</v>
      </c>
      <c r="D722" s="2677">
        <v>321750</v>
      </c>
      <c r="E722" s="2677">
        <v>322340</v>
      </c>
      <c r="F722" s="2677">
        <v>322340</v>
      </c>
      <c r="G722" s="2677">
        <v>200</v>
      </c>
    </row>
    <row r="723" spans="1:10" x14ac:dyDescent="0.3">
      <c r="A723" s="2678">
        <v>43356</v>
      </c>
      <c r="B723" s="2677">
        <v>322700</v>
      </c>
      <c r="C723" s="2677">
        <v>323455</v>
      </c>
      <c r="D723" s="2677">
        <v>321575</v>
      </c>
      <c r="E723" s="2677">
        <v>321575</v>
      </c>
      <c r="F723" s="2677">
        <v>321575</v>
      </c>
      <c r="G723" s="2677">
        <v>300</v>
      </c>
    </row>
    <row r="724" spans="1:10" x14ac:dyDescent="0.3">
      <c r="A724" s="2678">
        <v>43357</v>
      </c>
      <c r="B724" s="2677">
        <v>323980</v>
      </c>
      <c r="C724" s="2677">
        <v>324999</v>
      </c>
      <c r="D724" s="2677">
        <v>323276</v>
      </c>
      <c r="E724" s="2677">
        <v>324999</v>
      </c>
      <c r="F724" s="2677">
        <v>324999</v>
      </c>
      <c r="G724" s="2677">
        <v>200</v>
      </c>
    </row>
    <row r="725" spans="1:10" x14ac:dyDescent="0.3">
      <c r="A725" s="2678">
        <v>43360</v>
      </c>
      <c r="B725" s="2677">
        <v>325040</v>
      </c>
      <c r="C725" s="2677">
        <v>325666</v>
      </c>
      <c r="D725" s="2677">
        <v>323836</v>
      </c>
      <c r="E725" s="2677">
        <v>324575</v>
      </c>
      <c r="F725" s="2677">
        <v>324575</v>
      </c>
      <c r="G725" s="2677">
        <v>200</v>
      </c>
    </row>
    <row r="726" spans="1:10" x14ac:dyDescent="0.3">
      <c r="A726" s="2678">
        <v>43361</v>
      </c>
      <c r="B726" s="2677">
        <v>325000</v>
      </c>
      <c r="C726" s="2677">
        <v>327820</v>
      </c>
      <c r="D726" s="2677">
        <v>324945</v>
      </c>
      <c r="E726" s="2677">
        <v>327436</v>
      </c>
      <c r="F726" s="2677">
        <v>327436</v>
      </c>
      <c r="G726" s="2677">
        <v>500</v>
      </c>
    </row>
    <row r="727" spans="1:10" x14ac:dyDescent="0.3">
      <c r="A727" s="2678">
        <v>43362</v>
      </c>
      <c r="B727" s="2677">
        <v>326400</v>
      </c>
      <c r="C727" s="2677">
        <v>332000</v>
      </c>
      <c r="D727" s="2677">
        <v>326400</v>
      </c>
      <c r="E727" s="2677">
        <v>332000</v>
      </c>
      <c r="F727" s="2677">
        <v>332000</v>
      </c>
      <c r="G727" s="2677">
        <v>600</v>
      </c>
    </row>
    <row r="728" spans="1:10" x14ac:dyDescent="0.3">
      <c r="A728" s="2678">
        <v>43363</v>
      </c>
      <c r="B728" s="2677">
        <v>332300</v>
      </c>
      <c r="C728" s="2677">
        <v>334560</v>
      </c>
      <c r="D728" s="2677">
        <v>332300</v>
      </c>
      <c r="E728" s="2677">
        <v>333415</v>
      </c>
      <c r="F728" s="2677">
        <v>333415</v>
      </c>
      <c r="G728" s="2677">
        <v>300</v>
      </c>
    </row>
    <row r="729" spans="1:10" x14ac:dyDescent="0.3">
      <c r="A729" s="2678">
        <v>43364</v>
      </c>
      <c r="B729" s="2677">
        <v>333780</v>
      </c>
      <c r="C729" s="2677">
        <v>333860</v>
      </c>
      <c r="D729" s="2677">
        <v>331015</v>
      </c>
      <c r="E729" s="2677">
        <v>331336</v>
      </c>
      <c r="F729" s="2677">
        <v>331336</v>
      </c>
      <c r="G729" s="2677">
        <v>400</v>
      </c>
    </row>
    <row r="730" spans="1:10" x14ac:dyDescent="0.3">
      <c r="A730" s="2678">
        <v>43367</v>
      </c>
      <c r="B730" s="2677">
        <v>330300</v>
      </c>
      <c r="C730" s="2677">
        <v>330990</v>
      </c>
      <c r="D730" s="2677">
        <v>326940</v>
      </c>
      <c r="E730" s="2677">
        <v>327840</v>
      </c>
      <c r="F730" s="2677">
        <v>327840</v>
      </c>
      <c r="G730" s="2677">
        <v>300</v>
      </c>
    </row>
    <row r="731" spans="1:10" x14ac:dyDescent="0.3">
      <c r="A731" s="2678">
        <v>43368</v>
      </c>
      <c r="B731" s="2677">
        <v>328101</v>
      </c>
      <c r="C731" s="2677">
        <v>328500</v>
      </c>
      <c r="D731" s="2677">
        <v>326280</v>
      </c>
      <c r="E731" s="2677">
        <v>328500</v>
      </c>
      <c r="F731" s="2677">
        <v>328500</v>
      </c>
      <c r="G731" s="2677">
        <v>200</v>
      </c>
    </row>
    <row r="732" spans="1:10" x14ac:dyDescent="0.3">
      <c r="A732" s="2678">
        <v>43369</v>
      </c>
      <c r="B732" s="2677">
        <v>328100</v>
      </c>
      <c r="C732" s="2677">
        <v>328100</v>
      </c>
      <c r="D732" s="2677">
        <v>324286</v>
      </c>
      <c r="E732" s="2677">
        <v>324286</v>
      </c>
      <c r="F732" s="2677">
        <v>324286</v>
      </c>
      <c r="G732" s="2677">
        <v>300</v>
      </c>
    </row>
    <row r="733" spans="1:10" x14ac:dyDescent="0.3">
      <c r="A733" s="2678">
        <v>43370</v>
      </c>
      <c r="B733" s="2677">
        <v>324401</v>
      </c>
      <c r="C733" s="2677">
        <v>326500</v>
      </c>
      <c r="D733" s="2677">
        <v>323112</v>
      </c>
      <c r="E733" s="2677">
        <v>324731</v>
      </c>
      <c r="F733" s="2677">
        <v>324731</v>
      </c>
      <c r="G733" s="2677">
        <v>300</v>
      </c>
    </row>
    <row r="734" spans="1:10" x14ac:dyDescent="0.3">
      <c r="A734" s="2678">
        <v>43371</v>
      </c>
      <c r="B734" s="2677">
        <v>324500</v>
      </c>
      <c r="C734" s="2677">
        <v>324500</v>
      </c>
      <c r="D734" s="2677">
        <v>320000</v>
      </c>
      <c r="E734" s="2677">
        <v>320000</v>
      </c>
      <c r="F734" s="2677">
        <v>320000</v>
      </c>
      <c r="G734" s="2677">
        <v>400</v>
      </c>
    </row>
    <row r="735" spans="1:10" x14ac:dyDescent="0.3">
      <c r="A735" s="2678">
        <v>43374</v>
      </c>
      <c r="B735" s="2677">
        <v>323165</v>
      </c>
      <c r="C735" s="2677">
        <v>324100</v>
      </c>
      <c r="D735" s="2677">
        <v>320910</v>
      </c>
      <c r="E735" s="2677">
        <v>321930</v>
      </c>
      <c r="F735" s="2677">
        <v>321930</v>
      </c>
      <c r="G735" s="2677">
        <v>500</v>
      </c>
      <c r="I735" s="2677">
        <f>MAX(C735:C797)</f>
        <v>335900</v>
      </c>
      <c r="J735" s="2677">
        <f>MIN(D735:D797)</f>
        <v>279410</v>
      </c>
    </row>
    <row r="736" spans="1:10" x14ac:dyDescent="0.3">
      <c r="A736" s="2678">
        <v>43375</v>
      </c>
      <c r="B736" s="2677">
        <v>321280</v>
      </c>
      <c r="C736" s="2677">
        <v>323330</v>
      </c>
      <c r="D736" s="2677">
        <v>321150</v>
      </c>
      <c r="E736" s="2677">
        <v>322900</v>
      </c>
      <c r="F736" s="2677">
        <v>322900</v>
      </c>
      <c r="G736" s="2677">
        <v>200</v>
      </c>
    </row>
    <row r="737" spans="1:7" x14ac:dyDescent="0.3">
      <c r="A737" s="2678">
        <v>43376</v>
      </c>
      <c r="B737" s="2677">
        <v>323175</v>
      </c>
      <c r="C737" s="2677">
        <v>326506</v>
      </c>
      <c r="D737" s="2677">
        <v>323175</v>
      </c>
      <c r="E737" s="2677">
        <v>323878</v>
      </c>
      <c r="F737" s="2677">
        <v>323878</v>
      </c>
      <c r="G737" s="2677">
        <v>400</v>
      </c>
    </row>
    <row r="738" spans="1:7" x14ac:dyDescent="0.3">
      <c r="A738" s="2678">
        <v>43377</v>
      </c>
      <c r="B738" s="2677">
        <v>324325</v>
      </c>
      <c r="C738" s="2677">
        <v>328410</v>
      </c>
      <c r="D738" s="2677">
        <v>324325</v>
      </c>
      <c r="E738" s="2677">
        <v>327900</v>
      </c>
      <c r="F738" s="2677">
        <v>327900</v>
      </c>
      <c r="G738" s="2677">
        <v>200</v>
      </c>
    </row>
    <row r="739" spans="1:7" x14ac:dyDescent="0.3">
      <c r="A739" s="2678">
        <v>43378</v>
      </c>
      <c r="B739" s="2677">
        <v>328700</v>
      </c>
      <c r="C739" s="2677">
        <v>330120</v>
      </c>
      <c r="D739" s="2677">
        <v>328190</v>
      </c>
      <c r="E739" s="2677">
        <v>329500</v>
      </c>
      <c r="F739" s="2677">
        <v>329500</v>
      </c>
      <c r="G739" s="2677">
        <v>200</v>
      </c>
    </row>
    <row r="740" spans="1:7" x14ac:dyDescent="0.3">
      <c r="A740" s="2678">
        <v>43381</v>
      </c>
      <c r="B740" s="2677">
        <v>329150</v>
      </c>
      <c r="C740" s="2677">
        <v>334070</v>
      </c>
      <c r="D740" s="2677">
        <v>329150</v>
      </c>
      <c r="E740" s="2677">
        <v>333337</v>
      </c>
      <c r="F740" s="2677">
        <v>333337</v>
      </c>
      <c r="G740" s="2677">
        <v>200</v>
      </c>
    </row>
    <row r="741" spans="1:7" x14ac:dyDescent="0.3">
      <c r="A741" s="2678">
        <v>43382</v>
      </c>
      <c r="B741" s="2677">
        <v>332700</v>
      </c>
      <c r="C741" s="2677">
        <v>335900</v>
      </c>
      <c r="D741" s="2677">
        <v>331800</v>
      </c>
      <c r="E741" s="2677">
        <v>335630</v>
      </c>
      <c r="F741" s="2677">
        <v>335630</v>
      </c>
      <c r="G741" s="2677">
        <v>500</v>
      </c>
    </row>
    <row r="742" spans="1:7" x14ac:dyDescent="0.3">
      <c r="A742" s="2678">
        <v>43383</v>
      </c>
      <c r="B742" s="2677">
        <v>334830</v>
      </c>
      <c r="C742" s="2677">
        <v>335441</v>
      </c>
      <c r="D742" s="2677">
        <v>319100</v>
      </c>
      <c r="E742" s="2677">
        <v>319100</v>
      </c>
      <c r="F742" s="2677">
        <v>319100</v>
      </c>
      <c r="G742" s="2677">
        <v>500</v>
      </c>
    </row>
    <row r="743" spans="1:7" x14ac:dyDescent="0.3">
      <c r="A743" s="2678">
        <v>43384</v>
      </c>
      <c r="B743" s="2677">
        <v>316110</v>
      </c>
      <c r="C743" s="2677">
        <v>317990</v>
      </c>
      <c r="D743" s="2677">
        <v>305000</v>
      </c>
      <c r="E743" s="2677">
        <v>308000</v>
      </c>
      <c r="F743" s="2677">
        <v>308000</v>
      </c>
      <c r="G743" s="2677">
        <v>800</v>
      </c>
    </row>
    <row r="744" spans="1:7" x14ac:dyDescent="0.3">
      <c r="A744" s="2678">
        <v>43385</v>
      </c>
      <c r="B744" s="2677">
        <v>314200</v>
      </c>
      <c r="C744" s="2677">
        <v>314590</v>
      </c>
      <c r="D744" s="2677">
        <v>306375</v>
      </c>
      <c r="E744" s="2677">
        <v>310000</v>
      </c>
      <c r="F744" s="2677">
        <v>310000</v>
      </c>
      <c r="G744" s="2677">
        <v>400</v>
      </c>
    </row>
    <row r="745" spans="1:7" x14ac:dyDescent="0.3">
      <c r="A745" s="2678">
        <v>43388</v>
      </c>
      <c r="B745" s="2677">
        <v>310000</v>
      </c>
      <c r="C745" s="2677">
        <v>310000</v>
      </c>
      <c r="D745" s="2677">
        <v>307205</v>
      </c>
      <c r="E745" s="2677">
        <v>308000</v>
      </c>
      <c r="F745" s="2677">
        <v>308000</v>
      </c>
      <c r="G745" s="2677">
        <v>300</v>
      </c>
    </row>
    <row r="746" spans="1:7" x14ac:dyDescent="0.3">
      <c r="A746" s="2678">
        <v>43389</v>
      </c>
      <c r="B746" s="2677">
        <v>310750</v>
      </c>
      <c r="C746" s="2677">
        <v>316000</v>
      </c>
      <c r="D746" s="2677">
        <v>309750</v>
      </c>
      <c r="E746" s="2677">
        <v>314750</v>
      </c>
      <c r="F746" s="2677">
        <v>314750</v>
      </c>
      <c r="G746" s="2677">
        <v>300</v>
      </c>
    </row>
    <row r="747" spans="1:7" x14ac:dyDescent="0.3">
      <c r="A747" s="2678">
        <v>43390</v>
      </c>
      <c r="B747" s="2677">
        <v>314500</v>
      </c>
      <c r="C747" s="2677">
        <v>317500</v>
      </c>
      <c r="D747" s="2677">
        <v>311296</v>
      </c>
      <c r="E747" s="2677">
        <v>315200</v>
      </c>
      <c r="F747" s="2677">
        <v>315200</v>
      </c>
      <c r="G747" s="2677">
        <v>400</v>
      </c>
    </row>
    <row r="748" spans="1:7" x14ac:dyDescent="0.3">
      <c r="A748" s="2678">
        <v>43391</v>
      </c>
      <c r="B748" s="2677">
        <v>316100</v>
      </c>
      <c r="C748" s="2677">
        <v>316889</v>
      </c>
      <c r="D748" s="2677">
        <v>311000</v>
      </c>
      <c r="E748" s="2677">
        <v>313200</v>
      </c>
      <c r="F748" s="2677">
        <v>313200</v>
      </c>
      <c r="G748" s="2677">
        <v>200</v>
      </c>
    </row>
    <row r="749" spans="1:7" x14ac:dyDescent="0.3">
      <c r="A749" s="2678">
        <v>43392</v>
      </c>
      <c r="B749" s="2677">
        <v>313200</v>
      </c>
      <c r="C749" s="2677">
        <v>316180</v>
      </c>
      <c r="D749" s="2677">
        <v>312264</v>
      </c>
      <c r="E749" s="2677">
        <v>314477</v>
      </c>
      <c r="F749" s="2677">
        <v>314477</v>
      </c>
      <c r="G749" s="2677">
        <v>400</v>
      </c>
    </row>
    <row r="750" spans="1:7" x14ac:dyDescent="0.3">
      <c r="A750" s="2678">
        <v>43395</v>
      </c>
      <c r="B750" s="2677">
        <v>315150</v>
      </c>
      <c r="C750" s="2677">
        <v>315150</v>
      </c>
      <c r="D750" s="2677">
        <v>309080</v>
      </c>
      <c r="E750" s="2677">
        <v>309080</v>
      </c>
      <c r="F750" s="2677">
        <v>309080</v>
      </c>
      <c r="G750" s="2677">
        <v>300</v>
      </c>
    </row>
    <row r="751" spans="1:7" x14ac:dyDescent="0.3">
      <c r="A751" s="2678">
        <v>43396</v>
      </c>
      <c r="B751" s="2677">
        <v>304899</v>
      </c>
      <c r="C751" s="2677">
        <v>307915</v>
      </c>
      <c r="D751" s="2677">
        <v>302861</v>
      </c>
      <c r="E751" s="2677">
        <v>305100</v>
      </c>
      <c r="F751" s="2677">
        <v>305100</v>
      </c>
      <c r="G751" s="2677">
        <v>400</v>
      </c>
    </row>
    <row r="752" spans="1:7" x14ac:dyDescent="0.3">
      <c r="A752" s="2678">
        <v>43397</v>
      </c>
      <c r="B752" s="2677">
        <v>305003</v>
      </c>
      <c r="C752" s="2677">
        <v>306000</v>
      </c>
      <c r="D752" s="2677">
        <v>299381</v>
      </c>
      <c r="E752" s="2677">
        <v>299995</v>
      </c>
      <c r="F752" s="2677">
        <v>299995</v>
      </c>
      <c r="G752" s="2677">
        <v>400</v>
      </c>
    </row>
    <row r="753" spans="1:7" x14ac:dyDescent="0.3">
      <c r="A753" s="2678">
        <v>43398</v>
      </c>
      <c r="B753" s="2677">
        <v>302000</v>
      </c>
      <c r="C753" s="2677">
        <v>305050</v>
      </c>
      <c r="D753" s="2677">
        <v>300430</v>
      </c>
      <c r="E753" s="2677">
        <v>302231</v>
      </c>
      <c r="F753" s="2677">
        <v>302231</v>
      </c>
      <c r="G753" s="2677">
        <v>400</v>
      </c>
    </row>
    <row r="754" spans="1:7" x14ac:dyDescent="0.3">
      <c r="A754" s="2678">
        <v>43399</v>
      </c>
      <c r="B754" s="2677">
        <v>299995</v>
      </c>
      <c r="C754" s="2677">
        <v>300605</v>
      </c>
      <c r="D754" s="2677">
        <v>296003</v>
      </c>
      <c r="E754" s="2677">
        <v>296805</v>
      </c>
      <c r="F754" s="2677">
        <v>296805</v>
      </c>
      <c r="G754" s="2677">
        <v>600</v>
      </c>
    </row>
    <row r="755" spans="1:7" x14ac:dyDescent="0.3">
      <c r="A755" s="2678">
        <v>43402</v>
      </c>
      <c r="B755" s="2677">
        <v>302500</v>
      </c>
      <c r="C755" s="2677">
        <v>306864</v>
      </c>
      <c r="D755" s="2677">
        <v>297000</v>
      </c>
      <c r="E755" s="2677">
        <v>300000</v>
      </c>
      <c r="F755" s="2677">
        <v>300000</v>
      </c>
      <c r="G755" s="2677">
        <v>400</v>
      </c>
    </row>
    <row r="756" spans="1:7" x14ac:dyDescent="0.3">
      <c r="A756" s="2678">
        <v>43403</v>
      </c>
      <c r="B756" s="2677">
        <v>300300</v>
      </c>
      <c r="C756" s="2677">
        <v>305579</v>
      </c>
      <c r="D756" s="2677">
        <v>298480</v>
      </c>
      <c r="E756" s="2677">
        <v>305579</v>
      </c>
      <c r="F756" s="2677">
        <v>305579</v>
      </c>
      <c r="G756" s="2677">
        <v>400</v>
      </c>
    </row>
    <row r="757" spans="1:7" x14ac:dyDescent="0.3">
      <c r="A757" s="2678">
        <v>43404</v>
      </c>
      <c r="B757" s="2677">
        <v>309180</v>
      </c>
      <c r="C757" s="2677">
        <v>312010</v>
      </c>
      <c r="D757" s="2677">
        <v>307090</v>
      </c>
      <c r="E757" s="2677">
        <v>307705</v>
      </c>
      <c r="F757" s="2677">
        <v>307705</v>
      </c>
      <c r="G757" s="2677">
        <v>300</v>
      </c>
    </row>
    <row r="758" spans="1:7" x14ac:dyDescent="0.3">
      <c r="A758" s="2678">
        <v>43405</v>
      </c>
      <c r="B758" s="2677">
        <v>308007</v>
      </c>
      <c r="C758" s="2677">
        <v>309199</v>
      </c>
      <c r="D758" s="2677">
        <v>306001</v>
      </c>
      <c r="E758" s="2677">
        <v>308366</v>
      </c>
      <c r="F758" s="2677">
        <v>308366</v>
      </c>
      <c r="G758" s="2677">
        <v>200</v>
      </c>
    </row>
    <row r="759" spans="1:7" x14ac:dyDescent="0.3">
      <c r="A759" s="2678">
        <v>43406</v>
      </c>
      <c r="B759" s="2677">
        <v>312150</v>
      </c>
      <c r="C759" s="2677">
        <v>313015</v>
      </c>
      <c r="D759" s="2677">
        <v>305250</v>
      </c>
      <c r="E759" s="2677">
        <v>308411</v>
      </c>
      <c r="F759" s="2677">
        <v>308411</v>
      </c>
      <c r="G759" s="2677">
        <v>200</v>
      </c>
    </row>
    <row r="760" spans="1:7" x14ac:dyDescent="0.3">
      <c r="A760" s="2678">
        <v>43409</v>
      </c>
      <c r="B760" s="2677">
        <v>318880</v>
      </c>
      <c r="C760" s="2677">
        <v>326047</v>
      </c>
      <c r="D760" s="2677">
        <v>318880</v>
      </c>
      <c r="E760" s="2677">
        <v>323935</v>
      </c>
      <c r="F760" s="2677">
        <v>323935</v>
      </c>
      <c r="G760" s="2677">
        <v>600</v>
      </c>
    </row>
    <row r="761" spans="1:7" x14ac:dyDescent="0.3">
      <c r="A761" s="2678">
        <v>43410</v>
      </c>
      <c r="B761" s="2677">
        <v>325945</v>
      </c>
      <c r="C761" s="2677">
        <v>327600</v>
      </c>
      <c r="D761" s="2677">
        <v>324885</v>
      </c>
      <c r="E761" s="2677">
        <v>327050</v>
      </c>
      <c r="F761" s="2677">
        <v>327050</v>
      </c>
      <c r="G761" s="2677">
        <v>300</v>
      </c>
    </row>
    <row r="762" spans="1:7" x14ac:dyDescent="0.3">
      <c r="A762" s="2678">
        <v>43411</v>
      </c>
      <c r="B762" s="2677">
        <v>330000</v>
      </c>
      <c r="C762" s="2677">
        <v>332222</v>
      </c>
      <c r="D762" s="2677">
        <v>326600</v>
      </c>
      <c r="E762" s="2677">
        <v>331391</v>
      </c>
      <c r="F762" s="2677">
        <v>331391</v>
      </c>
      <c r="G762" s="2677">
        <v>300</v>
      </c>
    </row>
    <row r="763" spans="1:7" x14ac:dyDescent="0.3">
      <c r="A763" s="2678">
        <v>43412</v>
      </c>
      <c r="B763" s="2677">
        <v>331400</v>
      </c>
      <c r="C763" s="2677">
        <v>335109</v>
      </c>
      <c r="D763" s="2677">
        <v>330980</v>
      </c>
      <c r="E763" s="2677">
        <v>333200</v>
      </c>
      <c r="F763" s="2677">
        <v>333200</v>
      </c>
      <c r="G763" s="2677">
        <v>400</v>
      </c>
    </row>
    <row r="764" spans="1:7" x14ac:dyDescent="0.3">
      <c r="A764" s="2678">
        <v>43413</v>
      </c>
      <c r="B764" s="2677">
        <v>331840</v>
      </c>
      <c r="C764" s="2677">
        <v>331940</v>
      </c>
      <c r="D764" s="2677">
        <v>327510</v>
      </c>
      <c r="E764" s="2677">
        <v>329665</v>
      </c>
      <c r="F764" s="2677">
        <v>329665</v>
      </c>
      <c r="G764" s="2677">
        <v>100</v>
      </c>
    </row>
    <row r="765" spans="1:7" x14ac:dyDescent="0.3">
      <c r="A765" s="2678">
        <v>43416</v>
      </c>
      <c r="B765" s="2677">
        <v>328930</v>
      </c>
      <c r="C765" s="2677">
        <v>329065</v>
      </c>
      <c r="D765" s="2677">
        <v>322980</v>
      </c>
      <c r="E765" s="2677">
        <v>323040</v>
      </c>
      <c r="F765" s="2677">
        <v>323040</v>
      </c>
      <c r="G765" s="2677">
        <v>200</v>
      </c>
    </row>
    <row r="766" spans="1:7" x14ac:dyDescent="0.3">
      <c r="A766" s="2678">
        <v>43417</v>
      </c>
      <c r="B766" s="2677">
        <v>323105</v>
      </c>
      <c r="C766" s="2677">
        <v>328408</v>
      </c>
      <c r="D766" s="2677">
        <v>323105</v>
      </c>
      <c r="E766" s="2677">
        <v>326700</v>
      </c>
      <c r="F766" s="2677">
        <v>326700</v>
      </c>
      <c r="G766" s="2677">
        <v>300</v>
      </c>
    </row>
    <row r="767" spans="1:7" x14ac:dyDescent="0.3">
      <c r="A767" s="2678">
        <v>43418</v>
      </c>
      <c r="B767" s="2677">
        <v>329080</v>
      </c>
      <c r="C767" s="2677">
        <v>330450</v>
      </c>
      <c r="D767" s="2677">
        <v>321000</v>
      </c>
      <c r="E767" s="2677">
        <v>323700</v>
      </c>
      <c r="F767" s="2677">
        <v>323700</v>
      </c>
      <c r="G767" s="2677">
        <v>300</v>
      </c>
    </row>
    <row r="768" spans="1:7" x14ac:dyDescent="0.3">
      <c r="A768" s="2678">
        <v>43419</v>
      </c>
      <c r="B768" s="2677">
        <v>322770</v>
      </c>
      <c r="C768" s="2677">
        <v>326300</v>
      </c>
      <c r="D768" s="2677">
        <v>318120</v>
      </c>
      <c r="E768" s="2677">
        <v>326300</v>
      </c>
      <c r="F768" s="2677">
        <v>326300</v>
      </c>
      <c r="G768" s="2677">
        <v>200</v>
      </c>
    </row>
    <row r="769" spans="1:7" x14ac:dyDescent="0.3">
      <c r="A769" s="2678">
        <v>43420</v>
      </c>
      <c r="B769" s="2677">
        <v>326000</v>
      </c>
      <c r="C769" s="2677">
        <v>330526</v>
      </c>
      <c r="D769" s="2677">
        <v>323800</v>
      </c>
      <c r="E769" s="2677">
        <v>328350</v>
      </c>
      <c r="F769" s="2677">
        <v>328350</v>
      </c>
      <c r="G769" s="2677">
        <v>200</v>
      </c>
    </row>
    <row r="770" spans="1:7" x14ac:dyDescent="0.3">
      <c r="A770" s="2678">
        <v>43423</v>
      </c>
      <c r="B770" s="2677">
        <v>327000</v>
      </c>
      <c r="C770" s="2677">
        <v>327025</v>
      </c>
      <c r="D770" s="2677">
        <v>322960</v>
      </c>
      <c r="E770" s="2677">
        <v>326706</v>
      </c>
      <c r="F770" s="2677">
        <v>326706</v>
      </c>
      <c r="G770" s="2677">
        <v>200</v>
      </c>
    </row>
    <row r="771" spans="1:7" x14ac:dyDescent="0.3">
      <c r="A771" s="2678">
        <v>43424</v>
      </c>
      <c r="B771" s="2677">
        <v>322710</v>
      </c>
      <c r="C771" s="2677">
        <v>323010</v>
      </c>
      <c r="D771" s="2677">
        <v>315623</v>
      </c>
      <c r="E771" s="2677">
        <v>315970</v>
      </c>
      <c r="F771" s="2677">
        <v>315970</v>
      </c>
      <c r="G771" s="2677">
        <v>400</v>
      </c>
    </row>
    <row r="772" spans="1:7" x14ac:dyDescent="0.3">
      <c r="A772" s="2678">
        <v>43425</v>
      </c>
      <c r="B772" s="2677">
        <v>316300</v>
      </c>
      <c r="C772" s="2677">
        <v>320396</v>
      </c>
      <c r="D772" s="2677">
        <v>316000</v>
      </c>
      <c r="E772" s="2677">
        <v>316301</v>
      </c>
      <c r="F772" s="2677">
        <v>316301</v>
      </c>
      <c r="G772" s="2677">
        <v>100</v>
      </c>
    </row>
    <row r="773" spans="1:7" x14ac:dyDescent="0.3">
      <c r="A773" s="2678">
        <v>43427</v>
      </c>
      <c r="B773" s="2677">
        <v>315000</v>
      </c>
      <c r="C773" s="2677">
        <v>315000</v>
      </c>
      <c r="D773" s="2677">
        <v>310340</v>
      </c>
      <c r="E773" s="2677">
        <v>310340</v>
      </c>
      <c r="F773" s="2677">
        <v>310340</v>
      </c>
      <c r="G773" s="2677">
        <v>100</v>
      </c>
    </row>
    <row r="774" spans="1:7" x14ac:dyDescent="0.3">
      <c r="A774" s="2678">
        <v>43430</v>
      </c>
      <c r="B774" s="2677">
        <v>313700</v>
      </c>
      <c r="C774" s="2677">
        <v>316430</v>
      </c>
      <c r="D774" s="2677">
        <v>313135</v>
      </c>
      <c r="E774" s="2677">
        <v>316040</v>
      </c>
      <c r="F774" s="2677">
        <v>316040</v>
      </c>
      <c r="G774" s="2677">
        <v>200</v>
      </c>
    </row>
    <row r="775" spans="1:7" x14ac:dyDescent="0.3">
      <c r="A775" s="2678">
        <v>43431</v>
      </c>
      <c r="B775" s="2677">
        <v>315420</v>
      </c>
      <c r="C775" s="2677">
        <v>319100</v>
      </c>
      <c r="D775" s="2677">
        <v>315420</v>
      </c>
      <c r="E775" s="2677">
        <v>318696</v>
      </c>
      <c r="F775" s="2677">
        <v>318696</v>
      </c>
      <c r="G775" s="2677">
        <v>200</v>
      </c>
    </row>
    <row r="776" spans="1:7" x14ac:dyDescent="0.3">
      <c r="A776" s="2678">
        <v>43432</v>
      </c>
      <c r="B776" s="2677">
        <v>319150</v>
      </c>
      <c r="C776" s="2677">
        <v>326450</v>
      </c>
      <c r="D776" s="2677">
        <v>318745</v>
      </c>
      <c r="E776" s="2677">
        <v>325000</v>
      </c>
      <c r="F776" s="2677">
        <v>325000</v>
      </c>
      <c r="G776" s="2677">
        <v>500</v>
      </c>
    </row>
    <row r="777" spans="1:7" x14ac:dyDescent="0.3">
      <c r="A777" s="2678">
        <v>43433</v>
      </c>
      <c r="B777" s="2677">
        <v>324750</v>
      </c>
      <c r="C777" s="2677">
        <v>328900</v>
      </c>
      <c r="D777" s="2677">
        <v>324200</v>
      </c>
      <c r="E777" s="2677">
        <v>326481</v>
      </c>
      <c r="F777" s="2677">
        <v>326481</v>
      </c>
      <c r="G777" s="2677">
        <v>400</v>
      </c>
    </row>
    <row r="778" spans="1:7" x14ac:dyDescent="0.3">
      <c r="A778" s="2678">
        <v>43434</v>
      </c>
      <c r="B778" s="2677">
        <v>325125</v>
      </c>
      <c r="C778" s="2677">
        <v>328550</v>
      </c>
      <c r="D778" s="2677">
        <v>325125</v>
      </c>
      <c r="E778" s="2677">
        <v>326000</v>
      </c>
      <c r="F778" s="2677">
        <v>326000</v>
      </c>
      <c r="G778" s="2677">
        <v>200</v>
      </c>
    </row>
    <row r="779" spans="1:7" x14ac:dyDescent="0.3">
      <c r="A779" s="2678">
        <v>43437</v>
      </c>
      <c r="B779" s="2677">
        <v>331500</v>
      </c>
      <c r="C779" s="2677">
        <v>335041</v>
      </c>
      <c r="D779" s="2677">
        <v>328580</v>
      </c>
      <c r="E779" s="2677">
        <v>330921</v>
      </c>
      <c r="F779" s="2677">
        <v>330921</v>
      </c>
      <c r="G779" s="2677">
        <v>400</v>
      </c>
    </row>
    <row r="780" spans="1:7" x14ac:dyDescent="0.3">
      <c r="A780" s="2678">
        <v>43438</v>
      </c>
      <c r="B780" s="2677">
        <v>330200</v>
      </c>
      <c r="C780" s="2677">
        <v>330200</v>
      </c>
      <c r="D780" s="2677">
        <v>314929</v>
      </c>
      <c r="E780" s="2677">
        <v>315000</v>
      </c>
      <c r="F780" s="2677">
        <v>315000</v>
      </c>
      <c r="G780" s="2677">
        <v>600</v>
      </c>
    </row>
    <row r="781" spans="1:7" x14ac:dyDescent="0.3">
      <c r="A781" s="2678">
        <v>43440</v>
      </c>
      <c r="B781" s="2677">
        <v>310550</v>
      </c>
      <c r="C781" s="2677">
        <v>312150</v>
      </c>
      <c r="D781" s="2677">
        <v>304500</v>
      </c>
      <c r="E781" s="2677">
        <v>312000</v>
      </c>
      <c r="F781" s="2677">
        <v>312000</v>
      </c>
      <c r="G781" s="2677">
        <v>600</v>
      </c>
    </row>
    <row r="782" spans="1:7" x14ac:dyDescent="0.3">
      <c r="A782" s="2678">
        <v>43441</v>
      </c>
      <c r="B782" s="2677">
        <v>313250</v>
      </c>
      <c r="C782" s="2677">
        <v>316280</v>
      </c>
      <c r="D782" s="2677">
        <v>305850</v>
      </c>
      <c r="E782" s="2677">
        <v>307674</v>
      </c>
      <c r="F782" s="2677">
        <v>307674</v>
      </c>
      <c r="G782" s="2677">
        <v>200</v>
      </c>
    </row>
    <row r="783" spans="1:7" x14ac:dyDescent="0.3">
      <c r="A783" s="2678">
        <v>43444</v>
      </c>
      <c r="B783" s="2677">
        <v>306200</v>
      </c>
      <c r="C783" s="2677">
        <v>306990</v>
      </c>
      <c r="D783" s="2677">
        <v>298101</v>
      </c>
      <c r="E783" s="2677">
        <v>304600</v>
      </c>
      <c r="F783" s="2677">
        <v>304600</v>
      </c>
      <c r="G783" s="2677">
        <v>500</v>
      </c>
    </row>
    <row r="784" spans="1:7" x14ac:dyDescent="0.3">
      <c r="A784" s="2678">
        <v>43445</v>
      </c>
      <c r="B784" s="2677">
        <v>309499</v>
      </c>
      <c r="C784" s="2677">
        <v>310697</v>
      </c>
      <c r="D784" s="2677">
        <v>301234</v>
      </c>
      <c r="E784" s="2677">
        <v>303226</v>
      </c>
      <c r="F784" s="2677">
        <v>303226</v>
      </c>
      <c r="G784" s="2677">
        <v>300</v>
      </c>
    </row>
    <row r="785" spans="1:10" x14ac:dyDescent="0.3">
      <c r="A785" s="2678">
        <v>43446</v>
      </c>
      <c r="B785" s="2677">
        <v>308000</v>
      </c>
      <c r="C785" s="2677">
        <v>308272</v>
      </c>
      <c r="D785" s="2677">
        <v>303400</v>
      </c>
      <c r="E785" s="2677">
        <v>303600</v>
      </c>
      <c r="F785" s="2677">
        <v>303600</v>
      </c>
      <c r="G785" s="2677">
        <v>300</v>
      </c>
    </row>
    <row r="786" spans="1:10" x14ac:dyDescent="0.3">
      <c r="A786" s="2678">
        <v>43447</v>
      </c>
      <c r="B786" s="2677">
        <v>303700</v>
      </c>
      <c r="C786" s="2677">
        <v>304955</v>
      </c>
      <c r="D786" s="2677">
        <v>302310</v>
      </c>
      <c r="E786" s="2677">
        <v>303750</v>
      </c>
      <c r="F786" s="2677">
        <v>303750</v>
      </c>
      <c r="G786" s="2677">
        <v>500</v>
      </c>
    </row>
    <row r="787" spans="1:10" x14ac:dyDescent="0.3">
      <c r="A787" s="2678">
        <v>43448</v>
      </c>
      <c r="B787" s="2677">
        <v>301554</v>
      </c>
      <c r="C787" s="2677">
        <v>302406</v>
      </c>
      <c r="D787" s="2677">
        <v>299440</v>
      </c>
      <c r="E787" s="2677">
        <v>300320</v>
      </c>
      <c r="F787" s="2677">
        <v>300320</v>
      </c>
      <c r="G787" s="2677">
        <v>800</v>
      </c>
    </row>
    <row r="788" spans="1:10" x14ac:dyDescent="0.3">
      <c r="A788" s="2678">
        <v>43451</v>
      </c>
      <c r="B788" s="2677">
        <v>299120</v>
      </c>
      <c r="C788" s="2677">
        <v>303150</v>
      </c>
      <c r="D788" s="2677">
        <v>296000</v>
      </c>
      <c r="E788" s="2677">
        <v>297000</v>
      </c>
      <c r="F788" s="2677">
        <v>297000</v>
      </c>
      <c r="G788" s="2677">
        <v>500</v>
      </c>
    </row>
    <row r="789" spans="1:10" x14ac:dyDescent="0.3">
      <c r="A789" s="2678">
        <v>43452</v>
      </c>
      <c r="B789" s="2677">
        <v>299030</v>
      </c>
      <c r="C789" s="2677">
        <v>300540</v>
      </c>
      <c r="D789" s="2677">
        <v>292524</v>
      </c>
      <c r="E789" s="2677">
        <v>294500</v>
      </c>
      <c r="F789" s="2677">
        <v>294500</v>
      </c>
      <c r="G789" s="2677">
        <v>800</v>
      </c>
    </row>
    <row r="790" spans="1:10" x14ac:dyDescent="0.3">
      <c r="A790" s="2678">
        <v>43453</v>
      </c>
      <c r="B790" s="2677">
        <v>295000</v>
      </c>
      <c r="C790" s="2677">
        <v>301000</v>
      </c>
      <c r="D790" s="2677">
        <v>290627</v>
      </c>
      <c r="E790" s="2677">
        <v>293040</v>
      </c>
      <c r="F790" s="2677">
        <v>293040</v>
      </c>
      <c r="G790" s="2677">
        <v>500</v>
      </c>
    </row>
    <row r="791" spans="1:10" x14ac:dyDescent="0.3">
      <c r="A791" s="2678">
        <v>43454</v>
      </c>
      <c r="B791" s="2677">
        <v>290425</v>
      </c>
      <c r="C791" s="2677">
        <v>292975</v>
      </c>
      <c r="D791" s="2677">
        <v>287485</v>
      </c>
      <c r="E791" s="2677">
        <v>290100</v>
      </c>
      <c r="F791" s="2677">
        <v>290100</v>
      </c>
      <c r="G791" s="2677">
        <v>700</v>
      </c>
    </row>
    <row r="792" spans="1:10" x14ac:dyDescent="0.3">
      <c r="A792" s="2678">
        <v>43455</v>
      </c>
      <c r="B792" s="2677">
        <v>290000</v>
      </c>
      <c r="C792" s="2677">
        <v>296100</v>
      </c>
      <c r="D792" s="2677">
        <v>287800</v>
      </c>
      <c r="E792" s="2677">
        <v>288000</v>
      </c>
      <c r="F792" s="2677">
        <v>288000</v>
      </c>
      <c r="G792" s="2677">
        <v>500</v>
      </c>
    </row>
    <row r="793" spans="1:10" x14ac:dyDescent="0.3">
      <c r="A793" s="2678">
        <v>43458</v>
      </c>
      <c r="B793" s="2677">
        <v>288000</v>
      </c>
      <c r="C793" s="2677">
        <v>288000</v>
      </c>
      <c r="D793" s="2677">
        <v>281000</v>
      </c>
      <c r="E793" s="2677">
        <v>282640</v>
      </c>
      <c r="F793" s="2677">
        <v>282640</v>
      </c>
      <c r="G793" s="2677">
        <v>400</v>
      </c>
    </row>
    <row r="794" spans="1:10" x14ac:dyDescent="0.3">
      <c r="A794" s="2678">
        <v>43460</v>
      </c>
      <c r="B794" s="2677">
        <v>283250</v>
      </c>
      <c r="C794" s="2677">
        <v>296745</v>
      </c>
      <c r="D794" s="2677">
        <v>279410</v>
      </c>
      <c r="E794" s="2677">
        <v>294850</v>
      </c>
      <c r="F794" s="2677">
        <v>294850</v>
      </c>
      <c r="G794" s="2677">
        <v>500</v>
      </c>
    </row>
    <row r="795" spans="1:10" x14ac:dyDescent="0.3">
      <c r="A795" s="2678">
        <v>43461</v>
      </c>
      <c r="B795" s="2677">
        <v>293000</v>
      </c>
      <c r="C795" s="2677">
        <v>299800</v>
      </c>
      <c r="D795" s="2677">
        <v>288000</v>
      </c>
      <c r="E795" s="2677">
        <v>298500</v>
      </c>
      <c r="F795" s="2677">
        <v>298500</v>
      </c>
      <c r="G795" s="2677">
        <v>600</v>
      </c>
    </row>
    <row r="796" spans="1:10" x14ac:dyDescent="0.3">
      <c r="A796" s="2678">
        <v>43462</v>
      </c>
      <c r="B796" s="2677">
        <v>300005</v>
      </c>
      <c r="C796" s="2677">
        <v>306900</v>
      </c>
      <c r="D796" s="2677">
        <v>300005</v>
      </c>
      <c r="E796" s="2677">
        <v>302600</v>
      </c>
      <c r="F796" s="2677">
        <v>302600</v>
      </c>
      <c r="G796" s="2677">
        <v>500</v>
      </c>
    </row>
    <row r="797" spans="1:10" x14ac:dyDescent="0.3">
      <c r="A797" s="2678">
        <v>43465</v>
      </c>
      <c r="B797" s="2677">
        <v>306000</v>
      </c>
      <c r="C797" s="2677">
        <v>307479</v>
      </c>
      <c r="D797" s="2677">
        <v>301618</v>
      </c>
      <c r="E797" s="2677">
        <v>306000</v>
      </c>
      <c r="F797" s="2677">
        <v>306000</v>
      </c>
      <c r="G797" s="2677">
        <v>300</v>
      </c>
    </row>
    <row r="798" spans="1:10" x14ac:dyDescent="0.3">
      <c r="A798" s="2678">
        <v>43467</v>
      </c>
      <c r="B798" s="2677">
        <v>302000</v>
      </c>
      <c r="C798" s="2677">
        <v>306255</v>
      </c>
      <c r="D798" s="2677">
        <v>301880</v>
      </c>
      <c r="E798" s="2677">
        <v>304057</v>
      </c>
      <c r="F798" s="2677">
        <v>304057</v>
      </c>
      <c r="G798" s="2677">
        <v>400</v>
      </c>
      <c r="I798" s="2677">
        <f>MAX(C798:C858)</f>
        <v>313960</v>
      </c>
      <c r="J798" s="2677">
        <f>MIN(D798:D858)</f>
        <v>286650</v>
      </c>
    </row>
    <row r="799" spans="1:10" x14ac:dyDescent="0.3">
      <c r="A799" s="2678">
        <v>43468</v>
      </c>
      <c r="B799" s="2677">
        <v>300000</v>
      </c>
      <c r="C799" s="2677">
        <v>300000</v>
      </c>
      <c r="D799" s="2677">
        <v>286650</v>
      </c>
      <c r="E799" s="2677">
        <v>287000</v>
      </c>
      <c r="F799" s="2677">
        <v>287000</v>
      </c>
      <c r="G799" s="2677">
        <v>700</v>
      </c>
    </row>
    <row r="800" spans="1:10" x14ac:dyDescent="0.3">
      <c r="A800" s="2678">
        <v>43469</v>
      </c>
      <c r="B800" s="2677">
        <v>292715</v>
      </c>
      <c r="C800" s="2677">
        <v>295404</v>
      </c>
      <c r="D800" s="2677">
        <v>290755</v>
      </c>
      <c r="E800" s="2677">
        <v>292500</v>
      </c>
      <c r="F800" s="2677">
        <v>292500</v>
      </c>
      <c r="G800" s="2677">
        <v>800</v>
      </c>
    </row>
    <row r="801" spans="1:7" x14ac:dyDescent="0.3">
      <c r="A801" s="2678">
        <v>43472</v>
      </c>
      <c r="B801" s="2677">
        <v>294500</v>
      </c>
      <c r="C801" s="2677">
        <v>297170</v>
      </c>
      <c r="D801" s="2677">
        <v>292970</v>
      </c>
      <c r="E801" s="2677">
        <v>295400</v>
      </c>
      <c r="F801" s="2677">
        <v>295400</v>
      </c>
      <c r="G801" s="2677">
        <v>600</v>
      </c>
    </row>
    <row r="802" spans="1:7" x14ac:dyDescent="0.3">
      <c r="A802" s="2678">
        <v>43473</v>
      </c>
      <c r="B802" s="2677">
        <v>299060</v>
      </c>
      <c r="C802" s="2677">
        <v>299060</v>
      </c>
      <c r="D802" s="2677">
        <v>292179</v>
      </c>
      <c r="E802" s="2677">
        <v>294300</v>
      </c>
      <c r="F802" s="2677">
        <v>294300</v>
      </c>
      <c r="G802" s="2677">
        <v>300</v>
      </c>
    </row>
    <row r="803" spans="1:7" x14ac:dyDescent="0.3">
      <c r="A803" s="2678">
        <v>43474</v>
      </c>
      <c r="B803" s="2677">
        <v>295990</v>
      </c>
      <c r="C803" s="2677">
        <v>296250</v>
      </c>
      <c r="D803" s="2677">
        <v>292600</v>
      </c>
      <c r="E803" s="2677">
        <v>294560</v>
      </c>
      <c r="F803" s="2677">
        <v>294560</v>
      </c>
      <c r="G803" s="2677">
        <v>300</v>
      </c>
    </row>
    <row r="804" spans="1:7" x14ac:dyDescent="0.3">
      <c r="A804" s="2678">
        <v>43475</v>
      </c>
      <c r="B804" s="2677">
        <v>293600</v>
      </c>
      <c r="C804" s="2677">
        <v>296725</v>
      </c>
      <c r="D804" s="2677">
        <v>292815</v>
      </c>
      <c r="E804" s="2677">
        <v>295160</v>
      </c>
      <c r="F804" s="2677">
        <v>295160</v>
      </c>
      <c r="G804" s="2677">
        <v>300</v>
      </c>
    </row>
    <row r="805" spans="1:7" x14ac:dyDescent="0.3">
      <c r="A805" s="2678">
        <v>43476</v>
      </c>
      <c r="B805" s="2677">
        <v>293750</v>
      </c>
      <c r="C805" s="2677">
        <v>294300</v>
      </c>
      <c r="D805" s="2677">
        <v>292000</v>
      </c>
      <c r="E805" s="2677">
        <v>293980</v>
      </c>
      <c r="F805" s="2677">
        <v>293980</v>
      </c>
      <c r="G805" s="2677">
        <v>500</v>
      </c>
    </row>
    <row r="806" spans="1:7" x14ac:dyDescent="0.3">
      <c r="A806" s="2678">
        <v>43479</v>
      </c>
      <c r="B806" s="2677">
        <v>291750</v>
      </c>
      <c r="C806" s="2677">
        <v>294631</v>
      </c>
      <c r="D806" s="2677">
        <v>291650</v>
      </c>
      <c r="E806" s="2677">
        <v>292371</v>
      </c>
      <c r="F806" s="2677">
        <v>292371</v>
      </c>
      <c r="G806" s="2677">
        <v>500</v>
      </c>
    </row>
    <row r="807" spans="1:7" x14ac:dyDescent="0.3">
      <c r="A807" s="2678">
        <v>43480</v>
      </c>
      <c r="B807" s="2677">
        <v>294180</v>
      </c>
      <c r="C807" s="2677">
        <v>295880</v>
      </c>
      <c r="D807" s="2677">
        <v>293009</v>
      </c>
      <c r="E807" s="2677">
        <v>295000</v>
      </c>
      <c r="F807" s="2677">
        <v>295000</v>
      </c>
      <c r="G807" s="2677">
        <v>500</v>
      </c>
    </row>
    <row r="808" spans="1:7" x14ac:dyDescent="0.3">
      <c r="A808" s="2678">
        <v>43481</v>
      </c>
      <c r="B808" s="2677">
        <v>296300</v>
      </c>
      <c r="C808" s="2677">
        <v>299300</v>
      </c>
      <c r="D808" s="2677">
        <v>295811</v>
      </c>
      <c r="E808" s="2677">
        <v>295811</v>
      </c>
      <c r="F808" s="2677">
        <v>295811</v>
      </c>
      <c r="G808" s="2677">
        <v>700</v>
      </c>
    </row>
    <row r="809" spans="1:7" x14ac:dyDescent="0.3">
      <c r="A809" s="2678">
        <v>43482</v>
      </c>
      <c r="B809" s="2677">
        <v>297000</v>
      </c>
      <c r="C809" s="2677">
        <v>299075</v>
      </c>
      <c r="D809" s="2677">
        <v>294970</v>
      </c>
      <c r="E809" s="2677">
        <v>297547</v>
      </c>
      <c r="F809" s="2677">
        <v>297547</v>
      </c>
      <c r="G809" s="2677">
        <v>200</v>
      </c>
    </row>
    <row r="810" spans="1:7" x14ac:dyDescent="0.3">
      <c r="A810" s="2678">
        <v>43483</v>
      </c>
      <c r="B810" s="2677">
        <v>301398</v>
      </c>
      <c r="C810" s="2677">
        <v>306725</v>
      </c>
      <c r="D810" s="2677">
        <v>300603</v>
      </c>
      <c r="E810" s="2677">
        <v>306500</v>
      </c>
      <c r="F810" s="2677">
        <v>306500</v>
      </c>
      <c r="G810" s="2677">
        <v>400</v>
      </c>
    </row>
    <row r="811" spans="1:7" x14ac:dyDescent="0.3">
      <c r="A811" s="2678">
        <v>43487</v>
      </c>
      <c r="B811" s="2677">
        <v>305000</v>
      </c>
      <c r="C811" s="2677">
        <v>307305</v>
      </c>
      <c r="D811" s="2677">
        <v>298794</v>
      </c>
      <c r="E811" s="2677">
        <v>300531</v>
      </c>
      <c r="F811" s="2677">
        <v>300531</v>
      </c>
      <c r="G811" s="2677">
        <v>300</v>
      </c>
    </row>
    <row r="812" spans="1:7" x14ac:dyDescent="0.3">
      <c r="A812" s="2678">
        <v>43488</v>
      </c>
      <c r="B812" s="2677">
        <v>300725</v>
      </c>
      <c r="C812" s="2677">
        <v>301850</v>
      </c>
      <c r="D812" s="2677">
        <v>298000</v>
      </c>
      <c r="E812" s="2677">
        <v>301835</v>
      </c>
      <c r="F812" s="2677">
        <v>301835</v>
      </c>
      <c r="G812" s="2677">
        <v>200</v>
      </c>
    </row>
    <row r="813" spans="1:7" x14ac:dyDescent="0.3">
      <c r="A813" s="2678">
        <v>43489</v>
      </c>
      <c r="B813" s="2677">
        <v>300035</v>
      </c>
      <c r="C813" s="2677">
        <v>302100</v>
      </c>
      <c r="D813" s="2677">
        <v>299740</v>
      </c>
      <c r="E813" s="2677">
        <v>301680</v>
      </c>
      <c r="F813" s="2677">
        <v>301680</v>
      </c>
      <c r="G813" s="2677">
        <v>200</v>
      </c>
    </row>
    <row r="814" spans="1:7" x14ac:dyDescent="0.3">
      <c r="A814" s="2678">
        <v>43490</v>
      </c>
      <c r="B814" s="2677">
        <v>304561</v>
      </c>
      <c r="C814" s="2677">
        <v>306950</v>
      </c>
      <c r="D814" s="2677">
        <v>303265</v>
      </c>
      <c r="E814" s="2677">
        <v>303531</v>
      </c>
      <c r="F814" s="2677">
        <v>303531</v>
      </c>
      <c r="G814" s="2677">
        <v>200</v>
      </c>
    </row>
    <row r="815" spans="1:7" x14ac:dyDescent="0.3">
      <c r="A815" s="2678">
        <v>43493</v>
      </c>
      <c r="B815" s="2677">
        <v>301900</v>
      </c>
      <c r="C815" s="2677">
        <v>302240</v>
      </c>
      <c r="D815" s="2677">
        <v>299850</v>
      </c>
      <c r="E815" s="2677">
        <v>301000</v>
      </c>
      <c r="F815" s="2677">
        <v>301000</v>
      </c>
      <c r="G815" s="2677">
        <v>400</v>
      </c>
    </row>
    <row r="816" spans="1:7" x14ac:dyDescent="0.3">
      <c r="A816" s="2678">
        <v>43494</v>
      </c>
      <c r="B816" s="2677">
        <v>300880</v>
      </c>
      <c r="C816" s="2677">
        <v>303014</v>
      </c>
      <c r="D816" s="2677">
        <v>300745</v>
      </c>
      <c r="E816" s="2677">
        <v>303000</v>
      </c>
      <c r="F816" s="2677">
        <v>303000</v>
      </c>
      <c r="G816" s="2677">
        <v>200</v>
      </c>
    </row>
    <row r="817" spans="1:7" x14ac:dyDescent="0.3">
      <c r="A817" s="2678">
        <v>43495</v>
      </c>
      <c r="B817" s="2677">
        <v>305900</v>
      </c>
      <c r="C817" s="2677">
        <v>311145</v>
      </c>
      <c r="D817" s="2677">
        <v>304800</v>
      </c>
      <c r="E817" s="2677">
        <v>309180</v>
      </c>
      <c r="F817" s="2677">
        <v>309180</v>
      </c>
      <c r="G817" s="2677">
        <v>300</v>
      </c>
    </row>
    <row r="818" spans="1:7" x14ac:dyDescent="0.3">
      <c r="A818" s="2678">
        <v>43496</v>
      </c>
      <c r="B818" s="2677">
        <v>307540</v>
      </c>
      <c r="C818" s="2677">
        <v>311890</v>
      </c>
      <c r="D818" s="2677">
        <v>306195</v>
      </c>
      <c r="E818" s="2677">
        <v>311500</v>
      </c>
      <c r="F818" s="2677">
        <v>311500</v>
      </c>
      <c r="G818" s="2677">
        <v>500</v>
      </c>
    </row>
    <row r="819" spans="1:7" x14ac:dyDescent="0.3">
      <c r="A819" s="2678">
        <v>43497</v>
      </c>
      <c r="B819" s="2677">
        <v>310005</v>
      </c>
      <c r="C819" s="2677">
        <v>313960</v>
      </c>
      <c r="D819" s="2677">
        <v>309965</v>
      </c>
      <c r="E819" s="2677">
        <v>313875</v>
      </c>
      <c r="F819" s="2677">
        <v>313875</v>
      </c>
      <c r="G819" s="2677">
        <v>400</v>
      </c>
    </row>
    <row r="820" spans="1:7" x14ac:dyDescent="0.3">
      <c r="A820" s="2678">
        <v>43500</v>
      </c>
      <c r="B820" s="2677">
        <v>313650</v>
      </c>
      <c r="C820" s="2677">
        <v>313650</v>
      </c>
      <c r="D820" s="2677">
        <v>310470</v>
      </c>
      <c r="E820" s="2677">
        <v>312000</v>
      </c>
      <c r="F820" s="2677">
        <v>312000</v>
      </c>
      <c r="G820" s="2677">
        <v>300</v>
      </c>
    </row>
    <row r="821" spans="1:7" x14ac:dyDescent="0.3">
      <c r="A821" s="2678">
        <v>43501</v>
      </c>
      <c r="B821" s="2677">
        <v>312550</v>
      </c>
      <c r="C821" s="2677">
        <v>313000</v>
      </c>
      <c r="D821" s="2677">
        <v>310155</v>
      </c>
      <c r="E821" s="2677">
        <v>310700</v>
      </c>
      <c r="F821" s="2677">
        <v>310700</v>
      </c>
      <c r="G821" s="2677">
        <v>400</v>
      </c>
    </row>
    <row r="822" spans="1:7" x14ac:dyDescent="0.3">
      <c r="A822" s="2678">
        <v>43502</v>
      </c>
      <c r="B822" s="2677">
        <v>310000</v>
      </c>
      <c r="C822" s="2677">
        <v>310449</v>
      </c>
      <c r="D822" s="2677">
        <v>307780</v>
      </c>
      <c r="E822" s="2677">
        <v>308810</v>
      </c>
      <c r="F822" s="2677">
        <v>308810</v>
      </c>
      <c r="G822" s="2677">
        <v>100</v>
      </c>
    </row>
    <row r="823" spans="1:7" x14ac:dyDescent="0.3">
      <c r="A823" s="2678">
        <v>43503</v>
      </c>
      <c r="B823" s="2677">
        <v>307000</v>
      </c>
      <c r="C823" s="2677">
        <v>307150</v>
      </c>
      <c r="D823" s="2677">
        <v>301100</v>
      </c>
      <c r="E823" s="2677">
        <v>302813</v>
      </c>
      <c r="F823" s="2677">
        <v>302813</v>
      </c>
      <c r="G823" s="2677">
        <v>200</v>
      </c>
    </row>
    <row r="824" spans="1:7" x14ac:dyDescent="0.3">
      <c r="A824" s="2678">
        <v>43504</v>
      </c>
      <c r="B824" s="2677">
        <v>301000</v>
      </c>
      <c r="C824" s="2677">
        <v>301390</v>
      </c>
      <c r="D824" s="2677">
        <v>297381</v>
      </c>
      <c r="E824" s="2677">
        <v>300771</v>
      </c>
      <c r="F824" s="2677">
        <v>300771</v>
      </c>
      <c r="G824" s="2677">
        <v>200</v>
      </c>
    </row>
    <row r="825" spans="1:7" x14ac:dyDescent="0.3">
      <c r="A825" s="2678">
        <v>43507</v>
      </c>
      <c r="B825" s="2677">
        <v>302375</v>
      </c>
      <c r="C825" s="2677">
        <v>304930</v>
      </c>
      <c r="D825" s="2677">
        <v>302350</v>
      </c>
      <c r="E825" s="2677">
        <v>304884</v>
      </c>
      <c r="F825" s="2677">
        <v>304884</v>
      </c>
      <c r="G825" s="2677">
        <v>200</v>
      </c>
    </row>
    <row r="826" spans="1:7" x14ac:dyDescent="0.3">
      <c r="A826" s="2678">
        <v>43508</v>
      </c>
      <c r="B826" s="2677">
        <v>307900</v>
      </c>
      <c r="C826" s="2677">
        <v>310000</v>
      </c>
      <c r="D826" s="2677">
        <v>307655</v>
      </c>
      <c r="E826" s="2677">
        <v>309260</v>
      </c>
      <c r="F826" s="2677">
        <v>309260</v>
      </c>
      <c r="G826" s="2677">
        <v>200</v>
      </c>
    </row>
    <row r="827" spans="1:7" x14ac:dyDescent="0.3">
      <c r="A827" s="2678">
        <v>43509</v>
      </c>
      <c r="B827" s="2677">
        <v>309650</v>
      </c>
      <c r="C827" s="2677">
        <v>312140</v>
      </c>
      <c r="D827" s="2677">
        <v>308025</v>
      </c>
      <c r="E827" s="2677">
        <v>308320</v>
      </c>
      <c r="F827" s="2677">
        <v>308320</v>
      </c>
      <c r="G827" s="2677">
        <v>400</v>
      </c>
    </row>
    <row r="828" spans="1:7" x14ac:dyDescent="0.3">
      <c r="A828" s="2678">
        <v>43510</v>
      </c>
      <c r="B828" s="2677">
        <v>306895</v>
      </c>
      <c r="C828" s="2677">
        <v>306895</v>
      </c>
      <c r="D828" s="2677">
        <v>302585</v>
      </c>
      <c r="E828" s="2677">
        <v>303890</v>
      </c>
      <c r="F828" s="2677">
        <v>303890</v>
      </c>
      <c r="G828" s="2677">
        <v>200</v>
      </c>
    </row>
    <row r="829" spans="1:7" x14ac:dyDescent="0.3">
      <c r="A829" s="2678">
        <v>43511</v>
      </c>
      <c r="B829" s="2677">
        <v>307000</v>
      </c>
      <c r="C829" s="2677">
        <v>308320</v>
      </c>
      <c r="D829" s="2677">
        <v>305850</v>
      </c>
      <c r="E829" s="2677">
        <v>308139</v>
      </c>
      <c r="F829" s="2677">
        <v>308139</v>
      </c>
      <c r="G829" s="2677">
        <v>200</v>
      </c>
    </row>
    <row r="830" spans="1:7" x14ac:dyDescent="0.3">
      <c r="A830" s="2678">
        <v>43515</v>
      </c>
      <c r="B830" s="2677">
        <v>307820</v>
      </c>
      <c r="C830" s="2677">
        <v>309350</v>
      </c>
      <c r="D830" s="2677">
        <v>307295</v>
      </c>
      <c r="E830" s="2677">
        <v>307315</v>
      </c>
      <c r="F830" s="2677">
        <v>307315</v>
      </c>
      <c r="G830" s="2677">
        <v>200</v>
      </c>
    </row>
    <row r="831" spans="1:7" x14ac:dyDescent="0.3">
      <c r="A831" s="2678">
        <v>43516</v>
      </c>
      <c r="B831" s="2677">
        <v>308375</v>
      </c>
      <c r="C831" s="2677">
        <v>309500</v>
      </c>
      <c r="D831" s="2677">
        <v>307500</v>
      </c>
      <c r="E831" s="2677">
        <v>309500</v>
      </c>
      <c r="F831" s="2677">
        <v>309500</v>
      </c>
      <c r="G831" s="2677">
        <v>100</v>
      </c>
    </row>
    <row r="832" spans="1:7" x14ac:dyDescent="0.3">
      <c r="A832" s="2678">
        <v>43517</v>
      </c>
      <c r="B832" s="2677">
        <v>308992</v>
      </c>
      <c r="C832" s="2677">
        <v>309800</v>
      </c>
      <c r="D832" s="2677">
        <v>306535</v>
      </c>
      <c r="E832" s="2677">
        <v>307925</v>
      </c>
      <c r="F832" s="2677">
        <v>307925</v>
      </c>
      <c r="G832" s="2677">
        <v>200</v>
      </c>
    </row>
    <row r="833" spans="1:7" x14ac:dyDescent="0.3">
      <c r="A833" s="2678">
        <v>43518</v>
      </c>
      <c r="B833" s="2677">
        <v>305434</v>
      </c>
      <c r="C833" s="2677">
        <v>305434</v>
      </c>
      <c r="D833" s="2677">
        <v>300000</v>
      </c>
      <c r="E833" s="2677">
        <v>302000</v>
      </c>
      <c r="F833" s="2677">
        <v>302000</v>
      </c>
      <c r="G833" s="2677">
        <v>400</v>
      </c>
    </row>
    <row r="834" spans="1:7" x14ac:dyDescent="0.3">
      <c r="A834" s="2678">
        <v>43521</v>
      </c>
      <c r="B834" s="2677">
        <v>303050</v>
      </c>
      <c r="C834" s="2677">
        <v>307500</v>
      </c>
      <c r="D834" s="2677">
        <v>302000</v>
      </c>
      <c r="E834" s="2677">
        <v>303300</v>
      </c>
      <c r="F834" s="2677">
        <v>303300</v>
      </c>
      <c r="G834" s="2677">
        <v>300</v>
      </c>
    </row>
    <row r="835" spans="1:7" x14ac:dyDescent="0.3">
      <c r="A835" s="2678">
        <v>43522</v>
      </c>
      <c r="B835" s="2677">
        <v>303900</v>
      </c>
      <c r="C835" s="2677">
        <v>303900</v>
      </c>
      <c r="D835" s="2677">
        <v>302000</v>
      </c>
      <c r="E835" s="2677">
        <v>302500</v>
      </c>
      <c r="F835" s="2677">
        <v>302500</v>
      </c>
      <c r="G835" s="2677">
        <v>200</v>
      </c>
    </row>
    <row r="836" spans="1:7" x14ac:dyDescent="0.3">
      <c r="A836" s="2678">
        <v>43523</v>
      </c>
      <c r="B836" s="2677">
        <v>302500</v>
      </c>
      <c r="C836" s="2677">
        <v>303503</v>
      </c>
      <c r="D836" s="2677">
        <v>302100</v>
      </c>
      <c r="E836" s="2677">
        <v>303000</v>
      </c>
      <c r="F836" s="2677">
        <v>303000</v>
      </c>
      <c r="G836" s="2677">
        <v>300</v>
      </c>
    </row>
    <row r="837" spans="1:7" x14ac:dyDescent="0.3">
      <c r="A837" s="2678">
        <v>43524</v>
      </c>
      <c r="B837" s="2677">
        <v>303605</v>
      </c>
      <c r="C837" s="2677">
        <v>303710</v>
      </c>
      <c r="D837" s="2677">
        <v>302000</v>
      </c>
      <c r="E837" s="2677">
        <v>302200</v>
      </c>
      <c r="F837" s="2677">
        <v>302200</v>
      </c>
      <c r="G837" s="2677">
        <v>200</v>
      </c>
    </row>
    <row r="838" spans="1:7" x14ac:dyDescent="0.3">
      <c r="A838" s="2678">
        <v>43525</v>
      </c>
      <c r="B838" s="2677">
        <v>304520</v>
      </c>
      <c r="C838" s="2677">
        <v>306416</v>
      </c>
      <c r="D838" s="2677">
        <v>303000</v>
      </c>
      <c r="E838" s="2677">
        <v>304860</v>
      </c>
      <c r="F838" s="2677">
        <v>304860</v>
      </c>
      <c r="G838" s="2677">
        <v>200</v>
      </c>
    </row>
    <row r="839" spans="1:7" x14ac:dyDescent="0.3">
      <c r="A839" s="2678">
        <v>43528</v>
      </c>
      <c r="B839" s="2677">
        <v>304900</v>
      </c>
      <c r="C839" s="2677">
        <v>307315</v>
      </c>
      <c r="D839" s="2677">
        <v>301200</v>
      </c>
      <c r="E839" s="2677">
        <v>303400</v>
      </c>
      <c r="F839" s="2677">
        <v>303400</v>
      </c>
      <c r="G839" s="2677">
        <v>300</v>
      </c>
    </row>
    <row r="840" spans="1:7" x14ac:dyDescent="0.3">
      <c r="A840" s="2678">
        <v>43529</v>
      </c>
      <c r="B840" s="2677">
        <v>302825</v>
      </c>
      <c r="C840" s="2677">
        <v>303100</v>
      </c>
      <c r="D840" s="2677">
        <v>301300</v>
      </c>
      <c r="E840" s="2677">
        <v>302600</v>
      </c>
      <c r="F840" s="2677">
        <v>302600</v>
      </c>
      <c r="G840" s="2677">
        <v>200</v>
      </c>
    </row>
    <row r="841" spans="1:7" x14ac:dyDescent="0.3">
      <c r="A841" s="2678">
        <v>43530</v>
      </c>
      <c r="B841" s="2677">
        <v>302300</v>
      </c>
      <c r="C841" s="2677">
        <v>303548</v>
      </c>
      <c r="D841" s="2677">
        <v>301200</v>
      </c>
      <c r="E841" s="2677">
        <v>301375</v>
      </c>
      <c r="F841" s="2677">
        <v>301375</v>
      </c>
      <c r="G841" s="2677">
        <v>100</v>
      </c>
    </row>
    <row r="842" spans="1:7" x14ac:dyDescent="0.3">
      <c r="A842" s="2678">
        <v>43531</v>
      </c>
      <c r="B842" s="2677">
        <v>300800</v>
      </c>
      <c r="C842" s="2677">
        <v>301000</v>
      </c>
      <c r="D842" s="2677">
        <v>297500</v>
      </c>
      <c r="E842" s="2677">
        <v>299050</v>
      </c>
      <c r="F842" s="2677">
        <v>299050</v>
      </c>
      <c r="G842" s="2677">
        <v>300</v>
      </c>
    </row>
    <row r="843" spans="1:7" x14ac:dyDescent="0.3">
      <c r="A843" s="2678">
        <v>43532</v>
      </c>
      <c r="B843" s="2677">
        <v>297000</v>
      </c>
      <c r="C843" s="2677">
        <v>299161</v>
      </c>
      <c r="D843" s="2677">
        <v>295900</v>
      </c>
      <c r="E843" s="2677">
        <v>299000</v>
      </c>
      <c r="F843" s="2677">
        <v>299000</v>
      </c>
      <c r="G843" s="2677">
        <v>200</v>
      </c>
    </row>
    <row r="844" spans="1:7" x14ac:dyDescent="0.3">
      <c r="A844" s="2678">
        <v>43535</v>
      </c>
      <c r="B844" s="2677">
        <v>300000</v>
      </c>
      <c r="C844" s="2677">
        <v>303451</v>
      </c>
      <c r="D844" s="2677">
        <v>300000</v>
      </c>
      <c r="E844" s="2677">
        <v>303279</v>
      </c>
      <c r="F844" s="2677">
        <v>303279</v>
      </c>
      <c r="G844" s="2677">
        <v>200</v>
      </c>
    </row>
    <row r="845" spans="1:7" x14ac:dyDescent="0.3">
      <c r="A845" s="2678">
        <v>43536</v>
      </c>
      <c r="B845" s="2677">
        <v>304200</v>
      </c>
      <c r="C845" s="2677">
        <v>305540</v>
      </c>
      <c r="D845" s="2677">
        <v>303725</v>
      </c>
      <c r="E845" s="2677">
        <v>304235</v>
      </c>
      <c r="F845" s="2677">
        <v>304235</v>
      </c>
      <c r="G845" s="2677">
        <v>200</v>
      </c>
    </row>
    <row r="846" spans="1:7" x14ac:dyDescent="0.3">
      <c r="A846" s="2678">
        <v>43537</v>
      </c>
      <c r="B846" s="2677">
        <v>304500</v>
      </c>
      <c r="C846" s="2677">
        <v>308026</v>
      </c>
      <c r="D846" s="2677">
        <v>304355</v>
      </c>
      <c r="E846" s="2677">
        <v>306300</v>
      </c>
      <c r="F846" s="2677">
        <v>306300</v>
      </c>
      <c r="G846" s="2677">
        <v>400</v>
      </c>
    </row>
    <row r="847" spans="1:7" x14ac:dyDescent="0.3">
      <c r="A847" s="2678">
        <v>43538</v>
      </c>
      <c r="B847" s="2677">
        <v>305360</v>
      </c>
      <c r="C847" s="2677">
        <v>306555</v>
      </c>
      <c r="D847" s="2677">
        <v>304300</v>
      </c>
      <c r="E847" s="2677">
        <v>305350</v>
      </c>
      <c r="F847" s="2677">
        <v>305350</v>
      </c>
      <c r="G847" s="2677">
        <v>100</v>
      </c>
    </row>
    <row r="848" spans="1:7" x14ac:dyDescent="0.3">
      <c r="A848" s="2678">
        <v>43539</v>
      </c>
      <c r="B848" s="2677">
        <v>306440</v>
      </c>
      <c r="C848" s="2677">
        <v>309171</v>
      </c>
      <c r="D848" s="2677">
        <v>306000</v>
      </c>
      <c r="E848" s="2677">
        <v>307250</v>
      </c>
      <c r="F848" s="2677">
        <v>307250</v>
      </c>
      <c r="G848" s="2677">
        <v>300</v>
      </c>
    </row>
    <row r="849" spans="1:10" x14ac:dyDescent="0.3">
      <c r="A849" s="2678">
        <v>43542</v>
      </c>
      <c r="B849" s="2677">
        <v>308140</v>
      </c>
      <c r="C849" s="2677">
        <v>310394</v>
      </c>
      <c r="D849" s="2677">
        <v>308140</v>
      </c>
      <c r="E849" s="2677">
        <v>309996</v>
      </c>
      <c r="F849" s="2677">
        <v>309996</v>
      </c>
      <c r="G849" s="2677">
        <v>300</v>
      </c>
    </row>
    <row r="850" spans="1:10" x14ac:dyDescent="0.3">
      <c r="A850" s="2678">
        <v>43543</v>
      </c>
      <c r="B850" s="2677">
        <v>311100</v>
      </c>
      <c r="C850" s="2677">
        <v>311299</v>
      </c>
      <c r="D850" s="2677">
        <v>307100</v>
      </c>
      <c r="E850" s="2677">
        <v>307900</v>
      </c>
      <c r="F850" s="2677">
        <v>307900</v>
      </c>
      <c r="G850" s="2677">
        <v>200</v>
      </c>
    </row>
    <row r="851" spans="1:10" x14ac:dyDescent="0.3">
      <c r="A851" s="2678">
        <v>43544</v>
      </c>
      <c r="B851" s="2677">
        <v>307900</v>
      </c>
      <c r="C851" s="2677">
        <v>307922</v>
      </c>
      <c r="D851" s="2677">
        <v>304850</v>
      </c>
      <c r="E851" s="2677">
        <v>305505</v>
      </c>
      <c r="F851" s="2677">
        <v>305505</v>
      </c>
      <c r="G851" s="2677">
        <v>200</v>
      </c>
    </row>
    <row r="852" spans="1:10" x14ac:dyDescent="0.3">
      <c r="A852" s="2678">
        <v>43545</v>
      </c>
      <c r="B852" s="2677">
        <v>304000</v>
      </c>
      <c r="C852" s="2677">
        <v>307120</v>
      </c>
      <c r="D852" s="2677">
        <v>303390</v>
      </c>
      <c r="E852" s="2677">
        <v>307120</v>
      </c>
      <c r="F852" s="2677">
        <v>307120</v>
      </c>
      <c r="G852" s="2677">
        <v>200</v>
      </c>
    </row>
    <row r="853" spans="1:10" x14ac:dyDescent="0.3">
      <c r="A853" s="2678">
        <v>43546</v>
      </c>
      <c r="B853" s="2677">
        <v>305940</v>
      </c>
      <c r="C853" s="2677">
        <v>305940</v>
      </c>
      <c r="D853" s="2677">
        <v>300717</v>
      </c>
      <c r="E853" s="2677">
        <v>301225</v>
      </c>
      <c r="F853" s="2677">
        <v>301225</v>
      </c>
      <c r="G853" s="2677">
        <v>300</v>
      </c>
    </row>
    <row r="854" spans="1:10" x14ac:dyDescent="0.3">
      <c r="A854" s="2678">
        <v>43549</v>
      </c>
      <c r="B854" s="2677">
        <v>301227</v>
      </c>
      <c r="C854" s="2677">
        <v>303410</v>
      </c>
      <c r="D854" s="2677">
        <v>297900</v>
      </c>
      <c r="E854" s="2677">
        <v>299380</v>
      </c>
      <c r="F854" s="2677">
        <v>299380</v>
      </c>
      <c r="G854" s="2677">
        <v>300</v>
      </c>
    </row>
    <row r="855" spans="1:10" x14ac:dyDescent="0.3">
      <c r="A855" s="2678">
        <v>43550</v>
      </c>
      <c r="B855" s="2677">
        <v>301425</v>
      </c>
      <c r="C855" s="2677">
        <v>302018</v>
      </c>
      <c r="D855" s="2677">
        <v>298500</v>
      </c>
      <c r="E855" s="2677">
        <v>300961</v>
      </c>
      <c r="F855" s="2677">
        <v>300961</v>
      </c>
      <c r="G855" s="2677">
        <v>200</v>
      </c>
    </row>
    <row r="856" spans="1:10" x14ac:dyDescent="0.3">
      <c r="A856" s="2678">
        <v>43551</v>
      </c>
      <c r="B856" s="2677">
        <v>300851</v>
      </c>
      <c r="C856" s="2677">
        <v>301481</v>
      </c>
      <c r="D856" s="2677">
        <v>297900</v>
      </c>
      <c r="E856" s="2677">
        <v>299764</v>
      </c>
      <c r="F856" s="2677">
        <v>299764</v>
      </c>
      <c r="G856" s="2677">
        <v>300</v>
      </c>
    </row>
    <row r="857" spans="1:10" x14ac:dyDescent="0.3">
      <c r="A857" s="2678">
        <v>43552</v>
      </c>
      <c r="B857" s="2677">
        <v>300050</v>
      </c>
      <c r="C857" s="2677">
        <v>301250</v>
      </c>
      <c r="D857" s="2677">
        <v>298400</v>
      </c>
      <c r="E857" s="2677">
        <v>301250</v>
      </c>
      <c r="F857" s="2677">
        <v>301250</v>
      </c>
      <c r="G857" s="2677">
        <v>200</v>
      </c>
    </row>
    <row r="858" spans="1:10" x14ac:dyDescent="0.3">
      <c r="A858" s="2678">
        <v>43553</v>
      </c>
      <c r="B858" s="2677">
        <v>302500</v>
      </c>
      <c r="C858" s="2677">
        <v>302579</v>
      </c>
      <c r="D858" s="2677">
        <v>300152</v>
      </c>
      <c r="E858" s="2677">
        <v>301215</v>
      </c>
      <c r="F858" s="2677">
        <v>301215</v>
      </c>
      <c r="G858" s="2677">
        <v>500</v>
      </c>
    </row>
    <row r="859" spans="1:10" x14ac:dyDescent="0.3">
      <c r="A859" s="2678">
        <v>43556</v>
      </c>
      <c r="B859" s="2677">
        <v>302800</v>
      </c>
      <c r="C859" s="2677">
        <v>307930</v>
      </c>
      <c r="D859" s="2677">
        <v>302800</v>
      </c>
      <c r="E859" s="2677">
        <v>307800</v>
      </c>
      <c r="F859" s="2677">
        <v>307800</v>
      </c>
      <c r="G859" s="2677">
        <v>400</v>
      </c>
      <c r="I859" s="2677">
        <f>MAX(C859:C921)</f>
        <v>328555</v>
      </c>
      <c r="J859" s="2677">
        <f>MIN(D859:D921)</f>
        <v>296623</v>
      </c>
    </row>
    <row r="860" spans="1:10" x14ac:dyDescent="0.3">
      <c r="A860" s="2678">
        <v>43557</v>
      </c>
      <c r="B860" s="2677">
        <v>307000</v>
      </c>
      <c r="C860" s="2677">
        <v>307900</v>
      </c>
      <c r="D860" s="2677">
        <v>305417</v>
      </c>
      <c r="E860" s="2677">
        <v>306000</v>
      </c>
      <c r="F860" s="2677">
        <v>306000</v>
      </c>
      <c r="G860" s="2677">
        <v>200</v>
      </c>
    </row>
    <row r="861" spans="1:10" x14ac:dyDescent="0.3">
      <c r="A861" s="2678">
        <v>43558</v>
      </c>
      <c r="B861" s="2677">
        <v>308000</v>
      </c>
      <c r="C861" s="2677">
        <v>308240</v>
      </c>
      <c r="D861" s="2677">
        <v>304600</v>
      </c>
      <c r="E861" s="2677">
        <v>305750</v>
      </c>
      <c r="F861" s="2677">
        <v>305750</v>
      </c>
      <c r="G861" s="2677">
        <v>200</v>
      </c>
    </row>
    <row r="862" spans="1:10" x14ac:dyDescent="0.3">
      <c r="A862" s="2678">
        <v>43559</v>
      </c>
      <c r="B862" s="2677">
        <v>305250</v>
      </c>
      <c r="C862" s="2677">
        <v>307385</v>
      </c>
      <c r="D862" s="2677">
        <v>305100</v>
      </c>
      <c r="E862" s="2677">
        <v>306461</v>
      </c>
      <c r="F862" s="2677">
        <v>306461</v>
      </c>
      <c r="G862" s="2677">
        <v>300</v>
      </c>
    </row>
    <row r="863" spans="1:10" x14ac:dyDescent="0.3">
      <c r="A863" s="2678">
        <v>43560</v>
      </c>
      <c r="B863" s="2677">
        <v>305495</v>
      </c>
      <c r="C863" s="2677">
        <v>308375</v>
      </c>
      <c r="D863" s="2677">
        <v>305495</v>
      </c>
      <c r="E863" s="2677">
        <v>307776</v>
      </c>
      <c r="F863" s="2677">
        <v>307776</v>
      </c>
      <c r="G863" s="2677">
        <v>300</v>
      </c>
    </row>
    <row r="864" spans="1:10" x14ac:dyDescent="0.3">
      <c r="A864" s="2678">
        <v>43563</v>
      </c>
      <c r="B864" s="2677">
        <v>307674</v>
      </c>
      <c r="C864" s="2677">
        <v>308598</v>
      </c>
      <c r="D864" s="2677">
        <v>306185</v>
      </c>
      <c r="E864" s="2677">
        <v>307461</v>
      </c>
      <c r="F864" s="2677">
        <v>307461</v>
      </c>
      <c r="G864" s="2677">
        <v>100</v>
      </c>
    </row>
    <row r="865" spans="1:7" x14ac:dyDescent="0.3">
      <c r="A865" s="2678">
        <v>43564</v>
      </c>
      <c r="B865" s="2677">
        <v>306820</v>
      </c>
      <c r="C865" s="2677">
        <v>307380</v>
      </c>
      <c r="D865" s="2677">
        <v>305600</v>
      </c>
      <c r="E865" s="2677">
        <v>307380</v>
      </c>
      <c r="F865" s="2677">
        <v>307380</v>
      </c>
      <c r="G865" s="2677">
        <v>100</v>
      </c>
    </row>
    <row r="866" spans="1:7" x14ac:dyDescent="0.3">
      <c r="A866" s="2678">
        <v>43565</v>
      </c>
      <c r="B866" s="2677">
        <v>307700</v>
      </c>
      <c r="C866" s="2677">
        <v>307700</v>
      </c>
      <c r="D866" s="2677">
        <v>305600</v>
      </c>
      <c r="E866" s="2677">
        <v>307000</v>
      </c>
      <c r="F866" s="2677">
        <v>307000</v>
      </c>
      <c r="G866" s="2677">
        <v>200</v>
      </c>
    </row>
    <row r="867" spans="1:7" x14ac:dyDescent="0.3">
      <c r="A867" s="2678">
        <v>43566</v>
      </c>
      <c r="B867" s="2677">
        <v>308074</v>
      </c>
      <c r="C867" s="2677">
        <v>310500</v>
      </c>
      <c r="D867" s="2677">
        <v>306899</v>
      </c>
      <c r="E867" s="2677">
        <v>309875</v>
      </c>
      <c r="F867" s="2677">
        <v>309875</v>
      </c>
      <c r="G867" s="2677">
        <v>200</v>
      </c>
    </row>
    <row r="868" spans="1:7" x14ac:dyDescent="0.3">
      <c r="A868" s="2678">
        <v>43567</v>
      </c>
      <c r="B868" s="2677">
        <v>311000</v>
      </c>
      <c r="C868" s="2677">
        <v>317226</v>
      </c>
      <c r="D868" s="2677">
        <v>311000</v>
      </c>
      <c r="E868" s="2677">
        <v>314250</v>
      </c>
      <c r="F868" s="2677">
        <v>314250</v>
      </c>
      <c r="G868" s="2677">
        <v>200</v>
      </c>
    </row>
    <row r="869" spans="1:7" x14ac:dyDescent="0.3">
      <c r="A869" s="2678">
        <v>43570</v>
      </c>
      <c r="B869" s="2677">
        <v>315000</v>
      </c>
      <c r="C869" s="2677">
        <v>315345</v>
      </c>
      <c r="D869" s="2677">
        <v>311570</v>
      </c>
      <c r="E869" s="2677">
        <v>314500</v>
      </c>
      <c r="F869" s="2677">
        <v>314500</v>
      </c>
      <c r="G869" s="2677">
        <v>200</v>
      </c>
    </row>
    <row r="870" spans="1:7" x14ac:dyDescent="0.3">
      <c r="A870" s="2678">
        <v>43571</v>
      </c>
      <c r="B870" s="2677">
        <v>315000</v>
      </c>
      <c r="C870" s="2677">
        <v>317500</v>
      </c>
      <c r="D870" s="2677">
        <v>315000</v>
      </c>
      <c r="E870" s="2677">
        <v>317500</v>
      </c>
      <c r="F870" s="2677">
        <v>317500</v>
      </c>
      <c r="G870" s="2677">
        <v>100</v>
      </c>
    </row>
    <row r="871" spans="1:7" x14ac:dyDescent="0.3">
      <c r="A871" s="2678">
        <v>43572</v>
      </c>
      <c r="B871" s="2677">
        <v>318000</v>
      </c>
      <c r="C871" s="2677">
        <v>318519</v>
      </c>
      <c r="D871" s="2677">
        <v>314694</v>
      </c>
      <c r="E871" s="2677">
        <v>316040</v>
      </c>
      <c r="F871" s="2677">
        <v>316040</v>
      </c>
      <c r="G871" s="2677">
        <v>100</v>
      </c>
    </row>
    <row r="872" spans="1:7" x14ac:dyDescent="0.3">
      <c r="A872" s="2678">
        <v>43573</v>
      </c>
      <c r="B872" s="2677">
        <v>316620</v>
      </c>
      <c r="C872" s="2677">
        <v>317003</v>
      </c>
      <c r="D872" s="2677">
        <v>314610</v>
      </c>
      <c r="E872" s="2677">
        <v>315330</v>
      </c>
      <c r="F872" s="2677">
        <v>315330</v>
      </c>
      <c r="G872" s="2677">
        <v>100</v>
      </c>
    </row>
    <row r="873" spans="1:7" x14ac:dyDescent="0.3">
      <c r="A873" s="2678">
        <v>43577</v>
      </c>
      <c r="B873" s="2677">
        <v>313800</v>
      </c>
      <c r="C873" s="2677">
        <v>315310</v>
      </c>
      <c r="D873" s="2677">
        <v>313460</v>
      </c>
      <c r="E873" s="2677">
        <v>314100</v>
      </c>
      <c r="F873" s="2677">
        <v>314100</v>
      </c>
      <c r="G873" s="2677">
        <v>100</v>
      </c>
    </row>
    <row r="874" spans="1:7" x14ac:dyDescent="0.3">
      <c r="A874" s="2678">
        <v>43578</v>
      </c>
      <c r="B874" s="2677">
        <v>313865</v>
      </c>
      <c r="C874" s="2677">
        <v>317730</v>
      </c>
      <c r="D874" s="2677">
        <v>313756</v>
      </c>
      <c r="E874" s="2677">
        <v>317684</v>
      </c>
      <c r="F874" s="2677">
        <v>317684</v>
      </c>
      <c r="G874" s="2677">
        <v>200</v>
      </c>
    </row>
    <row r="875" spans="1:7" x14ac:dyDescent="0.3">
      <c r="A875" s="2678">
        <v>43579</v>
      </c>
      <c r="B875" s="2677">
        <v>317025</v>
      </c>
      <c r="C875" s="2677">
        <v>317703</v>
      </c>
      <c r="D875" s="2677">
        <v>315561</v>
      </c>
      <c r="E875" s="2677">
        <v>316000</v>
      </c>
      <c r="F875" s="2677">
        <v>316000</v>
      </c>
      <c r="G875" s="2677">
        <v>200</v>
      </c>
    </row>
    <row r="876" spans="1:7" x14ac:dyDescent="0.3">
      <c r="A876" s="2678">
        <v>43580</v>
      </c>
      <c r="B876" s="2677">
        <v>314900</v>
      </c>
      <c r="C876" s="2677">
        <v>319015</v>
      </c>
      <c r="D876" s="2677">
        <v>314295</v>
      </c>
      <c r="E876" s="2677">
        <v>318500</v>
      </c>
      <c r="F876" s="2677">
        <v>318500</v>
      </c>
      <c r="G876" s="2677">
        <v>300</v>
      </c>
    </row>
    <row r="877" spans="1:7" x14ac:dyDescent="0.3">
      <c r="A877" s="2678">
        <v>43581</v>
      </c>
      <c r="B877" s="2677">
        <v>318505</v>
      </c>
      <c r="C877" s="2677">
        <v>321494</v>
      </c>
      <c r="D877" s="2677">
        <v>318420</v>
      </c>
      <c r="E877" s="2677">
        <v>321000</v>
      </c>
      <c r="F877" s="2677">
        <v>321000</v>
      </c>
      <c r="G877" s="2677">
        <v>400</v>
      </c>
    </row>
    <row r="878" spans="1:7" x14ac:dyDescent="0.3">
      <c r="A878" s="2678">
        <v>43584</v>
      </c>
      <c r="B878" s="2677">
        <v>322000</v>
      </c>
      <c r="C878" s="2677">
        <v>325845</v>
      </c>
      <c r="D878" s="2677">
        <v>322000</v>
      </c>
      <c r="E878" s="2677">
        <v>324921</v>
      </c>
      <c r="F878" s="2677">
        <v>324921</v>
      </c>
      <c r="G878" s="2677">
        <v>400</v>
      </c>
    </row>
    <row r="879" spans="1:7" x14ac:dyDescent="0.3">
      <c r="A879" s="2678">
        <v>43585</v>
      </c>
      <c r="B879" s="2677">
        <v>325000</v>
      </c>
      <c r="C879" s="2677">
        <v>325615</v>
      </c>
      <c r="D879" s="2677">
        <v>322294</v>
      </c>
      <c r="E879" s="2677">
        <v>325080</v>
      </c>
      <c r="F879" s="2677">
        <v>325080</v>
      </c>
      <c r="G879" s="2677">
        <v>200</v>
      </c>
    </row>
    <row r="880" spans="1:7" x14ac:dyDescent="0.3">
      <c r="A880" s="2678">
        <v>43586</v>
      </c>
      <c r="B880" s="2677">
        <v>325700</v>
      </c>
      <c r="C880" s="2677">
        <v>328013</v>
      </c>
      <c r="D880" s="2677">
        <v>324926</v>
      </c>
      <c r="E880" s="2677">
        <v>325900</v>
      </c>
      <c r="F880" s="2677">
        <v>325900</v>
      </c>
      <c r="G880" s="2677">
        <v>300</v>
      </c>
    </row>
    <row r="881" spans="1:7" x14ac:dyDescent="0.3">
      <c r="A881" s="2678">
        <v>43587</v>
      </c>
      <c r="B881" s="2677">
        <v>325000</v>
      </c>
      <c r="C881" s="2677">
        <v>326557</v>
      </c>
      <c r="D881" s="2677">
        <v>322861</v>
      </c>
      <c r="E881" s="2677">
        <v>324214</v>
      </c>
      <c r="F881" s="2677">
        <v>324214</v>
      </c>
      <c r="G881" s="2677">
        <v>200</v>
      </c>
    </row>
    <row r="882" spans="1:7" x14ac:dyDescent="0.3">
      <c r="A882" s="2678">
        <v>43588</v>
      </c>
      <c r="B882" s="2677">
        <v>326000</v>
      </c>
      <c r="C882" s="2677">
        <v>328555</v>
      </c>
      <c r="D882" s="2677">
        <v>325385</v>
      </c>
      <c r="E882" s="2677">
        <v>327766</v>
      </c>
      <c r="F882" s="2677">
        <v>327766</v>
      </c>
      <c r="G882" s="2677">
        <v>200</v>
      </c>
    </row>
    <row r="883" spans="1:7" x14ac:dyDescent="0.3">
      <c r="A883" s="2678">
        <v>43591</v>
      </c>
      <c r="B883" s="2677">
        <v>322100</v>
      </c>
      <c r="C883" s="2677">
        <v>322250</v>
      </c>
      <c r="D883" s="2677">
        <v>317390</v>
      </c>
      <c r="E883" s="2677">
        <v>320000</v>
      </c>
      <c r="F883" s="2677">
        <v>320000</v>
      </c>
      <c r="G883" s="2677">
        <v>600</v>
      </c>
    </row>
    <row r="884" spans="1:7" x14ac:dyDescent="0.3">
      <c r="A884" s="2678">
        <v>43592</v>
      </c>
      <c r="B884" s="2677">
        <v>316400</v>
      </c>
      <c r="C884" s="2677">
        <v>317755</v>
      </c>
      <c r="D884" s="2677">
        <v>312000</v>
      </c>
      <c r="E884" s="2677">
        <v>315120</v>
      </c>
      <c r="F884" s="2677">
        <v>315120</v>
      </c>
      <c r="G884" s="2677">
        <v>700</v>
      </c>
    </row>
    <row r="885" spans="1:7" x14ac:dyDescent="0.3">
      <c r="A885" s="2678">
        <v>43593</v>
      </c>
      <c r="B885" s="2677">
        <v>314900</v>
      </c>
      <c r="C885" s="2677">
        <v>324000</v>
      </c>
      <c r="D885" s="2677">
        <v>312500</v>
      </c>
      <c r="E885" s="2677">
        <v>314750</v>
      </c>
      <c r="F885" s="2677">
        <v>314750</v>
      </c>
      <c r="G885" s="2677">
        <v>400</v>
      </c>
    </row>
    <row r="886" spans="1:7" x14ac:dyDescent="0.3">
      <c r="A886" s="2678">
        <v>43594</v>
      </c>
      <c r="B886" s="2677">
        <v>313500</v>
      </c>
      <c r="C886" s="2677">
        <v>314890</v>
      </c>
      <c r="D886" s="2677">
        <v>308325</v>
      </c>
      <c r="E886" s="2677">
        <v>314400</v>
      </c>
      <c r="F886" s="2677">
        <v>314400</v>
      </c>
      <c r="G886" s="2677">
        <v>400</v>
      </c>
    </row>
    <row r="887" spans="1:7" x14ac:dyDescent="0.3">
      <c r="A887" s="2678">
        <v>43595</v>
      </c>
      <c r="B887" s="2677">
        <v>310850</v>
      </c>
      <c r="C887" s="2677">
        <v>315910</v>
      </c>
      <c r="D887" s="2677">
        <v>308601</v>
      </c>
      <c r="E887" s="2677">
        <v>315500</v>
      </c>
      <c r="F887" s="2677">
        <v>315500</v>
      </c>
      <c r="G887" s="2677">
        <v>400</v>
      </c>
    </row>
    <row r="888" spans="1:7" x14ac:dyDescent="0.3">
      <c r="A888" s="2678">
        <v>43598</v>
      </c>
      <c r="B888" s="2677">
        <v>309750</v>
      </c>
      <c r="C888" s="2677">
        <v>311000</v>
      </c>
      <c r="D888" s="2677">
        <v>308360</v>
      </c>
      <c r="E888" s="2677">
        <v>308360</v>
      </c>
      <c r="F888" s="2677">
        <v>308360</v>
      </c>
      <c r="G888" s="2677">
        <v>500</v>
      </c>
    </row>
    <row r="889" spans="1:7" x14ac:dyDescent="0.3">
      <c r="A889" s="2678">
        <v>43599</v>
      </c>
      <c r="B889" s="2677">
        <v>310100</v>
      </c>
      <c r="C889" s="2677">
        <v>312081</v>
      </c>
      <c r="D889" s="2677">
        <v>306666</v>
      </c>
      <c r="E889" s="2677">
        <v>306850</v>
      </c>
      <c r="F889" s="2677">
        <v>306850</v>
      </c>
      <c r="G889" s="2677">
        <v>300</v>
      </c>
    </row>
    <row r="890" spans="1:7" x14ac:dyDescent="0.3">
      <c r="A890" s="2678">
        <v>43600</v>
      </c>
      <c r="B890" s="2677">
        <v>306000</v>
      </c>
      <c r="C890" s="2677">
        <v>307595</v>
      </c>
      <c r="D890" s="2677">
        <v>303475</v>
      </c>
      <c r="E890" s="2677">
        <v>305580</v>
      </c>
      <c r="F890" s="2677">
        <v>305580</v>
      </c>
      <c r="G890" s="2677">
        <v>200</v>
      </c>
    </row>
    <row r="891" spans="1:7" x14ac:dyDescent="0.3">
      <c r="A891" s="2678">
        <v>43601</v>
      </c>
      <c r="B891" s="2677">
        <v>308000</v>
      </c>
      <c r="C891" s="2677">
        <v>311000</v>
      </c>
      <c r="D891" s="2677">
        <v>307690</v>
      </c>
      <c r="E891" s="2677">
        <v>307936</v>
      </c>
      <c r="F891" s="2677">
        <v>307936</v>
      </c>
      <c r="G891" s="2677">
        <v>200</v>
      </c>
    </row>
    <row r="892" spans="1:7" x14ac:dyDescent="0.3">
      <c r="A892" s="2678">
        <v>43602</v>
      </c>
      <c r="B892" s="2677">
        <v>305450</v>
      </c>
      <c r="C892" s="2677">
        <v>309023</v>
      </c>
      <c r="D892" s="2677">
        <v>305150</v>
      </c>
      <c r="E892" s="2677">
        <v>306355</v>
      </c>
      <c r="F892" s="2677">
        <v>306355</v>
      </c>
      <c r="G892" s="2677">
        <v>100</v>
      </c>
    </row>
    <row r="893" spans="1:7" x14ac:dyDescent="0.3">
      <c r="A893" s="2678">
        <v>43605</v>
      </c>
      <c r="B893" s="2677">
        <v>305100</v>
      </c>
      <c r="C893" s="2677">
        <v>305975</v>
      </c>
      <c r="D893" s="2677">
        <v>304138</v>
      </c>
      <c r="E893" s="2677">
        <v>305362</v>
      </c>
      <c r="F893" s="2677">
        <v>305362</v>
      </c>
      <c r="G893" s="2677">
        <v>100</v>
      </c>
    </row>
    <row r="894" spans="1:7" x14ac:dyDescent="0.3">
      <c r="A894" s="2678">
        <v>43606</v>
      </c>
      <c r="B894" s="2677">
        <v>306000</v>
      </c>
      <c r="C894" s="2677">
        <v>307481</v>
      </c>
      <c r="D894" s="2677">
        <v>305400</v>
      </c>
      <c r="E894" s="2677">
        <v>306225</v>
      </c>
      <c r="F894" s="2677">
        <v>306225</v>
      </c>
      <c r="G894" s="2677">
        <v>200</v>
      </c>
    </row>
    <row r="895" spans="1:7" x14ac:dyDescent="0.3">
      <c r="A895" s="2678">
        <v>43607</v>
      </c>
      <c r="B895" s="2677">
        <v>305234</v>
      </c>
      <c r="C895" s="2677">
        <v>306355</v>
      </c>
      <c r="D895" s="2677">
        <v>304188</v>
      </c>
      <c r="E895" s="2677">
        <v>304300</v>
      </c>
      <c r="F895" s="2677">
        <v>304300</v>
      </c>
      <c r="G895" s="2677">
        <v>100</v>
      </c>
    </row>
    <row r="896" spans="1:7" x14ac:dyDescent="0.3">
      <c r="A896" s="2678">
        <v>43608</v>
      </c>
      <c r="B896" s="2677">
        <v>303000</v>
      </c>
      <c r="C896" s="2677">
        <v>304200</v>
      </c>
      <c r="D896" s="2677">
        <v>300593</v>
      </c>
      <c r="E896" s="2677">
        <v>304115</v>
      </c>
      <c r="F896" s="2677">
        <v>304115</v>
      </c>
      <c r="G896" s="2677">
        <v>400</v>
      </c>
    </row>
    <row r="897" spans="1:7" x14ac:dyDescent="0.3">
      <c r="A897" s="2678">
        <v>43609</v>
      </c>
      <c r="B897" s="2677">
        <v>304540</v>
      </c>
      <c r="C897" s="2677">
        <v>305000</v>
      </c>
      <c r="D897" s="2677">
        <v>302850</v>
      </c>
      <c r="E897" s="2677">
        <v>303000</v>
      </c>
      <c r="F897" s="2677">
        <v>303000</v>
      </c>
      <c r="G897" s="2677">
        <v>100</v>
      </c>
    </row>
    <row r="898" spans="1:7" x14ac:dyDescent="0.3">
      <c r="A898" s="2678">
        <v>43613</v>
      </c>
      <c r="B898" s="2677">
        <v>304350</v>
      </c>
      <c r="C898" s="2677">
        <v>304500</v>
      </c>
      <c r="D898" s="2677">
        <v>301000</v>
      </c>
      <c r="E898" s="2677">
        <v>301050</v>
      </c>
      <c r="F898" s="2677">
        <v>301050</v>
      </c>
      <c r="G898" s="2677">
        <v>300</v>
      </c>
    </row>
    <row r="899" spans="1:7" x14ac:dyDescent="0.3">
      <c r="A899" s="2678">
        <v>43614</v>
      </c>
      <c r="B899" s="2677">
        <v>300100</v>
      </c>
      <c r="C899" s="2677">
        <v>300810</v>
      </c>
      <c r="D899" s="2677">
        <v>298070</v>
      </c>
      <c r="E899" s="2677">
        <v>299860</v>
      </c>
      <c r="F899" s="2677">
        <v>299860</v>
      </c>
      <c r="G899" s="2677">
        <v>400</v>
      </c>
    </row>
    <row r="900" spans="1:7" x14ac:dyDescent="0.3">
      <c r="A900" s="2678">
        <v>43615</v>
      </c>
      <c r="B900" s="2677">
        <v>300025</v>
      </c>
      <c r="C900" s="2677">
        <v>301662</v>
      </c>
      <c r="D900" s="2677">
        <v>300025</v>
      </c>
      <c r="E900" s="2677">
        <v>300877</v>
      </c>
      <c r="F900" s="2677">
        <v>300877</v>
      </c>
      <c r="G900" s="2677">
        <v>200</v>
      </c>
    </row>
    <row r="901" spans="1:7" x14ac:dyDescent="0.3">
      <c r="A901" s="2678">
        <v>43616</v>
      </c>
      <c r="B901" s="2677">
        <v>298000</v>
      </c>
      <c r="C901" s="2677">
        <v>299339</v>
      </c>
      <c r="D901" s="2677">
        <v>296800</v>
      </c>
      <c r="E901" s="2677">
        <v>297060</v>
      </c>
      <c r="F901" s="2677">
        <v>297060</v>
      </c>
      <c r="G901" s="2677">
        <v>300</v>
      </c>
    </row>
    <row r="902" spans="1:7" x14ac:dyDescent="0.3">
      <c r="A902" s="2678">
        <v>43619</v>
      </c>
      <c r="B902" s="2677">
        <v>297000</v>
      </c>
      <c r="C902" s="2677">
        <v>299775</v>
      </c>
      <c r="D902" s="2677">
        <v>296623</v>
      </c>
      <c r="E902" s="2677">
        <v>299742</v>
      </c>
      <c r="F902" s="2677">
        <v>299742</v>
      </c>
      <c r="G902" s="2677">
        <v>300</v>
      </c>
    </row>
    <row r="903" spans="1:7" x14ac:dyDescent="0.3">
      <c r="A903" s="2678">
        <v>43620</v>
      </c>
      <c r="B903" s="2677">
        <v>301790</v>
      </c>
      <c r="C903" s="2677">
        <v>304000</v>
      </c>
      <c r="D903" s="2677">
        <v>301500</v>
      </c>
      <c r="E903" s="2677">
        <v>304000</v>
      </c>
      <c r="F903" s="2677">
        <v>304000</v>
      </c>
      <c r="G903" s="2677">
        <v>200</v>
      </c>
    </row>
    <row r="904" spans="1:7" x14ac:dyDescent="0.3">
      <c r="A904" s="2678">
        <v>43621</v>
      </c>
      <c r="B904" s="2677">
        <v>305300</v>
      </c>
      <c r="C904" s="2677">
        <v>306543</v>
      </c>
      <c r="D904" s="2677">
        <v>303400</v>
      </c>
      <c r="E904" s="2677">
        <v>306400</v>
      </c>
      <c r="F904" s="2677">
        <v>306400</v>
      </c>
      <c r="G904" s="2677">
        <v>200</v>
      </c>
    </row>
    <row r="905" spans="1:7" x14ac:dyDescent="0.3">
      <c r="A905" s="2678">
        <v>43622</v>
      </c>
      <c r="B905" s="2677">
        <v>305800</v>
      </c>
      <c r="C905" s="2677">
        <v>308566</v>
      </c>
      <c r="D905" s="2677">
        <v>305200</v>
      </c>
      <c r="E905" s="2677">
        <v>307900</v>
      </c>
      <c r="F905" s="2677">
        <v>307900</v>
      </c>
      <c r="G905" s="2677">
        <v>400</v>
      </c>
    </row>
    <row r="906" spans="1:7" x14ac:dyDescent="0.3">
      <c r="A906" s="2678">
        <v>43623</v>
      </c>
      <c r="B906" s="2677">
        <v>310000</v>
      </c>
      <c r="C906" s="2677">
        <v>310500</v>
      </c>
      <c r="D906" s="2677">
        <v>308940</v>
      </c>
      <c r="E906" s="2677">
        <v>309265</v>
      </c>
      <c r="F906" s="2677">
        <v>309265</v>
      </c>
      <c r="G906" s="2677">
        <v>300</v>
      </c>
    </row>
    <row r="907" spans="1:7" x14ac:dyDescent="0.3">
      <c r="A907" s="2678">
        <v>43626</v>
      </c>
      <c r="B907" s="2677">
        <v>310460</v>
      </c>
      <c r="C907" s="2677">
        <v>312500</v>
      </c>
      <c r="D907" s="2677">
        <v>310280</v>
      </c>
      <c r="E907" s="2677">
        <v>311524</v>
      </c>
      <c r="F907" s="2677">
        <v>311524</v>
      </c>
      <c r="G907" s="2677">
        <v>200</v>
      </c>
    </row>
    <row r="908" spans="1:7" x14ac:dyDescent="0.3">
      <c r="A908" s="2678">
        <v>43627</v>
      </c>
      <c r="B908" s="2677">
        <v>313190</v>
      </c>
      <c r="C908" s="2677">
        <v>313600</v>
      </c>
      <c r="D908" s="2677">
        <v>309315</v>
      </c>
      <c r="E908" s="2677">
        <v>310238</v>
      </c>
      <c r="F908" s="2677">
        <v>310238</v>
      </c>
      <c r="G908" s="2677">
        <v>200</v>
      </c>
    </row>
    <row r="909" spans="1:7" x14ac:dyDescent="0.3">
      <c r="A909" s="2678">
        <v>43628</v>
      </c>
      <c r="B909" s="2677">
        <v>309250</v>
      </c>
      <c r="C909" s="2677">
        <v>310086</v>
      </c>
      <c r="D909" s="2677">
        <v>306465</v>
      </c>
      <c r="E909" s="2677">
        <v>307196</v>
      </c>
      <c r="F909" s="2677">
        <v>307196</v>
      </c>
      <c r="G909" s="2677">
        <v>200</v>
      </c>
    </row>
    <row r="910" spans="1:7" x14ac:dyDescent="0.3">
      <c r="A910" s="2678">
        <v>43629</v>
      </c>
      <c r="B910" s="2677">
        <v>307000</v>
      </c>
      <c r="C910" s="2677">
        <v>308550</v>
      </c>
      <c r="D910" s="2677">
        <v>306795</v>
      </c>
      <c r="E910" s="2677">
        <v>307445</v>
      </c>
      <c r="F910" s="2677">
        <v>307445</v>
      </c>
      <c r="G910" s="2677">
        <v>200</v>
      </c>
    </row>
    <row r="911" spans="1:7" x14ac:dyDescent="0.3">
      <c r="A911" s="2678">
        <v>43630</v>
      </c>
      <c r="B911" s="2677">
        <v>306695</v>
      </c>
      <c r="C911" s="2677">
        <v>308800</v>
      </c>
      <c r="D911" s="2677">
        <v>306320</v>
      </c>
      <c r="E911" s="2677">
        <v>308206</v>
      </c>
      <c r="F911" s="2677">
        <v>308206</v>
      </c>
      <c r="G911" s="2677">
        <v>100</v>
      </c>
    </row>
    <row r="912" spans="1:7" x14ac:dyDescent="0.3">
      <c r="A912" s="2678">
        <v>43633</v>
      </c>
      <c r="B912" s="2677">
        <v>308206</v>
      </c>
      <c r="C912" s="2677">
        <v>308206</v>
      </c>
      <c r="D912" s="2677">
        <v>305000</v>
      </c>
      <c r="E912" s="2677">
        <v>305480</v>
      </c>
      <c r="F912" s="2677">
        <v>305480</v>
      </c>
      <c r="G912" s="2677">
        <v>100</v>
      </c>
    </row>
    <row r="913" spans="1:10" x14ac:dyDescent="0.3">
      <c r="A913" s="2678">
        <v>43634</v>
      </c>
      <c r="B913" s="2677">
        <v>306915</v>
      </c>
      <c r="C913" s="2677">
        <v>309800</v>
      </c>
      <c r="D913" s="2677">
        <v>306410</v>
      </c>
      <c r="E913" s="2677">
        <v>308885</v>
      </c>
      <c r="F913" s="2677">
        <v>308885</v>
      </c>
      <c r="G913" s="2677">
        <v>300</v>
      </c>
    </row>
    <row r="914" spans="1:10" x14ac:dyDescent="0.3">
      <c r="A914" s="2678">
        <v>43635</v>
      </c>
      <c r="B914" s="2677">
        <v>309740</v>
      </c>
      <c r="C914" s="2677">
        <v>312450</v>
      </c>
      <c r="D914" s="2677">
        <v>309550</v>
      </c>
      <c r="E914" s="2677">
        <v>310966</v>
      </c>
      <c r="F914" s="2677">
        <v>310966</v>
      </c>
      <c r="G914" s="2677">
        <v>300</v>
      </c>
    </row>
    <row r="915" spans="1:10" x14ac:dyDescent="0.3">
      <c r="A915" s="2678">
        <v>43636</v>
      </c>
      <c r="B915" s="2677">
        <v>312600</v>
      </c>
      <c r="C915" s="2677">
        <v>313000</v>
      </c>
      <c r="D915" s="2677">
        <v>309120</v>
      </c>
      <c r="E915" s="2677">
        <v>312900</v>
      </c>
      <c r="F915" s="2677">
        <v>312900</v>
      </c>
      <c r="G915" s="2677">
        <v>300</v>
      </c>
    </row>
    <row r="916" spans="1:10" x14ac:dyDescent="0.3">
      <c r="A916" s="2678">
        <v>43637</v>
      </c>
      <c r="B916" s="2677">
        <v>311378</v>
      </c>
      <c r="C916" s="2677">
        <v>313100</v>
      </c>
      <c r="D916" s="2677">
        <v>309000</v>
      </c>
      <c r="E916" s="2677">
        <v>309000</v>
      </c>
      <c r="F916" s="2677">
        <v>309000</v>
      </c>
      <c r="G916" s="2677">
        <v>300</v>
      </c>
    </row>
    <row r="917" spans="1:10" x14ac:dyDescent="0.3">
      <c r="A917" s="2678">
        <v>43640</v>
      </c>
      <c r="B917" s="2677">
        <v>309000</v>
      </c>
      <c r="C917" s="2677">
        <v>311300</v>
      </c>
      <c r="D917" s="2677">
        <v>309000</v>
      </c>
      <c r="E917" s="2677">
        <v>310650</v>
      </c>
      <c r="F917" s="2677">
        <v>310650</v>
      </c>
      <c r="G917" s="2677">
        <v>200</v>
      </c>
    </row>
    <row r="918" spans="1:10" x14ac:dyDescent="0.3">
      <c r="A918" s="2678">
        <v>43641</v>
      </c>
      <c r="B918" s="2677">
        <v>310500</v>
      </c>
      <c r="C918" s="2677">
        <v>312700</v>
      </c>
      <c r="D918" s="2677">
        <v>309513</v>
      </c>
      <c r="E918" s="2677">
        <v>312700</v>
      </c>
      <c r="F918" s="2677">
        <v>312700</v>
      </c>
      <c r="G918" s="2677">
        <v>300</v>
      </c>
    </row>
    <row r="919" spans="1:10" x14ac:dyDescent="0.3">
      <c r="A919" s="2678">
        <v>43642</v>
      </c>
      <c r="B919" s="2677">
        <v>312385</v>
      </c>
      <c r="C919" s="2677">
        <v>315000</v>
      </c>
      <c r="D919" s="2677">
        <v>312350</v>
      </c>
      <c r="E919" s="2677">
        <v>312705</v>
      </c>
      <c r="F919" s="2677">
        <v>312705</v>
      </c>
      <c r="G919" s="2677">
        <v>200</v>
      </c>
    </row>
    <row r="920" spans="1:10" x14ac:dyDescent="0.3">
      <c r="A920" s="2678">
        <v>43643</v>
      </c>
      <c r="B920" s="2677">
        <v>313200</v>
      </c>
      <c r="C920" s="2677">
        <v>318750</v>
      </c>
      <c r="D920" s="2677">
        <v>313200</v>
      </c>
      <c r="E920" s="2677">
        <v>318285</v>
      </c>
      <c r="F920" s="2677">
        <v>318285</v>
      </c>
      <c r="G920" s="2677">
        <v>400</v>
      </c>
    </row>
    <row r="921" spans="1:10" x14ac:dyDescent="0.3">
      <c r="A921" s="2678">
        <v>43644</v>
      </c>
      <c r="B921" s="2677">
        <v>319400</v>
      </c>
      <c r="C921" s="2677">
        <v>319960</v>
      </c>
      <c r="D921" s="2677">
        <v>317107</v>
      </c>
      <c r="E921" s="2677">
        <v>318350</v>
      </c>
      <c r="F921" s="2677">
        <v>318350</v>
      </c>
      <c r="G921" s="2677">
        <v>300</v>
      </c>
    </row>
    <row r="922" spans="1:10" x14ac:dyDescent="0.3">
      <c r="A922" s="2678">
        <v>43647</v>
      </c>
      <c r="B922" s="2677">
        <v>321032</v>
      </c>
      <c r="C922" s="2677">
        <v>322700</v>
      </c>
      <c r="D922" s="2677">
        <v>319943</v>
      </c>
      <c r="E922" s="2677">
        <v>321891</v>
      </c>
      <c r="F922" s="2677">
        <v>321891</v>
      </c>
      <c r="G922" s="2677">
        <v>400</v>
      </c>
      <c r="I922" s="2677">
        <f>MAX(C922:C985)</f>
        <v>324711</v>
      </c>
      <c r="J922" s="2677">
        <f>MIN(D922:D985)</f>
        <v>294511</v>
      </c>
    </row>
    <row r="923" spans="1:10" x14ac:dyDescent="0.3">
      <c r="A923" s="2678">
        <v>43648</v>
      </c>
      <c r="B923" s="2677">
        <v>320600</v>
      </c>
      <c r="C923" s="2677">
        <v>323250</v>
      </c>
      <c r="D923" s="2677">
        <v>320413</v>
      </c>
      <c r="E923" s="2677">
        <v>321515</v>
      </c>
      <c r="F923" s="2677">
        <v>321515</v>
      </c>
      <c r="G923" s="2677">
        <v>200</v>
      </c>
    </row>
    <row r="924" spans="1:10" x14ac:dyDescent="0.3">
      <c r="A924" s="2678">
        <v>43649</v>
      </c>
      <c r="B924" s="2677">
        <v>321815</v>
      </c>
      <c r="C924" s="2677">
        <v>322900</v>
      </c>
      <c r="D924" s="2677">
        <v>319120</v>
      </c>
      <c r="E924" s="2677">
        <v>322900</v>
      </c>
      <c r="F924" s="2677">
        <v>322900</v>
      </c>
      <c r="G924" s="2677">
        <v>200</v>
      </c>
    </row>
    <row r="925" spans="1:10" x14ac:dyDescent="0.3">
      <c r="A925" s="2678">
        <v>43651</v>
      </c>
      <c r="B925" s="2677">
        <v>322600</v>
      </c>
      <c r="C925" s="2677">
        <v>323642</v>
      </c>
      <c r="D925" s="2677">
        <v>320918</v>
      </c>
      <c r="E925" s="2677">
        <v>323149</v>
      </c>
      <c r="F925" s="2677">
        <v>323149</v>
      </c>
      <c r="G925" s="2677">
        <v>200</v>
      </c>
    </row>
    <row r="926" spans="1:10" x14ac:dyDescent="0.3">
      <c r="A926" s="2678">
        <v>43654</v>
      </c>
      <c r="B926" s="2677">
        <v>321400</v>
      </c>
      <c r="C926" s="2677">
        <v>323567</v>
      </c>
      <c r="D926" s="2677">
        <v>320974</v>
      </c>
      <c r="E926" s="2677">
        <v>322451</v>
      </c>
      <c r="F926" s="2677">
        <v>322451</v>
      </c>
      <c r="G926" s="2677">
        <v>100</v>
      </c>
    </row>
    <row r="927" spans="1:10" x14ac:dyDescent="0.3">
      <c r="A927" s="2678">
        <v>43655</v>
      </c>
      <c r="B927" s="2677">
        <v>321000</v>
      </c>
      <c r="C927" s="2677">
        <v>322347</v>
      </c>
      <c r="D927" s="2677">
        <v>319500</v>
      </c>
      <c r="E927" s="2677">
        <v>322200</v>
      </c>
      <c r="F927" s="2677">
        <v>322200</v>
      </c>
      <c r="G927" s="2677">
        <v>100</v>
      </c>
    </row>
    <row r="928" spans="1:10" x14ac:dyDescent="0.3">
      <c r="A928" s="2678">
        <v>43656</v>
      </c>
      <c r="B928" s="2677">
        <v>322500</v>
      </c>
      <c r="C928" s="2677">
        <v>324711</v>
      </c>
      <c r="D928" s="2677">
        <v>320591</v>
      </c>
      <c r="E928" s="2677">
        <v>320591</v>
      </c>
      <c r="F928" s="2677">
        <v>320591</v>
      </c>
      <c r="G928" s="2677">
        <v>200</v>
      </c>
    </row>
    <row r="929" spans="1:7" x14ac:dyDescent="0.3">
      <c r="A929" s="2678">
        <v>43657</v>
      </c>
      <c r="B929" s="2677">
        <v>320905</v>
      </c>
      <c r="C929" s="2677">
        <v>321883</v>
      </c>
      <c r="D929" s="2677">
        <v>319453</v>
      </c>
      <c r="E929" s="2677">
        <v>319837</v>
      </c>
      <c r="F929" s="2677">
        <v>319837</v>
      </c>
      <c r="G929" s="2677">
        <v>400</v>
      </c>
    </row>
    <row r="930" spans="1:7" x14ac:dyDescent="0.3">
      <c r="A930" s="2678">
        <v>43658</v>
      </c>
      <c r="B930" s="2677">
        <v>319750</v>
      </c>
      <c r="C930" s="2677">
        <v>321093</v>
      </c>
      <c r="D930" s="2677">
        <v>318832</v>
      </c>
      <c r="E930" s="2677">
        <v>321093</v>
      </c>
      <c r="F930" s="2677">
        <v>321093</v>
      </c>
      <c r="G930" s="2677">
        <v>100</v>
      </c>
    </row>
    <row r="931" spans="1:7" x14ac:dyDescent="0.3">
      <c r="A931" s="2678">
        <v>43661</v>
      </c>
      <c r="B931" s="2677">
        <v>321500</v>
      </c>
      <c r="C931" s="2677">
        <v>321500</v>
      </c>
      <c r="D931" s="2677">
        <v>319455</v>
      </c>
      <c r="E931" s="2677">
        <v>320300</v>
      </c>
      <c r="F931" s="2677">
        <v>320300</v>
      </c>
      <c r="G931" s="2677">
        <v>100</v>
      </c>
    </row>
    <row r="932" spans="1:7" x14ac:dyDescent="0.3">
      <c r="A932" s="2678">
        <v>43662</v>
      </c>
      <c r="B932" s="2677">
        <v>321040</v>
      </c>
      <c r="C932" s="2677">
        <v>322300</v>
      </c>
      <c r="D932" s="2677">
        <v>319250</v>
      </c>
      <c r="E932" s="2677">
        <v>319273</v>
      </c>
      <c r="F932" s="2677">
        <v>319273</v>
      </c>
      <c r="G932" s="2677">
        <v>200</v>
      </c>
    </row>
    <row r="933" spans="1:7" x14ac:dyDescent="0.3">
      <c r="A933" s="2678">
        <v>43663</v>
      </c>
      <c r="B933" s="2677">
        <v>318325</v>
      </c>
      <c r="C933" s="2677">
        <v>318500</v>
      </c>
      <c r="D933" s="2677">
        <v>311115</v>
      </c>
      <c r="E933" s="2677">
        <v>311600</v>
      </c>
      <c r="F933" s="2677">
        <v>311600</v>
      </c>
      <c r="G933" s="2677">
        <v>500</v>
      </c>
    </row>
    <row r="934" spans="1:7" x14ac:dyDescent="0.3">
      <c r="A934" s="2678">
        <v>43664</v>
      </c>
      <c r="B934" s="2677">
        <v>310770</v>
      </c>
      <c r="C934" s="2677">
        <v>313595</v>
      </c>
      <c r="D934" s="2677">
        <v>310770</v>
      </c>
      <c r="E934" s="2677">
        <v>312003</v>
      </c>
      <c r="F934" s="2677">
        <v>312003</v>
      </c>
      <c r="G934" s="2677">
        <v>600</v>
      </c>
    </row>
    <row r="935" spans="1:7" x14ac:dyDescent="0.3">
      <c r="A935" s="2678">
        <v>43665</v>
      </c>
      <c r="B935" s="2677">
        <v>312600</v>
      </c>
      <c r="C935" s="2677">
        <v>312875</v>
      </c>
      <c r="D935" s="2677">
        <v>309200</v>
      </c>
      <c r="E935" s="2677">
        <v>309218</v>
      </c>
      <c r="F935" s="2677">
        <v>309218</v>
      </c>
      <c r="G935" s="2677">
        <v>300</v>
      </c>
    </row>
    <row r="936" spans="1:7" x14ac:dyDescent="0.3">
      <c r="A936" s="2678">
        <v>43668</v>
      </c>
      <c r="B936" s="2677">
        <v>308500</v>
      </c>
      <c r="C936" s="2677">
        <v>309500</v>
      </c>
      <c r="D936" s="2677">
        <v>306623</v>
      </c>
      <c r="E936" s="2677">
        <v>307135</v>
      </c>
      <c r="F936" s="2677">
        <v>307135</v>
      </c>
      <c r="G936" s="2677">
        <v>300</v>
      </c>
    </row>
    <row r="937" spans="1:7" x14ac:dyDescent="0.3">
      <c r="A937" s="2678">
        <v>43669</v>
      </c>
      <c r="B937" s="2677">
        <v>309192</v>
      </c>
      <c r="C937" s="2677">
        <v>309850</v>
      </c>
      <c r="D937" s="2677">
        <v>307600</v>
      </c>
      <c r="E937" s="2677">
        <v>309340</v>
      </c>
      <c r="F937" s="2677">
        <v>309340</v>
      </c>
      <c r="G937" s="2677">
        <v>300</v>
      </c>
    </row>
    <row r="938" spans="1:7" x14ac:dyDescent="0.3">
      <c r="A938" s="2678">
        <v>43670</v>
      </c>
      <c r="B938" s="2677">
        <v>308750</v>
      </c>
      <c r="C938" s="2677">
        <v>312000</v>
      </c>
      <c r="D938" s="2677">
        <v>308675</v>
      </c>
      <c r="E938" s="2677">
        <v>312000</v>
      </c>
      <c r="F938" s="2677">
        <v>312000</v>
      </c>
      <c r="G938" s="2677">
        <v>200</v>
      </c>
    </row>
    <row r="939" spans="1:7" x14ac:dyDescent="0.3">
      <c r="A939" s="2678">
        <v>43671</v>
      </c>
      <c r="B939" s="2677">
        <v>312000</v>
      </c>
      <c r="C939" s="2677">
        <v>312290</v>
      </c>
      <c r="D939" s="2677">
        <v>309980</v>
      </c>
      <c r="E939" s="2677">
        <v>310750</v>
      </c>
      <c r="F939" s="2677">
        <v>310750</v>
      </c>
      <c r="G939" s="2677">
        <v>200</v>
      </c>
    </row>
    <row r="940" spans="1:7" x14ac:dyDescent="0.3">
      <c r="A940" s="2678">
        <v>43672</v>
      </c>
      <c r="B940" s="2677">
        <v>310977</v>
      </c>
      <c r="C940" s="2677">
        <v>315000</v>
      </c>
      <c r="D940" s="2677">
        <v>310275</v>
      </c>
      <c r="E940" s="2677">
        <v>315000</v>
      </c>
      <c r="F940" s="2677">
        <v>315000</v>
      </c>
      <c r="G940" s="2677">
        <v>200</v>
      </c>
    </row>
    <row r="941" spans="1:7" x14ac:dyDescent="0.3">
      <c r="A941" s="2678">
        <v>43675</v>
      </c>
      <c r="B941" s="2677">
        <v>314833</v>
      </c>
      <c r="C941" s="2677">
        <v>314833</v>
      </c>
      <c r="D941" s="2677">
        <v>312977</v>
      </c>
      <c r="E941" s="2677">
        <v>313529</v>
      </c>
      <c r="F941" s="2677">
        <v>313529</v>
      </c>
      <c r="G941" s="2677">
        <v>200</v>
      </c>
    </row>
    <row r="942" spans="1:7" x14ac:dyDescent="0.3">
      <c r="A942" s="2678">
        <v>43676</v>
      </c>
      <c r="B942" s="2677">
        <v>311650</v>
      </c>
      <c r="C942" s="2677">
        <v>312822</v>
      </c>
      <c r="D942" s="2677">
        <v>310805</v>
      </c>
      <c r="E942" s="2677">
        <v>312430</v>
      </c>
      <c r="F942" s="2677">
        <v>312430</v>
      </c>
      <c r="G942" s="2677">
        <v>200</v>
      </c>
    </row>
    <row r="943" spans="1:7" x14ac:dyDescent="0.3">
      <c r="A943" s="2678">
        <v>43677</v>
      </c>
      <c r="B943" s="2677">
        <v>312000</v>
      </c>
      <c r="C943" s="2677">
        <v>314390</v>
      </c>
      <c r="D943" s="2677">
        <v>308666</v>
      </c>
      <c r="E943" s="2677">
        <v>308666</v>
      </c>
      <c r="F943" s="2677">
        <v>308666</v>
      </c>
      <c r="G943" s="2677">
        <v>200</v>
      </c>
    </row>
    <row r="944" spans="1:7" x14ac:dyDescent="0.3">
      <c r="A944" s="2678">
        <v>43678</v>
      </c>
      <c r="B944" s="2677">
        <v>310250</v>
      </c>
      <c r="C944" s="2677">
        <v>311000</v>
      </c>
      <c r="D944" s="2677">
        <v>303200</v>
      </c>
      <c r="E944" s="2677">
        <v>303660</v>
      </c>
      <c r="F944" s="2677">
        <v>303660</v>
      </c>
      <c r="G944" s="2677">
        <v>300</v>
      </c>
    </row>
    <row r="945" spans="1:7" x14ac:dyDescent="0.3">
      <c r="A945" s="2678">
        <v>43679</v>
      </c>
      <c r="B945" s="2677">
        <v>304170</v>
      </c>
      <c r="C945" s="2677">
        <v>306960</v>
      </c>
      <c r="D945" s="2677">
        <v>300132</v>
      </c>
      <c r="E945" s="2677">
        <v>306000</v>
      </c>
      <c r="F945" s="2677">
        <v>306000</v>
      </c>
      <c r="G945" s="2677">
        <v>200</v>
      </c>
    </row>
    <row r="946" spans="1:7" x14ac:dyDescent="0.3">
      <c r="A946" s="2678">
        <v>43682</v>
      </c>
      <c r="B946" s="2677">
        <v>300150</v>
      </c>
      <c r="C946" s="2677">
        <v>302490</v>
      </c>
      <c r="D946" s="2677">
        <v>297500</v>
      </c>
      <c r="E946" s="2677">
        <v>297785</v>
      </c>
      <c r="F946" s="2677">
        <v>297785</v>
      </c>
      <c r="G946" s="2677">
        <v>500</v>
      </c>
    </row>
    <row r="947" spans="1:7" x14ac:dyDescent="0.3">
      <c r="A947" s="2678">
        <v>43683</v>
      </c>
      <c r="B947" s="2677">
        <v>300000</v>
      </c>
      <c r="C947" s="2677">
        <v>316000</v>
      </c>
      <c r="D947" s="2677">
        <v>298255</v>
      </c>
      <c r="E947" s="2677">
        <v>302325</v>
      </c>
      <c r="F947" s="2677">
        <v>302325</v>
      </c>
      <c r="G947" s="2677">
        <v>300</v>
      </c>
    </row>
    <row r="948" spans="1:7" x14ac:dyDescent="0.3">
      <c r="A948" s="2678">
        <v>43684</v>
      </c>
      <c r="B948" s="2677">
        <v>298000</v>
      </c>
      <c r="C948" s="2677">
        <v>300196</v>
      </c>
      <c r="D948" s="2677">
        <v>294511</v>
      </c>
      <c r="E948" s="2677">
        <v>299182</v>
      </c>
      <c r="F948" s="2677">
        <v>299182</v>
      </c>
      <c r="G948" s="2677">
        <v>300</v>
      </c>
    </row>
    <row r="949" spans="1:7" x14ac:dyDescent="0.3">
      <c r="A949" s="2678">
        <v>43685</v>
      </c>
      <c r="B949" s="2677">
        <v>300000</v>
      </c>
      <c r="C949" s="2677">
        <v>302409</v>
      </c>
      <c r="D949" s="2677">
        <v>298700</v>
      </c>
      <c r="E949" s="2677">
        <v>301905</v>
      </c>
      <c r="F949" s="2677">
        <v>301905</v>
      </c>
      <c r="G949" s="2677">
        <v>200</v>
      </c>
    </row>
    <row r="950" spans="1:7" x14ac:dyDescent="0.3">
      <c r="A950" s="2678">
        <v>43686</v>
      </c>
      <c r="B950" s="2677">
        <v>301000</v>
      </c>
      <c r="C950" s="2677">
        <v>301910</v>
      </c>
      <c r="D950" s="2677">
        <v>298110</v>
      </c>
      <c r="E950" s="2677">
        <v>300435</v>
      </c>
      <c r="F950" s="2677">
        <v>300435</v>
      </c>
      <c r="G950" s="2677">
        <v>300</v>
      </c>
    </row>
    <row r="951" spans="1:7" x14ac:dyDescent="0.3">
      <c r="A951" s="2678">
        <v>43689</v>
      </c>
      <c r="B951" s="2677">
        <v>297850</v>
      </c>
      <c r="C951" s="2677">
        <v>300673</v>
      </c>
      <c r="D951" s="2677">
        <v>297100</v>
      </c>
      <c r="E951" s="2677">
        <v>298001</v>
      </c>
      <c r="F951" s="2677">
        <v>298001</v>
      </c>
      <c r="G951" s="2677">
        <v>100</v>
      </c>
    </row>
    <row r="952" spans="1:7" x14ac:dyDescent="0.3">
      <c r="A952" s="2678">
        <v>43690</v>
      </c>
      <c r="B952" s="2677">
        <v>297799</v>
      </c>
      <c r="C952" s="2677">
        <v>302828</v>
      </c>
      <c r="D952" s="2677">
        <v>297250</v>
      </c>
      <c r="E952" s="2677">
        <v>299510</v>
      </c>
      <c r="F952" s="2677">
        <v>299510</v>
      </c>
      <c r="G952" s="2677">
        <v>200</v>
      </c>
    </row>
    <row r="953" spans="1:7" x14ac:dyDescent="0.3">
      <c r="A953" s="2678">
        <v>43691</v>
      </c>
      <c r="B953" s="2677">
        <v>296100</v>
      </c>
      <c r="C953" s="2677">
        <v>296850</v>
      </c>
      <c r="D953" s="2677">
        <v>295000</v>
      </c>
      <c r="E953" s="2677">
        <v>295000</v>
      </c>
      <c r="F953" s="2677">
        <v>295000</v>
      </c>
      <c r="G953" s="2677">
        <v>200</v>
      </c>
    </row>
    <row r="954" spans="1:7" x14ac:dyDescent="0.3">
      <c r="A954" s="2678">
        <v>43692</v>
      </c>
      <c r="B954" s="2677">
        <v>296600</v>
      </c>
      <c r="C954" s="2677">
        <v>299500</v>
      </c>
      <c r="D954" s="2677">
        <v>296076</v>
      </c>
      <c r="E954" s="2677">
        <v>298067</v>
      </c>
      <c r="F954" s="2677">
        <v>298067</v>
      </c>
      <c r="G954" s="2677">
        <v>200</v>
      </c>
    </row>
    <row r="955" spans="1:7" x14ac:dyDescent="0.3">
      <c r="A955" s="2678">
        <v>43693</v>
      </c>
      <c r="B955" s="2677">
        <v>300260</v>
      </c>
      <c r="C955" s="2677">
        <v>301743</v>
      </c>
      <c r="D955" s="2677">
        <v>298687</v>
      </c>
      <c r="E955" s="2677">
        <v>300555</v>
      </c>
      <c r="F955" s="2677">
        <v>300555</v>
      </c>
      <c r="G955" s="2677">
        <v>100</v>
      </c>
    </row>
    <row r="956" spans="1:7" x14ac:dyDescent="0.3">
      <c r="A956" s="2678">
        <v>43696</v>
      </c>
      <c r="B956" s="2677">
        <v>305000</v>
      </c>
      <c r="C956" s="2677">
        <v>305000</v>
      </c>
      <c r="D956" s="2677">
        <v>301055</v>
      </c>
      <c r="E956" s="2677">
        <v>301414</v>
      </c>
      <c r="F956" s="2677">
        <v>301414</v>
      </c>
      <c r="G956" s="2677">
        <v>200</v>
      </c>
    </row>
    <row r="957" spans="1:7" x14ac:dyDescent="0.3">
      <c r="A957" s="2678">
        <v>43697</v>
      </c>
      <c r="B957" s="2677">
        <v>300700</v>
      </c>
      <c r="C957" s="2677">
        <v>301045</v>
      </c>
      <c r="D957" s="2677">
        <v>297505</v>
      </c>
      <c r="E957" s="2677">
        <v>297505</v>
      </c>
      <c r="F957" s="2677">
        <v>297505</v>
      </c>
      <c r="G957" s="2677">
        <v>100</v>
      </c>
    </row>
    <row r="958" spans="1:7" x14ac:dyDescent="0.3">
      <c r="A958" s="2678">
        <v>43698</v>
      </c>
      <c r="B958" s="2677">
        <v>298700</v>
      </c>
      <c r="C958" s="2677">
        <v>300100</v>
      </c>
      <c r="D958" s="2677">
        <v>298567</v>
      </c>
      <c r="E958" s="2677">
        <v>299305</v>
      </c>
      <c r="F958" s="2677">
        <v>299305</v>
      </c>
      <c r="G958" s="2677">
        <v>300</v>
      </c>
    </row>
    <row r="959" spans="1:7" x14ac:dyDescent="0.3">
      <c r="A959" s="2678">
        <v>43699</v>
      </c>
      <c r="B959" s="2677">
        <v>300000</v>
      </c>
      <c r="C959" s="2677">
        <v>302801</v>
      </c>
      <c r="D959" s="2677">
        <v>300000</v>
      </c>
      <c r="E959" s="2677">
        <v>302260</v>
      </c>
      <c r="F959" s="2677">
        <v>302260</v>
      </c>
      <c r="G959" s="2677">
        <v>300</v>
      </c>
    </row>
    <row r="960" spans="1:7" x14ac:dyDescent="0.3">
      <c r="A960" s="2678">
        <v>43700</v>
      </c>
      <c r="B960" s="2677">
        <v>300200</v>
      </c>
      <c r="C960" s="2677">
        <v>301200</v>
      </c>
      <c r="D960" s="2677">
        <v>295405</v>
      </c>
      <c r="E960" s="2677">
        <v>296922</v>
      </c>
      <c r="F960" s="2677">
        <v>296922</v>
      </c>
      <c r="G960" s="2677">
        <v>500</v>
      </c>
    </row>
    <row r="961" spans="1:7" x14ac:dyDescent="0.3">
      <c r="A961" s="2678">
        <v>43703</v>
      </c>
      <c r="B961" s="2677">
        <v>298100</v>
      </c>
      <c r="C961" s="2677">
        <v>300899</v>
      </c>
      <c r="D961" s="2677">
        <v>297540</v>
      </c>
      <c r="E961" s="2677">
        <v>300899</v>
      </c>
      <c r="F961" s="2677">
        <v>300899</v>
      </c>
      <c r="G961" s="2677">
        <v>200</v>
      </c>
    </row>
    <row r="962" spans="1:7" x14ac:dyDescent="0.3">
      <c r="A962" s="2678">
        <v>43704</v>
      </c>
      <c r="B962" s="2677">
        <v>300821</v>
      </c>
      <c r="C962" s="2677">
        <v>302000</v>
      </c>
      <c r="D962" s="2677">
        <v>298000</v>
      </c>
      <c r="E962" s="2677">
        <v>298420</v>
      </c>
      <c r="F962" s="2677">
        <v>298420</v>
      </c>
      <c r="G962" s="2677">
        <v>200</v>
      </c>
    </row>
    <row r="963" spans="1:7" x14ac:dyDescent="0.3">
      <c r="A963" s="2678">
        <v>43705</v>
      </c>
      <c r="B963" s="2677">
        <v>297955</v>
      </c>
      <c r="C963" s="2677">
        <v>301300</v>
      </c>
      <c r="D963" s="2677">
        <v>297387</v>
      </c>
      <c r="E963" s="2677">
        <v>300990</v>
      </c>
      <c r="F963" s="2677">
        <v>300990</v>
      </c>
      <c r="G963" s="2677">
        <v>200</v>
      </c>
    </row>
    <row r="964" spans="1:7" x14ac:dyDescent="0.3">
      <c r="A964" s="2678">
        <v>43706</v>
      </c>
      <c r="B964" s="2677">
        <v>303400</v>
      </c>
      <c r="C964" s="2677">
        <v>305975</v>
      </c>
      <c r="D964" s="2677">
        <v>303100</v>
      </c>
      <c r="E964" s="2677">
        <v>305040</v>
      </c>
      <c r="F964" s="2677">
        <v>305040</v>
      </c>
      <c r="G964" s="2677">
        <v>300</v>
      </c>
    </row>
    <row r="965" spans="1:7" x14ac:dyDescent="0.3">
      <c r="A965" s="2678">
        <v>43707</v>
      </c>
      <c r="B965" s="2677">
        <v>306750</v>
      </c>
      <c r="C965" s="2677">
        <v>306829</v>
      </c>
      <c r="D965" s="2677">
        <v>303078</v>
      </c>
      <c r="E965" s="2677">
        <v>303078</v>
      </c>
      <c r="F965" s="2677">
        <v>303078</v>
      </c>
      <c r="G965" s="2677">
        <v>200</v>
      </c>
    </row>
    <row r="966" spans="1:7" x14ac:dyDescent="0.3">
      <c r="A966" s="2678">
        <v>43711</v>
      </c>
      <c r="B966" s="2677">
        <v>302200</v>
      </c>
      <c r="C966" s="2677">
        <v>302920</v>
      </c>
      <c r="D966" s="2677">
        <v>300731</v>
      </c>
      <c r="E966" s="2677">
        <v>301356</v>
      </c>
      <c r="F966" s="2677">
        <v>301356</v>
      </c>
      <c r="G966" s="2677">
        <v>200</v>
      </c>
    </row>
    <row r="967" spans="1:7" x14ac:dyDescent="0.3">
      <c r="A967" s="2678">
        <v>43712</v>
      </c>
      <c r="B967" s="2677">
        <v>304200</v>
      </c>
      <c r="C967" s="2677">
        <v>304419</v>
      </c>
      <c r="D967" s="2677">
        <v>302500</v>
      </c>
      <c r="E967" s="2677">
        <v>303300</v>
      </c>
      <c r="F967" s="2677">
        <v>303300</v>
      </c>
      <c r="G967" s="2677">
        <v>100</v>
      </c>
    </row>
    <row r="968" spans="1:7" x14ac:dyDescent="0.3">
      <c r="A968" s="2678">
        <v>43713</v>
      </c>
      <c r="B968" s="2677">
        <v>306000</v>
      </c>
      <c r="C968" s="2677">
        <v>309200</v>
      </c>
      <c r="D968" s="2677">
        <v>306000</v>
      </c>
      <c r="E968" s="2677">
        <v>306066</v>
      </c>
      <c r="F968" s="2677">
        <v>306066</v>
      </c>
      <c r="G968" s="2677">
        <v>200</v>
      </c>
    </row>
    <row r="969" spans="1:7" x14ac:dyDescent="0.3">
      <c r="A969" s="2678">
        <v>43714</v>
      </c>
      <c r="B969" s="2677">
        <v>307250</v>
      </c>
      <c r="C969" s="2677">
        <v>307775</v>
      </c>
      <c r="D969" s="2677">
        <v>306000</v>
      </c>
      <c r="E969" s="2677">
        <v>307260</v>
      </c>
      <c r="F969" s="2677">
        <v>307260</v>
      </c>
      <c r="G969" s="2677">
        <v>200</v>
      </c>
    </row>
    <row r="970" spans="1:7" x14ac:dyDescent="0.3">
      <c r="A970" s="2678">
        <v>43717</v>
      </c>
      <c r="B970" s="2677">
        <v>308799</v>
      </c>
      <c r="C970" s="2677">
        <v>311626</v>
      </c>
      <c r="D970" s="2677">
        <v>308799</v>
      </c>
      <c r="E970" s="2677">
        <v>309701</v>
      </c>
      <c r="F970" s="2677">
        <v>309701</v>
      </c>
      <c r="G970" s="2677">
        <v>200</v>
      </c>
    </row>
    <row r="971" spans="1:7" x14ac:dyDescent="0.3">
      <c r="A971" s="2678">
        <v>43718</v>
      </c>
      <c r="B971" s="2677">
        <v>311100</v>
      </c>
      <c r="C971" s="2677">
        <v>312300</v>
      </c>
      <c r="D971" s="2677">
        <v>309400</v>
      </c>
      <c r="E971" s="2677">
        <v>311950</v>
      </c>
      <c r="F971" s="2677">
        <v>311950</v>
      </c>
      <c r="G971" s="2677">
        <v>300</v>
      </c>
    </row>
    <row r="972" spans="1:7" x14ac:dyDescent="0.3">
      <c r="A972" s="2678">
        <v>43719</v>
      </c>
      <c r="B972" s="2677">
        <v>312250</v>
      </c>
      <c r="C972" s="2677">
        <v>316500</v>
      </c>
      <c r="D972" s="2677">
        <v>311575</v>
      </c>
      <c r="E972" s="2677">
        <v>316230</v>
      </c>
      <c r="F972" s="2677">
        <v>316230</v>
      </c>
      <c r="G972" s="2677">
        <v>400</v>
      </c>
    </row>
    <row r="973" spans="1:7" x14ac:dyDescent="0.3">
      <c r="A973" s="2678">
        <v>43720</v>
      </c>
      <c r="B973" s="2677">
        <v>316970</v>
      </c>
      <c r="C973" s="2677">
        <v>319200</v>
      </c>
      <c r="D973" s="2677">
        <v>316675</v>
      </c>
      <c r="E973" s="2677">
        <v>317182</v>
      </c>
      <c r="F973" s="2677">
        <v>317182</v>
      </c>
      <c r="G973" s="2677">
        <v>500</v>
      </c>
    </row>
    <row r="974" spans="1:7" x14ac:dyDescent="0.3">
      <c r="A974" s="2678">
        <v>43721</v>
      </c>
      <c r="B974" s="2677">
        <v>319000</v>
      </c>
      <c r="C974" s="2677">
        <v>321833</v>
      </c>
      <c r="D974" s="2677">
        <v>318400</v>
      </c>
      <c r="E974" s="2677">
        <v>320850</v>
      </c>
      <c r="F974" s="2677">
        <v>320850</v>
      </c>
      <c r="G974" s="2677">
        <v>400</v>
      </c>
    </row>
    <row r="975" spans="1:7" x14ac:dyDescent="0.3">
      <c r="A975" s="2678">
        <v>43724</v>
      </c>
      <c r="B975" s="2677">
        <v>318101</v>
      </c>
      <c r="C975" s="2677">
        <v>318101</v>
      </c>
      <c r="D975" s="2677">
        <v>315345</v>
      </c>
      <c r="E975" s="2677">
        <v>315807</v>
      </c>
      <c r="F975" s="2677">
        <v>315807</v>
      </c>
      <c r="G975" s="2677">
        <v>100</v>
      </c>
    </row>
    <row r="976" spans="1:7" x14ac:dyDescent="0.3">
      <c r="A976" s="2678">
        <v>43725</v>
      </c>
      <c r="B976" s="2677">
        <v>315807</v>
      </c>
      <c r="C976" s="2677">
        <v>316666</v>
      </c>
      <c r="D976" s="2677">
        <v>313220</v>
      </c>
      <c r="E976" s="2677">
        <v>315744</v>
      </c>
      <c r="F976" s="2677">
        <v>315744</v>
      </c>
      <c r="G976" s="2677">
        <v>200</v>
      </c>
    </row>
    <row r="977" spans="1:10" x14ac:dyDescent="0.3">
      <c r="A977" s="2678">
        <v>43726</v>
      </c>
      <c r="B977" s="2677">
        <v>313950</v>
      </c>
      <c r="C977" s="2677">
        <v>317030</v>
      </c>
      <c r="D977" s="2677">
        <v>313950</v>
      </c>
      <c r="E977" s="2677">
        <v>317030</v>
      </c>
      <c r="F977" s="2677">
        <v>317030</v>
      </c>
      <c r="G977" s="2677">
        <v>200</v>
      </c>
    </row>
    <row r="978" spans="1:10" x14ac:dyDescent="0.3">
      <c r="A978" s="2678">
        <v>43727</v>
      </c>
      <c r="B978" s="2677">
        <v>316400</v>
      </c>
      <c r="C978" s="2677">
        <v>317100</v>
      </c>
      <c r="D978" s="2677">
        <v>313500</v>
      </c>
      <c r="E978" s="2677">
        <v>315000</v>
      </c>
      <c r="F978" s="2677">
        <v>315000</v>
      </c>
      <c r="G978" s="2677">
        <v>100</v>
      </c>
    </row>
    <row r="979" spans="1:10" x14ac:dyDescent="0.3">
      <c r="A979" s="2678">
        <v>43728</v>
      </c>
      <c r="B979" s="2677">
        <v>315000</v>
      </c>
      <c r="C979" s="2677">
        <v>315000</v>
      </c>
      <c r="D979" s="2677">
        <v>311500</v>
      </c>
      <c r="E979" s="2677">
        <v>313700</v>
      </c>
      <c r="F979" s="2677">
        <v>313700</v>
      </c>
      <c r="G979" s="2677">
        <v>400</v>
      </c>
    </row>
    <row r="980" spans="1:10" x14ac:dyDescent="0.3">
      <c r="A980" s="2678">
        <v>43731</v>
      </c>
      <c r="B980" s="2677">
        <v>311150</v>
      </c>
      <c r="C980" s="2677">
        <v>313235</v>
      </c>
      <c r="D980" s="2677">
        <v>309971</v>
      </c>
      <c r="E980" s="2677">
        <v>313225</v>
      </c>
      <c r="F980" s="2677">
        <v>313225</v>
      </c>
      <c r="G980" s="2677">
        <v>200</v>
      </c>
    </row>
    <row r="981" spans="1:10" x14ac:dyDescent="0.3">
      <c r="A981" s="2678">
        <v>43732</v>
      </c>
      <c r="B981" s="2677">
        <v>312000</v>
      </c>
      <c r="C981" s="2677">
        <v>313423</v>
      </c>
      <c r="D981" s="2677">
        <v>308885</v>
      </c>
      <c r="E981" s="2677">
        <v>310356</v>
      </c>
      <c r="F981" s="2677">
        <v>310356</v>
      </c>
      <c r="G981" s="2677">
        <v>200</v>
      </c>
    </row>
    <row r="982" spans="1:10" x14ac:dyDescent="0.3">
      <c r="A982" s="2678">
        <v>43733</v>
      </c>
      <c r="B982" s="2677">
        <v>309750</v>
      </c>
      <c r="C982" s="2677">
        <v>312330</v>
      </c>
      <c r="D982" s="2677">
        <v>309700</v>
      </c>
      <c r="E982" s="2677">
        <v>311906</v>
      </c>
      <c r="F982" s="2677">
        <v>311906</v>
      </c>
      <c r="G982" s="2677">
        <v>100</v>
      </c>
    </row>
    <row r="983" spans="1:10" x14ac:dyDescent="0.3">
      <c r="A983" s="2678">
        <v>43734</v>
      </c>
      <c r="B983" s="2677">
        <v>311906</v>
      </c>
      <c r="C983" s="2677">
        <v>311906</v>
      </c>
      <c r="D983" s="2677">
        <v>309671</v>
      </c>
      <c r="E983" s="2677">
        <v>310250</v>
      </c>
      <c r="F983" s="2677">
        <v>310250</v>
      </c>
      <c r="G983" s="2677">
        <v>300</v>
      </c>
    </row>
    <row r="984" spans="1:10" x14ac:dyDescent="0.3">
      <c r="A984" s="2678">
        <v>43735</v>
      </c>
      <c r="B984" s="2677">
        <v>311880</v>
      </c>
      <c r="C984" s="2677">
        <v>312325</v>
      </c>
      <c r="D984" s="2677">
        <v>310055</v>
      </c>
      <c r="E984" s="2677">
        <v>311450</v>
      </c>
      <c r="F984" s="2677">
        <v>311450</v>
      </c>
      <c r="G984" s="2677">
        <v>100</v>
      </c>
    </row>
    <row r="985" spans="1:10" x14ac:dyDescent="0.3">
      <c r="A985" s="2678">
        <v>43738</v>
      </c>
      <c r="B985" s="2677">
        <v>311450</v>
      </c>
      <c r="C985" s="2677">
        <v>312970</v>
      </c>
      <c r="D985" s="2677">
        <v>311390</v>
      </c>
      <c r="E985" s="2677">
        <v>311832</v>
      </c>
      <c r="F985" s="2677">
        <v>311832</v>
      </c>
      <c r="G985" s="2677">
        <v>200</v>
      </c>
    </row>
    <row r="986" spans="1:10" x14ac:dyDescent="0.3">
      <c r="A986" s="2678">
        <v>43739</v>
      </c>
      <c r="B986" s="2677">
        <v>313100</v>
      </c>
      <c r="C986" s="2677">
        <v>314605</v>
      </c>
      <c r="D986" s="2677">
        <v>309830</v>
      </c>
      <c r="E986" s="2677">
        <v>310005</v>
      </c>
      <c r="F986" s="2677">
        <v>310005</v>
      </c>
      <c r="G986" s="2677">
        <v>200</v>
      </c>
      <c r="I986" s="2677">
        <f>MAX(C986:C1049)</f>
        <v>342250</v>
      </c>
      <c r="J986" s="2677">
        <f>MIN(D986:D1049)</f>
        <v>302260</v>
      </c>
    </row>
    <row r="987" spans="1:10" x14ac:dyDescent="0.3">
      <c r="A987" s="2678">
        <v>43740</v>
      </c>
      <c r="B987" s="2677">
        <v>308600</v>
      </c>
      <c r="C987" s="2677">
        <v>308600</v>
      </c>
      <c r="D987" s="2677">
        <v>303665</v>
      </c>
      <c r="E987" s="2677">
        <v>305090</v>
      </c>
      <c r="F987" s="2677">
        <v>305090</v>
      </c>
      <c r="G987" s="2677">
        <v>700</v>
      </c>
    </row>
    <row r="988" spans="1:10" x14ac:dyDescent="0.3">
      <c r="A988" s="2678">
        <v>43741</v>
      </c>
      <c r="B988" s="2677">
        <v>304585</v>
      </c>
      <c r="C988" s="2677">
        <v>307600</v>
      </c>
      <c r="D988" s="2677">
        <v>302260</v>
      </c>
      <c r="E988" s="2677">
        <v>307250</v>
      </c>
      <c r="F988" s="2677">
        <v>307250</v>
      </c>
      <c r="G988" s="2677">
        <v>600</v>
      </c>
    </row>
    <row r="989" spans="1:10" x14ac:dyDescent="0.3">
      <c r="A989" s="2678">
        <v>43742</v>
      </c>
      <c r="B989" s="2677">
        <v>307887</v>
      </c>
      <c r="C989" s="2677">
        <v>312524</v>
      </c>
      <c r="D989" s="2677">
        <v>307887</v>
      </c>
      <c r="E989" s="2677">
        <v>312524</v>
      </c>
      <c r="F989" s="2677">
        <v>312524</v>
      </c>
      <c r="G989" s="2677">
        <v>200</v>
      </c>
    </row>
    <row r="990" spans="1:10" x14ac:dyDescent="0.3">
      <c r="A990" s="2678">
        <v>43745</v>
      </c>
      <c r="B990" s="2677">
        <v>311000</v>
      </c>
      <c r="C990" s="2677">
        <v>312360</v>
      </c>
      <c r="D990" s="2677">
        <v>309555</v>
      </c>
      <c r="E990" s="2677">
        <v>310720</v>
      </c>
      <c r="F990" s="2677">
        <v>310720</v>
      </c>
      <c r="G990" s="2677">
        <v>100</v>
      </c>
    </row>
    <row r="991" spans="1:10" x14ac:dyDescent="0.3">
      <c r="A991" s="2678">
        <v>43746</v>
      </c>
      <c r="B991" s="2677">
        <v>309400</v>
      </c>
      <c r="C991" s="2677">
        <v>309400</v>
      </c>
      <c r="D991" s="2677">
        <v>306040</v>
      </c>
      <c r="E991" s="2677">
        <v>306539</v>
      </c>
      <c r="F991" s="2677">
        <v>306539</v>
      </c>
      <c r="G991" s="2677">
        <v>400</v>
      </c>
    </row>
    <row r="992" spans="1:10" x14ac:dyDescent="0.3">
      <c r="A992" s="2678">
        <v>43747</v>
      </c>
      <c r="B992" s="2677">
        <v>307660</v>
      </c>
      <c r="C992" s="2677">
        <v>310815</v>
      </c>
      <c r="D992" s="2677">
        <v>307133</v>
      </c>
      <c r="E992" s="2677">
        <v>310000</v>
      </c>
      <c r="F992" s="2677">
        <v>310000</v>
      </c>
      <c r="G992" s="2677">
        <v>200</v>
      </c>
    </row>
    <row r="993" spans="1:7" x14ac:dyDescent="0.3">
      <c r="A993" s="2678">
        <v>43748</v>
      </c>
      <c r="B993" s="2677">
        <v>309700</v>
      </c>
      <c r="C993" s="2677">
        <v>312120</v>
      </c>
      <c r="D993" s="2677">
        <v>309540</v>
      </c>
      <c r="E993" s="2677">
        <v>309974</v>
      </c>
      <c r="F993" s="2677">
        <v>309974</v>
      </c>
      <c r="G993" s="2677">
        <v>200</v>
      </c>
    </row>
    <row r="994" spans="1:7" x14ac:dyDescent="0.3">
      <c r="A994" s="2678">
        <v>43749</v>
      </c>
      <c r="B994" s="2677">
        <v>313270</v>
      </c>
      <c r="C994" s="2677">
        <v>315000</v>
      </c>
      <c r="D994" s="2677">
        <v>312120</v>
      </c>
      <c r="E994" s="2677">
        <v>312500</v>
      </c>
      <c r="F994" s="2677">
        <v>312500</v>
      </c>
      <c r="G994" s="2677">
        <v>400</v>
      </c>
    </row>
    <row r="995" spans="1:7" x14ac:dyDescent="0.3">
      <c r="A995" s="2678">
        <v>43752</v>
      </c>
      <c r="B995" s="2677">
        <v>311700</v>
      </c>
      <c r="C995" s="2677">
        <v>311971</v>
      </c>
      <c r="D995" s="2677">
        <v>310500</v>
      </c>
      <c r="E995" s="2677">
        <v>311640</v>
      </c>
      <c r="F995" s="2677">
        <v>311640</v>
      </c>
      <c r="G995" s="2677">
        <v>100</v>
      </c>
    </row>
    <row r="996" spans="1:7" x14ac:dyDescent="0.3">
      <c r="A996" s="2678">
        <v>43753</v>
      </c>
      <c r="B996" s="2677">
        <v>311583</v>
      </c>
      <c r="C996" s="2677">
        <v>315287</v>
      </c>
      <c r="D996" s="2677">
        <v>311567</v>
      </c>
      <c r="E996" s="2677">
        <v>314250</v>
      </c>
      <c r="F996" s="2677">
        <v>314250</v>
      </c>
      <c r="G996" s="2677">
        <v>300</v>
      </c>
    </row>
    <row r="997" spans="1:7" x14ac:dyDescent="0.3">
      <c r="A997" s="2678">
        <v>43754</v>
      </c>
      <c r="B997" s="2677">
        <v>312725</v>
      </c>
      <c r="C997" s="2677">
        <v>314925</v>
      </c>
      <c r="D997" s="2677">
        <v>312725</v>
      </c>
      <c r="E997" s="2677">
        <v>313850</v>
      </c>
      <c r="F997" s="2677">
        <v>313850</v>
      </c>
      <c r="G997" s="2677">
        <v>200</v>
      </c>
    </row>
    <row r="998" spans="1:7" x14ac:dyDescent="0.3">
      <c r="A998" s="2678">
        <v>43755</v>
      </c>
      <c r="B998" s="2677">
        <v>313640</v>
      </c>
      <c r="C998" s="2677">
        <v>314900</v>
      </c>
      <c r="D998" s="2677">
        <v>312970</v>
      </c>
      <c r="E998" s="2677">
        <v>313200</v>
      </c>
      <c r="F998" s="2677">
        <v>313200</v>
      </c>
      <c r="G998" s="2677">
        <v>200</v>
      </c>
    </row>
    <row r="999" spans="1:7" x14ac:dyDescent="0.3">
      <c r="A999" s="2678">
        <v>43756</v>
      </c>
      <c r="B999" s="2677">
        <v>312807</v>
      </c>
      <c r="C999" s="2677">
        <v>314400</v>
      </c>
      <c r="D999" s="2677">
        <v>312595</v>
      </c>
      <c r="E999" s="2677">
        <v>313270</v>
      </c>
      <c r="F999" s="2677">
        <v>313270</v>
      </c>
      <c r="G999" s="2677">
        <v>200</v>
      </c>
    </row>
    <row r="1000" spans="1:7" x14ac:dyDescent="0.3">
      <c r="A1000" s="2678">
        <v>43759</v>
      </c>
      <c r="B1000" s="2677">
        <v>315275</v>
      </c>
      <c r="C1000" s="2677">
        <v>317133</v>
      </c>
      <c r="D1000" s="2677">
        <v>315275</v>
      </c>
      <c r="E1000" s="2677">
        <v>317040</v>
      </c>
      <c r="F1000" s="2677">
        <v>317040</v>
      </c>
      <c r="G1000" s="2677">
        <v>300</v>
      </c>
    </row>
    <row r="1001" spans="1:7" x14ac:dyDescent="0.3">
      <c r="A1001" s="2678">
        <v>43760</v>
      </c>
      <c r="B1001" s="2677">
        <v>316300</v>
      </c>
      <c r="C1001" s="2677">
        <v>317867</v>
      </c>
      <c r="D1001" s="2677">
        <v>315888</v>
      </c>
      <c r="E1001" s="2677">
        <v>316180</v>
      </c>
      <c r="F1001" s="2677">
        <v>316180</v>
      </c>
      <c r="G1001" s="2677">
        <v>100</v>
      </c>
    </row>
    <row r="1002" spans="1:7" x14ac:dyDescent="0.3">
      <c r="A1002" s="2678">
        <v>43761</v>
      </c>
      <c r="B1002" s="2677">
        <v>316000</v>
      </c>
      <c r="C1002" s="2677">
        <v>316560</v>
      </c>
      <c r="D1002" s="2677">
        <v>314398</v>
      </c>
      <c r="E1002" s="2677">
        <v>316560</v>
      </c>
      <c r="F1002" s="2677">
        <v>316560</v>
      </c>
      <c r="G1002" s="2677">
        <v>300</v>
      </c>
    </row>
    <row r="1003" spans="1:7" x14ac:dyDescent="0.3">
      <c r="A1003" s="2678">
        <v>43762</v>
      </c>
      <c r="B1003" s="2677">
        <v>315250</v>
      </c>
      <c r="C1003" s="2677">
        <v>316855</v>
      </c>
      <c r="D1003" s="2677">
        <v>314619</v>
      </c>
      <c r="E1003" s="2677">
        <v>315027</v>
      </c>
      <c r="F1003" s="2677">
        <v>315027</v>
      </c>
      <c r="G1003" s="2677">
        <v>300</v>
      </c>
    </row>
    <row r="1004" spans="1:7" x14ac:dyDescent="0.3">
      <c r="A1004" s="2678">
        <v>43763</v>
      </c>
      <c r="B1004" s="2677">
        <v>315250</v>
      </c>
      <c r="C1004" s="2677">
        <v>318419</v>
      </c>
      <c r="D1004" s="2677">
        <v>315250</v>
      </c>
      <c r="E1004" s="2677">
        <v>317495</v>
      </c>
      <c r="F1004" s="2677">
        <v>317495</v>
      </c>
      <c r="G1004" s="2677">
        <v>400</v>
      </c>
    </row>
    <row r="1005" spans="1:7" x14ac:dyDescent="0.3">
      <c r="A1005" s="2678">
        <v>43766</v>
      </c>
      <c r="B1005" s="2677">
        <v>318000</v>
      </c>
      <c r="C1005" s="2677">
        <v>319923</v>
      </c>
      <c r="D1005" s="2677">
        <v>318000</v>
      </c>
      <c r="E1005" s="2677">
        <v>319055</v>
      </c>
      <c r="F1005" s="2677">
        <v>319055</v>
      </c>
      <c r="G1005" s="2677">
        <v>400</v>
      </c>
    </row>
    <row r="1006" spans="1:7" x14ac:dyDescent="0.3">
      <c r="A1006" s="2678">
        <v>43767</v>
      </c>
      <c r="B1006" s="2677">
        <v>318200</v>
      </c>
      <c r="C1006" s="2677">
        <v>319772</v>
      </c>
      <c r="D1006" s="2677">
        <v>318000</v>
      </c>
      <c r="E1006" s="2677">
        <v>319423</v>
      </c>
      <c r="F1006" s="2677">
        <v>319423</v>
      </c>
      <c r="G1006" s="2677">
        <v>500</v>
      </c>
    </row>
    <row r="1007" spans="1:7" x14ac:dyDescent="0.3">
      <c r="A1007" s="2678">
        <v>43768</v>
      </c>
      <c r="B1007" s="2677">
        <v>318735</v>
      </c>
      <c r="C1007" s="2677">
        <v>320015</v>
      </c>
      <c r="D1007" s="2677">
        <v>317490</v>
      </c>
      <c r="E1007" s="2677">
        <v>320000</v>
      </c>
      <c r="F1007" s="2677">
        <v>320000</v>
      </c>
      <c r="G1007" s="2677">
        <v>400</v>
      </c>
    </row>
    <row r="1008" spans="1:7" x14ac:dyDescent="0.3">
      <c r="A1008" s="2678">
        <v>43769</v>
      </c>
      <c r="B1008" s="2677">
        <v>319819</v>
      </c>
      <c r="C1008" s="2677">
        <v>320500</v>
      </c>
      <c r="D1008" s="2677">
        <v>317310</v>
      </c>
      <c r="E1008" s="2677">
        <v>318939</v>
      </c>
      <c r="F1008" s="2677">
        <v>318939</v>
      </c>
      <c r="G1008" s="2677">
        <v>500</v>
      </c>
    </row>
    <row r="1009" spans="1:7" x14ac:dyDescent="0.3">
      <c r="A1009" s="2678">
        <v>43770</v>
      </c>
      <c r="B1009" s="2677">
        <v>320250</v>
      </c>
      <c r="C1009" s="2677">
        <v>324850</v>
      </c>
      <c r="D1009" s="2677">
        <v>320000</v>
      </c>
      <c r="E1009" s="2677">
        <v>323400</v>
      </c>
      <c r="F1009" s="2677">
        <v>323400</v>
      </c>
      <c r="G1009" s="2677">
        <v>500</v>
      </c>
    </row>
    <row r="1010" spans="1:7" x14ac:dyDescent="0.3">
      <c r="A1010" s="2678">
        <v>43773</v>
      </c>
      <c r="B1010" s="2677">
        <v>326850</v>
      </c>
      <c r="C1010" s="2677">
        <v>327867</v>
      </c>
      <c r="D1010" s="2677">
        <v>325523</v>
      </c>
      <c r="E1010" s="2677">
        <v>326800</v>
      </c>
      <c r="F1010" s="2677">
        <v>326800</v>
      </c>
      <c r="G1010" s="2677">
        <v>300</v>
      </c>
    </row>
    <row r="1011" spans="1:7" x14ac:dyDescent="0.3">
      <c r="A1011" s="2678">
        <v>43774</v>
      </c>
      <c r="B1011" s="2677">
        <v>328000</v>
      </c>
      <c r="C1011" s="2677">
        <v>332500</v>
      </c>
      <c r="D1011" s="2677">
        <v>327500</v>
      </c>
      <c r="E1011" s="2677">
        <v>331500</v>
      </c>
      <c r="F1011" s="2677">
        <v>331500</v>
      </c>
      <c r="G1011" s="2677">
        <v>800</v>
      </c>
    </row>
    <row r="1012" spans="1:7" x14ac:dyDescent="0.3">
      <c r="A1012" s="2678">
        <v>43775</v>
      </c>
      <c r="B1012" s="2677">
        <v>331000</v>
      </c>
      <c r="C1012" s="2677">
        <v>333000</v>
      </c>
      <c r="D1012" s="2677">
        <v>330500</v>
      </c>
      <c r="E1012" s="2677">
        <v>332855</v>
      </c>
      <c r="F1012" s="2677">
        <v>332855</v>
      </c>
      <c r="G1012" s="2677">
        <v>400</v>
      </c>
    </row>
    <row r="1013" spans="1:7" x14ac:dyDescent="0.3">
      <c r="A1013" s="2678">
        <v>43776</v>
      </c>
      <c r="B1013" s="2677">
        <v>333720</v>
      </c>
      <c r="C1013" s="2677">
        <v>335000</v>
      </c>
      <c r="D1013" s="2677">
        <v>332600</v>
      </c>
      <c r="E1013" s="2677">
        <v>333860</v>
      </c>
      <c r="F1013" s="2677">
        <v>333860</v>
      </c>
      <c r="G1013" s="2677">
        <v>500</v>
      </c>
    </row>
    <row r="1014" spans="1:7" x14ac:dyDescent="0.3">
      <c r="A1014" s="2678">
        <v>43777</v>
      </c>
      <c r="B1014" s="2677">
        <v>333225</v>
      </c>
      <c r="C1014" s="2677">
        <v>333234</v>
      </c>
      <c r="D1014" s="2677">
        <v>329975</v>
      </c>
      <c r="E1014" s="2677">
        <v>331526</v>
      </c>
      <c r="F1014" s="2677">
        <v>331526</v>
      </c>
      <c r="G1014" s="2677">
        <v>200</v>
      </c>
    </row>
    <row r="1015" spans="1:7" x14ac:dyDescent="0.3">
      <c r="A1015" s="2678">
        <v>43780</v>
      </c>
      <c r="B1015" s="2677">
        <v>330380</v>
      </c>
      <c r="C1015" s="2677">
        <v>331650</v>
      </c>
      <c r="D1015" s="2677">
        <v>330380</v>
      </c>
      <c r="E1015" s="2677">
        <v>330986</v>
      </c>
      <c r="F1015" s="2677">
        <v>330986</v>
      </c>
      <c r="G1015" s="2677">
        <v>100</v>
      </c>
    </row>
    <row r="1016" spans="1:7" x14ac:dyDescent="0.3">
      <c r="A1016" s="2678">
        <v>43781</v>
      </c>
      <c r="B1016" s="2677">
        <v>331850</v>
      </c>
      <c r="C1016" s="2677">
        <v>333171</v>
      </c>
      <c r="D1016" s="2677">
        <v>330950</v>
      </c>
      <c r="E1016" s="2677">
        <v>331106</v>
      </c>
      <c r="F1016" s="2677">
        <v>331106</v>
      </c>
      <c r="G1016" s="2677">
        <v>100</v>
      </c>
    </row>
    <row r="1017" spans="1:7" x14ac:dyDescent="0.3">
      <c r="A1017" s="2678">
        <v>43782</v>
      </c>
      <c r="B1017" s="2677">
        <v>329150</v>
      </c>
      <c r="C1017" s="2677">
        <v>330025</v>
      </c>
      <c r="D1017" s="2677">
        <v>328240</v>
      </c>
      <c r="E1017" s="2677">
        <v>329402</v>
      </c>
      <c r="F1017" s="2677">
        <v>329402</v>
      </c>
      <c r="G1017" s="2677">
        <v>200</v>
      </c>
    </row>
    <row r="1018" spans="1:7" x14ac:dyDescent="0.3">
      <c r="A1018" s="2678">
        <v>43783</v>
      </c>
      <c r="B1018" s="2677">
        <v>329500</v>
      </c>
      <c r="C1018" s="2677">
        <v>329892</v>
      </c>
      <c r="D1018" s="2677">
        <v>327120</v>
      </c>
      <c r="E1018" s="2677">
        <v>329302</v>
      </c>
      <c r="F1018" s="2677">
        <v>329302</v>
      </c>
      <c r="G1018" s="2677">
        <v>200</v>
      </c>
    </row>
    <row r="1019" spans="1:7" x14ac:dyDescent="0.3">
      <c r="A1019" s="2678">
        <v>43784</v>
      </c>
      <c r="B1019" s="2677">
        <v>329400</v>
      </c>
      <c r="C1019" s="2677">
        <v>330269</v>
      </c>
      <c r="D1019" s="2677">
        <v>328455</v>
      </c>
      <c r="E1019" s="2677">
        <v>329405</v>
      </c>
      <c r="F1019" s="2677">
        <v>329405</v>
      </c>
      <c r="G1019" s="2677">
        <v>300</v>
      </c>
    </row>
    <row r="1020" spans="1:7" x14ac:dyDescent="0.3">
      <c r="A1020" s="2678">
        <v>43787</v>
      </c>
      <c r="B1020" s="2677">
        <v>330000</v>
      </c>
      <c r="C1020" s="2677">
        <v>330500</v>
      </c>
      <c r="D1020" s="2677">
        <v>327800</v>
      </c>
      <c r="E1020" s="2677">
        <v>329225</v>
      </c>
      <c r="F1020" s="2677">
        <v>329225</v>
      </c>
      <c r="G1020" s="2677">
        <v>200</v>
      </c>
    </row>
    <row r="1021" spans="1:7" x14ac:dyDescent="0.3">
      <c r="A1021" s="2678">
        <v>43788</v>
      </c>
      <c r="B1021" s="2677">
        <v>329860</v>
      </c>
      <c r="C1021" s="2677">
        <v>329900</v>
      </c>
      <c r="D1021" s="2677">
        <v>328315</v>
      </c>
      <c r="E1021" s="2677">
        <v>328601</v>
      </c>
      <c r="F1021" s="2677">
        <v>328601</v>
      </c>
      <c r="G1021" s="2677">
        <v>300</v>
      </c>
    </row>
    <row r="1022" spans="1:7" x14ac:dyDescent="0.3">
      <c r="A1022" s="2678">
        <v>43789</v>
      </c>
      <c r="B1022" s="2677">
        <v>327600</v>
      </c>
      <c r="C1022" s="2677">
        <v>327770</v>
      </c>
      <c r="D1022" s="2677">
        <v>324200</v>
      </c>
      <c r="E1022" s="2677">
        <v>326712</v>
      </c>
      <c r="F1022" s="2677">
        <v>326712</v>
      </c>
      <c r="G1022" s="2677">
        <v>300</v>
      </c>
    </row>
    <row r="1023" spans="1:7" x14ac:dyDescent="0.3">
      <c r="A1023" s="2678">
        <v>43790</v>
      </c>
      <c r="B1023" s="2677">
        <v>326000</v>
      </c>
      <c r="C1023" s="2677">
        <v>326703</v>
      </c>
      <c r="D1023" s="2677">
        <v>324580</v>
      </c>
      <c r="E1023" s="2677">
        <v>325102</v>
      </c>
      <c r="F1023" s="2677">
        <v>325102</v>
      </c>
      <c r="G1023" s="2677">
        <v>200</v>
      </c>
    </row>
    <row r="1024" spans="1:7" x14ac:dyDescent="0.3">
      <c r="A1024" s="2678">
        <v>43791</v>
      </c>
      <c r="B1024" s="2677">
        <v>325695</v>
      </c>
      <c r="C1024" s="2677">
        <v>326975</v>
      </c>
      <c r="D1024" s="2677">
        <v>325305</v>
      </c>
      <c r="E1024" s="2677">
        <v>326962</v>
      </c>
      <c r="F1024" s="2677">
        <v>326962</v>
      </c>
      <c r="G1024" s="2677">
        <v>100</v>
      </c>
    </row>
    <row r="1025" spans="1:7" x14ac:dyDescent="0.3">
      <c r="A1025" s="2678">
        <v>43794</v>
      </c>
      <c r="B1025" s="2677">
        <v>328000</v>
      </c>
      <c r="C1025" s="2677">
        <v>328900</v>
      </c>
      <c r="D1025" s="2677">
        <v>327521</v>
      </c>
      <c r="E1025" s="2677">
        <v>328301</v>
      </c>
      <c r="F1025" s="2677">
        <v>328301</v>
      </c>
      <c r="G1025" s="2677">
        <v>200</v>
      </c>
    </row>
    <row r="1026" spans="1:7" x14ac:dyDescent="0.3">
      <c r="A1026" s="2678">
        <v>43795</v>
      </c>
      <c r="B1026" s="2677">
        <v>328301</v>
      </c>
      <c r="C1026" s="2677">
        <v>328794</v>
      </c>
      <c r="D1026" s="2677">
        <v>326780</v>
      </c>
      <c r="E1026" s="2677">
        <v>328402</v>
      </c>
      <c r="F1026" s="2677">
        <v>328402</v>
      </c>
      <c r="G1026" s="2677">
        <v>200</v>
      </c>
    </row>
    <row r="1027" spans="1:7" x14ac:dyDescent="0.3">
      <c r="A1027" s="2678">
        <v>43796</v>
      </c>
      <c r="B1027" s="2677">
        <v>328875</v>
      </c>
      <c r="C1027" s="2677">
        <v>330910</v>
      </c>
      <c r="D1027" s="2677">
        <v>327720</v>
      </c>
      <c r="E1027" s="2677">
        <v>330685</v>
      </c>
      <c r="F1027" s="2677">
        <v>330685</v>
      </c>
      <c r="G1027" s="2677">
        <v>300</v>
      </c>
    </row>
    <row r="1028" spans="1:7" x14ac:dyDescent="0.3">
      <c r="A1028" s="2678">
        <v>43798</v>
      </c>
      <c r="B1028" s="2677">
        <v>330424</v>
      </c>
      <c r="C1028" s="2677">
        <v>330880</v>
      </c>
      <c r="D1028" s="2677">
        <v>329705</v>
      </c>
      <c r="E1028" s="2677">
        <v>330495</v>
      </c>
      <c r="F1028" s="2677">
        <v>330495</v>
      </c>
      <c r="G1028" s="2677">
        <v>300</v>
      </c>
    </row>
    <row r="1029" spans="1:7" x14ac:dyDescent="0.3">
      <c r="A1029" s="2678">
        <v>43801</v>
      </c>
      <c r="B1029" s="2677">
        <v>330802</v>
      </c>
      <c r="C1029" s="2677">
        <v>332008</v>
      </c>
      <c r="D1029" s="2677">
        <v>330374</v>
      </c>
      <c r="E1029" s="2677">
        <v>330609</v>
      </c>
      <c r="F1029" s="2677">
        <v>330609</v>
      </c>
      <c r="G1029" s="2677">
        <v>300</v>
      </c>
    </row>
    <row r="1030" spans="1:7" x14ac:dyDescent="0.3">
      <c r="A1030" s="2678">
        <v>43802</v>
      </c>
      <c r="B1030" s="2677">
        <v>327600</v>
      </c>
      <c r="C1030" s="2677">
        <v>328000</v>
      </c>
      <c r="D1030" s="2677">
        <v>324900</v>
      </c>
      <c r="E1030" s="2677">
        <v>327539</v>
      </c>
      <c r="F1030" s="2677">
        <v>327539</v>
      </c>
      <c r="G1030" s="2677">
        <v>200</v>
      </c>
    </row>
    <row r="1031" spans="1:7" x14ac:dyDescent="0.3">
      <c r="A1031" s="2678">
        <v>43803</v>
      </c>
      <c r="B1031" s="2677">
        <v>326782</v>
      </c>
      <c r="C1031" s="2677">
        <v>328100</v>
      </c>
      <c r="D1031" s="2677">
        <v>326780</v>
      </c>
      <c r="E1031" s="2677">
        <v>327501</v>
      </c>
      <c r="F1031" s="2677">
        <v>327501</v>
      </c>
      <c r="G1031" s="2677">
        <v>200</v>
      </c>
    </row>
    <row r="1032" spans="1:7" x14ac:dyDescent="0.3">
      <c r="A1032" s="2678">
        <v>43804</v>
      </c>
      <c r="B1032" s="2677">
        <v>328200</v>
      </c>
      <c r="C1032" s="2677">
        <v>329799</v>
      </c>
      <c r="D1032" s="2677">
        <v>327500</v>
      </c>
      <c r="E1032" s="2677">
        <v>329799</v>
      </c>
      <c r="F1032" s="2677">
        <v>329799</v>
      </c>
      <c r="G1032" s="2677">
        <v>200</v>
      </c>
    </row>
    <row r="1033" spans="1:7" x14ac:dyDescent="0.3">
      <c r="A1033" s="2678">
        <v>43805</v>
      </c>
      <c r="B1033" s="2677">
        <v>332870</v>
      </c>
      <c r="C1033" s="2677">
        <v>334460</v>
      </c>
      <c r="D1033" s="2677">
        <v>332600</v>
      </c>
      <c r="E1033" s="2677">
        <v>333640</v>
      </c>
      <c r="F1033" s="2677">
        <v>333640</v>
      </c>
      <c r="G1033" s="2677">
        <v>400</v>
      </c>
    </row>
    <row r="1034" spans="1:7" x14ac:dyDescent="0.3">
      <c r="A1034" s="2678">
        <v>43808</v>
      </c>
      <c r="B1034" s="2677">
        <v>333640</v>
      </c>
      <c r="C1034" s="2677">
        <v>334998</v>
      </c>
      <c r="D1034" s="2677">
        <v>331770</v>
      </c>
      <c r="E1034" s="2677">
        <v>331904</v>
      </c>
      <c r="F1034" s="2677">
        <v>331904</v>
      </c>
      <c r="G1034" s="2677">
        <v>200</v>
      </c>
    </row>
    <row r="1035" spans="1:7" x14ac:dyDescent="0.3">
      <c r="A1035" s="2678">
        <v>43809</v>
      </c>
      <c r="B1035" s="2677">
        <v>331904</v>
      </c>
      <c r="C1035" s="2677">
        <v>333005</v>
      </c>
      <c r="D1035" s="2677">
        <v>330670</v>
      </c>
      <c r="E1035" s="2677">
        <v>332120</v>
      </c>
      <c r="F1035" s="2677">
        <v>332120</v>
      </c>
      <c r="G1035" s="2677">
        <v>500</v>
      </c>
    </row>
    <row r="1036" spans="1:7" x14ac:dyDescent="0.3">
      <c r="A1036" s="2678">
        <v>43810</v>
      </c>
      <c r="B1036" s="2677">
        <v>331424</v>
      </c>
      <c r="C1036" s="2677">
        <v>333900</v>
      </c>
      <c r="D1036" s="2677">
        <v>331424</v>
      </c>
      <c r="E1036" s="2677">
        <v>333600</v>
      </c>
      <c r="F1036" s="2677">
        <v>333600</v>
      </c>
      <c r="G1036" s="2677">
        <v>300</v>
      </c>
    </row>
    <row r="1037" spans="1:7" x14ac:dyDescent="0.3">
      <c r="A1037" s="2678">
        <v>43811</v>
      </c>
      <c r="B1037" s="2677">
        <v>334330</v>
      </c>
      <c r="C1037" s="2677">
        <v>339770</v>
      </c>
      <c r="D1037" s="2677">
        <v>334330</v>
      </c>
      <c r="E1037" s="2677">
        <v>338800</v>
      </c>
      <c r="F1037" s="2677">
        <v>338800</v>
      </c>
      <c r="G1037" s="2677">
        <v>600</v>
      </c>
    </row>
    <row r="1038" spans="1:7" x14ac:dyDescent="0.3">
      <c r="A1038" s="2678">
        <v>43812</v>
      </c>
      <c r="B1038" s="2677">
        <v>337754</v>
      </c>
      <c r="C1038" s="2677">
        <v>339704</v>
      </c>
      <c r="D1038" s="2677">
        <v>336000</v>
      </c>
      <c r="E1038" s="2677">
        <v>338080</v>
      </c>
      <c r="F1038" s="2677">
        <v>338080</v>
      </c>
      <c r="G1038" s="2677">
        <v>200</v>
      </c>
    </row>
    <row r="1039" spans="1:7" x14ac:dyDescent="0.3">
      <c r="A1039" s="2678">
        <v>43815</v>
      </c>
      <c r="B1039" s="2677">
        <v>339850</v>
      </c>
      <c r="C1039" s="2677">
        <v>341785</v>
      </c>
      <c r="D1039" s="2677">
        <v>339313</v>
      </c>
      <c r="E1039" s="2677">
        <v>340380</v>
      </c>
      <c r="F1039" s="2677">
        <v>340380</v>
      </c>
      <c r="G1039" s="2677">
        <v>300</v>
      </c>
    </row>
    <row r="1040" spans="1:7" x14ac:dyDescent="0.3">
      <c r="A1040" s="2678">
        <v>43816</v>
      </c>
      <c r="B1040" s="2677">
        <v>340807</v>
      </c>
      <c r="C1040" s="2677">
        <v>342250</v>
      </c>
      <c r="D1040" s="2677">
        <v>339000</v>
      </c>
      <c r="E1040" s="2677">
        <v>339000</v>
      </c>
      <c r="F1040" s="2677">
        <v>339000</v>
      </c>
      <c r="G1040" s="2677">
        <v>300</v>
      </c>
    </row>
    <row r="1041" spans="1:7" x14ac:dyDescent="0.3">
      <c r="A1041" s="2678">
        <v>43817</v>
      </c>
      <c r="B1041" s="2677">
        <v>340250</v>
      </c>
      <c r="C1041" s="2677">
        <v>340646</v>
      </c>
      <c r="D1041" s="2677">
        <v>337400</v>
      </c>
      <c r="E1041" s="2677">
        <v>337500</v>
      </c>
      <c r="F1041" s="2677">
        <v>337500</v>
      </c>
      <c r="G1041" s="2677">
        <v>200</v>
      </c>
    </row>
    <row r="1042" spans="1:7" x14ac:dyDescent="0.3">
      <c r="A1042" s="2678">
        <v>43818</v>
      </c>
      <c r="B1042" s="2677">
        <v>337320</v>
      </c>
      <c r="C1042" s="2677">
        <v>338499</v>
      </c>
      <c r="D1042" s="2677">
        <v>336065</v>
      </c>
      <c r="E1042" s="2677">
        <v>337491</v>
      </c>
      <c r="F1042" s="2677">
        <v>337491</v>
      </c>
      <c r="G1042" s="2677">
        <v>500</v>
      </c>
    </row>
    <row r="1043" spans="1:7" x14ac:dyDescent="0.3">
      <c r="A1043" s="2678">
        <v>43819</v>
      </c>
      <c r="B1043" s="2677">
        <v>340219</v>
      </c>
      <c r="C1043" s="2677">
        <v>341755</v>
      </c>
      <c r="D1043" s="2677">
        <v>338567</v>
      </c>
      <c r="E1043" s="2677">
        <v>339850</v>
      </c>
      <c r="F1043" s="2677">
        <v>339850</v>
      </c>
      <c r="G1043" s="2677">
        <v>300</v>
      </c>
    </row>
    <row r="1044" spans="1:7" x14ac:dyDescent="0.3">
      <c r="A1044" s="2678">
        <v>43822</v>
      </c>
      <c r="B1044" s="2677">
        <v>339000</v>
      </c>
      <c r="C1044" s="2677">
        <v>339850</v>
      </c>
      <c r="D1044" s="2677">
        <v>337633</v>
      </c>
      <c r="E1044" s="2677">
        <v>338045</v>
      </c>
      <c r="F1044" s="2677">
        <v>338045</v>
      </c>
      <c r="G1044" s="2677">
        <v>200</v>
      </c>
    </row>
    <row r="1045" spans="1:7" x14ac:dyDescent="0.3">
      <c r="A1045" s="2678">
        <v>43823</v>
      </c>
      <c r="B1045" s="2677">
        <v>337920</v>
      </c>
      <c r="C1045" s="2677">
        <v>338390</v>
      </c>
      <c r="D1045" s="2677">
        <v>337649</v>
      </c>
      <c r="E1045" s="2677">
        <v>338390</v>
      </c>
      <c r="F1045" s="2677">
        <v>338390</v>
      </c>
      <c r="G1045" s="2677">
        <v>100</v>
      </c>
    </row>
    <row r="1046" spans="1:7" x14ac:dyDescent="0.3">
      <c r="A1046" s="2678">
        <v>43825</v>
      </c>
      <c r="B1046" s="2677">
        <v>339725</v>
      </c>
      <c r="C1046" s="2677">
        <v>339725</v>
      </c>
      <c r="D1046" s="2677">
        <v>338439</v>
      </c>
      <c r="E1046" s="2677">
        <v>339650</v>
      </c>
      <c r="F1046" s="2677">
        <v>339650</v>
      </c>
      <c r="G1046" s="2677">
        <v>100</v>
      </c>
    </row>
    <row r="1047" spans="1:7" x14ac:dyDescent="0.3">
      <c r="A1047" s="2678">
        <v>43826</v>
      </c>
      <c r="B1047" s="2677">
        <v>339600</v>
      </c>
      <c r="C1047" s="2677">
        <v>340550</v>
      </c>
      <c r="D1047" s="2677">
        <v>338340</v>
      </c>
      <c r="E1047" s="2677">
        <v>338920</v>
      </c>
      <c r="F1047" s="2677">
        <v>338920</v>
      </c>
      <c r="G1047" s="2677">
        <v>200</v>
      </c>
    </row>
    <row r="1048" spans="1:7" x14ac:dyDescent="0.3">
      <c r="A1048" s="2678">
        <v>43829</v>
      </c>
      <c r="B1048" s="2677">
        <v>339000</v>
      </c>
      <c r="C1048" s="2677">
        <v>339960</v>
      </c>
      <c r="D1048" s="2677">
        <v>337025</v>
      </c>
      <c r="E1048" s="2677">
        <v>338750</v>
      </c>
      <c r="F1048" s="2677">
        <v>338750</v>
      </c>
      <c r="G1048" s="2677">
        <v>300</v>
      </c>
    </row>
    <row r="1049" spans="1:7" x14ac:dyDescent="0.3">
      <c r="A1049" s="2678">
        <v>43830</v>
      </c>
      <c r="B1049" s="2677">
        <v>338750</v>
      </c>
      <c r="C1049" s="2677">
        <v>340000</v>
      </c>
      <c r="D1049" s="2677">
        <v>337920</v>
      </c>
      <c r="E1049" s="2677">
        <v>339590</v>
      </c>
      <c r="F1049" s="2677">
        <v>339590</v>
      </c>
      <c r="G1049" s="2677">
        <v>100</v>
      </c>
    </row>
    <row r="1050" spans="1:7" x14ac:dyDescent="0.3">
      <c r="A1050" s="2678">
        <v>43832</v>
      </c>
      <c r="B1050" s="2677">
        <v>341150</v>
      </c>
      <c r="C1050" s="2677">
        <v>342261</v>
      </c>
      <c r="D1050" s="2677">
        <v>340065</v>
      </c>
      <c r="E1050" s="2677">
        <v>342261</v>
      </c>
      <c r="F1050" s="2677">
        <v>342261</v>
      </c>
      <c r="G1050" s="2677">
        <v>400</v>
      </c>
    </row>
    <row r="1051" spans="1:7" x14ac:dyDescent="0.3">
      <c r="A1051" s="2678">
        <v>43833</v>
      </c>
      <c r="B1051" s="2677">
        <v>338207</v>
      </c>
      <c r="C1051" s="2677">
        <v>341040</v>
      </c>
      <c r="D1051" s="2677">
        <v>337755</v>
      </c>
      <c r="E1051" s="2677">
        <v>339155</v>
      </c>
      <c r="F1051" s="2677">
        <v>339155</v>
      </c>
      <c r="G1051" s="2677">
        <v>200</v>
      </c>
    </row>
    <row r="1052" spans="1:7" x14ac:dyDescent="0.3">
      <c r="A1052" s="2678">
        <v>43836</v>
      </c>
      <c r="B1052" s="2677">
        <v>337750</v>
      </c>
      <c r="C1052" s="2677">
        <v>340340</v>
      </c>
      <c r="D1052" s="2677">
        <v>337100</v>
      </c>
      <c r="E1052" s="2677">
        <v>340210</v>
      </c>
      <c r="F1052" s="2677">
        <v>340210</v>
      </c>
      <c r="G1052" s="2677">
        <v>300</v>
      </c>
    </row>
    <row r="1053" spans="1:7" x14ac:dyDescent="0.3">
      <c r="A1053" s="2678">
        <v>43837</v>
      </c>
      <c r="B1053" s="2677">
        <v>340000</v>
      </c>
      <c r="C1053" s="2677">
        <v>340000</v>
      </c>
      <c r="D1053" s="2677">
        <v>338200</v>
      </c>
      <c r="E1053" s="2677">
        <v>338901</v>
      </c>
      <c r="F1053" s="2677">
        <v>338901</v>
      </c>
      <c r="G1053" s="2677">
        <v>300</v>
      </c>
    </row>
    <row r="1054" spans="1:7" x14ac:dyDescent="0.3">
      <c r="A1054" s="2678">
        <v>43838</v>
      </c>
      <c r="B1054" s="2677">
        <v>339450</v>
      </c>
      <c r="C1054" s="2677">
        <v>341580</v>
      </c>
      <c r="D1054" s="2677">
        <v>338850</v>
      </c>
      <c r="E1054" s="2677">
        <v>339188</v>
      </c>
      <c r="F1054" s="2677">
        <v>339188</v>
      </c>
      <c r="G1054" s="2677">
        <v>200</v>
      </c>
    </row>
    <row r="1055" spans="1:7" x14ac:dyDescent="0.3">
      <c r="A1055" s="2678">
        <v>43839</v>
      </c>
      <c r="B1055" s="2677">
        <v>341100</v>
      </c>
      <c r="C1055" s="2677">
        <v>343263</v>
      </c>
      <c r="D1055" s="2677">
        <v>340800</v>
      </c>
      <c r="E1055" s="2677">
        <v>343263</v>
      </c>
      <c r="F1055" s="2677">
        <v>343263</v>
      </c>
      <c r="G1055" s="2677">
        <v>300</v>
      </c>
    </row>
    <row r="1056" spans="1:7" x14ac:dyDescent="0.3">
      <c r="A1056" s="2678">
        <v>43840</v>
      </c>
      <c r="B1056" s="2677">
        <v>342796</v>
      </c>
      <c r="C1056" s="2677">
        <v>342850</v>
      </c>
      <c r="D1056" s="2677">
        <v>340000</v>
      </c>
      <c r="E1056" s="2677">
        <v>340185</v>
      </c>
      <c r="F1056" s="2677">
        <v>340185</v>
      </c>
      <c r="G1056" s="2677">
        <v>100</v>
      </c>
    </row>
    <row r="1057" spans="1:7" x14ac:dyDescent="0.3">
      <c r="A1057" s="2678">
        <v>43843</v>
      </c>
      <c r="B1057" s="2677">
        <v>340600</v>
      </c>
      <c r="C1057" s="2677">
        <v>342855</v>
      </c>
      <c r="D1057" s="2677">
        <v>339560</v>
      </c>
      <c r="E1057" s="2677">
        <v>342855</v>
      </c>
      <c r="F1057" s="2677">
        <v>342855</v>
      </c>
      <c r="G1057" s="2677">
        <v>200</v>
      </c>
    </row>
    <row r="1058" spans="1:7" x14ac:dyDescent="0.3">
      <c r="A1058" s="2678">
        <v>43844</v>
      </c>
      <c r="B1058" s="2677">
        <v>341101</v>
      </c>
      <c r="C1058" s="2677">
        <v>342500</v>
      </c>
      <c r="D1058" s="2677">
        <v>340490</v>
      </c>
      <c r="E1058" s="2677">
        <v>340706</v>
      </c>
      <c r="F1058" s="2677">
        <v>340706</v>
      </c>
      <c r="G1058" s="2677">
        <v>200</v>
      </c>
    </row>
    <row r="1059" spans="1:7" x14ac:dyDescent="0.3">
      <c r="A1059" s="2678">
        <v>43845</v>
      </c>
      <c r="B1059" s="2677">
        <v>340450</v>
      </c>
      <c r="C1059" s="2677">
        <v>342950</v>
      </c>
      <c r="D1059" s="2677">
        <v>340450</v>
      </c>
      <c r="E1059" s="2677">
        <v>342550</v>
      </c>
      <c r="F1059" s="2677">
        <v>342550</v>
      </c>
      <c r="G1059" s="2677">
        <v>100</v>
      </c>
    </row>
    <row r="1060" spans="1:7" x14ac:dyDescent="0.3">
      <c r="A1060" s="2678">
        <v>43846</v>
      </c>
      <c r="B1060" s="2677">
        <v>343155</v>
      </c>
      <c r="C1060" s="2677">
        <v>345000</v>
      </c>
      <c r="D1060" s="2677">
        <v>342806</v>
      </c>
      <c r="E1060" s="2677">
        <v>344505</v>
      </c>
      <c r="F1060" s="2677">
        <v>344505</v>
      </c>
      <c r="G1060" s="2677">
        <v>200</v>
      </c>
    </row>
    <row r="1061" spans="1:7" x14ac:dyDescent="0.3">
      <c r="A1061" s="2678">
        <v>43847</v>
      </c>
      <c r="B1061" s="2677">
        <v>345000</v>
      </c>
      <c r="C1061" s="2677">
        <v>347400</v>
      </c>
      <c r="D1061" s="2677">
        <v>344550</v>
      </c>
      <c r="E1061" s="2677">
        <v>344970</v>
      </c>
      <c r="F1061" s="2677">
        <v>344970</v>
      </c>
      <c r="G1061" s="2677">
        <v>200</v>
      </c>
    </row>
    <row r="1062" spans="1:7" x14ac:dyDescent="0.3">
      <c r="A1062" s="2678">
        <v>43851</v>
      </c>
      <c r="B1062" s="2677">
        <v>345000</v>
      </c>
      <c r="C1062" s="2677">
        <v>346700</v>
      </c>
      <c r="D1062" s="2677">
        <v>342185</v>
      </c>
      <c r="E1062" s="2677">
        <v>342650</v>
      </c>
      <c r="F1062" s="2677">
        <v>342650</v>
      </c>
      <c r="G1062" s="2677">
        <v>300</v>
      </c>
    </row>
    <row r="1063" spans="1:7" x14ac:dyDescent="0.3">
      <c r="A1063" s="2678">
        <v>43852</v>
      </c>
      <c r="B1063" s="2677">
        <v>343100</v>
      </c>
      <c r="C1063" s="2677">
        <v>345500</v>
      </c>
      <c r="D1063" s="2677">
        <v>342680</v>
      </c>
      <c r="E1063" s="2677">
        <v>344700</v>
      </c>
      <c r="F1063" s="2677">
        <v>344700</v>
      </c>
      <c r="G1063" s="2677">
        <v>200</v>
      </c>
    </row>
    <row r="1064" spans="1:7" x14ac:dyDescent="0.3">
      <c r="A1064" s="2678">
        <v>43853</v>
      </c>
      <c r="B1064" s="2677">
        <v>343596</v>
      </c>
      <c r="C1064" s="2677">
        <v>344600</v>
      </c>
      <c r="D1064" s="2677">
        <v>341150</v>
      </c>
      <c r="E1064" s="2677">
        <v>344414</v>
      </c>
      <c r="F1064" s="2677">
        <v>344414</v>
      </c>
      <c r="G1064" s="2677">
        <v>200</v>
      </c>
    </row>
    <row r="1065" spans="1:7" x14ac:dyDescent="0.3">
      <c r="A1065" s="2678">
        <v>43854</v>
      </c>
      <c r="B1065" s="2677">
        <v>342850</v>
      </c>
      <c r="C1065" s="2677">
        <v>343520</v>
      </c>
      <c r="D1065" s="2677">
        <v>339139</v>
      </c>
      <c r="E1065" s="2677">
        <v>340199</v>
      </c>
      <c r="F1065" s="2677">
        <v>340199</v>
      </c>
      <c r="G1065" s="2677">
        <v>300</v>
      </c>
    </row>
    <row r="1066" spans="1:7" x14ac:dyDescent="0.3">
      <c r="A1066" s="2678">
        <v>43857</v>
      </c>
      <c r="B1066" s="2677">
        <v>334450</v>
      </c>
      <c r="C1066" s="2677">
        <v>335450</v>
      </c>
      <c r="D1066" s="2677">
        <v>332000</v>
      </c>
      <c r="E1066" s="2677">
        <v>333621</v>
      </c>
      <c r="F1066" s="2677">
        <v>333621</v>
      </c>
      <c r="G1066" s="2677">
        <v>500</v>
      </c>
    </row>
    <row r="1067" spans="1:7" x14ac:dyDescent="0.3">
      <c r="A1067" s="2678">
        <v>43858</v>
      </c>
      <c r="B1067" s="2677">
        <v>335600</v>
      </c>
      <c r="C1067" s="2677">
        <v>338000</v>
      </c>
      <c r="D1067" s="2677">
        <v>335032</v>
      </c>
      <c r="E1067" s="2677">
        <v>336000</v>
      </c>
      <c r="F1067" s="2677">
        <v>336000</v>
      </c>
      <c r="G1067" s="2677">
        <v>200</v>
      </c>
    </row>
    <row r="1068" spans="1:7" x14ac:dyDescent="0.3">
      <c r="A1068" s="2678">
        <v>43859</v>
      </c>
      <c r="B1068" s="2677">
        <v>336250</v>
      </c>
      <c r="C1068" s="2677">
        <v>339400</v>
      </c>
      <c r="D1068" s="2677">
        <v>336250</v>
      </c>
      <c r="E1068" s="2677">
        <v>336476</v>
      </c>
      <c r="F1068" s="2677">
        <v>336476</v>
      </c>
      <c r="G1068" s="2677">
        <v>100</v>
      </c>
    </row>
    <row r="1069" spans="1:7" x14ac:dyDescent="0.3">
      <c r="A1069" s="2678">
        <v>43860</v>
      </c>
      <c r="B1069" s="2677">
        <v>334360</v>
      </c>
      <c r="C1069" s="2677">
        <v>342000</v>
      </c>
      <c r="D1069" s="2677">
        <v>334360</v>
      </c>
      <c r="E1069" s="2677">
        <v>342000</v>
      </c>
      <c r="F1069" s="2677">
        <v>342000</v>
      </c>
      <c r="G1069" s="2677">
        <v>200</v>
      </c>
    </row>
    <row r="1070" spans="1:7" x14ac:dyDescent="0.3">
      <c r="A1070" s="2678">
        <v>43861</v>
      </c>
      <c r="B1070" s="2677">
        <v>339855</v>
      </c>
      <c r="C1070" s="2677">
        <v>339855</v>
      </c>
      <c r="D1070" s="2677">
        <v>335120</v>
      </c>
      <c r="E1070" s="2677">
        <v>335996</v>
      </c>
      <c r="F1070" s="2677">
        <v>335996</v>
      </c>
      <c r="G1070" s="2677">
        <v>300</v>
      </c>
    </row>
    <row r="1071" spans="1:7" x14ac:dyDescent="0.3">
      <c r="A1071" s="2678">
        <v>43864</v>
      </c>
      <c r="B1071" s="2677">
        <v>338160</v>
      </c>
      <c r="C1071" s="2677">
        <v>339450</v>
      </c>
      <c r="D1071" s="2677">
        <v>334580</v>
      </c>
      <c r="E1071" s="2677">
        <v>334860</v>
      </c>
      <c r="F1071" s="2677">
        <v>334860</v>
      </c>
      <c r="G1071" s="2677">
        <v>200</v>
      </c>
    </row>
    <row r="1072" spans="1:7" x14ac:dyDescent="0.3">
      <c r="A1072" s="2678">
        <v>43865</v>
      </c>
      <c r="B1072" s="2677">
        <v>339220</v>
      </c>
      <c r="C1072" s="2677">
        <v>340296</v>
      </c>
      <c r="D1072" s="2677">
        <v>337280</v>
      </c>
      <c r="E1072" s="2677">
        <v>337421</v>
      </c>
      <c r="F1072" s="2677">
        <v>337421</v>
      </c>
      <c r="G1072" s="2677">
        <v>200</v>
      </c>
    </row>
    <row r="1073" spans="1:7" x14ac:dyDescent="0.3">
      <c r="A1073" s="2678">
        <v>43866</v>
      </c>
      <c r="B1073" s="2677">
        <v>340400</v>
      </c>
      <c r="C1073" s="2677">
        <v>342910</v>
      </c>
      <c r="D1073" s="2677">
        <v>340359</v>
      </c>
      <c r="E1073" s="2677">
        <v>342615</v>
      </c>
      <c r="F1073" s="2677">
        <v>342615</v>
      </c>
      <c r="G1073" s="2677">
        <v>300</v>
      </c>
    </row>
    <row r="1074" spans="1:7" x14ac:dyDescent="0.3">
      <c r="A1074" s="2678">
        <v>43867</v>
      </c>
      <c r="B1074" s="2677">
        <v>344290</v>
      </c>
      <c r="C1074" s="2677">
        <v>345000</v>
      </c>
      <c r="D1074" s="2677">
        <v>343070</v>
      </c>
      <c r="E1074" s="2677">
        <v>344081</v>
      </c>
      <c r="F1074" s="2677">
        <v>344081</v>
      </c>
      <c r="G1074" s="2677">
        <v>200</v>
      </c>
    </row>
    <row r="1075" spans="1:7" x14ac:dyDescent="0.3">
      <c r="A1075" s="2678">
        <v>43868</v>
      </c>
      <c r="B1075" s="2677">
        <v>342000</v>
      </c>
      <c r="C1075" s="2677">
        <v>342775</v>
      </c>
      <c r="D1075" s="2677">
        <v>340345</v>
      </c>
      <c r="E1075" s="2677">
        <v>340900</v>
      </c>
      <c r="F1075" s="2677">
        <v>340900</v>
      </c>
      <c r="G1075" s="2677">
        <v>200</v>
      </c>
    </row>
    <row r="1076" spans="1:7" x14ac:dyDescent="0.3">
      <c r="A1076" s="2678">
        <v>43871</v>
      </c>
      <c r="B1076" s="2677">
        <v>340904</v>
      </c>
      <c r="C1076" s="2677">
        <v>341078</v>
      </c>
      <c r="D1076" s="2677">
        <v>338000</v>
      </c>
      <c r="E1076" s="2677">
        <v>340361</v>
      </c>
      <c r="F1076" s="2677">
        <v>340361</v>
      </c>
      <c r="G1076" s="2677">
        <v>200</v>
      </c>
    </row>
    <row r="1077" spans="1:7" x14ac:dyDescent="0.3">
      <c r="A1077" s="2678">
        <v>43872</v>
      </c>
      <c r="B1077" s="2677">
        <v>342350</v>
      </c>
      <c r="C1077" s="2677">
        <v>342350</v>
      </c>
      <c r="D1077" s="2677">
        <v>340461</v>
      </c>
      <c r="E1077" s="2677">
        <v>340780</v>
      </c>
      <c r="F1077" s="2677">
        <v>340780</v>
      </c>
      <c r="G1077" s="2677">
        <v>200</v>
      </c>
    </row>
    <row r="1078" spans="1:7" x14ac:dyDescent="0.3">
      <c r="A1078" s="2678">
        <v>43873</v>
      </c>
      <c r="B1078" s="2677">
        <v>341900</v>
      </c>
      <c r="C1078" s="2677">
        <v>343146</v>
      </c>
      <c r="D1078" s="2677">
        <v>340404</v>
      </c>
      <c r="E1078" s="2677">
        <v>341000</v>
      </c>
      <c r="F1078" s="2677">
        <v>341000</v>
      </c>
      <c r="G1078" s="2677">
        <v>200</v>
      </c>
    </row>
    <row r="1079" spans="1:7" x14ac:dyDescent="0.3">
      <c r="A1079" s="2678">
        <v>43874</v>
      </c>
      <c r="B1079" s="2677">
        <v>340500</v>
      </c>
      <c r="C1079" s="2677">
        <v>341048</v>
      </c>
      <c r="D1079" s="2677">
        <v>338500</v>
      </c>
      <c r="E1079" s="2677">
        <v>338500</v>
      </c>
      <c r="F1079" s="2677">
        <v>338500</v>
      </c>
      <c r="G1079" s="2677">
        <v>300</v>
      </c>
    </row>
    <row r="1080" spans="1:7" x14ac:dyDescent="0.3">
      <c r="A1080" s="2678">
        <v>43875</v>
      </c>
      <c r="B1080" s="2677">
        <v>339488</v>
      </c>
      <c r="C1080" s="2677">
        <v>340600</v>
      </c>
      <c r="D1080" s="2677">
        <v>338437</v>
      </c>
      <c r="E1080" s="2677">
        <v>340224</v>
      </c>
      <c r="F1080" s="2677">
        <v>340224</v>
      </c>
      <c r="G1080" s="2677">
        <v>100</v>
      </c>
    </row>
    <row r="1081" spans="1:7" x14ac:dyDescent="0.3">
      <c r="A1081" s="2678">
        <v>43879</v>
      </c>
      <c r="B1081" s="2677">
        <v>340224</v>
      </c>
      <c r="C1081" s="2677">
        <v>341000</v>
      </c>
      <c r="D1081" s="2677">
        <v>338000</v>
      </c>
      <c r="E1081" s="2677">
        <v>339745</v>
      </c>
      <c r="F1081" s="2677">
        <v>339745</v>
      </c>
      <c r="G1081" s="2677">
        <v>200</v>
      </c>
    </row>
    <row r="1082" spans="1:7" x14ac:dyDescent="0.3">
      <c r="A1082" s="2678">
        <v>43880</v>
      </c>
      <c r="B1082" s="2677">
        <v>340656</v>
      </c>
      <c r="C1082" s="2677">
        <v>344428</v>
      </c>
      <c r="D1082" s="2677">
        <v>340317</v>
      </c>
      <c r="E1082" s="2677">
        <v>344000</v>
      </c>
      <c r="F1082" s="2677">
        <v>344000</v>
      </c>
      <c r="G1082" s="2677">
        <v>300</v>
      </c>
    </row>
    <row r="1083" spans="1:7" x14ac:dyDescent="0.3">
      <c r="A1083" s="2678">
        <v>43881</v>
      </c>
      <c r="B1083" s="2677">
        <v>343750</v>
      </c>
      <c r="C1083" s="2677">
        <v>344642</v>
      </c>
      <c r="D1083" s="2677">
        <v>340965</v>
      </c>
      <c r="E1083" s="2677">
        <v>342122</v>
      </c>
      <c r="F1083" s="2677">
        <v>342122</v>
      </c>
      <c r="G1083" s="2677">
        <v>300</v>
      </c>
    </row>
    <row r="1084" spans="1:7" x14ac:dyDescent="0.3">
      <c r="A1084" s="2678">
        <v>43882</v>
      </c>
      <c r="B1084" s="2677">
        <v>341850</v>
      </c>
      <c r="C1084" s="2677">
        <v>344975</v>
      </c>
      <c r="D1084" s="2677">
        <v>340600</v>
      </c>
      <c r="E1084" s="2677">
        <v>343449</v>
      </c>
      <c r="F1084" s="2677">
        <v>343449</v>
      </c>
      <c r="G1084" s="2677">
        <v>200</v>
      </c>
    </row>
    <row r="1085" spans="1:7" x14ac:dyDescent="0.3">
      <c r="A1085" s="2678">
        <v>43885</v>
      </c>
      <c r="B1085" s="2677">
        <v>335000</v>
      </c>
      <c r="C1085" s="2677">
        <v>336163</v>
      </c>
      <c r="D1085" s="2677">
        <v>330940</v>
      </c>
      <c r="E1085" s="2677">
        <v>333190</v>
      </c>
      <c r="F1085" s="2677">
        <v>333190</v>
      </c>
      <c r="G1085" s="2677">
        <v>700</v>
      </c>
    </row>
    <row r="1086" spans="1:7" x14ac:dyDescent="0.3">
      <c r="A1086" s="2678">
        <v>43886</v>
      </c>
      <c r="B1086" s="2677">
        <v>333195</v>
      </c>
      <c r="C1086" s="2677">
        <v>335000</v>
      </c>
      <c r="D1086" s="2677">
        <v>325900</v>
      </c>
      <c r="E1086" s="2677">
        <v>328000</v>
      </c>
      <c r="F1086" s="2677">
        <v>328000</v>
      </c>
      <c r="G1086" s="2677">
        <v>600</v>
      </c>
    </row>
    <row r="1087" spans="1:7" x14ac:dyDescent="0.3">
      <c r="A1087" s="2678">
        <v>43887</v>
      </c>
      <c r="B1087" s="2677">
        <v>328200</v>
      </c>
      <c r="C1087" s="2677">
        <v>330603</v>
      </c>
      <c r="D1087" s="2677">
        <v>324301</v>
      </c>
      <c r="E1087" s="2677">
        <v>324301</v>
      </c>
      <c r="F1087" s="2677">
        <v>324301</v>
      </c>
      <c r="G1087" s="2677">
        <v>400</v>
      </c>
    </row>
    <row r="1088" spans="1:7" x14ac:dyDescent="0.3">
      <c r="A1088" s="2678">
        <v>43888</v>
      </c>
      <c r="B1088" s="2677">
        <v>320480</v>
      </c>
      <c r="C1088" s="2677">
        <v>322292</v>
      </c>
      <c r="D1088" s="2677">
        <v>312501</v>
      </c>
      <c r="E1088" s="2677">
        <v>312619</v>
      </c>
      <c r="F1088" s="2677">
        <v>312619</v>
      </c>
      <c r="G1088" s="2677">
        <v>500</v>
      </c>
    </row>
    <row r="1089" spans="1:7" x14ac:dyDescent="0.3">
      <c r="A1089" s="2678">
        <v>43889</v>
      </c>
      <c r="B1089" s="2677">
        <v>304000</v>
      </c>
      <c r="C1089" s="2677">
        <v>310337</v>
      </c>
      <c r="D1089" s="2677">
        <v>300750</v>
      </c>
      <c r="E1089" s="2677">
        <v>309096</v>
      </c>
      <c r="F1089" s="2677">
        <v>309096</v>
      </c>
      <c r="G1089" s="2677">
        <v>700</v>
      </c>
    </row>
    <row r="1090" spans="1:7" x14ac:dyDescent="0.3">
      <c r="A1090" s="2678">
        <v>43892</v>
      </c>
      <c r="B1090" s="2677">
        <v>314000</v>
      </c>
      <c r="C1090" s="2677">
        <v>327937</v>
      </c>
      <c r="D1090" s="2677">
        <v>308100</v>
      </c>
      <c r="E1090" s="2677">
        <v>324500</v>
      </c>
      <c r="F1090" s="2677">
        <v>324500</v>
      </c>
      <c r="G1090" s="2677">
        <v>500</v>
      </c>
    </row>
    <row r="1091" spans="1:7" x14ac:dyDescent="0.3">
      <c r="A1091" s="2678">
        <v>43893</v>
      </c>
      <c r="B1091" s="2677">
        <v>322550</v>
      </c>
      <c r="C1091" s="2677">
        <v>327000</v>
      </c>
      <c r="D1091" s="2677">
        <v>310000</v>
      </c>
      <c r="E1091" s="2677">
        <v>313914</v>
      </c>
      <c r="F1091" s="2677">
        <v>313914</v>
      </c>
      <c r="G1091" s="2677">
        <v>400</v>
      </c>
    </row>
    <row r="1092" spans="1:7" x14ac:dyDescent="0.3">
      <c r="A1092" s="2678">
        <v>43894</v>
      </c>
      <c r="B1092" s="2677">
        <v>321000</v>
      </c>
      <c r="C1092" s="2677">
        <v>327246</v>
      </c>
      <c r="D1092" s="2677">
        <v>314607</v>
      </c>
      <c r="E1092" s="2677">
        <v>326125</v>
      </c>
      <c r="F1092" s="2677">
        <v>326125</v>
      </c>
      <c r="G1092" s="2677">
        <v>400</v>
      </c>
    </row>
    <row r="1093" spans="1:7" x14ac:dyDescent="0.3">
      <c r="A1093" s="2678">
        <v>43895</v>
      </c>
      <c r="B1093" s="2677">
        <v>318605</v>
      </c>
      <c r="C1093" s="2677">
        <v>318605</v>
      </c>
      <c r="D1093" s="2677">
        <v>311250</v>
      </c>
      <c r="E1093" s="2677">
        <v>315000</v>
      </c>
      <c r="F1093" s="2677">
        <v>315000</v>
      </c>
      <c r="G1093" s="2677">
        <v>400</v>
      </c>
    </row>
    <row r="1094" spans="1:7" x14ac:dyDescent="0.3">
      <c r="A1094" s="2678">
        <v>43896</v>
      </c>
      <c r="B1094" s="2677">
        <v>309000</v>
      </c>
      <c r="C1094" s="2677">
        <v>311258</v>
      </c>
      <c r="D1094" s="2677">
        <v>304767</v>
      </c>
      <c r="E1094" s="2677">
        <v>310894</v>
      </c>
      <c r="F1094" s="2677">
        <v>310894</v>
      </c>
      <c r="G1094" s="2677">
        <v>500</v>
      </c>
    </row>
    <row r="1095" spans="1:7" x14ac:dyDescent="0.3">
      <c r="A1095" s="2678">
        <v>43899</v>
      </c>
      <c r="B1095" s="2677">
        <v>292300</v>
      </c>
      <c r="C1095" s="2677">
        <v>298670</v>
      </c>
      <c r="D1095" s="2677">
        <v>290000</v>
      </c>
      <c r="E1095" s="2677">
        <v>290005</v>
      </c>
      <c r="F1095" s="2677">
        <v>290005</v>
      </c>
      <c r="G1095" s="2677">
        <v>1100</v>
      </c>
    </row>
    <row r="1096" spans="1:7" x14ac:dyDescent="0.3">
      <c r="A1096" s="2678">
        <v>43900</v>
      </c>
      <c r="B1096" s="2677">
        <v>301950</v>
      </c>
      <c r="C1096" s="2677">
        <v>304199</v>
      </c>
      <c r="D1096" s="2677">
        <v>293500</v>
      </c>
      <c r="E1096" s="2677">
        <v>303561</v>
      </c>
      <c r="F1096" s="2677">
        <v>303561</v>
      </c>
      <c r="G1096" s="2677">
        <v>700</v>
      </c>
    </row>
    <row r="1097" spans="1:7" x14ac:dyDescent="0.3">
      <c r="A1097" s="2678">
        <v>43901</v>
      </c>
      <c r="B1097" s="2677">
        <v>296550</v>
      </c>
      <c r="C1097" s="2677">
        <v>297473</v>
      </c>
      <c r="D1097" s="2677">
        <v>290400</v>
      </c>
      <c r="E1097" s="2677">
        <v>292130</v>
      </c>
      <c r="F1097" s="2677">
        <v>292130</v>
      </c>
      <c r="G1097" s="2677">
        <v>600</v>
      </c>
    </row>
    <row r="1098" spans="1:7" x14ac:dyDescent="0.3">
      <c r="A1098" s="2678">
        <v>43902</v>
      </c>
      <c r="B1098" s="2677">
        <v>276550</v>
      </c>
      <c r="C1098" s="2677">
        <v>282000</v>
      </c>
      <c r="D1098" s="2677">
        <v>266800</v>
      </c>
      <c r="E1098" s="2677">
        <v>272000</v>
      </c>
      <c r="F1098" s="2677">
        <v>272000</v>
      </c>
      <c r="G1098" s="2677">
        <v>1900</v>
      </c>
    </row>
    <row r="1099" spans="1:7" x14ac:dyDescent="0.3">
      <c r="A1099" s="2678">
        <v>43903</v>
      </c>
      <c r="B1099" s="2677">
        <v>283500</v>
      </c>
      <c r="C1099" s="2677">
        <v>295972</v>
      </c>
      <c r="D1099" s="2677">
        <v>270210</v>
      </c>
      <c r="E1099" s="2677">
        <v>289000</v>
      </c>
      <c r="F1099" s="2677">
        <v>289000</v>
      </c>
      <c r="G1099" s="2677">
        <v>1100</v>
      </c>
    </row>
    <row r="1100" spans="1:7" x14ac:dyDescent="0.3">
      <c r="A1100" s="2678">
        <v>43906</v>
      </c>
      <c r="B1100" s="2677">
        <v>260000</v>
      </c>
      <c r="C1100" s="2677">
        <v>283480</v>
      </c>
      <c r="D1100" s="2677">
        <v>260000</v>
      </c>
      <c r="E1100" s="2677">
        <v>268000</v>
      </c>
      <c r="F1100" s="2677">
        <v>268000</v>
      </c>
      <c r="G1100" s="2677">
        <v>700</v>
      </c>
    </row>
    <row r="1101" spans="1:7" x14ac:dyDescent="0.3">
      <c r="A1101" s="2678">
        <v>43907</v>
      </c>
      <c r="B1101" s="2677">
        <v>275000</v>
      </c>
      <c r="C1101" s="2677">
        <v>280619</v>
      </c>
      <c r="D1101" s="2677">
        <v>268000</v>
      </c>
      <c r="E1101" s="2677">
        <v>280248</v>
      </c>
      <c r="F1101" s="2677">
        <v>280248</v>
      </c>
      <c r="G1101" s="2677">
        <v>1200</v>
      </c>
    </row>
    <row r="1102" spans="1:7" x14ac:dyDescent="0.3">
      <c r="A1102" s="2678">
        <v>43908</v>
      </c>
      <c r="B1102" s="2677">
        <v>266000</v>
      </c>
      <c r="C1102" s="2677">
        <v>270874</v>
      </c>
      <c r="D1102" s="2677">
        <v>251101</v>
      </c>
      <c r="E1102" s="2677">
        <v>256300</v>
      </c>
      <c r="F1102" s="2677">
        <v>256300</v>
      </c>
      <c r="G1102" s="2677">
        <v>1500</v>
      </c>
    </row>
    <row r="1103" spans="1:7" x14ac:dyDescent="0.3">
      <c r="A1103" s="2678">
        <v>43909</v>
      </c>
      <c r="B1103" s="2677">
        <v>251100</v>
      </c>
      <c r="C1103" s="2677">
        <v>264440</v>
      </c>
      <c r="D1103" s="2677">
        <v>250000</v>
      </c>
      <c r="E1103" s="2677">
        <v>261690</v>
      </c>
      <c r="F1103" s="2677">
        <v>261690</v>
      </c>
      <c r="G1103" s="2677">
        <v>1100</v>
      </c>
    </row>
    <row r="1104" spans="1:7" x14ac:dyDescent="0.3">
      <c r="A1104" s="2678">
        <v>43910</v>
      </c>
      <c r="B1104" s="2677">
        <v>265000</v>
      </c>
      <c r="C1104" s="2677">
        <v>265000</v>
      </c>
      <c r="D1104" s="2677">
        <v>251000</v>
      </c>
      <c r="E1104" s="2677">
        <v>257346</v>
      </c>
      <c r="F1104" s="2677">
        <v>257346</v>
      </c>
      <c r="G1104" s="2677">
        <v>1200</v>
      </c>
    </row>
    <row r="1105" spans="1:7" x14ac:dyDescent="0.3">
      <c r="A1105" s="2678">
        <v>43913</v>
      </c>
      <c r="B1105" s="2677">
        <v>249000</v>
      </c>
      <c r="C1105" s="2677">
        <v>250000</v>
      </c>
      <c r="D1105" s="2677">
        <v>239440</v>
      </c>
      <c r="E1105" s="2677">
        <v>240000</v>
      </c>
      <c r="F1105" s="2677">
        <v>240000</v>
      </c>
      <c r="G1105" s="2677">
        <v>1300</v>
      </c>
    </row>
    <row r="1106" spans="1:7" x14ac:dyDescent="0.3">
      <c r="A1106" s="2678">
        <v>43914</v>
      </c>
      <c r="B1106" s="2677">
        <v>255226</v>
      </c>
      <c r="C1106" s="2677">
        <v>268500</v>
      </c>
      <c r="D1106" s="2677">
        <v>254500</v>
      </c>
      <c r="E1106" s="2677">
        <v>267090</v>
      </c>
      <c r="F1106" s="2677">
        <v>267090</v>
      </c>
      <c r="G1106" s="2677">
        <v>1200</v>
      </c>
    </row>
    <row r="1107" spans="1:7" x14ac:dyDescent="0.3">
      <c r="A1107" s="2678">
        <v>43915</v>
      </c>
      <c r="B1107" s="2677">
        <v>269200</v>
      </c>
      <c r="C1107" s="2677">
        <v>283325</v>
      </c>
      <c r="D1107" s="2677">
        <v>262710</v>
      </c>
      <c r="E1107" s="2677">
        <v>270759</v>
      </c>
      <c r="F1107" s="2677">
        <v>270759</v>
      </c>
      <c r="G1107" s="2677">
        <v>1000</v>
      </c>
    </row>
    <row r="1108" spans="1:7" x14ac:dyDescent="0.3">
      <c r="A1108" s="2678">
        <v>43916</v>
      </c>
      <c r="B1108" s="2677">
        <v>270800</v>
      </c>
      <c r="C1108" s="2677">
        <v>277163</v>
      </c>
      <c r="D1108" s="2677">
        <v>269500</v>
      </c>
      <c r="E1108" s="2677">
        <v>276095</v>
      </c>
      <c r="F1108" s="2677">
        <v>276095</v>
      </c>
      <c r="G1108" s="2677">
        <v>800</v>
      </c>
    </row>
    <row r="1109" spans="1:7" x14ac:dyDescent="0.3">
      <c r="A1109" s="2678">
        <v>43917</v>
      </c>
      <c r="B1109" s="2677">
        <v>267600</v>
      </c>
      <c r="C1109" s="2677">
        <v>276363</v>
      </c>
      <c r="D1109" s="2677">
        <v>265337</v>
      </c>
      <c r="E1109" s="2677">
        <v>268126</v>
      </c>
      <c r="F1109" s="2677">
        <v>268126</v>
      </c>
      <c r="G1109" s="2677">
        <v>600</v>
      </c>
    </row>
    <row r="1110" spans="1:7" x14ac:dyDescent="0.3">
      <c r="A1110" s="2678">
        <v>43920</v>
      </c>
      <c r="B1110" s="2677">
        <v>269410</v>
      </c>
      <c r="C1110" s="2677">
        <v>276000</v>
      </c>
      <c r="D1110" s="2677">
        <v>267020</v>
      </c>
      <c r="E1110" s="2677">
        <v>274021</v>
      </c>
      <c r="F1110" s="2677">
        <v>274021</v>
      </c>
      <c r="G1110" s="2677">
        <v>400</v>
      </c>
    </row>
    <row r="1111" spans="1:7" x14ac:dyDescent="0.3">
      <c r="A1111" s="2678">
        <v>43921</v>
      </c>
      <c r="B1111" s="2677">
        <v>272636</v>
      </c>
      <c r="C1111" s="2677">
        <v>279140</v>
      </c>
      <c r="D1111" s="2677">
        <v>270845</v>
      </c>
      <c r="E1111" s="2677">
        <v>272000</v>
      </c>
      <c r="F1111" s="2677">
        <v>272000</v>
      </c>
      <c r="G1111" s="2677">
        <v>500</v>
      </c>
    </row>
    <row r="1112" spans="1:7" x14ac:dyDescent="0.3">
      <c r="A1112" s="2678">
        <v>43922</v>
      </c>
      <c r="B1112" s="2677">
        <v>265900</v>
      </c>
      <c r="C1112" s="2677">
        <v>267850</v>
      </c>
      <c r="D1112" s="2677">
        <v>261180</v>
      </c>
      <c r="E1112" s="2677">
        <v>261250</v>
      </c>
      <c r="F1112" s="2677">
        <v>261250</v>
      </c>
      <c r="G1112" s="2677">
        <v>900</v>
      </c>
    </row>
    <row r="1113" spans="1:7" x14ac:dyDescent="0.3">
      <c r="A1113" s="2678">
        <v>43923</v>
      </c>
      <c r="B1113" s="2677">
        <v>262131</v>
      </c>
      <c r="C1113" s="2677">
        <v>271475</v>
      </c>
      <c r="D1113" s="2677">
        <v>261895</v>
      </c>
      <c r="E1113" s="2677">
        <v>271475</v>
      </c>
      <c r="F1113" s="2677">
        <v>271475</v>
      </c>
      <c r="G1113" s="2677">
        <v>900</v>
      </c>
    </row>
    <row r="1114" spans="1:7" x14ac:dyDescent="0.3">
      <c r="A1114" s="2678">
        <v>43924</v>
      </c>
      <c r="B1114" s="2677">
        <v>268700</v>
      </c>
      <c r="C1114" s="2677">
        <v>270205</v>
      </c>
      <c r="D1114" s="2677">
        <v>263242</v>
      </c>
      <c r="E1114" s="2677">
        <v>267954</v>
      </c>
      <c r="F1114" s="2677">
        <v>267954</v>
      </c>
      <c r="G1114" s="2677">
        <v>300</v>
      </c>
    </row>
    <row r="1115" spans="1:7" x14ac:dyDescent="0.3">
      <c r="A1115" s="2678">
        <v>43927</v>
      </c>
      <c r="B1115" s="2677">
        <v>273001</v>
      </c>
      <c r="C1115" s="2677">
        <v>279500</v>
      </c>
      <c r="D1115" s="2677">
        <v>271444</v>
      </c>
      <c r="E1115" s="2677">
        <v>277260</v>
      </c>
      <c r="F1115" s="2677">
        <v>277260</v>
      </c>
      <c r="G1115" s="2677">
        <v>600</v>
      </c>
    </row>
    <row r="1116" spans="1:7" x14ac:dyDescent="0.3">
      <c r="A1116" s="2678">
        <v>43928</v>
      </c>
      <c r="B1116" s="2677">
        <v>285010</v>
      </c>
      <c r="C1116" s="2677">
        <v>287000</v>
      </c>
      <c r="D1116" s="2677">
        <v>276700</v>
      </c>
      <c r="E1116" s="2677">
        <v>276700</v>
      </c>
      <c r="F1116" s="2677">
        <v>276700</v>
      </c>
      <c r="G1116" s="2677">
        <v>700</v>
      </c>
    </row>
    <row r="1117" spans="1:7" x14ac:dyDescent="0.3">
      <c r="A1117" s="2678">
        <v>43929</v>
      </c>
      <c r="B1117" s="2677">
        <v>280850</v>
      </c>
      <c r="C1117" s="2677">
        <v>287000</v>
      </c>
      <c r="D1117" s="2677">
        <v>278280</v>
      </c>
      <c r="E1117" s="2677">
        <v>286999</v>
      </c>
      <c r="F1117" s="2677">
        <v>286999</v>
      </c>
      <c r="G1117" s="2677">
        <v>400</v>
      </c>
    </row>
    <row r="1118" spans="1:7" x14ac:dyDescent="0.3">
      <c r="A1118" s="2678">
        <v>43930</v>
      </c>
      <c r="B1118" s="2677">
        <v>290950</v>
      </c>
      <c r="C1118" s="2677">
        <v>295765</v>
      </c>
      <c r="D1118" s="2677">
        <v>287220</v>
      </c>
      <c r="E1118" s="2677">
        <v>290500</v>
      </c>
      <c r="F1118" s="2677">
        <v>290500</v>
      </c>
      <c r="G1118" s="2677">
        <v>600</v>
      </c>
    </row>
    <row r="1119" spans="1:7" x14ac:dyDescent="0.3">
      <c r="A1119" s="2678">
        <v>43934</v>
      </c>
      <c r="B1119" s="2677">
        <v>290950</v>
      </c>
      <c r="C1119" s="2677">
        <v>290950</v>
      </c>
      <c r="D1119" s="2677">
        <v>279060</v>
      </c>
      <c r="E1119" s="2677">
        <v>282800</v>
      </c>
      <c r="F1119" s="2677">
        <v>282800</v>
      </c>
      <c r="G1119" s="2677">
        <v>600</v>
      </c>
    </row>
    <row r="1120" spans="1:7" x14ac:dyDescent="0.3">
      <c r="A1120" s="2678">
        <v>43935</v>
      </c>
      <c r="B1120" s="2677">
        <v>291400</v>
      </c>
      <c r="C1120" s="2677">
        <v>291533</v>
      </c>
      <c r="D1120" s="2677">
        <v>286393</v>
      </c>
      <c r="E1120" s="2677">
        <v>289730</v>
      </c>
      <c r="F1120" s="2677">
        <v>289730</v>
      </c>
      <c r="G1120" s="2677">
        <v>700</v>
      </c>
    </row>
    <row r="1121" spans="1:7" x14ac:dyDescent="0.3">
      <c r="A1121" s="2678">
        <v>43936</v>
      </c>
      <c r="B1121" s="2677">
        <v>284500</v>
      </c>
      <c r="C1121" s="2677">
        <v>284500</v>
      </c>
      <c r="D1121" s="2677">
        <v>281201</v>
      </c>
      <c r="E1121" s="2677">
        <v>283750</v>
      </c>
      <c r="F1121" s="2677">
        <v>283750</v>
      </c>
      <c r="G1121" s="2677">
        <v>600</v>
      </c>
    </row>
    <row r="1122" spans="1:7" x14ac:dyDescent="0.3">
      <c r="A1122" s="2678">
        <v>43937</v>
      </c>
      <c r="B1122" s="2677">
        <v>283750</v>
      </c>
      <c r="C1122" s="2677">
        <v>283751</v>
      </c>
      <c r="D1122" s="2677">
        <v>278800</v>
      </c>
      <c r="E1122" s="2677">
        <v>282282</v>
      </c>
      <c r="F1122" s="2677">
        <v>282282</v>
      </c>
      <c r="G1122" s="2677">
        <v>800</v>
      </c>
    </row>
    <row r="1123" spans="1:7" x14ac:dyDescent="0.3">
      <c r="A1123" s="2678">
        <v>43938</v>
      </c>
      <c r="B1123" s="2677">
        <v>289585</v>
      </c>
      <c r="C1123" s="2677">
        <v>289585</v>
      </c>
      <c r="D1123" s="2677">
        <v>283600</v>
      </c>
      <c r="E1123" s="2677">
        <v>284400</v>
      </c>
      <c r="F1123" s="2677">
        <v>284400</v>
      </c>
      <c r="G1123" s="2677">
        <v>800</v>
      </c>
    </row>
    <row r="1124" spans="1:7" x14ac:dyDescent="0.3">
      <c r="A1124" s="2678">
        <v>43941</v>
      </c>
      <c r="B1124" s="2677">
        <v>282200</v>
      </c>
      <c r="C1124" s="2677">
        <v>283800</v>
      </c>
      <c r="D1124" s="2677">
        <v>281000</v>
      </c>
      <c r="E1124" s="2677">
        <v>282800</v>
      </c>
      <c r="F1124" s="2677">
        <v>282800</v>
      </c>
      <c r="G1124" s="2677">
        <v>700</v>
      </c>
    </row>
    <row r="1125" spans="1:7" x14ac:dyDescent="0.3">
      <c r="A1125" s="2678">
        <v>43942</v>
      </c>
      <c r="B1125" s="2677">
        <v>275950</v>
      </c>
      <c r="C1125" s="2677">
        <v>278610</v>
      </c>
      <c r="D1125" s="2677">
        <v>275000</v>
      </c>
      <c r="E1125" s="2677">
        <v>275750</v>
      </c>
      <c r="F1125" s="2677">
        <v>275750</v>
      </c>
      <c r="G1125" s="2677">
        <v>700</v>
      </c>
    </row>
    <row r="1126" spans="1:7" x14ac:dyDescent="0.3">
      <c r="A1126" s="2678">
        <v>43943</v>
      </c>
      <c r="B1126" s="2677">
        <v>280000</v>
      </c>
      <c r="C1126" s="2677">
        <v>280888</v>
      </c>
      <c r="D1126" s="2677">
        <v>278000</v>
      </c>
      <c r="E1126" s="2677">
        <v>279660</v>
      </c>
      <c r="F1126" s="2677">
        <v>279660</v>
      </c>
      <c r="G1126" s="2677">
        <v>700</v>
      </c>
    </row>
    <row r="1127" spans="1:7" x14ac:dyDescent="0.3">
      <c r="A1127" s="2678">
        <v>43944</v>
      </c>
      <c r="B1127" s="2677">
        <v>280000</v>
      </c>
      <c r="C1127" s="2677">
        <v>280888</v>
      </c>
      <c r="D1127" s="2677">
        <v>277268</v>
      </c>
      <c r="E1127" s="2677">
        <v>278750</v>
      </c>
      <c r="F1127" s="2677">
        <v>278750</v>
      </c>
      <c r="G1127" s="2677">
        <v>600</v>
      </c>
    </row>
    <row r="1128" spans="1:7" x14ac:dyDescent="0.3">
      <c r="A1128" s="2678">
        <v>43945</v>
      </c>
      <c r="B1128" s="2677">
        <v>280100</v>
      </c>
      <c r="C1128" s="2677">
        <v>280130</v>
      </c>
      <c r="D1128" s="2677">
        <v>276602</v>
      </c>
      <c r="E1128" s="2677">
        <v>279460</v>
      </c>
      <c r="F1128" s="2677">
        <v>279460</v>
      </c>
      <c r="G1128" s="2677">
        <v>500</v>
      </c>
    </row>
    <row r="1129" spans="1:7" x14ac:dyDescent="0.3">
      <c r="A1129" s="2678">
        <v>43948</v>
      </c>
      <c r="B1129" s="2677">
        <v>280911</v>
      </c>
      <c r="C1129" s="2677">
        <v>284039</v>
      </c>
      <c r="D1129" s="2677">
        <v>279855</v>
      </c>
      <c r="E1129" s="2677">
        <v>281264</v>
      </c>
      <c r="F1129" s="2677">
        <v>281264</v>
      </c>
      <c r="G1129" s="2677">
        <v>800</v>
      </c>
    </row>
    <row r="1130" spans="1:7" x14ac:dyDescent="0.3">
      <c r="A1130" s="2678">
        <v>43949</v>
      </c>
      <c r="B1130" s="2677">
        <v>285400</v>
      </c>
      <c r="C1130" s="2677">
        <v>286480</v>
      </c>
      <c r="D1130" s="2677">
        <v>280600</v>
      </c>
      <c r="E1130" s="2677">
        <v>280600</v>
      </c>
      <c r="F1130" s="2677">
        <v>280600</v>
      </c>
      <c r="G1130" s="2677">
        <v>600</v>
      </c>
    </row>
    <row r="1131" spans="1:7" x14ac:dyDescent="0.3">
      <c r="A1131" s="2678">
        <v>43950</v>
      </c>
      <c r="B1131" s="2677">
        <v>286400</v>
      </c>
      <c r="C1131" s="2677">
        <v>288888</v>
      </c>
      <c r="D1131" s="2677">
        <v>283800</v>
      </c>
      <c r="E1131" s="2677">
        <v>284749</v>
      </c>
      <c r="F1131" s="2677">
        <v>284749</v>
      </c>
      <c r="G1131" s="2677">
        <v>800</v>
      </c>
    </row>
    <row r="1132" spans="1:7" x14ac:dyDescent="0.3">
      <c r="A1132" s="2678">
        <v>43951</v>
      </c>
      <c r="B1132" s="2677">
        <v>283200</v>
      </c>
      <c r="C1132" s="2677">
        <v>284453</v>
      </c>
      <c r="D1132" s="2677">
        <v>280280</v>
      </c>
      <c r="E1132" s="2677">
        <v>281700</v>
      </c>
      <c r="F1132" s="2677">
        <v>281700</v>
      </c>
      <c r="G1132" s="2677">
        <v>500</v>
      </c>
    </row>
    <row r="1133" spans="1:7" x14ac:dyDescent="0.3">
      <c r="A1133" s="2678">
        <v>43952</v>
      </c>
      <c r="B1133" s="2677">
        <v>278121</v>
      </c>
      <c r="C1133" s="2677">
        <v>278710</v>
      </c>
      <c r="D1133" s="2677">
        <v>272520</v>
      </c>
      <c r="E1133" s="2677">
        <v>273975</v>
      </c>
      <c r="F1133" s="2677">
        <v>273975</v>
      </c>
      <c r="G1133" s="2677">
        <v>600</v>
      </c>
    </row>
    <row r="1134" spans="1:7" x14ac:dyDescent="0.3">
      <c r="A1134" s="2678">
        <v>43955</v>
      </c>
      <c r="B1134" s="2677">
        <v>270000</v>
      </c>
      <c r="C1134" s="2677">
        <v>270000</v>
      </c>
      <c r="D1134" s="2677">
        <v>265000</v>
      </c>
      <c r="E1134" s="2677">
        <v>267080</v>
      </c>
      <c r="F1134" s="2677">
        <v>267080</v>
      </c>
      <c r="G1134" s="2677">
        <v>600</v>
      </c>
    </row>
    <row r="1135" spans="1:7" x14ac:dyDescent="0.3">
      <c r="A1135" s="2678">
        <v>43956</v>
      </c>
      <c r="B1135" s="2677">
        <v>269999</v>
      </c>
      <c r="C1135" s="2677">
        <v>270000</v>
      </c>
      <c r="D1135" s="2677">
        <v>264280</v>
      </c>
      <c r="E1135" s="2677">
        <v>264280</v>
      </c>
      <c r="F1135" s="2677">
        <v>264280</v>
      </c>
      <c r="G1135" s="2677">
        <v>500</v>
      </c>
    </row>
    <row r="1136" spans="1:7" x14ac:dyDescent="0.3">
      <c r="A1136" s="2678">
        <v>43957</v>
      </c>
      <c r="B1136" s="2677">
        <v>265000</v>
      </c>
      <c r="C1136" s="2677">
        <v>266400</v>
      </c>
      <c r="D1136" s="2677">
        <v>259100</v>
      </c>
      <c r="E1136" s="2677">
        <v>259100</v>
      </c>
      <c r="F1136" s="2677">
        <v>259100</v>
      </c>
      <c r="G1136" s="2677">
        <v>500</v>
      </c>
    </row>
    <row r="1137" spans="1:7" x14ac:dyDescent="0.3">
      <c r="A1137" s="2678">
        <v>43958</v>
      </c>
      <c r="B1137" s="2677">
        <v>260110</v>
      </c>
      <c r="C1137" s="2677">
        <v>263710</v>
      </c>
      <c r="D1137" s="2677">
        <v>260110</v>
      </c>
      <c r="E1137" s="2677">
        <v>260750</v>
      </c>
      <c r="F1137" s="2677">
        <v>260750</v>
      </c>
      <c r="G1137" s="2677">
        <v>400</v>
      </c>
    </row>
    <row r="1138" spans="1:7" x14ac:dyDescent="0.3">
      <c r="A1138" s="2678">
        <v>43959</v>
      </c>
      <c r="B1138" s="2677">
        <v>264566</v>
      </c>
      <c r="C1138" s="2677">
        <v>266105</v>
      </c>
      <c r="D1138" s="2677">
        <v>261990</v>
      </c>
      <c r="E1138" s="2677">
        <v>265280</v>
      </c>
      <c r="F1138" s="2677">
        <v>265280</v>
      </c>
      <c r="G1138" s="2677">
        <v>300</v>
      </c>
    </row>
    <row r="1139" spans="1:7" x14ac:dyDescent="0.3">
      <c r="A1139" s="2678">
        <v>43962</v>
      </c>
      <c r="B1139" s="2677">
        <v>264320</v>
      </c>
      <c r="C1139" s="2677">
        <v>264398</v>
      </c>
      <c r="D1139" s="2677">
        <v>260901</v>
      </c>
      <c r="E1139" s="2677">
        <v>261601</v>
      </c>
      <c r="F1139" s="2677">
        <v>261601</v>
      </c>
      <c r="G1139" s="2677">
        <v>400</v>
      </c>
    </row>
    <row r="1140" spans="1:7" x14ac:dyDescent="0.3">
      <c r="A1140" s="2678">
        <v>43963</v>
      </c>
      <c r="B1140" s="2677">
        <v>262701</v>
      </c>
      <c r="C1140" s="2677">
        <v>263800</v>
      </c>
      <c r="D1140" s="2677">
        <v>260000</v>
      </c>
      <c r="E1140" s="2677">
        <v>260000</v>
      </c>
      <c r="F1140" s="2677">
        <v>260000</v>
      </c>
      <c r="G1140" s="2677">
        <v>300</v>
      </c>
    </row>
    <row r="1141" spans="1:7" x14ac:dyDescent="0.3">
      <c r="A1141" s="2678">
        <v>43964</v>
      </c>
      <c r="B1141" s="2677">
        <v>259499</v>
      </c>
      <c r="C1141" s="2677">
        <v>259499</v>
      </c>
      <c r="D1141" s="2677">
        <v>255000</v>
      </c>
      <c r="E1141" s="2677">
        <v>255715</v>
      </c>
      <c r="F1141" s="2677">
        <v>255715</v>
      </c>
      <c r="G1141" s="2677">
        <v>600</v>
      </c>
    </row>
    <row r="1142" spans="1:7" x14ac:dyDescent="0.3">
      <c r="A1142" s="2678">
        <v>43965</v>
      </c>
      <c r="B1142" s="2677">
        <v>254000</v>
      </c>
      <c r="C1142" s="2677">
        <v>257262</v>
      </c>
      <c r="D1142" s="2677">
        <v>250926</v>
      </c>
      <c r="E1142" s="2677">
        <v>256230</v>
      </c>
      <c r="F1142" s="2677">
        <v>256230</v>
      </c>
      <c r="G1142" s="2677">
        <v>400</v>
      </c>
    </row>
    <row r="1143" spans="1:7" x14ac:dyDescent="0.3">
      <c r="A1143" s="2678">
        <v>43966</v>
      </c>
      <c r="B1143" s="2677">
        <v>254586</v>
      </c>
      <c r="C1143" s="2677">
        <v>256100</v>
      </c>
      <c r="D1143" s="2677">
        <v>252801</v>
      </c>
      <c r="E1143" s="2677">
        <v>253501</v>
      </c>
      <c r="F1143" s="2677">
        <v>253501</v>
      </c>
      <c r="G1143" s="2677">
        <v>300</v>
      </c>
    </row>
    <row r="1144" spans="1:7" x14ac:dyDescent="0.3">
      <c r="A1144" s="2678">
        <v>43969</v>
      </c>
      <c r="B1144" s="2677">
        <v>260000</v>
      </c>
      <c r="C1144" s="2677">
        <v>265002</v>
      </c>
      <c r="D1144" s="2677">
        <v>258511</v>
      </c>
      <c r="E1144" s="2677">
        <v>262900</v>
      </c>
      <c r="F1144" s="2677">
        <v>262900</v>
      </c>
      <c r="G1144" s="2677">
        <v>600</v>
      </c>
    </row>
    <row r="1145" spans="1:7" x14ac:dyDescent="0.3">
      <c r="A1145" s="2678">
        <v>43970</v>
      </c>
      <c r="B1145" s="2677">
        <v>260800</v>
      </c>
      <c r="C1145" s="2677">
        <v>262200</v>
      </c>
      <c r="D1145" s="2677">
        <v>258700</v>
      </c>
      <c r="E1145" s="2677">
        <v>258700</v>
      </c>
      <c r="F1145" s="2677">
        <v>258700</v>
      </c>
      <c r="G1145" s="2677">
        <v>300</v>
      </c>
    </row>
    <row r="1146" spans="1:7" x14ac:dyDescent="0.3">
      <c r="A1146" s="2678">
        <v>43971</v>
      </c>
      <c r="B1146" s="2677">
        <v>261880</v>
      </c>
      <c r="C1146" s="2677">
        <v>265130</v>
      </c>
      <c r="D1146" s="2677">
        <v>261500</v>
      </c>
      <c r="E1146" s="2677">
        <v>264100</v>
      </c>
      <c r="F1146" s="2677">
        <v>264100</v>
      </c>
      <c r="G1146" s="2677">
        <v>200</v>
      </c>
    </row>
    <row r="1147" spans="1:7" x14ac:dyDescent="0.3">
      <c r="A1147" s="2678">
        <v>43972</v>
      </c>
      <c r="B1147" s="2677">
        <v>264200</v>
      </c>
      <c r="C1147" s="2677">
        <v>264930</v>
      </c>
      <c r="D1147" s="2677">
        <v>261641</v>
      </c>
      <c r="E1147" s="2677">
        <v>261906</v>
      </c>
      <c r="F1147" s="2677">
        <v>261906</v>
      </c>
      <c r="G1147" s="2677">
        <v>300</v>
      </c>
    </row>
    <row r="1148" spans="1:7" x14ac:dyDescent="0.3">
      <c r="A1148" s="2678">
        <v>43973</v>
      </c>
      <c r="B1148" s="2677">
        <v>262000</v>
      </c>
      <c r="C1148" s="2677">
        <v>263094</v>
      </c>
      <c r="D1148" s="2677">
        <v>259990</v>
      </c>
      <c r="E1148" s="2677">
        <v>263094</v>
      </c>
      <c r="F1148" s="2677">
        <v>263094</v>
      </c>
      <c r="G1148" s="2677">
        <v>300</v>
      </c>
    </row>
    <row r="1149" spans="1:7" x14ac:dyDescent="0.3">
      <c r="A1149" s="2678">
        <v>43977</v>
      </c>
      <c r="B1149" s="2677">
        <v>269900</v>
      </c>
      <c r="C1149" s="2677">
        <v>272500</v>
      </c>
      <c r="D1149" s="2677">
        <v>268095</v>
      </c>
      <c r="E1149" s="2677">
        <v>270330</v>
      </c>
      <c r="F1149" s="2677">
        <v>270330</v>
      </c>
      <c r="G1149" s="2677">
        <v>600</v>
      </c>
    </row>
    <row r="1150" spans="1:7" x14ac:dyDescent="0.3">
      <c r="A1150" s="2678">
        <v>43978</v>
      </c>
      <c r="B1150" s="2677">
        <v>276755</v>
      </c>
      <c r="C1150" s="2677">
        <v>279000</v>
      </c>
      <c r="D1150" s="2677">
        <v>275850</v>
      </c>
      <c r="E1150" s="2677">
        <v>278495</v>
      </c>
      <c r="F1150" s="2677">
        <v>278495</v>
      </c>
      <c r="G1150" s="2677">
        <v>500</v>
      </c>
    </row>
    <row r="1151" spans="1:7" x14ac:dyDescent="0.3">
      <c r="A1151" s="2678">
        <v>43979</v>
      </c>
      <c r="B1151" s="2677">
        <v>280899</v>
      </c>
      <c r="C1151" s="2677">
        <v>280899</v>
      </c>
      <c r="D1151" s="2677">
        <v>276000</v>
      </c>
      <c r="E1151" s="2677">
        <v>277035</v>
      </c>
      <c r="F1151" s="2677">
        <v>277035</v>
      </c>
      <c r="G1151" s="2677">
        <v>400</v>
      </c>
    </row>
    <row r="1152" spans="1:7" x14ac:dyDescent="0.3">
      <c r="A1152" s="2678">
        <v>43980</v>
      </c>
      <c r="B1152" s="2677">
        <v>275000</v>
      </c>
      <c r="C1152" s="2677">
        <v>278640</v>
      </c>
      <c r="D1152" s="2677">
        <v>273850</v>
      </c>
      <c r="E1152" s="2677">
        <v>278640</v>
      </c>
      <c r="F1152" s="2677">
        <v>278640</v>
      </c>
      <c r="G1152" s="2677">
        <v>400</v>
      </c>
    </row>
    <row r="1153" spans="1:7" x14ac:dyDescent="0.3">
      <c r="A1153" s="2678">
        <v>43983</v>
      </c>
      <c r="B1153" s="2677">
        <v>278167</v>
      </c>
      <c r="C1153" s="2677">
        <v>278167</v>
      </c>
      <c r="D1153" s="2677">
        <v>275000</v>
      </c>
      <c r="E1153" s="2677">
        <v>275600</v>
      </c>
      <c r="F1153" s="2677">
        <v>275600</v>
      </c>
      <c r="G1153" s="2677">
        <v>300</v>
      </c>
    </row>
    <row r="1154" spans="1:7" x14ac:dyDescent="0.3">
      <c r="A1154" s="2678">
        <v>43984</v>
      </c>
      <c r="B1154" s="2677">
        <v>275601</v>
      </c>
      <c r="C1154" s="2677">
        <v>279410</v>
      </c>
      <c r="D1154" s="2677">
        <v>275601</v>
      </c>
      <c r="E1154" s="2677">
        <v>278560</v>
      </c>
      <c r="F1154" s="2677">
        <v>278560</v>
      </c>
      <c r="G1154" s="2677">
        <v>400</v>
      </c>
    </row>
    <row r="1155" spans="1:7" x14ac:dyDescent="0.3">
      <c r="A1155" s="2678">
        <v>43985</v>
      </c>
      <c r="B1155" s="2677">
        <v>283100</v>
      </c>
      <c r="C1155" s="2677">
        <v>287370</v>
      </c>
      <c r="D1155" s="2677">
        <v>281800</v>
      </c>
      <c r="E1155" s="2677">
        <v>286090</v>
      </c>
      <c r="F1155" s="2677">
        <v>286090</v>
      </c>
      <c r="G1155" s="2677">
        <v>400</v>
      </c>
    </row>
    <row r="1156" spans="1:7" x14ac:dyDescent="0.3">
      <c r="A1156" s="2678">
        <v>43986</v>
      </c>
      <c r="B1156" s="2677">
        <v>285804</v>
      </c>
      <c r="C1156" s="2677">
        <v>288000</v>
      </c>
      <c r="D1156" s="2677">
        <v>284377</v>
      </c>
      <c r="E1156" s="2677">
        <v>287878</v>
      </c>
      <c r="F1156" s="2677">
        <v>287878</v>
      </c>
      <c r="G1156" s="2677">
        <v>300</v>
      </c>
    </row>
    <row r="1157" spans="1:7" x14ac:dyDescent="0.3">
      <c r="A1157" s="2678">
        <v>43987</v>
      </c>
      <c r="B1157" s="2677">
        <v>294505</v>
      </c>
      <c r="C1157" s="2677">
        <v>302095</v>
      </c>
      <c r="D1157" s="2677">
        <v>294200</v>
      </c>
      <c r="E1157" s="2677">
        <v>300920</v>
      </c>
      <c r="F1157" s="2677">
        <v>300920</v>
      </c>
      <c r="G1157" s="2677">
        <v>600</v>
      </c>
    </row>
    <row r="1158" spans="1:7" x14ac:dyDescent="0.3">
      <c r="A1158" s="2678">
        <v>43990</v>
      </c>
      <c r="B1158" s="2677">
        <v>303594</v>
      </c>
      <c r="C1158" s="2677">
        <v>304990</v>
      </c>
      <c r="D1158" s="2677">
        <v>299400</v>
      </c>
      <c r="E1158" s="2677">
        <v>302235</v>
      </c>
      <c r="F1158" s="2677">
        <v>302235</v>
      </c>
      <c r="G1158" s="2677">
        <v>600</v>
      </c>
    </row>
    <row r="1159" spans="1:7" x14ac:dyDescent="0.3">
      <c r="A1159" s="2678">
        <v>43991</v>
      </c>
      <c r="B1159" s="2677">
        <v>295501</v>
      </c>
      <c r="C1159" s="2677">
        <v>298220</v>
      </c>
      <c r="D1159" s="2677">
        <v>293799</v>
      </c>
      <c r="E1159" s="2677">
        <v>293955</v>
      </c>
      <c r="F1159" s="2677">
        <v>293955</v>
      </c>
      <c r="G1159" s="2677">
        <v>400</v>
      </c>
    </row>
    <row r="1160" spans="1:7" x14ac:dyDescent="0.3">
      <c r="A1160" s="2678">
        <v>43992</v>
      </c>
      <c r="B1160" s="2677">
        <v>293900</v>
      </c>
      <c r="C1160" s="2677">
        <v>294493</v>
      </c>
      <c r="D1160" s="2677">
        <v>287200</v>
      </c>
      <c r="E1160" s="2677">
        <v>287200</v>
      </c>
      <c r="F1160" s="2677">
        <v>287200</v>
      </c>
      <c r="G1160" s="2677">
        <v>400</v>
      </c>
    </row>
    <row r="1161" spans="1:7" x14ac:dyDescent="0.3">
      <c r="A1161" s="2678">
        <v>43993</v>
      </c>
      <c r="B1161" s="2677">
        <v>277750</v>
      </c>
      <c r="C1161" s="2677">
        <v>280280</v>
      </c>
      <c r="D1161" s="2677">
        <v>267000</v>
      </c>
      <c r="E1161" s="2677">
        <v>267729</v>
      </c>
      <c r="F1161" s="2677">
        <v>267729</v>
      </c>
      <c r="G1161" s="2677">
        <v>900</v>
      </c>
    </row>
    <row r="1162" spans="1:7" x14ac:dyDescent="0.3">
      <c r="A1162" s="2678">
        <v>43994</v>
      </c>
      <c r="B1162" s="2677">
        <v>275730</v>
      </c>
      <c r="C1162" s="2677">
        <v>276800</v>
      </c>
      <c r="D1162" s="2677">
        <v>267593</v>
      </c>
      <c r="E1162" s="2677">
        <v>271515</v>
      </c>
      <c r="F1162" s="2677">
        <v>271515</v>
      </c>
      <c r="G1162" s="2677">
        <v>600</v>
      </c>
    </row>
    <row r="1163" spans="1:7" x14ac:dyDescent="0.3">
      <c r="A1163" s="2678">
        <v>43997</v>
      </c>
      <c r="B1163" s="2677">
        <v>266400</v>
      </c>
      <c r="C1163" s="2677">
        <v>272530</v>
      </c>
      <c r="D1163" s="2677">
        <v>264030</v>
      </c>
      <c r="E1163" s="2677">
        <v>271956</v>
      </c>
      <c r="F1163" s="2677">
        <v>271956</v>
      </c>
      <c r="G1163" s="2677">
        <v>800</v>
      </c>
    </row>
    <row r="1164" spans="1:7" x14ac:dyDescent="0.3">
      <c r="A1164" s="2678">
        <v>43998</v>
      </c>
      <c r="B1164" s="2677">
        <v>279945</v>
      </c>
      <c r="C1164" s="2677">
        <v>279945</v>
      </c>
      <c r="D1164" s="2677">
        <v>270000</v>
      </c>
      <c r="E1164" s="2677">
        <v>273480</v>
      </c>
      <c r="F1164" s="2677">
        <v>273480</v>
      </c>
      <c r="G1164" s="2677">
        <v>900</v>
      </c>
    </row>
    <row r="1165" spans="1:7" x14ac:dyDescent="0.3">
      <c r="A1165" s="2678">
        <v>43999</v>
      </c>
      <c r="B1165" s="2677">
        <v>274849</v>
      </c>
      <c r="C1165" s="2677">
        <v>275000</v>
      </c>
      <c r="D1165" s="2677">
        <v>270870</v>
      </c>
      <c r="E1165" s="2677">
        <v>275000</v>
      </c>
      <c r="F1165" s="2677">
        <v>275000</v>
      </c>
      <c r="G1165" s="2677">
        <v>800</v>
      </c>
    </row>
    <row r="1166" spans="1:7" x14ac:dyDescent="0.3">
      <c r="A1166" s="2678">
        <v>44000</v>
      </c>
      <c r="B1166" s="2677">
        <v>270500</v>
      </c>
      <c r="C1166" s="2677">
        <v>273000</v>
      </c>
      <c r="D1166" s="2677">
        <v>269300</v>
      </c>
      <c r="E1166" s="2677">
        <v>273000</v>
      </c>
      <c r="F1166" s="2677">
        <v>273000</v>
      </c>
      <c r="G1166" s="2677">
        <v>800</v>
      </c>
    </row>
    <row r="1167" spans="1:7" x14ac:dyDescent="0.3">
      <c r="A1167" s="2678">
        <v>44001</v>
      </c>
      <c r="B1167" s="2677">
        <v>274160</v>
      </c>
      <c r="C1167" s="2677">
        <v>274429</v>
      </c>
      <c r="D1167" s="2677">
        <v>268807</v>
      </c>
      <c r="E1167" s="2677">
        <v>271600</v>
      </c>
      <c r="F1167" s="2677">
        <v>271600</v>
      </c>
      <c r="G1167" s="2677">
        <v>900</v>
      </c>
    </row>
    <row r="1168" spans="1:7" x14ac:dyDescent="0.3">
      <c r="A1168" s="2678">
        <v>44004</v>
      </c>
      <c r="B1168" s="2677">
        <v>269047</v>
      </c>
      <c r="C1168" s="2677">
        <v>272000</v>
      </c>
      <c r="D1168" s="2677">
        <v>268200</v>
      </c>
      <c r="E1168" s="2677">
        <v>272000</v>
      </c>
      <c r="F1168" s="2677">
        <v>272000</v>
      </c>
      <c r="G1168" s="2677">
        <v>900</v>
      </c>
    </row>
    <row r="1169" spans="1:7" x14ac:dyDescent="0.3">
      <c r="A1169" s="2678">
        <v>44005</v>
      </c>
      <c r="B1169" s="2677">
        <v>272750</v>
      </c>
      <c r="C1169" s="2677">
        <v>273790</v>
      </c>
      <c r="D1169" s="2677">
        <v>271115</v>
      </c>
      <c r="E1169" s="2677">
        <v>272700</v>
      </c>
      <c r="F1169" s="2677">
        <v>272700</v>
      </c>
      <c r="G1169" s="2677">
        <v>900</v>
      </c>
    </row>
    <row r="1170" spans="1:7" x14ac:dyDescent="0.3">
      <c r="A1170" s="2678">
        <v>44006</v>
      </c>
      <c r="B1170" s="2677">
        <v>269800</v>
      </c>
      <c r="C1170" s="2677">
        <v>269800</v>
      </c>
      <c r="D1170" s="2677">
        <v>266200</v>
      </c>
      <c r="E1170" s="2677">
        <v>266440</v>
      </c>
      <c r="F1170" s="2677">
        <v>266440</v>
      </c>
      <c r="G1170" s="2677">
        <v>700</v>
      </c>
    </row>
    <row r="1171" spans="1:7" x14ac:dyDescent="0.3">
      <c r="A1171" s="2678">
        <v>44007</v>
      </c>
      <c r="B1171" s="2677">
        <v>265000</v>
      </c>
      <c r="C1171" s="2677">
        <v>269678</v>
      </c>
      <c r="D1171" s="2677">
        <v>264611</v>
      </c>
      <c r="E1171" s="2677">
        <v>267840</v>
      </c>
      <c r="F1171" s="2677">
        <v>267840</v>
      </c>
      <c r="G1171" s="2677">
        <v>400</v>
      </c>
    </row>
    <row r="1172" spans="1:7" x14ac:dyDescent="0.3">
      <c r="A1172" s="2678">
        <v>44008</v>
      </c>
      <c r="B1172" s="2677">
        <v>267500</v>
      </c>
      <c r="C1172" s="2677">
        <v>268109</v>
      </c>
      <c r="D1172" s="2677">
        <v>262700</v>
      </c>
      <c r="E1172" s="2677">
        <v>263400</v>
      </c>
      <c r="F1172" s="2677">
        <v>263400</v>
      </c>
      <c r="G1172" s="2677">
        <v>800</v>
      </c>
    </row>
    <row r="1173" spans="1:7" x14ac:dyDescent="0.3">
      <c r="A1173" s="2678">
        <v>44011</v>
      </c>
      <c r="B1173" s="2677">
        <v>264320</v>
      </c>
      <c r="C1173" s="2677">
        <v>265803</v>
      </c>
      <c r="D1173" s="2677">
        <v>263600</v>
      </c>
      <c r="E1173" s="2677">
        <v>265219</v>
      </c>
      <c r="F1173" s="2677">
        <v>265219</v>
      </c>
      <c r="G1173" s="2677">
        <v>400</v>
      </c>
    </row>
    <row r="1174" spans="1:7" x14ac:dyDescent="0.3">
      <c r="A1174" s="2678">
        <v>44012</v>
      </c>
      <c r="B1174" s="2677">
        <v>265400</v>
      </c>
      <c r="C1174" s="2677">
        <v>268600</v>
      </c>
      <c r="D1174" s="2677">
        <v>265067</v>
      </c>
      <c r="E1174" s="2677">
        <v>267300</v>
      </c>
      <c r="F1174" s="2677">
        <v>267300</v>
      </c>
      <c r="G1174" s="2677">
        <v>500</v>
      </c>
    </row>
    <row r="1175" spans="1:7" x14ac:dyDescent="0.3">
      <c r="A1175" s="2678">
        <v>44013</v>
      </c>
      <c r="B1175" s="2677">
        <v>267600</v>
      </c>
      <c r="C1175" s="2677">
        <v>270500</v>
      </c>
      <c r="D1175" s="2677">
        <v>266357</v>
      </c>
      <c r="E1175" s="2677">
        <v>267020</v>
      </c>
      <c r="F1175" s="2677">
        <v>267020</v>
      </c>
      <c r="G1175" s="2677">
        <v>400</v>
      </c>
    </row>
    <row r="1176" spans="1:7" x14ac:dyDescent="0.3">
      <c r="A1176" s="2678">
        <v>44014</v>
      </c>
      <c r="B1176" s="2677">
        <v>270800</v>
      </c>
      <c r="C1176" s="2677">
        <v>271500</v>
      </c>
      <c r="D1176" s="2677">
        <v>267420</v>
      </c>
      <c r="E1176" s="2677">
        <v>267551</v>
      </c>
      <c r="F1176" s="2677">
        <v>267551</v>
      </c>
      <c r="G1176" s="2677">
        <v>500</v>
      </c>
    </row>
    <row r="1177" spans="1:7" x14ac:dyDescent="0.3">
      <c r="A1177" s="2678">
        <v>44018</v>
      </c>
      <c r="B1177" s="2677">
        <v>274180</v>
      </c>
      <c r="C1177" s="2677">
        <v>275080</v>
      </c>
      <c r="D1177" s="2677">
        <v>272600</v>
      </c>
      <c r="E1177" s="2677">
        <v>274050</v>
      </c>
      <c r="F1177" s="2677">
        <v>274050</v>
      </c>
      <c r="G1177" s="2677">
        <v>500</v>
      </c>
    </row>
    <row r="1178" spans="1:7" x14ac:dyDescent="0.3">
      <c r="A1178" s="2678">
        <v>44019</v>
      </c>
      <c r="B1178" s="2677">
        <v>272830</v>
      </c>
      <c r="C1178" s="2677">
        <v>273870</v>
      </c>
      <c r="D1178" s="2677">
        <v>271057</v>
      </c>
      <c r="E1178" s="2677">
        <v>271640</v>
      </c>
      <c r="F1178" s="2677">
        <v>271640</v>
      </c>
      <c r="G1178" s="2677">
        <v>400</v>
      </c>
    </row>
    <row r="1179" spans="1:7" x14ac:dyDescent="0.3">
      <c r="A1179" s="2678">
        <v>44020</v>
      </c>
      <c r="B1179" s="2677">
        <v>271000</v>
      </c>
      <c r="C1179" s="2677">
        <v>273664</v>
      </c>
      <c r="D1179" s="2677">
        <v>270076</v>
      </c>
      <c r="E1179" s="2677">
        <v>271770</v>
      </c>
      <c r="F1179" s="2677">
        <v>271770</v>
      </c>
      <c r="G1179" s="2677">
        <v>300</v>
      </c>
    </row>
    <row r="1180" spans="1:7" x14ac:dyDescent="0.3">
      <c r="A1180" s="2678">
        <v>44021</v>
      </c>
      <c r="B1180" s="2677">
        <v>271770</v>
      </c>
      <c r="C1180" s="2677">
        <v>272220</v>
      </c>
      <c r="D1180" s="2677">
        <v>267307</v>
      </c>
      <c r="E1180" s="2677">
        <v>268780</v>
      </c>
      <c r="F1180" s="2677">
        <v>268780</v>
      </c>
      <c r="G1180" s="2677">
        <v>400</v>
      </c>
    </row>
    <row r="1181" spans="1:7" x14ac:dyDescent="0.3">
      <c r="A1181" s="2678">
        <v>44022</v>
      </c>
      <c r="B1181" s="2677">
        <v>268238</v>
      </c>
      <c r="C1181" s="2677">
        <v>274450</v>
      </c>
      <c r="D1181" s="2677">
        <v>268000</v>
      </c>
      <c r="E1181" s="2677">
        <v>273900</v>
      </c>
      <c r="F1181" s="2677">
        <v>273900</v>
      </c>
      <c r="G1181" s="2677">
        <v>300</v>
      </c>
    </row>
    <row r="1182" spans="1:7" x14ac:dyDescent="0.3">
      <c r="A1182" s="2678">
        <v>44025</v>
      </c>
      <c r="B1182" s="2677">
        <v>275540</v>
      </c>
      <c r="C1182" s="2677">
        <v>278640</v>
      </c>
      <c r="D1182" s="2677">
        <v>275100</v>
      </c>
      <c r="E1182" s="2677">
        <v>276015</v>
      </c>
      <c r="F1182" s="2677">
        <v>276015</v>
      </c>
      <c r="G1182" s="2677">
        <v>500</v>
      </c>
    </row>
    <row r="1183" spans="1:7" x14ac:dyDescent="0.3">
      <c r="A1183" s="2678">
        <v>44026</v>
      </c>
      <c r="B1183" s="2677">
        <v>274000</v>
      </c>
      <c r="C1183" s="2677">
        <v>285000</v>
      </c>
      <c r="D1183" s="2677">
        <v>274000</v>
      </c>
      <c r="E1183" s="2677">
        <v>284780</v>
      </c>
      <c r="F1183" s="2677">
        <v>284780</v>
      </c>
      <c r="G1183" s="2677">
        <v>400</v>
      </c>
    </row>
    <row r="1184" spans="1:7" x14ac:dyDescent="0.3">
      <c r="A1184" s="2678">
        <v>44027</v>
      </c>
      <c r="B1184" s="2677">
        <v>289500</v>
      </c>
      <c r="C1184" s="2677">
        <v>289730</v>
      </c>
      <c r="D1184" s="2677">
        <v>283620</v>
      </c>
      <c r="E1184" s="2677">
        <v>285520</v>
      </c>
      <c r="F1184" s="2677">
        <v>285520</v>
      </c>
      <c r="G1184" s="2677">
        <v>500</v>
      </c>
    </row>
    <row r="1185" spans="1:7" x14ac:dyDescent="0.3">
      <c r="A1185" s="2678">
        <v>44028</v>
      </c>
      <c r="B1185" s="2677">
        <v>282560</v>
      </c>
      <c r="C1185" s="2677">
        <v>287770</v>
      </c>
      <c r="D1185" s="2677">
        <v>282560</v>
      </c>
      <c r="E1185" s="2677">
        <v>286271</v>
      </c>
      <c r="F1185" s="2677">
        <v>286271</v>
      </c>
      <c r="G1185" s="2677">
        <v>300</v>
      </c>
    </row>
    <row r="1186" spans="1:7" x14ac:dyDescent="0.3">
      <c r="A1186" s="2678">
        <v>44029</v>
      </c>
      <c r="B1186" s="2677">
        <v>287540</v>
      </c>
      <c r="C1186" s="2677">
        <v>288170</v>
      </c>
      <c r="D1186" s="2677">
        <v>285972</v>
      </c>
      <c r="E1186" s="2677">
        <v>286140</v>
      </c>
      <c r="F1186" s="2677">
        <v>286140</v>
      </c>
      <c r="G1186" s="2677">
        <v>300</v>
      </c>
    </row>
    <row r="1187" spans="1:7" x14ac:dyDescent="0.3">
      <c r="A1187" s="2678">
        <v>44032</v>
      </c>
      <c r="B1187" s="2677">
        <v>285400</v>
      </c>
      <c r="C1187" s="2677">
        <v>286900</v>
      </c>
      <c r="D1187" s="2677">
        <v>284450</v>
      </c>
      <c r="E1187" s="2677">
        <v>285590</v>
      </c>
      <c r="F1187" s="2677">
        <v>285590</v>
      </c>
      <c r="G1187" s="2677">
        <v>200</v>
      </c>
    </row>
    <row r="1188" spans="1:7" x14ac:dyDescent="0.3">
      <c r="A1188" s="2678">
        <v>44033</v>
      </c>
      <c r="B1188" s="2677">
        <v>286721</v>
      </c>
      <c r="C1188" s="2677">
        <v>290170</v>
      </c>
      <c r="D1188" s="2677">
        <v>286600</v>
      </c>
      <c r="E1188" s="2677">
        <v>288201</v>
      </c>
      <c r="F1188" s="2677">
        <v>288201</v>
      </c>
      <c r="G1188" s="2677">
        <v>500</v>
      </c>
    </row>
    <row r="1189" spans="1:7" x14ac:dyDescent="0.3">
      <c r="A1189" s="2678">
        <v>44034</v>
      </c>
      <c r="B1189" s="2677">
        <v>287000</v>
      </c>
      <c r="C1189" s="2677">
        <v>288319</v>
      </c>
      <c r="D1189" s="2677">
        <v>286211</v>
      </c>
      <c r="E1189" s="2677">
        <v>287961</v>
      </c>
      <c r="F1189" s="2677">
        <v>287961</v>
      </c>
      <c r="G1189" s="2677">
        <v>200</v>
      </c>
    </row>
    <row r="1190" spans="1:7" x14ac:dyDescent="0.3">
      <c r="A1190" s="2678">
        <v>44035</v>
      </c>
      <c r="B1190" s="2677">
        <v>287961</v>
      </c>
      <c r="C1190" s="2677">
        <v>290084</v>
      </c>
      <c r="D1190" s="2677">
        <v>287436</v>
      </c>
      <c r="E1190" s="2677">
        <v>289436</v>
      </c>
      <c r="F1190" s="2677">
        <v>289436</v>
      </c>
      <c r="G1190" s="2677">
        <v>300</v>
      </c>
    </row>
    <row r="1191" spans="1:7" x14ac:dyDescent="0.3">
      <c r="A1191" s="2678">
        <v>44036</v>
      </c>
      <c r="B1191" s="2677">
        <v>290684</v>
      </c>
      <c r="C1191" s="2677">
        <v>294254</v>
      </c>
      <c r="D1191" s="2677">
        <v>290521</v>
      </c>
      <c r="E1191" s="2677">
        <v>291621</v>
      </c>
      <c r="F1191" s="2677">
        <v>291621</v>
      </c>
      <c r="G1191" s="2677">
        <v>300</v>
      </c>
    </row>
    <row r="1192" spans="1:7" x14ac:dyDescent="0.3">
      <c r="A1192" s="2678">
        <v>44039</v>
      </c>
      <c r="B1192" s="2677">
        <v>290590</v>
      </c>
      <c r="C1192" s="2677">
        <v>290692</v>
      </c>
      <c r="D1192" s="2677">
        <v>287850</v>
      </c>
      <c r="E1192" s="2677">
        <v>288107</v>
      </c>
      <c r="F1192" s="2677">
        <v>288107</v>
      </c>
      <c r="G1192" s="2677">
        <v>300</v>
      </c>
    </row>
    <row r="1193" spans="1:7" x14ac:dyDescent="0.3">
      <c r="A1193" s="2678">
        <v>44040</v>
      </c>
      <c r="B1193" s="2677">
        <v>286000</v>
      </c>
      <c r="C1193" s="2677">
        <v>291720</v>
      </c>
      <c r="D1193" s="2677">
        <v>286000</v>
      </c>
      <c r="E1193" s="2677">
        <v>290940</v>
      </c>
      <c r="F1193" s="2677">
        <v>290940</v>
      </c>
      <c r="G1193" s="2677">
        <v>300</v>
      </c>
    </row>
    <row r="1194" spans="1:7" x14ac:dyDescent="0.3">
      <c r="A1194" s="2678">
        <v>44041</v>
      </c>
      <c r="B1194" s="2677">
        <v>290940</v>
      </c>
      <c r="C1194" s="2677">
        <v>294870</v>
      </c>
      <c r="D1194" s="2677">
        <v>290940</v>
      </c>
      <c r="E1194" s="2677">
        <v>294496</v>
      </c>
      <c r="F1194" s="2677">
        <v>294496</v>
      </c>
      <c r="G1194" s="2677">
        <v>300</v>
      </c>
    </row>
    <row r="1195" spans="1:7" x14ac:dyDescent="0.3">
      <c r="A1195" s="2678">
        <v>44042</v>
      </c>
      <c r="B1195" s="2677">
        <v>290335</v>
      </c>
      <c r="C1195" s="2677">
        <v>291927</v>
      </c>
      <c r="D1195" s="2677">
        <v>288610</v>
      </c>
      <c r="E1195" s="2677">
        <v>291362</v>
      </c>
      <c r="F1195" s="2677">
        <v>291362</v>
      </c>
      <c r="G1195" s="2677">
        <v>200</v>
      </c>
    </row>
    <row r="1196" spans="1:7" x14ac:dyDescent="0.3">
      <c r="A1196" s="2678">
        <v>44043</v>
      </c>
      <c r="B1196" s="2677">
        <v>291750</v>
      </c>
      <c r="C1196" s="2677">
        <v>293798</v>
      </c>
      <c r="D1196" s="2677">
        <v>290150</v>
      </c>
      <c r="E1196" s="2677">
        <v>293631</v>
      </c>
      <c r="F1196" s="2677">
        <v>293631</v>
      </c>
      <c r="G1196" s="2677">
        <v>300</v>
      </c>
    </row>
    <row r="1197" spans="1:7" x14ac:dyDescent="0.3">
      <c r="A1197" s="2678">
        <v>44046</v>
      </c>
      <c r="B1197" s="2677">
        <v>295000</v>
      </c>
      <c r="C1197" s="2677">
        <v>301000</v>
      </c>
      <c r="D1197" s="2677">
        <v>294510</v>
      </c>
      <c r="E1197" s="2677">
        <v>298800</v>
      </c>
      <c r="F1197" s="2677">
        <v>298800</v>
      </c>
      <c r="G1197" s="2677">
        <v>500</v>
      </c>
    </row>
    <row r="1198" spans="1:7" x14ac:dyDescent="0.3">
      <c r="A1198" s="2678">
        <v>44047</v>
      </c>
      <c r="B1198" s="2677">
        <v>298000</v>
      </c>
      <c r="C1198" s="2677">
        <v>300330</v>
      </c>
      <c r="D1198" s="2677">
        <v>297470</v>
      </c>
      <c r="E1198" s="2677">
        <v>300330</v>
      </c>
      <c r="F1198" s="2677">
        <v>300330</v>
      </c>
      <c r="G1198" s="2677">
        <v>300</v>
      </c>
    </row>
    <row r="1199" spans="1:7" x14ac:dyDescent="0.3">
      <c r="A1199" s="2678">
        <v>44048</v>
      </c>
      <c r="B1199" s="2677">
        <v>301871</v>
      </c>
      <c r="C1199" s="2677">
        <v>306970</v>
      </c>
      <c r="D1199" s="2677">
        <v>301200</v>
      </c>
      <c r="E1199" s="2677">
        <v>305200</v>
      </c>
      <c r="F1199" s="2677">
        <v>305200</v>
      </c>
      <c r="G1199" s="2677">
        <v>600</v>
      </c>
    </row>
    <row r="1200" spans="1:7" x14ac:dyDescent="0.3">
      <c r="A1200" s="2678">
        <v>44049</v>
      </c>
      <c r="B1200" s="2677">
        <v>305000</v>
      </c>
      <c r="C1200" s="2677">
        <v>308000</v>
      </c>
      <c r="D1200" s="2677">
        <v>304820</v>
      </c>
      <c r="E1200" s="2677">
        <v>307455</v>
      </c>
      <c r="F1200" s="2677">
        <v>307455</v>
      </c>
      <c r="G1200" s="2677">
        <v>41400</v>
      </c>
    </row>
    <row r="1201" spans="1:7" x14ac:dyDescent="0.3">
      <c r="A1201" s="2678">
        <v>44050</v>
      </c>
      <c r="B1201" s="2677">
        <v>305681</v>
      </c>
      <c r="C1201" s="2677">
        <v>314365</v>
      </c>
      <c r="D1201" s="2677">
        <v>305681</v>
      </c>
      <c r="E1201" s="2677">
        <v>314334</v>
      </c>
      <c r="F1201" s="2677">
        <v>314334</v>
      </c>
      <c r="G1201" s="2677">
        <v>400</v>
      </c>
    </row>
    <row r="1202" spans="1:7" x14ac:dyDescent="0.3">
      <c r="A1202" s="2678">
        <v>44053</v>
      </c>
      <c r="B1202" s="2677">
        <v>316820</v>
      </c>
      <c r="C1202" s="2677">
        <v>319250</v>
      </c>
      <c r="D1202" s="2677">
        <v>314240</v>
      </c>
      <c r="E1202" s="2677">
        <v>318830</v>
      </c>
      <c r="F1202" s="2677">
        <v>318830</v>
      </c>
      <c r="G1202" s="2677">
        <v>400</v>
      </c>
    </row>
    <row r="1203" spans="1:7" x14ac:dyDescent="0.3">
      <c r="A1203" s="2678">
        <v>44054</v>
      </c>
      <c r="B1203" s="2677">
        <v>322500</v>
      </c>
      <c r="C1203" s="2677">
        <v>323500</v>
      </c>
      <c r="D1203" s="2677">
        <v>318500</v>
      </c>
      <c r="E1203" s="2677">
        <v>319380</v>
      </c>
      <c r="F1203" s="2677">
        <v>319380</v>
      </c>
      <c r="G1203" s="2677">
        <v>500</v>
      </c>
    </row>
    <row r="1204" spans="1:7" x14ac:dyDescent="0.3">
      <c r="A1204" s="2678">
        <v>44055</v>
      </c>
      <c r="B1204" s="2677">
        <v>320255</v>
      </c>
      <c r="C1204" s="2677">
        <v>321229</v>
      </c>
      <c r="D1204" s="2677">
        <v>318801</v>
      </c>
      <c r="E1204" s="2677">
        <v>320000</v>
      </c>
      <c r="F1204" s="2677">
        <v>320000</v>
      </c>
      <c r="G1204" s="2677">
        <v>400</v>
      </c>
    </row>
    <row r="1205" spans="1:7" x14ac:dyDescent="0.3">
      <c r="A1205" s="2678">
        <v>44056</v>
      </c>
      <c r="B1205" s="2677">
        <v>318500</v>
      </c>
      <c r="C1205" s="2677">
        <v>319810</v>
      </c>
      <c r="D1205" s="2677">
        <v>317471</v>
      </c>
      <c r="E1205" s="2677">
        <v>318114</v>
      </c>
      <c r="F1205" s="2677">
        <v>318114</v>
      </c>
      <c r="G1205" s="2677">
        <v>300</v>
      </c>
    </row>
    <row r="1206" spans="1:7" x14ac:dyDescent="0.3">
      <c r="A1206" s="2678">
        <v>44057</v>
      </c>
      <c r="B1206" s="2677">
        <v>317300</v>
      </c>
      <c r="C1206" s="2677">
        <v>318000</v>
      </c>
      <c r="D1206" s="2677">
        <v>315402</v>
      </c>
      <c r="E1206" s="2677">
        <v>316251</v>
      </c>
      <c r="F1206" s="2677">
        <v>316251</v>
      </c>
      <c r="G1206" s="2677">
        <v>200</v>
      </c>
    </row>
    <row r="1207" spans="1:7" x14ac:dyDescent="0.3">
      <c r="A1207" s="2678">
        <v>44060</v>
      </c>
      <c r="B1207" s="2677">
        <v>315139</v>
      </c>
      <c r="C1207" s="2677">
        <v>315500</v>
      </c>
      <c r="D1207" s="2677">
        <v>309747</v>
      </c>
      <c r="E1207" s="2677">
        <v>310220</v>
      </c>
      <c r="F1207" s="2677">
        <v>310220</v>
      </c>
      <c r="G1207" s="2677">
        <v>400</v>
      </c>
    </row>
    <row r="1208" spans="1:7" x14ac:dyDescent="0.3">
      <c r="A1208" s="2678">
        <v>44061</v>
      </c>
      <c r="B1208" s="2677">
        <v>310910</v>
      </c>
      <c r="C1208" s="2677">
        <v>314800</v>
      </c>
      <c r="D1208" s="2677">
        <v>310700</v>
      </c>
      <c r="E1208" s="2677">
        <v>313419</v>
      </c>
      <c r="F1208" s="2677">
        <v>313419</v>
      </c>
      <c r="G1208" s="2677">
        <v>200</v>
      </c>
    </row>
    <row r="1209" spans="1:7" x14ac:dyDescent="0.3">
      <c r="A1209" s="2678">
        <v>44062</v>
      </c>
      <c r="B1209" s="2677">
        <v>313745</v>
      </c>
      <c r="C1209" s="2677">
        <v>315300</v>
      </c>
      <c r="D1209" s="2677">
        <v>310412</v>
      </c>
      <c r="E1209" s="2677">
        <v>310800</v>
      </c>
      <c r="F1209" s="2677">
        <v>310800</v>
      </c>
      <c r="G1209" s="2677">
        <v>300</v>
      </c>
    </row>
    <row r="1210" spans="1:7" x14ac:dyDescent="0.3">
      <c r="A1210" s="2678">
        <v>44063</v>
      </c>
      <c r="B1210" s="2677">
        <v>307376</v>
      </c>
      <c r="C1210" s="2677">
        <v>310107</v>
      </c>
      <c r="D1210" s="2677">
        <v>307376</v>
      </c>
      <c r="E1210" s="2677">
        <v>309300</v>
      </c>
      <c r="F1210" s="2677">
        <v>309300</v>
      </c>
      <c r="G1210" s="2677">
        <v>300</v>
      </c>
    </row>
    <row r="1211" spans="1:7" x14ac:dyDescent="0.3">
      <c r="A1211" s="2678">
        <v>44064</v>
      </c>
      <c r="B1211" s="2677">
        <v>309000</v>
      </c>
      <c r="C1211" s="2677">
        <v>312600</v>
      </c>
      <c r="D1211" s="2677">
        <v>309000</v>
      </c>
      <c r="E1211" s="2677">
        <v>311126</v>
      </c>
      <c r="F1211" s="2677">
        <v>311126</v>
      </c>
      <c r="G1211" s="2677">
        <v>400</v>
      </c>
    </row>
    <row r="1212" spans="1:7" x14ac:dyDescent="0.3">
      <c r="A1212" s="2678">
        <v>44067</v>
      </c>
      <c r="B1212" s="2677">
        <v>315100</v>
      </c>
      <c r="C1212" s="2677">
        <v>320000</v>
      </c>
      <c r="D1212" s="2677">
        <v>314501</v>
      </c>
      <c r="E1212" s="2677">
        <v>318800</v>
      </c>
      <c r="F1212" s="2677">
        <v>318800</v>
      </c>
      <c r="G1212" s="2677">
        <v>400</v>
      </c>
    </row>
    <row r="1213" spans="1:7" x14ac:dyDescent="0.3">
      <c r="A1213" s="2678">
        <v>44068</v>
      </c>
      <c r="B1213" s="2677">
        <v>320300</v>
      </c>
      <c r="C1213" s="2677">
        <v>321001</v>
      </c>
      <c r="D1213" s="2677">
        <v>319534</v>
      </c>
      <c r="E1213" s="2677">
        <v>319970</v>
      </c>
      <c r="F1213" s="2677">
        <v>319970</v>
      </c>
      <c r="G1213" s="2677">
        <v>300</v>
      </c>
    </row>
    <row r="1214" spans="1:7" x14ac:dyDescent="0.3">
      <c r="A1214" s="2678">
        <v>44069</v>
      </c>
      <c r="B1214" s="2677">
        <v>319600</v>
      </c>
      <c r="C1214" s="2677">
        <v>323939</v>
      </c>
      <c r="D1214" s="2677">
        <v>318900</v>
      </c>
      <c r="E1214" s="2677">
        <v>322301</v>
      </c>
      <c r="F1214" s="2677">
        <v>322301</v>
      </c>
      <c r="G1214" s="2677">
        <v>400</v>
      </c>
    </row>
    <row r="1215" spans="1:7" x14ac:dyDescent="0.3">
      <c r="A1215" s="2678">
        <v>44070</v>
      </c>
      <c r="B1215" s="2677">
        <v>323700</v>
      </c>
      <c r="C1215" s="2677">
        <v>327000</v>
      </c>
      <c r="D1215" s="2677">
        <v>323700</v>
      </c>
      <c r="E1215" s="2677">
        <v>325659</v>
      </c>
      <c r="F1215" s="2677">
        <v>325659</v>
      </c>
      <c r="G1215" s="2677">
        <v>600</v>
      </c>
    </row>
    <row r="1216" spans="1:7" x14ac:dyDescent="0.3">
      <c r="A1216" s="2678">
        <v>44071</v>
      </c>
      <c r="B1216" s="2677">
        <v>325950</v>
      </c>
      <c r="C1216" s="2677">
        <v>328279</v>
      </c>
      <c r="D1216" s="2677">
        <v>323570</v>
      </c>
      <c r="E1216" s="2677">
        <v>327431</v>
      </c>
      <c r="F1216" s="2677">
        <v>327431</v>
      </c>
      <c r="G1216" s="2677">
        <v>300</v>
      </c>
    </row>
    <row r="1217" spans="1:7" x14ac:dyDescent="0.3">
      <c r="A1217" s="2678">
        <v>44074</v>
      </c>
      <c r="B1217" s="2677">
        <v>327500</v>
      </c>
      <c r="C1217" s="2677">
        <v>329299</v>
      </c>
      <c r="D1217" s="2677">
        <v>326900</v>
      </c>
      <c r="E1217" s="2677">
        <v>327560</v>
      </c>
      <c r="F1217" s="2677">
        <v>327560</v>
      </c>
      <c r="G1217" s="2677">
        <v>500</v>
      </c>
    </row>
    <row r="1218" spans="1:7" x14ac:dyDescent="0.3">
      <c r="A1218" s="2678">
        <v>44075</v>
      </c>
      <c r="B1218" s="2677">
        <v>325500</v>
      </c>
      <c r="C1218" s="2677">
        <v>327560</v>
      </c>
      <c r="D1218" s="2677">
        <v>325336</v>
      </c>
      <c r="E1218" s="2677">
        <v>327440</v>
      </c>
      <c r="F1218" s="2677">
        <v>327440</v>
      </c>
      <c r="G1218" s="2677">
        <v>300</v>
      </c>
    </row>
    <row r="1219" spans="1:7" x14ac:dyDescent="0.3">
      <c r="A1219" s="2678">
        <v>44076</v>
      </c>
      <c r="B1219" s="2677">
        <v>328175</v>
      </c>
      <c r="C1219" s="2677">
        <v>333010</v>
      </c>
      <c r="D1219" s="2677">
        <v>327507</v>
      </c>
      <c r="E1219" s="2677">
        <v>332840</v>
      </c>
      <c r="F1219" s="2677">
        <v>332840</v>
      </c>
      <c r="G1219" s="2677">
        <v>400</v>
      </c>
    </row>
    <row r="1220" spans="1:7" x14ac:dyDescent="0.3">
      <c r="A1220" s="2678">
        <v>44077</v>
      </c>
      <c r="B1220" s="2677">
        <v>332850</v>
      </c>
      <c r="C1220" s="2677">
        <v>334960</v>
      </c>
      <c r="D1220" s="2677">
        <v>325522</v>
      </c>
      <c r="E1220" s="2677">
        <v>327360</v>
      </c>
      <c r="F1220" s="2677">
        <v>327360</v>
      </c>
      <c r="G1220" s="2677">
        <v>600</v>
      </c>
    </row>
    <row r="1221" spans="1:7" x14ac:dyDescent="0.3">
      <c r="A1221" s="2678">
        <v>44078</v>
      </c>
      <c r="B1221" s="2677">
        <v>330000</v>
      </c>
      <c r="C1221" s="2677">
        <v>332674</v>
      </c>
      <c r="D1221" s="2677">
        <v>323364</v>
      </c>
      <c r="E1221" s="2677">
        <v>327401</v>
      </c>
      <c r="F1221" s="2677">
        <v>327401</v>
      </c>
      <c r="G1221" s="2677">
        <v>400</v>
      </c>
    </row>
    <row r="1222" spans="1:7" x14ac:dyDescent="0.3">
      <c r="A1222" s="2678">
        <v>44082</v>
      </c>
      <c r="B1222" s="2677">
        <v>324940</v>
      </c>
      <c r="C1222" s="2677">
        <v>328859</v>
      </c>
      <c r="D1222" s="2677">
        <v>323431</v>
      </c>
      <c r="E1222" s="2677">
        <v>327200</v>
      </c>
      <c r="F1222" s="2677">
        <v>327200</v>
      </c>
      <c r="G1222" s="2677">
        <v>400</v>
      </c>
    </row>
    <row r="1223" spans="1:7" x14ac:dyDescent="0.3">
      <c r="A1223" s="2678">
        <v>44083</v>
      </c>
      <c r="B1223" s="2677">
        <v>328500</v>
      </c>
      <c r="C1223" s="2677">
        <v>332482</v>
      </c>
      <c r="D1223" s="2677">
        <v>328175</v>
      </c>
      <c r="E1223" s="2677">
        <v>329760</v>
      </c>
      <c r="F1223" s="2677">
        <v>329760</v>
      </c>
      <c r="G1223" s="2677">
        <v>400</v>
      </c>
    </row>
    <row r="1224" spans="1:7" x14ac:dyDescent="0.3">
      <c r="A1224" s="2678">
        <v>44084</v>
      </c>
      <c r="B1224" s="2677">
        <v>330200</v>
      </c>
      <c r="C1224" s="2677">
        <v>331000</v>
      </c>
      <c r="D1224" s="2677">
        <v>326156</v>
      </c>
      <c r="E1224" s="2677">
        <v>327214</v>
      </c>
      <c r="F1224" s="2677">
        <v>327214</v>
      </c>
      <c r="G1224" s="2677">
        <v>400</v>
      </c>
    </row>
    <row r="1225" spans="1:7" x14ac:dyDescent="0.3">
      <c r="A1225" s="2678">
        <v>44085</v>
      </c>
      <c r="B1225" s="2677">
        <v>328240</v>
      </c>
      <c r="C1225" s="2677">
        <v>328946</v>
      </c>
      <c r="D1225" s="2677">
        <v>325607</v>
      </c>
      <c r="E1225" s="2677">
        <v>327115</v>
      </c>
      <c r="F1225" s="2677">
        <v>327115</v>
      </c>
      <c r="G1225" s="2677">
        <v>400</v>
      </c>
    </row>
    <row r="1226" spans="1:7" x14ac:dyDescent="0.3">
      <c r="A1226" s="2678">
        <v>44088</v>
      </c>
      <c r="B1226" s="2677">
        <v>328430</v>
      </c>
      <c r="C1226" s="2677">
        <v>332000</v>
      </c>
      <c r="D1226" s="2677">
        <v>327521</v>
      </c>
      <c r="E1226" s="2677">
        <v>329725</v>
      </c>
      <c r="F1226" s="2677">
        <v>329725</v>
      </c>
      <c r="G1226" s="2677">
        <v>500</v>
      </c>
    </row>
    <row r="1227" spans="1:7" x14ac:dyDescent="0.3">
      <c r="A1227" s="2678">
        <v>44089</v>
      </c>
      <c r="B1227" s="2677">
        <v>330545</v>
      </c>
      <c r="C1227" s="2677">
        <v>332500</v>
      </c>
      <c r="D1227" s="2677">
        <v>328016</v>
      </c>
      <c r="E1227" s="2677">
        <v>328804</v>
      </c>
      <c r="F1227" s="2677">
        <v>328804</v>
      </c>
      <c r="G1227" s="2677">
        <v>400</v>
      </c>
    </row>
    <row r="1228" spans="1:7" x14ac:dyDescent="0.3">
      <c r="A1228" s="2678">
        <v>44090</v>
      </c>
      <c r="B1228" s="2677">
        <v>331000</v>
      </c>
      <c r="C1228" s="2677">
        <v>333300</v>
      </c>
      <c r="D1228" s="2677">
        <v>329312</v>
      </c>
      <c r="E1228" s="2677">
        <v>329801</v>
      </c>
      <c r="F1228" s="2677">
        <v>329801</v>
      </c>
      <c r="G1228" s="2677">
        <v>600</v>
      </c>
    </row>
    <row r="1229" spans="1:7" x14ac:dyDescent="0.3">
      <c r="A1229" s="2678">
        <v>44091</v>
      </c>
      <c r="B1229" s="2677">
        <v>327000</v>
      </c>
      <c r="C1229" s="2677">
        <v>328225</v>
      </c>
      <c r="D1229" s="2677">
        <v>325234</v>
      </c>
      <c r="E1229" s="2677">
        <v>326401</v>
      </c>
      <c r="F1229" s="2677">
        <v>326401</v>
      </c>
      <c r="G1229" s="2677">
        <v>400</v>
      </c>
    </row>
    <row r="1230" spans="1:7" x14ac:dyDescent="0.3">
      <c r="A1230" s="2678">
        <v>44092</v>
      </c>
      <c r="B1230" s="2677">
        <v>328300</v>
      </c>
      <c r="C1230" s="2677">
        <v>331660</v>
      </c>
      <c r="D1230" s="2677">
        <v>327000</v>
      </c>
      <c r="E1230" s="2677">
        <v>327601</v>
      </c>
      <c r="F1230" s="2677">
        <v>327601</v>
      </c>
      <c r="G1230" s="2677">
        <v>800</v>
      </c>
    </row>
    <row r="1231" spans="1:7" x14ac:dyDescent="0.3">
      <c r="A1231" s="2678">
        <v>44095</v>
      </c>
      <c r="B1231" s="2677">
        <v>321266</v>
      </c>
      <c r="C1231" s="2677">
        <v>323000</v>
      </c>
      <c r="D1231" s="2677">
        <v>313580</v>
      </c>
      <c r="E1231" s="2677">
        <v>319534</v>
      </c>
      <c r="F1231" s="2677">
        <v>319534</v>
      </c>
      <c r="G1231" s="2677">
        <v>500</v>
      </c>
    </row>
    <row r="1232" spans="1:7" x14ac:dyDescent="0.3">
      <c r="A1232" s="2678">
        <v>44096</v>
      </c>
      <c r="B1232" s="2677">
        <v>320500</v>
      </c>
      <c r="C1232" s="2677">
        <v>322000</v>
      </c>
      <c r="D1232" s="2677">
        <v>318017</v>
      </c>
      <c r="E1232" s="2677">
        <v>320601</v>
      </c>
      <c r="F1232" s="2677">
        <v>320601</v>
      </c>
      <c r="G1232" s="2677">
        <v>300</v>
      </c>
    </row>
    <row r="1233" spans="1:7" x14ac:dyDescent="0.3">
      <c r="A1233" s="2678">
        <v>44097</v>
      </c>
      <c r="B1233" s="2677">
        <v>321485</v>
      </c>
      <c r="C1233" s="2677">
        <v>322284</v>
      </c>
      <c r="D1233" s="2677">
        <v>314540</v>
      </c>
      <c r="E1233" s="2677">
        <v>314840</v>
      </c>
      <c r="F1233" s="2677">
        <v>314840</v>
      </c>
      <c r="G1233" s="2677">
        <v>200</v>
      </c>
    </row>
    <row r="1234" spans="1:7" x14ac:dyDescent="0.3">
      <c r="A1234" s="2678">
        <v>44098</v>
      </c>
      <c r="B1234" s="2677">
        <v>313203</v>
      </c>
      <c r="C1234" s="2677">
        <v>315500</v>
      </c>
      <c r="D1234" s="2677">
        <v>310644</v>
      </c>
      <c r="E1234" s="2677">
        <v>313780</v>
      </c>
      <c r="F1234" s="2677">
        <v>313780</v>
      </c>
      <c r="G1234" s="2677">
        <v>300</v>
      </c>
    </row>
    <row r="1235" spans="1:7" x14ac:dyDescent="0.3">
      <c r="A1235" s="2678">
        <v>44099</v>
      </c>
      <c r="B1235" s="2677">
        <v>311450</v>
      </c>
      <c r="C1235" s="2677">
        <v>316562</v>
      </c>
      <c r="D1235" s="2677">
        <v>310591</v>
      </c>
      <c r="E1235" s="2677">
        <v>315156</v>
      </c>
      <c r="F1235" s="2677">
        <v>315156</v>
      </c>
      <c r="G1235" s="2677">
        <v>200</v>
      </c>
    </row>
    <row r="1236" spans="1:7" x14ac:dyDescent="0.3">
      <c r="A1236" s="2678">
        <v>44102</v>
      </c>
      <c r="B1236" s="2677">
        <v>319900</v>
      </c>
      <c r="C1236" s="2677">
        <v>323297</v>
      </c>
      <c r="D1236" s="2677">
        <v>318702</v>
      </c>
      <c r="E1236" s="2677">
        <v>320061</v>
      </c>
      <c r="F1236" s="2677">
        <v>320061</v>
      </c>
      <c r="G1236" s="2677">
        <v>500</v>
      </c>
    </row>
    <row r="1237" spans="1:7" x14ac:dyDescent="0.3">
      <c r="A1237" s="2678">
        <v>44103</v>
      </c>
      <c r="B1237" s="2677">
        <v>321900</v>
      </c>
      <c r="C1237" s="2677">
        <v>321900</v>
      </c>
      <c r="D1237" s="2677">
        <v>315200</v>
      </c>
      <c r="E1237" s="2677">
        <v>315891</v>
      </c>
      <c r="F1237" s="2677">
        <v>315891</v>
      </c>
      <c r="G1237" s="2677">
        <v>600</v>
      </c>
    </row>
    <row r="1238" spans="1:7" x14ac:dyDescent="0.3">
      <c r="A1238" s="2678">
        <v>44104</v>
      </c>
      <c r="B1238" s="2677">
        <v>318800</v>
      </c>
      <c r="C1238" s="2677">
        <v>320500</v>
      </c>
      <c r="D1238" s="2677">
        <v>316491</v>
      </c>
      <c r="E1238" s="2677">
        <v>320001</v>
      </c>
      <c r="F1238" s="2677">
        <v>320001</v>
      </c>
      <c r="G1238" s="2677">
        <v>700</v>
      </c>
    </row>
    <row r="1239" spans="1:7" x14ac:dyDescent="0.3">
      <c r="A1239" s="2678">
        <v>44105</v>
      </c>
      <c r="B1239" s="2677">
        <v>321219</v>
      </c>
      <c r="C1239" s="2677">
        <v>321219</v>
      </c>
      <c r="D1239" s="2677">
        <v>316203</v>
      </c>
      <c r="E1239" s="2677">
        <v>318600</v>
      </c>
      <c r="F1239" s="2677">
        <v>318600</v>
      </c>
      <c r="G1239" s="2677">
        <v>600</v>
      </c>
    </row>
    <row r="1240" spans="1:7" x14ac:dyDescent="0.3">
      <c r="A1240" s="2678">
        <v>44106</v>
      </c>
      <c r="B1240" s="2677">
        <v>315415</v>
      </c>
      <c r="C1240" s="2677">
        <v>320575</v>
      </c>
      <c r="D1240" s="2677">
        <v>314612</v>
      </c>
      <c r="E1240" s="2677">
        <v>317480</v>
      </c>
      <c r="F1240" s="2677">
        <v>317480</v>
      </c>
      <c r="G1240" s="2677">
        <v>300</v>
      </c>
    </row>
    <row r="1241" spans="1:7" x14ac:dyDescent="0.3">
      <c r="A1241" s="2678">
        <v>44109</v>
      </c>
      <c r="B1241" s="2677">
        <v>319707</v>
      </c>
      <c r="C1241" s="2677">
        <v>321000</v>
      </c>
      <c r="D1241" s="2677">
        <v>318202</v>
      </c>
      <c r="E1241" s="2677">
        <v>319000</v>
      </c>
      <c r="F1241" s="2677">
        <v>319000</v>
      </c>
      <c r="G1241" s="2677">
        <v>300</v>
      </c>
    </row>
    <row r="1242" spans="1:7" x14ac:dyDescent="0.3">
      <c r="A1242" s="2678">
        <v>44110</v>
      </c>
      <c r="B1242" s="2677">
        <v>319000</v>
      </c>
      <c r="C1242" s="2677">
        <v>320400</v>
      </c>
      <c r="D1242" s="2677">
        <v>315100</v>
      </c>
      <c r="E1242" s="2677">
        <v>315350</v>
      </c>
      <c r="F1242" s="2677">
        <v>315350</v>
      </c>
      <c r="G1242" s="2677">
        <v>300</v>
      </c>
    </row>
    <row r="1243" spans="1:7" x14ac:dyDescent="0.3">
      <c r="A1243" s="2678">
        <v>44111</v>
      </c>
      <c r="B1243" s="2677">
        <v>319000</v>
      </c>
      <c r="C1243" s="2677">
        <v>322089</v>
      </c>
      <c r="D1243" s="2677">
        <v>317602</v>
      </c>
      <c r="E1243" s="2677">
        <v>319571</v>
      </c>
      <c r="F1243" s="2677">
        <v>319571</v>
      </c>
      <c r="G1243" s="2677">
        <v>200</v>
      </c>
    </row>
    <row r="1244" spans="1:7" x14ac:dyDescent="0.3">
      <c r="A1244" s="2678">
        <v>44112</v>
      </c>
      <c r="B1244" s="2677">
        <v>321125</v>
      </c>
      <c r="C1244" s="2677">
        <v>323670</v>
      </c>
      <c r="D1244" s="2677">
        <v>320447</v>
      </c>
      <c r="E1244" s="2677">
        <v>323275</v>
      </c>
      <c r="F1244" s="2677">
        <v>323275</v>
      </c>
      <c r="G1244" s="2677">
        <v>300</v>
      </c>
    </row>
    <row r="1245" spans="1:7" x14ac:dyDescent="0.3">
      <c r="A1245" s="2678">
        <v>44113</v>
      </c>
      <c r="B1245" s="2677">
        <v>323709</v>
      </c>
      <c r="C1245" s="2677">
        <v>324537</v>
      </c>
      <c r="D1245" s="2677">
        <v>321687</v>
      </c>
      <c r="E1245" s="2677">
        <v>323470</v>
      </c>
      <c r="F1245" s="2677">
        <v>323470</v>
      </c>
      <c r="G1245" s="2677">
        <v>200</v>
      </c>
    </row>
    <row r="1246" spans="1:7" x14ac:dyDescent="0.3">
      <c r="A1246" s="2678">
        <v>44116</v>
      </c>
      <c r="B1246" s="2677">
        <v>324650</v>
      </c>
      <c r="C1246" s="2677">
        <v>326150</v>
      </c>
      <c r="D1246" s="2677">
        <v>323378</v>
      </c>
      <c r="E1246" s="2677">
        <v>324560</v>
      </c>
      <c r="F1246" s="2677">
        <v>324560</v>
      </c>
      <c r="G1246" s="2677">
        <v>200</v>
      </c>
    </row>
    <row r="1247" spans="1:7" x14ac:dyDescent="0.3">
      <c r="A1247" s="2678">
        <v>44117</v>
      </c>
      <c r="B1247" s="2677">
        <v>324000</v>
      </c>
      <c r="C1247" s="2677">
        <v>324000</v>
      </c>
      <c r="D1247" s="2677">
        <v>318400</v>
      </c>
      <c r="E1247" s="2677">
        <v>318969</v>
      </c>
      <c r="F1247" s="2677">
        <v>318969</v>
      </c>
      <c r="G1247" s="2677">
        <v>300</v>
      </c>
    </row>
    <row r="1248" spans="1:7" x14ac:dyDescent="0.3">
      <c r="A1248" s="2678">
        <v>44118</v>
      </c>
      <c r="B1248" s="2677">
        <v>319088</v>
      </c>
      <c r="C1248" s="2677">
        <v>319088</v>
      </c>
      <c r="D1248" s="2677">
        <v>316080</v>
      </c>
      <c r="E1248" s="2677">
        <v>316080</v>
      </c>
      <c r="F1248" s="2677">
        <v>316080</v>
      </c>
      <c r="G1248" s="2677">
        <v>300</v>
      </c>
    </row>
    <row r="1249" spans="1:7" x14ac:dyDescent="0.3">
      <c r="A1249" s="2678">
        <v>44119</v>
      </c>
      <c r="B1249" s="2677">
        <v>314750</v>
      </c>
      <c r="C1249" s="2677">
        <v>318200</v>
      </c>
      <c r="D1249" s="2677">
        <v>312980</v>
      </c>
      <c r="E1249" s="2677">
        <v>317540</v>
      </c>
      <c r="F1249" s="2677">
        <v>317540</v>
      </c>
      <c r="G1249" s="2677">
        <v>100</v>
      </c>
    </row>
    <row r="1250" spans="1:7" x14ac:dyDescent="0.3">
      <c r="A1250" s="2678">
        <v>44120</v>
      </c>
      <c r="B1250" s="2677">
        <v>319000</v>
      </c>
      <c r="C1250" s="2677">
        <v>320761</v>
      </c>
      <c r="D1250" s="2677">
        <v>318217</v>
      </c>
      <c r="E1250" s="2677">
        <v>318504</v>
      </c>
      <c r="F1250" s="2677">
        <v>318504</v>
      </c>
      <c r="G1250" s="2677">
        <v>200</v>
      </c>
    </row>
    <row r="1251" spans="1:7" x14ac:dyDescent="0.3">
      <c r="A1251" s="2678">
        <v>44123</v>
      </c>
      <c r="B1251" s="2677">
        <v>318819</v>
      </c>
      <c r="C1251" s="2677">
        <v>318819</v>
      </c>
      <c r="D1251" s="2677">
        <v>312945</v>
      </c>
      <c r="E1251" s="2677">
        <v>313500</v>
      </c>
      <c r="F1251" s="2677">
        <v>313500</v>
      </c>
      <c r="G1251" s="2677">
        <v>300</v>
      </c>
    </row>
    <row r="1252" spans="1:7" x14ac:dyDescent="0.3">
      <c r="A1252" s="2678">
        <v>44124</v>
      </c>
      <c r="B1252" s="2677">
        <v>316184</v>
      </c>
      <c r="C1252" s="2677">
        <v>317280</v>
      </c>
      <c r="D1252" s="2677">
        <v>314621</v>
      </c>
      <c r="E1252" s="2677">
        <v>315375</v>
      </c>
      <c r="F1252" s="2677">
        <v>315375</v>
      </c>
      <c r="G1252" s="2677">
        <v>200</v>
      </c>
    </row>
    <row r="1253" spans="1:7" x14ac:dyDescent="0.3">
      <c r="A1253" s="2678">
        <v>44125</v>
      </c>
      <c r="B1253" s="2677">
        <v>313500</v>
      </c>
      <c r="C1253" s="2677">
        <v>317500</v>
      </c>
      <c r="D1253" s="2677">
        <v>313450</v>
      </c>
      <c r="E1253" s="2677">
        <v>315206</v>
      </c>
      <c r="F1253" s="2677">
        <v>315206</v>
      </c>
      <c r="G1253" s="2677">
        <v>200</v>
      </c>
    </row>
    <row r="1254" spans="1:7" x14ac:dyDescent="0.3">
      <c r="A1254" s="2678">
        <v>44126</v>
      </c>
      <c r="B1254" s="2677">
        <v>314680</v>
      </c>
      <c r="C1254" s="2677">
        <v>317619</v>
      </c>
      <c r="D1254" s="2677">
        <v>314380</v>
      </c>
      <c r="E1254" s="2677">
        <v>317180</v>
      </c>
      <c r="F1254" s="2677">
        <v>317180</v>
      </c>
      <c r="G1254" s="2677">
        <v>200</v>
      </c>
    </row>
    <row r="1255" spans="1:7" x14ac:dyDescent="0.3">
      <c r="A1255" s="2678">
        <v>44127</v>
      </c>
      <c r="B1255" s="2677">
        <v>318672</v>
      </c>
      <c r="C1255" s="2677">
        <v>320999</v>
      </c>
      <c r="D1255" s="2677">
        <v>317991</v>
      </c>
      <c r="E1255" s="2677">
        <v>319344</v>
      </c>
      <c r="F1255" s="2677">
        <v>319344</v>
      </c>
      <c r="G1255" s="2677">
        <v>300</v>
      </c>
    </row>
    <row r="1256" spans="1:7" x14ac:dyDescent="0.3">
      <c r="A1256" s="2678">
        <v>44130</v>
      </c>
      <c r="B1256" s="2677">
        <v>314850</v>
      </c>
      <c r="C1256" s="2677">
        <v>315500</v>
      </c>
      <c r="D1256" s="2677">
        <v>311100</v>
      </c>
      <c r="E1256" s="2677">
        <v>312735</v>
      </c>
      <c r="F1256" s="2677">
        <v>312735</v>
      </c>
      <c r="G1256" s="2677">
        <v>300</v>
      </c>
    </row>
    <row r="1257" spans="1:7" x14ac:dyDescent="0.3">
      <c r="A1257" s="2678">
        <v>44131</v>
      </c>
      <c r="B1257" s="2677">
        <v>311630</v>
      </c>
      <c r="C1257" s="2677">
        <v>313142</v>
      </c>
      <c r="D1257" s="2677">
        <v>310540</v>
      </c>
      <c r="E1257" s="2677">
        <v>310540</v>
      </c>
      <c r="F1257" s="2677">
        <v>310540</v>
      </c>
      <c r="G1257" s="2677">
        <v>200</v>
      </c>
    </row>
    <row r="1258" spans="1:7" x14ac:dyDescent="0.3">
      <c r="A1258" s="2678">
        <v>44132</v>
      </c>
      <c r="B1258" s="2677">
        <v>304720</v>
      </c>
      <c r="C1258" s="2677">
        <v>305995</v>
      </c>
      <c r="D1258" s="2677">
        <v>300090</v>
      </c>
      <c r="E1258" s="2677">
        <v>301740</v>
      </c>
      <c r="F1258" s="2677">
        <v>301740</v>
      </c>
      <c r="G1258" s="2677">
        <v>500</v>
      </c>
    </row>
    <row r="1259" spans="1:7" x14ac:dyDescent="0.3">
      <c r="A1259" s="2678">
        <v>44133</v>
      </c>
      <c r="B1259" s="2677">
        <v>300420</v>
      </c>
      <c r="C1259" s="2677">
        <v>304907</v>
      </c>
      <c r="D1259" s="2677">
        <v>297817</v>
      </c>
      <c r="E1259" s="2677">
        <v>303000</v>
      </c>
      <c r="F1259" s="2677">
        <v>303000</v>
      </c>
      <c r="G1259" s="2677">
        <v>200</v>
      </c>
    </row>
    <row r="1260" spans="1:7" x14ac:dyDescent="0.3">
      <c r="A1260" s="2678">
        <v>44134</v>
      </c>
      <c r="B1260" s="2677">
        <v>300060</v>
      </c>
      <c r="C1260" s="2677">
        <v>303700</v>
      </c>
      <c r="D1260" s="2677">
        <v>298806</v>
      </c>
      <c r="E1260" s="2677">
        <v>302500</v>
      </c>
      <c r="F1260" s="2677">
        <v>302500</v>
      </c>
      <c r="G1260" s="2677">
        <v>200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DC5DB-4CD8-4674-A3DD-063917ECDBFB}">
  <sheetPr>
    <tabColor theme="4"/>
  </sheetPr>
  <dimension ref="A1:K41"/>
  <sheetViews>
    <sheetView showGridLines="0" topLeftCell="A3" zoomScale="70" zoomScaleNormal="70" workbookViewId="0">
      <selection activeCell="V45" sqref="V45"/>
    </sheetView>
  </sheetViews>
  <sheetFormatPr defaultColWidth="9.109375" defaultRowHeight="15.6" x14ac:dyDescent="0.3"/>
  <cols>
    <col min="1" max="1" width="25.5546875" style="211" customWidth="1"/>
    <col min="2" max="3" width="7.5546875" style="211" bestFit="1" customWidth="1"/>
    <col min="4" max="4" width="9.109375" style="211"/>
    <col min="5" max="5" width="30.88671875" style="211" customWidth="1"/>
    <col min="6" max="7" width="8.33203125" style="211" customWidth="1"/>
    <col min="8" max="16384" width="9.109375" style="211"/>
  </cols>
  <sheetData>
    <row r="1" spans="1:3" x14ac:dyDescent="0.3">
      <c r="A1" s="152" t="s">
        <v>2677</v>
      </c>
    </row>
    <row r="2" spans="1:3" x14ac:dyDescent="0.3">
      <c r="A2" s="152" t="s">
        <v>2676</v>
      </c>
    </row>
    <row r="3" spans="1:3" ht="6.6" customHeight="1" thickBot="1" x14ac:dyDescent="0.35"/>
    <row r="4" spans="1:3" x14ac:dyDescent="0.3">
      <c r="A4" s="212" t="s">
        <v>1250</v>
      </c>
      <c r="B4" s="712">
        <v>1972</v>
      </c>
      <c r="C4" s="713">
        <v>1971</v>
      </c>
    </row>
    <row r="5" spans="1:3" x14ac:dyDescent="0.3">
      <c r="A5" s="214" t="s">
        <v>975</v>
      </c>
      <c r="B5" s="1052">
        <v>27.7</v>
      </c>
      <c r="C5" s="1071">
        <v>26</v>
      </c>
    </row>
    <row r="6" spans="1:3" x14ac:dyDescent="0.3">
      <c r="A6" s="214" t="s">
        <v>251</v>
      </c>
      <c r="B6" s="2001">
        <v>1.6970000000000001</v>
      </c>
      <c r="C6" s="1996">
        <v>0.23300000000000001</v>
      </c>
    </row>
    <row r="7" spans="1:3" x14ac:dyDescent="0.3">
      <c r="A7" s="214" t="s">
        <v>1562</v>
      </c>
      <c r="B7" s="1047">
        <v>10.516999999999999</v>
      </c>
      <c r="C7" s="1106">
        <v>12.1</v>
      </c>
    </row>
    <row r="8" spans="1:3" x14ac:dyDescent="0.3">
      <c r="A8" s="214" t="s">
        <v>2668</v>
      </c>
      <c r="B8" s="464">
        <v>0.16139999999999999</v>
      </c>
      <c r="C8" s="347">
        <f>C6/C7</f>
        <v>1.9256198347107439E-2</v>
      </c>
    </row>
    <row r="9" spans="1:3" ht="4.5" customHeight="1" x14ac:dyDescent="0.3">
      <c r="A9" s="214"/>
      <c r="B9" s="464"/>
      <c r="C9" s="347"/>
    </row>
    <row r="10" spans="1:3" ht="4.5" customHeight="1" x14ac:dyDescent="0.3">
      <c r="A10" s="1995"/>
      <c r="B10" s="2680"/>
      <c r="C10" s="1994"/>
    </row>
    <row r="11" spans="1:3" ht="4.5" customHeight="1" x14ac:dyDescent="0.3">
      <c r="A11" s="214"/>
      <c r="B11" s="464"/>
      <c r="C11" s="347"/>
    </row>
    <row r="12" spans="1:3" x14ac:dyDescent="0.3">
      <c r="A12" s="214" t="s">
        <v>10</v>
      </c>
      <c r="B12" s="1047">
        <v>6.8</v>
      </c>
      <c r="C12" s="1106">
        <v>6</v>
      </c>
    </row>
    <row r="13" spans="1:3" x14ac:dyDescent="0.3">
      <c r="A13" s="214" t="s">
        <v>2675</v>
      </c>
      <c r="B13" s="910">
        <v>0.25</v>
      </c>
      <c r="C13" s="912">
        <v>0.23</v>
      </c>
    </row>
    <row r="14" spans="1:3" ht="4.5" customHeight="1" x14ac:dyDescent="0.3">
      <c r="A14" s="214"/>
      <c r="B14" s="464"/>
      <c r="C14" s="347"/>
    </row>
    <row r="15" spans="1:3" ht="4.5" customHeight="1" x14ac:dyDescent="0.3">
      <c r="A15" s="1995"/>
      <c r="B15" s="2680"/>
      <c r="C15" s="1994"/>
    </row>
    <row r="16" spans="1:3" ht="4.5" customHeight="1" x14ac:dyDescent="0.3">
      <c r="A16" s="214"/>
      <c r="B16" s="464"/>
      <c r="C16" s="347"/>
    </row>
    <row r="17" spans="1:11" x14ac:dyDescent="0.3">
      <c r="A17" s="214" t="s">
        <v>2674</v>
      </c>
      <c r="B17" s="1047">
        <v>4.0549999999999997</v>
      </c>
      <c r="C17" s="1106">
        <v>5.0999999999999996</v>
      </c>
    </row>
    <row r="18" spans="1:11" ht="16.2" thickBot="1" x14ac:dyDescent="0.35">
      <c r="A18" s="224" t="s">
        <v>2673</v>
      </c>
      <c r="B18" s="913">
        <v>0.14599999999999999</v>
      </c>
      <c r="C18" s="2000">
        <v>0.19600000000000001</v>
      </c>
    </row>
    <row r="19" spans="1:11" x14ac:dyDescent="0.3">
      <c r="A19" s="2812" t="s">
        <v>3702</v>
      </c>
      <c r="B19" s="2812"/>
      <c r="C19" s="2812"/>
      <c r="G19" s="211" t="s">
        <v>176</v>
      </c>
    </row>
    <row r="20" spans="1:11" x14ac:dyDescent="0.3">
      <c r="A20" s="2805"/>
      <c r="B20" s="2805"/>
      <c r="C20" s="2805"/>
    </row>
    <row r="22" spans="1:11" x14ac:dyDescent="0.3">
      <c r="E22" s="152" t="s">
        <v>2672</v>
      </c>
    </row>
    <row r="23" spans="1:11" x14ac:dyDescent="0.3">
      <c r="E23" s="152" t="s">
        <v>2671</v>
      </c>
    </row>
    <row r="24" spans="1:11" ht="8.25" customHeight="1" thickBot="1" x14ac:dyDescent="0.35"/>
    <row r="25" spans="1:11" x14ac:dyDescent="0.3">
      <c r="E25" s="212" t="s">
        <v>1250</v>
      </c>
      <c r="F25" s="712">
        <v>1972</v>
      </c>
      <c r="G25" s="713">
        <v>1971</v>
      </c>
      <c r="K25" s="220"/>
    </row>
    <row r="26" spans="1:11" x14ac:dyDescent="0.3">
      <c r="E26" s="214" t="s">
        <v>526</v>
      </c>
      <c r="F26" s="1052">
        <v>57.95</v>
      </c>
      <c r="G26" s="1071">
        <v>66.456000000000003</v>
      </c>
      <c r="K26" s="220"/>
    </row>
    <row r="27" spans="1:11" x14ac:dyDescent="0.3">
      <c r="E27" s="214" t="s">
        <v>101</v>
      </c>
      <c r="F27" s="1047">
        <v>59.627000000000002</v>
      </c>
      <c r="G27" s="1106">
        <v>60.866999999999997</v>
      </c>
      <c r="K27" s="220"/>
    </row>
    <row r="28" spans="1:11" ht="4.5" customHeight="1" x14ac:dyDescent="0.3">
      <c r="E28" s="214"/>
      <c r="F28" s="1047"/>
      <c r="G28" s="1106"/>
      <c r="K28" s="220"/>
    </row>
    <row r="29" spans="1:11" ht="4.5" customHeight="1" x14ac:dyDescent="0.3">
      <c r="E29" s="1999"/>
      <c r="F29" s="2681"/>
      <c r="G29" s="1998"/>
      <c r="K29" s="220"/>
    </row>
    <row r="30" spans="1:11" ht="4.5" customHeight="1" x14ac:dyDescent="0.3">
      <c r="E30" s="214"/>
      <c r="F30" s="1047"/>
      <c r="G30" s="1106"/>
      <c r="K30" s="220"/>
    </row>
    <row r="31" spans="1:11" x14ac:dyDescent="0.3">
      <c r="E31" s="214" t="s">
        <v>1091</v>
      </c>
      <c r="F31" s="1047">
        <v>4.2839999999999998</v>
      </c>
      <c r="G31" s="1106">
        <v>1.409</v>
      </c>
      <c r="K31" s="220"/>
    </row>
    <row r="32" spans="1:11" x14ac:dyDescent="0.3">
      <c r="E32" s="214" t="s">
        <v>108</v>
      </c>
      <c r="F32" s="1047">
        <v>6.6440000000000001</v>
      </c>
      <c r="G32" s="1106">
        <v>4.9740000000000002</v>
      </c>
      <c r="K32" s="220"/>
    </row>
    <row r="33" spans="5:11" x14ac:dyDescent="0.3">
      <c r="E33" s="214" t="s">
        <v>22</v>
      </c>
      <c r="F33" s="400">
        <v>0.222</v>
      </c>
      <c r="G33" s="1154">
        <v>0.216</v>
      </c>
      <c r="K33" s="220"/>
    </row>
    <row r="34" spans="5:11" ht="4.5" customHeight="1" x14ac:dyDescent="0.3">
      <c r="E34" s="214"/>
      <c r="F34" s="1047"/>
      <c r="G34" s="1106"/>
      <c r="K34" s="220"/>
    </row>
    <row r="35" spans="5:11" ht="4.5" customHeight="1" x14ac:dyDescent="0.3">
      <c r="E35" s="1999"/>
      <c r="F35" s="2681"/>
      <c r="G35" s="1998"/>
      <c r="K35" s="220"/>
    </row>
    <row r="36" spans="5:11" ht="4.5" customHeight="1" x14ac:dyDescent="0.3">
      <c r="E36" s="214"/>
      <c r="F36" s="1047"/>
      <c r="G36" s="1106"/>
      <c r="K36" s="220"/>
    </row>
    <row r="37" spans="5:11" x14ac:dyDescent="0.3">
      <c r="E37" s="214" t="s">
        <v>551</v>
      </c>
      <c r="F37" s="464">
        <v>0.62</v>
      </c>
      <c r="G37" s="347">
        <v>0.67</v>
      </c>
      <c r="K37" s="220"/>
    </row>
    <row r="38" spans="5:11" x14ac:dyDescent="0.3">
      <c r="E38" s="214" t="s">
        <v>1385</v>
      </c>
      <c r="F38" s="464">
        <v>0.317</v>
      </c>
      <c r="G38" s="347">
        <v>0.28100000000000003</v>
      </c>
      <c r="K38" s="220"/>
    </row>
    <row r="39" spans="5:11" ht="16.2" thickBot="1" x14ac:dyDescent="0.35">
      <c r="E39" s="224" t="s">
        <v>552</v>
      </c>
      <c r="F39" s="500">
        <v>0.93700000000000006</v>
      </c>
      <c r="G39" s="1997">
        <v>0.95099999999999996</v>
      </c>
      <c r="K39" s="220"/>
    </row>
    <row r="40" spans="5:11" x14ac:dyDescent="0.3">
      <c r="E40" s="2811" t="s">
        <v>3702</v>
      </c>
      <c r="F40" s="2811"/>
      <c r="G40" s="2811"/>
    </row>
    <row r="41" spans="5:11" x14ac:dyDescent="0.3">
      <c r="E41" s="2805"/>
      <c r="F41" s="2805"/>
      <c r="G41" s="2805"/>
    </row>
  </sheetData>
  <mergeCells count="2">
    <mergeCell ref="A19:C20"/>
    <mergeCell ref="E40:G41"/>
  </mergeCell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642CC-888D-4720-94BE-C9D486F59EC3}">
  <sheetPr>
    <tabColor theme="4"/>
  </sheetPr>
  <dimension ref="A1:T112"/>
  <sheetViews>
    <sheetView showGridLines="0" zoomScale="70" zoomScaleNormal="70" workbookViewId="0">
      <pane xSplit="1" ySplit="6" topLeftCell="B11" activePane="bottomRight" state="frozen"/>
      <selection pane="topRight" activeCell="B1" sqref="B1"/>
      <selection pane="bottomLeft" activeCell="A2" sqref="A2"/>
      <selection pane="bottomRight" activeCell="N45" sqref="N45"/>
    </sheetView>
  </sheetViews>
  <sheetFormatPr defaultColWidth="8.6640625" defaultRowHeight="15.6" outlineLevelRow="1" x14ac:dyDescent="0.3"/>
  <cols>
    <col min="1" max="1" width="46.44140625" style="211" customWidth="1"/>
    <col min="2" max="2" width="10.109375" style="356" bestFit="1" customWidth="1"/>
    <col min="3" max="3" width="1.88671875" style="356" customWidth="1"/>
    <col min="4" max="4" width="10.109375" style="356" bestFit="1" customWidth="1"/>
    <col min="5" max="5" width="1.88671875" style="356" customWidth="1"/>
    <col min="6" max="6" width="10.109375" style="356" bestFit="1" customWidth="1"/>
    <col min="7" max="7" width="1.88671875" style="356" customWidth="1"/>
    <col min="8" max="8" width="10.109375" style="356" bestFit="1" customWidth="1"/>
    <col min="9" max="9" width="1.88671875" style="356" customWidth="1"/>
    <col min="10" max="10" width="10.109375" style="356" bestFit="1" customWidth="1"/>
    <col min="11" max="11" width="1.88671875" style="356" customWidth="1"/>
    <col min="12" max="13" width="8.6640625" style="211"/>
    <col min="14" max="14" width="10.5546875" style="211" bestFit="1" customWidth="1"/>
    <col min="15" max="16384" width="8.6640625" style="211"/>
  </cols>
  <sheetData>
    <row r="1" spans="1:20" s="976" customFormat="1" outlineLevel="1" x14ac:dyDescent="0.3">
      <c r="A1" s="976" t="s">
        <v>708</v>
      </c>
      <c r="B1" s="976">
        <v>2019</v>
      </c>
      <c r="C1" s="152"/>
      <c r="D1" s="976">
        <v>2019</v>
      </c>
      <c r="E1" s="152"/>
      <c r="F1" s="976">
        <v>2019</v>
      </c>
      <c r="G1" s="152"/>
      <c r="H1" s="976">
        <v>2019</v>
      </c>
      <c r="I1" s="152"/>
      <c r="J1" s="976">
        <v>2019</v>
      </c>
      <c r="K1" s="152"/>
    </row>
    <row r="2" spans="1:20" x14ac:dyDescent="0.3">
      <c r="B2" s="211"/>
      <c r="C2" s="211"/>
      <c r="D2" s="211"/>
      <c r="E2" s="211"/>
      <c r="F2" s="211"/>
      <c r="G2" s="211"/>
      <c r="H2" s="211"/>
      <c r="I2" s="211"/>
      <c r="J2" s="211"/>
      <c r="K2" s="211"/>
    </row>
    <row r="3" spans="1:20" x14ac:dyDescent="0.3">
      <c r="A3" s="1693" t="s">
        <v>2240</v>
      </c>
      <c r="B3" s="211"/>
      <c r="C3" s="211"/>
      <c r="D3" s="211"/>
      <c r="E3" s="211"/>
      <c r="F3" s="211"/>
      <c r="G3" s="211"/>
      <c r="H3" s="211"/>
      <c r="I3" s="211"/>
      <c r="J3" s="211"/>
      <c r="K3" s="211"/>
    </row>
    <row r="4" spans="1:20" x14ac:dyDescent="0.3">
      <c r="A4" s="152" t="s">
        <v>1791</v>
      </c>
      <c r="B4" s="211"/>
      <c r="C4" s="211"/>
      <c r="D4" s="211"/>
      <c r="E4" s="211"/>
      <c r="F4" s="211"/>
      <c r="G4" s="211"/>
      <c r="H4" s="211"/>
      <c r="I4" s="211"/>
      <c r="J4" s="211"/>
      <c r="K4" s="211"/>
    </row>
    <row r="5" spans="1:20" ht="9" customHeight="1" thickBot="1" x14ac:dyDescent="0.35">
      <c r="B5" s="211"/>
      <c r="C5" s="211"/>
      <c r="D5" s="211"/>
      <c r="E5" s="211"/>
      <c r="F5" s="211"/>
      <c r="G5" s="211"/>
      <c r="H5" s="211"/>
      <c r="I5" s="211"/>
      <c r="J5" s="211"/>
      <c r="K5" s="211"/>
    </row>
    <row r="6" spans="1:20" x14ac:dyDescent="0.3">
      <c r="A6" s="956" t="s">
        <v>1947</v>
      </c>
      <c r="B6" s="1677">
        <v>2019</v>
      </c>
      <c r="C6" s="1677"/>
      <c r="D6" s="1677">
        <v>2018</v>
      </c>
      <c r="E6" s="1677"/>
      <c r="F6" s="1677">
        <v>2017</v>
      </c>
      <c r="G6" s="1677"/>
      <c r="H6" s="1677">
        <v>2016</v>
      </c>
      <c r="I6" s="1677"/>
      <c r="J6" s="1677">
        <v>2015</v>
      </c>
      <c r="K6" s="1678"/>
    </row>
    <row r="7" spans="1:20" x14ac:dyDescent="0.3">
      <c r="A7" s="1437" t="s">
        <v>561</v>
      </c>
      <c r="B7" s="1767"/>
      <c r="C7" s="1767"/>
      <c r="D7" s="1767"/>
      <c r="E7" s="1767"/>
      <c r="F7" s="1767"/>
      <c r="G7" s="1767"/>
      <c r="H7" s="1767"/>
      <c r="I7" s="1767"/>
      <c r="J7" s="1767"/>
      <c r="K7" s="1768"/>
    </row>
    <row r="8" spans="1:20" x14ac:dyDescent="0.3">
      <c r="A8" s="1771" t="s">
        <v>285</v>
      </c>
      <c r="B8" s="1799">
        <v>61078</v>
      </c>
      <c r="C8" s="1799"/>
      <c r="D8" s="1799">
        <v>57418</v>
      </c>
      <c r="E8" s="1799"/>
      <c r="F8" s="1799">
        <v>60597</v>
      </c>
      <c r="G8" s="1799"/>
      <c r="H8" s="1799">
        <v>45881</v>
      </c>
      <c r="I8" s="1799"/>
      <c r="J8" s="1799">
        <v>41294</v>
      </c>
      <c r="K8" s="1439"/>
    </row>
    <row r="9" spans="1:20" x14ac:dyDescent="0.3">
      <c r="A9" s="1771" t="s">
        <v>697</v>
      </c>
      <c r="B9" s="1800">
        <v>134989</v>
      </c>
      <c r="C9" s="1800"/>
      <c r="D9" s="1800">
        <v>133336</v>
      </c>
      <c r="E9" s="1800"/>
      <c r="F9" s="1800">
        <v>130243</v>
      </c>
      <c r="G9" s="1800"/>
      <c r="H9" s="1800">
        <v>123053</v>
      </c>
      <c r="I9" s="1800"/>
      <c r="J9" s="1800">
        <v>110811</v>
      </c>
      <c r="K9" s="1441"/>
    </row>
    <row r="10" spans="1:20" x14ac:dyDescent="0.3">
      <c r="A10" s="1771" t="s">
        <v>2249</v>
      </c>
      <c r="B10" s="1800">
        <v>5856</v>
      </c>
      <c r="C10" s="1800"/>
      <c r="D10" s="1800">
        <v>5732</v>
      </c>
      <c r="E10" s="1800"/>
      <c r="F10" s="1800">
        <v>2552</v>
      </c>
      <c r="G10" s="1800"/>
      <c r="H10" s="1800">
        <v>2553</v>
      </c>
      <c r="I10" s="1800"/>
      <c r="J10" s="1800">
        <v>1546</v>
      </c>
      <c r="K10" s="1441"/>
    </row>
    <row r="11" spans="1:20" x14ac:dyDescent="0.3">
      <c r="A11" s="1771" t="s">
        <v>2250</v>
      </c>
      <c r="B11" s="1800">
        <v>43453</v>
      </c>
      <c r="C11" s="1800"/>
      <c r="D11" s="1800">
        <v>43673</v>
      </c>
      <c r="E11" s="1800"/>
      <c r="F11" s="1800">
        <v>40005</v>
      </c>
      <c r="G11" s="1800"/>
      <c r="H11" s="1800">
        <v>37447</v>
      </c>
      <c r="I11" s="1800"/>
      <c r="J11" s="1800">
        <v>39923</v>
      </c>
      <c r="K11" s="1441"/>
    </row>
    <row r="12" spans="1:20" x14ac:dyDescent="0.3">
      <c r="A12" s="1771" t="s">
        <v>2251</v>
      </c>
      <c r="B12" s="1800">
        <v>9240</v>
      </c>
      <c r="C12" s="1800"/>
      <c r="D12" s="1800">
        <v>7678</v>
      </c>
      <c r="E12" s="1800"/>
      <c r="F12" s="1800">
        <v>6536</v>
      </c>
      <c r="G12" s="1800"/>
      <c r="H12" s="1800">
        <v>6180</v>
      </c>
      <c r="I12" s="1800"/>
      <c r="J12" s="1800">
        <v>6867</v>
      </c>
      <c r="K12" s="1441"/>
    </row>
    <row r="13" spans="1:20" ht="16.2" thickBot="1" x14ac:dyDescent="0.35">
      <c r="A13" s="1771" t="s">
        <v>702</v>
      </c>
      <c r="B13" s="1687">
        <f>SUM(B8:B12)</f>
        <v>254616</v>
      </c>
      <c r="C13" s="1798"/>
      <c r="D13" s="1687">
        <f>SUM(D8:D12)</f>
        <v>247837</v>
      </c>
      <c r="E13" s="1798"/>
      <c r="F13" s="1687">
        <f>SUM(F8:F12)</f>
        <v>239933</v>
      </c>
      <c r="G13" s="1798"/>
      <c r="H13" s="1687">
        <f>SUM(H8:H12)</f>
        <v>215114</v>
      </c>
      <c r="I13" s="1798"/>
      <c r="J13" s="1687">
        <f>SUM(J8:J12)</f>
        <v>200441</v>
      </c>
      <c r="K13" s="1801"/>
    </row>
    <row r="14" spans="1:20" ht="4.5" customHeight="1" thickTop="1" x14ac:dyDescent="0.3">
      <c r="A14" s="1771"/>
      <c r="B14" s="975"/>
      <c r="C14" s="975"/>
      <c r="D14" s="975"/>
      <c r="E14" s="975"/>
      <c r="F14" s="975"/>
      <c r="G14" s="975"/>
      <c r="H14" s="975"/>
      <c r="I14" s="975"/>
      <c r="J14" s="975"/>
      <c r="K14" s="967"/>
      <c r="T14" s="211" t="s">
        <v>176</v>
      </c>
    </row>
    <row r="15" spans="1:20" ht="4.5" customHeight="1" x14ac:dyDescent="0.3">
      <c r="A15" s="1756"/>
      <c r="B15" s="1802"/>
      <c r="C15" s="1802"/>
      <c r="D15" s="1802"/>
      <c r="E15" s="1802"/>
      <c r="F15" s="1802"/>
      <c r="G15" s="1802"/>
      <c r="H15" s="1802"/>
      <c r="I15" s="1802"/>
      <c r="J15" s="1802"/>
      <c r="K15" s="1758"/>
    </row>
    <row r="16" spans="1:20" ht="4.5" customHeight="1" x14ac:dyDescent="0.3">
      <c r="A16" s="1771"/>
      <c r="B16" s="975"/>
      <c r="C16" s="975"/>
      <c r="D16" s="975"/>
      <c r="E16" s="975"/>
      <c r="F16" s="975"/>
      <c r="G16" s="975"/>
      <c r="H16" s="975"/>
      <c r="I16" s="975"/>
      <c r="J16" s="975"/>
      <c r="K16" s="967"/>
    </row>
    <row r="17" spans="1:20" ht="18" x14ac:dyDescent="0.3">
      <c r="A17" s="1437" t="s">
        <v>2252</v>
      </c>
      <c r="B17" s="1798">
        <v>72607</v>
      </c>
      <c r="C17" s="1798"/>
      <c r="D17" s="1798">
        <v>-22455</v>
      </c>
      <c r="E17" s="1798"/>
      <c r="F17" s="1798">
        <v>2128</v>
      </c>
      <c r="G17" s="1798"/>
      <c r="H17" s="1798">
        <v>8304</v>
      </c>
      <c r="I17" s="1798"/>
      <c r="J17" s="1798">
        <v>10347</v>
      </c>
      <c r="K17" s="1441"/>
    </row>
    <row r="18" spans="1:20" ht="4.5" customHeight="1" x14ac:dyDescent="0.3">
      <c r="A18" s="1771"/>
      <c r="B18" s="975"/>
      <c r="C18" s="975"/>
      <c r="D18" s="975"/>
      <c r="E18" s="975"/>
      <c r="F18" s="975"/>
      <c r="G18" s="975"/>
      <c r="H18" s="975"/>
      <c r="I18" s="975"/>
      <c r="J18" s="975"/>
      <c r="K18" s="967"/>
      <c r="Q18" s="211" t="s">
        <v>176</v>
      </c>
      <c r="T18" s="211" t="s">
        <v>176</v>
      </c>
    </row>
    <row r="19" spans="1:20" ht="4.5" customHeight="1" x14ac:dyDescent="0.3">
      <c r="A19" s="1756"/>
      <c r="B19" s="1802"/>
      <c r="C19" s="1802"/>
      <c r="D19" s="1802"/>
      <c r="E19" s="1802"/>
      <c r="F19" s="1802"/>
      <c r="G19" s="1802"/>
      <c r="H19" s="1802"/>
      <c r="I19" s="1802"/>
      <c r="J19" s="1802"/>
      <c r="K19" s="1758"/>
    </row>
    <row r="20" spans="1:20" ht="4.5" customHeight="1" x14ac:dyDescent="0.3">
      <c r="A20" s="1771"/>
      <c r="B20" s="975"/>
      <c r="C20" s="975"/>
      <c r="D20" s="975"/>
      <c r="E20" s="975"/>
      <c r="F20" s="975"/>
      <c r="G20" s="975"/>
      <c r="H20" s="975"/>
      <c r="I20" s="975"/>
      <c r="J20" s="975"/>
      <c r="K20" s="967"/>
    </row>
    <row r="21" spans="1:20" x14ac:dyDescent="0.3">
      <c r="A21" s="1437" t="s">
        <v>694</v>
      </c>
      <c r="B21" s="1767"/>
      <c r="C21" s="1767"/>
      <c r="D21" s="1767"/>
      <c r="E21" s="1767"/>
      <c r="F21" s="1767"/>
      <c r="G21" s="1767"/>
      <c r="H21" s="1767"/>
      <c r="I21" s="1767"/>
      <c r="J21" s="1767"/>
      <c r="K21" s="1768"/>
    </row>
    <row r="22" spans="1:20" ht="21" customHeight="1" thickBot="1" x14ac:dyDescent="0.35">
      <c r="A22" s="1771" t="s">
        <v>2254</v>
      </c>
      <c r="B22" s="1690">
        <v>81417</v>
      </c>
      <c r="C22" s="1798"/>
      <c r="D22" s="1690">
        <v>4021</v>
      </c>
      <c r="E22" s="1798"/>
      <c r="F22" s="1690">
        <v>44940</v>
      </c>
      <c r="G22" s="1798"/>
      <c r="H22" s="1690">
        <v>24074</v>
      </c>
      <c r="I22" s="1798"/>
      <c r="J22" s="1690">
        <v>24083</v>
      </c>
      <c r="K22" s="1801"/>
    </row>
    <row r="23" spans="1:20" ht="6.75" customHeight="1" thickTop="1" x14ac:dyDescent="0.3">
      <c r="A23" s="1771"/>
      <c r="B23" s="1298"/>
      <c r="C23" s="1803"/>
      <c r="D23" s="1298"/>
      <c r="E23" s="1803"/>
      <c r="F23" s="1298"/>
      <c r="G23" s="1803"/>
      <c r="H23" s="1298"/>
      <c r="I23" s="1803"/>
      <c r="J23" s="1298"/>
      <c r="K23" s="1804"/>
    </row>
    <row r="24" spans="1:20" ht="16.2" thickBot="1" x14ac:dyDescent="0.35">
      <c r="A24" s="1771" t="s">
        <v>1071</v>
      </c>
      <c r="B24" s="1690">
        <v>49828</v>
      </c>
      <c r="C24" s="1798"/>
      <c r="D24" s="1690">
        <v>2446</v>
      </c>
      <c r="E24" s="1798"/>
      <c r="F24" s="1690">
        <v>27326</v>
      </c>
      <c r="G24" s="1798"/>
      <c r="H24" s="1690">
        <v>14645</v>
      </c>
      <c r="I24" s="1798"/>
      <c r="J24" s="1690">
        <v>14656</v>
      </c>
      <c r="K24" s="1801"/>
    </row>
    <row r="25" spans="1:20" ht="4.5" customHeight="1" thickTop="1" x14ac:dyDescent="0.3">
      <c r="A25" s="1771"/>
      <c r="B25" s="975"/>
      <c r="C25" s="975"/>
      <c r="D25" s="975"/>
      <c r="E25" s="975"/>
      <c r="F25" s="975"/>
      <c r="G25" s="975"/>
      <c r="H25" s="975"/>
      <c r="I25" s="975"/>
      <c r="J25" s="975"/>
      <c r="K25" s="967"/>
      <c r="T25" s="211" t="s">
        <v>176</v>
      </c>
    </row>
    <row r="26" spans="1:20" ht="4.5" customHeight="1" x14ac:dyDescent="0.3">
      <c r="A26" s="1756"/>
      <c r="B26" s="1802"/>
      <c r="C26" s="1802"/>
      <c r="D26" s="1802"/>
      <c r="E26" s="1802"/>
      <c r="F26" s="1802"/>
      <c r="G26" s="1802"/>
      <c r="H26" s="1802"/>
      <c r="I26" s="1802"/>
      <c r="J26" s="1802"/>
      <c r="K26" s="1758"/>
    </row>
    <row r="27" spans="1:20" ht="4.5" customHeight="1" x14ac:dyDescent="0.3">
      <c r="A27" s="1771"/>
      <c r="B27" s="975"/>
      <c r="C27" s="975"/>
      <c r="D27" s="975"/>
      <c r="E27" s="975"/>
      <c r="F27" s="975"/>
      <c r="G27" s="975"/>
      <c r="H27" s="975"/>
      <c r="I27" s="975"/>
      <c r="J27" s="975"/>
      <c r="K27" s="967"/>
    </row>
    <row r="28" spans="1:20" x14ac:dyDescent="0.3">
      <c r="A28" s="1437" t="s">
        <v>695</v>
      </c>
      <c r="B28" s="1767"/>
      <c r="C28" s="1767"/>
      <c r="D28" s="1767" t="s">
        <v>176</v>
      </c>
      <c r="E28" s="1767"/>
      <c r="F28" s="1767"/>
      <c r="G28" s="1767"/>
      <c r="H28" s="1767"/>
      <c r="I28" s="1767"/>
      <c r="J28" s="1767"/>
      <c r="K28" s="1768"/>
    </row>
    <row r="29" spans="1:20" x14ac:dyDescent="0.3">
      <c r="A29" s="1771" t="s">
        <v>705</v>
      </c>
      <c r="B29" s="1799">
        <v>817729</v>
      </c>
      <c r="C29" s="1799"/>
      <c r="D29" s="1799">
        <v>707794</v>
      </c>
      <c r="E29" s="1799"/>
      <c r="F29" s="1799">
        <v>702095</v>
      </c>
      <c r="G29" s="1799"/>
      <c r="H29" s="1799">
        <v>620854</v>
      </c>
      <c r="I29" s="1799"/>
      <c r="J29" s="1799">
        <v>552257</v>
      </c>
      <c r="K29" s="1439"/>
    </row>
    <row r="30" spans="1:20" x14ac:dyDescent="0.3">
      <c r="A30" s="1771" t="s">
        <v>1066</v>
      </c>
      <c r="B30" s="1800"/>
      <c r="C30" s="1799"/>
      <c r="D30" s="1800"/>
      <c r="E30" s="1799"/>
      <c r="F30" s="1800"/>
      <c r="G30" s="1799"/>
      <c r="H30" s="1800"/>
      <c r="I30" s="1799"/>
      <c r="J30" s="1800"/>
      <c r="K30" s="1439"/>
    </row>
    <row r="31" spans="1:20" ht="20.25" customHeight="1" x14ac:dyDescent="0.3">
      <c r="A31" s="1771" t="s">
        <v>2253</v>
      </c>
      <c r="B31" s="1805">
        <v>37590</v>
      </c>
      <c r="C31" s="1805"/>
      <c r="D31" s="1805">
        <v>34975</v>
      </c>
      <c r="E31" s="1805"/>
      <c r="F31" s="1805">
        <v>40409</v>
      </c>
      <c r="G31" s="1805"/>
      <c r="H31" s="1805">
        <v>42559</v>
      </c>
      <c r="I31" s="1805"/>
      <c r="J31" s="1805">
        <v>26550</v>
      </c>
      <c r="K31" s="1679"/>
    </row>
    <row r="32" spans="1:20" x14ac:dyDescent="0.3">
      <c r="A32" s="1771" t="s">
        <v>2255</v>
      </c>
      <c r="B32" s="1805">
        <v>65778</v>
      </c>
      <c r="C32" s="1805"/>
      <c r="D32" s="1805">
        <v>62515</v>
      </c>
      <c r="E32" s="1805"/>
      <c r="F32" s="1805">
        <v>62178</v>
      </c>
      <c r="G32" s="1805"/>
      <c r="H32" s="1805">
        <v>59085</v>
      </c>
      <c r="I32" s="1805"/>
      <c r="J32" s="1805">
        <v>57739</v>
      </c>
      <c r="K32" s="1679"/>
    </row>
    <row r="33" spans="1:16" ht="7.5" customHeight="1" x14ac:dyDescent="0.3">
      <c r="A33" s="1771"/>
      <c r="B33" s="1805"/>
      <c r="C33" s="1805"/>
      <c r="D33" s="1805"/>
      <c r="E33" s="1805"/>
      <c r="F33" s="1805"/>
      <c r="G33" s="1805"/>
      <c r="H33" s="1805"/>
      <c r="I33" s="1805"/>
      <c r="J33" s="1805"/>
      <c r="K33" s="1679"/>
    </row>
    <row r="34" spans="1:16" x14ac:dyDescent="0.3">
      <c r="A34" s="1771" t="s">
        <v>706</v>
      </c>
      <c r="B34" s="1800">
        <v>424791</v>
      </c>
      <c r="C34" s="1800"/>
      <c r="D34" s="1800">
        <v>348703</v>
      </c>
      <c r="E34" s="1800"/>
      <c r="F34" s="1800">
        <v>348296</v>
      </c>
      <c r="G34" s="1800"/>
      <c r="H34" s="1800">
        <v>282070</v>
      </c>
      <c r="I34" s="1800"/>
      <c r="J34" s="1800">
        <v>254619</v>
      </c>
      <c r="K34" s="1441"/>
    </row>
    <row r="35" spans="1:16" x14ac:dyDescent="0.3">
      <c r="A35" s="1771" t="s">
        <v>1072</v>
      </c>
      <c r="B35" s="1800">
        <v>1625</v>
      </c>
      <c r="C35" s="1800"/>
      <c r="D35" s="1800">
        <v>1641</v>
      </c>
      <c r="E35" s="1800"/>
      <c r="F35" s="1800">
        <v>1645</v>
      </c>
      <c r="G35" s="1800"/>
      <c r="H35" s="1800">
        <v>1644</v>
      </c>
      <c r="I35" s="1800"/>
      <c r="J35" s="1800">
        <v>1643</v>
      </c>
      <c r="K35" s="1441"/>
    </row>
    <row r="36" spans="1:16" ht="16.2" thickBot="1" x14ac:dyDescent="0.35">
      <c r="A36" s="1771" t="s">
        <v>709</v>
      </c>
      <c r="B36" s="1687">
        <v>261417</v>
      </c>
      <c r="C36" s="1798"/>
      <c r="D36" s="1687">
        <v>212503</v>
      </c>
      <c r="E36" s="1798"/>
      <c r="F36" s="1687">
        <v>211750</v>
      </c>
      <c r="G36" s="1798"/>
      <c r="H36" s="1687">
        <v>171542</v>
      </c>
      <c r="I36" s="1798"/>
      <c r="J36" s="1687">
        <v>154935</v>
      </c>
      <c r="K36" s="1801"/>
      <c r="N36" s="350">
        <f>B36/D36-1</f>
        <v>0.23018027980781453</v>
      </c>
      <c r="P36" s="227">
        <f>D36/F36-1</f>
        <v>3.5560802833529692E-3</v>
      </c>
    </row>
    <row r="37" spans="1:16" ht="16.2" thickTop="1" x14ac:dyDescent="0.3">
      <c r="A37" s="214"/>
      <c r="B37" s="220"/>
      <c r="C37" s="220"/>
      <c r="D37" s="220"/>
      <c r="E37" s="220"/>
      <c r="F37" s="220"/>
      <c r="G37" s="220"/>
      <c r="H37" s="220"/>
      <c r="I37" s="220"/>
      <c r="J37" s="220"/>
      <c r="K37" s="223"/>
    </row>
    <row r="38" spans="1:16" ht="8.4" customHeight="1" x14ac:dyDescent="0.3">
      <c r="A38" s="1771"/>
      <c r="B38" s="1806"/>
      <c r="C38" s="1799"/>
      <c r="D38" s="1806"/>
      <c r="E38" s="1799"/>
      <c r="F38" s="1806"/>
      <c r="G38" s="1799"/>
      <c r="H38" s="1806"/>
      <c r="I38" s="1799"/>
      <c r="J38" s="1806"/>
      <c r="K38" s="1439"/>
    </row>
    <row r="39" spans="1:16" s="1" customFormat="1" ht="4.5" customHeight="1" x14ac:dyDescent="0.25">
      <c r="A39" s="1683"/>
      <c r="B39" s="1180"/>
      <c r="C39" s="1180"/>
      <c r="D39" s="1180"/>
      <c r="E39" s="1180"/>
      <c r="F39" s="1180"/>
      <c r="G39" s="1180"/>
      <c r="H39" s="1180"/>
      <c r="I39" s="1180"/>
      <c r="J39" s="1180"/>
      <c r="K39" s="1190"/>
    </row>
    <row r="40" spans="1:16" s="198" customFormat="1" ht="13.8" x14ac:dyDescent="0.25">
      <c r="A40" s="1175"/>
      <c r="B40" s="1627"/>
      <c r="C40" s="1627"/>
      <c r="D40" s="1627"/>
      <c r="E40" s="1627"/>
      <c r="F40" s="1627"/>
      <c r="G40" s="1627"/>
      <c r="H40" s="1627"/>
      <c r="I40" s="1627"/>
      <c r="J40" s="1627"/>
      <c r="K40" s="1628"/>
    </row>
    <row r="41" spans="1:16" s="198" customFormat="1" ht="13.8" x14ac:dyDescent="0.25">
      <c r="A41" s="1175" t="s">
        <v>998</v>
      </c>
      <c r="B41" s="1627"/>
      <c r="C41" s="1627"/>
      <c r="D41" s="1627"/>
      <c r="E41" s="1627"/>
      <c r="F41" s="1627"/>
      <c r="G41" s="1627"/>
      <c r="H41" s="1627"/>
      <c r="I41" s="1627"/>
      <c r="J41" s="1627"/>
      <c r="K41" s="1628"/>
    </row>
    <row r="42" spans="1:16" s="198" customFormat="1" ht="30.6" customHeight="1" x14ac:dyDescent="0.25">
      <c r="A42" s="2824" t="s">
        <v>2574</v>
      </c>
      <c r="B42" s="2825"/>
      <c r="C42" s="2825"/>
      <c r="D42" s="2825"/>
      <c r="E42" s="2825"/>
      <c r="F42" s="2825"/>
      <c r="G42" s="2825"/>
      <c r="H42" s="2825"/>
      <c r="I42" s="2825"/>
      <c r="J42" s="2825"/>
      <c r="K42" s="1694"/>
    </row>
    <row r="43" spans="1:16" s="198" customFormat="1" ht="7.5" customHeight="1" x14ac:dyDescent="0.25">
      <c r="A43" s="1175"/>
      <c r="B43" s="1627"/>
      <c r="C43" s="1627"/>
      <c r="D43" s="1627"/>
      <c r="E43" s="1627"/>
      <c r="F43" s="1627"/>
      <c r="G43" s="1627"/>
      <c r="H43" s="1627"/>
      <c r="I43" s="1627"/>
      <c r="J43" s="1627"/>
      <c r="K43" s="1628"/>
    </row>
    <row r="44" spans="1:16" s="198" customFormat="1" ht="13.8" x14ac:dyDescent="0.25">
      <c r="A44" s="1175" t="s">
        <v>1398</v>
      </c>
      <c r="B44" s="1807"/>
      <c r="C44" s="1807"/>
      <c r="D44" s="1807"/>
      <c r="E44" s="1807"/>
      <c r="F44" s="1807"/>
      <c r="G44" s="1807"/>
      <c r="H44" s="1807"/>
      <c r="I44" s="1807"/>
      <c r="J44" s="1807"/>
      <c r="K44" s="1808"/>
    </row>
    <row r="45" spans="1:16" s="198" customFormat="1" ht="13.8" x14ac:dyDescent="0.25">
      <c r="A45" s="1774" t="s">
        <v>831</v>
      </c>
      <c r="B45" s="1809">
        <v>57445</v>
      </c>
      <c r="C45" s="1809"/>
      <c r="D45" s="1809">
        <v>-17737</v>
      </c>
      <c r="E45" s="1809"/>
      <c r="F45" s="1809">
        <v>1377</v>
      </c>
      <c r="G45" s="1809"/>
      <c r="H45" s="1809">
        <v>6497</v>
      </c>
      <c r="I45" s="1809"/>
      <c r="J45" s="1809">
        <v>6725</v>
      </c>
      <c r="K45" s="1810"/>
    </row>
    <row r="46" spans="1:16" s="198" customFormat="1" ht="31.5" customHeight="1" x14ac:dyDescent="0.25">
      <c r="A46" s="2824" t="s">
        <v>2575</v>
      </c>
      <c r="B46" s="2825"/>
      <c r="C46" s="2825"/>
      <c r="D46" s="2825"/>
      <c r="E46" s="2825"/>
      <c r="F46" s="2825"/>
      <c r="G46" s="2825"/>
      <c r="H46" s="2825"/>
      <c r="I46" s="2825"/>
      <c r="J46" s="2825"/>
      <c r="K46" s="1797"/>
    </row>
    <row r="47" spans="1:16" s="198" customFormat="1" ht="15" customHeight="1" x14ac:dyDescent="0.25">
      <c r="A47" s="2824"/>
      <c r="B47" s="2825"/>
      <c r="C47" s="2825"/>
      <c r="D47" s="2825"/>
      <c r="E47" s="2825"/>
      <c r="F47" s="2825"/>
      <c r="G47" s="2825"/>
      <c r="H47" s="2825"/>
      <c r="I47" s="2825"/>
      <c r="J47" s="2825"/>
      <c r="K47" s="1797"/>
    </row>
    <row r="48" spans="1:16" ht="5.25" customHeight="1" thickBot="1" x14ac:dyDescent="0.35">
      <c r="A48" s="224"/>
      <c r="B48" s="218"/>
      <c r="C48" s="218"/>
      <c r="D48" s="218"/>
      <c r="E48" s="218"/>
      <c r="F48" s="218"/>
      <c r="G48" s="218"/>
      <c r="H48" s="218"/>
      <c r="I48" s="218"/>
      <c r="J48" s="218"/>
      <c r="K48" s="219"/>
    </row>
    <row r="49" spans="1:11" x14ac:dyDescent="0.3">
      <c r="A49" s="12" t="s">
        <v>2256</v>
      </c>
      <c r="B49" s="211"/>
      <c r="C49" s="211"/>
      <c r="D49" s="211"/>
      <c r="E49" s="211"/>
      <c r="F49" s="211"/>
      <c r="G49" s="211"/>
      <c r="H49" s="211"/>
      <c r="I49" s="211"/>
      <c r="J49" s="211"/>
      <c r="K49" s="211"/>
    </row>
    <row r="50" spans="1:11" x14ac:dyDescent="0.3">
      <c r="B50" s="211"/>
      <c r="C50" s="211"/>
      <c r="D50" s="211"/>
      <c r="E50" s="211"/>
      <c r="F50" s="211"/>
      <c r="G50" s="211"/>
      <c r="H50" s="211"/>
      <c r="I50" s="211"/>
      <c r="J50" s="211"/>
      <c r="K50" s="211"/>
    </row>
    <row r="51" spans="1:11" x14ac:dyDescent="0.3">
      <c r="B51" s="211"/>
      <c r="C51" s="211"/>
      <c r="D51" s="211"/>
      <c r="E51" s="211"/>
      <c r="F51" s="211"/>
      <c r="G51" s="211"/>
      <c r="H51" s="211"/>
      <c r="I51" s="211"/>
      <c r="J51" s="211"/>
      <c r="K51" s="211"/>
    </row>
    <row r="52" spans="1:11" x14ac:dyDescent="0.3">
      <c r="B52" s="211"/>
      <c r="C52" s="211"/>
      <c r="D52" s="211"/>
      <c r="E52" s="211"/>
      <c r="F52" s="211"/>
      <c r="G52" s="211"/>
      <c r="H52" s="211"/>
      <c r="I52" s="211"/>
      <c r="J52" s="211"/>
      <c r="K52" s="211"/>
    </row>
    <row r="53" spans="1:11" x14ac:dyDescent="0.3">
      <c r="B53" s="211"/>
      <c r="C53" s="211"/>
      <c r="D53" s="211"/>
      <c r="E53" s="211"/>
      <c r="F53" s="211"/>
      <c r="G53" s="211"/>
      <c r="H53" s="211"/>
      <c r="I53" s="211"/>
      <c r="J53" s="211"/>
      <c r="K53" s="211"/>
    </row>
    <row r="54" spans="1:11" x14ac:dyDescent="0.3">
      <c r="B54" s="211"/>
      <c r="C54" s="211"/>
      <c r="D54" s="211"/>
      <c r="E54" s="211"/>
      <c r="F54" s="211"/>
      <c r="G54" s="211"/>
      <c r="H54" s="211"/>
      <c r="I54" s="211"/>
      <c r="J54" s="211"/>
      <c r="K54" s="211"/>
    </row>
    <row r="55" spans="1:11" x14ac:dyDescent="0.3">
      <c r="B55" s="211"/>
      <c r="C55" s="211"/>
      <c r="D55" s="211"/>
      <c r="E55" s="211"/>
      <c r="F55" s="211"/>
      <c r="G55" s="211"/>
      <c r="H55" s="211"/>
      <c r="I55" s="211"/>
      <c r="J55" s="211"/>
      <c r="K55" s="211"/>
    </row>
    <row r="56" spans="1:11" x14ac:dyDescent="0.3">
      <c r="B56" s="211"/>
      <c r="C56" s="211"/>
      <c r="D56" s="211"/>
      <c r="E56" s="211"/>
      <c r="F56" s="211"/>
      <c r="G56" s="211"/>
      <c r="H56" s="211"/>
      <c r="I56" s="211"/>
      <c r="J56" s="211"/>
      <c r="K56" s="211"/>
    </row>
    <row r="57" spans="1:11" x14ac:dyDescent="0.3">
      <c r="B57" s="211"/>
      <c r="C57" s="211"/>
      <c r="D57" s="211"/>
      <c r="E57" s="211"/>
      <c r="F57" s="211"/>
      <c r="G57" s="211"/>
      <c r="H57" s="211"/>
      <c r="I57" s="211"/>
      <c r="J57" s="211"/>
      <c r="K57" s="211"/>
    </row>
    <row r="58" spans="1:11" x14ac:dyDescent="0.3">
      <c r="B58" s="211"/>
      <c r="C58" s="211"/>
      <c r="D58" s="211"/>
      <c r="E58" s="211"/>
      <c r="F58" s="211"/>
      <c r="G58" s="211"/>
      <c r="H58" s="211"/>
      <c r="I58" s="211"/>
      <c r="J58" s="211"/>
      <c r="K58" s="211"/>
    </row>
    <row r="59" spans="1:11" x14ac:dyDescent="0.3">
      <c r="B59" s="211"/>
      <c r="C59" s="211"/>
      <c r="D59" s="211"/>
      <c r="E59" s="211"/>
      <c r="F59" s="211"/>
      <c r="G59" s="211"/>
      <c r="H59" s="211"/>
      <c r="I59" s="211"/>
      <c r="J59" s="211"/>
      <c r="K59" s="211"/>
    </row>
    <row r="60" spans="1:11" x14ac:dyDescent="0.3">
      <c r="B60" s="211"/>
      <c r="C60" s="211"/>
      <c r="D60" s="211"/>
      <c r="E60" s="211"/>
      <c r="F60" s="211"/>
      <c r="G60" s="211"/>
      <c r="H60" s="211"/>
      <c r="I60" s="211"/>
      <c r="J60" s="211"/>
      <c r="K60" s="211"/>
    </row>
    <row r="61" spans="1:11" x14ac:dyDescent="0.3">
      <c r="B61" s="211"/>
      <c r="C61" s="211"/>
      <c r="D61" s="211"/>
      <c r="E61" s="211"/>
      <c r="F61" s="211"/>
      <c r="G61" s="211"/>
      <c r="H61" s="211"/>
      <c r="I61" s="211"/>
      <c r="J61" s="211"/>
      <c r="K61" s="211"/>
    </row>
    <row r="62" spans="1:11" x14ac:dyDescent="0.3">
      <c r="B62" s="211"/>
      <c r="C62" s="211"/>
      <c r="D62" s="211"/>
      <c r="E62" s="211"/>
      <c r="F62" s="211"/>
      <c r="G62" s="211"/>
      <c r="H62" s="211"/>
      <c r="I62" s="211"/>
      <c r="J62" s="211"/>
      <c r="K62" s="211"/>
    </row>
    <row r="63" spans="1:11" x14ac:dyDescent="0.3">
      <c r="B63" s="211"/>
      <c r="C63" s="211"/>
      <c r="D63" s="211"/>
      <c r="E63" s="211"/>
      <c r="F63" s="211"/>
      <c r="G63" s="211"/>
      <c r="H63" s="211"/>
      <c r="I63" s="211"/>
      <c r="J63" s="211"/>
      <c r="K63" s="211"/>
    </row>
    <row r="64" spans="1:11" x14ac:dyDescent="0.3">
      <c r="B64" s="211"/>
      <c r="C64" s="211"/>
      <c r="D64" s="211"/>
      <c r="E64" s="211"/>
      <c r="F64" s="211"/>
      <c r="G64" s="211"/>
      <c r="H64" s="211"/>
      <c r="I64" s="211"/>
      <c r="J64" s="211"/>
      <c r="K64" s="211"/>
    </row>
    <row r="65" s="211" customFormat="1" x14ac:dyDescent="0.3"/>
    <row r="66" s="211" customFormat="1" x14ac:dyDescent="0.3"/>
    <row r="67" s="211" customFormat="1" x14ac:dyDescent="0.3"/>
    <row r="68" s="211" customFormat="1" x14ac:dyDescent="0.3"/>
    <row r="69" s="211" customFormat="1" x14ac:dyDescent="0.3"/>
    <row r="70" s="211" customFormat="1" x14ac:dyDescent="0.3"/>
    <row r="71" s="211" customFormat="1" x14ac:dyDescent="0.3"/>
    <row r="72" s="211" customFormat="1" x14ac:dyDescent="0.3"/>
    <row r="73" s="211" customFormat="1" x14ac:dyDescent="0.3"/>
    <row r="74" s="211" customFormat="1" x14ac:dyDescent="0.3"/>
    <row r="75" s="211" customFormat="1" x14ac:dyDescent="0.3"/>
    <row r="76" s="211" customFormat="1" x14ac:dyDescent="0.3"/>
    <row r="77" s="211" customFormat="1" x14ac:dyDescent="0.3"/>
    <row r="78" s="211" customFormat="1" x14ac:dyDescent="0.3"/>
    <row r="79" s="211" customFormat="1" x14ac:dyDescent="0.3"/>
    <row r="80" s="211" customFormat="1" x14ac:dyDescent="0.3"/>
    <row r="81" s="211" customFormat="1" x14ac:dyDescent="0.3"/>
    <row r="82" s="211" customFormat="1" x14ac:dyDescent="0.3"/>
    <row r="83" s="211" customFormat="1" x14ac:dyDescent="0.3"/>
    <row r="84" s="211" customFormat="1" x14ac:dyDescent="0.3"/>
    <row r="85" s="211" customFormat="1" x14ac:dyDescent="0.3"/>
    <row r="86" s="211" customFormat="1" x14ac:dyDescent="0.3"/>
    <row r="87" s="211" customFormat="1" x14ac:dyDescent="0.3"/>
    <row r="88" s="211" customFormat="1" x14ac:dyDescent="0.3"/>
    <row r="89" s="211" customFormat="1" x14ac:dyDescent="0.3"/>
    <row r="90" s="211" customFormat="1" x14ac:dyDescent="0.3"/>
    <row r="91" s="211" customFormat="1" x14ac:dyDescent="0.3"/>
    <row r="92" s="211" customFormat="1" x14ac:dyDescent="0.3"/>
    <row r="93" s="211" customFormat="1" x14ac:dyDescent="0.3"/>
    <row r="94" s="211" customFormat="1" x14ac:dyDescent="0.3"/>
    <row r="95" s="211" customFormat="1" x14ac:dyDescent="0.3"/>
    <row r="96" s="211" customFormat="1" x14ac:dyDescent="0.3"/>
    <row r="97" s="211" customFormat="1" x14ac:dyDescent="0.3"/>
    <row r="98" s="211" customFormat="1" x14ac:dyDescent="0.3"/>
    <row r="99" s="211" customFormat="1" x14ac:dyDescent="0.3"/>
    <row r="100" s="211" customFormat="1" x14ac:dyDescent="0.3"/>
    <row r="101" s="211" customFormat="1" x14ac:dyDescent="0.3"/>
    <row r="102" s="211" customFormat="1" x14ac:dyDescent="0.3"/>
    <row r="103" s="211" customFormat="1" x14ac:dyDescent="0.3"/>
    <row r="104" s="211" customFormat="1" x14ac:dyDescent="0.3"/>
    <row r="105" s="211" customFormat="1" x14ac:dyDescent="0.3"/>
    <row r="106" s="211" customFormat="1" x14ac:dyDescent="0.3"/>
    <row r="107" s="211" customFormat="1" x14ac:dyDescent="0.3"/>
    <row r="108" s="211" customFormat="1" x14ac:dyDescent="0.3"/>
    <row r="109" s="211" customFormat="1" x14ac:dyDescent="0.3"/>
    <row r="110" s="211" customFormat="1" x14ac:dyDescent="0.3"/>
    <row r="111" s="211" customFormat="1" x14ac:dyDescent="0.3"/>
    <row r="112" s="211" customFormat="1" x14ac:dyDescent="0.3"/>
  </sheetData>
  <mergeCells count="2">
    <mergeCell ref="A46:J47"/>
    <mergeCell ref="A42:J42"/>
  </mergeCells>
  <pageMargins left="0.7" right="0.7" top="0.75" bottom="0.75" header="0.3" footer="0.3"/>
  <pageSetup orientation="portrait" horizontalDpi="1200" verticalDpi="1200"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26CB-5249-43C6-8774-2AD0F1BE3E6F}">
  <sheetPr>
    <tabColor theme="4"/>
  </sheetPr>
  <dimension ref="A1:L43"/>
  <sheetViews>
    <sheetView showGridLines="0" workbookViewId="0">
      <selection activeCell="L17" sqref="L17"/>
    </sheetView>
  </sheetViews>
  <sheetFormatPr defaultColWidth="8.6640625" defaultRowHeight="15.6" x14ac:dyDescent="0.3"/>
  <cols>
    <col min="1" max="1" width="30.33203125" style="211" customWidth="1"/>
    <col min="2" max="2" width="10.109375" style="211" bestFit="1" customWidth="1"/>
    <col min="3" max="3" width="10.33203125" style="211" bestFit="1" customWidth="1"/>
    <col min="4" max="4" width="1.6640625" style="211" customWidth="1"/>
    <col min="5" max="6" width="10.33203125" style="211" bestFit="1" customWidth="1"/>
    <col min="7" max="7" width="1.44140625" style="211" customWidth="1"/>
    <col min="8" max="8" width="9.109375" style="211" bestFit="1" customWidth="1"/>
    <col min="9" max="9" width="10.33203125" style="211" bestFit="1" customWidth="1"/>
    <col min="10" max="16384" width="8.6640625" style="211"/>
  </cols>
  <sheetData>
    <row r="1" spans="1:9" x14ac:dyDescent="0.3">
      <c r="A1" s="459" t="s">
        <v>2240</v>
      </c>
    </row>
    <row r="2" spans="1:9" x14ac:dyDescent="0.3">
      <c r="A2" s="152" t="s">
        <v>1784</v>
      </c>
    </row>
    <row r="3" spans="1:9" ht="8.25" customHeight="1" thickBot="1" x14ac:dyDescent="0.35"/>
    <row r="4" spans="1:9" ht="16.2" x14ac:dyDescent="0.35">
      <c r="A4" s="1426"/>
      <c r="B4" s="2865">
        <v>2019</v>
      </c>
      <c r="C4" s="2865"/>
      <c r="D4" s="885"/>
      <c r="E4" s="2865">
        <v>2014</v>
      </c>
      <c r="F4" s="2865"/>
      <c r="G4" s="885"/>
      <c r="H4" s="2865" t="s">
        <v>32</v>
      </c>
      <c r="I4" s="2922"/>
    </row>
    <row r="5" spans="1:9" x14ac:dyDescent="0.3">
      <c r="A5" s="221" t="s">
        <v>1250</v>
      </c>
      <c r="B5" s="1676" t="s">
        <v>1017</v>
      </c>
      <c r="C5" s="1676" t="s">
        <v>1018</v>
      </c>
      <c r="D5" s="1676"/>
      <c r="E5" s="1676" t="s">
        <v>1017</v>
      </c>
      <c r="F5" s="1676" t="s">
        <v>1018</v>
      </c>
      <c r="G5" s="1676"/>
      <c r="H5" s="1676" t="s">
        <v>1017</v>
      </c>
      <c r="I5" s="1436" t="s">
        <v>1018</v>
      </c>
    </row>
    <row r="6" spans="1:9" x14ac:dyDescent="0.3">
      <c r="A6" s="214" t="s">
        <v>1019</v>
      </c>
      <c r="B6" s="1516">
        <v>1287</v>
      </c>
      <c r="C6" s="1516">
        <v>18874</v>
      </c>
      <c r="D6" s="1516"/>
      <c r="E6" s="1516">
        <v>1287</v>
      </c>
      <c r="F6" s="1516">
        <v>14106</v>
      </c>
      <c r="G6" s="1516"/>
      <c r="H6" s="1516">
        <f>B6-E6</f>
        <v>0</v>
      </c>
      <c r="I6" s="1430">
        <f>C6-F6</f>
        <v>4768</v>
      </c>
    </row>
    <row r="7" spans="1:9" x14ac:dyDescent="0.3">
      <c r="A7" s="214" t="s">
        <v>2467</v>
      </c>
      <c r="B7" s="922">
        <v>35287</v>
      </c>
      <c r="C7" s="922">
        <v>73667</v>
      </c>
      <c r="D7" s="1516"/>
      <c r="E7" s="2464"/>
      <c r="F7" s="2464"/>
      <c r="G7" s="1516"/>
      <c r="H7" s="922">
        <f>B7-E7+0.000000000000001</f>
        <v>35287</v>
      </c>
      <c r="I7" s="923">
        <f t="shared" ref="I7:I15" si="0">C7-F7</f>
        <v>73667</v>
      </c>
    </row>
    <row r="8" spans="1:9" x14ac:dyDescent="0.3">
      <c r="A8" s="214" t="s">
        <v>2468</v>
      </c>
      <c r="B8" s="922">
        <v>12560</v>
      </c>
      <c r="C8" s="922">
        <v>33380</v>
      </c>
      <c r="D8" s="1516"/>
      <c r="E8" s="2464"/>
      <c r="F8" s="2464"/>
      <c r="G8" s="1516"/>
      <c r="H8" s="922">
        <f>B8-E8+0.000000000000001</f>
        <v>12560</v>
      </c>
      <c r="I8" s="923">
        <f t="shared" si="0"/>
        <v>33380</v>
      </c>
    </row>
    <row r="9" spans="1:9" x14ac:dyDescent="0.3">
      <c r="A9" s="214" t="s">
        <v>1012</v>
      </c>
      <c r="B9" s="922">
        <v>1299</v>
      </c>
      <c r="C9" s="922">
        <v>22140</v>
      </c>
      <c r="D9" s="922"/>
      <c r="E9" s="922">
        <v>1299</v>
      </c>
      <c r="F9" s="922">
        <v>16888</v>
      </c>
      <c r="G9" s="922"/>
      <c r="H9" s="922">
        <f>B9-E9+0.000000000000001</f>
        <v>1.0000000000000001E-15</v>
      </c>
      <c r="I9" s="923">
        <f t="shared" si="0"/>
        <v>5252</v>
      </c>
    </row>
    <row r="10" spans="1:9" x14ac:dyDescent="0.3">
      <c r="A10" s="214" t="s">
        <v>2471</v>
      </c>
      <c r="B10" s="922">
        <v>6556</v>
      </c>
      <c r="C10" s="922">
        <v>8372</v>
      </c>
      <c r="D10" s="922"/>
      <c r="E10" s="2464"/>
      <c r="F10" s="2464"/>
      <c r="G10" s="922"/>
      <c r="H10" s="922">
        <f>B10-E10+0.000000000000001</f>
        <v>6556</v>
      </c>
      <c r="I10" s="923">
        <f t="shared" si="0"/>
        <v>8372</v>
      </c>
    </row>
    <row r="11" spans="1:9" x14ac:dyDescent="0.3">
      <c r="A11" s="214" t="s">
        <v>2054</v>
      </c>
      <c r="B11" s="2464"/>
      <c r="C11" s="2464"/>
      <c r="D11" s="922"/>
      <c r="E11" s="922">
        <v>13157</v>
      </c>
      <c r="F11" s="922">
        <v>12349</v>
      </c>
      <c r="G11" s="922"/>
      <c r="H11" s="922">
        <f>B11-E11</f>
        <v>-13157</v>
      </c>
      <c r="I11" s="923">
        <f t="shared" si="0"/>
        <v>-12349</v>
      </c>
    </row>
    <row r="12" spans="1:9" x14ac:dyDescent="0.3">
      <c r="A12" s="214" t="s">
        <v>2472</v>
      </c>
      <c r="B12" s="922">
        <v>248</v>
      </c>
      <c r="C12" s="922">
        <v>5857</v>
      </c>
      <c r="D12" s="922"/>
      <c r="E12" s="922">
        <v>248</v>
      </c>
      <c r="F12" s="922">
        <v>2364</v>
      </c>
      <c r="G12" s="922"/>
      <c r="H12" s="922">
        <f>B12-E12</f>
        <v>0</v>
      </c>
      <c r="I12" s="923">
        <f t="shared" si="0"/>
        <v>3493</v>
      </c>
    </row>
    <row r="13" spans="1:9" x14ac:dyDescent="0.3">
      <c r="A13" s="214" t="s">
        <v>2474</v>
      </c>
      <c r="B13" s="922">
        <v>5709</v>
      </c>
      <c r="C13" s="922">
        <v>8864</v>
      </c>
      <c r="D13" s="922"/>
      <c r="E13" s="922">
        <v>3033</v>
      </c>
      <c r="F13" s="922">
        <v>4355</v>
      </c>
      <c r="G13" s="922"/>
      <c r="H13" s="922">
        <f>B13-E13</f>
        <v>2676</v>
      </c>
      <c r="I13" s="923">
        <f t="shared" si="0"/>
        <v>4509</v>
      </c>
    </row>
    <row r="14" spans="1:9" x14ac:dyDescent="0.3">
      <c r="A14" s="214" t="s">
        <v>1176</v>
      </c>
      <c r="B14" s="2464"/>
      <c r="C14" s="2464"/>
      <c r="D14" s="922"/>
      <c r="E14" s="922">
        <v>3798</v>
      </c>
      <c r="F14" s="922">
        <v>5815</v>
      </c>
      <c r="G14" s="922"/>
      <c r="H14" s="922">
        <f>B14-E14</f>
        <v>-3798</v>
      </c>
      <c r="I14" s="923">
        <f t="shared" si="0"/>
        <v>-5815</v>
      </c>
    </row>
    <row r="15" spans="1:9" x14ac:dyDescent="0.3">
      <c r="A15" s="214" t="s">
        <v>1014</v>
      </c>
      <c r="B15" s="922">
        <v>7040</v>
      </c>
      <c r="C15" s="922">
        <v>18598</v>
      </c>
      <c r="D15" s="922"/>
      <c r="E15" s="922">
        <v>11871</v>
      </c>
      <c r="F15" s="922">
        <v>26504</v>
      </c>
      <c r="G15" s="922"/>
      <c r="H15" s="922">
        <f>B15-E15</f>
        <v>-4831</v>
      </c>
      <c r="I15" s="923">
        <f t="shared" si="0"/>
        <v>-7906</v>
      </c>
    </row>
    <row r="16" spans="1:9" x14ac:dyDescent="0.3">
      <c r="A16" s="214" t="s">
        <v>2469</v>
      </c>
      <c r="B16" s="1232">
        <f>B17-SUM(B6:B15)</f>
        <v>40354</v>
      </c>
      <c r="C16" s="1232">
        <f>C17-SUM(C6:C15)</f>
        <v>58275</v>
      </c>
      <c r="D16" s="926"/>
      <c r="E16" s="1232">
        <f>E17-SUM(E6:E15)</f>
        <v>20363</v>
      </c>
      <c r="F16" s="1232">
        <f>F17-SUM(F6:F15)</f>
        <v>35089</v>
      </c>
      <c r="G16" s="926"/>
      <c r="H16" s="1232">
        <f>H17-SUM(H6:H15)</f>
        <v>19991</v>
      </c>
      <c r="I16" s="1241">
        <f>I17-SUM(I6:I15)</f>
        <v>23186</v>
      </c>
    </row>
    <row r="17" spans="1:12" x14ac:dyDescent="0.3">
      <c r="A17" s="214" t="s">
        <v>1016</v>
      </c>
      <c r="B17" s="1516">
        <v>110340</v>
      </c>
      <c r="C17" s="1516">
        <v>248027</v>
      </c>
      <c r="D17" s="1369"/>
      <c r="E17" s="1516">
        <v>55056</v>
      </c>
      <c r="F17" s="1516">
        <v>117470</v>
      </c>
      <c r="G17" s="1369"/>
      <c r="H17" s="1516">
        <f>B17-E17</f>
        <v>55284</v>
      </c>
      <c r="I17" s="1430">
        <f>C17-F17</f>
        <v>130557</v>
      </c>
      <c r="L17" s="211" t="s">
        <v>176</v>
      </c>
    </row>
    <row r="18" spans="1:12" ht="7.5" customHeight="1" x14ac:dyDescent="0.3">
      <c r="A18" s="214"/>
      <c r="B18" s="1516"/>
      <c r="C18" s="1516"/>
      <c r="D18" s="1369"/>
      <c r="E18" s="1516"/>
      <c r="F18" s="1516"/>
      <c r="G18" s="1369"/>
      <c r="H18" s="1516"/>
      <c r="I18" s="1430"/>
    </row>
    <row r="19" spans="1:12" x14ac:dyDescent="0.3">
      <c r="A19" s="214" t="s">
        <v>2473</v>
      </c>
      <c r="B19" s="1516"/>
      <c r="C19" s="1516"/>
      <c r="D19" s="1369"/>
      <c r="E19" s="1516"/>
      <c r="F19" s="1516"/>
      <c r="G19" s="1369"/>
      <c r="H19" s="1516"/>
      <c r="I19" s="1430"/>
    </row>
    <row r="20" spans="1:12" ht="4.5" customHeight="1" thickBot="1" x14ac:dyDescent="0.35">
      <c r="A20" s="224"/>
      <c r="B20" s="1432"/>
      <c r="C20" s="1432"/>
      <c r="D20" s="1433"/>
      <c r="E20" s="1432"/>
      <c r="F20" s="1432"/>
      <c r="G20" s="1433"/>
      <c r="H20" s="1432"/>
      <c r="I20" s="1434"/>
    </row>
    <row r="21" spans="1:12" x14ac:dyDescent="0.3">
      <c r="A21" s="12" t="s">
        <v>2475</v>
      </c>
    </row>
    <row r="23" spans="1:12" x14ac:dyDescent="0.3">
      <c r="A23" s="211" t="s">
        <v>2470</v>
      </c>
      <c r="C23" s="226">
        <f>C32/F17</f>
        <v>0.70100451179024437</v>
      </c>
      <c r="F23" s="226">
        <f>F32/C17</f>
        <v>0.67193894213130023</v>
      </c>
    </row>
    <row r="24" spans="1:12" x14ac:dyDescent="0.3">
      <c r="C24" s="226"/>
      <c r="F24" s="226"/>
    </row>
    <row r="25" spans="1:12" x14ac:dyDescent="0.3">
      <c r="C25" s="1913">
        <v>2014</v>
      </c>
      <c r="D25" s="884"/>
      <c r="E25" s="884"/>
      <c r="F25" s="1913">
        <v>2019</v>
      </c>
      <c r="G25" s="211">
        <v>2019</v>
      </c>
      <c r="H25" s="211" t="s">
        <v>2568</v>
      </c>
    </row>
    <row r="26" spans="1:12" x14ac:dyDescent="0.3">
      <c r="A26" s="211" t="s">
        <v>2572</v>
      </c>
      <c r="B26" s="226">
        <f t="shared" ref="B26:B31" si="1">C26/$F$17</f>
        <v>0.22562356346301182</v>
      </c>
      <c r="C26" s="1224">
        <f>F15</f>
        <v>26504</v>
      </c>
      <c r="E26" s="226">
        <f t="shared" ref="E26:E31" si="2">F26/$C$17</f>
        <v>7.498377192805622E-2</v>
      </c>
      <c r="F26" s="1224">
        <f>C15</f>
        <v>18598</v>
      </c>
      <c r="H26" s="226">
        <f>F26/C26-1</f>
        <v>-0.29829459704195593</v>
      </c>
    </row>
    <row r="27" spans="1:12" x14ac:dyDescent="0.3">
      <c r="A27" s="211" t="s">
        <v>2571</v>
      </c>
      <c r="B27" s="226">
        <f t="shared" si="1"/>
        <v>0.12008172299310463</v>
      </c>
      <c r="C27" s="1911">
        <f>F6</f>
        <v>14106</v>
      </c>
      <c r="E27" s="226">
        <f t="shared" si="2"/>
        <v>7.609655400420115E-2</v>
      </c>
      <c r="F27" s="1911">
        <f>C6</f>
        <v>18874</v>
      </c>
      <c r="H27" s="226">
        <f t="shared" ref="H27:H32" si="3">F27/C27-1</f>
        <v>0.33801219339288235</v>
      </c>
    </row>
    <row r="28" spans="1:12" x14ac:dyDescent="0.3">
      <c r="A28" s="211" t="s">
        <v>2570</v>
      </c>
      <c r="B28" s="226">
        <f t="shared" si="1"/>
        <v>0.14376436536988166</v>
      </c>
      <c r="C28" s="1224">
        <f>F9</f>
        <v>16888</v>
      </c>
      <c r="E28" s="226">
        <f t="shared" si="2"/>
        <v>8.9264475238582899E-2</v>
      </c>
      <c r="F28" s="1224">
        <f>C9</f>
        <v>22140</v>
      </c>
      <c r="H28" s="226">
        <f t="shared" si="3"/>
        <v>0.31099005210800579</v>
      </c>
      <c r="K28" s="211" t="s">
        <v>176</v>
      </c>
    </row>
    <row r="29" spans="1:12" x14ac:dyDescent="0.3">
      <c r="A29" s="211" t="s">
        <v>2569</v>
      </c>
      <c r="B29" s="226">
        <f t="shared" si="1"/>
        <v>0.10641014727164383</v>
      </c>
      <c r="C29" s="211">
        <f>12500</f>
        <v>12500</v>
      </c>
      <c r="E29" s="226">
        <f t="shared" si="2"/>
        <v>0.13458212210767376</v>
      </c>
      <c r="F29" s="1224">
        <f>C8</f>
        <v>33380</v>
      </c>
      <c r="H29" s="226">
        <f t="shared" si="3"/>
        <v>1.6703999999999999</v>
      </c>
    </row>
    <row r="30" spans="1:12" x14ac:dyDescent="0.3">
      <c r="A30" s="211" t="s">
        <v>2573</v>
      </c>
      <c r="B30" s="226">
        <f t="shared" si="1"/>
        <v>0</v>
      </c>
      <c r="C30" s="211">
        <f>0</f>
        <v>0</v>
      </c>
      <c r="E30" s="226">
        <f t="shared" si="2"/>
        <v>0.29701201885278616</v>
      </c>
      <c r="F30" s="1224">
        <f>C7</f>
        <v>73667</v>
      </c>
      <c r="H30" s="226" t="e">
        <f t="shared" si="3"/>
        <v>#DIV/0!</v>
      </c>
    </row>
    <row r="31" spans="1:12" x14ac:dyDescent="0.3">
      <c r="A31" s="211" t="s">
        <v>2567</v>
      </c>
      <c r="B31" s="226">
        <f t="shared" si="1"/>
        <v>0.10512471269260237</v>
      </c>
      <c r="C31" s="1224">
        <f>F11</f>
        <v>12349</v>
      </c>
      <c r="E31" s="226">
        <f t="shared" si="2"/>
        <v>0</v>
      </c>
      <c r="F31" s="1224">
        <f>0</f>
        <v>0</v>
      </c>
      <c r="H31" s="226">
        <f t="shared" si="3"/>
        <v>-1</v>
      </c>
    </row>
    <row r="32" spans="1:12" x14ac:dyDescent="0.3">
      <c r="A32" s="211" t="s">
        <v>2566</v>
      </c>
      <c r="C32" s="1912">
        <f>SUM(C26:C31)</f>
        <v>82347</v>
      </c>
      <c r="F32" s="1912">
        <f>SUM(F26:F31)</f>
        <v>166659</v>
      </c>
      <c r="H32" s="226">
        <f t="shared" si="3"/>
        <v>1.0238624357900106</v>
      </c>
    </row>
    <row r="34" spans="1:10" x14ac:dyDescent="0.3">
      <c r="C34" s="1224"/>
      <c r="J34" s="211" t="s">
        <v>176</v>
      </c>
    </row>
    <row r="35" spans="1:10" x14ac:dyDescent="0.3">
      <c r="A35" s="220"/>
      <c r="B35" s="220"/>
      <c r="C35" s="1369"/>
      <c r="E35" s="211" t="s">
        <v>176</v>
      </c>
    </row>
    <row r="36" spans="1:10" x14ac:dyDescent="0.3">
      <c r="A36" s="220" t="s">
        <v>2467</v>
      </c>
      <c r="B36" s="220"/>
      <c r="C36" s="1911">
        <v>0</v>
      </c>
      <c r="D36" s="1911"/>
      <c r="E36" s="1911"/>
      <c r="F36" s="1911">
        <f>C7</f>
        <v>73667</v>
      </c>
    </row>
    <row r="37" spans="1:10" x14ac:dyDescent="0.3">
      <c r="A37" s="211" t="s">
        <v>2567</v>
      </c>
      <c r="C37" s="1911">
        <v>12349</v>
      </c>
      <c r="D37" s="1911"/>
      <c r="E37" s="1911"/>
      <c r="F37" s="1911">
        <v>0</v>
      </c>
    </row>
    <row r="38" spans="1:10" x14ac:dyDescent="0.3">
      <c r="A38" s="220" t="s">
        <v>2468</v>
      </c>
      <c r="B38" s="220"/>
      <c r="C38" s="1911">
        <v>12500</v>
      </c>
      <c r="D38" s="1911"/>
      <c r="E38" s="1911"/>
      <c r="F38" s="1911">
        <f>C8</f>
        <v>33380</v>
      </c>
    </row>
    <row r="39" spans="1:10" x14ac:dyDescent="0.3">
      <c r="A39" s="220" t="s">
        <v>1019</v>
      </c>
      <c r="B39" s="220"/>
      <c r="C39" s="1911">
        <v>14106</v>
      </c>
      <c r="D39" s="1911"/>
      <c r="E39" s="1911"/>
      <c r="F39" s="1911">
        <f>C6</f>
        <v>18874</v>
      </c>
    </row>
    <row r="40" spans="1:10" x14ac:dyDescent="0.3">
      <c r="A40" s="220" t="s">
        <v>1012</v>
      </c>
      <c r="B40" s="220"/>
      <c r="C40" s="1911">
        <v>16888</v>
      </c>
      <c r="D40" s="1911"/>
      <c r="E40" s="1911"/>
      <c r="F40" s="1911">
        <f>C9</f>
        <v>22140</v>
      </c>
    </row>
    <row r="41" spans="1:10" x14ac:dyDescent="0.3">
      <c r="A41" s="220" t="s">
        <v>1014</v>
      </c>
      <c r="B41" s="220"/>
      <c r="C41" s="1911">
        <v>26504</v>
      </c>
      <c r="D41" s="1911"/>
      <c r="E41" s="1911"/>
      <c r="F41" s="1911">
        <f>C15</f>
        <v>18598</v>
      </c>
    </row>
    <row r="42" spans="1:10" x14ac:dyDescent="0.3">
      <c r="A42" s="211" t="s">
        <v>2469</v>
      </c>
      <c r="C42" s="1911">
        <f>F17-SUM(C37:C41)</f>
        <v>35123</v>
      </c>
      <c r="D42" s="1911"/>
      <c r="E42" s="1911"/>
      <c r="F42" s="1911">
        <f>C17-SUM(F36:F41)</f>
        <v>81368</v>
      </c>
    </row>
    <row r="43" spans="1:10" x14ac:dyDescent="0.3">
      <c r="A43" s="211" t="s">
        <v>2566</v>
      </c>
      <c r="C43" s="1912">
        <f>SUM(C36:C42)</f>
        <v>117470</v>
      </c>
      <c r="D43" s="1911"/>
      <c r="E43" s="1911"/>
      <c r="F43" s="1912">
        <f>SUM(F36:F42)</f>
        <v>248027</v>
      </c>
    </row>
  </sheetData>
  <sortState xmlns:xlrd2="http://schemas.microsoft.com/office/spreadsheetml/2017/richdata2" ref="A36:C41">
    <sortCondition ref="C36:C41"/>
  </sortState>
  <mergeCells count="3">
    <mergeCell ref="E4:F4"/>
    <mergeCell ref="B4:C4"/>
    <mergeCell ref="H4:I4"/>
  </mergeCells>
  <pageMargins left="0.7" right="0.7" top="0.75" bottom="0.75" header="0.3" footer="0.3"/>
  <pageSetup orientation="portrait" r:id="rId1"/>
  <ignoredErrors>
    <ignoredError sqref="H16:I16" formula="1"/>
  </ignoredErrors>
  <drawing r:id="rId2"/>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B4A6F-FC00-4414-9D00-DF5CCB726F86}">
  <sheetPr>
    <tabColor theme="4"/>
  </sheetPr>
  <dimension ref="A1:S81"/>
  <sheetViews>
    <sheetView showGridLines="0" zoomScale="70" zoomScaleNormal="70" workbookViewId="0">
      <pane xSplit="1" ySplit="6" topLeftCell="B7" activePane="bottomRight" state="frozen"/>
      <selection pane="topRight" activeCell="B1" sqref="B1"/>
      <selection pane="bottomLeft" activeCell="A7" sqref="A7"/>
      <selection pane="bottomRight" activeCell="I32" sqref="I32"/>
    </sheetView>
  </sheetViews>
  <sheetFormatPr defaultColWidth="9.109375" defaultRowHeight="15.6" outlineLevelRow="1" outlineLevelCol="1" x14ac:dyDescent="0.3"/>
  <cols>
    <col min="1" max="1" width="52.88671875" style="211" customWidth="1"/>
    <col min="2" max="7" width="16" style="211" customWidth="1"/>
    <col min="8" max="11" width="15.6640625" style="211" customWidth="1" outlineLevel="1"/>
    <col min="12" max="12" width="14" style="211" customWidth="1" outlineLevel="1"/>
    <col min="13" max="15" width="12.6640625" style="211" customWidth="1" outlineLevel="1"/>
    <col min="16" max="17" width="11.5546875" style="211" customWidth="1" outlineLevel="1"/>
    <col min="18" max="19" width="9.109375" style="211" customWidth="1" outlineLevel="1"/>
    <col min="20" max="16384" width="9.109375" style="211"/>
  </cols>
  <sheetData>
    <row r="1" spans="1:17" s="976" customFormat="1" outlineLevel="1" x14ac:dyDescent="0.3">
      <c r="A1" s="976" t="s">
        <v>708</v>
      </c>
      <c r="B1" s="976">
        <v>2019</v>
      </c>
      <c r="C1" s="976">
        <v>2018</v>
      </c>
      <c r="D1" s="976">
        <v>2017</v>
      </c>
      <c r="E1" s="976">
        <v>2016</v>
      </c>
      <c r="F1" s="976">
        <v>2015</v>
      </c>
      <c r="G1" s="976">
        <v>2014</v>
      </c>
      <c r="H1" s="976">
        <v>2013</v>
      </c>
      <c r="I1" s="976">
        <v>2012</v>
      </c>
      <c r="J1" s="976">
        <v>2011</v>
      </c>
      <c r="K1" s="976">
        <v>2010</v>
      </c>
      <c r="L1" s="976">
        <v>2009</v>
      </c>
      <c r="M1" s="976">
        <v>2008</v>
      </c>
      <c r="N1" s="976">
        <v>2007</v>
      </c>
      <c r="O1" s="976">
        <v>2006</v>
      </c>
      <c r="P1" s="976">
        <v>2005</v>
      </c>
      <c r="Q1" s="976">
        <v>2004</v>
      </c>
    </row>
    <row r="2" spans="1:17" x14ac:dyDescent="0.3">
      <c r="A2" s="459" t="s">
        <v>2240</v>
      </c>
      <c r="B2" s="459"/>
      <c r="C2" s="459"/>
      <c r="D2" s="459"/>
      <c r="E2" s="459"/>
      <c r="F2" s="459"/>
      <c r="G2" s="499"/>
      <c r="H2" s="499"/>
      <c r="I2" s="499"/>
      <c r="J2" s="499"/>
      <c r="K2" s="499"/>
      <c r="L2" s="499"/>
      <c r="M2" s="499"/>
      <c r="N2" s="499"/>
      <c r="O2" s="499"/>
      <c r="P2" s="499"/>
    </row>
    <row r="3" spans="1:17" x14ac:dyDescent="0.3">
      <c r="A3" s="441" t="s">
        <v>1797</v>
      </c>
      <c r="B3" s="441"/>
      <c r="C3" s="441"/>
      <c r="D3" s="441"/>
      <c r="E3" s="441"/>
      <c r="F3" s="441"/>
      <c r="G3" s="441"/>
      <c r="H3" s="441"/>
      <c r="I3" s="441"/>
      <c r="J3" s="441"/>
      <c r="K3" s="441"/>
      <c r="L3" s="441"/>
      <c r="M3" s="441"/>
      <c r="N3" s="441"/>
      <c r="O3" s="441"/>
      <c r="P3" s="441"/>
    </row>
    <row r="4" spans="1:17" ht="9" customHeight="1" thickBot="1" x14ac:dyDescent="0.35"/>
    <row r="5" spans="1:17" x14ac:dyDescent="0.3">
      <c r="A5" s="212" t="s">
        <v>1250</v>
      </c>
      <c r="B5" s="1460">
        <v>2019</v>
      </c>
      <c r="C5" s="1460">
        <v>2018</v>
      </c>
      <c r="D5" s="1460">
        <v>2017</v>
      </c>
      <c r="E5" s="1460">
        <v>2016</v>
      </c>
      <c r="F5" s="1460">
        <v>2015</v>
      </c>
      <c r="G5" s="1461">
        <v>2014</v>
      </c>
      <c r="H5" s="1460">
        <v>2013</v>
      </c>
      <c r="I5" s="1460">
        <v>2012</v>
      </c>
      <c r="J5" s="1460">
        <v>2011</v>
      </c>
      <c r="K5" s="1460">
        <v>2010</v>
      </c>
      <c r="L5" s="1460">
        <v>2009</v>
      </c>
      <c r="M5" s="1460">
        <v>2008</v>
      </c>
      <c r="N5" s="1460">
        <v>2007</v>
      </c>
      <c r="O5" s="1460">
        <v>2006</v>
      </c>
      <c r="P5" s="1460">
        <f t="shared" ref="P5" si="0">Q5+1</f>
        <v>2005</v>
      </c>
      <c r="Q5" s="1461">
        <v>2004</v>
      </c>
    </row>
    <row r="6" spans="1:17" ht="15.9" customHeight="1" x14ac:dyDescent="0.3">
      <c r="A6" s="214" t="s">
        <v>1372</v>
      </c>
      <c r="B6" s="1462">
        <f t="shared" ref="B6:P6" si="1">C15</f>
        <v>348703</v>
      </c>
      <c r="C6" s="1462">
        <f t="shared" si="1"/>
        <v>348296</v>
      </c>
      <c r="D6" s="1462">
        <f t="shared" si="1"/>
        <v>283001</v>
      </c>
      <c r="E6" s="1462">
        <f t="shared" si="1"/>
        <v>255550</v>
      </c>
      <c r="F6" s="1462">
        <f t="shared" si="1"/>
        <v>240170</v>
      </c>
      <c r="G6" s="1463">
        <f t="shared" si="1"/>
        <v>221890</v>
      </c>
      <c r="H6" s="1462">
        <f t="shared" si="1"/>
        <v>187647</v>
      </c>
      <c r="I6" s="1462">
        <f t="shared" si="1"/>
        <v>164850</v>
      </c>
      <c r="J6" s="1462">
        <f t="shared" si="1"/>
        <v>157318</v>
      </c>
      <c r="K6" s="1462">
        <f t="shared" si="1"/>
        <v>131102</v>
      </c>
      <c r="L6" s="1462">
        <f t="shared" si="1"/>
        <v>109267</v>
      </c>
      <c r="M6" s="1462">
        <f t="shared" si="1"/>
        <v>120733</v>
      </c>
      <c r="N6" s="1462">
        <f t="shared" si="1"/>
        <v>108419</v>
      </c>
      <c r="O6" s="1462">
        <f t="shared" si="1"/>
        <v>91484</v>
      </c>
      <c r="P6" s="1462">
        <f t="shared" si="1"/>
        <v>85900</v>
      </c>
      <c r="Q6" s="1463">
        <v>77596</v>
      </c>
    </row>
    <row r="7" spans="1:17" ht="18.600000000000001" x14ac:dyDescent="0.3">
      <c r="A7" s="214" t="s">
        <v>2394</v>
      </c>
      <c r="B7" s="922">
        <v>81417</v>
      </c>
      <c r="C7" s="922">
        <v>4021</v>
      </c>
      <c r="D7" s="922">
        <v>44940</v>
      </c>
      <c r="E7" s="922">
        <v>24074</v>
      </c>
      <c r="F7" s="922">
        <v>24083</v>
      </c>
      <c r="G7" s="923">
        <v>19872</v>
      </c>
      <c r="H7" s="922">
        <v>19476</v>
      </c>
      <c r="I7" s="922">
        <v>14824</v>
      </c>
      <c r="J7" s="922">
        <v>10254</v>
      </c>
      <c r="K7" s="922">
        <v>12967</v>
      </c>
      <c r="L7" s="922">
        <v>8055</v>
      </c>
      <c r="M7" s="922">
        <v>4994</v>
      </c>
      <c r="N7" s="922">
        <v>13213</v>
      </c>
      <c r="O7" s="922">
        <v>11015</v>
      </c>
      <c r="P7" s="922">
        <v>8528</v>
      </c>
      <c r="Q7" s="923">
        <v>7308</v>
      </c>
    </row>
    <row r="8" spans="1:17" ht="18.600000000000001" x14ac:dyDescent="0.3">
      <c r="A8" s="214" t="s">
        <v>2395</v>
      </c>
      <c r="B8" s="922">
        <v>21</v>
      </c>
      <c r="C8" s="922">
        <v>59</v>
      </c>
      <c r="D8" s="922">
        <v>76</v>
      </c>
      <c r="E8" s="922">
        <v>119</v>
      </c>
      <c r="F8" s="922">
        <v>53</v>
      </c>
      <c r="G8" s="923">
        <v>118</v>
      </c>
      <c r="H8" s="1157">
        <v>92</v>
      </c>
      <c r="I8" s="922">
        <v>118</v>
      </c>
      <c r="J8" s="922">
        <v>355</v>
      </c>
      <c r="K8" s="922">
        <v>11096</v>
      </c>
      <c r="L8" s="922">
        <v>172</v>
      </c>
      <c r="M8" s="922">
        <v>181</v>
      </c>
      <c r="N8" s="922">
        <v>430</v>
      </c>
      <c r="O8" s="922">
        <v>123</v>
      </c>
      <c r="P8" s="922">
        <v>131</v>
      </c>
      <c r="Q8" s="923">
        <v>117</v>
      </c>
    </row>
    <row r="9" spans="1:17" ht="18.600000000000001" x14ac:dyDescent="0.3">
      <c r="A9" s="214" t="s">
        <v>2396</v>
      </c>
      <c r="B9" s="922">
        <v>-5016</v>
      </c>
      <c r="C9" s="922">
        <v>-1346</v>
      </c>
      <c r="D9" s="922">
        <v>0</v>
      </c>
      <c r="E9" s="922">
        <v>0</v>
      </c>
      <c r="F9" s="922">
        <v>0</v>
      </c>
      <c r="G9" s="923">
        <v>-400</v>
      </c>
      <c r="H9" s="1157">
        <v>0</v>
      </c>
      <c r="I9" s="922">
        <v>-1296</v>
      </c>
      <c r="J9" s="922">
        <v>-67</v>
      </c>
      <c r="K9" s="922">
        <v>0</v>
      </c>
      <c r="L9" s="922">
        <v>0</v>
      </c>
      <c r="M9" s="922">
        <v>0</v>
      </c>
      <c r="N9" s="922">
        <v>0</v>
      </c>
      <c r="O9" s="922">
        <v>0</v>
      </c>
      <c r="P9" s="922">
        <v>0</v>
      </c>
      <c r="Q9" s="923">
        <v>0</v>
      </c>
    </row>
    <row r="10" spans="1:17" ht="18.600000000000001" x14ac:dyDescent="0.3">
      <c r="A10" s="214" t="s">
        <v>2398</v>
      </c>
      <c r="B10" s="922">
        <v>-70</v>
      </c>
      <c r="C10" s="922">
        <v>-46</v>
      </c>
      <c r="D10" s="922">
        <v>-63</v>
      </c>
      <c r="E10" s="922">
        <v>-58</v>
      </c>
      <c r="F10" s="922">
        <v>-6</v>
      </c>
      <c r="G10" s="923">
        <v>-17</v>
      </c>
      <c r="H10" s="1157">
        <f>-1850-21</f>
        <v>-1871</v>
      </c>
      <c r="I10" s="922">
        <v>-695</v>
      </c>
      <c r="J10" s="922">
        <v>-5</v>
      </c>
      <c r="K10" s="922">
        <v>-636</v>
      </c>
      <c r="L10" s="922">
        <v>-121</v>
      </c>
      <c r="M10" s="922">
        <v>0</v>
      </c>
      <c r="N10" s="922">
        <v>0</v>
      </c>
      <c r="O10" s="922">
        <v>0</v>
      </c>
      <c r="P10" s="922">
        <v>0</v>
      </c>
      <c r="Q10" s="923">
        <v>0</v>
      </c>
    </row>
    <row r="11" spans="1:17" hidden="1" outlineLevel="1" x14ac:dyDescent="0.3">
      <c r="A11" s="214" t="s">
        <v>2400</v>
      </c>
      <c r="B11" s="922">
        <v>0</v>
      </c>
      <c r="C11" s="922">
        <v>0</v>
      </c>
      <c r="D11" s="922">
        <v>0</v>
      </c>
      <c r="E11" s="922">
        <v>0</v>
      </c>
      <c r="F11" s="922">
        <v>0</v>
      </c>
      <c r="G11" s="923">
        <v>0</v>
      </c>
      <c r="H11" s="1157">
        <v>0</v>
      </c>
      <c r="I11" s="922">
        <v>0</v>
      </c>
      <c r="J11" s="922">
        <v>0</v>
      </c>
      <c r="K11" s="922">
        <v>0</v>
      </c>
      <c r="L11" s="922">
        <v>0</v>
      </c>
      <c r="M11" s="922">
        <f>1025-399</f>
        <v>626</v>
      </c>
      <c r="N11" s="922">
        <v>0</v>
      </c>
      <c r="O11" s="922">
        <v>0</v>
      </c>
      <c r="P11" s="922">
        <v>0</v>
      </c>
      <c r="Q11" s="923">
        <v>0</v>
      </c>
    </row>
    <row r="12" spans="1:17" ht="18.600000000000001" collapsed="1" x14ac:dyDescent="0.3">
      <c r="A12" s="214" t="s">
        <v>2392</v>
      </c>
      <c r="B12" s="922">
        <v>0</v>
      </c>
      <c r="C12" s="922">
        <v>-70</v>
      </c>
      <c r="D12" s="922">
        <v>-931</v>
      </c>
      <c r="E12" s="922">
        <v>0</v>
      </c>
      <c r="F12" s="922">
        <v>0</v>
      </c>
      <c r="G12" s="923">
        <v>0</v>
      </c>
      <c r="H12" s="922">
        <v>0</v>
      </c>
      <c r="I12" s="922">
        <v>0</v>
      </c>
      <c r="J12" s="922">
        <v>0</v>
      </c>
      <c r="K12" s="922">
        <v>0</v>
      </c>
      <c r="L12" s="922">
        <v>0</v>
      </c>
      <c r="M12" s="922">
        <v>0</v>
      </c>
      <c r="N12" s="922">
        <v>28</v>
      </c>
      <c r="O12" s="922">
        <v>180</v>
      </c>
      <c r="P12" s="922">
        <v>0</v>
      </c>
      <c r="Q12" s="923">
        <v>0</v>
      </c>
    </row>
    <row r="13" spans="1:17" ht="15.9" customHeight="1" x14ac:dyDescent="0.3">
      <c r="A13" s="282" t="s">
        <v>338</v>
      </c>
      <c r="B13" s="922">
        <f>204-44-62+13</f>
        <v>111</v>
      </c>
      <c r="C13" s="922">
        <f>-185+31-253+53</f>
        <v>-354</v>
      </c>
      <c r="D13" s="922">
        <f>30450-10566-1399+490</f>
        <v>18975</v>
      </c>
      <c r="E13" s="922">
        <f>13858-4846-6820+2387</f>
        <v>4579</v>
      </c>
      <c r="F13" s="922">
        <f>-8520+3014-2332+816</f>
        <v>-7022</v>
      </c>
      <c r="G13" s="923">
        <f>5831-2062-3360+1176</f>
        <v>1585</v>
      </c>
      <c r="H13" s="1157">
        <f>25111-8691-2447+856</f>
        <v>14829</v>
      </c>
      <c r="I13" s="922">
        <f>15700-5434-953+334</f>
        <v>9647</v>
      </c>
      <c r="J13" s="922">
        <f>-2146+811-1245+436</f>
        <v>-2144</v>
      </c>
      <c r="K13" s="922">
        <f>5398-1866-1068+374</f>
        <v>2838</v>
      </c>
      <c r="L13" s="922">
        <f>17607-6263+2768-969</f>
        <v>13143</v>
      </c>
      <c r="M13" s="922">
        <f>-23342+8257+895-313</f>
        <v>-14503</v>
      </c>
      <c r="N13" s="922">
        <f>2523-872-5494+1923</f>
        <v>-1920</v>
      </c>
      <c r="O13" s="922">
        <f>9278-3246-1646+576</f>
        <v>4962</v>
      </c>
      <c r="P13" s="922">
        <f>2081-728-6261+2191</f>
        <v>-2717</v>
      </c>
      <c r="Q13" s="923">
        <f>2599-905-1569+549</f>
        <v>674</v>
      </c>
    </row>
    <row r="14" spans="1:17" ht="15.9" customHeight="1" x14ac:dyDescent="0.3">
      <c r="A14" s="282" t="s">
        <v>2391</v>
      </c>
      <c r="B14" s="922">
        <f>323-28-711+155-48-36-30</f>
        <v>-375</v>
      </c>
      <c r="C14" s="922">
        <f>-1531+62-571+143-12+52</f>
        <v>-1857</v>
      </c>
      <c r="D14" s="922">
        <f>2364-95+225-45-9-142</f>
        <v>2298</v>
      </c>
      <c r="E14" s="922">
        <f>-1541+66+354-187-17+62</f>
        <v>-1263</v>
      </c>
      <c r="F14" s="922">
        <f>-1931-43+424-140-94+56</f>
        <v>-1728</v>
      </c>
      <c r="G14" s="923">
        <f>-2032+183-1703+624+8+42</f>
        <v>-2878</v>
      </c>
      <c r="H14" s="922">
        <f>-82+34+2602-950+138-25</f>
        <v>1717</v>
      </c>
      <c r="I14" s="922">
        <f>276-9+5-26-32-15</f>
        <v>199</v>
      </c>
      <c r="J14" s="922">
        <f>-126-18-1121+401+3</f>
        <v>-861</v>
      </c>
      <c r="K14" s="922">
        <f>-172-21-76+25+195</f>
        <v>-49</v>
      </c>
      <c r="L14" s="922">
        <f>851-17-41-1-206</f>
        <v>586</v>
      </c>
      <c r="M14" s="922">
        <f>-2140+118-1071+389-60</f>
        <v>-2764</v>
      </c>
      <c r="N14" s="922">
        <f>456-26+257-102-22</f>
        <v>563</v>
      </c>
      <c r="O14" s="922">
        <f>603+1+563-196-13-303</f>
        <v>655</v>
      </c>
      <c r="P14" s="922">
        <f>-359-26-62+38+51</f>
        <v>-358</v>
      </c>
      <c r="Q14" s="923">
        <f>140+134-38+3-34</f>
        <v>205</v>
      </c>
    </row>
    <row r="15" spans="1:17" ht="15.9" customHeight="1" thickBot="1" x14ac:dyDescent="0.35">
      <c r="A15" s="214" t="s">
        <v>1456</v>
      </c>
      <c r="B15" s="1467">
        <f t="shared" ref="B15:G15" si="2">SUM(B6:B14)</f>
        <v>424791</v>
      </c>
      <c r="C15" s="1467">
        <f t="shared" si="2"/>
        <v>348703</v>
      </c>
      <c r="D15" s="1467">
        <f t="shared" si="2"/>
        <v>348296</v>
      </c>
      <c r="E15" s="1467">
        <f t="shared" si="2"/>
        <v>283001</v>
      </c>
      <c r="F15" s="1467">
        <f t="shared" si="2"/>
        <v>255550</v>
      </c>
      <c r="G15" s="1468">
        <f t="shared" si="2"/>
        <v>240170</v>
      </c>
      <c r="H15" s="1467">
        <f t="shared" ref="H15:Q15" si="3">SUM(H6:H14)</f>
        <v>221890</v>
      </c>
      <c r="I15" s="1467">
        <f t="shared" si="3"/>
        <v>187647</v>
      </c>
      <c r="J15" s="1467">
        <f t="shared" si="3"/>
        <v>164850</v>
      </c>
      <c r="K15" s="1467">
        <f t="shared" si="3"/>
        <v>157318</v>
      </c>
      <c r="L15" s="1467">
        <f t="shared" si="3"/>
        <v>131102</v>
      </c>
      <c r="M15" s="1467">
        <f t="shared" si="3"/>
        <v>109267</v>
      </c>
      <c r="N15" s="1467">
        <f t="shared" si="3"/>
        <v>120733</v>
      </c>
      <c r="O15" s="1467">
        <f t="shared" si="3"/>
        <v>108419</v>
      </c>
      <c r="P15" s="1467">
        <f t="shared" si="3"/>
        <v>91484</v>
      </c>
      <c r="Q15" s="1468">
        <f t="shared" si="3"/>
        <v>85900</v>
      </c>
    </row>
    <row r="16" spans="1:17" ht="15.9" customHeight="1" thickTop="1" x14ac:dyDescent="0.3">
      <c r="A16" s="214"/>
      <c r="B16" s="1458"/>
      <c r="C16" s="1458"/>
      <c r="D16" s="1458"/>
      <c r="E16" s="1458"/>
      <c r="F16" s="1458"/>
      <c r="G16" s="1451"/>
      <c r="H16" s="1458"/>
      <c r="I16" s="1458"/>
      <c r="J16" s="1458"/>
      <c r="K16" s="1458"/>
      <c r="L16" s="1458"/>
      <c r="M16" s="1458"/>
      <c r="N16" s="1458"/>
      <c r="O16" s="1458"/>
      <c r="P16" s="1458"/>
      <c r="Q16" s="1451"/>
    </row>
    <row r="17" spans="1:19" ht="15.9" customHeight="1" x14ac:dyDescent="0.3">
      <c r="A17" s="214" t="s">
        <v>895</v>
      </c>
      <c r="B17" s="1458"/>
      <c r="C17" s="1458"/>
      <c r="D17" s="1458"/>
      <c r="E17" s="1458"/>
      <c r="F17" s="1458"/>
      <c r="G17" s="1451"/>
      <c r="H17" s="1458"/>
      <c r="I17" s="1458"/>
      <c r="J17" s="1458"/>
      <c r="K17" s="1458"/>
      <c r="L17" s="1458"/>
      <c r="M17" s="1458"/>
      <c r="N17" s="1458"/>
      <c r="O17" s="1458"/>
      <c r="P17" s="1458"/>
      <c r="Q17" s="1451"/>
    </row>
    <row r="18" spans="1:19" ht="15.9" customHeight="1" x14ac:dyDescent="0.3">
      <c r="A18" s="214" t="s">
        <v>896</v>
      </c>
      <c r="B18" s="215">
        <v>701970</v>
      </c>
      <c r="C18" s="215">
        <v>729316</v>
      </c>
      <c r="D18" s="215">
        <v>751075</v>
      </c>
      <c r="E18" s="215">
        <v>776378</v>
      </c>
      <c r="F18" s="215">
        <v>808422</v>
      </c>
      <c r="G18" s="260">
        <v>826339</v>
      </c>
      <c r="H18" s="215">
        <v>859043</v>
      </c>
      <c r="I18" s="215">
        <v>894955</v>
      </c>
      <c r="J18" s="215">
        <v>938244</v>
      </c>
      <c r="K18" s="215">
        <v>947460</v>
      </c>
      <c r="L18" s="215">
        <v>1055281</v>
      </c>
      <c r="M18" s="215">
        <v>1059001</v>
      </c>
      <c r="N18" s="215">
        <v>1081024</v>
      </c>
      <c r="O18" s="215">
        <v>1117568</v>
      </c>
      <c r="P18" s="215">
        <v>1260920</v>
      </c>
      <c r="Q18" s="260">
        <v>1268783</v>
      </c>
    </row>
    <row r="19" spans="1:19" ht="15.9" customHeight="1" x14ac:dyDescent="0.3">
      <c r="A19" s="214" t="s">
        <v>897</v>
      </c>
      <c r="B19" s="215">
        <v>1384481533</v>
      </c>
      <c r="C19" s="215">
        <v>1367420074</v>
      </c>
      <c r="D19" s="215">
        <v>1340656987</v>
      </c>
      <c r="E19" s="215">
        <v>1301914165</v>
      </c>
      <c r="F19" s="215">
        <v>1252456836</v>
      </c>
      <c r="G19" s="260">
        <v>1224855488</v>
      </c>
      <c r="H19" s="215">
        <v>1177366608</v>
      </c>
      <c r="I19" s="215">
        <v>1121985472</v>
      </c>
      <c r="J19" s="215">
        <v>1068843376</v>
      </c>
      <c r="K19" s="215">
        <v>1050990468</v>
      </c>
      <c r="L19" s="215">
        <v>744701300</v>
      </c>
      <c r="M19" s="215">
        <v>14706996</v>
      </c>
      <c r="N19" s="215">
        <v>14000080</v>
      </c>
      <c r="O19" s="215">
        <v>12752431</v>
      </c>
      <c r="P19" s="215">
        <v>8394083</v>
      </c>
      <c r="Q19" s="260">
        <v>8099175</v>
      </c>
    </row>
    <row r="20" spans="1:19" ht="15.9" customHeight="1" x14ac:dyDescent="0.3">
      <c r="A20" s="214" t="s">
        <v>898</v>
      </c>
      <c r="B20" s="472">
        <f>B18+(B19/1500)</f>
        <v>1624957.6886666666</v>
      </c>
      <c r="C20" s="472">
        <f>C18+(C19/1500)</f>
        <v>1640929.3826666665</v>
      </c>
      <c r="D20" s="472">
        <f>D18+(D19/1500)</f>
        <v>1644846.3246666668</v>
      </c>
      <c r="E20" s="472">
        <f>E18+(E19/1500)</f>
        <v>1644320.7766666666</v>
      </c>
      <c r="F20" s="472">
        <f t="shared" ref="F20:K20" si="4">F18+(F19/1500)</f>
        <v>1643393.2239999999</v>
      </c>
      <c r="G20" s="404">
        <f t="shared" si="4"/>
        <v>1642909.3253333333</v>
      </c>
      <c r="H20" s="472">
        <f t="shared" si="4"/>
        <v>1643954.0720000002</v>
      </c>
      <c r="I20" s="472">
        <f t="shared" si="4"/>
        <v>1642945.3146666666</v>
      </c>
      <c r="J20" s="472">
        <f t="shared" si="4"/>
        <v>1650806.2506666668</v>
      </c>
      <c r="K20" s="472">
        <f t="shared" si="4"/>
        <v>1648120.3119999999</v>
      </c>
      <c r="L20" s="472">
        <f>L18+(L19/1500)</f>
        <v>1551748.5333333332</v>
      </c>
      <c r="M20" s="472">
        <f t="shared" ref="M20" si="5">M18+(M19/30)</f>
        <v>1549234.2</v>
      </c>
      <c r="N20" s="472">
        <f>N18+(N19/30)</f>
        <v>1547693.3333333333</v>
      </c>
      <c r="O20" s="472">
        <f>O18+(O19/30)</f>
        <v>1542649.0333333332</v>
      </c>
      <c r="P20" s="472">
        <f>P18+(P19/30)</f>
        <v>1540722.7666666666</v>
      </c>
      <c r="Q20" s="404">
        <f>Q18+(Q19/30)</f>
        <v>1538755.5</v>
      </c>
      <c r="S20" s="1656">
        <f>G20/Q20-1</f>
        <v>6.7687053162983624E-2</v>
      </c>
    </row>
    <row r="21" spans="1:19" ht="6.9" customHeight="1" x14ac:dyDescent="0.3">
      <c r="A21" s="214"/>
      <c r="B21" s="220"/>
      <c r="C21" s="220"/>
      <c r="D21" s="220"/>
      <c r="E21" s="220"/>
      <c r="F21" s="220"/>
      <c r="G21" s="223"/>
      <c r="H21" s="220"/>
      <c r="I21" s="220"/>
      <c r="J21" s="220"/>
      <c r="K21" s="220"/>
      <c r="L21" s="220"/>
      <c r="M21" s="220"/>
      <c r="N21" s="220"/>
      <c r="O21" s="220"/>
      <c r="P21" s="220"/>
      <c r="Q21" s="223"/>
    </row>
    <row r="22" spans="1:19" ht="7.5" customHeight="1" x14ac:dyDescent="0.3">
      <c r="A22" s="214"/>
      <c r="B22" s="220"/>
      <c r="C22" s="220"/>
      <c r="D22" s="220"/>
      <c r="E22" s="220"/>
      <c r="F22" s="220"/>
      <c r="G22" s="223"/>
      <c r="H22" s="220"/>
      <c r="I22" s="220"/>
      <c r="J22" s="220"/>
      <c r="K22" s="220"/>
      <c r="L22" s="220"/>
      <c r="M22" s="220"/>
      <c r="N22" s="220"/>
      <c r="O22" s="220"/>
      <c r="P22" s="220"/>
      <c r="Q22" s="223"/>
      <c r="R22" s="211" t="s">
        <v>176</v>
      </c>
    </row>
    <row r="23" spans="1:19" s="345" customFormat="1" hidden="1" outlineLevel="1" x14ac:dyDescent="0.3">
      <c r="A23" s="342" t="s">
        <v>20</v>
      </c>
      <c r="B23" s="1003"/>
      <c r="C23" s="1003"/>
      <c r="D23" s="1003"/>
      <c r="E23" s="1003"/>
      <c r="F23" s="1003"/>
      <c r="G23" s="1004"/>
      <c r="H23" s="1003"/>
      <c r="I23" s="1003"/>
      <c r="J23" s="1003"/>
      <c r="K23" s="1003"/>
      <c r="L23" s="1003"/>
      <c r="M23" s="1003"/>
      <c r="N23" s="1003"/>
      <c r="O23" s="1003"/>
      <c r="P23" s="1003"/>
      <c r="Q23" s="1004"/>
    </row>
    <row r="24" spans="1:19" s="345" customFormat="1" hidden="1" outlineLevel="1" x14ac:dyDescent="0.3">
      <c r="A24" s="342" t="s">
        <v>711</v>
      </c>
      <c r="B24" s="1003"/>
      <c r="C24" s="1003"/>
      <c r="D24" s="1003"/>
      <c r="E24" s="1003"/>
      <c r="F24" s="1003"/>
      <c r="G24" s="1004"/>
      <c r="H24" s="1003"/>
      <c r="I24" s="1003"/>
      <c r="J24" s="1003"/>
      <c r="K24" s="1003"/>
      <c r="L24" s="1003"/>
      <c r="M24" s="1003"/>
      <c r="N24" s="1003"/>
      <c r="O24" s="1003"/>
      <c r="P24" s="1003"/>
      <c r="Q24" s="1452">
        <v>85900</v>
      </c>
    </row>
    <row r="25" spans="1:19" s="345" customFormat="1" hidden="1" outlineLevel="1" x14ac:dyDescent="0.3">
      <c r="A25" s="342" t="s">
        <v>475</v>
      </c>
      <c r="B25" s="1003"/>
      <c r="C25" s="1003"/>
      <c r="D25" s="1003"/>
      <c r="E25" s="1003"/>
      <c r="F25" s="1003"/>
      <c r="G25" s="1004"/>
      <c r="H25" s="1003"/>
      <c r="I25" s="1003"/>
      <c r="J25" s="1003"/>
      <c r="K25" s="1003"/>
      <c r="L25" s="1003"/>
      <c r="M25" s="1003"/>
      <c r="N25" s="1003"/>
      <c r="O25" s="1003"/>
      <c r="P25" s="1003"/>
      <c r="Q25" s="1452">
        <f t="shared" ref="Q25" si="6">Q15-Q24</f>
        <v>0</v>
      </c>
    </row>
    <row r="26" spans="1:19" ht="5.25" customHeight="1" collapsed="1" x14ac:dyDescent="0.3">
      <c r="A26" s="1469"/>
      <c r="B26" s="1653"/>
      <c r="C26" s="1653"/>
      <c r="D26" s="1653"/>
      <c r="E26" s="1653"/>
      <c r="F26" s="1653"/>
      <c r="G26" s="1324"/>
      <c r="H26" s="1653"/>
      <c r="I26" s="1653"/>
      <c r="J26" s="1653"/>
      <c r="K26" s="1653"/>
      <c r="L26" s="1653"/>
      <c r="M26" s="1653"/>
      <c r="N26" s="1653"/>
      <c r="O26" s="1653"/>
      <c r="P26" s="1653"/>
      <c r="Q26" s="1279"/>
    </row>
    <row r="27" spans="1:19" s="1" customFormat="1" ht="6" customHeight="1" x14ac:dyDescent="0.25">
      <c r="A27" s="6"/>
      <c r="B27" s="205"/>
      <c r="C27" s="205"/>
      <c r="D27" s="205"/>
      <c r="E27" s="205"/>
      <c r="F27" s="205"/>
      <c r="G27" s="8"/>
      <c r="H27" s="205"/>
      <c r="I27" s="205"/>
      <c r="J27" s="205"/>
      <c r="K27" s="205"/>
      <c r="L27" s="205"/>
      <c r="M27" s="205"/>
      <c r="N27" s="205"/>
      <c r="O27" s="205"/>
      <c r="P27" s="205"/>
      <c r="Q27" s="8"/>
    </row>
    <row r="28" spans="1:19" s="1" customFormat="1" ht="13.8" x14ac:dyDescent="0.25">
      <c r="A28" s="6" t="s">
        <v>1398</v>
      </c>
      <c r="B28" s="205"/>
      <c r="C28" s="205"/>
      <c r="D28" s="205"/>
      <c r="E28" s="205"/>
      <c r="F28" s="205"/>
      <c r="G28" s="8"/>
      <c r="H28" s="205"/>
      <c r="I28" s="205"/>
      <c r="J28" s="205"/>
      <c r="K28" s="205"/>
      <c r="L28" s="205"/>
      <c r="M28" s="205"/>
      <c r="N28" s="205"/>
      <c r="O28" s="205"/>
      <c r="P28" s="205"/>
      <c r="Q28" s="8"/>
    </row>
    <row r="29" spans="1:19" s="1" customFormat="1" ht="30.75" customHeight="1" x14ac:dyDescent="0.25">
      <c r="A29" s="2915" t="s">
        <v>2580</v>
      </c>
      <c r="B29" s="2935"/>
      <c r="C29" s="2935"/>
      <c r="D29" s="2935"/>
      <c r="E29" s="2935"/>
      <c r="F29" s="2935"/>
      <c r="G29" s="2916"/>
      <c r="H29" s="201">
        <f>B20/G20-1</f>
        <v>-1.0926736119794334E-2</v>
      </c>
      <c r="I29" s="205"/>
      <c r="J29" s="205"/>
      <c r="K29" s="205"/>
      <c r="L29" s="205"/>
      <c r="M29" s="205"/>
      <c r="N29" s="205"/>
      <c r="O29" s="205"/>
      <c r="P29" s="205"/>
      <c r="Q29" s="8"/>
    </row>
    <row r="30" spans="1:19" s="198" customFormat="1" ht="15" customHeight="1" x14ac:dyDescent="0.25">
      <c r="A30" s="2989" t="s">
        <v>2397</v>
      </c>
      <c r="B30" s="2990"/>
      <c r="C30" s="2990"/>
      <c r="D30" s="2990"/>
      <c r="E30" s="2990"/>
      <c r="F30" s="2990"/>
      <c r="G30" s="2991"/>
      <c r="H30" s="1855"/>
      <c r="I30" s="1855"/>
      <c r="J30" s="1855"/>
      <c r="K30" s="1855"/>
      <c r="L30" s="1855"/>
      <c r="M30" s="1855"/>
      <c r="N30" s="1855"/>
      <c r="O30" s="1855"/>
      <c r="P30" s="1855"/>
      <c r="Q30" s="1694"/>
    </row>
    <row r="31" spans="1:19" s="198" customFormat="1" ht="15" customHeight="1" x14ac:dyDescent="0.25">
      <c r="A31" s="2824" t="s">
        <v>2579</v>
      </c>
      <c r="B31" s="2825"/>
      <c r="C31" s="2825"/>
      <c r="D31" s="2825"/>
      <c r="E31" s="2825"/>
      <c r="F31" s="2825"/>
      <c r="G31" s="2826"/>
      <c r="H31" s="1855"/>
      <c r="I31" s="1855"/>
      <c r="J31" s="1855"/>
      <c r="K31" s="1855"/>
      <c r="L31" s="1855"/>
      <c r="M31" s="1855"/>
      <c r="N31" s="1855"/>
      <c r="O31" s="1855"/>
      <c r="P31" s="1855"/>
      <c r="Q31" s="1694"/>
    </row>
    <row r="32" spans="1:19" s="1" customFormat="1" ht="15" customHeight="1" x14ac:dyDescent="0.25">
      <c r="A32" s="2799" t="s">
        <v>2399</v>
      </c>
      <c r="B32" s="2800"/>
      <c r="C32" s="2800"/>
      <c r="D32" s="2800"/>
      <c r="E32" s="2800"/>
      <c r="F32" s="2800"/>
      <c r="G32" s="2801"/>
      <c r="H32" s="1854"/>
      <c r="I32" s="1854"/>
      <c r="J32" s="1854"/>
      <c r="K32" s="1854"/>
      <c r="L32" s="1854"/>
      <c r="M32" s="1854"/>
      <c r="N32" s="1854"/>
      <c r="O32" s="1854"/>
      <c r="P32" s="1854"/>
      <c r="Q32" s="1492"/>
    </row>
    <row r="33" spans="1:17" s="1" customFormat="1" ht="49.5" customHeight="1" x14ac:dyDescent="0.25">
      <c r="A33" s="2799" t="s">
        <v>2581</v>
      </c>
      <c r="B33" s="2800"/>
      <c r="C33" s="2800"/>
      <c r="D33" s="2800"/>
      <c r="E33" s="2800"/>
      <c r="F33" s="2800"/>
      <c r="G33" s="2801"/>
    </row>
    <row r="34" spans="1:17" s="1" customFormat="1" ht="15.75" customHeight="1" thickBot="1" x14ac:dyDescent="0.3">
      <c r="A34" s="2802" t="s">
        <v>2393</v>
      </c>
      <c r="B34" s="2803"/>
      <c r="C34" s="2803"/>
      <c r="D34" s="2803"/>
      <c r="E34" s="2803"/>
      <c r="F34" s="2803"/>
      <c r="G34" s="2804"/>
      <c r="H34" s="1856"/>
      <c r="I34" s="1856"/>
      <c r="J34" s="1856"/>
      <c r="K34" s="1856"/>
      <c r="L34" s="1856"/>
      <c r="M34" s="1856"/>
      <c r="N34" s="1856"/>
      <c r="O34" s="1856"/>
      <c r="P34" s="1856"/>
      <c r="Q34" s="1857"/>
    </row>
    <row r="35" spans="1:17" x14ac:dyDescent="0.3">
      <c r="A35" s="12" t="s">
        <v>2401</v>
      </c>
      <c r="B35" s="12"/>
      <c r="C35" s="12"/>
      <c r="D35" s="12"/>
      <c r="E35" s="12"/>
      <c r="F35" s="12"/>
      <c r="G35" s="12"/>
      <c r="H35" s="12"/>
      <c r="I35" s="12"/>
      <c r="J35" s="12"/>
      <c r="K35" s="12"/>
      <c r="L35" s="12"/>
      <c r="M35" s="12"/>
      <c r="N35" s="12"/>
      <c r="O35" s="12"/>
      <c r="P35" s="12"/>
    </row>
    <row r="37" spans="1:17" s="345" customFormat="1" outlineLevel="1" x14ac:dyDescent="0.3">
      <c r="B37" s="345">
        <v>2019</v>
      </c>
      <c r="C37" s="345">
        <v>2018</v>
      </c>
      <c r="D37" s="1858">
        <v>2017</v>
      </c>
      <c r="E37" s="1858">
        <v>2016</v>
      </c>
      <c r="F37" s="1858">
        <f t="shared" ref="F37:Q37" si="7">F5</f>
        <v>2015</v>
      </c>
      <c r="G37" s="1858">
        <f t="shared" si="7"/>
        <v>2014</v>
      </c>
      <c r="H37" s="1858">
        <f t="shared" si="7"/>
        <v>2013</v>
      </c>
      <c r="I37" s="1858">
        <f t="shared" si="7"/>
        <v>2012</v>
      </c>
      <c r="J37" s="1858">
        <f t="shared" si="7"/>
        <v>2011</v>
      </c>
      <c r="K37" s="1858">
        <f t="shared" si="7"/>
        <v>2010</v>
      </c>
      <c r="L37" s="1858">
        <f t="shared" si="7"/>
        <v>2009</v>
      </c>
      <c r="M37" s="1858">
        <f t="shared" si="7"/>
        <v>2008</v>
      </c>
      <c r="N37" s="1858">
        <f t="shared" si="7"/>
        <v>2007</v>
      </c>
      <c r="O37" s="1858">
        <f t="shared" si="7"/>
        <v>2006</v>
      </c>
      <c r="P37" s="1858">
        <f t="shared" si="7"/>
        <v>2005</v>
      </c>
      <c r="Q37" s="1858">
        <f t="shared" si="7"/>
        <v>2004</v>
      </c>
    </row>
    <row r="38" spans="1:17" s="345" customFormat="1" outlineLevel="1" x14ac:dyDescent="0.3">
      <c r="A38" s="345" t="s">
        <v>997</v>
      </c>
      <c r="B38" s="1859">
        <v>424791</v>
      </c>
      <c r="C38" s="1859">
        <v>348703</v>
      </c>
      <c r="D38" s="1859">
        <v>348296</v>
      </c>
      <c r="E38" s="1859">
        <v>283001</v>
      </c>
      <c r="F38" s="1859">
        <v>255550</v>
      </c>
      <c r="G38" s="1859">
        <v>240170</v>
      </c>
      <c r="H38" s="1859">
        <v>221890</v>
      </c>
      <c r="I38" s="1859">
        <v>187647</v>
      </c>
      <c r="J38" s="1859">
        <v>164850</v>
      </c>
      <c r="K38" s="1859">
        <v>157318</v>
      </c>
      <c r="L38" s="1859">
        <v>131102</v>
      </c>
      <c r="M38" s="1859">
        <v>109267</v>
      </c>
      <c r="N38" s="1859">
        <v>120733</v>
      </c>
      <c r="O38" s="1859">
        <v>108419</v>
      </c>
      <c r="P38" s="1859">
        <v>91484</v>
      </c>
      <c r="Q38" s="1859">
        <v>85900</v>
      </c>
    </row>
    <row r="39" spans="1:17" s="345" customFormat="1" outlineLevel="1" x14ac:dyDescent="0.3">
      <c r="A39" s="345" t="s">
        <v>649</v>
      </c>
      <c r="B39" s="1860">
        <f t="shared" ref="B39:Q39" si="8">B15-B38</f>
        <v>0</v>
      </c>
      <c r="C39" s="1860">
        <f t="shared" si="8"/>
        <v>0</v>
      </c>
      <c r="D39" s="1860">
        <f t="shared" si="8"/>
        <v>0</v>
      </c>
      <c r="E39" s="1860">
        <f t="shared" si="8"/>
        <v>0</v>
      </c>
      <c r="F39" s="1860">
        <f t="shared" si="8"/>
        <v>0</v>
      </c>
      <c r="G39" s="1860">
        <f t="shared" si="8"/>
        <v>0</v>
      </c>
      <c r="H39" s="1860">
        <f t="shared" si="8"/>
        <v>0</v>
      </c>
      <c r="I39" s="1860">
        <f t="shared" si="8"/>
        <v>0</v>
      </c>
      <c r="J39" s="1860">
        <f t="shared" si="8"/>
        <v>0</v>
      </c>
      <c r="K39" s="1860">
        <f t="shared" si="8"/>
        <v>0</v>
      </c>
      <c r="L39" s="1860">
        <f t="shared" si="8"/>
        <v>0</v>
      </c>
      <c r="M39" s="1860">
        <f t="shared" si="8"/>
        <v>0</v>
      </c>
      <c r="N39" s="1860">
        <f t="shared" si="8"/>
        <v>0</v>
      </c>
      <c r="O39" s="1860">
        <f t="shared" si="8"/>
        <v>0</v>
      </c>
      <c r="P39" s="1860">
        <f t="shared" si="8"/>
        <v>0</v>
      </c>
      <c r="Q39" s="1860">
        <f t="shared" si="8"/>
        <v>0</v>
      </c>
    </row>
    <row r="43" spans="1:17" x14ac:dyDescent="0.3">
      <c r="A43" s="211" t="s">
        <v>2075</v>
      </c>
      <c r="B43" s="1654">
        <f>F6</f>
        <v>240170</v>
      </c>
      <c r="G43" s="1673">
        <f>P6</f>
        <v>85900</v>
      </c>
    </row>
    <row r="44" spans="1:17" x14ac:dyDescent="0.3">
      <c r="A44" s="211" t="s">
        <v>799</v>
      </c>
      <c r="B44" s="1862">
        <f>B65</f>
        <v>95122</v>
      </c>
      <c r="G44" s="1674">
        <f>SUM(G7:P7)-G45</f>
        <v>107301</v>
      </c>
      <c r="H44" s="227">
        <f t="shared" ref="H44:H50" si="9">G44/$G$53</f>
        <v>0.69554028651066313</v>
      </c>
    </row>
    <row r="45" spans="1:17" x14ac:dyDescent="0.3">
      <c r="A45" s="211" t="s">
        <v>800</v>
      </c>
      <c r="B45" s="1862">
        <f>B71</f>
        <v>20299</v>
      </c>
      <c r="G45" s="1674">
        <f>SUM('7. Select Parent Fin''l Data'!B40:T40)</f>
        <v>15897</v>
      </c>
      <c r="H45" s="227">
        <f t="shared" si="9"/>
        <v>0.10304660659882026</v>
      </c>
    </row>
    <row r="46" spans="1:17" x14ac:dyDescent="0.3">
      <c r="A46" s="211" t="s">
        <v>784</v>
      </c>
      <c r="B46" s="1862">
        <f>B79</f>
        <v>50297</v>
      </c>
      <c r="G46" s="1674">
        <f>SUM(G13:P13)</f>
        <v>25720</v>
      </c>
      <c r="H46" s="227">
        <f t="shared" si="9"/>
        <v>0.16672068451416347</v>
      </c>
    </row>
    <row r="47" spans="1:17" x14ac:dyDescent="0.3">
      <c r="A47" s="211" t="s">
        <v>790</v>
      </c>
      <c r="B47" s="1224">
        <f>SUM(B8:F8)</f>
        <v>328</v>
      </c>
      <c r="G47" s="1674">
        <f>SUM(G8:P8)</f>
        <v>12816</v>
      </c>
      <c r="H47" s="227">
        <f t="shared" si="9"/>
        <v>8.3075128022298564E-2</v>
      </c>
    </row>
    <row r="48" spans="1:17" x14ac:dyDescent="0.3">
      <c r="A48" s="211" t="s">
        <v>791</v>
      </c>
      <c r="B48" s="1224">
        <f>SUM(B9:F9)</f>
        <v>-6362</v>
      </c>
      <c r="G48" s="1674">
        <f>SUM(G9:P9)</f>
        <v>-1763</v>
      </c>
      <c r="H48" s="227">
        <f t="shared" si="9"/>
        <v>-1.1428015816425748E-2</v>
      </c>
    </row>
    <row r="49" spans="1:8" x14ac:dyDescent="0.3">
      <c r="A49" s="211" t="s">
        <v>2257</v>
      </c>
      <c r="B49" s="1224">
        <v>29106</v>
      </c>
      <c r="G49" s="1299">
        <v>0</v>
      </c>
      <c r="H49" s="227">
        <f t="shared" si="9"/>
        <v>0</v>
      </c>
    </row>
    <row r="50" spans="1:8" x14ac:dyDescent="0.3">
      <c r="A50" s="211" t="s">
        <v>279</v>
      </c>
      <c r="B50" s="1224">
        <f>SUM(B12:F12)+SUM(B14:F14)+SUM(B10:F10)</f>
        <v>-4169</v>
      </c>
      <c r="G50" s="1674">
        <f>SUM(G10:P12)+SUM(G14:P14)</f>
        <v>-5701</v>
      </c>
      <c r="H50" s="227">
        <f t="shared" si="9"/>
        <v>-3.6954689829519674E-2</v>
      </c>
    </row>
    <row r="51" spans="1:8" x14ac:dyDescent="0.3">
      <c r="A51" s="211" t="s">
        <v>2402</v>
      </c>
      <c r="B51" s="1866">
        <f>SUM(B43:B50)</f>
        <v>424791</v>
      </c>
      <c r="G51" s="1673">
        <f>SUM(G43:G50)</f>
        <v>240170</v>
      </c>
      <c r="H51" s="227"/>
    </row>
    <row r="52" spans="1:8" x14ac:dyDescent="0.3">
      <c r="G52" s="1299"/>
      <c r="H52" s="227"/>
    </row>
    <row r="53" spans="1:8" x14ac:dyDescent="0.3">
      <c r="A53" s="211" t="s">
        <v>2076</v>
      </c>
      <c r="B53" s="1861">
        <f>B51-B43</f>
        <v>184621</v>
      </c>
      <c r="G53" s="1673">
        <f>G51-G43</f>
        <v>154270</v>
      </c>
      <c r="H53" s="227">
        <f>G53/$G$53</f>
        <v>1</v>
      </c>
    </row>
    <row r="54" spans="1:8" x14ac:dyDescent="0.3">
      <c r="G54" s="1299"/>
    </row>
    <row r="55" spans="1:8" x14ac:dyDescent="0.3">
      <c r="A55" s="211" t="s">
        <v>997</v>
      </c>
      <c r="B55" s="1654">
        <f>B15</f>
        <v>424791</v>
      </c>
      <c r="G55" s="1673">
        <f>G15</f>
        <v>240170</v>
      </c>
    </row>
    <row r="56" spans="1:8" x14ac:dyDescent="0.3">
      <c r="A56" s="211" t="s">
        <v>649</v>
      </c>
      <c r="B56" s="1861">
        <f>B51-B55</f>
        <v>0</v>
      </c>
      <c r="G56" s="1673">
        <f>G51-G55</f>
        <v>0</v>
      </c>
    </row>
    <row r="58" spans="1:8" ht="16.2" thickBot="1" x14ac:dyDescent="0.35"/>
    <row r="59" spans="1:8" x14ac:dyDescent="0.3">
      <c r="A59" s="453" t="s">
        <v>2403</v>
      </c>
      <c r="B59" s="389"/>
    </row>
    <row r="60" spans="1:8" x14ac:dyDescent="0.3">
      <c r="A60" s="214" t="s">
        <v>2412</v>
      </c>
      <c r="B60" s="927">
        <f>SUM(D7:F7)</f>
        <v>93097</v>
      </c>
      <c r="C60" s="1626"/>
      <c r="D60" s="1626"/>
      <c r="E60" s="1626"/>
    </row>
    <row r="61" spans="1:8" x14ac:dyDescent="0.3">
      <c r="A61" s="214" t="s">
        <v>2411</v>
      </c>
      <c r="B61" s="927">
        <f>-B49</f>
        <v>-29106</v>
      </c>
    </row>
    <row r="62" spans="1:8" x14ac:dyDescent="0.3">
      <c r="A62" s="214" t="s">
        <v>2413</v>
      </c>
      <c r="B62" s="927">
        <f>SUM(B7:C7)</f>
        <v>85438</v>
      </c>
    </row>
    <row r="63" spans="1:8" x14ac:dyDescent="0.3">
      <c r="A63" s="214" t="s">
        <v>2404</v>
      </c>
      <c r="B63" s="927">
        <f>-1*(-17737+57445)</f>
        <v>-39708</v>
      </c>
    </row>
    <row r="64" spans="1:8" x14ac:dyDescent="0.3">
      <c r="A64" s="214" t="s">
        <v>2480</v>
      </c>
      <c r="B64" s="927">
        <f>-B69</f>
        <v>-14599</v>
      </c>
    </row>
    <row r="65" spans="1:4" x14ac:dyDescent="0.3">
      <c r="A65" s="214"/>
      <c r="B65" s="1863">
        <f>SUM(B60:B64)</f>
        <v>95122</v>
      </c>
    </row>
    <row r="66" spans="1:4" ht="16.2" thickBot="1" x14ac:dyDescent="0.35">
      <c r="A66" s="224"/>
      <c r="B66" s="219"/>
    </row>
    <row r="67" spans="1:4" ht="16.2" thickBot="1" x14ac:dyDescent="0.35"/>
    <row r="68" spans="1:4" x14ac:dyDescent="0.3">
      <c r="A68" s="453" t="s">
        <v>2405</v>
      </c>
      <c r="B68" s="389"/>
    </row>
    <row r="69" spans="1:4" x14ac:dyDescent="0.3">
      <c r="A69" s="214" t="s">
        <v>2406</v>
      </c>
      <c r="B69" s="927">
        <f>1377+6497+6725</f>
        <v>14599</v>
      </c>
    </row>
    <row r="70" spans="1:4" x14ac:dyDescent="0.3">
      <c r="A70" s="214" t="s">
        <v>2407</v>
      </c>
      <c r="B70" s="927">
        <f>2600+3100</f>
        <v>5700</v>
      </c>
      <c r="C70" s="356" t="s">
        <v>2414</v>
      </c>
      <c r="D70" s="356"/>
    </row>
    <row r="71" spans="1:4" x14ac:dyDescent="0.3">
      <c r="A71" s="214"/>
      <c r="B71" s="1863">
        <f>SUM(B69:B70)</f>
        <v>20299</v>
      </c>
    </row>
    <row r="72" spans="1:4" ht="16.2" thickBot="1" x14ac:dyDescent="0.35">
      <c r="A72" s="224"/>
      <c r="B72" s="1740"/>
    </row>
    <row r="73" spans="1:4" ht="16.2" thickBot="1" x14ac:dyDescent="0.35">
      <c r="B73" s="1865"/>
    </row>
    <row r="74" spans="1:4" x14ac:dyDescent="0.3">
      <c r="A74" s="453" t="s">
        <v>2408</v>
      </c>
      <c r="B74" s="1864"/>
    </row>
    <row r="75" spans="1:4" x14ac:dyDescent="0.3">
      <c r="A75" s="214" t="s">
        <v>2409</v>
      </c>
      <c r="B75" s="927">
        <f>SUM(D13:F13)</f>
        <v>16532</v>
      </c>
    </row>
    <row r="76" spans="1:4" x14ac:dyDescent="0.3">
      <c r="A76" s="214" t="s">
        <v>2415</v>
      </c>
      <c r="B76" s="927">
        <f>-17737+57445</f>
        <v>39708</v>
      </c>
    </row>
    <row r="77" spans="1:4" x14ac:dyDescent="0.3">
      <c r="A77" s="214" t="s">
        <v>2416</v>
      </c>
      <c r="B77" s="927">
        <f>SUM(B13:C13)</f>
        <v>-243</v>
      </c>
    </row>
    <row r="78" spans="1:4" x14ac:dyDescent="0.3">
      <c r="A78" s="214" t="s">
        <v>2410</v>
      </c>
      <c r="B78" s="927">
        <f>-B70</f>
        <v>-5700</v>
      </c>
    </row>
    <row r="79" spans="1:4" x14ac:dyDescent="0.3">
      <c r="A79" s="214"/>
      <c r="B79" s="1863">
        <f>SUM(B75:B78)</f>
        <v>50297</v>
      </c>
    </row>
    <row r="80" spans="1:4" ht="16.2" thickBot="1" x14ac:dyDescent="0.35">
      <c r="A80" s="224"/>
      <c r="B80" s="1740"/>
    </row>
    <row r="81" spans="2:2" x14ac:dyDescent="0.3">
      <c r="B81" s="1865"/>
    </row>
  </sheetData>
  <mergeCells count="6">
    <mergeCell ref="A34:G34"/>
    <mergeCell ref="A29:G29"/>
    <mergeCell ref="A31:G31"/>
    <mergeCell ref="A30:G30"/>
    <mergeCell ref="A32:G32"/>
    <mergeCell ref="A33:G33"/>
  </mergeCells>
  <pageMargins left="0.7" right="0.7" top="0.75" bottom="0.75" header="0.3" footer="0.3"/>
  <pageSetup orientation="portrait" horizontalDpi="1200" verticalDpi="1200" r:id="rId1"/>
  <legacyDrawing r:id="rId2"/>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6B80B-5DC7-45E4-B2B7-B8C5BBF0AD68}">
  <sheetPr>
    <tabColor theme="4"/>
  </sheetPr>
  <dimension ref="A1:BF104"/>
  <sheetViews>
    <sheetView showGridLines="0" topLeftCell="A9" zoomScale="70" zoomScaleNormal="70" workbookViewId="0">
      <selection activeCell="X72" sqref="X72"/>
    </sheetView>
  </sheetViews>
  <sheetFormatPr defaultColWidth="8.6640625" defaultRowHeight="15.6" outlineLevelRow="2" x14ac:dyDescent="0.3"/>
  <cols>
    <col min="1" max="1" width="52" style="211" customWidth="1"/>
    <col min="2" max="2" width="9.6640625" style="211" customWidth="1"/>
    <col min="3" max="3" width="1.6640625" style="211" customWidth="1"/>
    <col min="4" max="4" width="9.6640625" style="211" customWidth="1"/>
    <col min="5" max="5" width="1.6640625" style="211" customWidth="1"/>
    <col min="6" max="6" width="9.6640625" style="211" customWidth="1"/>
    <col min="7" max="7" width="1.6640625" style="211" customWidth="1"/>
    <col min="8" max="8" width="9.6640625" style="211" customWidth="1"/>
    <col min="9" max="11" width="1.6640625" style="211" customWidth="1"/>
    <col min="12" max="12" width="9.6640625" style="211" customWidth="1"/>
    <col min="13" max="13" width="1.6640625" style="211" customWidth="1"/>
    <col min="14" max="14" width="9.6640625" style="211" customWidth="1"/>
    <col min="15" max="15" width="1.6640625" style="211" customWidth="1"/>
    <col min="16" max="16" width="9.6640625" style="356" customWidth="1"/>
    <col min="17" max="17" width="1.6640625" style="356" customWidth="1"/>
    <col min="18" max="18" width="1.6640625" style="211" customWidth="1"/>
    <col min="19" max="23" width="11.109375" style="211" bestFit="1" customWidth="1"/>
    <col min="24" max="16384" width="8.6640625" style="211"/>
  </cols>
  <sheetData>
    <row r="1" spans="1:58" s="152" customFormat="1" outlineLevel="1" x14ac:dyDescent="0.3">
      <c r="A1" s="459" t="s">
        <v>691</v>
      </c>
      <c r="B1" s="459"/>
      <c r="C1" s="459"/>
      <c r="D1" s="459"/>
      <c r="E1" s="459"/>
      <c r="F1" s="459"/>
      <c r="G1" s="459"/>
      <c r="H1" s="459"/>
      <c r="I1" s="459"/>
      <c r="J1" s="459"/>
      <c r="K1" s="459"/>
      <c r="L1" s="459"/>
      <c r="M1" s="459"/>
      <c r="N1" s="459"/>
      <c r="O1" s="459"/>
      <c r="P1" s="499"/>
    </row>
    <row r="2" spans="1:58" s="1262" customFormat="1" ht="16.2" outlineLevel="1" x14ac:dyDescent="0.35">
      <c r="A2" s="1262" t="s">
        <v>556</v>
      </c>
      <c r="B2" s="1262">
        <v>2019</v>
      </c>
      <c r="D2" s="1262">
        <v>2019</v>
      </c>
      <c r="F2" s="1262">
        <v>2019</v>
      </c>
      <c r="H2" s="1262">
        <v>2017</v>
      </c>
      <c r="L2" s="1262">
        <v>2016</v>
      </c>
      <c r="N2" s="1262">
        <v>2016</v>
      </c>
      <c r="P2" s="1262">
        <v>2016</v>
      </c>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3"/>
      <c r="BC2" s="1263"/>
      <c r="BD2" s="1263"/>
      <c r="BE2" s="1263"/>
      <c r="BF2" s="1263"/>
    </row>
    <row r="3" spans="1:58" s="612" customFormat="1" x14ac:dyDescent="0.3">
      <c r="A3" s="499"/>
      <c r="B3" s="499"/>
      <c r="C3" s="499"/>
      <c r="D3" s="499"/>
      <c r="E3" s="499"/>
      <c r="F3" s="499"/>
      <c r="G3" s="499"/>
      <c r="H3" s="499"/>
      <c r="I3" s="499"/>
      <c r="J3" s="499"/>
      <c r="K3" s="499"/>
      <c r="L3" s="499"/>
      <c r="M3" s="499"/>
      <c r="N3" s="499"/>
      <c r="O3" s="499"/>
    </row>
    <row r="4" spans="1:58" x14ac:dyDescent="0.3">
      <c r="A4" s="459" t="s">
        <v>2240</v>
      </c>
      <c r="B4" s="459"/>
      <c r="C4" s="459"/>
      <c r="D4" s="459"/>
      <c r="E4" s="459"/>
      <c r="F4" s="459"/>
      <c r="G4" s="459"/>
      <c r="H4" s="459"/>
      <c r="I4" s="459"/>
      <c r="J4" s="459"/>
      <c r="K4" s="459"/>
      <c r="L4" s="459"/>
      <c r="M4" s="459"/>
      <c r="N4" s="459"/>
      <c r="O4" s="459"/>
      <c r="P4" s="211"/>
      <c r="Q4" s="211"/>
    </row>
    <row r="5" spans="1:58" x14ac:dyDescent="0.3">
      <c r="A5" s="152" t="s">
        <v>827</v>
      </c>
      <c r="B5" s="152"/>
      <c r="C5" s="152"/>
      <c r="D5" s="152" t="s">
        <v>176</v>
      </c>
      <c r="E5" s="152"/>
      <c r="F5" s="152"/>
      <c r="G5" s="152"/>
      <c r="H5" s="152" t="s">
        <v>176</v>
      </c>
      <c r="I5" s="152"/>
      <c r="J5" s="152"/>
      <c r="K5" s="152"/>
      <c r="L5" s="152" t="s">
        <v>176</v>
      </c>
      <c r="M5" s="152"/>
      <c r="N5" s="152"/>
      <c r="O5" s="152"/>
      <c r="P5" s="211"/>
      <c r="Q5" s="211"/>
    </row>
    <row r="6" spans="1:58" ht="8.25" customHeight="1" thickBot="1" x14ac:dyDescent="0.35">
      <c r="P6" s="211"/>
      <c r="Q6" s="211"/>
    </row>
    <row r="7" spans="1:58" x14ac:dyDescent="0.3">
      <c r="A7" s="212" t="s">
        <v>1250</v>
      </c>
      <c r="B7" s="1839">
        <v>2019</v>
      </c>
      <c r="C7" s="1776"/>
      <c r="D7" s="1839">
        <v>2018</v>
      </c>
      <c r="E7" s="1776"/>
      <c r="F7" s="1839">
        <v>2017</v>
      </c>
      <c r="G7" s="1776"/>
      <c r="H7" s="1839">
        <v>2016</v>
      </c>
      <c r="I7" s="1839"/>
      <c r="J7" s="2668"/>
      <c r="K7" s="1776"/>
      <c r="L7" s="1839">
        <v>2016</v>
      </c>
      <c r="M7" s="1776"/>
      <c r="N7" s="1839">
        <v>2015</v>
      </c>
      <c r="O7" s="1776"/>
      <c r="P7" s="1839">
        <v>2014</v>
      </c>
      <c r="Q7" s="1841"/>
      <c r="R7" s="1265"/>
    </row>
    <row r="8" spans="1:58" x14ac:dyDescent="0.3">
      <c r="A8" s="213" t="s">
        <v>497</v>
      </c>
      <c r="B8" s="220"/>
      <c r="C8" s="441"/>
      <c r="D8" s="220"/>
      <c r="E8" s="441"/>
      <c r="F8" s="220"/>
      <c r="G8" s="441"/>
      <c r="H8" s="220"/>
      <c r="I8" s="220"/>
      <c r="J8" s="684"/>
      <c r="K8" s="441"/>
      <c r="L8" s="220"/>
      <c r="M8" s="441"/>
      <c r="N8" s="220"/>
      <c r="O8" s="441"/>
      <c r="P8" s="220"/>
      <c r="Q8" s="223"/>
    </row>
    <row r="9" spans="1:58" x14ac:dyDescent="0.3">
      <c r="A9" s="214" t="s">
        <v>101</v>
      </c>
      <c r="B9" s="1297">
        <v>35572</v>
      </c>
      <c r="C9" s="220"/>
      <c r="D9" s="1297">
        <v>33363</v>
      </c>
      <c r="E9" s="220"/>
      <c r="F9" s="1297">
        <v>29441</v>
      </c>
      <c r="G9" s="220"/>
      <c r="H9" s="1297">
        <v>25483</v>
      </c>
      <c r="I9" s="1297"/>
      <c r="J9" s="2669"/>
      <c r="K9" s="220"/>
      <c r="L9" s="1297">
        <v>25483</v>
      </c>
      <c r="M9" s="220"/>
      <c r="N9" s="1297">
        <v>22718</v>
      </c>
      <c r="O9" s="220"/>
      <c r="P9" s="1297">
        <v>20496</v>
      </c>
      <c r="Q9" s="223"/>
    </row>
    <row r="10" spans="1:58" x14ac:dyDescent="0.3">
      <c r="A10" s="214" t="s">
        <v>1523</v>
      </c>
      <c r="B10" s="922">
        <v>1506</v>
      </c>
      <c r="C10" s="220"/>
      <c r="D10" s="922">
        <v>2449</v>
      </c>
      <c r="E10" s="220"/>
      <c r="F10" s="922">
        <v>-310</v>
      </c>
      <c r="G10" s="220"/>
      <c r="H10" s="922">
        <v>462</v>
      </c>
      <c r="I10" s="922"/>
      <c r="J10" s="2464"/>
      <c r="K10" s="220"/>
      <c r="L10" s="922">
        <v>462</v>
      </c>
      <c r="M10" s="220"/>
      <c r="N10" s="922">
        <v>460</v>
      </c>
      <c r="O10" s="220"/>
      <c r="P10" s="922">
        <v>1159</v>
      </c>
      <c r="Q10" s="223"/>
    </row>
    <row r="11" spans="1:58" ht="4.5" customHeight="1" x14ac:dyDescent="0.3">
      <c r="A11" s="214"/>
      <c r="B11" s="875"/>
      <c r="C11" s="220"/>
      <c r="D11" s="875"/>
      <c r="E11" s="220"/>
      <c r="F11" s="875"/>
      <c r="G11" s="220"/>
      <c r="H11" s="875"/>
      <c r="I11" s="875"/>
      <c r="J11" s="1278"/>
      <c r="K11" s="220"/>
      <c r="L11" s="875"/>
      <c r="M11" s="220"/>
      <c r="N11" s="875"/>
      <c r="O11" s="220"/>
      <c r="P11" s="875"/>
      <c r="Q11" s="223"/>
    </row>
    <row r="12" spans="1:58" ht="4.5" customHeight="1" x14ac:dyDescent="0.3">
      <c r="A12" s="1155"/>
      <c r="B12" s="1278"/>
      <c r="C12" s="684"/>
      <c r="D12" s="1278"/>
      <c r="E12" s="684"/>
      <c r="F12" s="1278"/>
      <c r="G12" s="684"/>
      <c r="H12" s="1278"/>
      <c r="I12" s="1278"/>
      <c r="J12" s="1278"/>
      <c r="K12" s="684"/>
      <c r="L12" s="1278"/>
      <c r="M12" s="684"/>
      <c r="N12" s="1278"/>
      <c r="O12" s="684"/>
      <c r="P12" s="1278"/>
      <c r="Q12" s="1279"/>
    </row>
    <row r="13" spans="1:58" ht="4.5" customHeight="1" x14ac:dyDescent="0.3">
      <c r="A13" s="214"/>
      <c r="B13" s="875"/>
      <c r="C13" s="220"/>
      <c r="D13" s="875"/>
      <c r="E13" s="220"/>
      <c r="F13" s="875"/>
      <c r="G13" s="220"/>
      <c r="H13" s="875"/>
      <c r="I13" s="875"/>
      <c r="J13" s="1278"/>
      <c r="K13" s="220"/>
      <c r="L13" s="875"/>
      <c r="M13" s="220"/>
      <c r="N13" s="875"/>
      <c r="O13" s="220"/>
      <c r="P13" s="875"/>
      <c r="Q13" s="223"/>
    </row>
    <row r="14" spans="1:58" s="658" customFormat="1" x14ac:dyDescent="0.3">
      <c r="A14" s="213" t="s">
        <v>901</v>
      </c>
      <c r="B14" s="887"/>
      <c r="C14" s="441"/>
      <c r="D14" s="887"/>
      <c r="E14" s="441"/>
      <c r="F14" s="887"/>
      <c r="G14" s="441"/>
      <c r="H14" s="887"/>
      <c r="I14" s="887"/>
      <c r="J14" s="2670"/>
      <c r="K14" s="441"/>
      <c r="L14" s="887"/>
      <c r="M14" s="441"/>
      <c r="N14" s="887"/>
      <c r="O14" s="441"/>
      <c r="P14" s="887"/>
      <c r="Q14" s="223"/>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row>
    <row r="15" spans="1:58" s="658" customFormat="1" x14ac:dyDescent="0.3">
      <c r="A15" s="214" t="s">
        <v>101</v>
      </c>
      <c r="B15" s="2992" t="s">
        <v>2244</v>
      </c>
      <c r="C15" s="2993"/>
      <c r="D15" s="2993"/>
      <c r="E15" s="2993"/>
      <c r="F15" s="2993"/>
      <c r="G15" s="2993"/>
      <c r="H15" s="2994"/>
      <c r="I15" s="1297"/>
      <c r="J15" s="2669"/>
      <c r="K15" s="220"/>
      <c r="L15" s="1297">
        <v>5637</v>
      </c>
      <c r="M15" s="220"/>
      <c r="N15" s="1297">
        <v>5975</v>
      </c>
      <c r="O15" s="220"/>
      <c r="P15" s="1297">
        <v>6264</v>
      </c>
      <c r="Q15" s="223"/>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row>
    <row r="16" spans="1:58" s="658" customFormat="1" x14ac:dyDescent="0.3">
      <c r="A16" s="214" t="s">
        <v>1523</v>
      </c>
      <c r="B16" s="2995"/>
      <c r="C16" s="2996"/>
      <c r="D16" s="2996"/>
      <c r="E16" s="2996"/>
      <c r="F16" s="2996"/>
      <c r="G16" s="2996"/>
      <c r="H16" s="2997"/>
      <c r="I16" s="922"/>
      <c r="J16" s="2464"/>
      <c r="K16" s="220"/>
      <c r="L16" s="922">
        <v>190</v>
      </c>
      <c r="M16" s="220"/>
      <c r="N16" s="922">
        <v>132</v>
      </c>
      <c r="O16" s="220"/>
      <c r="P16" s="922">
        <v>277</v>
      </c>
      <c r="Q16" s="223"/>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row>
    <row r="17" spans="1:18" ht="9" hidden="1" customHeight="1" outlineLevel="1" x14ac:dyDescent="0.3">
      <c r="A17" s="214"/>
      <c r="B17" s="220"/>
      <c r="C17" s="220"/>
      <c r="D17" s="220"/>
      <c r="E17" s="220"/>
      <c r="F17" s="220"/>
      <c r="G17" s="220"/>
      <c r="H17" s="220"/>
      <c r="I17" s="220"/>
      <c r="J17" s="684"/>
      <c r="K17" s="220"/>
      <c r="L17" s="220"/>
      <c r="M17" s="220"/>
      <c r="N17" s="220"/>
      <c r="O17" s="220"/>
      <c r="P17" s="220"/>
      <c r="Q17" s="879"/>
    </row>
    <row r="18" spans="1:18" hidden="1" outlineLevel="1" x14ac:dyDescent="0.3">
      <c r="A18" s="1268" t="s">
        <v>909</v>
      </c>
      <c r="B18" s="848"/>
      <c r="C18" s="1777"/>
      <c r="D18" s="848"/>
      <c r="E18" s="1777"/>
      <c r="F18" s="848"/>
      <c r="G18" s="1777"/>
      <c r="H18" s="848"/>
      <c r="I18" s="848"/>
      <c r="J18" s="2671"/>
      <c r="K18" s="1777"/>
      <c r="L18" s="848"/>
      <c r="M18" s="1777"/>
      <c r="N18" s="848"/>
      <c r="O18" s="1777"/>
      <c r="P18" s="848"/>
      <c r="Q18" s="849"/>
    </row>
    <row r="19" spans="1:18" ht="16.2" hidden="1" outlineLevel="1" thickBot="1" x14ac:dyDescent="0.35">
      <c r="A19" s="214" t="s">
        <v>526</v>
      </c>
      <c r="B19" s="1565"/>
      <c r="C19" s="220"/>
      <c r="D19" s="1565"/>
      <c r="E19" s="220"/>
      <c r="F19" s="1565"/>
      <c r="G19" s="220"/>
      <c r="H19" s="1565"/>
      <c r="I19" s="392"/>
      <c r="J19" s="1701"/>
      <c r="K19" s="220"/>
      <c r="L19" s="1565"/>
      <c r="M19" s="220"/>
      <c r="N19" s="1565"/>
      <c r="O19" s="220"/>
      <c r="P19" s="1565" t="e">
        <f>#REF!</f>
        <v>#REF!</v>
      </c>
      <c r="Q19" s="253"/>
      <c r="R19" s="252"/>
    </row>
    <row r="20" spans="1:18" ht="16.2" hidden="1" outlineLevel="1" thickTop="1" x14ac:dyDescent="0.3">
      <c r="A20" s="214" t="s">
        <v>101</v>
      </c>
      <c r="B20" s="1566"/>
      <c r="C20" s="220"/>
      <c r="D20" s="1566"/>
      <c r="E20" s="220"/>
      <c r="F20" s="1566"/>
      <c r="G20" s="220"/>
      <c r="H20" s="1566"/>
      <c r="I20" s="215"/>
      <c r="J20" s="686"/>
      <c r="K20" s="220"/>
      <c r="L20" s="1566"/>
      <c r="M20" s="220"/>
      <c r="N20" s="1566"/>
      <c r="O20" s="220"/>
      <c r="P20" s="1566">
        <f>P15</f>
        <v>6264</v>
      </c>
      <c r="Q20" s="260"/>
      <c r="R20" s="230"/>
    </row>
    <row r="21" spans="1:18" hidden="1" outlineLevel="2" x14ac:dyDescent="0.3">
      <c r="A21" s="214" t="s">
        <v>527</v>
      </c>
      <c r="B21" s="215"/>
      <c r="C21" s="220"/>
      <c r="D21" s="215"/>
      <c r="E21" s="220"/>
      <c r="F21" s="215"/>
      <c r="G21" s="220"/>
      <c r="H21" s="215"/>
      <c r="I21" s="215"/>
      <c r="J21" s="686"/>
      <c r="K21" s="220"/>
      <c r="L21" s="215"/>
      <c r="M21" s="220"/>
      <c r="N21" s="215"/>
      <c r="O21" s="220"/>
      <c r="P21" s="215"/>
      <c r="Q21" s="260"/>
      <c r="R21" s="230"/>
    </row>
    <row r="22" spans="1:18" hidden="1" outlineLevel="2" x14ac:dyDescent="0.3">
      <c r="A22" s="214" t="s">
        <v>102</v>
      </c>
      <c r="B22" s="503"/>
      <c r="C22" s="220"/>
      <c r="D22" s="503"/>
      <c r="E22" s="220"/>
      <c r="F22" s="503"/>
      <c r="G22" s="220"/>
      <c r="H22" s="503"/>
      <c r="I22" s="215"/>
      <c r="J22" s="686"/>
      <c r="K22" s="220"/>
      <c r="L22" s="503"/>
      <c r="M22" s="220"/>
      <c r="N22" s="503"/>
      <c r="O22" s="220"/>
      <c r="P22" s="503"/>
      <c r="Q22" s="260"/>
      <c r="R22" s="230"/>
    </row>
    <row r="23" spans="1:18" hidden="1" outlineLevel="1" x14ac:dyDescent="0.3">
      <c r="A23" s="214" t="s">
        <v>685</v>
      </c>
      <c r="B23" s="215"/>
      <c r="C23" s="220"/>
      <c r="D23" s="215"/>
      <c r="E23" s="220"/>
      <c r="F23" s="215"/>
      <c r="G23" s="220"/>
      <c r="H23" s="215"/>
      <c r="I23" s="215"/>
      <c r="J23" s="686"/>
      <c r="K23" s="220"/>
      <c r="L23" s="215"/>
      <c r="M23" s="220"/>
      <c r="N23" s="215"/>
      <c r="O23" s="220"/>
      <c r="P23" s="215">
        <f>P20-P24</f>
        <v>5987</v>
      </c>
      <c r="Q23" s="260"/>
      <c r="R23" s="230"/>
    </row>
    <row r="24" spans="1:18" ht="16.2" hidden="1" outlineLevel="1" thickBot="1" x14ac:dyDescent="0.35">
      <c r="A24" s="214" t="s">
        <v>686</v>
      </c>
      <c r="B24" s="1567"/>
      <c r="C24" s="220"/>
      <c r="D24" s="1567"/>
      <c r="E24" s="220"/>
      <c r="F24" s="1567"/>
      <c r="G24" s="220"/>
      <c r="H24" s="1567"/>
      <c r="I24" s="392"/>
      <c r="J24" s="1701"/>
      <c r="K24" s="220"/>
      <c r="L24" s="1567"/>
      <c r="M24" s="220"/>
      <c r="N24" s="1567"/>
      <c r="O24" s="220"/>
      <c r="P24" s="1567">
        <f>P16</f>
        <v>277</v>
      </c>
      <c r="Q24" s="260"/>
      <c r="R24" s="230"/>
    </row>
    <row r="25" spans="1:18" hidden="1" outlineLevel="1" x14ac:dyDescent="0.3">
      <c r="A25" s="878"/>
      <c r="B25" s="875"/>
      <c r="C25" s="220"/>
      <c r="D25" s="875"/>
      <c r="E25" s="220"/>
      <c r="F25" s="875"/>
      <c r="G25" s="220"/>
      <c r="H25" s="875"/>
      <c r="I25" s="875"/>
      <c r="J25" s="1278"/>
      <c r="K25" s="220"/>
      <c r="L25" s="875"/>
      <c r="M25" s="220"/>
      <c r="N25" s="875"/>
      <c r="O25" s="220"/>
      <c r="P25" s="875"/>
      <c r="Q25" s="506"/>
      <c r="R25" s="230"/>
    </row>
    <row r="26" spans="1:18" ht="4.5" customHeight="1" collapsed="1" x14ac:dyDescent="0.3">
      <c r="A26" s="214"/>
      <c r="B26" s="220"/>
      <c r="C26" s="220"/>
      <c r="D26" s="220"/>
      <c r="E26" s="220"/>
      <c r="F26" s="220"/>
      <c r="G26" s="220"/>
      <c r="H26" s="220"/>
      <c r="I26" s="220"/>
      <c r="J26" s="684"/>
      <c r="K26" s="220"/>
      <c r="L26" s="220"/>
      <c r="M26" s="220"/>
      <c r="N26" s="220"/>
      <c r="O26" s="220"/>
      <c r="P26" s="220"/>
      <c r="Q26" s="223"/>
    </row>
    <row r="27" spans="1:18" ht="4.5" customHeight="1" x14ac:dyDescent="0.3">
      <c r="A27" s="1155"/>
      <c r="B27" s="1278"/>
      <c r="C27" s="684"/>
      <c r="D27" s="1278"/>
      <c r="E27" s="684"/>
      <c r="F27" s="1278"/>
      <c r="G27" s="684"/>
      <c r="H27" s="1278"/>
      <c r="I27" s="1278"/>
      <c r="J27" s="1278"/>
      <c r="K27" s="684"/>
      <c r="L27" s="1278"/>
      <c r="M27" s="684"/>
      <c r="N27" s="1278"/>
      <c r="O27" s="684"/>
      <c r="P27" s="1278"/>
      <c r="Q27" s="1279"/>
    </row>
    <row r="28" spans="1:18" ht="4.5" customHeight="1" x14ac:dyDescent="0.3">
      <c r="A28" s="214"/>
      <c r="B28" s="875"/>
      <c r="C28" s="220"/>
      <c r="D28" s="875"/>
      <c r="E28" s="220"/>
      <c r="F28" s="875"/>
      <c r="G28" s="220"/>
      <c r="H28" s="875"/>
      <c r="I28" s="875"/>
      <c r="J28" s="1278"/>
      <c r="K28" s="220"/>
      <c r="L28" s="875"/>
      <c r="M28" s="220"/>
      <c r="N28" s="875"/>
      <c r="O28" s="220"/>
      <c r="P28" s="875"/>
      <c r="Q28" s="223"/>
    </row>
    <row r="29" spans="1:18" x14ac:dyDescent="0.3">
      <c r="A29" s="213" t="s">
        <v>899</v>
      </c>
      <c r="B29" s="1840"/>
      <c r="C29" s="441"/>
      <c r="D29" s="1840"/>
      <c r="E29" s="441"/>
      <c r="F29" s="1840"/>
      <c r="G29" s="441"/>
      <c r="H29" s="1840"/>
      <c r="I29" s="1840"/>
      <c r="J29" s="2672"/>
      <c r="K29" s="441"/>
      <c r="L29" s="1840"/>
      <c r="M29" s="441"/>
      <c r="N29" s="1840"/>
      <c r="O29" s="441"/>
      <c r="P29" s="1840"/>
      <c r="Q29" s="223"/>
    </row>
    <row r="30" spans="1:18" x14ac:dyDescent="0.3">
      <c r="A30" s="214" t="s">
        <v>2370</v>
      </c>
      <c r="B30" s="1297">
        <v>9911</v>
      </c>
      <c r="C30" s="220"/>
      <c r="D30" s="1297">
        <v>8928</v>
      </c>
      <c r="E30" s="220"/>
      <c r="F30" s="1297">
        <v>7552</v>
      </c>
      <c r="G30" s="220"/>
      <c r="H30" s="1297">
        <v>7218</v>
      </c>
      <c r="I30" s="1840"/>
      <c r="J30" s="2672"/>
      <c r="K30" s="441"/>
      <c r="L30" s="2672"/>
      <c r="M30" s="2672"/>
      <c r="N30" s="2672"/>
      <c r="O30" s="2672"/>
      <c r="P30" s="2672"/>
      <c r="Q30" s="223"/>
    </row>
    <row r="31" spans="1:18" x14ac:dyDescent="0.3">
      <c r="A31" s="214" t="s">
        <v>2371</v>
      </c>
      <c r="B31" s="922">
        <v>684</v>
      </c>
      <c r="C31" s="922"/>
      <c r="D31" s="922">
        <v>517</v>
      </c>
      <c r="E31" s="922"/>
      <c r="F31" s="922">
        <v>10755</v>
      </c>
      <c r="G31" s="922"/>
      <c r="H31" s="922">
        <v>1254</v>
      </c>
      <c r="I31" s="1840"/>
      <c r="J31" s="2672"/>
      <c r="K31" s="441"/>
      <c r="L31" s="2672"/>
      <c r="M31" s="2672"/>
      <c r="N31" s="2672"/>
      <c r="O31" s="2672"/>
      <c r="P31" s="2672"/>
      <c r="Q31" s="223"/>
    </row>
    <row r="32" spans="1:18" x14ac:dyDescent="0.3">
      <c r="A32" s="214" t="s">
        <v>2372</v>
      </c>
      <c r="B32" s="922">
        <v>4883</v>
      </c>
      <c r="C32" s="922"/>
      <c r="D32" s="922">
        <v>5343</v>
      </c>
      <c r="E32" s="922"/>
      <c r="F32" s="922">
        <v>4808</v>
      </c>
      <c r="G32" s="922"/>
      <c r="H32" s="922">
        <v>4587</v>
      </c>
      <c r="I32" s="1840"/>
      <c r="J32" s="2672"/>
      <c r="K32" s="441"/>
      <c r="L32" s="2672"/>
      <c r="M32" s="2672"/>
      <c r="N32" s="2672"/>
      <c r="O32" s="2672"/>
      <c r="P32" s="2672"/>
      <c r="Q32" s="223"/>
    </row>
    <row r="33" spans="1:18" x14ac:dyDescent="0.3">
      <c r="A33" s="214" t="s">
        <v>2373</v>
      </c>
      <c r="B33" s="922">
        <v>863</v>
      </c>
      <c r="C33" s="922"/>
      <c r="D33" s="922">
        <v>1156</v>
      </c>
      <c r="E33" s="922"/>
      <c r="F33" s="922">
        <v>898</v>
      </c>
      <c r="G33" s="922"/>
      <c r="H33" s="922">
        <v>1082</v>
      </c>
      <c r="I33" s="1840"/>
      <c r="J33" s="2672"/>
      <c r="K33" s="441"/>
      <c r="L33" s="2672"/>
      <c r="M33" s="2672"/>
      <c r="N33" s="2672"/>
      <c r="O33" s="2672"/>
      <c r="P33" s="2672"/>
      <c r="Q33" s="223"/>
    </row>
    <row r="34" spans="1:18" x14ac:dyDescent="0.3">
      <c r="A34" s="214" t="s">
        <v>101</v>
      </c>
      <c r="B34" s="1490">
        <f>SUM(B30:B33)</f>
        <v>16341</v>
      </c>
      <c r="C34" s="922"/>
      <c r="D34" s="1490">
        <f>SUM(D30:D33)</f>
        <v>15944</v>
      </c>
      <c r="E34" s="922">
        <f t="shared" ref="E34:F34" si="0">SUM(E30:E33)</f>
        <v>0</v>
      </c>
      <c r="F34" s="1490">
        <f t="shared" si="0"/>
        <v>24013</v>
      </c>
      <c r="G34" s="922">
        <f t="shared" ref="G34" si="1">SUM(G30:G33)</f>
        <v>0</v>
      </c>
      <c r="H34" s="1490">
        <f t="shared" ref="H34" si="2">SUM(H30:H33)</f>
        <v>14141</v>
      </c>
      <c r="I34" s="1297"/>
      <c r="J34" s="2669"/>
      <c r="K34" s="220"/>
      <c r="L34" s="1282">
        <v>8504</v>
      </c>
      <c r="M34" s="220"/>
      <c r="N34" s="1282">
        <v>7207</v>
      </c>
      <c r="O34" s="220"/>
      <c r="P34" s="1282">
        <v>10116</v>
      </c>
      <c r="Q34" s="223"/>
    </row>
    <row r="35" spans="1:18" x14ac:dyDescent="0.3">
      <c r="A35" s="213"/>
      <c r="B35" s="1840"/>
      <c r="C35" s="441"/>
      <c r="D35" s="1840"/>
      <c r="E35" s="441"/>
      <c r="F35" s="1840"/>
      <c r="G35" s="441"/>
      <c r="H35" s="1840"/>
      <c r="I35" s="1840"/>
      <c r="J35" s="2672"/>
      <c r="K35" s="441"/>
      <c r="L35" s="1840"/>
      <c r="M35" s="441"/>
      <c r="N35" s="1840"/>
      <c r="O35" s="441"/>
      <c r="P35" s="1840"/>
      <c r="Q35" s="223"/>
    </row>
    <row r="36" spans="1:18" x14ac:dyDescent="0.3">
      <c r="A36" s="214" t="s">
        <v>2370</v>
      </c>
      <c r="B36" s="922">
        <v>16</v>
      </c>
      <c r="C36" s="922"/>
      <c r="D36" s="922">
        <v>-207</v>
      </c>
      <c r="E36" s="922"/>
      <c r="F36" s="922">
        <v>-1595</v>
      </c>
      <c r="G36" s="922"/>
      <c r="H36" s="922">
        <v>895</v>
      </c>
      <c r="I36" s="1840"/>
      <c r="J36" s="2672"/>
      <c r="K36" s="441"/>
      <c r="L36" s="2672"/>
      <c r="M36" s="2672"/>
      <c r="N36" s="2672"/>
      <c r="O36" s="2672"/>
      <c r="P36" s="2672"/>
      <c r="Q36" s="223"/>
    </row>
    <row r="37" spans="1:18" x14ac:dyDescent="0.3">
      <c r="A37" s="214" t="s">
        <v>2371</v>
      </c>
      <c r="B37" s="922">
        <v>-1265</v>
      </c>
      <c r="C37" s="922"/>
      <c r="D37" s="922">
        <v>-778</v>
      </c>
      <c r="E37" s="922"/>
      <c r="F37" s="922">
        <v>-1330</v>
      </c>
      <c r="G37" s="922"/>
      <c r="H37" s="922">
        <v>-60</v>
      </c>
      <c r="I37" s="1840"/>
      <c r="J37" s="2672"/>
      <c r="K37" s="441"/>
      <c r="L37" s="2672"/>
      <c r="M37" s="2672"/>
      <c r="N37" s="2672"/>
      <c r="O37" s="2672"/>
      <c r="P37" s="2672"/>
      <c r="Q37" s="223"/>
    </row>
    <row r="38" spans="1:18" x14ac:dyDescent="0.3">
      <c r="A38" s="214" t="s">
        <v>2372</v>
      </c>
      <c r="B38" s="922">
        <v>326</v>
      </c>
      <c r="C38" s="922"/>
      <c r="D38" s="922">
        <v>216</v>
      </c>
      <c r="E38" s="922"/>
      <c r="F38" s="922">
        <v>-52</v>
      </c>
      <c r="G38" s="922"/>
      <c r="H38" s="922">
        <v>305</v>
      </c>
      <c r="I38" s="1840"/>
      <c r="J38" s="2672"/>
      <c r="K38" s="441"/>
      <c r="L38" s="2672"/>
      <c r="M38" s="2672"/>
      <c r="N38" s="2672"/>
      <c r="O38" s="2672"/>
      <c r="P38" s="2672"/>
      <c r="Q38" s="223"/>
    </row>
    <row r="39" spans="1:18" x14ac:dyDescent="0.3">
      <c r="A39" s="214" t="s">
        <v>2373</v>
      </c>
      <c r="B39" s="922">
        <v>-549</v>
      </c>
      <c r="C39" s="922"/>
      <c r="D39" s="922">
        <v>-340</v>
      </c>
      <c r="E39" s="922"/>
      <c r="F39" s="922">
        <v>-671</v>
      </c>
      <c r="G39" s="922"/>
      <c r="H39" s="922">
        <v>-128</v>
      </c>
      <c r="J39" s="2672"/>
      <c r="L39" s="2672"/>
      <c r="M39" s="2672"/>
      <c r="N39" s="2672"/>
      <c r="O39" s="2672"/>
      <c r="P39" s="2672"/>
      <c r="Q39" s="223"/>
    </row>
    <row r="40" spans="1:18" x14ac:dyDescent="0.3">
      <c r="A40" s="214" t="s">
        <v>1523</v>
      </c>
      <c r="B40" s="1490">
        <v>-1472</v>
      </c>
      <c r="C40" s="220"/>
      <c r="D40" s="1490">
        <v>-1109</v>
      </c>
      <c r="E40" s="220"/>
      <c r="F40" s="1490">
        <v>-3648</v>
      </c>
      <c r="G40" s="220"/>
      <c r="H40" s="1490">
        <v>1012</v>
      </c>
      <c r="I40" s="922"/>
      <c r="J40" s="2672"/>
      <c r="K40" s="220"/>
      <c r="L40" s="1490">
        <v>822</v>
      </c>
      <c r="M40" s="220"/>
      <c r="N40" s="1490">
        <v>421</v>
      </c>
      <c r="O40" s="220"/>
      <c r="P40" s="1490">
        <v>606</v>
      </c>
      <c r="Q40" s="223"/>
    </row>
    <row r="41" spans="1:18" ht="4.5" customHeight="1" x14ac:dyDescent="0.3">
      <c r="A41" s="214"/>
      <c r="B41" s="220"/>
      <c r="C41" s="220"/>
      <c r="D41" s="220"/>
      <c r="E41" s="220"/>
      <c r="F41" s="220"/>
      <c r="G41" s="220"/>
      <c r="H41" s="220"/>
      <c r="I41" s="220"/>
      <c r="J41" s="684"/>
      <c r="K41" s="220"/>
      <c r="L41" s="220"/>
      <c r="M41" s="220"/>
      <c r="N41" s="220"/>
      <c r="O41" s="220"/>
      <c r="P41" s="220"/>
      <c r="Q41" s="223"/>
    </row>
    <row r="42" spans="1:18" ht="4.5" customHeight="1" x14ac:dyDescent="0.3">
      <c r="A42" s="1155"/>
      <c r="B42" s="1278"/>
      <c r="C42" s="684"/>
      <c r="D42" s="1278"/>
      <c r="E42" s="684"/>
      <c r="F42" s="1278"/>
      <c r="G42" s="684"/>
      <c r="H42" s="1278"/>
      <c r="I42" s="1278"/>
      <c r="J42" s="1278"/>
      <c r="K42" s="684"/>
      <c r="L42" s="1278"/>
      <c r="M42" s="684"/>
      <c r="N42" s="1278"/>
      <c r="O42" s="684"/>
      <c r="P42" s="1278"/>
      <c r="Q42" s="1279"/>
    </row>
    <row r="43" spans="1:18" ht="4.5" customHeight="1" x14ac:dyDescent="0.3">
      <c r="A43" s="214"/>
      <c r="B43" s="875"/>
      <c r="C43" s="220"/>
      <c r="D43" s="875"/>
      <c r="E43" s="220"/>
      <c r="F43" s="875"/>
      <c r="G43" s="220"/>
      <c r="H43" s="875"/>
      <c r="I43" s="875"/>
      <c r="J43" s="1278"/>
      <c r="K43" s="220"/>
      <c r="L43" s="875"/>
      <c r="M43" s="220"/>
      <c r="N43" s="875"/>
      <c r="O43" s="220"/>
      <c r="P43" s="875"/>
      <c r="Q43" s="223"/>
    </row>
    <row r="44" spans="1:18" x14ac:dyDescent="0.3">
      <c r="A44" s="213" t="s">
        <v>1083</v>
      </c>
      <c r="B44" s="887"/>
      <c r="C44" s="441"/>
      <c r="D44" s="887"/>
      <c r="E44" s="441"/>
      <c r="F44" s="887"/>
      <c r="G44" s="441"/>
      <c r="H44" s="887"/>
      <c r="I44" s="887"/>
      <c r="J44" s="2670"/>
      <c r="K44" s="441"/>
      <c r="L44" s="887"/>
      <c r="M44" s="441"/>
      <c r="N44" s="887"/>
      <c r="O44" s="441"/>
      <c r="P44" s="887"/>
      <c r="Q44" s="223"/>
    </row>
    <row r="45" spans="1:18" x14ac:dyDescent="0.3">
      <c r="A45" s="214" t="s">
        <v>101</v>
      </c>
      <c r="B45" s="1297">
        <v>9165</v>
      </c>
      <c r="C45" s="220"/>
      <c r="D45" s="1297">
        <v>8111</v>
      </c>
      <c r="E45" s="220"/>
      <c r="F45" s="1297">
        <v>7143</v>
      </c>
      <c r="G45" s="220"/>
      <c r="H45" s="1297">
        <v>6257</v>
      </c>
      <c r="I45" s="1297"/>
      <c r="J45" s="2669"/>
      <c r="K45" s="220"/>
      <c r="L45" s="1297">
        <v>6257</v>
      </c>
      <c r="M45" s="220"/>
      <c r="N45" s="1297">
        <v>5394</v>
      </c>
      <c r="O45" s="220"/>
      <c r="P45" s="1297">
        <v>4377</v>
      </c>
      <c r="Q45" s="347"/>
      <c r="R45" s="227"/>
    </row>
    <row r="46" spans="1:18" x14ac:dyDescent="0.3">
      <c r="A46" s="214" t="s">
        <v>1523</v>
      </c>
      <c r="B46" s="922">
        <v>383</v>
      </c>
      <c r="C46" s="220"/>
      <c r="D46" s="922">
        <v>670</v>
      </c>
      <c r="E46" s="220"/>
      <c r="F46" s="922">
        <v>719</v>
      </c>
      <c r="G46" s="220"/>
      <c r="H46" s="922">
        <v>657</v>
      </c>
      <c r="I46" s="922"/>
      <c r="J46" s="2464"/>
      <c r="K46" s="220"/>
      <c r="L46" s="922">
        <v>657</v>
      </c>
      <c r="M46" s="220"/>
      <c r="N46" s="922">
        <v>824</v>
      </c>
      <c r="O46" s="220"/>
      <c r="P46" s="922">
        <v>626</v>
      </c>
      <c r="Q46" s="347"/>
      <c r="R46" s="227"/>
    </row>
    <row r="47" spans="1:18" ht="4.5" customHeight="1" collapsed="1" x14ac:dyDescent="0.3">
      <c r="A47" s="214"/>
      <c r="B47" s="220"/>
      <c r="C47" s="220"/>
      <c r="D47" s="220"/>
      <c r="E47" s="220"/>
      <c r="F47" s="220"/>
      <c r="G47" s="220"/>
      <c r="H47" s="220"/>
      <c r="I47" s="220"/>
      <c r="J47" s="684"/>
      <c r="K47" s="220"/>
      <c r="L47" s="220"/>
      <c r="M47" s="220"/>
      <c r="N47" s="220"/>
      <c r="O47" s="220"/>
      <c r="P47" s="220"/>
      <c r="Q47" s="223"/>
    </row>
    <row r="48" spans="1:18" ht="4.5" customHeight="1" x14ac:dyDescent="0.3">
      <c r="A48" s="1155"/>
      <c r="B48" s="1278"/>
      <c r="C48" s="684"/>
      <c r="D48" s="1278"/>
      <c r="E48" s="684"/>
      <c r="F48" s="1278"/>
      <c r="G48" s="684"/>
      <c r="H48" s="1278"/>
      <c r="I48" s="1278"/>
      <c r="J48" s="1278"/>
      <c r="K48" s="684"/>
      <c r="L48" s="1278"/>
      <c r="M48" s="684"/>
      <c r="N48" s="1278"/>
      <c r="O48" s="684"/>
      <c r="P48" s="1278"/>
      <c r="Q48" s="1279"/>
    </row>
    <row r="49" spans="1:19" ht="4.5" customHeight="1" x14ac:dyDescent="0.3">
      <c r="A49" s="214"/>
      <c r="B49" s="875"/>
      <c r="C49" s="220"/>
      <c r="D49" s="875"/>
      <c r="E49" s="220"/>
      <c r="F49" s="875"/>
      <c r="G49" s="220"/>
      <c r="H49" s="875"/>
      <c r="I49" s="875"/>
      <c r="J49" s="1278"/>
      <c r="K49" s="220"/>
      <c r="L49" s="875"/>
      <c r="M49" s="220"/>
      <c r="N49" s="875"/>
      <c r="O49" s="220"/>
      <c r="P49" s="875"/>
      <c r="Q49" s="223"/>
    </row>
    <row r="50" spans="1:19" s="658" customFormat="1" hidden="1" outlineLevel="1" x14ac:dyDescent="0.3">
      <c r="A50" s="1404" t="s">
        <v>1871</v>
      </c>
      <c r="B50" s="1578">
        <v>61078</v>
      </c>
      <c r="C50" s="1579"/>
      <c r="D50" s="1578">
        <v>57418</v>
      </c>
      <c r="E50" s="1579"/>
      <c r="F50" s="1578">
        <v>60597</v>
      </c>
      <c r="G50" s="1579"/>
      <c r="H50" s="1578">
        <v>45881</v>
      </c>
      <c r="I50" s="1578"/>
      <c r="J50" s="2673"/>
      <c r="K50" s="1578"/>
      <c r="L50" s="1578">
        <v>45881</v>
      </c>
      <c r="M50" s="1578">
        <v>41294</v>
      </c>
      <c r="N50" s="1578">
        <v>41294</v>
      </c>
      <c r="O50" s="1579"/>
      <c r="P50" s="1578">
        <v>41253</v>
      </c>
      <c r="Q50" s="1569"/>
    </row>
    <row r="51" spans="1:19" s="658" customFormat="1" hidden="1" outlineLevel="1" x14ac:dyDescent="0.3">
      <c r="A51" s="1404"/>
      <c r="B51" s="1578">
        <f t="shared" ref="B51:M51" si="3">B52-B50</f>
        <v>0</v>
      </c>
      <c r="C51" s="1578">
        <f t="shared" si="3"/>
        <v>0</v>
      </c>
      <c r="D51" s="1578">
        <f t="shared" si="3"/>
        <v>0</v>
      </c>
      <c r="E51" s="1578">
        <f t="shared" si="3"/>
        <v>0</v>
      </c>
      <c r="F51" s="1578">
        <f t="shared" si="3"/>
        <v>0</v>
      </c>
      <c r="G51" s="1578"/>
      <c r="H51" s="1578">
        <f t="shared" si="3"/>
        <v>0</v>
      </c>
      <c r="I51" s="1578"/>
      <c r="J51" s="2673"/>
      <c r="K51" s="1578">
        <f t="shared" si="3"/>
        <v>0</v>
      </c>
      <c r="L51" s="1578">
        <f t="shared" si="3"/>
        <v>0</v>
      </c>
      <c r="M51" s="1578">
        <f t="shared" si="3"/>
        <v>-41294</v>
      </c>
      <c r="N51" s="1578">
        <f>N52-N50</f>
        <v>0</v>
      </c>
      <c r="O51" s="1578">
        <f t="shared" ref="O51:P51" si="4">O52-O50</f>
        <v>0</v>
      </c>
      <c r="P51" s="1578">
        <f t="shared" si="4"/>
        <v>0</v>
      </c>
      <c r="Q51" s="1569"/>
    </row>
    <row r="52" spans="1:19" s="612" customFormat="1" collapsed="1" x14ac:dyDescent="0.3">
      <c r="A52" s="734" t="s">
        <v>1874</v>
      </c>
      <c r="B52" s="1159">
        <f>B45+B34+B9</f>
        <v>61078</v>
      </c>
      <c r="C52" s="1159"/>
      <c r="D52" s="1159">
        <f>D45+D34+D9</f>
        <v>57418</v>
      </c>
      <c r="E52" s="1159"/>
      <c r="F52" s="1159">
        <f>F45+F34+F9</f>
        <v>60597</v>
      </c>
      <c r="G52" s="1159"/>
      <c r="H52" s="1159">
        <f>H45+H34+H9</f>
        <v>45881</v>
      </c>
      <c r="I52" s="1159"/>
      <c r="J52" s="2464"/>
      <c r="K52" s="1159">
        <f t="shared" ref="K52:P52" si="5">K45+K34+K15+K9</f>
        <v>0</v>
      </c>
      <c r="L52" s="1159">
        <f t="shared" si="5"/>
        <v>45881</v>
      </c>
      <c r="M52" s="1159">
        <f t="shared" si="5"/>
        <v>0</v>
      </c>
      <c r="N52" s="1159">
        <f t="shared" si="5"/>
        <v>41294</v>
      </c>
      <c r="O52" s="1159">
        <f t="shared" si="5"/>
        <v>0</v>
      </c>
      <c r="P52" s="1159">
        <f t="shared" si="5"/>
        <v>41253</v>
      </c>
      <c r="Q52" s="1281"/>
      <c r="S52" s="1572"/>
    </row>
    <row r="53" spans="1:19" s="612" customFormat="1" x14ac:dyDescent="0.3">
      <c r="A53" s="214" t="s">
        <v>1875</v>
      </c>
      <c r="B53" s="1581">
        <f t="shared" ref="B53:M53" si="6">B46+B40+B16+B10</f>
        <v>417</v>
      </c>
      <c r="C53" s="1581">
        <f t="shared" si="6"/>
        <v>0</v>
      </c>
      <c r="D53" s="1581">
        <f t="shared" si="6"/>
        <v>2010</v>
      </c>
      <c r="E53" s="1581">
        <f t="shared" si="6"/>
        <v>0</v>
      </c>
      <c r="F53" s="1157">
        <f t="shared" si="6"/>
        <v>-3239</v>
      </c>
      <c r="G53" s="1581"/>
      <c r="H53" s="1581">
        <f t="shared" ref="H53" si="7">H46+H40+H16+H10</f>
        <v>2131</v>
      </c>
      <c r="I53" s="1581"/>
      <c r="J53" s="2464"/>
      <c r="K53" s="1581">
        <f t="shared" si="6"/>
        <v>0</v>
      </c>
      <c r="L53" s="1581">
        <f t="shared" si="6"/>
        <v>2131</v>
      </c>
      <c r="M53" s="1581">
        <f t="shared" si="6"/>
        <v>0</v>
      </c>
      <c r="N53" s="1581">
        <f>N46+N40+N16+N10</f>
        <v>1837</v>
      </c>
      <c r="O53" s="1581">
        <f>O46+O40+O16+O10</f>
        <v>0</v>
      </c>
      <c r="P53" s="1581">
        <f>P46+P40+P16+P10</f>
        <v>2668</v>
      </c>
      <c r="Q53" s="1281"/>
    </row>
    <row r="54" spans="1:19" s="658" customFormat="1" hidden="1" outlineLevel="1" x14ac:dyDescent="0.3">
      <c r="A54" s="1404" t="s">
        <v>2241</v>
      </c>
      <c r="B54" s="1159">
        <v>417</v>
      </c>
      <c r="C54" s="397"/>
      <c r="D54" s="1159">
        <v>2010</v>
      </c>
      <c r="E54" s="397"/>
      <c r="F54" s="1159">
        <v>-3239</v>
      </c>
      <c r="G54" s="397"/>
      <c r="H54" s="1159">
        <v>2131</v>
      </c>
      <c r="I54" s="1159"/>
      <c r="J54" s="2464"/>
      <c r="K54" s="397"/>
      <c r="L54" s="1159">
        <v>2131</v>
      </c>
      <c r="M54" s="397"/>
      <c r="N54" s="1159">
        <v>1837</v>
      </c>
      <c r="O54" s="397"/>
      <c r="P54" s="1159">
        <v>2668</v>
      </c>
      <c r="Q54" s="1569"/>
    </row>
    <row r="55" spans="1:19" s="658" customFormat="1" hidden="1" outlineLevel="1" x14ac:dyDescent="0.3">
      <c r="A55" s="1404"/>
      <c r="B55" s="1159">
        <f t="shared" ref="B55:F55" si="8">B53-B54</f>
        <v>0</v>
      </c>
      <c r="C55" s="1159">
        <f t="shared" si="8"/>
        <v>0</v>
      </c>
      <c r="D55" s="1159">
        <f t="shared" si="8"/>
        <v>0</v>
      </c>
      <c r="E55" s="1159">
        <f t="shared" si="8"/>
        <v>0</v>
      </c>
      <c r="F55" s="1159">
        <f t="shared" si="8"/>
        <v>0</v>
      </c>
      <c r="G55" s="1159"/>
      <c r="H55" s="1159">
        <f t="shared" ref="H55:O55" si="9">H53-H54</f>
        <v>0</v>
      </c>
      <c r="I55" s="1159"/>
      <c r="J55" s="2464"/>
      <c r="K55" s="1159">
        <f t="shared" ref="K55" si="10">K53-K54</f>
        <v>0</v>
      </c>
      <c r="L55" s="1159">
        <f t="shared" si="9"/>
        <v>0</v>
      </c>
      <c r="M55" s="1159">
        <f t="shared" si="9"/>
        <v>0</v>
      </c>
      <c r="N55" s="1159">
        <f t="shared" si="9"/>
        <v>0</v>
      </c>
      <c r="O55" s="1159">
        <f t="shared" si="9"/>
        <v>0</v>
      </c>
      <c r="P55" s="1159">
        <f>P53-P54</f>
        <v>0</v>
      </c>
      <c r="Q55" s="1569"/>
    </row>
    <row r="56" spans="1:19" s="1549" customFormat="1" hidden="1" outlineLevel="1" x14ac:dyDescent="0.3">
      <c r="A56" s="1778" t="s">
        <v>1872</v>
      </c>
      <c r="B56" s="1796"/>
      <c r="C56" s="1796"/>
      <c r="D56" s="1796"/>
      <c r="E56" s="1796"/>
      <c r="F56" s="1796"/>
      <c r="G56" s="1796"/>
      <c r="H56" s="1796"/>
      <c r="I56" s="1796"/>
      <c r="J56" s="2464"/>
      <c r="K56" s="1796"/>
      <c r="L56" s="1796"/>
      <c r="M56" s="1796"/>
      <c r="N56" s="1796">
        <f>N60/SUM(N45+N15+N34+N9)</f>
        <v>-4.8772218724269872E-2</v>
      </c>
      <c r="O56" s="1796" t="e">
        <f>O60/SUM(O45+O15+O34+O9)</f>
        <v>#DIV/0!</v>
      </c>
      <c r="P56" s="1796">
        <f>P60/SUM(P45+P15+P34+P9)</f>
        <v>-5.526870773034688E-2</v>
      </c>
      <c r="Q56" s="1779"/>
    </row>
    <row r="57" spans="1:19" s="612" customFormat="1" collapsed="1" x14ac:dyDescent="0.3">
      <c r="A57" s="734" t="s">
        <v>1870</v>
      </c>
      <c r="B57" s="1581">
        <f>'9. Float Breakdown'!H31</f>
        <v>126077.5</v>
      </c>
      <c r="C57" s="397"/>
      <c r="D57" s="1581">
        <f>'9. Float Breakdown'!H30</f>
        <v>118616</v>
      </c>
      <c r="E57" s="397"/>
      <c r="F57" s="1581">
        <f>'9. Float Breakdown'!H29</f>
        <v>103038.5</v>
      </c>
      <c r="G57" s="397"/>
      <c r="H57" s="1581">
        <f>L57</f>
        <v>89649.5</v>
      </c>
      <c r="I57" s="1581"/>
      <c r="J57" s="2464"/>
      <c r="K57" s="397"/>
      <c r="L57" s="1581">
        <f>'9. Float Breakdown'!H28</f>
        <v>89649.5</v>
      </c>
      <c r="M57" s="397"/>
      <c r="N57" s="1581">
        <f>'9. Float Breakdown'!H27</f>
        <v>85821.5</v>
      </c>
      <c r="O57" s="397"/>
      <c r="P57" s="1581">
        <v>80581</v>
      </c>
      <c r="Q57" s="1281"/>
      <c r="S57" s="1572"/>
    </row>
    <row r="58" spans="1:19" s="612" customFormat="1" x14ac:dyDescent="0.3">
      <c r="A58" s="734" t="s">
        <v>1684</v>
      </c>
      <c r="B58" s="1759">
        <f>-B53/B57</f>
        <v>-3.3074894410184213E-3</v>
      </c>
      <c r="C58" s="397"/>
      <c r="D58" s="1759">
        <f>-D53/D57</f>
        <v>-1.6945437377756795E-2</v>
      </c>
      <c r="E58" s="397"/>
      <c r="F58" s="1759">
        <f>-F53/F57</f>
        <v>3.1434852021331831E-2</v>
      </c>
      <c r="G58" s="397"/>
      <c r="H58" s="1759">
        <f>-H53/H57</f>
        <v>-2.3770350085611187E-2</v>
      </c>
      <c r="I58" s="1759"/>
      <c r="J58" s="2464"/>
      <c r="K58" s="397"/>
      <c r="L58" s="1759">
        <f>-L53/L57</f>
        <v>-2.3770350085611187E-2</v>
      </c>
      <c r="M58" s="397"/>
      <c r="N58" s="1759">
        <f>-N53/N57</f>
        <v>-2.1404892713364366E-2</v>
      </c>
      <c r="O58" s="397"/>
      <c r="P58" s="1759">
        <v>-3.3000000000000002E-2</v>
      </c>
      <c r="Q58" s="1281"/>
    </row>
    <row r="59" spans="1:19" ht="4.5" customHeight="1" x14ac:dyDescent="0.3">
      <c r="A59" s="214"/>
      <c r="B59" s="875"/>
      <c r="C59" s="220"/>
      <c r="D59" s="875"/>
      <c r="E59" s="220"/>
      <c r="F59" s="875"/>
      <c r="G59" s="220"/>
      <c r="H59" s="875"/>
      <c r="I59" s="875"/>
      <c r="J59" s="2464"/>
      <c r="K59" s="220"/>
      <c r="L59" s="875"/>
      <c r="M59" s="220"/>
      <c r="N59" s="875"/>
      <c r="O59" s="220"/>
      <c r="P59" s="875"/>
      <c r="Q59" s="223"/>
    </row>
    <row r="60" spans="1:19" s="309" customFormat="1" ht="18.600000000000001" hidden="1" outlineLevel="1" x14ac:dyDescent="0.3">
      <c r="A60" s="305" t="s">
        <v>2243</v>
      </c>
      <c r="B60" s="2998" t="s">
        <v>2245</v>
      </c>
      <c r="C60" s="2998"/>
      <c r="D60" s="2998"/>
      <c r="E60" s="2998"/>
      <c r="F60" s="2998"/>
      <c r="G60" s="1781"/>
      <c r="H60" s="1780">
        <v>-1512</v>
      </c>
      <c r="I60" s="1780"/>
      <c r="J60" s="1786"/>
      <c r="K60" s="1781"/>
      <c r="L60" s="1780">
        <v>-1512</v>
      </c>
      <c r="M60" s="1781"/>
      <c r="N60" s="1780">
        <v>-2014</v>
      </c>
      <c r="O60" s="1781"/>
      <c r="P60" s="1780">
        <v>-2280</v>
      </c>
      <c r="Q60" s="373"/>
    </row>
    <row r="61" spans="1:19" hidden="1" outlineLevel="1" x14ac:dyDescent="0.3">
      <c r="A61" s="1782" t="s">
        <v>2242</v>
      </c>
      <c r="B61" s="1783"/>
      <c r="C61" s="1784"/>
      <c r="D61" s="1783"/>
      <c r="E61" s="1784"/>
      <c r="F61" s="1783"/>
      <c r="G61" s="1784"/>
      <c r="H61" s="1783">
        <v>1782</v>
      </c>
      <c r="I61" s="1783"/>
      <c r="J61" s="1785"/>
      <c r="K61" s="1784"/>
      <c r="L61" s="1783">
        <v>1782</v>
      </c>
      <c r="M61" s="1784"/>
      <c r="N61" s="1783">
        <v>712</v>
      </c>
      <c r="O61" s="1784"/>
      <c r="P61" s="1783">
        <v>4351</v>
      </c>
      <c r="Q61" s="223"/>
    </row>
    <row r="62" spans="1:19" ht="4.5" hidden="1" customHeight="1" outlineLevel="1" collapsed="1" x14ac:dyDescent="0.3">
      <c r="A62" s="214"/>
      <c r="B62" s="220"/>
      <c r="C62" s="220"/>
      <c r="D62" s="220"/>
      <c r="E62" s="220"/>
      <c r="F62" s="220"/>
      <c r="G62" s="220"/>
      <c r="H62" s="220"/>
      <c r="I62" s="220"/>
      <c r="J62" s="903"/>
      <c r="K62" s="220"/>
      <c r="L62" s="220"/>
      <c r="M62" s="220"/>
      <c r="N62" s="220"/>
      <c r="O62" s="220"/>
      <c r="P62" s="220"/>
      <c r="Q62" s="223"/>
    </row>
    <row r="63" spans="1:19" ht="4.5" customHeight="1" collapsed="1" x14ac:dyDescent="0.3">
      <c r="A63" s="1155"/>
      <c r="B63" s="684"/>
      <c r="C63" s="684"/>
      <c r="D63" s="684"/>
      <c r="E63" s="684"/>
      <c r="F63" s="684"/>
      <c r="G63" s="684"/>
      <c r="H63" s="684"/>
      <c r="I63" s="684"/>
      <c r="J63" s="684"/>
      <c r="K63" s="684"/>
      <c r="L63" s="684"/>
      <c r="M63" s="684"/>
      <c r="N63" s="684"/>
      <c r="O63" s="684"/>
      <c r="P63" s="1278"/>
      <c r="Q63" s="1279"/>
    </row>
    <row r="64" spans="1:19" s="612" customFormat="1" ht="4.5" customHeight="1" x14ac:dyDescent="0.3">
      <c r="A64" s="734"/>
      <c r="B64" s="397"/>
      <c r="C64" s="397"/>
      <c r="D64" s="397"/>
      <c r="E64" s="397"/>
      <c r="F64" s="397"/>
      <c r="G64" s="397"/>
      <c r="H64" s="397"/>
      <c r="I64" s="397"/>
      <c r="J64" s="397"/>
      <c r="K64" s="397"/>
      <c r="L64" s="397"/>
      <c r="M64" s="397"/>
      <c r="N64" s="397"/>
      <c r="O64" s="397"/>
      <c r="P64" s="1280"/>
      <c r="Q64" s="1281"/>
    </row>
    <row r="65" spans="1:18" s="198" customFormat="1" ht="15" customHeight="1" x14ac:dyDescent="0.25">
      <c r="A65" s="2824" t="s">
        <v>2247</v>
      </c>
      <c r="B65" s="2825"/>
      <c r="C65" s="2825"/>
      <c r="D65" s="2825"/>
      <c r="E65" s="2825"/>
      <c r="F65" s="2825"/>
      <c r="G65" s="2825"/>
      <c r="H65" s="2825"/>
      <c r="I65" s="2825"/>
      <c r="J65" s="2825"/>
      <c r="K65" s="2825"/>
      <c r="L65" s="2825"/>
      <c r="M65" s="2825"/>
      <c r="N65" s="2825"/>
      <c r="O65" s="2825"/>
      <c r="P65" s="2825"/>
      <c r="Q65" s="1694"/>
      <c r="R65" s="199"/>
    </row>
    <row r="66" spans="1:18" s="198" customFormat="1" ht="5.25" customHeight="1" thickBot="1" x14ac:dyDescent="0.3">
      <c r="A66" s="1177"/>
      <c r="B66" s="1670"/>
      <c r="C66" s="1670"/>
      <c r="D66" s="1670"/>
      <c r="E66" s="1670"/>
      <c r="F66" s="1670"/>
      <c r="G66" s="1670"/>
      <c r="H66" s="1670"/>
      <c r="I66" s="1670"/>
      <c r="J66" s="1670"/>
      <c r="K66" s="1670"/>
      <c r="L66" s="1670"/>
      <c r="M66" s="1670"/>
      <c r="N66" s="1670"/>
      <c r="O66" s="1670"/>
      <c r="P66" s="1573"/>
      <c r="Q66" s="1575"/>
      <c r="R66" s="199"/>
    </row>
    <row r="67" spans="1:18" s="198" customFormat="1" ht="13.8" x14ac:dyDescent="0.25">
      <c r="A67" s="804" t="s">
        <v>2248</v>
      </c>
      <c r="B67" s="804"/>
      <c r="C67" s="804"/>
      <c r="D67" s="804"/>
      <c r="E67" s="804"/>
      <c r="F67" s="804"/>
      <c r="G67" s="804"/>
      <c r="H67" s="804"/>
      <c r="I67" s="804"/>
      <c r="J67" s="804"/>
      <c r="K67" s="804"/>
      <c r="L67" s="804"/>
      <c r="M67" s="804"/>
      <c r="N67" s="804"/>
      <c r="O67" s="804"/>
      <c r="P67" s="1576"/>
      <c r="Q67" s="199"/>
      <c r="R67" s="199"/>
    </row>
    <row r="68" spans="1:18" s="612" customFormat="1" x14ac:dyDescent="0.3">
      <c r="P68" s="1571"/>
      <c r="Q68" s="646"/>
      <c r="R68" s="646"/>
    </row>
    <row r="69" spans="1:18" s="612" customFormat="1" x14ac:dyDescent="0.3"/>
    <row r="70" spans="1:18" s="612" customFormat="1" x14ac:dyDescent="0.3"/>
    <row r="71" spans="1:18" s="612" customFormat="1" x14ac:dyDescent="0.3"/>
    <row r="72" spans="1:18" s="612" customFormat="1" x14ac:dyDescent="0.3"/>
    <row r="73" spans="1:18" s="612" customFormat="1" x14ac:dyDescent="0.3"/>
    <row r="74" spans="1:18" s="612" customFormat="1" x14ac:dyDescent="0.3"/>
    <row r="75" spans="1:18" s="612" customFormat="1" x14ac:dyDescent="0.3"/>
    <row r="76" spans="1:18" x14ac:dyDescent="0.3">
      <c r="P76" s="612"/>
      <c r="Q76" s="211"/>
    </row>
    <row r="77" spans="1:18" x14ac:dyDescent="0.3">
      <c r="P77" s="612"/>
      <c r="Q77" s="211"/>
    </row>
    <row r="78" spans="1:18" x14ac:dyDescent="0.3">
      <c r="P78" s="612"/>
      <c r="Q78" s="211"/>
    </row>
    <row r="79" spans="1:18" x14ac:dyDescent="0.3">
      <c r="P79" s="612"/>
      <c r="Q79" s="211"/>
    </row>
    <row r="80" spans="1:18" x14ac:dyDescent="0.3">
      <c r="P80" s="612"/>
      <c r="Q80" s="211"/>
    </row>
    <row r="81" spans="16:17" x14ac:dyDescent="0.3">
      <c r="P81" s="612"/>
      <c r="Q81" s="211"/>
    </row>
    <row r="82" spans="16:17" x14ac:dyDescent="0.3">
      <c r="P82" s="612"/>
      <c r="Q82" s="211"/>
    </row>
    <row r="83" spans="16:17" x14ac:dyDescent="0.3">
      <c r="P83" s="612"/>
      <c r="Q83" s="211"/>
    </row>
    <row r="84" spans="16:17" x14ac:dyDescent="0.3">
      <c r="P84" s="612"/>
      <c r="Q84" s="211"/>
    </row>
    <row r="85" spans="16:17" x14ac:dyDescent="0.3">
      <c r="P85" s="612"/>
      <c r="Q85" s="211"/>
    </row>
    <row r="86" spans="16:17" x14ac:dyDescent="0.3">
      <c r="P86" s="612"/>
      <c r="Q86" s="211"/>
    </row>
    <row r="87" spans="16:17" x14ac:dyDescent="0.3">
      <c r="P87" s="612"/>
      <c r="Q87" s="211"/>
    </row>
    <row r="88" spans="16:17" x14ac:dyDescent="0.3">
      <c r="P88" s="612"/>
      <c r="Q88" s="211"/>
    </row>
    <row r="89" spans="16:17" x14ac:dyDescent="0.3">
      <c r="P89" s="612"/>
      <c r="Q89" s="211"/>
    </row>
    <row r="90" spans="16:17" x14ac:dyDescent="0.3">
      <c r="P90" s="612"/>
      <c r="Q90" s="211"/>
    </row>
    <row r="91" spans="16:17" x14ac:dyDescent="0.3">
      <c r="P91" s="612"/>
      <c r="Q91" s="211"/>
    </row>
    <row r="92" spans="16:17" x14ac:dyDescent="0.3">
      <c r="P92" s="612"/>
      <c r="Q92" s="211"/>
    </row>
    <row r="93" spans="16:17" x14ac:dyDescent="0.3">
      <c r="P93" s="612"/>
      <c r="Q93" s="211"/>
    </row>
    <row r="94" spans="16:17" x14ac:dyDescent="0.3">
      <c r="P94" s="612"/>
      <c r="Q94" s="211"/>
    </row>
    <row r="95" spans="16:17" x14ac:dyDescent="0.3">
      <c r="P95" s="612"/>
      <c r="Q95" s="211"/>
    </row>
    <row r="96" spans="16:17" x14ac:dyDescent="0.3">
      <c r="P96" s="612"/>
      <c r="Q96" s="211"/>
    </row>
    <row r="97" spans="16:17" x14ac:dyDescent="0.3">
      <c r="P97" s="612"/>
      <c r="Q97" s="211"/>
    </row>
    <row r="98" spans="16:17" x14ac:dyDescent="0.3">
      <c r="P98" s="612"/>
      <c r="Q98" s="211"/>
    </row>
    <row r="99" spans="16:17" x14ac:dyDescent="0.3">
      <c r="P99" s="612"/>
      <c r="Q99" s="211"/>
    </row>
    <row r="100" spans="16:17" x14ac:dyDescent="0.3">
      <c r="P100" s="612"/>
      <c r="Q100" s="211"/>
    </row>
    <row r="101" spans="16:17" x14ac:dyDescent="0.3">
      <c r="P101" s="612"/>
      <c r="Q101" s="211"/>
    </row>
    <row r="102" spans="16:17" x14ac:dyDescent="0.3">
      <c r="P102" s="612"/>
      <c r="Q102" s="211"/>
    </row>
    <row r="103" spans="16:17" x14ac:dyDescent="0.3">
      <c r="P103" s="612"/>
      <c r="Q103" s="211"/>
    </row>
    <row r="104" spans="16:17" x14ac:dyDescent="0.3">
      <c r="Q104" s="211"/>
    </row>
  </sheetData>
  <mergeCells count="3">
    <mergeCell ref="B15:H16"/>
    <mergeCell ref="B60:F60"/>
    <mergeCell ref="A65:P65"/>
  </mergeCells>
  <pageMargins left="0.7" right="0.7" top="0.75" bottom="0.75" header="0.3" footer="0.3"/>
  <pageSetup orientation="portrait" r:id="rId1"/>
  <drawing r:id="rId2"/>
  <legacyDrawing r:id="rId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DFC8-6A16-454C-806E-738011A5B904}">
  <sheetPr>
    <tabColor theme="4"/>
  </sheetPr>
  <dimension ref="A1:AI38"/>
  <sheetViews>
    <sheetView showGridLines="0" zoomScale="70" zoomScaleNormal="70" workbookViewId="0">
      <pane xSplit="1" ySplit="5" topLeftCell="D6" activePane="bottomRight" state="frozen"/>
      <selection pane="topRight" activeCell="B1" sqref="B1"/>
      <selection pane="bottomLeft" activeCell="A3" sqref="A3"/>
      <selection pane="bottomRight" activeCell="Z36" sqref="Z36"/>
    </sheetView>
  </sheetViews>
  <sheetFormatPr defaultColWidth="8.6640625" defaultRowHeight="15.6" outlineLevelRow="1" x14ac:dyDescent="0.3"/>
  <cols>
    <col min="1" max="1" width="6" style="211" customWidth="1"/>
    <col min="2" max="4" width="9.109375" style="211" bestFit="1" customWidth="1"/>
    <col min="5" max="5" width="8.6640625" style="211" bestFit="1" customWidth="1"/>
    <col min="6" max="6" width="9.88671875" style="211" bestFit="1" customWidth="1"/>
    <col min="7" max="7" width="1" style="211" customWidth="1"/>
    <col min="8" max="8" width="9.88671875" style="211" bestFit="1" customWidth="1"/>
    <col min="9" max="9" width="7.44140625" style="211" bestFit="1" customWidth="1"/>
    <col min="10" max="10" width="1.44140625" style="211" customWidth="1"/>
    <col min="11" max="11" width="5.88671875" style="211" bestFit="1" customWidth="1"/>
    <col min="12" max="12" width="7.88671875" style="211" customWidth="1"/>
    <col min="13" max="13" width="8.5546875" style="211" customWidth="1"/>
    <col min="14" max="14" width="7.5546875" style="211" bestFit="1" customWidth="1"/>
    <col min="15" max="15" width="8.44140625" style="211" customWidth="1"/>
    <col min="16" max="16" width="8.6640625" style="211" bestFit="1" customWidth="1"/>
    <col min="17" max="17" width="1.33203125" style="211" customWidth="1"/>
    <col min="18" max="18" width="8.6640625" style="211" bestFit="1" customWidth="1"/>
    <col min="19" max="19" width="1.5546875" style="211" customWidth="1"/>
    <col min="20" max="22" width="23.6640625" style="211" customWidth="1"/>
    <col min="23" max="23" width="5.88671875" style="211" bestFit="1" customWidth="1"/>
    <col min="24" max="24" width="8.6640625" style="211" bestFit="1" customWidth="1"/>
    <col min="25" max="25" width="8.109375" style="211" customWidth="1"/>
    <col min="26" max="26" width="8.5546875" style="211" customWidth="1"/>
    <col min="27" max="27" width="8.109375" style="211" customWidth="1"/>
    <col min="28" max="28" width="8.6640625" style="211" bestFit="1" customWidth="1"/>
    <col min="29" max="29" width="3.44140625" style="211" customWidth="1"/>
    <col min="30" max="30" width="5.88671875" style="211" bestFit="1" customWidth="1"/>
    <col min="31" max="31" width="11.5546875" style="211" bestFit="1" customWidth="1"/>
    <col min="32" max="32" width="8.109375" style="211" customWidth="1"/>
    <col min="33" max="33" width="8.5546875" style="211" customWidth="1"/>
    <col min="34" max="34" width="8.109375" style="211" customWidth="1"/>
    <col min="35" max="35" width="8.6640625" style="211" bestFit="1"/>
    <col min="36" max="16384" width="8.6640625" style="211"/>
  </cols>
  <sheetData>
    <row r="1" spans="1:35" x14ac:dyDescent="0.3">
      <c r="A1" s="459" t="s">
        <v>2240</v>
      </c>
      <c r="B1" s="356"/>
    </row>
    <row r="2" spans="1:35" x14ac:dyDescent="0.3">
      <c r="A2" s="152" t="s">
        <v>1810</v>
      </c>
    </row>
    <row r="3" spans="1:35" ht="8.25" customHeight="1" thickBot="1" x14ac:dyDescent="0.35"/>
    <row r="4" spans="1:35" x14ac:dyDescent="0.3">
      <c r="A4" s="453"/>
      <c r="B4" s="2931" t="s">
        <v>3767</v>
      </c>
      <c r="C4" s="2931"/>
      <c r="D4" s="2931"/>
      <c r="E4" s="2931"/>
      <c r="F4" s="2931"/>
      <c r="G4" s="522"/>
      <c r="H4" s="522"/>
      <c r="I4" s="389"/>
      <c r="K4" s="453"/>
      <c r="L4" s="2931" t="s">
        <v>3768</v>
      </c>
      <c r="M4" s="2931"/>
      <c r="N4" s="2931"/>
      <c r="O4" s="2931"/>
      <c r="P4" s="2931"/>
      <c r="Q4" s="522"/>
      <c r="R4" s="389"/>
      <c r="W4" s="453"/>
      <c r="X4" s="2931" t="s">
        <v>2320</v>
      </c>
      <c r="Y4" s="2931"/>
      <c r="Z4" s="2931"/>
      <c r="AA4" s="2931"/>
      <c r="AB4" s="2931"/>
      <c r="AD4" s="453"/>
      <c r="AE4" s="2931" t="s">
        <v>2321</v>
      </c>
      <c r="AF4" s="2931"/>
      <c r="AG4" s="2931"/>
      <c r="AH4" s="2931"/>
      <c r="AI4" s="2931"/>
    </row>
    <row r="5" spans="1:35" s="1497" customFormat="1" ht="35.4" customHeight="1" x14ac:dyDescent="0.3">
      <c r="A5" s="1493" t="s">
        <v>156</v>
      </c>
      <c r="B5" s="1790" t="s">
        <v>497</v>
      </c>
      <c r="C5" s="1790" t="s">
        <v>1046</v>
      </c>
      <c r="D5" s="1790" t="s">
        <v>1084</v>
      </c>
      <c r="E5" s="1790" t="s">
        <v>943</v>
      </c>
      <c r="F5" s="1790" t="s">
        <v>3</v>
      </c>
      <c r="G5" s="1791"/>
      <c r="H5" s="1791" t="s">
        <v>1042</v>
      </c>
      <c r="I5" s="1496" t="s">
        <v>917</v>
      </c>
      <c r="K5" s="1699" t="s">
        <v>156</v>
      </c>
      <c r="L5" s="1790" t="s">
        <v>497</v>
      </c>
      <c r="M5" s="1790" t="s">
        <v>1046</v>
      </c>
      <c r="N5" s="1790" t="str">
        <f>D5</f>
        <v>BH Reins.</v>
      </c>
      <c r="O5" s="1790" t="s">
        <v>943</v>
      </c>
      <c r="P5" s="1790" t="s">
        <v>3</v>
      </c>
      <c r="Q5" s="1791"/>
      <c r="R5" s="1496" t="s">
        <v>1042</v>
      </c>
      <c r="W5" s="1699" t="s">
        <v>156</v>
      </c>
      <c r="X5" s="1790" t="s">
        <v>497</v>
      </c>
      <c r="Y5" s="1790" t="s">
        <v>1046</v>
      </c>
      <c r="Z5" s="1790" t="str">
        <f>M5</f>
        <v>General
Reins.</v>
      </c>
      <c r="AA5" s="1790" t="s">
        <v>943</v>
      </c>
      <c r="AB5" s="1790" t="s">
        <v>3</v>
      </c>
      <c r="AD5" s="1699" t="s">
        <v>156</v>
      </c>
      <c r="AE5" s="1790" t="s">
        <v>497</v>
      </c>
      <c r="AF5" s="1790" t="s">
        <v>1046</v>
      </c>
      <c r="AG5" s="1790" t="str">
        <f>W5</f>
        <v>Year</v>
      </c>
      <c r="AH5" s="1790" t="s">
        <v>943</v>
      </c>
      <c r="AI5" s="1790" t="s">
        <v>3</v>
      </c>
    </row>
    <row r="6" spans="1:35" outlineLevel="1" x14ac:dyDescent="0.3">
      <c r="A6" s="214">
        <v>1994</v>
      </c>
      <c r="B6" s="686"/>
      <c r="C6" s="686"/>
      <c r="D6" s="686"/>
      <c r="E6" s="686"/>
      <c r="F6" s="686"/>
      <c r="G6" s="220"/>
      <c r="H6" s="215">
        <v>3056.6</v>
      </c>
      <c r="I6" s="1762">
        <f>-'6. "Summary Table"'!L18/'9. Float Breakdown'!H6</f>
        <v>-4.2498200615062494E-2</v>
      </c>
      <c r="K6" s="214">
        <v>1994</v>
      </c>
      <c r="L6" s="2676"/>
      <c r="M6" s="2676"/>
      <c r="N6" s="2676"/>
      <c r="O6" s="2676"/>
      <c r="P6" s="2676"/>
      <c r="Q6" s="1792"/>
      <c r="R6" s="1762">
        <f>H6/2624.7-1</f>
        <v>0.16455213929210966</v>
      </c>
      <c r="W6" s="214">
        <v>1994</v>
      </c>
      <c r="X6" s="215"/>
      <c r="Y6" s="215"/>
      <c r="Z6" s="215">
        <v>688</v>
      </c>
      <c r="AA6" s="215">
        <v>235</v>
      </c>
      <c r="AB6" s="215"/>
      <c r="AD6" s="214">
        <v>1994</v>
      </c>
      <c r="AE6" s="215"/>
      <c r="AF6" s="215"/>
      <c r="AG6" s="215"/>
      <c r="AH6" s="508"/>
      <c r="AI6" s="215"/>
    </row>
    <row r="7" spans="1:35" outlineLevel="1" x14ac:dyDescent="0.3">
      <c r="A7" s="214">
        <v>1995</v>
      </c>
      <c r="B7" s="686"/>
      <c r="C7" s="686"/>
      <c r="D7" s="686"/>
      <c r="E7" s="686"/>
      <c r="F7" s="686"/>
      <c r="G7" s="220"/>
      <c r="H7" s="215">
        <v>3607.2</v>
      </c>
      <c r="I7" s="1762">
        <f>-'6. "Summary Table"'!K18/'9. Float Breakdown'!H7</f>
        <v>-5.6830782878687074E-3</v>
      </c>
      <c r="K7" s="214">
        <v>1995</v>
      </c>
      <c r="L7" s="2676"/>
      <c r="M7" s="2676"/>
      <c r="N7" s="2676"/>
      <c r="O7" s="2676"/>
      <c r="P7" s="2676"/>
      <c r="Q7" s="1792"/>
      <c r="R7" s="1762">
        <f t="shared" ref="R7:R10" si="0">H7/H6-1</f>
        <v>0.18013479028986445</v>
      </c>
      <c r="W7" s="214">
        <v>1995</v>
      </c>
      <c r="X7" s="215">
        <v>2787</v>
      </c>
      <c r="Y7" s="215"/>
      <c r="Z7" s="215">
        <v>718</v>
      </c>
      <c r="AA7" s="215">
        <v>240</v>
      </c>
      <c r="AB7" s="215"/>
      <c r="AD7" s="214">
        <v>1995</v>
      </c>
      <c r="AE7" s="508"/>
      <c r="AF7" s="215"/>
      <c r="AG7" s="215"/>
      <c r="AH7" s="215"/>
      <c r="AI7" s="215"/>
    </row>
    <row r="8" spans="1:35" outlineLevel="1" x14ac:dyDescent="0.3">
      <c r="A8" s="214">
        <v>1996</v>
      </c>
      <c r="B8" s="686"/>
      <c r="C8" s="686"/>
      <c r="D8" s="686"/>
      <c r="E8" s="686"/>
      <c r="F8" s="686"/>
      <c r="G8" s="220"/>
      <c r="H8" s="215">
        <v>6702</v>
      </c>
      <c r="I8" s="1762">
        <f>-'6. "Summary Table"'!J18/'9. Float Breakdown'!H8</f>
        <v>-3.3139361384661295E-2</v>
      </c>
      <c r="K8" s="214">
        <v>1996</v>
      </c>
      <c r="L8" s="2676"/>
      <c r="M8" s="2676"/>
      <c r="N8" s="2676"/>
      <c r="O8" s="2676"/>
      <c r="P8" s="2676"/>
      <c r="Q8" s="1792"/>
      <c r="R8" s="1762">
        <f t="shared" si="0"/>
        <v>0.85795076513639401</v>
      </c>
      <c r="W8" s="214">
        <v>1996</v>
      </c>
      <c r="X8" s="215">
        <v>3092</v>
      </c>
      <c r="Y8" s="215"/>
      <c r="Z8" s="215">
        <v>758</v>
      </c>
      <c r="AA8" s="215">
        <v>268</v>
      </c>
      <c r="AB8" s="215"/>
      <c r="AD8" s="214">
        <v>1996</v>
      </c>
      <c r="AE8" s="508"/>
      <c r="AF8" s="215"/>
      <c r="AG8" s="215"/>
      <c r="AH8" s="215"/>
      <c r="AI8" s="215"/>
    </row>
    <row r="9" spans="1:35" outlineLevel="1" x14ac:dyDescent="0.3">
      <c r="A9" s="214">
        <v>1997</v>
      </c>
      <c r="B9" s="215">
        <v>2917</v>
      </c>
      <c r="C9" s="215"/>
      <c r="D9" s="215">
        <v>4014</v>
      </c>
      <c r="E9" s="215">
        <v>455</v>
      </c>
      <c r="F9" s="215">
        <f>SUM(B9:E9)</f>
        <v>7386</v>
      </c>
      <c r="G9" s="220"/>
      <c r="H9" s="215">
        <v>7093.1</v>
      </c>
      <c r="I9" s="1762">
        <f>-'6. "Summary Table"'!I18/'9. Float Breakdown'!H9</f>
        <v>-6.5133721503996836E-2</v>
      </c>
      <c r="K9" s="214">
        <v>1997</v>
      </c>
      <c r="L9" s="2676"/>
      <c r="M9" s="2676"/>
      <c r="N9" s="2676"/>
      <c r="O9" s="2676"/>
      <c r="P9" s="2676"/>
      <c r="Q9" s="1792"/>
      <c r="R9" s="1762">
        <f t="shared" si="0"/>
        <v>5.8355714712026385E-2</v>
      </c>
      <c r="W9" s="214">
        <v>1997</v>
      </c>
      <c r="X9" s="215">
        <v>3482</v>
      </c>
      <c r="Y9" s="215"/>
      <c r="Z9" s="215">
        <v>967</v>
      </c>
      <c r="AA9" s="215">
        <v>313</v>
      </c>
      <c r="AB9" s="215"/>
      <c r="AD9" s="214">
        <v>1997</v>
      </c>
      <c r="AE9" s="508"/>
      <c r="AF9" s="215"/>
      <c r="AG9" s="215"/>
      <c r="AH9" s="215"/>
      <c r="AI9" s="215"/>
    </row>
    <row r="10" spans="1:35" outlineLevel="1" x14ac:dyDescent="0.3">
      <c r="A10" s="214">
        <v>1998</v>
      </c>
      <c r="B10" s="215">
        <v>3125</v>
      </c>
      <c r="C10" s="215">
        <v>14909</v>
      </c>
      <c r="D10" s="215">
        <v>4305</v>
      </c>
      <c r="E10" s="215">
        <v>415</v>
      </c>
      <c r="F10" s="215">
        <f t="shared" ref="F10:F28" si="1">SUM(B10:E10)</f>
        <v>22754</v>
      </c>
      <c r="G10" s="220"/>
      <c r="H10" s="215">
        <f>(F10+F9)/2</f>
        <v>15070</v>
      </c>
      <c r="I10" s="1762">
        <f>-'6. "Summary Table"'!H18/'9. Float Breakdown'!H10</f>
        <v>-1.7584605175846053E-2</v>
      </c>
      <c r="K10" s="214">
        <v>1998</v>
      </c>
      <c r="L10" s="1793">
        <f>B10/B9-1</f>
        <v>7.1306136441549484E-2</v>
      </c>
      <c r="M10" s="1794" t="s">
        <v>826</v>
      </c>
      <c r="N10" s="1793">
        <f t="shared" ref="N10:R25" si="2">D10/D9-1</f>
        <v>7.2496263079222745E-2</v>
      </c>
      <c r="O10" s="1793">
        <f t="shared" si="2"/>
        <v>-8.7912087912087933E-2</v>
      </c>
      <c r="P10" s="1793">
        <f t="shared" si="2"/>
        <v>2.0806932033577037</v>
      </c>
      <c r="Q10" s="1792"/>
      <c r="R10" s="1762">
        <f t="shared" si="0"/>
        <v>1.1245999633446586</v>
      </c>
      <c r="S10" s="227"/>
      <c r="T10" s="227"/>
      <c r="U10" s="227"/>
      <c r="V10" s="227"/>
      <c r="W10" s="214">
        <v>1998</v>
      </c>
      <c r="X10" s="215">
        <v>4033</v>
      </c>
      <c r="Y10" s="215">
        <v>6095</v>
      </c>
      <c r="Z10" s="215">
        <v>939</v>
      </c>
      <c r="AA10" s="215">
        <v>328</v>
      </c>
      <c r="AB10" s="215">
        <f t="shared" ref="AB10:AB15" si="3">SUM(X10:AA10)</f>
        <v>11395</v>
      </c>
      <c r="AD10" s="214">
        <v>1998</v>
      </c>
      <c r="AE10" s="508">
        <f>AVERAGE(B9:B10)/X10</f>
        <v>0.7490701710885197</v>
      </c>
      <c r="AF10" s="508"/>
      <c r="AG10" s="508">
        <f>AVERAGE(D9:D10)/Z10</f>
        <v>4.4297124600638975</v>
      </c>
      <c r="AH10" s="508">
        <f>AVERAGE(E9:E10)/AA10</f>
        <v>1.3262195121951219</v>
      </c>
      <c r="AI10" s="215"/>
    </row>
    <row r="11" spans="1:35" outlineLevel="1" x14ac:dyDescent="0.3">
      <c r="A11" s="214">
        <v>1999</v>
      </c>
      <c r="B11" s="215">
        <v>3444</v>
      </c>
      <c r="C11" s="215">
        <v>15166</v>
      </c>
      <c r="D11" s="215">
        <v>6285</v>
      </c>
      <c r="E11" s="215">
        <v>403</v>
      </c>
      <c r="F11" s="215">
        <f t="shared" si="1"/>
        <v>25298</v>
      </c>
      <c r="G11" s="220"/>
      <c r="H11" s="215">
        <f t="shared" ref="H11:H31" si="4">(F11+F10)/2</f>
        <v>24026</v>
      </c>
      <c r="I11" s="1762">
        <f>-'6. "Summary Table"'!G18/'9. Float Breakdown'!H11</f>
        <v>5.8020477815699661E-2</v>
      </c>
      <c r="K11" s="214">
        <v>1999</v>
      </c>
      <c r="L11" s="1793">
        <f t="shared" ref="L11:P26" si="5">B11/B10-1</f>
        <v>0.10207999999999995</v>
      </c>
      <c r="M11" s="1793">
        <f t="shared" si="5"/>
        <v>1.7237909987255939E-2</v>
      </c>
      <c r="N11" s="1793">
        <f t="shared" si="2"/>
        <v>0.45993031358885017</v>
      </c>
      <c r="O11" s="1793">
        <f t="shared" si="2"/>
        <v>-2.8915662650602414E-2</v>
      </c>
      <c r="P11" s="1793">
        <f t="shared" si="2"/>
        <v>0.11180451788696488</v>
      </c>
      <c r="Q11" s="1792"/>
      <c r="R11" s="1762">
        <f>H11/H10-1</f>
        <v>0.59429329794293295</v>
      </c>
      <c r="S11" s="227"/>
      <c r="T11" s="227"/>
      <c r="U11" s="227"/>
      <c r="V11" s="227"/>
      <c r="W11" s="214">
        <v>1999</v>
      </c>
      <c r="X11" s="215">
        <v>4757</v>
      </c>
      <c r="Y11" s="215">
        <v>6905</v>
      </c>
      <c r="Z11" s="215">
        <v>2382</v>
      </c>
      <c r="AA11" s="215">
        <v>262</v>
      </c>
      <c r="AB11" s="215">
        <f t="shared" si="3"/>
        <v>14306</v>
      </c>
      <c r="AD11" s="214">
        <v>1999</v>
      </c>
      <c r="AE11" s="508">
        <f t="shared" ref="AE11:AE28" si="6">AVERAGE(B10:B11)/X11</f>
        <v>0.69045616985495062</v>
      </c>
      <c r="AF11" s="508">
        <f>AVERAGE(C10:C11)/Y11</f>
        <v>2.1777697320782043</v>
      </c>
      <c r="AG11" s="508">
        <f>AVERAGE(D10:D11)/Z11</f>
        <v>2.2229219143576828</v>
      </c>
      <c r="AH11" s="508">
        <f t="shared" ref="AH11:AH28" si="7">AVERAGE(E10:E11)/AA11</f>
        <v>1.5610687022900764</v>
      </c>
      <c r="AI11" s="215"/>
    </row>
    <row r="12" spans="1:35" outlineLevel="1" x14ac:dyDescent="0.3">
      <c r="A12" s="214">
        <v>2000</v>
      </c>
      <c r="B12" s="215">
        <v>3943</v>
      </c>
      <c r="C12" s="215">
        <v>15525</v>
      </c>
      <c r="D12" s="215">
        <v>7805</v>
      </c>
      <c r="E12" s="215">
        <v>598</v>
      </c>
      <c r="F12" s="215">
        <f t="shared" si="1"/>
        <v>27871</v>
      </c>
      <c r="G12" s="220"/>
      <c r="H12" s="215">
        <f t="shared" si="4"/>
        <v>26584.5</v>
      </c>
      <c r="I12" s="1762">
        <f>-'6. "Summary Table"'!F18/'9. Float Breakdown'!H12</f>
        <v>6.0749684966803962E-2</v>
      </c>
      <c r="K12" s="214">
        <v>2000</v>
      </c>
      <c r="L12" s="1793">
        <f t="shared" si="5"/>
        <v>0.1448896631823462</v>
      </c>
      <c r="M12" s="1793">
        <f t="shared" si="5"/>
        <v>2.3671370170117445E-2</v>
      </c>
      <c r="N12" s="1793">
        <f t="shared" si="2"/>
        <v>0.24184566428003174</v>
      </c>
      <c r="O12" s="1793">
        <f t="shared" si="2"/>
        <v>0.4838709677419355</v>
      </c>
      <c r="P12" s="1793">
        <f t="shared" si="2"/>
        <v>0.10170764487311246</v>
      </c>
      <c r="Q12" s="1792"/>
      <c r="R12" s="1762">
        <f t="shared" si="2"/>
        <v>0.10648880379588777</v>
      </c>
      <c r="S12" s="227"/>
      <c r="T12" s="227"/>
      <c r="U12" s="227"/>
      <c r="V12" s="227"/>
      <c r="W12" s="214">
        <v>2000</v>
      </c>
      <c r="X12" s="215">
        <v>5610</v>
      </c>
      <c r="Y12" s="215">
        <v>8696</v>
      </c>
      <c r="Z12" s="215">
        <v>4712</v>
      </c>
      <c r="AA12" s="215">
        <v>325</v>
      </c>
      <c r="AB12" s="215">
        <f t="shared" si="3"/>
        <v>19343</v>
      </c>
      <c r="AD12" s="214">
        <v>2000</v>
      </c>
      <c r="AE12" s="508">
        <f t="shared" si="6"/>
        <v>0.65837789661319068</v>
      </c>
      <c r="AF12" s="508">
        <f t="shared" ref="AF12:AF28" si="8">AVERAGE(C11:C12)/Y12</f>
        <v>1.7646619135234591</v>
      </c>
      <c r="AG12" s="508">
        <f t="shared" ref="AG12:AG28" si="9">AVERAGE(D11:D12)/Z12</f>
        <v>1.4951188455008488</v>
      </c>
      <c r="AH12" s="508">
        <f t="shared" si="7"/>
        <v>1.54</v>
      </c>
      <c r="AI12" s="215"/>
    </row>
    <row r="13" spans="1:35" outlineLevel="1" x14ac:dyDescent="0.3">
      <c r="A13" s="214">
        <v>2001</v>
      </c>
      <c r="B13" s="215">
        <v>4251</v>
      </c>
      <c r="C13" s="215">
        <v>19310</v>
      </c>
      <c r="D13" s="215">
        <v>11262</v>
      </c>
      <c r="E13" s="215">
        <v>685</v>
      </c>
      <c r="F13" s="215">
        <f t="shared" si="1"/>
        <v>35508</v>
      </c>
      <c r="G13" s="220"/>
      <c r="H13" s="215">
        <f t="shared" si="4"/>
        <v>31689.5</v>
      </c>
      <c r="I13" s="1762">
        <f>-'6. "Summary Table"'!E18/'9. Float Breakdown'!H13</f>
        <v>0.12833903974502595</v>
      </c>
      <c r="K13" s="214">
        <v>2001</v>
      </c>
      <c r="L13" s="1793">
        <f t="shared" si="5"/>
        <v>7.8113111843773675E-2</v>
      </c>
      <c r="M13" s="1793">
        <f t="shared" si="5"/>
        <v>0.24380032206119173</v>
      </c>
      <c r="N13" s="1793">
        <f t="shared" si="2"/>
        <v>0.44292120435618187</v>
      </c>
      <c r="O13" s="1793">
        <f t="shared" si="2"/>
        <v>0.14548494983277593</v>
      </c>
      <c r="P13" s="1793">
        <f t="shared" si="2"/>
        <v>0.27401241433748336</v>
      </c>
      <c r="Q13" s="1792"/>
      <c r="R13" s="1762">
        <f t="shared" si="2"/>
        <v>0.19202918994150719</v>
      </c>
      <c r="S13" s="227"/>
      <c r="T13" s="227"/>
      <c r="U13" s="227"/>
      <c r="V13" s="227"/>
      <c r="W13" s="214">
        <v>2001</v>
      </c>
      <c r="X13" s="215">
        <v>6060</v>
      </c>
      <c r="Y13" s="215">
        <v>8353</v>
      </c>
      <c r="Z13" s="215">
        <v>2991</v>
      </c>
      <c r="AA13" s="215">
        <v>501</v>
      </c>
      <c r="AB13" s="215">
        <f t="shared" si="3"/>
        <v>17905</v>
      </c>
      <c r="AD13" s="214">
        <v>2001</v>
      </c>
      <c r="AE13" s="508">
        <f t="shared" si="6"/>
        <v>0.67607260726072604</v>
      </c>
      <c r="AF13" s="508">
        <f t="shared" si="8"/>
        <v>2.0851789776128338</v>
      </c>
      <c r="AG13" s="508">
        <f t="shared" si="9"/>
        <v>3.1873955198930122</v>
      </c>
      <c r="AH13" s="508">
        <f t="shared" si="7"/>
        <v>1.280439121756487</v>
      </c>
      <c r="AI13" s="215"/>
    </row>
    <row r="14" spans="1:35" outlineLevel="1" x14ac:dyDescent="0.3">
      <c r="A14" s="214">
        <v>2002</v>
      </c>
      <c r="B14" s="215">
        <v>4678</v>
      </c>
      <c r="C14" s="215">
        <v>22207</v>
      </c>
      <c r="D14" s="215">
        <v>13396</v>
      </c>
      <c r="E14" s="215">
        <v>943</v>
      </c>
      <c r="F14" s="215">
        <f t="shared" si="1"/>
        <v>41224</v>
      </c>
      <c r="G14" s="220"/>
      <c r="H14" s="215">
        <f t="shared" si="4"/>
        <v>38366</v>
      </c>
      <c r="I14" s="1762">
        <f>-'6. "Summary Table"'!D18/'9. Float Breakdown'!H14</f>
        <v>1.0712610123546891E-2</v>
      </c>
      <c r="K14" s="214">
        <v>2002</v>
      </c>
      <c r="L14" s="1793">
        <f t="shared" si="5"/>
        <v>0.10044695365796286</v>
      </c>
      <c r="M14" s="1793">
        <f t="shared" si="5"/>
        <v>0.15002589331952354</v>
      </c>
      <c r="N14" s="1793">
        <f t="shared" si="2"/>
        <v>0.18948676966790989</v>
      </c>
      <c r="O14" s="1793">
        <f t="shared" si="2"/>
        <v>0.37664233576642325</v>
      </c>
      <c r="P14" s="1793">
        <f t="shared" si="2"/>
        <v>0.16097780781795645</v>
      </c>
      <c r="Q14" s="1792"/>
      <c r="R14" s="1762">
        <f t="shared" si="2"/>
        <v>0.21068492718408316</v>
      </c>
      <c r="S14" s="227"/>
      <c r="T14" s="227"/>
      <c r="U14" s="227"/>
      <c r="V14" s="227"/>
      <c r="W14" s="214">
        <v>2002</v>
      </c>
      <c r="X14" s="215">
        <v>6670</v>
      </c>
      <c r="Y14" s="215">
        <v>8500</v>
      </c>
      <c r="Z14" s="215">
        <v>3300</v>
      </c>
      <c r="AA14" s="215">
        <v>712</v>
      </c>
      <c r="AB14" s="215">
        <f t="shared" si="3"/>
        <v>19182</v>
      </c>
      <c r="AD14" s="214">
        <v>2002</v>
      </c>
      <c r="AE14" s="508">
        <f t="shared" si="6"/>
        <v>0.6693403298350824</v>
      </c>
      <c r="AF14" s="508">
        <f t="shared" si="8"/>
        <v>2.4421764705882354</v>
      </c>
      <c r="AG14" s="508">
        <f t="shared" si="9"/>
        <v>3.7360606060606059</v>
      </c>
      <c r="AH14" s="508">
        <f t="shared" si="7"/>
        <v>1.1432584269662922</v>
      </c>
      <c r="AI14" s="215"/>
    </row>
    <row r="15" spans="1:35" outlineLevel="1" x14ac:dyDescent="0.3">
      <c r="A15" s="214">
        <v>2003</v>
      </c>
      <c r="B15" s="215">
        <v>5287</v>
      </c>
      <c r="C15" s="215">
        <v>23654</v>
      </c>
      <c r="D15" s="215">
        <v>13948</v>
      </c>
      <c r="E15" s="215">
        <v>1331</v>
      </c>
      <c r="F15" s="215">
        <f t="shared" si="1"/>
        <v>44220</v>
      </c>
      <c r="G15" s="220"/>
      <c r="H15" s="215">
        <f t="shared" si="4"/>
        <v>42722</v>
      </c>
      <c r="I15" s="1762">
        <f>-'6. "Summary Table"'!C18/'9. Float Breakdown'!H15</f>
        <v>-4.0213473152005991E-2</v>
      </c>
      <c r="K15" s="214">
        <v>2003</v>
      </c>
      <c r="L15" s="1793">
        <f t="shared" si="5"/>
        <v>0.13018383924754162</v>
      </c>
      <c r="M15" s="1793">
        <f t="shared" si="5"/>
        <v>6.5159634349529538E-2</v>
      </c>
      <c r="N15" s="1793">
        <f t="shared" si="2"/>
        <v>4.1206330247835155E-2</v>
      </c>
      <c r="O15" s="1793">
        <f t="shared" si="2"/>
        <v>0.41145281018027569</v>
      </c>
      <c r="P15" s="1793">
        <f t="shared" si="2"/>
        <v>7.267611100329896E-2</v>
      </c>
      <c r="Q15" s="1792"/>
      <c r="R15" s="1762">
        <f t="shared" si="2"/>
        <v>0.11353802846270145</v>
      </c>
      <c r="W15" s="214">
        <v>2003</v>
      </c>
      <c r="X15" s="215">
        <v>7784</v>
      </c>
      <c r="Y15" s="215">
        <v>8245</v>
      </c>
      <c r="Z15" s="215">
        <v>4430</v>
      </c>
      <c r="AA15" s="215">
        <v>1034</v>
      </c>
      <c r="AB15" s="215">
        <f t="shared" si="3"/>
        <v>21493</v>
      </c>
      <c r="AD15" s="214">
        <v>2003</v>
      </c>
      <c r="AE15" s="508">
        <f t="shared" si="6"/>
        <v>0.64009506680369987</v>
      </c>
      <c r="AF15" s="508">
        <f t="shared" si="8"/>
        <v>2.7811400848999392</v>
      </c>
      <c r="AG15" s="508">
        <f t="shared" si="9"/>
        <v>3.0862302483069977</v>
      </c>
      <c r="AH15" s="508">
        <f t="shared" si="7"/>
        <v>1.0996131528046422</v>
      </c>
      <c r="AI15" s="215"/>
    </row>
    <row r="16" spans="1:35" outlineLevel="1" x14ac:dyDescent="0.3">
      <c r="A16" s="214">
        <v>2004</v>
      </c>
      <c r="B16" s="215">
        <v>5960</v>
      </c>
      <c r="C16" s="215">
        <v>23120</v>
      </c>
      <c r="D16" s="215">
        <v>15278</v>
      </c>
      <c r="E16" s="215">
        <v>1736</v>
      </c>
      <c r="F16" s="215">
        <f t="shared" si="1"/>
        <v>46094</v>
      </c>
      <c r="G16" s="220"/>
      <c r="H16" s="215">
        <f t="shared" si="4"/>
        <v>45157</v>
      </c>
      <c r="I16" s="1762">
        <f>-'6. "Summary Table"'!B18/'9. Float Breakdown'!H16</f>
        <v>-3.4346834377837324E-2</v>
      </c>
      <c r="K16" s="214">
        <v>2004</v>
      </c>
      <c r="L16" s="1793">
        <f t="shared" si="5"/>
        <v>0.1272933610743332</v>
      </c>
      <c r="M16" s="1793">
        <f t="shared" si="5"/>
        <v>-2.2575462923818401E-2</v>
      </c>
      <c r="N16" s="1793">
        <f t="shared" si="2"/>
        <v>9.5354172641238799E-2</v>
      </c>
      <c r="O16" s="1793">
        <f t="shared" si="2"/>
        <v>0.30428249436513899</v>
      </c>
      <c r="P16" s="1793">
        <f t="shared" si="2"/>
        <v>4.2379014020805128E-2</v>
      </c>
      <c r="Q16" s="1792"/>
      <c r="R16" s="1762">
        <f t="shared" si="2"/>
        <v>5.699639529984557E-2</v>
      </c>
      <c r="W16" s="214">
        <v>2004</v>
      </c>
      <c r="X16" s="215">
        <v>8915</v>
      </c>
      <c r="Y16" s="215">
        <v>7245</v>
      </c>
      <c r="Z16" s="215">
        <v>3714</v>
      </c>
      <c r="AA16" s="215">
        <v>1211</v>
      </c>
      <c r="AB16" s="215">
        <f>SUM(X16:AA16)</f>
        <v>21085</v>
      </c>
      <c r="AD16" s="214">
        <v>2004</v>
      </c>
      <c r="AE16" s="508">
        <f t="shared" si="6"/>
        <v>0.63079080201906901</v>
      </c>
      <c r="AF16" s="508">
        <f t="shared" si="8"/>
        <v>3.2280193236714978</v>
      </c>
      <c r="AG16" s="508">
        <f t="shared" si="9"/>
        <v>3.9345718901453957</v>
      </c>
      <c r="AH16" s="508">
        <f t="shared" si="7"/>
        <v>1.2663088356729975</v>
      </c>
      <c r="AI16" s="215"/>
    </row>
    <row r="17" spans="1:35" outlineLevel="1" x14ac:dyDescent="0.3">
      <c r="A17" s="214">
        <v>2005</v>
      </c>
      <c r="B17" s="215">
        <v>6692</v>
      </c>
      <c r="C17" s="215">
        <v>22920</v>
      </c>
      <c r="D17" s="215">
        <v>16233</v>
      </c>
      <c r="E17" s="215">
        <v>3442</v>
      </c>
      <c r="F17" s="215">
        <f t="shared" si="1"/>
        <v>49287</v>
      </c>
      <c r="G17" s="220"/>
      <c r="H17" s="215">
        <f t="shared" si="4"/>
        <v>47690.5</v>
      </c>
      <c r="I17" s="1762">
        <f>-53/H17</f>
        <v>-1.1113324456652792E-3</v>
      </c>
      <c r="K17" s="214">
        <v>2005</v>
      </c>
      <c r="L17" s="1793">
        <f t="shared" si="5"/>
        <v>0.12281879194630863</v>
      </c>
      <c r="M17" s="1793">
        <f t="shared" si="5"/>
        <v>-8.65051903114189E-3</v>
      </c>
      <c r="N17" s="1793">
        <f t="shared" si="2"/>
        <v>6.2508181699175269E-2</v>
      </c>
      <c r="O17" s="1793">
        <f t="shared" si="2"/>
        <v>0.98271889400921664</v>
      </c>
      <c r="P17" s="1793">
        <f t="shared" si="2"/>
        <v>6.9271488697010497E-2</v>
      </c>
      <c r="Q17" s="1792"/>
      <c r="R17" s="1762">
        <f t="shared" si="2"/>
        <v>5.6104258475983881E-2</v>
      </c>
      <c r="W17" s="214">
        <v>2005</v>
      </c>
      <c r="X17" s="215">
        <v>10101</v>
      </c>
      <c r="Y17" s="215">
        <v>6435</v>
      </c>
      <c r="Z17" s="215">
        <v>3963</v>
      </c>
      <c r="AA17" s="215">
        <v>1498</v>
      </c>
      <c r="AB17" s="215">
        <f>SUM(X17:AA17)</f>
        <v>21997</v>
      </c>
      <c r="AD17" s="214">
        <v>2005</v>
      </c>
      <c r="AE17" s="508">
        <f t="shared" si="6"/>
        <v>0.62627462627462627</v>
      </c>
      <c r="AF17" s="508">
        <f t="shared" si="8"/>
        <v>3.5773115773115771</v>
      </c>
      <c r="AG17" s="508">
        <f t="shared" si="9"/>
        <v>3.975649760282614</v>
      </c>
      <c r="AH17" s="508">
        <f t="shared" si="7"/>
        <v>1.7283044058744994</v>
      </c>
      <c r="AI17" s="215"/>
    </row>
    <row r="18" spans="1:35" outlineLevel="1" x14ac:dyDescent="0.3">
      <c r="A18" s="214">
        <v>2006</v>
      </c>
      <c r="B18" s="215">
        <v>7171</v>
      </c>
      <c r="C18" s="215">
        <v>22827</v>
      </c>
      <c r="D18" s="215">
        <v>16860</v>
      </c>
      <c r="E18" s="215">
        <v>4029</v>
      </c>
      <c r="F18" s="215">
        <f t="shared" si="1"/>
        <v>50887</v>
      </c>
      <c r="G18" s="220"/>
      <c r="H18" s="215">
        <f t="shared" si="4"/>
        <v>50087</v>
      </c>
      <c r="I18" s="1762">
        <f>-3838/H18</f>
        <v>-7.662666959490487E-2</v>
      </c>
      <c r="K18" s="214">
        <v>2006</v>
      </c>
      <c r="L18" s="1793">
        <f t="shared" si="5"/>
        <v>7.1578003586371786E-2</v>
      </c>
      <c r="M18" s="1793">
        <f t="shared" si="5"/>
        <v>-4.0575916230366493E-3</v>
      </c>
      <c r="N18" s="1793">
        <f t="shared" si="2"/>
        <v>3.8625023101090283E-2</v>
      </c>
      <c r="O18" s="1793">
        <f t="shared" si="2"/>
        <v>0.17054038349796641</v>
      </c>
      <c r="P18" s="1793">
        <f t="shared" si="2"/>
        <v>3.2462921257126576E-2</v>
      </c>
      <c r="Q18" s="1792"/>
      <c r="R18" s="1762">
        <f t="shared" si="2"/>
        <v>5.0251098227110269E-2</v>
      </c>
      <c r="W18" s="214">
        <v>2006</v>
      </c>
      <c r="X18" s="215">
        <v>11055</v>
      </c>
      <c r="Y18" s="215">
        <v>6075</v>
      </c>
      <c r="Z18" s="215">
        <v>4976</v>
      </c>
      <c r="AA18" s="215">
        <v>1858</v>
      </c>
      <c r="AB18" s="215">
        <f t="shared" ref="AB18:AB28" si="10">SUM(X18:AA18)</f>
        <v>23964</v>
      </c>
      <c r="AD18" s="214">
        <v>2006</v>
      </c>
      <c r="AE18" s="508">
        <f t="shared" si="6"/>
        <v>0.62700135685210312</v>
      </c>
      <c r="AF18" s="508">
        <f t="shared" si="8"/>
        <v>3.7651851851851852</v>
      </c>
      <c r="AG18" s="508">
        <f t="shared" si="9"/>
        <v>3.3252612540192925</v>
      </c>
      <c r="AH18" s="508">
        <f t="shared" si="7"/>
        <v>2.0104951560818085</v>
      </c>
      <c r="AI18" s="215"/>
    </row>
    <row r="19" spans="1:35" outlineLevel="1" x14ac:dyDescent="0.3">
      <c r="A19" s="214">
        <v>2007</v>
      </c>
      <c r="B19" s="215">
        <v>7768</v>
      </c>
      <c r="C19" s="215">
        <v>23009</v>
      </c>
      <c r="D19" s="215">
        <v>23692</v>
      </c>
      <c r="E19" s="215">
        <v>4229</v>
      </c>
      <c r="F19" s="215">
        <f t="shared" si="1"/>
        <v>58698</v>
      </c>
      <c r="G19" s="220"/>
      <c r="H19" s="215">
        <f t="shared" si="4"/>
        <v>54792.5</v>
      </c>
      <c r="I19" s="1762">
        <f>-3374/H19</f>
        <v>-6.1577770680293839E-2</v>
      </c>
      <c r="K19" s="214">
        <v>2007</v>
      </c>
      <c r="L19" s="1793">
        <f t="shared" si="5"/>
        <v>8.3251987170547936E-2</v>
      </c>
      <c r="M19" s="1793">
        <f t="shared" si="5"/>
        <v>7.9730144127567737E-3</v>
      </c>
      <c r="N19" s="1793">
        <f t="shared" si="2"/>
        <v>0.40521945432977469</v>
      </c>
      <c r="O19" s="1793">
        <f t="shared" si="2"/>
        <v>4.9640109208240357E-2</v>
      </c>
      <c r="P19" s="1793">
        <f t="shared" si="2"/>
        <v>0.15349696386110412</v>
      </c>
      <c r="Q19" s="1792"/>
      <c r="R19" s="1762">
        <f t="shared" si="2"/>
        <v>9.3946533032523316E-2</v>
      </c>
      <c r="W19" s="214">
        <v>2007</v>
      </c>
      <c r="X19" s="215">
        <v>11806</v>
      </c>
      <c r="Y19" s="215">
        <v>6076</v>
      </c>
      <c r="Z19" s="215">
        <v>11902</v>
      </c>
      <c r="AA19" s="215">
        <v>1999</v>
      </c>
      <c r="AB19" s="215">
        <f t="shared" si="10"/>
        <v>31783</v>
      </c>
      <c r="AD19" s="214">
        <v>2007</v>
      </c>
      <c r="AE19" s="508">
        <f t="shared" si="6"/>
        <v>0.63268676943926816</v>
      </c>
      <c r="AF19" s="508">
        <f t="shared" si="8"/>
        <v>3.7718894009216588</v>
      </c>
      <c r="AG19" s="508">
        <f t="shared" si="9"/>
        <v>1.7035792303814485</v>
      </c>
      <c r="AH19" s="508">
        <f t="shared" si="7"/>
        <v>2.0655327663831917</v>
      </c>
      <c r="AI19" s="215"/>
    </row>
    <row r="20" spans="1:35" outlineLevel="1" x14ac:dyDescent="0.3">
      <c r="A20" s="214">
        <v>2008</v>
      </c>
      <c r="B20" s="215">
        <v>8454</v>
      </c>
      <c r="C20" s="215">
        <v>21074</v>
      </c>
      <c r="D20" s="215">
        <v>24221</v>
      </c>
      <c r="E20" s="215">
        <v>4739</v>
      </c>
      <c r="F20" s="215">
        <f t="shared" si="1"/>
        <v>58488</v>
      </c>
      <c r="G20" s="220"/>
      <c r="H20" s="215">
        <f t="shared" si="4"/>
        <v>58593</v>
      </c>
      <c r="I20" s="1762">
        <f>-2792/H20</f>
        <v>-4.7650743262847101E-2</v>
      </c>
      <c r="K20" s="214">
        <v>2008</v>
      </c>
      <c r="L20" s="1793">
        <f t="shared" si="5"/>
        <v>8.8311019567456128E-2</v>
      </c>
      <c r="M20" s="1793">
        <f t="shared" si="5"/>
        <v>-8.4097527054630805E-2</v>
      </c>
      <c r="N20" s="1793">
        <f t="shared" si="2"/>
        <v>2.2328212054701924E-2</v>
      </c>
      <c r="O20" s="1793">
        <f t="shared" si="2"/>
        <v>0.12059588555214007</v>
      </c>
      <c r="P20" s="1793">
        <f t="shared" si="2"/>
        <v>-3.5776346723909169E-3</v>
      </c>
      <c r="Q20" s="1792"/>
      <c r="R20" s="1762">
        <f t="shared" si="2"/>
        <v>6.936168271205001E-2</v>
      </c>
      <c r="T20" s="211" t="s">
        <v>176</v>
      </c>
      <c r="W20" s="214">
        <v>2008</v>
      </c>
      <c r="X20" s="215">
        <v>12479</v>
      </c>
      <c r="Y20" s="215">
        <v>6014</v>
      </c>
      <c r="Z20" s="215">
        <v>5082</v>
      </c>
      <c r="AA20" s="215">
        <v>1950</v>
      </c>
      <c r="AB20" s="215">
        <f t="shared" si="10"/>
        <v>25525</v>
      </c>
      <c r="AD20" s="214">
        <v>2008</v>
      </c>
      <c r="AE20" s="508">
        <f t="shared" si="6"/>
        <v>0.64997195288083986</v>
      </c>
      <c r="AF20" s="508">
        <f t="shared" si="8"/>
        <v>3.6650315929497839</v>
      </c>
      <c r="AG20" s="508">
        <f t="shared" si="9"/>
        <v>4.7139905548996461</v>
      </c>
      <c r="AH20" s="508">
        <f t="shared" si="7"/>
        <v>2.2994871794871794</v>
      </c>
      <c r="AI20" s="215"/>
    </row>
    <row r="21" spans="1:35" outlineLevel="1" x14ac:dyDescent="0.3">
      <c r="A21" s="214">
        <v>2009</v>
      </c>
      <c r="B21" s="215">
        <v>9613</v>
      </c>
      <c r="C21" s="215">
        <v>21014</v>
      </c>
      <c r="D21" s="215">
        <v>26223</v>
      </c>
      <c r="E21" s="215">
        <v>5061</v>
      </c>
      <c r="F21" s="215">
        <f t="shared" si="1"/>
        <v>61911</v>
      </c>
      <c r="G21" s="220"/>
      <c r="H21" s="215">
        <f t="shared" si="4"/>
        <v>60199.5</v>
      </c>
      <c r="I21" s="1762">
        <f>-1559/H21</f>
        <v>-2.5897225060008803E-2</v>
      </c>
      <c r="K21" s="214">
        <v>2009</v>
      </c>
      <c r="L21" s="1793">
        <f t="shared" si="5"/>
        <v>0.13709486633546253</v>
      </c>
      <c r="M21" s="1793">
        <f t="shared" si="5"/>
        <v>-2.847110183164081E-3</v>
      </c>
      <c r="N21" s="1793">
        <f t="shared" si="2"/>
        <v>8.2655546839519367E-2</v>
      </c>
      <c r="O21" s="1793">
        <f t="shared" si="2"/>
        <v>6.794682422452003E-2</v>
      </c>
      <c r="P21" s="1793">
        <f t="shared" si="2"/>
        <v>5.8524825605252406E-2</v>
      </c>
      <c r="Q21" s="1792"/>
      <c r="R21" s="1762">
        <f t="shared" si="2"/>
        <v>2.7417950949772063E-2</v>
      </c>
      <c r="W21" s="214">
        <v>2009</v>
      </c>
      <c r="X21" s="215">
        <v>13576</v>
      </c>
      <c r="Y21" s="215">
        <v>5829</v>
      </c>
      <c r="Z21" s="215">
        <v>6706</v>
      </c>
      <c r="AA21" s="215">
        <v>1773</v>
      </c>
      <c r="AB21" s="215">
        <f t="shared" si="10"/>
        <v>27884</v>
      </c>
      <c r="AD21" s="214">
        <v>2009</v>
      </c>
      <c r="AE21" s="508">
        <f t="shared" si="6"/>
        <v>0.66540218031820864</v>
      </c>
      <c r="AF21" s="508">
        <f t="shared" si="8"/>
        <v>3.61022473837708</v>
      </c>
      <c r="AG21" s="508">
        <f t="shared" si="9"/>
        <v>3.7611094542201013</v>
      </c>
      <c r="AH21" s="508">
        <f t="shared" si="7"/>
        <v>2.7636773829667232</v>
      </c>
      <c r="AI21" s="215"/>
    </row>
    <row r="22" spans="1:35" outlineLevel="1" x14ac:dyDescent="0.3">
      <c r="A22" s="214">
        <v>2010</v>
      </c>
      <c r="B22" s="215">
        <v>10272</v>
      </c>
      <c r="C22" s="215">
        <v>20049</v>
      </c>
      <c r="D22" s="215">
        <v>30370</v>
      </c>
      <c r="E22" s="215">
        <v>5141</v>
      </c>
      <c r="F22" s="215">
        <f t="shared" si="1"/>
        <v>65832</v>
      </c>
      <c r="G22" s="220"/>
      <c r="H22" s="215">
        <f t="shared" si="4"/>
        <v>63871.5</v>
      </c>
      <c r="I22" s="1762">
        <f>-2013/H22</f>
        <v>-3.1516404029966416E-2</v>
      </c>
      <c r="K22" s="214">
        <v>2010</v>
      </c>
      <c r="L22" s="1793">
        <f t="shared" si="5"/>
        <v>6.8553001144283865E-2</v>
      </c>
      <c r="M22" s="1793">
        <f t="shared" si="5"/>
        <v>-4.5921766441419987E-2</v>
      </c>
      <c r="N22" s="1793">
        <f t="shared" si="2"/>
        <v>0.15814361438431912</v>
      </c>
      <c r="O22" s="1793">
        <f t="shared" si="2"/>
        <v>1.5807152736613261E-2</v>
      </c>
      <c r="P22" s="1793">
        <f t="shared" si="2"/>
        <v>6.3332848766778138E-2</v>
      </c>
      <c r="Q22" s="1792"/>
      <c r="R22" s="1762">
        <f t="shared" si="2"/>
        <v>6.0997184361996304E-2</v>
      </c>
      <c r="W22" s="214">
        <v>2010</v>
      </c>
      <c r="X22" s="215">
        <v>14283</v>
      </c>
      <c r="Y22" s="215">
        <v>5693</v>
      </c>
      <c r="Z22" s="215">
        <v>9076</v>
      </c>
      <c r="AA22" s="215">
        <v>1697</v>
      </c>
      <c r="AB22" s="215">
        <f t="shared" si="10"/>
        <v>30749</v>
      </c>
      <c r="AD22" s="214">
        <v>2010</v>
      </c>
      <c r="AE22" s="508">
        <f t="shared" si="6"/>
        <v>0.69610726037947213</v>
      </c>
      <c r="AF22" s="508">
        <f t="shared" si="8"/>
        <v>3.6064465132619006</v>
      </c>
      <c r="AG22" s="508">
        <f t="shared" si="9"/>
        <v>3.1177280740414282</v>
      </c>
      <c r="AH22" s="508">
        <f t="shared" si="7"/>
        <v>3.0058927519151442</v>
      </c>
      <c r="AI22" s="215"/>
    </row>
    <row r="23" spans="1:35" outlineLevel="1" x14ac:dyDescent="0.3">
      <c r="A23" s="214">
        <v>2011</v>
      </c>
      <c r="B23" s="215">
        <v>11169</v>
      </c>
      <c r="C23" s="215">
        <v>19714</v>
      </c>
      <c r="D23" s="215">
        <v>33728</v>
      </c>
      <c r="E23" s="215">
        <v>5960</v>
      </c>
      <c r="F23" s="215">
        <f t="shared" si="1"/>
        <v>70571</v>
      </c>
      <c r="G23" s="220"/>
      <c r="H23" s="215">
        <f t="shared" si="4"/>
        <v>68201.5</v>
      </c>
      <c r="I23" s="1762">
        <f>-248/H23</f>
        <v>-3.6362836594503053E-3</v>
      </c>
      <c r="K23" s="214">
        <v>2011</v>
      </c>
      <c r="L23" s="1793">
        <f t="shared" si="5"/>
        <v>8.7324766355140193E-2</v>
      </c>
      <c r="M23" s="1793">
        <f t="shared" si="5"/>
        <v>-1.6709062796149476E-2</v>
      </c>
      <c r="N23" s="1793">
        <f t="shared" si="2"/>
        <v>0.11056964109318401</v>
      </c>
      <c r="O23" s="1793">
        <f t="shared" si="2"/>
        <v>0.15930752771834267</v>
      </c>
      <c r="P23" s="1793">
        <f t="shared" si="2"/>
        <v>7.1986268076315474E-2</v>
      </c>
      <c r="Q23" s="1792"/>
      <c r="R23" s="1762">
        <f t="shared" si="2"/>
        <v>6.7792364356559665E-2</v>
      </c>
      <c r="W23" s="214">
        <v>2011</v>
      </c>
      <c r="X23" s="215">
        <v>15363</v>
      </c>
      <c r="Y23" s="215">
        <v>5816</v>
      </c>
      <c r="Z23" s="215">
        <v>9147</v>
      </c>
      <c r="AA23" s="215">
        <v>1749</v>
      </c>
      <c r="AB23" s="215">
        <f t="shared" si="10"/>
        <v>32075</v>
      </c>
      <c r="AD23" s="214">
        <v>2011</v>
      </c>
      <c r="AE23" s="508">
        <f t="shared" si="6"/>
        <v>0.69781292716266352</v>
      </c>
      <c r="AF23" s="508">
        <f t="shared" si="8"/>
        <v>3.4184147180192572</v>
      </c>
      <c r="AG23" s="508">
        <f t="shared" si="9"/>
        <v>3.5037717284355527</v>
      </c>
      <c r="AH23" s="508">
        <f t="shared" si="7"/>
        <v>3.1735277301315037</v>
      </c>
      <c r="AI23" s="215"/>
    </row>
    <row r="24" spans="1:35" outlineLevel="1" x14ac:dyDescent="0.3">
      <c r="A24" s="214">
        <v>2012</v>
      </c>
      <c r="B24" s="215">
        <v>11578</v>
      </c>
      <c r="C24" s="215">
        <v>20128</v>
      </c>
      <c r="D24" s="215">
        <v>34821</v>
      </c>
      <c r="E24" s="215">
        <v>6598</v>
      </c>
      <c r="F24" s="215">
        <f t="shared" si="1"/>
        <v>73125</v>
      </c>
      <c r="G24" s="220"/>
      <c r="H24" s="215">
        <f t="shared" si="4"/>
        <v>71848</v>
      </c>
      <c r="I24" s="1762">
        <f>-1625/H24</f>
        <v>-2.2617191849459969E-2</v>
      </c>
      <c r="K24" s="214">
        <v>2012</v>
      </c>
      <c r="L24" s="1793">
        <f t="shared" si="5"/>
        <v>3.6619213895603853E-2</v>
      </c>
      <c r="M24" s="1793">
        <f t="shared" si="5"/>
        <v>2.1000304352237098E-2</v>
      </c>
      <c r="N24" s="1793">
        <f t="shared" si="2"/>
        <v>3.2406309297912772E-2</v>
      </c>
      <c r="O24" s="1793">
        <f t="shared" si="2"/>
        <v>0.10704697986577183</v>
      </c>
      <c r="P24" s="1793">
        <f t="shared" si="2"/>
        <v>3.6190503181193323E-2</v>
      </c>
      <c r="Q24" s="1792"/>
      <c r="R24" s="1762">
        <f t="shared" si="2"/>
        <v>5.3466565984619185E-2</v>
      </c>
      <c r="W24" s="214">
        <v>2012</v>
      </c>
      <c r="X24" s="215">
        <f>'7. Insurance Summary'!J10</f>
        <v>16740</v>
      </c>
      <c r="Y24" s="215">
        <v>5870</v>
      </c>
      <c r="Z24" s="215">
        <v>9672</v>
      </c>
      <c r="AA24" s="215">
        <v>2263</v>
      </c>
      <c r="AB24" s="215">
        <f t="shared" si="10"/>
        <v>34545</v>
      </c>
      <c r="AD24" s="214">
        <v>2012</v>
      </c>
      <c r="AE24" s="508">
        <f t="shared" si="6"/>
        <v>0.67942054958183995</v>
      </c>
      <c r="AF24" s="508">
        <f t="shared" si="8"/>
        <v>3.3936967632027257</v>
      </c>
      <c r="AG24" s="508">
        <f t="shared" si="9"/>
        <v>3.5436827956989245</v>
      </c>
      <c r="AH24" s="508">
        <f t="shared" si="7"/>
        <v>2.7746354396818385</v>
      </c>
      <c r="AI24" s="215"/>
    </row>
    <row r="25" spans="1:35" outlineLevel="1" x14ac:dyDescent="0.3">
      <c r="A25" s="214">
        <v>2013</v>
      </c>
      <c r="B25" s="215">
        <v>12566</v>
      </c>
      <c r="C25" s="215">
        <v>20013</v>
      </c>
      <c r="D25" s="215">
        <v>37231</v>
      </c>
      <c r="E25" s="215">
        <v>7430</v>
      </c>
      <c r="F25" s="215">
        <f t="shared" si="1"/>
        <v>77240</v>
      </c>
      <c r="G25" s="220"/>
      <c r="H25" s="215">
        <f t="shared" si="4"/>
        <v>75182.5</v>
      </c>
      <c r="I25" s="1762">
        <f>-3089/H25</f>
        <v>-4.1086689056628871E-2</v>
      </c>
      <c r="K25" s="214">
        <v>2013</v>
      </c>
      <c r="L25" s="1793">
        <f t="shared" si="5"/>
        <v>8.5334254620832661E-2</v>
      </c>
      <c r="M25" s="1793">
        <f t="shared" si="5"/>
        <v>-5.7134340222575464E-3</v>
      </c>
      <c r="N25" s="1793">
        <f t="shared" si="2"/>
        <v>6.9211108239280783E-2</v>
      </c>
      <c r="O25" s="1793">
        <f t="shared" si="2"/>
        <v>0.1260988178235829</v>
      </c>
      <c r="P25" s="1793">
        <f t="shared" si="2"/>
        <v>5.6273504273504305E-2</v>
      </c>
      <c r="Q25" s="1792"/>
      <c r="R25" s="1762">
        <f t="shared" si="2"/>
        <v>4.6410477675091766E-2</v>
      </c>
      <c r="W25" s="214">
        <v>2013</v>
      </c>
      <c r="X25" s="215">
        <f>'7. Insurance Summary'!F10</f>
        <v>18572</v>
      </c>
      <c r="Y25" s="215">
        <v>5984</v>
      </c>
      <c r="Z25" s="215">
        <v>8786</v>
      </c>
      <c r="AA25" s="215">
        <v>3342</v>
      </c>
      <c r="AB25" s="215">
        <f t="shared" si="10"/>
        <v>36684</v>
      </c>
      <c r="AD25" s="214">
        <v>2013</v>
      </c>
      <c r="AE25" s="508">
        <f t="shared" si="6"/>
        <v>0.65001076889941845</v>
      </c>
      <c r="AF25" s="508">
        <f t="shared" si="8"/>
        <v>3.3540274064171123</v>
      </c>
      <c r="AG25" s="508">
        <f t="shared" si="9"/>
        <v>4.1003869792852266</v>
      </c>
      <c r="AH25" s="508">
        <f t="shared" si="7"/>
        <v>2.0987432675044881</v>
      </c>
      <c r="AI25" s="215"/>
    </row>
    <row r="26" spans="1:35" x14ac:dyDescent="0.3">
      <c r="A26" s="214">
        <v>2014</v>
      </c>
      <c r="B26" s="215">
        <v>13569</v>
      </c>
      <c r="C26" s="215">
        <v>19280</v>
      </c>
      <c r="D26" s="215">
        <v>42454</v>
      </c>
      <c r="E26" s="215">
        <v>8618</v>
      </c>
      <c r="F26" s="215">
        <f t="shared" si="1"/>
        <v>83921</v>
      </c>
      <c r="G26" s="220"/>
      <c r="H26" s="215">
        <f t="shared" si="4"/>
        <v>80580.5</v>
      </c>
      <c r="I26" s="1762">
        <f>-2668/H26</f>
        <v>-3.3109747395461679E-2</v>
      </c>
      <c r="K26" s="214">
        <v>2014</v>
      </c>
      <c r="L26" s="1793">
        <f t="shared" si="5"/>
        <v>7.9818558013687646E-2</v>
      </c>
      <c r="M26" s="1793">
        <f t="shared" si="5"/>
        <v>-3.6626192974566485E-2</v>
      </c>
      <c r="N26" s="1793">
        <f t="shared" si="5"/>
        <v>0.14028632053933543</v>
      </c>
      <c r="O26" s="1793">
        <f t="shared" si="5"/>
        <v>0.15989232839838485</v>
      </c>
      <c r="P26" s="1793">
        <f t="shared" si="5"/>
        <v>8.6496633868461847E-2</v>
      </c>
      <c r="Q26" s="1792"/>
      <c r="R26" s="1762">
        <f t="shared" ref="R26:R27" si="11">H26/H25-1</f>
        <v>7.1798623349848656E-2</v>
      </c>
      <c r="W26" s="214">
        <v>2014</v>
      </c>
      <c r="X26" s="215">
        <f>'7. Insurance Summary'!B10</f>
        <v>20496</v>
      </c>
      <c r="Y26" s="215">
        <v>6264</v>
      </c>
      <c r="Z26" s="215">
        <v>10116</v>
      </c>
      <c r="AA26" s="215">
        <v>4377</v>
      </c>
      <c r="AB26" s="215">
        <f t="shared" si="10"/>
        <v>41253</v>
      </c>
      <c r="AD26" s="214">
        <v>2014</v>
      </c>
      <c r="AE26" s="508">
        <f t="shared" si="6"/>
        <v>0.63756342701014834</v>
      </c>
      <c r="AF26" s="508">
        <f t="shared" si="8"/>
        <v>3.1364144316730522</v>
      </c>
      <c r="AG26" s="508">
        <f t="shared" si="9"/>
        <v>3.9385626729932781</v>
      </c>
      <c r="AH26" s="508">
        <f t="shared" si="7"/>
        <v>1.833219099840073</v>
      </c>
      <c r="AI26" s="215"/>
    </row>
    <row r="27" spans="1:35" x14ac:dyDescent="0.3">
      <c r="A27" s="214">
        <v>2015</v>
      </c>
      <c r="B27" s="215">
        <v>15148</v>
      </c>
      <c r="C27" s="215">
        <v>18560</v>
      </c>
      <c r="D27" s="215">
        <v>44108</v>
      </c>
      <c r="E27" s="215">
        <v>9906</v>
      </c>
      <c r="F27" s="215">
        <f t="shared" si="1"/>
        <v>87722</v>
      </c>
      <c r="G27" s="220"/>
      <c r="H27" s="215">
        <f t="shared" si="4"/>
        <v>85821.5</v>
      </c>
      <c r="I27" s="1762">
        <f>-1837/H27</f>
        <v>-2.1404892713364366E-2</v>
      </c>
      <c r="K27" s="214">
        <v>2015</v>
      </c>
      <c r="L27" s="1793">
        <f t="shared" ref="L27:L28" si="12">B27/B26-1</f>
        <v>0.11636819220281525</v>
      </c>
      <c r="M27" s="1793">
        <f t="shared" ref="M27:M28" si="13">C27/C26-1</f>
        <v>-3.7344398340248941E-2</v>
      </c>
      <c r="N27" s="1793">
        <f t="shared" ref="N27:N28" si="14">D27/D26-1</f>
        <v>3.8959815329533187E-2</v>
      </c>
      <c r="O27" s="1793">
        <f t="shared" ref="O27:O28" si="15">E27/E26-1</f>
        <v>0.14945462984451141</v>
      </c>
      <c r="P27" s="1793">
        <f>F27/F26-1</f>
        <v>4.529259660871543E-2</v>
      </c>
      <c r="Q27" s="1792"/>
      <c r="R27" s="1762">
        <f t="shared" si="11"/>
        <v>6.5040549512599188E-2</v>
      </c>
      <c r="W27" s="214">
        <v>2015</v>
      </c>
      <c r="X27" s="215">
        <v>22718</v>
      </c>
      <c r="Y27" s="215">
        <v>5975</v>
      </c>
      <c r="Z27" s="215">
        <v>7207</v>
      </c>
      <c r="AA27" s="215">
        <v>5394</v>
      </c>
      <c r="AB27" s="215">
        <f t="shared" si="10"/>
        <v>41294</v>
      </c>
      <c r="AD27" s="214">
        <v>2015</v>
      </c>
      <c r="AE27" s="508">
        <f t="shared" si="6"/>
        <v>0.63203186900255304</v>
      </c>
      <c r="AF27" s="508">
        <f t="shared" si="8"/>
        <v>3.1665271966527198</v>
      </c>
      <c r="AG27" s="508">
        <f t="shared" si="9"/>
        <v>6.0054114055779104</v>
      </c>
      <c r="AH27" s="508">
        <f t="shared" si="7"/>
        <v>1.7170930663700408</v>
      </c>
      <c r="AI27" s="215"/>
    </row>
    <row r="28" spans="1:35" x14ac:dyDescent="0.3">
      <c r="A28" s="214">
        <v>2016</v>
      </c>
      <c r="B28" s="215">
        <v>17148</v>
      </c>
      <c r="C28" s="215">
        <v>17699</v>
      </c>
      <c r="D28" s="215">
        <v>45081</v>
      </c>
      <c r="E28" s="215">
        <v>11649</v>
      </c>
      <c r="F28" s="215">
        <f t="shared" si="1"/>
        <v>91577</v>
      </c>
      <c r="G28" s="220"/>
      <c r="H28" s="215">
        <f t="shared" si="4"/>
        <v>89649.5</v>
      </c>
      <c r="I28" s="1762">
        <f>-2131/H28</f>
        <v>-2.3770350085611187E-2</v>
      </c>
      <c r="K28" s="214">
        <v>2016</v>
      </c>
      <c r="L28" s="1793">
        <f t="shared" si="12"/>
        <v>0.13203063110641677</v>
      </c>
      <c r="M28" s="1793">
        <f t="shared" si="13"/>
        <v>-4.6390086206896552E-2</v>
      </c>
      <c r="N28" s="1793">
        <f t="shared" si="14"/>
        <v>2.2059490341888033E-2</v>
      </c>
      <c r="O28" s="1793">
        <f t="shared" si="15"/>
        <v>0.17595396729254986</v>
      </c>
      <c r="P28" s="1793">
        <f t="shared" ref="P28:P31" si="16">F28/F27-1</f>
        <v>4.3945646474088607E-2</v>
      </c>
      <c r="Q28" s="1792"/>
      <c r="R28" s="1762">
        <f t="shared" ref="R28:R31" si="17">H28/H27-1</f>
        <v>4.4604207570364096E-2</v>
      </c>
      <c r="W28" s="214">
        <v>2016</v>
      </c>
      <c r="X28" s="215">
        <v>25483</v>
      </c>
      <c r="Y28" s="215">
        <v>5637</v>
      </c>
      <c r="Z28" s="215">
        <v>8504</v>
      </c>
      <c r="AA28" s="215">
        <v>6257</v>
      </c>
      <c r="AB28" s="215">
        <f t="shared" si="10"/>
        <v>45881</v>
      </c>
      <c r="AD28" s="214">
        <v>2016</v>
      </c>
      <c r="AE28" s="508">
        <f t="shared" si="6"/>
        <v>0.63367735352980414</v>
      </c>
      <c r="AF28" s="508">
        <f t="shared" si="8"/>
        <v>3.2161610785879016</v>
      </c>
      <c r="AG28" s="508">
        <f t="shared" si="9"/>
        <v>5.2439440263405457</v>
      </c>
      <c r="AH28" s="508">
        <f t="shared" si="7"/>
        <v>1.7224708326674125</v>
      </c>
      <c r="AI28" s="215"/>
    </row>
    <row r="29" spans="1:35" x14ac:dyDescent="0.3">
      <c r="A29" s="214">
        <v>2017</v>
      </c>
      <c r="B29" s="2999" t="s">
        <v>2485</v>
      </c>
      <c r="C29" s="3000"/>
      <c r="D29" s="3000"/>
      <c r="E29" s="3001"/>
      <c r="F29" s="215">
        <v>114500</v>
      </c>
      <c r="G29" s="220"/>
      <c r="H29" s="215">
        <f t="shared" si="4"/>
        <v>103038.5</v>
      </c>
      <c r="I29" s="1762">
        <f>3239/H29</f>
        <v>3.1434852021331831E-2</v>
      </c>
      <c r="K29" s="214">
        <v>2017</v>
      </c>
      <c r="L29" s="2999" t="str">
        <f>B29</f>
        <v>Detail no longer provided</v>
      </c>
      <c r="M29" s="3000"/>
      <c r="N29" s="3000"/>
      <c r="O29" s="3001"/>
      <c r="P29" s="1793">
        <f>F29/F28-1</f>
        <v>0.25031394345741842</v>
      </c>
      <c r="Q29" s="1792"/>
      <c r="R29" s="1762">
        <f t="shared" si="17"/>
        <v>0.14934829530560689</v>
      </c>
      <c r="W29" s="214">
        <v>2017</v>
      </c>
      <c r="X29" s="2999" t="s">
        <v>2246</v>
      </c>
      <c r="Y29" s="3000"/>
      <c r="Z29" s="3000"/>
      <c r="AA29" s="3001"/>
      <c r="AB29" s="1793"/>
      <c r="AD29" s="214">
        <v>2017</v>
      </c>
      <c r="AE29" s="2999" t="s">
        <v>2246</v>
      </c>
      <c r="AF29" s="3000"/>
      <c r="AG29" s="3000"/>
      <c r="AH29" s="3001"/>
      <c r="AI29" s="1793"/>
    </row>
    <row r="30" spans="1:35" x14ac:dyDescent="0.3">
      <c r="A30" s="214">
        <v>2018</v>
      </c>
      <c r="B30" s="3002"/>
      <c r="C30" s="3003"/>
      <c r="D30" s="3003"/>
      <c r="E30" s="3004"/>
      <c r="F30" s="215">
        <v>122732</v>
      </c>
      <c r="G30" s="220"/>
      <c r="H30" s="215">
        <f t="shared" si="4"/>
        <v>118616</v>
      </c>
      <c r="I30" s="1762">
        <f>-2010/H30</f>
        <v>-1.6945437377756795E-2</v>
      </c>
      <c r="K30" s="214">
        <v>2018</v>
      </c>
      <c r="L30" s="3002"/>
      <c r="M30" s="3003"/>
      <c r="N30" s="3003"/>
      <c r="O30" s="3004"/>
      <c r="P30" s="1793">
        <f t="shared" si="16"/>
        <v>7.1895196506550185E-2</v>
      </c>
      <c r="Q30" s="1792"/>
      <c r="R30" s="1762">
        <f t="shared" si="17"/>
        <v>0.15118135454223425</v>
      </c>
      <c r="W30" s="214">
        <v>2018</v>
      </c>
      <c r="X30" s="3002"/>
      <c r="Y30" s="3003"/>
      <c r="Z30" s="3003"/>
      <c r="AA30" s="3004"/>
      <c r="AB30" s="1793"/>
      <c r="AD30" s="214">
        <v>2018</v>
      </c>
      <c r="AE30" s="3002"/>
      <c r="AF30" s="3003"/>
      <c r="AG30" s="3003"/>
      <c r="AH30" s="3004"/>
      <c r="AI30" s="1793"/>
    </row>
    <row r="31" spans="1:35" ht="16.2" thickBot="1" x14ac:dyDescent="0.35">
      <c r="A31" s="214">
        <v>2019</v>
      </c>
      <c r="B31" s="3005"/>
      <c r="C31" s="3006"/>
      <c r="D31" s="3006"/>
      <c r="E31" s="3007"/>
      <c r="F31" s="215">
        <v>129423</v>
      </c>
      <c r="G31" s="220"/>
      <c r="H31" s="215">
        <f t="shared" si="4"/>
        <v>126077.5</v>
      </c>
      <c r="I31" s="1762">
        <f>-417/H31</f>
        <v>-3.3074894410184213E-3</v>
      </c>
      <c r="K31" s="214">
        <v>2019</v>
      </c>
      <c r="L31" s="3005"/>
      <c r="M31" s="3006"/>
      <c r="N31" s="3006"/>
      <c r="O31" s="3007"/>
      <c r="P31" s="1793">
        <f t="shared" si="16"/>
        <v>5.4517159339047661E-2</v>
      </c>
      <c r="Q31" s="1792"/>
      <c r="R31" s="1762">
        <f t="shared" si="17"/>
        <v>6.2904667161259864E-2</v>
      </c>
      <c r="W31" s="224">
        <v>2019</v>
      </c>
      <c r="X31" s="3005"/>
      <c r="Y31" s="3006"/>
      <c r="Z31" s="3006"/>
      <c r="AA31" s="3007"/>
      <c r="AB31" s="1795"/>
      <c r="AD31" s="224">
        <v>2019</v>
      </c>
      <c r="AE31" s="3005"/>
      <c r="AF31" s="3006"/>
      <c r="AG31" s="3006"/>
      <c r="AH31" s="3007"/>
      <c r="AI31" s="1795"/>
    </row>
    <row r="32" spans="1:35" ht="4.5" customHeight="1" thickBot="1" x14ac:dyDescent="0.35">
      <c r="A32" s="224"/>
      <c r="B32" s="218"/>
      <c r="C32" s="218"/>
      <c r="D32" s="218"/>
      <c r="E32" s="218"/>
      <c r="F32" s="218"/>
      <c r="G32" s="218"/>
      <c r="H32" s="218"/>
      <c r="I32" s="219"/>
      <c r="K32" s="224"/>
      <c r="L32" s="218"/>
      <c r="M32" s="218"/>
      <c r="N32" s="218"/>
      <c r="O32" s="218"/>
      <c r="P32" s="218"/>
      <c r="Q32" s="218"/>
      <c r="R32" s="219"/>
    </row>
    <row r="33" spans="1:31" x14ac:dyDescent="0.3">
      <c r="A33" s="12" t="s">
        <v>1893</v>
      </c>
    </row>
    <row r="36" spans="1:31" x14ac:dyDescent="0.3">
      <c r="D36" s="211" t="s">
        <v>176</v>
      </c>
      <c r="AD36" s="211">
        <v>2016</v>
      </c>
      <c r="AE36" s="1043">
        <f>0.65*X28</f>
        <v>16563.95</v>
      </c>
    </row>
    <row r="37" spans="1:31" x14ac:dyDescent="0.3">
      <c r="AD37" s="211">
        <v>2017</v>
      </c>
      <c r="AE37" s="211">
        <f>0.65*29441</f>
        <v>19136.650000000001</v>
      </c>
    </row>
    <row r="38" spans="1:31" x14ac:dyDescent="0.3">
      <c r="AE38" s="1043">
        <f>AE37-AE36</f>
        <v>2572.7000000000007</v>
      </c>
    </row>
  </sheetData>
  <mergeCells count="8">
    <mergeCell ref="AE4:AI4"/>
    <mergeCell ref="AE29:AH31"/>
    <mergeCell ref="B4:F4"/>
    <mergeCell ref="L4:P4"/>
    <mergeCell ref="B29:E31"/>
    <mergeCell ref="L29:O31"/>
    <mergeCell ref="X4:AB4"/>
    <mergeCell ref="X29:AA31"/>
  </mergeCells>
  <pageMargins left="0.7" right="0.7" top="0.75" bottom="0.75" header="0.3" footer="0.3"/>
  <pageSetup orientation="portrait" r:id="rId1"/>
  <ignoredErrors>
    <ignoredError sqref="F28 F26:F27 F9:F25" formulaRange="1"/>
  </ignoredError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5735-F199-4934-91D5-47224949C57F}">
  <sheetPr>
    <tabColor theme="4"/>
  </sheetPr>
  <dimension ref="A1:U27"/>
  <sheetViews>
    <sheetView showGridLines="0" zoomScale="115" zoomScaleNormal="115" workbookViewId="0">
      <selection activeCell="P16" sqref="P16"/>
    </sheetView>
  </sheetViews>
  <sheetFormatPr defaultColWidth="9.109375" defaultRowHeight="15.6" x14ac:dyDescent="0.3"/>
  <cols>
    <col min="1" max="1" width="39.109375" style="211" customWidth="1"/>
    <col min="2" max="2" width="8.88671875" style="211" customWidth="1"/>
    <col min="3" max="3" width="1.6640625" style="211" customWidth="1"/>
    <col min="4" max="4" width="8.88671875" style="211" customWidth="1"/>
    <col min="5" max="5" width="1.6640625" style="211" customWidth="1"/>
    <col min="6" max="6" width="8.88671875" style="211" customWidth="1"/>
    <col min="7" max="7" width="1.6640625" style="211" customWidth="1"/>
    <col min="8" max="8" width="8.88671875" style="211" customWidth="1"/>
    <col min="9" max="9" width="1.6640625" style="211" customWidth="1"/>
    <col min="10" max="10" width="8.88671875" style="211" customWidth="1"/>
    <col min="11" max="11" width="1.6640625" style="211" customWidth="1"/>
    <col min="12" max="12" width="8.88671875" style="211" customWidth="1"/>
    <col min="13" max="13" width="1.6640625" style="211" customWidth="1"/>
    <col min="14" max="14" width="8.88671875" style="211" customWidth="1"/>
    <col min="15" max="15" width="0.6640625" style="211" customWidth="1"/>
    <col min="16" max="16384" width="9.109375" style="211"/>
  </cols>
  <sheetData>
    <row r="1" spans="1:18" x14ac:dyDescent="0.3">
      <c r="A1" s="459" t="s">
        <v>2240</v>
      </c>
      <c r="B1" s="459"/>
      <c r="C1" s="459"/>
      <c r="D1" s="459"/>
      <c r="E1" s="459"/>
      <c r="F1" s="459"/>
      <c r="G1" s="459"/>
      <c r="H1" s="459"/>
      <c r="I1" s="459"/>
    </row>
    <row r="2" spans="1:18" x14ac:dyDescent="0.3">
      <c r="A2" s="152" t="s">
        <v>2259</v>
      </c>
      <c r="B2" s="152"/>
      <c r="C2" s="152"/>
      <c r="D2" s="152"/>
      <c r="E2" s="152"/>
      <c r="F2" s="152"/>
      <c r="G2" s="152"/>
      <c r="H2" s="152"/>
      <c r="I2" s="152"/>
    </row>
    <row r="3" spans="1:18" ht="6" customHeight="1" thickBot="1" x14ac:dyDescent="0.35"/>
    <row r="4" spans="1:18" ht="31.2" x14ac:dyDescent="0.3">
      <c r="A4" s="212" t="s">
        <v>1250</v>
      </c>
      <c r="B4" s="712">
        <v>2019</v>
      </c>
      <c r="C4" s="1776"/>
      <c r="D4" s="712">
        <v>2018</v>
      </c>
      <c r="E4" s="712"/>
      <c r="F4" s="1914" t="s">
        <v>2577</v>
      </c>
      <c r="G4" s="2674"/>
      <c r="H4" s="1914" t="s">
        <v>2576</v>
      </c>
      <c r="I4" s="1776"/>
      <c r="J4" s="712">
        <v>2016</v>
      </c>
      <c r="K4" s="712"/>
      <c r="L4" s="712">
        <v>2015</v>
      </c>
      <c r="M4" s="712"/>
      <c r="N4" s="712">
        <v>2014</v>
      </c>
      <c r="O4" s="713"/>
    </row>
    <row r="5" spans="1:18" x14ac:dyDescent="0.3">
      <c r="A5" s="214" t="s">
        <v>2260</v>
      </c>
      <c r="B5" s="518">
        <v>5635</v>
      </c>
      <c r="C5" s="220"/>
      <c r="D5" s="518">
        <v>5822</v>
      </c>
      <c r="E5" s="518"/>
      <c r="F5" s="518">
        <v>5065</v>
      </c>
      <c r="G5" s="2675"/>
      <c r="H5" s="518">
        <v>4367</v>
      </c>
      <c r="I5" s="220"/>
      <c r="J5" s="518">
        <v>4209</v>
      </c>
      <c r="K5" s="518"/>
      <c r="L5" s="518">
        <v>2994</v>
      </c>
      <c r="M5" s="518"/>
      <c r="N5" s="518">
        <v>3159</v>
      </c>
      <c r="O5" s="1325"/>
    </row>
    <row r="6" spans="1:18" x14ac:dyDescent="0.3">
      <c r="A6" s="214" t="s">
        <v>2261</v>
      </c>
      <c r="B6" s="521">
        <v>2636</v>
      </c>
      <c r="C6" s="220"/>
      <c r="D6" s="521">
        <v>2336</v>
      </c>
      <c r="E6" s="521"/>
      <c r="F6" s="521">
        <v>2147</v>
      </c>
      <c r="G6" s="2675"/>
      <c r="H6" s="521">
        <v>1382</v>
      </c>
      <c r="I6" s="220"/>
      <c r="J6" s="521">
        <v>1178</v>
      </c>
      <c r="K6" s="521"/>
      <c r="L6" s="521">
        <v>1167</v>
      </c>
      <c r="M6" s="521"/>
      <c r="N6" s="521">
        <v>896</v>
      </c>
      <c r="O6" s="1624"/>
    </row>
    <row r="7" spans="1:18" x14ac:dyDescent="0.3">
      <c r="A7" s="214" t="s">
        <v>2262</v>
      </c>
      <c r="B7" s="521">
        <v>1251</v>
      </c>
      <c r="C7" s="220"/>
      <c r="D7" s="521">
        <v>1208</v>
      </c>
      <c r="E7" s="521"/>
      <c r="F7" s="521">
        <v>1112</v>
      </c>
      <c r="G7" s="2675"/>
      <c r="H7" s="521">
        <v>1112</v>
      </c>
      <c r="I7" s="220"/>
      <c r="J7" s="521">
        <v>824</v>
      </c>
      <c r="K7" s="521"/>
      <c r="L7" s="521">
        <v>732</v>
      </c>
      <c r="M7" s="521"/>
      <c r="N7" s="521">
        <v>756</v>
      </c>
      <c r="O7" s="1624"/>
    </row>
    <row r="8" spans="1:18" x14ac:dyDescent="0.3">
      <c r="A8" s="214" t="s">
        <v>2263</v>
      </c>
      <c r="B8" s="1328">
        <f>SUM(B5:B7)</f>
        <v>9522</v>
      </c>
      <c r="C8" s="220"/>
      <c r="D8" s="1328">
        <f>SUM(D5:D7)</f>
        <v>9366</v>
      </c>
      <c r="E8" s="521"/>
      <c r="F8" s="1328">
        <f>SUM(F5:F7)</f>
        <v>8324</v>
      </c>
      <c r="G8" s="2675"/>
      <c r="H8" s="1328">
        <f>SUM(H5:H7)</f>
        <v>6861</v>
      </c>
      <c r="I8" s="220"/>
      <c r="J8" s="1328">
        <f>SUM(J5:J7)</f>
        <v>6211</v>
      </c>
      <c r="K8" s="521"/>
      <c r="L8" s="1328">
        <f>SUM(L5:L7)</f>
        <v>4893</v>
      </c>
      <c r="M8" s="521"/>
      <c r="N8" s="1328">
        <f>SUM(N5:N7)</f>
        <v>4811</v>
      </c>
      <c r="O8" s="1624"/>
    </row>
    <row r="9" spans="1:18" x14ac:dyDescent="0.3">
      <c r="A9" s="214"/>
      <c r="B9" s="521"/>
      <c r="C9" s="220"/>
      <c r="D9" s="521"/>
      <c r="E9" s="521"/>
      <c r="F9" s="521"/>
      <c r="G9" s="2675"/>
      <c r="H9" s="521"/>
      <c r="I9" s="220"/>
      <c r="J9" s="521"/>
      <c r="K9" s="521"/>
      <c r="L9" s="521"/>
      <c r="M9" s="521"/>
      <c r="N9" s="521"/>
      <c r="O9" s="1624"/>
    </row>
    <row r="10" spans="1:18" x14ac:dyDescent="0.3">
      <c r="A10" s="214" t="s">
        <v>2264</v>
      </c>
      <c r="B10" s="521">
        <v>1681</v>
      </c>
      <c r="C10" s="220"/>
      <c r="D10" s="521">
        <v>1836</v>
      </c>
      <c r="E10" s="521"/>
      <c r="F10" s="521">
        <v>1519</v>
      </c>
      <c r="G10" s="2675"/>
      <c r="H10" s="521">
        <v>1298</v>
      </c>
      <c r="I10" s="220"/>
      <c r="J10" s="521">
        <v>1161</v>
      </c>
      <c r="K10" s="521"/>
      <c r="L10" s="521">
        <v>1156</v>
      </c>
      <c r="M10" s="521"/>
      <c r="N10" s="521">
        <v>1202</v>
      </c>
      <c r="O10" s="1624"/>
    </row>
    <row r="11" spans="1:18" x14ac:dyDescent="0.3">
      <c r="A11" s="214" t="s">
        <v>2265</v>
      </c>
      <c r="B11" s="521">
        <v>874</v>
      </c>
      <c r="C11" s="220"/>
      <c r="D11" s="521">
        <v>860</v>
      </c>
      <c r="E11" s="521"/>
      <c r="F11" s="521">
        <v>785</v>
      </c>
      <c r="G11" s="2675"/>
      <c r="H11" s="521">
        <v>785</v>
      </c>
      <c r="I11" s="220"/>
      <c r="J11" s="521">
        <v>659</v>
      </c>
      <c r="K11" s="521"/>
      <c r="L11" s="521">
        <v>564</v>
      </c>
      <c r="M11" s="521"/>
      <c r="N11" s="521">
        <v>344</v>
      </c>
      <c r="O11" s="1624"/>
      <c r="R11" s="211" t="s">
        <v>176</v>
      </c>
    </row>
    <row r="12" spans="1:18" x14ac:dyDescent="0.3">
      <c r="A12" s="214" t="s">
        <v>1075</v>
      </c>
      <c r="B12" s="521">
        <v>288</v>
      </c>
      <c r="C12" s="220"/>
      <c r="D12" s="521">
        <v>246</v>
      </c>
      <c r="E12" s="521"/>
      <c r="F12" s="521">
        <v>299</v>
      </c>
      <c r="G12" s="2675"/>
      <c r="H12" s="521">
        <v>299</v>
      </c>
      <c r="I12" s="220"/>
      <c r="J12" s="521">
        <v>431</v>
      </c>
      <c r="K12" s="521"/>
      <c r="L12" s="521">
        <v>502</v>
      </c>
      <c r="M12" s="521"/>
      <c r="N12" s="521">
        <v>435</v>
      </c>
      <c r="O12" s="1624"/>
    </row>
    <row r="13" spans="1:18" x14ac:dyDescent="0.3">
      <c r="A13" s="214" t="s">
        <v>2266</v>
      </c>
      <c r="B13" s="1328">
        <f>SUM(B10:B12)</f>
        <v>2843</v>
      </c>
      <c r="C13" s="220"/>
      <c r="D13" s="1328">
        <f>SUM(D10:D12)</f>
        <v>2942</v>
      </c>
      <c r="E13" s="521"/>
      <c r="F13" s="1328">
        <f>SUM(F10:F12)</f>
        <v>2603</v>
      </c>
      <c r="G13" s="2675"/>
      <c r="H13" s="1328">
        <f>SUM(H10:H12)</f>
        <v>2382</v>
      </c>
      <c r="I13" s="220"/>
      <c r="J13" s="1328">
        <f>SUM(J10:J12)</f>
        <v>2251</v>
      </c>
      <c r="K13" s="521"/>
      <c r="L13" s="1328">
        <f>SUM(L10:L12)</f>
        <v>2222</v>
      </c>
      <c r="M13" s="521"/>
      <c r="N13" s="1328">
        <f>SUM(N10:N12)</f>
        <v>1981</v>
      </c>
      <c r="O13" s="1624"/>
    </row>
    <row r="14" spans="1:18" x14ac:dyDescent="0.3">
      <c r="A14" s="214"/>
      <c r="B14" s="220"/>
      <c r="C14" s="220"/>
      <c r="D14" s="220"/>
      <c r="E14" s="220"/>
      <c r="F14" s="220"/>
      <c r="G14" s="2675"/>
      <c r="H14" s="220"/>
      <c r="I14" s="220"/>
      <c r="J14" s="220"/>
      <c r="K14" s="220"/>
      <c r="L14" s="220"/>
      <c r="M14" s="220"/>
      <c r="N14" s="220"/>
      <c r="O14" s="223"/>
    </row>
    <row r="15" spans="1:18" x14ac:dyDescent="0.3">
      <c r="A15" s="214" t="s">
        <v>2217</v>
      </c>
      <c r="B15" s="2762">
        <f>B8+B13</f>
        <v>12365</v>
      </c>
      <c r="C15" s="220"/>
      <c r="D15" s="2762">
        <f>D8+D13</f>
        <v>12308</v>
      </c>
      <c r="E15" s="518"/>
      <c r="F15" s="2762">
        <f>F8+F13</f>
        <v>10927</v>
      </c>
      <c r="G15" s="2675"/>
      <c r="H15" s="2762">
        <f>H8+H13</f>
        <v>9243</v>
      </c>
      <c r="I15" s="220"/>
      <c r="J15" s="2762">
        <f>J8+J13</f>
        <v>8462</v>
      </c>
      <c r="K15" s="518"/>
      <c r="L15" s="2762">
        <f>L8+L13</f>
        <v>7115</v>
      </c>
      <c r="M15" s="518"/>
      <c r="N15" s="2762">
        <f>N8+N13</f>
        <v>6792</v>
      </c>
      <c r="O15" s="1325"/>
    </row>
    <row r="16" spans="1:18" x14ac:dyDescent="0.3">
      <c r="A16" s="214" t="s">
        <v>3770</v>
      </c>
      <c r="B16" s="2763">
        <v>-2993</v>
      </c>
      <c r="C16" s="220"/>
      <c r="D16" s="2763">
        <v>-2944</v>
      </c>
      <c r="E16" s="518"/>
      <c r="F16" s="2763">
        <v>-3645</v>
      </c>
      <c r="G16" s="2675"/>
      <c r="H16" s="2763">
        <v>-3035</v>
      </c>
      <c r="I16" s="220"/>
      <c r="J16" s="2763">
        <v>-2831</v>
      </c>
      <c r="K16" s="518"/>
      <c r="L16" s="2763">
        <v>-2432</v>
      </c>
      <c r="M16" s="518"/>
      <c r="N16" s="2763">
        <v>-2324</v>
      </c>
      <c r="O16" s="1325"/>
    </row>
    <row r="17" spans="1:21" ht="16.2" thickBot="1" x14ac:dyDescent="0.35">
      <c r="A17" s="214" t="s">
        <v>3771</v>
      </c>
      <c r="B17" s="2764">
        <f>B15+B16</f>
        <v>9372</v>
      </c>
      <c r="C17" s="220"/>
      <c r="D17" s="2764">
        <f>D15+D16</f>
        <v>9364</v>
      </c>
      <c r="E17" s="518"/>
      <c r="F17" s="2764">
        <f>F15+F16</f>
        <v>7282</v>
      </c>
      <c r="G17" s="2675"/>
      <c r="H17" s="2764">
        <f>H15+H16</f>
        <v>6208</v>
      </c>
      <c r="I17" s="220"/>
      <c r="J17" s="2764">
        <f>J15+J16</f>
        <v>5631</v>
      </c>
      <c r="K17" s="518"/>
      <c r="L17" s="2764">
        <f>L15+L16</f>
        <v>4683</v>
      </c>
      <c r="M17" s="518"/>
      <c r="N17" s="2764">
        <f>N15+N16</f>
        <v>4468</v>
      </c>
      <c r="O17" s="1325"/>
    </row>
    <row r="18" spans="1:21" ht="9" customHeight="1" thickTop="1" x14ac:dyDescent="0.3">
      <c r="A18" s="214"/>
      <c r="B18" s="518"/>
      <c r="C18" s="220"/>
      <c r="D18" s="518"/>
      <c r="E18" s="518"/>
      <c r="F18" s="518"/>
      <c r="G18" s="1885"/>
      <c r="H18" s="518"/>
      <c r="I18" s="220"/>
      <c r="J18" s="518"/>
      <c r="K18" s="518"/>
      <c r="L18" s="518"/>
      <c r="M18" s="518"/>
      <c r="N18" s="518"/>
      <c r="O18" s="1325"/>
    </row>
    <row r="19" spans="1:21" x14ac:dyDescent="0.3">
      <c r="A19" s="2806" t="s">
        <v>3794</v>
      </c>
      <c r="B19" s="2807"/>
      <c r="C19" s="2807"/>
      <c r="D19" s="2807"/>
      <c r="E19" s="2807"/>
      <c r="F19" s="2807"/>
      <c r="G19" s="2807"/>
      <c r="H19" s="2807"/>
      <c r="I19" s="2807"/>
      <c r="J19" s="2807"/>
      <c r="K19" s="2807"/>
      <c r="L19" s="2807"/>
      <c r="M19" s="2807"/>
      <c r="N19" s="2807"/>
      <c r="O19" s="1325"/>
    </row>
    <row r="20" spans="1:21" ht="3.75" customHeight="1" thickBot="1" x14ac:dyDescent="0.35">
      <c r="A20" s="224"/>
      <c r="B20" s="218"/>
      <c r="C20" s="218"/>
      <c r="D20" s="520"/>
      <c r="E20" s="520"/>
      <c r="F20" s="520"/>
      <c r="G20" s="1886"/>
      <c r="H20" s="520"/>
      <c r="I20" s="218"/>
      <c r="J20" s="520"/>
      <c r="K20" s="520"/>
      <c r="L20" s="520"/>
      <c r="M20" s="520"/>
      <c r="N20" s="520"/>
      <c r="O20" s="1887"/>
    </row>
    <row r="21" spans="1:21" ht="15.75" customHeight="1" x14ac:dyDescent="0.3">
      <c r="A21" s="2811" t="s">
        <v>2440</v>
      </c>
      <c r="B21" s="2811"/>
      <c r="C21" s="2811"/>
      <c r="D21" s="2811"/>
      <c r="E21" s="2811"/>
      <c r="F21" s="2811"/>
      <c r="G21" s="2811"/>
      <c r="H21" s="2811"/>
      <c r="I21" s="2811"/>
      <c r="J21" s="2811"/>
      <c r="K21" s="2811"/>
      <c r="L21" s="2811"/>
      <c r="M21" s="2811"/>
      <c r="N21" s="2811"/>
      <c r="O21" s="904"/>
    </row>
    <row r="22" spans="1:21" x14ac:dyDescent="0.3">
      <c r="A22" s="904"/>
      <c r="B22" s="904"/>
      <c r="C22" s="904"/>
      <c r="D22" s="904"/>
      <c r="E22" s="904"/>
      <c r="F22" s="904"/>
      <c r="G22" s="904"/>
      <c r="H22" s="904"/>
      <c r="I22" s="904"/>
      <c r="J22" s="904"/>
      <c r="K22" s="904"/>
      <c r="L22" s="904"/>
      <c r="M22" s="904"/>
      <c r="N22" s="904"/>
      <c r="O22" s="904"/>
    </row>
    <row r="24" spans="1:21" x14ac:dyDescent="0.3">
      <c r="L24" s="211" t="s">
        <v>176</v>
      </c>
    </row>
    <row r="25" spans="1:21" x14ac:dyDescent="0.3">
      <c r="U25" s="211" t="s">
        <v>176</v>
      </c>
    </row>
    <row r="26" spans="1:21" x14ac:dyDescent="0.3">
      <c r="N26" s="211" t="s">
        <v>176</v>
      </c>
    </row>
    <row r="27" spans="1:21" x14ac:dyDescent="0.3">
      <c r="Q27" s="211" t="s">
        <v>176</v>
      </c>
    </row>
  </sheetData>
  <mergeCells count="2">
    <mergeCell ref="A19:N19"/>
    <mergeCell ref="A21:N21"/>
  </mergeCells>
  <pageMargins left="0.7" right="0.7" top="0.75" bottom="0.75" header="0.3" footer="0.3"/>
  <ignoredErrors>
    <ignoredError sqref="N8 L8 B8:J8" formulaRange="1"/>
  </ignoredErrors>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4102-C91D-4A36-AE2C-C42168550EF6}">
  <sheetPr>
    <tabColor theme="4"/>
  </sheetPr>
  <dimension ref="A1:O135"/>
  <sheetViews>
    <sheetView showGridLines="0" topLeftCell="A83" workbookViewId="0">
      <selection activeCell="K99" sqref="K99"/>
    </sheetView>
  </sheetViews>
  <sheetFormatPr defaultColWidth="8.6640625" defaultRowHeight="15.6" outlineLevelRow="1" x14ac:dyDescent="0.3"/>
  <cols>
    <col min="1" max="1" width="37.5546875" style="211" customWidth="1"/>
    <col min="2" max="2" width="11.109375" style="211" customWidth="1"/>
    <col min="3" max="3" width="8.88671875" style="211" bestFit="1" customWidth="1"/>
    <col min="4" max="5" width="9.88671875" style="211" bestFit="1" customWidth="1"/>
    <col min="6" max="7" width="11" style="211" bestFit="1" customWidth="1"/>
    <col min="8" max="8" width="10.33203125" style="211" bestFit="1" customWidth="1"/>
    <col min="9" max="11" width="8.6640625" style="211"/>
    <col min="12" max="12" width="8.88671875" style="211" bestFit="1" customWidth="1"/>
    <col min="13" max="13" width="15.6640625" style="211" bestFit="1" customWidth="1"/>
    <col min="14" max="14" width="12.109375" style="211" bestFit="1" customWidth="1"/>
    <col min="15" max="15" width="11.33203125" style="211" bestFit="1" customWidth="1"/>
    <col min="16" max="16384" width="8.6640625" style="211"/>
  </cols>
  <sheetData>
    <row r="1" spans="1:2" x14ac:dyDescent="0.3">
      <c r="A1" s="211" t="s">
        <v>783</v>
      </c>
      <c r="B1" s="252">
        <v>22.138999999999999</v>
      </c>
    </row>
    <row r="2" spans="1:2" x14ac:dyDescent="0.3">
      <c r="A2" s="211" t="s">
        <v>778</v>
      </c>
      <c r="B2" s="230">
        <v>64.438000000000002</v>
      </c>
    </row>
    <row r="3" spans="1:2" x14ac:dyDescent="0.3">
      <c r="A3" s="211" t="s">
        <v>1</v>
      </c>
      <c r="B3" s="230">
        <v>-0.10199999999999999</v>
      </c>
    </row>
    <row r="4" spans="1:2" x14ac:dyDescent="0.3">
      <c r="A4" s="211" t="s">
        <v>779</v>
      </c>
      <c r="B4" s="230">
        <v>-2.4550000000000001</v>
      </c>
    </row>
    <row r="5" spans="1:2" x14ac:dyDescent="0.3">
      <c r="A5" s="211" t="s">
        <v>780</v>
      </c>
      <c r="B5" s="230">
        <v>-0.3</v>
      </c>
    </row>
    <row r="6" spans="1:2" x14ac:dyDescent="0.3">
      <c r="A6" s="211" t="s">
        <v>781</v>
      </c>
      <c r="B6" s="230">
        <v>4.4779999999999998</v>
      </c>
    </row>
    <row r="7" spans="1:2" x14ac:dyDescent="0.3">
      <c r="A7" s="211" t="s">
        <v>782</v>
      </c>
      <c r="B7" s="277">
        <f>SUM(B1:B6)</f>
        <v>88.197999999999993</v>
      </c>
    </row>
    <row r="9" spans="1:2" x14ac:dyDescent="0.3">
      <c r="A9" s="211" t="s">
        <v>782</v>
      </c>
      <c r="B9" s="252">
        <v>88</v>
      </c>
    </row>
    <row r="10" spans="1:2" x14ac:dyDescent="0.3">
      <c r="A10" s="211" t="s">
        <v>493</v>
      </c>
      <c r="B10" s="230">
        <v>565</v>
      </c>
    </row>
    <row r="11" spans="1:2" x14ac:dyDescent="0.3">
      <c r="A11" s="211" t="s">
        <v>784</v>
      </c>
      <c r="B11" s="230">
        <v>486</v>
      </c>
    </row>
    <row r="12" spans="1:2" x14ac:dyDescent="0.3">
      <c r="A12" s="211" t="s">
        <v>785</v>
      </c>
      <c r="B12" s="230">
        <v>133</v>
      </c>
    </row>
    <row r="13" spans="1:2" x14ac:dyDescent="0.3">
      <c r="A13" s="211" t="s">
        <v>786</v>
      </c>
      <c r="B13" s="252">
        <f>SUM(B9:B12)</f>
        <v>1272</v>
      </c>
    </row>
    <row r="16" spans="1:2" x14ac:dyDescent="0.3">
      <c r="A16" s="211" t="s">
        <v>786</v>
      </c>
      <c r="B16" s="252">
        <v>1271.761</v>
      </c>
    </row>
    <row r="17" spans="1:15" x14ac:dyDescent="0.3">
      <c r="A17" s="211" t="s">
        <v>809</v>
      </c>
      <c r="B17" s="230">
        <v>4223.68</v>
      </c>
    </row>
    <row r="18" spans="1:15" x14ac:dyDescent="0.3">
      <c r="A18" s="211" t="s">
        <v>810</v>
      </c>
      <c r="B18" s="230">
        <v>433.03199999999998</v>
      </c>
    </row>
    <row r="19" spans="1:15" x14ac:dyDescent="0.3">
      <c r="A19" s="211" t="s">
        <v>720</v>
      </c>
      <c r="B19" s="230">
        <v>70.355000000000004</v>
      </c>
    </row>
    <row r="20" spans="1:15" x14ac:dyDescent="0.3">
      <c r="A20" s="211" t="s">
        <v>816</v>
      </c>
      <c r="B20" s="230">
        <v>171.77500000000001</v>
      </c>
    </row>
    <row r="21" spans="1:15" x14ac:dyDescent="0.3">
      <c r="A21" s="211" t="s">
        <v>719</v>
      </c>
      <c r="B21" s="230">
        <v>-1.355</v>
      </c>
    </row>
    <row r="22" spans="1:15" x14ac:dyDescent="0.3">
      <c r="A22" s="211" t="s">
        <v>784</v>
      </c>
      <c r="B22" s="230">
        <v>5705.634</v>
      </c>
    </row>
    <row r="23" spans="1:15" x14ac:dyDescent="0.3">
      <c r="A23" s="211" t="s">
        <v>788</v>
      </c>
      <c r="B23" s="252">
        <f>SUM(B16:B22)</f>
        <v>11874.882000000001</v>
      </c>
    </row>
    <row r="25" spans="1:15" ht="16.2" thickBot="1" x14ac:dyDescent="0.35">
      <c r="L25" s="211" t="s">
        <v>814</v>
      </c>
    </row>
    <row r="26" spans="1:15" x14ac:dyDescent="0.3">
      <c r="A26" s="225" t="s">
        <v>811</v>
      </c>
      <c r="B26" s="389"/>
    </row>
    <row r="27" spans="1:15" x14ac:dyDescent="0.3">
      <c r="A27" s="213" t="s">
        <v>789</v>
      </c>
      <c r="B27" s="1395">
        <f>B1</f>
        <v>22.138999999999999</v>
      </c>
    </row>
    <row r="28" spans="1:15" x14ac:dyDescent="0.3">
      <c r="A28" s="214" t="s">
        <v>812</v>
      </c>
      <c r="B28" s="1152">
        <f>B2+B10+B17-B29</f>
        <v>3292.0180000000005</v>
      </c>
      <c r="L28" s="211" t="s">
        <v>793</v>
      </c>
    </row>
    <row r="29" spans="1:15" x14ac:dyDescent="0.3">
      <c r="A29" s="214" t="s">
        <v>815</v>
      </c>
      <c r="B29" s="260">
        <v>1561.1</v>
      </c>
      <c r="L29" s="211" t="s">
        <v>792</v>
      </c>
      <c r="M29" s="230">
        <f>SUM('3. Financials'!C86:L86)</f>
        <v>7312528</v>
      </c>
      <c r="N29" s="1018">
        <v>7.3129999999999997</v>
      </c>
      <c r="O29" s="320">
        <f>N29</f>
        <v>7.3129999999999997</v>
      </c>
    </row>
    <row r="30" spans="1:15" x14ac:dyDescent="0.3">
      <c r="A30" s="214" t="s">
        <v>784</v>
      </c>
      <c r="B30" s="1152">
        <f>B11+B22+B20</f>
        <v>6363.4089999999997</v>
      </c>
      <c r="L30" s="211" t="s">
        <v>794</v>
      </c>
      <c r="M30" s="230">
        <f>SUM('4. Financials'!B144:D144,'4. Financials'!G144:J145,'4. Financials'!K141,'4. Financials'!N141:O141)</f>
        <v>199471557</v>
      </c>
      <c r="N30" s="211">
        <v>199.5</v>
      </c>
      <c r="O30" s="320">
        <f>N30</f>
        <v>199.5</v>
      </c>
    </row>
    <row r="31" spans="1:15" x14ac:dyDescent="0.3">
      <c r="A31" s="214" t="s">
        <v>790</v>
      </c>
      <c r="B31" s="1152">
        <f>B18+B12</f>
        <v>566.03199999999993</v>
      </c>
      <c r="L31" s="211">
        <v>1985</v>
      </c>
      <c r="M31" s="230">
        <v>325237000</v>
      </c>
      <c r="N31" s="1043">
        <f>M31/1000000</f>
        <v>325.23700000000002</v>
      </c>
      <c r="O31" s="320"/>
    </row>
    <row r="32" spans="1:15" x14ac:dyDescent="0.3">
      <c r="A32" s="214" t="s">
        <v>791</v>
      </c>
      <c r="B32" s="1152">
        <f>B21+B3+B4+B19</f>
        <v>66.442999999999998</v>
      </c>
      <c r="C32" s="211" t="s">
        <v>817</v>
      </c>
      <c r="L32" s="211">
        <v>1986</v>
      </c>
      <c r="M32" s="230">
        <v>150897000</v>
      </c>
      <c r="N32" s="1043">
        <f t="shared" ref="N32:N36" si="0">M32/1000000</f>
        <v>150.89699999999999</v>
      </c>
      <c r="O32" s="320"/>
    </row>
    <row r="33" spans="1:15" x14ac:dyDescent="0.3">
      <c r="A33" s="214" t="s">
        <v>279</v>
      </c>
      <c r="B33" s="1152">
        <f>B6</f>
        <v>4.4779999999999998</v>
      </c>
      <c r="L33" s="211">
        <v>1987</v>
      </c>
      <c r="M33" s="230">
        <v>19806000</v>
      </c>
      <c r="N33" s="1043">
        <f t="shared" si="0"/>
        <v>19.806000000000001</v>
      </c>
      <c r="O33" s="320"/>
    </row>
    <row r="34" spans="1:15" ht="16.2" thickBot="1" x14ac:dyDescent="0.35">
      <c r="A34" s="213" t="s">
        <v>813</v>
      </c>
      <c r="B34" s="1396">
        <f>SUM(B27:B33)-1</f>
        <v>11874.618999999999</v>
      </c>
      <c r="L34" s="211">
        <v>1988</v>
      </c>
      <c r="M34" s="230">
        <v>85829000</v>
      </c>
      <c r="N34" s="1043">
        <f t="shared" si="0"/>
        <v>85.828999999999994</v>
      </c>
      <c r="O34" s="320"/>
    </row>
    <row r="35" spans="1:15" ht="16.8" thickTop="1" thickBot="1" x14ac:dyDescent="0.35">
      <c r="A35" s="217" t="s">
        <v>797</v>
      </c>
      <c r="B35" s="219"/>
      <c r="L35" s="211">
        <v>1989</v>
      </c>
      <c r="M35" s="230">
        <v>147575000</v>
      </c>
      <c r="N35" s="1043">
        <f t="shared" si="0"/>
        <v>147.57499999999999</v>
      </c>
      <c r="O35" s="320"/>
    </row>
    <row r="36" spans="1:15" ht="16.2" thickBot="1" x14ac:dyDescent="0.35">
      <c r="A36" s="320"/>
      <c r="L36" s="211">
        <v>1990</v>
      </c>
      <c r="M36" s="230">
        <v>23348000</v>
      </c>
      <c r="N36" s="1043">
        <f t="shared" si="0"/>
        <v>23.347999999999999</v>
      </c>
      <c r="O36" s="320"/>
    </row>
    <row r="37" spans="1:15" x14ac:dyDescent="0.3">
      <c r="A37" s="453" t="s">
        <v>724</v>
      </c>
      <c r="B37" s="1397">
        <v>11651.5</v>
      </c>
      <c r="L37" s="211">
        <v>1991</v>
      </c>
      <c r="M37" s="230">
        <v>124155000</v>
      </c>
      <c r="N37" s="1043">
        <f>M37/1000000</f>
        <v>124.155</v>
      </c>
      <c r="O37" s="320"/>
    </row>
    <row r="38" spans="1:15" x14ac:dyDescent="0.3">
      <c r="A38" s="214" t="s">
        <v>990</v>
      </c>
      <c r="B38" s="1152">
        <v>33440.1</v>
      </c>
      <c r="L38" s="211">
        <v>1992</v>
      </c>
      <c r="M38" s="230">
        <v>59559000</v>
      </c>
      <c r="N38" s="1043">
        <f>M38/1000000</f>
        <v>59.558999999999997</v>
      </c>
      <c r="O38" s="320"/>
    </row>
    <row r="39" spans="1:15" x14ac:dyDescent="0.3">
      <c r="A39" s="214" t="s">
        <v>2071</v>
      </c>
      <c r="B39" s="1398">
        <v>15000</v>
      </c>
      <c r="L39" s="211">
        <v>1993</v>
      </c>
      <c r="M39" s="230">
        <v>356702000</v>
      </c>
      <c r="N39" s="1043">
        <f>M39/1000000</f>
        <v>356.702</v>
      </c>
      <c r="O39" s="320"/>
    </row>
    <row r="40" spans="1:15" x14ac:dyDescent="0.3">
      <c r="A40" s="214" t="s">
        <v>995</v>
      </c>
      <c r="B40" s="1152">
        <v>158</v>
      </c>
      <c r="L40" s="211">
        <v>1994</v>
      </c>
      <c r="M40" s="230">
        <v>61139000</v>
      </c>
      <c r="N40" s="1043">
        <f>M40/1000000</f>
        <v>61.139000000000003</v>
      </c>
      <c r="O40" s="1399">
        <f>SUM(N31:N40)</f>
        <v>1354.2469999999998</v>
      </c>
    </row>
    <row r="41" spans="1:15" x14ac:dyDescent="0.3">
      <c r="A41" s="214" t="s">
        <v>994</v>
      </c>
      <c r="B41" s="1152">
        <v>25085.3</v>
      </c>
      <c r="L41" s="152" t="s">
        <v>3</v>
      </c>
      <c r="M41" s="1400">
        <f>SUM(M29:M40)</f>
        <v>1561031085</v>
      </c>
      <c r="N41" s="1401">
        <f>SUM(N29:N40)</f>
        <v>1561.0599999999997</v>
      </c>
    </row>
    <row r="42" spans="1:15" x14ac:dyDescent="0.3">
      <c r="A42" s="214" t="s">
        <v>993</v>
      </c>
      <c r="B42" s="1402">
        <v>565</v>
      </c>
    </row>
    <row r="43" spans="1:15" x14ac:dyDescent="0.3">
      <c r="A43" s="214" t="s">
        <v>279</v>
      </c>
      <c r="B43" s="1398">
        <v>0.3</v>
      </c>
    </row>
    <row r="44" spans="1:15" x14ac:dyDescent="0.3">
      <c r="A44" s="214" t="s">
        <v>991</v>
      </c>
      <c r="B44" s="1403">
        <v>85900.200000000012</v>
      </c>
    </row>
    <row r="45" spans="1:15" x14ac:dyDescent="0.3">
      <c r="A45" s="214"/>
      <c r="B45" s="223"/>
    </row>
    <row r="46" spans="1:15" x14ac:dyDescent="0.3">
      <c r="A46" s="1404" t="s">
        <v>992</v>
      </c>
      <c r="B46" s="1405">
        <v>85900</v>
      </c>
    </row>
    <row r="47" spans="1:15" ht="16.2" thickBot="1" x14ac:dyDescent="0.35">
      <c r="A47" s="1406" t="s">
        <v>649</v>
      </c>
      <c r="B47" s="1407">
        <v>0.20000000001164153</v>
      </c>
    </row>
    <row r="48" spans="1:15" s="612" customFormat="1" x14ac:dyDescent="0.3">
      <c r="A48" s="397"/>
      <c r="B48" s="1675"/>
    </row>
    <row r="49" spans="1:3" s="612" customFormat="1" x14ac:dyDescent="0.3">
      <c r="A49" s="397" t="s">
        <v>2073</v>
      </c>
      <c r="B49" s="2942">
        <v>85900</v>
      </c>
      <c r="C49" s="2942"/>
    </row>
    <row r="50" spans="1:3" s="612" customFormat="1" x14ac:dyDescent="0.3">
      <c r="A50" s="397" t="s">
        <v>799</v>
      </c>
      <c r="B50" s="2942">
        <v>107393</v>
      </c>
      <c r="C50" s="2942"/>
    </row>
    <row r="51" spans="1:3" s="612" customFormat="1" x14ac:dyDescent="0.3">
      <c r="A51" s="397" t="s">
        <v>800</v>
      </c>
      <c r="B51" s="2942">
        <v>15805.000000000002</v>
      </c>
      <c r="C51" s="2942"/>
    </row>
    <row r="52" spans="1:3" s="612" customFormat="1" x14ac:dyDescent="0.3">
      <c r="A52" s="397" t="s">
        <v>784</v>
      </c>
      <c r="B52" s="2942">
        <v>25720</v>
      </c>
      <c r="C52" s="2942"/>
    </row>
    <row r="53" spans="1:3" s="612" customFormat="1" x14ac:dyDescent="0.3">
      <c r="A53" s="397" t="s">
        <v>790</v>
      </c>
      <c r="B53" s="2942">
        <v>12816</v>
      </c>
      <c r="C53" s="2942"/>
    </row>
    <row r="54" spans="1:3" s="612" customFormat="1" x14ac:dyDescent="0.3">
      <c r="A54" s="397" t="s">
        <v>791</v>
      </c>
      <c r="B54" s="2942">
        <v>-1763</v>
      </c>
      <c r="C54" s="2942"/>
    </row>
    <row r="55" spans="1:3" s="612" customFormat="1" x14ac:dyDescent="0.3">
      <c r="A55" s="397" t="s">
        <v>2074</v>
      </c>
      <c r="B55" s="2942">
        <v>0</v>
      </c>
      <c r="C55" s="2942"/>
    </row>
    <row r="56" spans="1:3" s="612" customFormat="1" x14ac:dyDescent="0.3">
      <c r="A56" s="397" t="s">
        <v>279</v>
      </c>
      <c r="B56" s="2942">
        <v>-5701</v>
      </c>
      <c r="C56" s="2942"/>
    </row>
    <row r="57" spans="1:3" s="612" customFormat="1" x14ac:dyDescent="0.3">
      <c r="A57" s="397" t="s">
        <v>2075</v>
      </c>
      <c r="B57" s="2942">
        <v>240170</v>
      </c>
      <c r="C57" s="2942"/>
    </row>
    <row r="58" spans="1:3" s="612" customFormat="1" x14ac:dyDescent="0.3">
      <c r="A58" s="397"/>
      <c r="B58" s="2942"/>
      <c r="C58" s="2942"/>
    </row>
    <row r="59" spans="1:3" s="612" customFormat="1" x14ac:dyDescent="0.3">
      <c r="A59" s="397" t="s">
        <v>2076</v>
      </c>
      <c r="B59" s="2942">
        <v>154270</v>
      </c>
      <c r="C59" s="2942"/>
    </row>
    <row r="60" spans="1:3" s="612" customFormat="1" x14ac:dyDescent="0.3">
      <c r="A60" s="397"/>
      <c r="B60" s="2942"/>
      <c r="C60" s="2942"/>
    </row>
    <row r="61" spans="1:3" s="612" customFormat="1" x14ac:dyDescent="0.3">
      <c r="A61" s="397" t="s">
        <v>997</v>
      </c>
      <c r="B61" s="2942">
        <v>240170</v>
      </c>
      <c r="C61" s="2942"/>
    </row>
    <row r="62" spans="1:3" s="612" customFormat="1" x14ac:dyDescent="0.3">
      <c r="A62" s="397" t="s">
        <v>649</v>
      </c>
      <c r="B62" s="2942">
        <v>0</v>
      </c>
      <c r="C62" s="2942"/>
    </row>
    <row r="63" spans="1:3" s="612" customFormat="1" x14ac:dyDescent="0.3">
      <c r="A63" s="397"/>
      <c r="B63" s="1675"/>
    </row>
    <row r="64" spans="1:3" x14ac:dyDescent="0.3">
      <c r="A64" s="211" t="s">
        <v>2075</v>
      </c>
    </row>
    <row r="65" spans="1:2" x14ac:dyDescent="0.3">
      <c r="A65" s="211" t="s">
        <v>799</v>
      </c>
      <c r="B65" s="1224">
        <f>'9. Equity recon. ''14-''19'!B44</f>
        <v>95122</v>
      </c>
    </row>
    <row r="66" spans="1:2" x14ac:dyDescent="0.3">
      <c r="A66" s="211" t="s">
        <v>800</v>
      </c>
      <c r="B66" s="1224">
        <f>'9. Equity recon. ''14-''19'!B45</f>
        <v>20299</v>
      </c>
    </row>
    <row r="67" spans="1:2" x14ac:dyDescent="0.3">
      <c r="A67" s="211" t="s">
        <v>784</v>
      </c>
      <c r="B67" s="1224">
        <f>'9. Equity recon. ''14-''19'!B46</f>
        <v>50297</v>
      </c>
    </row>
    <row r="68" spans="1:2" x14ac:dyDescent="0.3">
      <c r="A68" s="211" t="s">
        <v>790</v>
      </c>
      <c r="B68" s="1224">
        <f>'9. Equity recon. ''14-''19'!B47</f>
        <v>328</v>
      </c>
    </row>
    <row r="69" spans="1:2" x14ac:dyDescent="0.3">
      <c r="A69" s="211" t="s">
        <v>791</v>
      </c>
      <c r="B69" s="1224">
        <f>'9. Equity recon. ''14-''19'!B48</f>
        <v>-6362</v>
      </c>
    </row>
    <row r="70" spans="1:2" x14ac:dyDescent="0.3">
      <c r="A70" s="211" t="s">
        <v>2257</v>
      </c>
      <c r="B70" s="1224">
        <f>'9. Equity recon. ''14-''19'!B49</f>
        <v>29106</v>
      </c>
    </row>
    <row r="71" spans="1:2" x14ac:dyDescent="0.3">
      <c r="A71" s="211" t="s">
        <v>279</v>
      </c>
      <c r="B71" s="1224">
        <f>'9. Equity recon. ''14-''19'!B50</f>
        <v>-4169</v>
      </c>
    </row>
    <row r="72" spans="1:2" x14ac:dyDescent="0.3">
      <c r="A72" s="211" t="s">
        <v>2402</v>
      </c>
      <c r="B72" s="1224">
        <f>'9. Equity recon. ''14-''19'!B51</f>
        <v>424791</v>
      </c>
    </row>
    <row r="74" spans="1:2" x14ac:dyDescent="0.3">
      <c r="A74" s="211" t="s">
        <v>2076</v>
      </c>
      <c r="B74" s="1224">
        <f>'9. Equity recon. ''14-''19'!B53</f>
        <v>184621</v>
      </c>
    </row>
    <row r="76" spans="1:2" x14ac:dyDescent="0.3">
      <c r="A76" s="211" t="s">
        <v>997</v>
      </c>
      <c r="B76" s="1224">
        <f>'9. Equity recon. ''14-''19'!B55</f>
        <v>424791</v>
      </c>
    </row>
    <row r="77" spans="1:2" x14ac:dyDescent="0.3">
      <c r="A77" s="211" t="s">
        <v>649</v>
      </c>
      <c r="B77" s="1224">
        <f>'9. Equity recon. ''14-''19'!B56</f>
        <v>0</v>
      </c>
    </row>
    <row r="78" spans="1:2" x14ac:dyDescent="0.3">
      <c r="A78" s="152"/>
    </row>
    <row r="79" spans="1:2" x14ac:dyDescent="0.3">
      <c r="A79" s="152"/>
    </row>
    <row r="80" spans="1:2" x14ac:dyDescent="0.3">
      <c r="A80" s="152"/>
    </row>
    <row r="81" spans="1:12" x14ac:dyDescent="0.3">
      <c r="A81" s="152"/>
    </row>
    <row r="82" spans="1:12" x14ac:dyDescent="0.3">
      <c r="A82" s="152"/>
    </row>
    <row r="83" spans="1:12" x14ac:dyDescent="0.3">
      <c r="A83" s="459" t="s">
        <v>2240</v>
      </c>
      <c r="I83" s="1303"/>
    </row>
    <row r="84" spans="1:12" x14ac:dyDescent="0.3">
      <c r="A84" s="152" t="s">
        <v>1781</v>
      </c>
    </row>
    <row r="85" spans="1:12" ht="8.25" customHeight="1" thickBot="1" x14ac:dyDescent="0.35"/>
    <row r="86" spans="1:12" x14ac:dyDescent="0.3">
      <c r="A86" s="212" t="s">
        <v>1250</v>
      </c>
      <c r="B86" s="470" t="s">
        <v>1579</v>
      </c>
      <c r="C86" s="470" t="s">
        <v>1580</v>
      </c>
      <c r="D86" s="470" t="s">
        <v>1584</v>
      </c>
      <c r="E86" s="470" t="s">
        <v>1782</v>
      </c>
      <c r="F86" s="470" t="s">
        <v>2077</v>
      </c>
      <c r="G86" s="470" t="s">
        <v>2417</v>
      </c>
      <c r="H86" s="1408" t="s">
        <v>2096</v>
      </c>
      <c r="I86" s="320"/>
      <c r="L86" s="277"/>
    </row>
    <row r="87" spans="1:12" x14ac:dyDescent="0.3">
      <c r="A87" s="214" t="s">
        <v>798</v>
      </c>
      <c r="B87" s="1417">
        <f>B27</f>
        <v>22.138999999999999</v>
      </c>
      <c r="C87" s="1417">
        <f>B96</f>
        <v>88.49803</v>
      </c>
      <c r="D87" s="1417">
        <f>C96</f>
        <v>1272.49803</v>
      </c>
      <c r="E87" s="1417">
        <f>D96</f>
        <v>11874.619041</v>
      </c>
      <c r="F87" s="1417">
        <f>E96</f>
        <v>85900.359051000007</v>
      </c>
      <c r="G87" s="1417">
        <f>F96</f>
        <v>240170.35905100001</v>
      </c>
      <c r="H87" s="1418">
        <f>B87</f>
        <v>22.138999999999999</v>
      </c>
      <c r="I87" s="320"/>
    </row>
    <row r="88" spans="1:12" x14ac:dyDescent="0.3">
      <c r="A88" s="214" t="s">
        <v>799</v>
      </c>
      <c r="B88" s="922">
        <f>B2-N29</f>
        <v>57.125</v>
      </c>
      <c r="C88" s="926">
        <f>B10-C89</f>
        <v>365.53</v>
      </c>
      <c r="D88" s="922">
        <f>B17-D89</f>
        <v>2869.4330000000004</v>
      </c>
      <c r="E88" s="922">
        <f>'6. Equity Reconc.'!B36-E89</f>
        <v>19344.099999999999</v>
      </c>
      <c r="F88" s="922">
        <f>'7. Equity Reconc. ''04-''14'!B43</f>
        <v>107301</v>
      </c>
      <c r="G88" s="922">
        <f>B65</f>
        <v>95122</v>
      </c>
      <c r="H88" s="1423">
        <f>SUM(B88:G88)</f>
        <v>225059.18799999999</v>
      </c>
      <c r="I88" s="1335"/>
    </row>
    <row r="89" spans="1:12" x14ac:dyDescent="0.3">
      <c r="A89" s="214" t="s">
        <v>800</v>
      </c>
      <c r="B89" s="922">
        <f>N29</f>
        <v>7.3129999999999997</v>
      </c>
      <c r="C89" s="922">
        <v>199.47</v>
      </c>
      <c r="D89" s="922">
        <f>O40</f>
        <v>1354.2469999999998</v>
      </c>
      <c r="E89" s="922">
        <f>SUM('6. Select Parent Fin''l Data'!B33:T33)</f>
        <v>14096</v>
      </c>
      <c r="F89" s="922">
        <f>'7. Equity Reconc. ''04-''14'!B44</f>
        <v>15897</v>
      </c>
      <c r="G89" s="922">
        <f>B66</f>
        <v>20299</v>
      </c>
      <c r="H89" s="1423">
        <f t="shared" ref="H89:H95" si="1">SUM(B89:G89)</f>
        <v>51853.03</v>
      </c>
      <c r="I89" s="1335"/>
    </row>
    <row r="90" spans="1:12" x14ac:dyDescent="0.3">
      <c r="A90" s="214" t="s">
        <v>784</v>
      </c>
      <c r="B90" s="922">
        <v>1.0000000000000001E-5</v>
      </c>
      <c r="C90" s="926">
        <f>B11</f>
        <v>486</v>
      </c>
      <c r="D90" s="922">
        <f>B22+B20</f>
        <v>5877.4089999999997</v>
      </c>
      <c r="E90" s="922">
        <f>'6. Equity Reconc.'!B37</f>
        <v>15000.040000000003</v>
      </c>
      <c r="F90" s="922">
        <f>'7. Equity Reconc. ''04-''14'!B45</f>
        <v>25720</v>
      </c>
      <c r="G90" s="922">
        <f t="shared" ref="G90:G92" si="2">B67</f>
        <v>50297</v>
      </c>
      <c r="H90" s="1423">
        <f t="shared" si="1"/>
        <v>97380.449010000011</v>
      </c>
      <c r="I90" s="1335"/>
    </row>
    <row r="91" spans="1:12" x14ac:dyDescent="0.3">
      <c r="A91" s="214" t="s">
        <v>790</v>
      </c>
      <c r="B91" s="922">
        <v>1.0000000000000001E-5</v>
      </c>
      <c r="C91" s="926">
        <f>B12</f>
        <v>133</v>
      </c>
      <c r="D91" s="922">
        <f>B18</f>
        <v>433.03199999999998</v>
      </c>
      <c r="E91" s="922">
        <f>'6. Equity Reconc.'!B39</f>
        <v>25085.3</v>
      </c>
      <c r="F91" s="922">
        <f>'7. Equity Reconc. ''04-''14'!B46</f>
        <v>12816</v>
      </c>
      <c r="G91" s="922">
        <f t="shared" si="2"/>
        <v>328</v>
      </c>
      <c r="H91" s="1423">
        <f t="shared" si="1"/>
        <v>38795.332009999998</v>
      </c>
      <c r="I91" s="1335"/>
    </row>
    <row r="92" spans="1:12" x14ac:dyDescent="0.3">
      <c r="A92" s="214" t="s">
        <v>791</v>
      </c>
      <c r="B92" s="922">
        <f>B3+B4</f>
        <v>-2.5569999999999999</v>
      </c>
      <c r="C92" s="926">
        <v>0</v>
      </c>
      <c r="D92" s="922">
        <f>B21+B19</f>
        <v>69</v>
      </c>
      <c r="E92" s="922">
        <v>1.0000000000000001E-5</v>
      </c>
      <c r="F92" s="922">
        <f>'7. Equity Reconc. ''04-''14'!B47</f>
        <v>-1763</v>
      </c>
      <c r="G92" s="922">
        <f t="shared" si="2"/>
        <v>-6362</v>
      </c>
      <c r="H92" s="1423">
        <f t="shared" si="1"/>
        <v>-8058.55699</v>
      </c>
      <c r="I92" s="1335"/>
    </row>
    <row r="93" spans="1:12" x14ac:dyDescent="0.3">
      <c r="A93" s="214" t="s">
        <v>996</v>
      </c>
      <c r="B93" s="922">
        <v>1.0000000000000001E-5</v>
      </c>
      <c r="C93" s="926">
        <v>0</v>
      </c>
      <c r="D93" s="922">
        <v>1.0000000000000001E-5</v>
      </c>
      <c r="E93" s="922">
        <v>565</v>
      </c>
      <c r="F93" s="922">
        <v>0</v>
      </c>
      <c r="G93" s="922">
        <v>0</v>
      </c>
      <c r="H93" s="1423">
        <f t="shared" si="1"/>
        <v>565.00001999999995</v>
      </c>
      <c r="I93" s="1335"/>
    </row>
    <row r="94" spans="1:12" x14ac:dyDescent="0.3">
      <c r="A94" s="214" t="s">
        <v>2257</v>
      </c>
      <c r="B94" s="922">
        <v>0</v>
      </c>
      <c r="C94" s="926">
        <v>0</v>
      </c>
      <c r="D94" s="922">
        <v>0</v>
      </c>
      <c r="E94" s="922">
        <v>0</v>
      </c>
      <c r="F94" s="922">
        <v>0</v>
      </c>
      <c r="G94" s="922">
        <f>B70</f>
        <v>29106</v>
      </c>
      <c r="H94" s="1423">
        <f t="shared" si="1"/>
        <v>29106</v>
      </c>
      <c r="I94" s="1335"/>
    </row>
    <row r="95" spans="1:12" x14ac:dyDescent="0.3">
      <c r="A95" s="214" t="s">
        <v>279</v>
      </c>
      <c r="B95" s="922">
        <f>B6</f>
        <v>4.4779999999999998</v>
      </c>
      <c r="C95" s="926">
        <v>0</v>
      </c>
      <c r="D95" s="922">
        <v>9.9999999999999995E-7</v>
      </c>
      <c r="E95" s="922">
        <f>'6. Equity Reconc.'!B41-65</f>
        <v>-64.7</v>
      </c>
      <c r="F95" s="922">
        <f>'7. Equity Reconc. ''04-''14'!B49</f>
        <v>-5701</v>
      </c>
      <c r="G95" s="922">
        <f>B71</f>
        <v>-4169</v>
      </c>
      <c r="H95" s="1423">
        <f t="shared" si="1"/>
        <v>-9930.2219990000012</v>
      </c>
      <c r="I95" s="1335"/>
    </row>
    <row r="96" spans="1:12" ht="16.2" thickBot="1" x14ac:dyDescent="0.35">
      <c r="A96" s="214" t="s">
        <v>801</v>
      </c>
      <c r="B96" s="1419">
        <f>SUM(B87:B95)</f>
        <v>88.49803</v>
      </c>
      <c r="C96" s="1419">
        <f>SUM(C87:C95)</f>
        <v>1272.49803</v>
      </c>
      <c r="D96" s="1419">
        <f>SUM(D87:D95)-1</f>
        <v>11874.619041</v>
      </c>
      <c r="E96" s="1419">
        <f>SUM(E87:E95)</f>
        <v>85900.359051000007</v>
      </c>
      <c r="F96" s="1419">
        <f>SUM(F87:F95)</f>
        <v>240170.35905100001</v>
      </c>
      <c r="G96" s="1419">
        <f>SUM(G87:G95)</f>
        <v>424791.35905099998</v>
      </c>
      <c r="H96" s="1420">
        <f>SUM(H87:H95)-1</f>
        <v>424791.35905099992</v>
      </c>
    </row>
    <row r="97" spans="1:12" ht="6.6" customHeight="1" thickTop="1" x14ac:dyDescent="0.3">
      <c r="A97" s="221"/>
      <c r="B97" s="1417"/>
      <c r="C97" s="1417"/>
      <c r="D97" s="1421"/>
      <c r="E97" s="1421"/>
      <c r="F97" s="1421"/>
      <c r="G97" s="1421"/>
      <c r="H97" s="1422"/>
    </row>
    <row r="98" spans="1:12" ht="6.6" customHeight="1" x14ac:dyDescent="0.3">
      <c r="A98" s="221"/>
      <c r="B98" s="1417"/>
      <c r="C98" s="1417"/>
      <c r="D98" s="1417"/>
      <c r="E98" s="1417"/>
      <c r="F98" s="1417"/>
      <c r="G98" s="1417"/>
      <c r="H98" s="1422"/>
    </row>
    <row r="99" spans="1:12" x14ac:dyDescent="0.3">
      <c r="A99" s="214" t="s">
        <v>803</v>
      </c>
      <c r="B99" s="1417">
        <f t="shared" ref="B99:H99" si="3">B96-B87</f>
        <v>66.359030000000004</v>
      </c>
      <c r="C99" s="1417">
        <f t="shared" si="3"/>
        <v>1184</v>
      </c>
      <c r="D99" s="1417">
        <f t="shared" si="3"/>
        <v>10602.121010999999</v>
      </c>
      <c r="E99" s="1417">
        <f t="shared" si="3"/>
        <v>74025.740010000009</v>
      </c>
      <c r="F99" s="1417">
        <f t="shared" si="3"/>
        <v>154270</v>
      </c>
      <c r="G99" s="1417">
        <f t="shared" ref="G99" si="4">G96-G87</f>
        <v>184620.99999999997</v>
      </c>
      <c r="H99" s="1422">
        <f t="shared" si="3"/>
        <v>424769.22005099989</v>
      </c>
    </row>
    <row r="100" spans="1:12" ht="9" customHeight="1" x14ac:dyDescent="0.3">
      <c r="A100" s="221"/>
      <c r="B100" s="1417"/>
      <c r="C100" s="1417"/>
      <c r="D100" s="1417"/>
      <c r="E100" s="1417"/>
      <c r="F100" s="1417"/>
      <c r="G100" s="1417"/>
      <c r="H100" s="1422"/>
      <c r="L100" s="211" t="s">
        <v>176</v>
      </c>
    </row>
    <row r="101" spans="1:12" ht="16.2" thickBot="1" x14ac:dyDescent="0.35">
      <c r="A101" s="9" t="s">
        <v>1945</v>
      </c>
      <c r="B101" s="218"/>
      <c r="C101" s="218"/>
      <c r="D101" s="218"/>
      <c r="E101" s="218"/>
      <c r="F101" s="218"/>
      <c r="G101" s="218"/>
      <c r="H101" s="219"/>
    </row>
    <row r="102" spans="1:12" x14ac:dyDescent="0.3">
      <c r="A102" s="12" t="s">
        <v>1893</v>
      </c>
      <c r="B102" s="277"/>
      <c r="C102" s="277"/>
      <c r="D102" s="277"/>
      <c r="E102" s="277"/>
      <c r="F102" s="277"/>
      <c r="G102" s="277"/>
      <c r="H102" s="277"/>
    </row>
    <row r="103" spans="1:12" x14ac:dyDescent="0.3">
      <c r="B103" s="277"/>
      <c r="C103" s="277"/>
      <c r="D103" s="277"/>
      <c r="E103" s="277"/>
      <c r="F103" s="277"/>
      <c r="G103" s="226"/>
      <c r="H103" s="277"/>
    </row>
    <row r="104" spans="1:12" s="309" customFormat="1" hidden="1" outlineLevel="1" x14ac:dyDescent="0.3">
      <c r="A104" s="309" t="s">
        <v>997</v>
      </c>
      <c r="E104" s="1409" t="e">
        <f>#REF!</f>
        <v>#REF!</v>
      </c>
      <c r="F104" s="1409">
        <f>'7. Equity Reconc. ''04-''14'!B15</f>
        <v>240170</v>
      </c>
      <c r="G104" s="1409">
        <v>424791</v>
      </c>
    </row>
    <row r="105" spans="1:12" collapsed="1" x14ac:dyDescent="0.3">
      <c r="E105" s="1303" t="e">
        <f>E96-E104</f>
        <v>#REF!</v>
      </c>
      <c r="F105" s="1303">
        <f>F96-F104</f>
        <v>0.35905100000672974</v>
      </c>
      <c r="G105" s="1303">
        <f>G96-G104</f>
        <v>0.35905099997762591</v>
      </c>
    </row>
    <row r="106" spans="1:12" x14ac:dyDescent="0.3">
      <c r="B106" s="277"/>
      <c r="C106" s="277"/>
      <c r="D106" s="277"/>
      <c r="E106" s="277"/>
      <c r="F106" s="277"/>
      <c r="G106" s="277"/>
      <c r="H106" s="277"/>
    </row>
    <row r="107" spans="1:12" s="309" customFormat="1" outlineLevel="1" x14ac:dyDescent="0.3">
      <c r="A107" s="309" t="s">
        <v>1010</v>
      </c>
      <c r="B107" s="1410"/>
      <c r="C107" s="1411">
        <f>C96/B96</f>
        <v>14.378828884665568</v>
      </c>
      <c r="D107" s="1411">
        <f>D96/C96</f>
        <v>9.331738644027606</v>
      </c>
      <c r="E107" s="1411">
        <f>E96/D96</f>
        <v>7.2339465168868324</v>
      </c>
      <c r="F107" s="1411">
        <f>F96/E96</f>
        <v>2.7959179880541383</v>
      </c>
      <c r="G107" s="1411"/>
      <c r="H107" s="1411"/>
    </row>
    <row r="108" spans="1:12" s="309" customFormat="1" outlineLevel="1" x14ac:dyDescent="0.3">
      <c r="A108" s="309" t="s">
        <v>1011</v>
      </c>
      <c r="C108" s="1412">
        <f>C107^0.1-1</f>
        <v>0.30548639895935081</v>
      </c>
      <c r="D108" s="1412">
        <f>D107^0.1-1</f>
        <v>0.25024825392353667</v>
      </c>
      <c r="E108" s="1412">
        <f>E107^0.1-1</f>
        <v>0.21881426722358244</v>
      </c>
      <c r="F108" s="1412">
        <f>F107^0.1-1</f>
        <v>0.10828751995430386</v>
      </c>
      <c r="G108" s="1412"/>
      <c r="H108" s="1412"/>
    </row>
    <row r="109" spans="1:12" s="309" customFormat="1" outlineLevel="1" x14ac:dyDescent="0.3">
      <c r="C109" s="1412"/>
      <c r="D109" s="1412"/>
      <c r="E109" s="1412"/>
      <c r="F109" s="1412"/>
      <c r="G109" s="1412"/>
    </row>
    <row r="110" spans="1:12" x14ac:dyDescent="0.3">
      <c r="D110" s="227"/>
      <c r="E110" s="227"/>
      <c r="F110" s="227"/>
      <c r="G110" s="227"/>
    </row>
    <row r="111" spans="1:12" x14ac:dyDescent="0.3">
      <c r="A111" s="459" t="s">
        <v>2240</v>
      </c>
      <c r="D111" s="227"/>
      <c r="E111" s="227"/>
      <c r="F111" s="227"/>
      <c r="G111" s="227"/>
    </row>
    <row r="112" spans="1:12" x14ac:dyDescent="0.3">
      <c r="A112" s="152" t="s">
        <v>1352</v>
      </c>
      <c r="D112" s="227"/>
      <c r="E112" s="227"/>
      <c r="F112" s="227"/>
      <c r="G112" s="227"/>
    </row>
    <row r="113" spans="1:13" ht="8.25" customHeight="1" thickBot="1" x14ac:dyDescent="0.35">
      <c r="A113" s="1413"/>
      <c r="D113" s="227"/>
      <c r="E113" s="227"/>
      <c r="F113" s="227"/>
      <c r="G113" s="227"/>
    </row>
    <row r="114" spans="1:13" x14ac:dyDescent="0.3">
      <c r="A114" s="212"/>
      <c r="B114" s="470" t="s">
        <v>1579</v>
      </c>
      <c r="C114" s="470" t="s">
        <v>1580</v>
      </c>
      <c r="D114" s="470" t="s">
        <v>1584</v>
      </c>
      <c r="E114" s="470" t="s">
        <v>1782</v>
      </c>
      <c r="F114" s="470" t="str">
        <f>F86</f>
        <v xml:space="preserve">2004-14 </v>
      </c>
      <c r="G114" s="470" t="str">
        <f>G86</f>
        <v xml:space="preserve">2014-19 </v>
      </c>
      <c r="H114" s="1425" t="s">
        <v>2096</v>
      </c>
    </row>
    <row r="115" spans="1:13" x14ac:dyDescent="0.3">
      <c r="A115" s="214" t="s">
        <v>799</v>
      </c>
      <c r="B115" s="1867">
        <f t="shared" ref="B115:H122" si="5">B88/B$99</f>
        <v>0.86084742347801035</v>
      </c>
      <c r="C115" s="1867">
        <f t="shared" si="5"/>
        <v>0.30872466216216216</v>
      </c>
      <c r="D115" s="1867">
        <f t="shared" si="5"/>
        <v>0.27064707118725423</v>
      </c>
      <c r="E115" s="1868">
        <f t="shared" si="5"/>
        <v>0.2613158611772991</v>
      </c>
      <c r="F115" s="1867">
        <f t="shared" si="5"/>
        <v>0.69554028651066313</v>
      </c>
      <c r="G115" s="1867">
        <f t="shared" si="5"/>
        <v>0.51522849513327307</v>
      </c>
      <c r="H115" s="1869">
        <f t="shared" si="5"/>
        <v>0.52983873919343372</v>
      </c>
      <c r="L115" s="211" t="s">
        <v>176</v>
      </c>
    </row>
    <row r="116" spans="1:13" x14ac:dyDescent="0.3">
      <c r="A116" s="214" t="s">
        <v>800</v>
      </c>
      <c r="B116" s="1867">
        <f t="shared" si="5"/>
        <v>0.11020353974432717</v>
      </c>
      <c r="C116" s="1867">
        <f t="shared" si="5"/>
        <v>0.16847128378378379</v>
      </c>
      <c r="D116" s="1867">
        <f t="shared" si="5"/>
        <v>0.1277335920420952</v>
      </c>
      <c r="E116" s="1868">
        <f t="shared" si="5"/>
        <v>0.19042025109233351</v>
      </c>
      <c r="F116" s="1867">
        <f t="shared" si="5"/>
        <v>0.10304660659882026</v>
      </c>
      <c r="G116" s="1867">
        <f t="shared" si="5"/>
        <v>0.10994957236717384</v>
      </c>
      <c r="H116" s="1869">
        <f t="shared" si="5"/>
        <v>0.12207341669854108</v>
      </c>
    </row>
    <row r="117" spans="1:13" x14ac:dyDescent="0.3">
      <c r="A117" s="214" t="s">
        <v>784</v>
      </c>
      <c r="B117" s="1867">
        <f t="shared" si="5"/>
        <v>1.5069539141847009E-7</v>
      </c>
      <c r="C117" s="1867">
        <f t="shared" si="5"/>
        <v>0.41047297297297297</v>
      </c>
      <c r="D117" s="1867">
        <f t="shared" si="5"/>
        <v>0.55436162197186978</v>
      </c>
      <c r="E117" s="1868">
        <f t="shared" si="5"/>
        <v>0.20263275987479049</v>
      </c>
      <c r="F117" s="1867">
        <f t="shared" si="5"/>
        <v>0.16672068451416347</v>
      </c>
      <c r="G117" s="1867">
        <f t="shared" si="5"/>
        <v>0.27243379680534724</v>
      </c>
      <c r="H117" s="1869">
        <f t="shared" si="5"/>
        <v>0.22925495636973892</v>
      </c>
    </row>
    <row r="118" spans="1:13" x14ac:dyDescent="0.3">
      <c r="A118" s="214" t="s">
        <v>790</v>
      </c>
      <c r="B118" s="1867">
        <f t="shared" si="5"/>
        <v>1.5069539141847009E-7</v>
      </c>
      <c r="C118" s="1867">
        <f t="shared" si="5"/>
        <v>0.11233108108108109</v>
      </c>
      <c r="D118" s="1867">
        <f t="shared" si="5"/>
        <v>4.0843902795555442E-2</v>
      </c>
      <c r="E118" s="1868">
        <f t="shared" si="5"/>
        <v>0.33887266775869135</v>
      </c>
      <c r="F118" s="1867">
        <f t="shared" si="5"/>
        <v>8.3075128022298564E-2</v>
      </c>
      <c r="G118" s="1867">
        <f t="shared" si="5"/>
        <v>1.7766126280325642E-3</v>
      </c>
      <c r="H118" s="1869">
        <f t="shared" si="5"/>
        <v>9.1332728876499195E-2</v>
      </c>
    </row>
    <row r="119" spans="1:13" x14ac:dyDescent="0.3">
      <c r="A119" s="214" t="s">
        <v>791</v>
      </c>
      <c r="B119" s="1867">
        <f t="shared" si="5"/>
        <v>-3.8532811585702799E-2</v>
      </c>
      <c r="C119" s="1867">
        <f t="shared" si="5"/>
        <v>0</v>
      </c>
      <c r="D119" s="1867">
        <f t="shared" si="5"/>
        <v>6.5081317151927014E-3</v>
      </c>
      <c r="E119" s="1868">
        <f t="shared" si="5"/>
        <v>1.3508814634813672E-10</v>
      </c>
      <c r="F119" s="1867">
        <f t="shared" si="5"/>
        <v>-1.1428015816425748E-2</v>
      </c>
      <c r="G119" s="1867">
        <f t="shared" si="5"/>
        <v>-3.4459785181534065E-2</v>
      </c>
      <c r="H119" s="1869">
        <f t="shared" si="5"/>
        <v>-1.8971612371142265E-2</v>
      </c>
      <c r="M119" s="211" t="s">
        <v>176</v>
      </c>
    </row>
    <row r="120" spans="1:13" x14ac:dyDescent="0.3">
      <c r="A120" s="214" t="s">
        <v>996</v>
      </c>
      <c r="B120" s="1867">
        <f t="shared" si="5"/>
        <v>1.5069539141847009E-7</v>
      </c>
      <c r="C120" s="1867">
        <f t="shared" si="5"/>
        <v>0</v>
      </c>
      <c r="D120" s="1867">
        <f t="shared" si="5"/>
        <v>9.4320749495546398E-10</v>
      </c>
      <c r="E120" s="1868">
        <f t="shared" si="5"/>
        <v>7.6324802686697241E-3</v>
      </c>
      <c r="F120" s="1867">
        <f t="shared" si="5"/>
        <v>0</v>
      </c>
      <c r="G120" s="1867">
        <f t="shared" si="5"/>
        <v>0</v>
      </c>
      <c r="H120" s="1869">
        <f t="shared" si="5"/>
        <v>1.3301340900646315E-3</v>
      </c>
    </row>
    <row r="121" spans="1:13" x14ac:dyDescent="0.3">
      <c r="A121" s="214" t="str">
        <f>A94</f>
        <v>Tax Cuts and Jobs Act of 2017</v>
      </c>
      <c r="B121" s="1867">
        <f t="shared" si="5"/>
        <v>0</v>
      </c>
      <c r="C121" s="1867">
        <f t="shared" si="5"/>
        <v>0</v>
      </c>
      <c r="D121" s="1867">
        <f t="shared" si="5"/>
        <v>0</v>
      </c>
      <c r="E121" s="1868">
        <f t="shared" si="5"/>
        <v>0</v>
      </c>
      <c r="F121" s="1867">
        <f t="shared" si="5"/>
        <v>0</v>
      </c>
      <c r="G121" s="1867">
        <f t="shared" si="5"/>
        <v>0.15765270473023116</v>
      </c>
      <c r="H121" s="1869">
        <f t="shared" si="5"/>
        <v>6.852191407961572E-2</v>
      </c>
    </row>
    <row r="122" spans="1:13" x14ac:dyDescent="0.3">
      <c r="A122" s="214" t="s">
        <v>279</v>
      </c>
      <c r="B122" s="1867">
        <f t="shared" si="5"/>
        <v>6.7481396277190908E-2</v>
      </c>
      <c r="C122" s="1867">
        <f t="shared" si="5"/>
        <v>0</v>
      </c>
      <c r="D122" s="1867">
        <f t="shared" si="5"/>
        <v>9.4320749495546395E-11</v>
      </c>
      <c r="E122" s="1868">
        <f t="shared" si="5"/>
        <v>-8.7402030687244454E-4</v>
      </c>
      <c r="F122" s="1867">
        <f t="shared" si="5"/>
        <v>-3.6954689829519674E-2</v>
      </c>
      <c r="G122" s="1867">
        <f t="shared" si="5"/>
        <v>-2.258139648252366E-2</v>
      </c>
      <c r="H122" s="1869">
        <f t="shared" si="5"/>
        <v>-2.3377922717205662E-2</v>
      </c>
      <c r="K122" s="211" t="s">
        <v>176</v>
      </c>
      <c r="M122" s="211" t="s">
        <v>176</v>
      </c>
    </row>
    <row r="123" spans="1:13" ht="16.2" thickBot="1" x14ac:dyDescent="0.35">
      <c r="A123" s="214" t="s">
        <v>3</v>
      </c>
      <c r="B123" s="1870">
        <f>SUM(B115:B122)</f>
        <v>0.99999999999999978</v>
      </c>
      <c r="C123" s="1870">
        <f t="shared" ref="C123:F123" si="6">SUM(C115:C122)</f>
        <v>1</v>
      </c>
      <c r="D123" s="1870">
        <f t="shared" si="6"/>
        <v>1.0000943207494957</v>
      </c>
      <c r="E123" s="1870">
        <f t="shared" si="6"/>
        <v>1</v>
      </c>
      <c r="F123" s="1870">
        <f t="shared" si="6"/>
        <v>1</v>
      </c>
      <c r="G123" s="1870">
        <f t="shared" ref="G123" si="7">SUM(G115:G122)</f>
        <v>1.0000000000000002</v>
      </c>
      <c r="H123" s="1871">
        <f>SUM(H115:H122)</f>
        <v>1.0000023542195453</v>
      </c>
    </row>
    <row r="124" spans="1:13" ht="9.75" customHeight="1" thickTop="1" x14ac:dyDescent="0.3">
      <c r="A124" s="214"/>
      <c r="B124" s="508"/>
      <c r="C124" s="508"/>
      <c r="D124" s="508"/>
      <c r="E124" s="508"/>
      <c r="F124" s="508"/>
      <c r="G124" s="508"/>
      <c r="H124" s="1610"/>
    </row>
    <row r="125" spans="1:13" ht="16.2" thickBot="1" x14ac:dyDescent="0.35">
      <c r="A125" s="9" t="s">
        <v>1945</v>
      </c>
      <c r="B125" s="218"/>
      <c r="C125" s="218"/>
      <c r="D125" s="218"/>
      <c r="E125" s="218"/>
      <c r="F125" s="218"/>
      <c r="G125" s="218"/>
      <c r="H125" s="219"/>
    </row>
    <row r="126" spans="1:13" x14ac:dyDescent="0.3">
      <c r="A126" s="12" t="s">
        <v>1893</v>
      </c>
      <c r="B126" s="277"/>
      <c r="C126" s="277"/>
      <c r="D126" s="277"/>
      <c r="E126" s="277"/>
      <c r="F126" s="277"/>
      <c r="G126" s="277"/>
      <c r="H126" s="277"/>
    </row>
    <row r="128" spans="1:13" x14ac:dyDescent="0.3">
      <c r="A128" s="211" t="s">
        <v>998</v>
      </c>
    </row>
    <row r="129" spans="1:7" x14ac:dyDescent="0.3">
      <c r="A129" s="211" t="s">
        <v>999</v>
      </c>
    </row>
    <row r="130" spans="1:7" x14ac:dyDescent="0.3">
      <c r="A130" s="211" t="s">
        <v>1002</v>
      </c>
    </row>
    <row r="131" spans="1:7" x14ac:dyDescent="0.3">
      <c r="A131" s="211" t="s">
        <v>1000</v>
      </c>
    </row>
    <row r="133" spans="1:7" x14ac:dyDescent="0.3">
      <c r="C133" s="211" t="s">
        <v>176</v>
      </c>
    </row>
    <row r="135" spans="1:7" x14ac:dyDescent="0.3">
      <c r="A135" s="211" t="s">
        <v>2458</v>
      </c>
      <c r="G135" s="403">
        <f>G88/(G99-G94)</f>
        <v>0.6116580394174197</v>
      </c>
    </row>
  </sheetData>
  <mergeCells count="14">
    <mergeCell ref="B54:C54"/>
    <mergeCell ref="B49:C49"/>
    <mergeCell ref="B50:C50"/>
    <mergeCell ref="B51:C51"/>
    <mergeCell ref="B52:C52"/>
    <mergeCell ref="B53:C53"/>
    <mergeCell ref="B61:C61"/>
    <mergeCell ref="B62:C62"/>
    <mergeCell ref="B55:C55"/>
    <mergeCell ref="B56:C56"/>
    <mergeCell ref="B57:C57"/>
    <mergeCell ref="B58:C58"/>
    <mergeCell ref="B59:C59"/>
    <mergeCell ref="B60:C60"/>
  </mergeCells>
  <pageMargins left="0.7" right="0.7" top="0.75" bottom="0.75" header="0.3" footer="0.3"/>
  <pageSetup orientation="portrait" r:id="rId1"/>
  <ignoredErrors>
    <ignoredError sqref="D96" formula="1"/>
  </ignoredErrors>
  <drawing r:id="rId2"/>
  <legacyDrawing r:id="rId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8632-DCFC-4C63-A8D3-2CA290B7F411}">
  <sheetPr>
    <tabColor theme="4"/>
  </sheetPr>
  <dimension ref="A2:U49"/>
  <sheetViews>
    <sheetView showGridLines="0" zoomScale="85" zoomScaleNormal="85" workbookViewId="0">
      <pane xSplit="1" ySplit="2" topLeftCell="B3" activePane="bottomRight" state="frozen"/>
      <selection pane="topRight" activeCell="B1" sqref="B1"/>
      <selection pane="bottomLeft" activeCell="A3" sqref="A3"/>
      <selection pane="bottomRight" activeCell="K25" sqref="K25"/>
    </sheetView>
  </sheetViews>
  <sheetFormatPr defaultColWidth="9.109375" defaultRowHeight="15.6" outlineLevelRow="1" x14ac:dyDescent="0.3"/>
  <cols>
    <col min="1" max="1" width="50.33203125" style="211" customWidth="1"/>
    <col min="2" max="4" width="11" style="211" bestFit="1" customWidth="1"/>
    <col min="5" max="6" width="9.6640625" style="211" bestFit="1" customWidth="1"/>
    <col min="7" max="7" width="9.109375" style="211"/>
    <col min="8" max="8" width="11" style="211" bestFit="1" customWidth="1"/>
    <col min="9" max="9" width="3.5546875" style="211" customWidth="1"/>
    <col min="10" max="11" width="9.6640625" style="211" bestFit="1" customWidth="1"/>
    <col min="12" max="12" width="8.5546875" style="211" bestFit="1" customWidth="1"/>
    <col min="13" max="19" width="9.6640625" style="211" bestFit="1" customWidth="1"/>
    <col min="20" max="20" width="9.109375" style="211"/>
    <col min="21" max="21" width="11" style="211" bestFit="1" customWidth="1"/>
    <col min="22" max="16384" width="9.109375" style="211"/>
  </cols>
  <sheetData>
    <row r="2" spans="1:21" x14ac:dyDescent="0.3">
      <c r="B2" s="211">
        <v>2019</v>
      </c>
      <c r="C2" s="211">
        <v>2018</v>
      </c>
      <c r="D2" s="211">
        <v>2017</v>
      </c>
      <c r="E2" s="211">
        <v>2016</v>
      </c>
      <c r="F2" s="211">
        <v>2015</v>
      </c>
      <c r="J2" s="211">
        <v>2014</v>
      </c>
      <c r="K2" s="211">
        <v>2013</v>
      </c>
      <c r="L2" s="211">
        <v>2012</v>
      </c>
      <c r="M2" s="211">
        <v>2011</v>
      </c>
      <c r="N2" s="211">
        <v>2010</v>
      </c>
      <c r="O2" s="211">
        <v>2009</v>
      </c>
      <c r="P2" s="211">
        <v>2008</v>
      </c>
      <c r="Q2" s="211">
        <v>2007</v>
      </c>
      <c r="R2" s="211">
        <v>2006</v>
      </c>
      <c r="S2" s="211">
        <v>2005</v>
      </c>
    </row>
    <row r="3" spans="1:21" x14ac:dyDescent="0.3">
      <c r="A3" s="211" t="s">
        <v>2389</v>
      </c>
      <c r="B3" s="1224">
        <v>-136123</v>
      </c>
      <c r="C3" s="1224">
        <v>-141844</v>
      </c>
      <c r="D3" s="1224">
        <v>-158492</v>
      </c>
      <c r="E3" s="1224">
        <f>-96568</f>
        <v>-96568</v>
      </c>
      <c r="F3" s="1224">
        <v>-8186</v>
      </c>
      <c r="G3" s="1224"/>
      <c r="H3" s="1224"/>
      <c r="I3" s="1224"/>
      <c r="J3" s="1224">
        <v>-7774</v>
      </c>
      <c r="K3" s="1224">
        <v>-7546</v>
      </c>
      <c r="L3" s="1224">
        <v>-8250</v>
      </c>
      <c r="M3" s="1224">
        <v>-7362</v>
      </c>
      <c r="N3" s="1224">
        <v>-9819</v>
      </c>
      <c r="O3" s="1224">
        <v>-10798</v>
      </c>
      <c r="P3" s="1224">
        <v>-35615</v>
      </c>
      <c r="Q3" s="1224">
        <v>-13394</v>
      </c>
      <c r="R3" s="1224">
        <v>-7747</v>
      </c>
      <c r="S3" s="1224">
        <v>-13937</v>
      </c>
    </row>
    <row r="4" spans="1:21" x14ac:dyDescent="0.3">
      <c r="A4" s="211" t="s">
        <v>2037</v>
      </c>
      <c r="B4" s="1224">
        <v>-18642</v>
      </c>
      <c r="C4" s="1224">
        <v>-43210</v>
      </c>
      <c r="D4" s="1224">
        <v>-20326</v>
      </c>
      <c r="E4" s="1224">
        <v>-16508</v>
      </c>
      <c r="F4" s="1224">
        <v>-10220</v>
      </c>
      <c r="G4" s="1224"/>
      <c r="H4" s="1224"/>
      <c r="I4" s="1224"/>
      <c r="J4" s="1224">
        <v>-7014</v>
      </c>
      <c r="K4" s="1224">
        <v>-8558</v>
      </c>
      <c r="L4" s="1224">
        <v>-7376</v>
      </c>
      <c r="M4" s="1224">
        <v>-15660</v>
      </c>
      <c r="N4" s="1224">
        <v>-4265</v>
      </c>
      <c r="O4" s="1224">
        <v>-4570</v>
      </c>
      <c r="P4" s="1224">
        <v>-10140</v>
      </c>
      <c r="Q4" s="1224">
        <v>-19111</v>
      </c>
      <c r="R4" s="1224">
        <v>-9173</v>
      </c>
      <c r="S4" s="1224">
        <v>-8021</v>
      </c>
    </row>
    <row r="5" spans="1:21" x14ac:dyDescent="0.3">
      <c r="A5" s="211" t="s">
        <v>2040</v>
      </c>
      <c r="B5" s="1224">
        <v>0</v>
      </c>
      <c r="C5" s="1224">
        <v>0</v>
      </c>
      <c r="D5" s="1224">
        <v>0</v>
      </c>
      <c r="E5" s="1224">
        <v>0</v>
      </c>
      <c r="F5" s="1224">
        <v>-5258</v>
      </c>
      <c r="G5" s="1224"/>
      <c r="H5" s="1224"/>
      <c r="I5" s="1224"/>
      <c r="J5" s="1224">
        <v>-3000</v>
      </c>
      <c r="K5" s="1224">
        <v>-12250</v>
      </c>
      <c r="L5" s="1224">
        <v>0</v>
      </c>
      <c r="M5" s="1224">
        <v>-5000</v>
      </c>
      <c r="N5" s="1224">
        <v>0</v>
      </c>
      <c r="O5" s="1224">
        <v>-7068</v>
      </c>
      <c r="P5" s="1224">
        <v>-14452</v>
      </c>
      <c r="Q5" s="1224"/>
      <c r="R5" s="1224"/>
      <c r="S5" s="1224"/>
    </row>
    <row r="6" spans="1:21" x14ac:dyDescent="0.3">
      <c r="A6" s="211" t="s">
        <v>2029</v>
      </c>
      <c r="B6" s="1224">
        <v>15929</v>
      </c>
      <c r="C6" s="1224">
        <v>39693</v>
      </c>
      <c r="D6" s="1224">
        <v>49327</v>
      </c>
      <c r="E6" s="1224">
        <v>18757</v>
      </c>
      <c r="F6" s="1224">
        <v>2172</v>
      </c>
      <c r="G6" s="1224"/>
      <c r="H6" s="1224"/>
      <c r="I6" s="1224"/>
      <c r="J6" s="1224">
        <v>1697</v>
      </c>
      <c r="K6" s="1224">
        <v>4311</v>
      </c>
      <c r="L6" s="1224">
        <v>2982</v>
      </c>
      <c r="M6" s="1224">
        <v>3353</v>
      </c>
      <c r="N6" s="1224">
        <v>5435</v>
      </c>
      <c r="O6" s="1224">
        <v>4338</v>
      </c>
      <c r="P6" s="1224">
        <v>14796</v>
      </c>
      <c r="Q6" s="1224">
        <v>7821</v>
      </c>
      <c r="R6" s="1224">
        <v>1818</v>
      </c>
      <c r="S6" s="1224">
        <v>3243</v>
      </c>
    </row>
    <row r="7" spans="1:21" x14ac:dyDescent="0.3">
      <c r="A7" s="211" t="s">
        <v>2030</v>
      </c>
      <c r="B7" s="1224">
        <v>137767</v>
      </c>
      <c r="C7" s="1224">
        <v>113045</v>
      </c>
      <c r="D7" s="1224">
        <v>86727</v>
      </c>
      <c r="E7" s="1224">
        <v>26177</v>
      </c>
      <c r="F7" s="1224">
        <v>6583</v>
      </c>
      <c r="G7" s="1224"/>
      <c r="H7" s="1224"/>
      <c r="I7" s="1224"/>
      <c r="J7" s="1224">
        <v>6795</v>
      </c>
      <c r="K7" s="1224">
        <v>11203</v>
      </c>
      <c r="L7" s="1224">
        <v>6064</v>
      </c>
      <c r="M7" s="1224">
        <v>6872</v>
      </c>
      <c r="N7" s="1224">
        <v>6517</v>
      </c>
      <c r="O7" s="1224">
        <v>5234</v>
      </c>
      <c r="P7" s="1224">
        <v>18550</v>
      </c>
      <c r="Q7" s="1224">
        <v>9158</v>
      </c>
      <c r="R7" s="1224">
        <v>10313</v>
      </c>
      <c r="S7" s="1224">
        <v>7142</v>
      </c>
    </row>
    <row r="8" spans="1:21" x14ac:dyDescent="0.3">
      <c r="A8" s="211" t="s">
        <v>2031</v>
      </c>
      <c r="B8" s="1224">
        <v>14336</v>
      </c>
      <c r="C8" s="1224">
        <v>18783</v>
      </c>
      <c r="D8" s="1224">
        <v>19512</v>
      </c>
      <c r="E8" s="1224">
        <v>28464</v>
      </c>
      <c r="F8" s="1224">
        <v>8747</v>
      </c>
      <c r="G8" s="1224"/>
      <c r="H8" s="1224"/>
      <c r="I8" s="1224"/>
      <c r="J8" s="1224">
        <v>8896</v>
      </c>
      <c r="K8" s="1224">
        <v>3869</v>
      </c>
      <c r="L8" s="1224">
        <v>8088</v>
      </c>
      <c r="M8" s="1224">
        <v>1518</v>
      </c>
      <c r="N8" s="1224">
        <v>5886</v>
      </c>
      <c r="O8" s="1224">
        <v>5626</v>
      </c>
      <c r="P8" s="1224">
        <v>6840</v>
      </c>
      <c r="Q8" s="1224">
        <v>8054</v>
      </c>
      <c r="R8" s="1224">
        <v>3778</v>
      </c>
      <c r="S8" s="1224">
        <v>1629</v>
      </c>
    </row>
    <row r="9" spans="1:21" x14ac:dyDescent="0.3">
      <c r="B9" s="1224"/>
      <c r="C9" s="1224"/>
      <c r="D9" s="1224"/>
      <c r="E9" s="1224"/>
      <c r="F9" s="1224"/>
      <c r="G9" s="1224"/>
      <c r="H9" s="1224"/>
      <c r="I9" s="1224"/>
      <c r="J9" s="1224"/>
      <c r="K9" s="1224"/>
      <c r="L9" s="1224"/>
      <c r="M9" s="1224"/>
      <c r="N9" s="1224"/>
      <c r="O9" s="1224"/>
      <c r="P9" s="1224"/>
      <c r="Q9" s="1224"/>
      <c r="R9" s="1224"/>
      <c r="S9" s="1224"/>
    </row>
    <row r="10" spans="1:21" x14ac:dyDescent="0.3">
      <c r="A10" s="211" t="s">
        <v>8</v>
      </c>
      <c r="B10" s="1224">
        <v>8747</v>
      </c>
      <c r="C10" s="1224">
        <v>8386</v>
      </c>
      <c r="D10" s="1224">
        <v>7719</v>
      </c>
      <c r="E10" s="1224">
        <v>7411</v>
      </c>
      <c r="F10" s="1224">
        <v>6673</v>
      </c>
      <c r="G10" s="1224"/>
      <c r="H10" s="1224">
        <f>SUM(B10:F10)</f>
        <v>38936</v>
      </c>
      <c r="I10" s="1224"/>
      <c r="J10" s="1224">
        <v>6215</v>
      </c>
      <c r="K10" s="1224">
        <v>5418</v>
      </c>
      <c r="L10" s="1224">
        <v>5146</v>
      </c>
      <c r="M10" s="1224">
        <v>4683</v>
      </c>
      <c r="N10" s="1224">
        <v>4279</v>
      </c>
      <c r="O10" s="1224">
        <v>3127</v>
      </c>
      <c r="P10" s="1224">
        <v>2810</v>
      </c>
      <c r="Q10" s="1224">
        <v>2407</v>
      </c>
      <c r="R10" s="1224">
        <v>2066</v>
      </c>
      <c r="S10" s="1224">
        <v>982</v>
      </c>
      <c r="U10" s="1224">
        <f>SUM(J10:S10)</f>
        <v>37133</v>
      </c>
    </row>
    <row r="11" spans="1:21" x14ac:dyDescent="0.3">
      <c r="A11" s="211" t="s">
        <v>2032</v>
      </c>
      <c r="B11" s="1224">
        <v>-15979</v>
      </c>
      <c r="C11" s="1224">
        <v>-14537</v>
      </c>
      <c r="D11" s="1224">
        <v>-11708</v>
      </c>
      <c r="E11" s="1224">
        <v>-12954</v>
      </c>
      <c r="F11" s="1224">
        <v>-16082</v>
      </c>
      <c r="G11" s="1224"/>
      <c r="H11" s="1224">
        <f>SUM(B11:F11)</f>
        <v>-71260</v>
      </c>
      <c r="I11" s="1224"/>
      <c r="J11" s="1224">
        <v>-15185</v>
      </c>
      <c r="K11" s="1224">
        <v>-11087</v>
      </c>
      <c r="L11" s="1224">
        <v>-9775</v>
      </c>
      <c r="M11" s="1224">
        <v>-8191</v>
      </c>
      <c r="N11" s="1224">
        <v>-5980</v>
      </c>
      <c r="O11" s="1224">
        <v>-4937</v>
      </c>
      <c r="P11" s="1224">
        <v>-6138</v>
      </c>
      <c r="Q11" s="1224">
        <v>-5373</v>
      </c>
      <c r="R11" s="1224">
        <v>-4571</v>
      </c>
      <c r="S11" s="1224">
        <v>-2195</v>
      </c>
      <c r="U11" s="1224">
        <f>SUM(J11:S11)</f>
        <v>-73432</v>
      </c>
    </row>
    <row r="12" spans="1:21" x14ac:dyDescent="0.3">
      <c r="B12" s="1224"/>
      <c r="C12" s="1224"/>
      <c r="D12" s="1224"/>
      <c r="E12" s="1224"/>
      <c r="F12" s="1224"/>
      <c r="G12" s="1224"/>
      <c r="H12" s="1224"/>
      <c r="I12" s="1224"/>
      <c r="J12" s="1224"/>
      <c r="K12" s="1224"/>
      <c r="L12" s="1224"/>
      <c r="M12" s="1224"/>
      <c r="N12" s="1224"/>
      <c r="O12" s="1224"/>
      <c r="P12" s="1224"/>
      <c r="Q12" s="1224"/>
      <c r="R12" s="1224"/>
      <c r="S12" s="1224"/>
    </row>
    <row r="13" spans="1:21" x14ac:dyDescent="0.3">
      <c r="B13" s="1224"/>
      <c r="C13" s="1224"/>
      <c r="D13" s="1224"/>
      <c r="E13" s="1224"/>
      <c r="F13" s="1224"/>
      <c r="G13" s="1224"/>
      <c r="H13" s="1224"/>
      <c r="I13" s="1224"/>
      <c r="J13" s="1224"/>
      <c r="K13" s="1224"/>
      <c r="L13" s="1224"/>
      <c r="M13" s="1224"/>
      <c r="N13" s="1224"/>
      <c r="O13" s="1224"/>
      <c r="P13" s="1224"/>
      <c r="Q13" s="1224"/>
      <c r="R13" s="1224"/>
      <c r="S13" s="1224"/>
    </row>
    <row r="14" spans="1:21" x14ac:dyDescent="0.3">
      <c r="A14" s="211" t="s">
        <v>2036</v>
      </c>
      <c r="B14" s="1224">
        <f t="shared" ref="B14:F14" si="0">B4+B8</f>
        <v>-4306</v>
      </c>
      <c r="C14" s="1224">
        <f t="shared" si="0"/>
        <v>-24427</v>
      </c>
      <c r="D14" s="1224">
        <f t="shared" si="0"/>
        <v>-814</v>
      </c>
      <c r="E14" s="1224">
        <f t="shared" si="0"/>
        <v>11956</v>
      </c>
      <c r="F14" s="1224">
        <f t="shared" si="0"/>
        <v>-1473</v>
      </c>
      <c r="G14" s="1224"/>
      <c r="H14" s="1224">
        <f>SUM(B14:F14)</f>
        <v>-19064</v>
      </c>
      <c r="I14" s="1224"/>
      <c r="J14" s="1224">
        <f t="shared" ref="J14:R14" si="1">J4+J8</f>
        <v>1882</v>
      </c>
      <c r="K14" s="1224">
        <f t="shared" si="1"/>
        <v>-4689</v>
      </c>
      <c r="L14" s="1224">
        <f t="shared" si="1"/>
        <v>712</v>
      </c>
      <c r="M14" s="1224">
        <f t="shared" si="1"/>
        <v>-14142</v>
      </c>
      <c r="N14" s="1224">
        <f t="shared" si="1"/>
        <v>1621</v>
      </c>
      <c r="O14" s="1224">
        <f t="shared" si="1"/>
        <v>1056</v>
      </c>
      <c r="P14" s="1224">
        <f t="shared" si="1"/>
        <v>-3300</v>
      </c>
      <c r="Q14" s="1224">
        <f t="shared" si="1"/>
        <v>-11057</v>
      </c>
      <c r="R14" s="1224">
        <f t="shared" si="1"/>
        <v>-5395</v>
      </c>
      <c r="S14" s="1224">
        <f>S4+S8</f>
        <v>-6392</v>
      </c>
      <c r="U14" s="1224">
        <f>SUM(J14:S14)</f>
        <v>-39704</v>
      </c>
    </row>
    <row r="15" spans="1:21" x14ac:dyDescent="0.3">
      <c r="A15" s="211" t="s">
        <v>2035</v>
      </c>
      <c r="B15" s="1224">
        <f t="shared" ref="B15:F15" si="2">B3+B6+B7</f>
        <v>17573</v>
      </c>
      <c r="C15" s="1224">
        <f t="shared" si="2"/>
        <v>10894</v>
      </c>
      <c r="D15" s="1224">
        <f t="shared" si="2"/>
        <v>-22438</v>
      </c>
      <c r="E15" s="1224">
        <f t="shared" si="2"/>
        <v>-51634</v>
      </c>
      <c r="F15" s="1224">
        <f t="shared" si="2"/>
        <v>569</v>
      </c>
      <c r="G15" s="1224"/>
      <c r="H15" s="1224">
        <f>SUM(B15:F15)</f>
        <v>-45036</v>
      </c>
      <c r="I15" s="1224"/>
      <c r="J15" s="1224">
        <f t="shared" ref="J15:R15" si="3">J3+J6+J7</f>
        <v>718</v>
      </c>
      <c r="K15" s="1224">
        <f t="shared" si="3"/>
        <v>7968</v>
      </c>
      <c r="L15" s="1224">
        <f t="shared" si="3"/>
        <v>796</v>
      </c>
      <c r="M15" s="1224">
        <f t="shared" si="3"/>
        <v>2863</v>
      </c>
      <c r="N15" s="1224">
        <f t="shared" si="3"/>
        <v>2133</v>
      </c>
      <c r="O15" s="1224">
        <f t="shared" si="3"/>
        <v>-1226</v>
      </c>
      <c r="P15" s="1224">
        <f t="shared" si="3"/>
        <v>-2269</v>
      </c>
      <c r="Q15" s="1224">
        <f t="shared" si="3"/>
        <v>3585</v>
      </c>
      <c r="R15" s="1224">
        <f t="shared" si="3"/>
        <v>4384</v>
      </c>
      <c r="S15" s="1224">
        <f>S3+S6+S7</f>
        <v>-3552</v>
      </c>
      <c r="U15" s="1224">
        <f>SUM(J15:S15)</f>
        <v>15400</v>
      </c>
    </row>
    <row r="16" spans="1:21" x14ac:dyDescent="0.3">
      <c r="A16" s="211" t="s">
        <v>2039</v>
      </c>
      <c r="B16" s="1224">
        <f t="shared" ref="B16:E16" si="4">B5</f>
        <v>0</v>
      </c>
      <c r="C16" s="1224">
        <f t="shared" si="4"/>
        <v>0</v>
      </c>
      <c r="D16" s="1224">
        <f t="shared" si="4"/>
        <v>0</v>
      </c>
      <c r="E16" s="1224">
        <f t="shared" si="4"/>
        <v>0</v>
      </c>
      <c r="F16" s="1224">
        <f>F5</f>
        <v>-5258</v>
      </c>
      <c r="G16" s="1224"/>
      <c r="H16" s="1224">
        <f>SUM(B16:F16)</f>
        <v>-5258</v>
      </c>
      <c r="I16" s="1224"/>
      <c r="J16" s="1224">
        <f t="shared" ref="J16:M16" si="5">J5</f>
        <v>-3000</v>
      </c>
      <c r="K16" s="1224">
        <f t="shared" si="5"/>
        <v>-12250</v>
      </c>
      <c r="L16" s="1224">
        <f t="shared" si="5"/>
        <v>0</v>
      </c>
      <c r="M16" s="1224">
        <f t="shared" si="5"/>
        <v>-5000</v>
      </c>
      <c r="N16" s="1224">
        <f>N5</f>
        <v>0</v>
      </c>
      <c r="O16" s="1224">
        <f>O5</f>
        <v>-7068</v>
      </c>
      <c r="P16" s="1224">
        <f>P5</f>
        <v>-14452</v>
      </c>
      <c r="Q16" s="1224"/>
      <c r="R16" s="1224"/>
      <c r="S16" s="1224"/>
      <c r="U16" s="1224">
        <f>SUM(J16:S16)</f>
        <v>-41770</v>
      </c>
    </row>
    <row r="17" spans="1:21" x14ac:dyDescent="0.3">
      <c r="B17" s="1224"/>
      <c r="C17" s="1224"/>
      <c r="D17" s="1224"/>
      <c r="E17" s="1224"/>
      <c r="F17" s="1224"/>
      <c r="G17" s="1224"/>
      <c r="H17" s="1224"/>
      <c r="I17" s="1224"/>
      <c r="J17" s="1224"/>
      <c r="K17" s="1224"/>
      <c r="L17" s="1224"/>
      <c r="M17" s="1224"/>
      <c r="N17" s="1224"/>
      <c r="O17" s="1224"/>
      <c r="P17" s="1224"/>
      <c r="Q17" s="1224"/>
      <c r="R17" s="1224"/>
      <c r="S17" s="1224"/>
    </row>
    <row r="18" spans="1:21" x14ac:dyDescent="0.3">
      <c r="A18" s="211" t="s">
        <v>2034</v>
      </c>
      <c r="B18" s="1224">
        <f t="shared" ref="B18:F18" si="6">B10+B11</f>
        <v>-7232</v>
      </c>
      <c r="C18" s="1224">
        <f t="shared" si="6"/>
        <v>-6151</v>
      </c>
      <c r="D18" s="1224">
        <f t="shared" si="6"/>
        <v>-3989</v>
      </c>
      <c r="E18" s="1224">
        <f t="shared" si="6"/>
        <v>-5543</v>
      </c>
      <c r="F18" s="1224">
        <f t="shared" si="6"/>
        <v>-9409</v>
      </c>
      <c r="G18" s="1224"/>
      <c r="H18" s="1224">
        <f>SUM(B18:F18)</f>
        <v>-32324</v>
      </c>
      <c r="I18" s="1224"/>
      <c r="J18" s="1224">
        <f t="shared" ref="J18:R18" si="7">J10+J11</f>
        <v>-8970</v>
      </c>
      <c r="K18" s="1224">
        <f t="shared" si="7"/>
        <v>-5669</v>
      </c>
      <c r="L18" s="1224">
        <f t="shared" si="7"/>
        <v>-4629</v>
      </c>
      <c r="M18" s="1224">
        <f t="shared" si="7"/>
        <v>-3508</v>
      </c>
      <c r="N18" s="1224">
        <f t="shared" si="7"/>
        <v>-1701</v>
      </c>
      <c r="O18" s="1224">
        <f t="shared" si="7"/>
        <v>-1810</v>
      </c>
      <c r="P18" s="1224">
        <f t="shared" si="7"/>
        <v>-3328</v>
      </c>
      <c r="Q18" s="1224">
        <f t="shared" si="7"/>
        <v>-2966</v>
      </c>
      <c r="R18" s="1224">
        <f t="shared" si="7"/>
        <v>-2505</v>
      </c>
      <c r="S18" s="1224">
        <f>S10+S11</f>
        <v>-1213</v>
      </c>
      <c r="U18" s="1224">
        <f>SUM(J18:S18)</f>
        <v>-36299</v>
      </c>
    </row>
    <row r="19" spans="1:21" x14ac:dyDescent="0.3">
      <c r="B19" s="1224"/>
      <c r="C19" s="1224"/>
      <c r="D19" s="1224"/>
      <c r="E19" s="1224"/>
      <c r="F19" s="1224"/>
      <c r="G19" s="1224"/>
      <c r="H19" s="1224"/>
      <c r="I19" s="1224"/>
      <c r="J19" s="1224"/>
      <c r="K19" s="1224"/>
      <c r="L19" s="1224"/>
      <c r="M19" s="1224"/>
      <c r="N19" s="1224"/>
      <c r="O19" s="1224"/>
      <c r="P19" s="1224"/>
      <c r="Q19" s="1224"/>
      <c r="R19" s="1224"/>
      <c r="S19" s="1224"/>
    </row>
    <row r="20" spans="1:21" x14ac:dyDescent="0.3">
      <c r="A20" s="211" t="s">
        <v>2033</v>
      </c>
      <c r="B20" s="1224">
        <v>-1683</v>
      </c>
      <c r="C20" s="1224">
        <v>-3279</v>
      </c>
      <c r="D20" s="1224">
        <v>-2708</v>
      </c>
      <c r="E20" s="1224">
        <v>-31399</v>
      </c>
      <c r="F20" s="1224">
        <v>-4902</v>
      </c>
      <c r="G20" s="1224"/>
      <c r="H20" s="1224">
        <f>SUM(B20:F20)</f>
        <v>-43971</v>
      </c>
      <c r="I20" s="1224"/>
      <c r="J20" s="1224">
        <v>-4824</v>
      </c>
      <c r="K20" s="1224">
        <v>-6431</v>
      </c>
      <c r="L20" s="1224">
        <v>-3188</v>
      </c>
      <c r="M20" s="1224">
        <v>-8685</v>
      </c>
      <c r="N20" s="1224">
        <v>-15924</v>
      </c>
      <c r="O20" s="1224">
        <v>-108</v>
      </c>
      <c r="P20" s="1224">
        <v>-6050</v>
      </c>
      <c r="Q20" s="1224">
        <v>-1602</v>
      </c>
      <c r="R20" s="1224">
        <v>-10132</v>
      </c>
      <c r="S20" s="1224">
        <v>-2387</v>
      </c>
      <c r="U20" s="1224">
        <f>SUM(J20:S20)</f>
        <v>-59331</v>
      </c>
    </row>
    <row r="24" spans="1:21" x14ac:dyDescent="0.3">
      <c r="A24" s="211" t="s">
        <v>2390</v>
      </c>
      <c r="B24" s="1901">
        <v>-4850</v>
      </c>
      <c r="C24" s="1224">
        <v>-1346</v>
      </c>
      <c r="D24" s="1224">
        <v>0</v>
      </c>
      <c r="E24" s="1224">
        <v>0</v>
      </c>
      <c r="F24" s="1224">
        <v>0</v>
      </c>
      <c r="G24" s="1224"/>
      <c r="H24" s="1224"/>
      <c r="I24" s="1224"/>
      <c r="J24" s="1224"/>
      <c r="K24" s="1224"/>
      <c r="L24" s="1224"/>
      <c r="M24" s="1224"/>
      <c r="N24" s="1224"/>
    </row>
    <row r="25" spans="1:21" x14ac:dyDescent="0.3">
      <c r="A25" s="356" t="s">
        <v>2476</v>
      </c>
    </row>
    <row r="26" spans="1:21" x14ac:dyDescent="0.3">
      <c r="H26" s="1224">
        <f>SUM(H14:H20)</f>
        <v>-145653</v>
      </c>
      <c r="U26" s="1224">
        <f>SUM(U14:U20)</f>
        <v>-161704</v>
      </c>
    </row>
    <row r="30" spans="1:21" x14ac:dyDescent="0.3">
      <c r="C30" s="220"/>
      <c r="D30" s="220"/>
    </row>
    <row r="31" spans="1:21" x14ac:dyDescent="0.3">
      <c r="A31" s="459" t="s">
        <v>2240</v>
      </c>
      <c r="C31" s="220"/>
      <c r="D31" s="220"/>
    </row>
    <row r="32" spans="1:21" x14ac:dyDescent="0.3">
      <c r="A32" s="152" t="s">
        <v>2463</v>
      </c>
      <c r="C32" s="220"/>
      <c r="D32" s="220"/>
    </row>
    <row r="33" spans="1:8" ht="9" customHeight="1" thickBot="1" x14ac:dyDescent="0.35"/>
    <row r="34" spans="1:8" x14ac:dyDescent="0.3">
      <c r="A34" s="453" t="s">
        <v>2459</v>
      </c>
      <c r="B34" s="1896">
        <f>-H20</f>
        <v>43971</v>
      </c>
    </row>
    <row r="35" spans="1:8" x14ac:dyDescent="0.3">
      <c r="A35" s="214" t="s">
        <v>2460</v>
      </c>
      <c r="B35" s="927">
        <f>-H18</f>
        <v>32324</v>
      </c>
      <c r="H35" s="211" t="s">
        <v>176</v>
      </c>
    </row>
    <row r="36" spans="1:8" x14ac:dyDescent="0.3">
      <c r="A36" s="214" t="s">
        <v>2036</v>
      </c>
      <c r="B36" s="927">
        <f>-H14</f>
        <v>19064</v>
      </c>
    </row>
    <row r="37" spans="1:8" x14ac:dyDescent="0.3">
      <c r="A37" s="214" t="s">
        <v>779</v>
      </c>
      <c r="B37" s="927">
        <f>'9. Equity recon. ''14-''19'!B48*-1</f>
        <v>6362</v>
      </c>
    </row>
    <row r="38" spans="1:8" x14ac:dyDescent="0.3">
      <c r="A38" s="214"/>
      <c r="B38" s="1898">
        <f>SUM(B34:B37)</f>
        <v>101721</v>
      </c>
    </row>
    <row r="39" spans="1:8" ht="4.5" customHeight="1" x14ac:dyDescent="0.3">
      <c r="A39" s="214"/>
      <c r="B39" s="1370"/>
    </row>
    <row r="40" spans="1:8" ht="4.5" customHeight="1" x14ac:dyDescent="0.3">
      <c r="A40" s="1155"/>
      <c r="B40" s="1899"/>
    </row>
    <row r="41" spans="1:8" ht="4.5" customHeight="1" x14ac:dyDescent="0.3">
      <c r="A41" s="214"/>
      <c r="B41" s="223"/>
    </row>
    <row r="42" spans="1:8" s="345" customFormat="1" hidden="1" outlineLevel="1" x14ac:dyDescent="0.3">
      <c r="A42" s="342" t="s">
        <v>2461</v>
      </c>
      <c r="B42" s="1897">
        <f>57974+3001+2294</f>
        <v>63269</v>
      </c>
    </row>
    <row r="43" spans="1:8" s="345" customFormat="1" hidden="1" outlineLevel="1" x14ac:dyDescent="0.3">
      <c r="A43" s="342" t="s">
        <v>2462</v>
      </c>
      <c r="B43" s="1897">
        <f>61151+63822+3024</f>
        <v>127997</v>
      </c>
    </row>
    <row r="44" spans="1:8" ht="16.2" collapsed="1" thickBot="1" x14ac:dyDescent="0.35">
      <c r="A44" s="224" t="s">
        <v>2464</v>
      </c>
      <c r="B44" s="1900">
        <f>B43-B42-H15-H16</f>
        <v>115022</v>
      </c>
    </row>
    <row r="45" spans="1:8" x14ac:dyDescent="0.3">
      <c r="A45" s="2805" t="s">
        <v>2401</v>
      </c>
      <c r="B45" s="2805"/>
    </row>
    <row r="46" spans="1:8" x14ac:dyDescent="0.3">
      <c r="A46" s="2805"/>
      <c r="B46" s="2805"/>
    </row>
    <row r="49" spans="3:3" x14ac:dyDescent="0.3">
      <c r="C49" s="211" t="s">
        <v>176</v>
      </c>
    </row>
  </sheetData>
  <mergeCells count="1">
    <mergeCell ref="A45:B46"/>
  </mergeCells>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61C7-E77B-41A1-B79D-0D31021C403C}">
  <sheetPr>
    <tabColor theme="4"/>
  </sheetPr>
  <dimension ref="A1:S105"/>
  <sheetViews>
    <sheetView showGridLines="0" zoomScale="85" zoomScaleNormal="85" workbookViewId="0">
      <selection activeCell="A66" sqref="A66:M66"/>
    </sheetView>
  </sheetViews>
  <sheetFormatPr defaultColWidth="8.6640625" defaultRowHeight="15.6" outlineLevelRow="1" outlineLevelCol="1" x14ac:dyDescent="0.3"/>
  <cols>
    <col min="1" max="1" width="40.6640625" style="211" customWidth="1"/>
    <col min="2" max="3" width="10.33203125" style="211" bestFit="1" customWidth="1"/>
    <col min="4" max="4" width="9.5546875" style="211" bestFit="1" customWidth="1"/>
    <col min="5" max="14" width="9.88671875" style="211" bestFit="1" customWidth="1"/>
    <col min="15" max="15" width="8.5546875" style="211" hidden="1" customWidth="1" outlineLevel="1"/>
    <col min="16" max="16" width="0" style="211" hidden="1" customWidth="1" outlineLevel="1"/>
    <col min="17" max="17" width="8.6640625" style="211" collapsed="1"/>
    <col min="18" max="16384" width="8.6640625" style="211"/>
  </cols>
  <sheetData>
    <row r="1" spans="1:17" s="1262" customFormat="1" ht="16.2" outlineLevel="1" x14ac:dyDescent="0.35">
      <c r="A1" s="1262" t="s">
        <v>556</v>
      </c>
      <c r="B1" s="1262">
        <v>2016</v>
      </c>
      <c r="C1" s="1262">
        <v>2015</v>
      </c>
      <c r="D1" s="1262">
        <v>2014</v>
      </c>
      <c r="E1" s="1262">
        <v>2013</v>
      </c>
      <c r="F1" s="1262">
        <v>2012</v>
      </c>
      <c r="G1" s="1262">
        <v>2011</v>
      </c>
      <c r="H1" s="1262">
        <v>2010</v>
      </c>
      <c r="I1" s="1262">
        <v>2009</v>
      </c>
      <c r="J1" s="1262">
        <v>2008</v>
      </c>
      <c r="K1" s="1262">
        <v>2007</v>
      </c>
      <c r="L1" s="1262">
        <v>2006</v>
      </c>
      <c r="M1" s="1262">
        <v>2005</v>
      </c>
      <c r="N1" s="1262">
        <v>2004</v>
      </c>
      <c r="O1" s="1262">
        <v>2003</v>
      </c>
    </row>
    <row r="2" spans="1:17" s="1519" customFormat="1" ht="16.2" x14ac:dyDescent="0.35">
      <c r="A2" s="459" t="s">
        <v>2240</v>
      </c>
    </row>
    <row r="3" spans="1:17" s="1519" customFormat="1" ht="16.2" x14ac:dyDescent="0.35">
      <c r="A3" s="499" t="s">
        <v>2482</v>
      </c>
    </row>
    <row r="4" spans="1:17" s="1519" customFormat="1" ht="8.25" customHeight="1" thickBot="1" x14ac:dyDescent="0.4"/>
    <row r="5" spans="1:17" ht="2.25" customHeight="1" x14ac:dyDescent="0.3">
      <c r="A5" s="279"/>
      <c r="B5" s="522"/>
      <c r="C5" s="522"/>
      <c r="D5" s="522"/>
      <c r="E5" s="522"/>
      <c r="F5" s="522"/>
      <c r="G5" s="522"/>
      <c r="H5" s="522"/>
      <c r="I5" s="522"/>
      <c r="J5" s="522"/>
      <c r="K5" s="522"/>
      <c r="L5" s="522"/>
      <c r="M5" s="522"/>
      <c r="N5" s="389"/>
      <c r="O5" s="389"/>
    </row>
    <row r="6" spans="1:17" x14ac:dyDescent="0.3">
      <c r="A6" s="221" t="s">
        <v>1250</v>
      </c>
      <c r="B6" s="1067">
        <v>2016</v>
      </c>
      <c r="C6" s="1067">
        <v>2015</v>
      </c>
      <c r="D6" s="1067">
        <v>2014</v>
      </c>
      <c r="E6" s="1067">
        <v>2013</v>
      </c>
      <c r="F6" s="1067">
        <v>2012</v>
      </c>
      <c r="G6" s="1067">
        <v>2011</v>
      </c>
      <c r="H6" s="1067">
        <v>2010</v>
      </c>
      <c r="I6" s="1067">
        <v>2009</v>
      </c>
      <c r="J6" s="1067">
        <v>2008</v>
      </c>
      <c r="K6" s="1067">
        <v>2007</v>
      </c>
      <c r="L6" s="1067">
        <v>2006</v>
      </c>
      <c r="M6" s="1067">
        <v>2005</v>
      </c>
      <c r="N6" s="1470">
        <v>2004</v>
      </c>
      <c r="O6" s="1470">
        <v>2003</v>
      </c>
    </row>
    <row r="7" spans="1:17" x14ac:dyDescent="0.3">
      <c r="A7" s="221" t="s">
        <v>515</v>
      </c>
      <c r="B7" s="1067"/>
      <c r="C7" s="1067"/>
      <c r="D7" s="1067"/>
      <c r="E7" s="1067"/>
      <c r="F7" s="1067"/>
      <c r="G7" s="1067"/>
      <c r="H7" s="1067"/>
      <c r="I7" s="1067"/>
      <c r="J7" s="1067"/>
      <c r="K7" s="1067"/>
      <c r="L7" s="1067"/>
      <c r="M7" s="1067"/>
      <c r="N7" s="1470"/>
      <c r="O7" s="1470"/>
    </row>
    <row r="8" spans="1:17" x14ac:dyDescent="0.3">
      <c r="A8" s="214" t="s">
        <v>963</v>
      </c>
      <c r="B8" s="1297">
        <v>8073</v>
      </c>
      <c r="C8" s="1297">
        <v>6807</v>
      </c>
      <c r="D8" s="1297">
        <v>5765</v>
      </c>
      <c r="E8" s="1297">
        <v>6625</v>
      </c>
      <c r="F8" s="1297">
        <v>5338</v>
      </c>
      <c r="G8" s="1297">
        <v>4241</v>
      </c>
      <c r="H8" s="1297">
        <v>2673</v>
      </c>
      <c r="I8" s="1297">
        <v>3018</v>
      </c>
      <c r="J8" s="1297">
        <v>2497</v>
      </c>
      <c r="K8" s="1297">
        <v>2080</v>
      </c>
      <c r="L8" s="1297">
        <v>1543</v>
      </c>
      <c r="M8" s="1297">
        <v>1004</v>
      </c>
      <c r="N8" s="1473">
        <v>899</v>
      </c>
      <c r="O8" s="1473">
        <v>1250</v>
      </c>
    </row>
    <row r="9" spans="1:17" x14ac:dyDescent="0.3">
      <c r="A9" s="214" t="s">
        <v>964</v>
      </c>
      <c r="B9" s="215">
        <v>11183</v>
      </c>
      <c r="C9" s="215">
        <v>8886</v>
      </c>
      <c r="D9" s="215">
        <v>8264</v>
      </c>
      <c r="E9" s="215">
        <v>7749</v>
      </c>
      <c r="F9" s="215">
        <v>7382</v>
      </c>
      <c r="G9" s="215">
        <v>6584</v>
      </c>
      <c r="H9" s="215">
        <v>5396</v>
      </c>
      <c r="I9" s="215">
        <v>5066</v>
      </c>
      <c r="J9" s="215">
        <v>5047</v>
      </c>
      <c r="K9" s="215">
        <v>4488</v>
      </c>
      <c r="L9" s="215">
        <v>3793</v>
      </c>
      <c r="M9" s="215">
        <v>3287</v>
      </c>
      <c r="N9" s="260">
        <v>3074</v>
      </c>
      <c r="O9" s="260">
        <v>2796</v>
      </c>
    </row>
    <row r="10" spans="1:17" x14ac:dyDescent="0.3">
      <c r="A10" s="214" t="s">
        <v>965</v>
      </c>
      <c r="B10" s="215">
        <v>15727</v>
      </c>
      <c r="C10" s="215">
        <v>11916</v>
      </c>
      <c r="D10" s="215">
        <v>10236</v>
      </c>
      <c r="E10" s="215">
        <v>9945</v>
      </c>
      <c r="F10" s="215">
        <v>9675</v>
      </c>
      <c r="G10" s="215">
        <v>8975</v>
      </c>
      <c r="H10" s="215">
        <v>7101</v>
      </c>
      <c r="I10" s="215">
        <v>6147</v>
      </c>
      <c r="J10" s="215">
        <v>7500</v>
      </c>
      <c r="K10" s="215">
        <v>5793</v>
      </c>
      <c r="L10" s="215">
        <v>5257</v>
      </c>
      <c r="M10" s="215">
        <v>4143</v>
      </c>
      <c r="N10" s="260">
        <v>3842</v>
      </c>
      <c r="O10" s="260">
        <v>3656</v>
      </c>
    </row>
    <row r="11" spans="1:17" x14ac:dyDescent="0.3">
      <c r="A11" s="214" t="s">
        <v>966</v>
      </c>
      <c r="B11" s="215">
        <v>1039</v>
      </c>
      <c r="C11" s="215">
        <v>970</v>
      </c>
      <c r="D11" s="215">
        <v>1117</v>
      </c>
      <c r="E11" s="215">
        <v>716</v>
      </c>
      <c r="F11" s="215">
        <v>734</v>
      </c>
      <c r="G11" s="215">
        <v>631</v>
      </c>
      <c r="H11" s="215">
        <v>550</v>
      </c>
      <c r="I11" s="215">
        <v>625</v>
      </c>
      <c r="J11" s="215">
        <v>752</v>
      </c>
      <c r="K11" s="215">
        <v>470</v>
      </c>
      <c r="L11" s="215">
        <v>363</v>
      </c>
      <c r="M11" s="215">
        <v>342</v>
      </c>
      <c r="N11" s="260">
        <v>254</v>
      </c>
      <c r="O11" s="260">
        <v>262</v>
      </c>
    </row>
    <row r="12" spans="1:17" x14ac:dyDescent="0.3">
      <c r="A12" s="214" t="s">
        <v>967</v>
      </c>
      <c r="B12" s="1282">
        <f t="shared" ref="B12:C12" si="0">SUM(B8:B11)</f>
        <v>36022</v>
      </c>
      <c r="C12" s="1282">
        <f t="shared" si="0"/>
        <v>28579</v>
      </c>
      <c r="D12" s="1282">
        <f t="shared" ref="D12:O12" si="1">SUM(D8:D11)</f>
        <v>25382</v>
      </c>
      <c r="E12" s="1282">
        <f t="shared" si="1"/>
        <v>25035</v>
      </c>
      <c r="F12" s="1282">
        <f t="shared" si="1"/>
        <v>23129</v>
      </c>
      <c r="G12" s="1282">
        <f t="shared" si="1"/>
        <v>20431</v>
      </c>
      <c r="H12" s="1282">
        <f t="shared" si="1"/>
        <v>15720</v>
      </c>
      <c r="I12" s="1282">
        <f t="shared" si="1"/>
        <v>14856</v>
      </c>
      <c r="J12" s="1282">
        <f t="shared" si="1"/>
        <v>15796</v>
      </c>
      <c r="K12" s="1282">
        <f t="shared" si="1"/>
        <v>12831</v>
      </c>
      <c r="L12" s="1282">
        <f t="shared" si="1"/>
        <v>10956</v>
      </c>
      <c r="M12" s="1282">
        <f t="shared" si="1"/>
        <v>8776</v>
      </c>
      <c r="N12" s="1700">
        <f t="shared" si="1"/>
        <v>8069</v>
      </c>
      <c r="O12" s="1700">
        <f t="shared" si="1"/>
        <v>7964</v>
      </c>
    </row>
    <row r="13" spans="1:17" x14ac:dyDescent="0.3">
      <c r="A13" s="214"/>
      <c r="B13" s="215"/>
      <c r="C13" s="215"/>
      <c r="D13" s="215"/>
      <c r="E13" s="215"/>
      <c r="F13" s="215"/>
      <c r="G13" s="215"/>
      <c r="H13" s="215"/>
      <c r="I13" s="215"/>
      <c r="J13" s="215"/>
      <c r="K13" s="215"/>
      <c r="L13" s="215"/>
      <c r="M13" s="215"/>
      <c r="N13" s="260"/>
      <c r="O13" s="260"/>
    </row>
    <row r="14" spans="1:17" x14ac:dyDescent="0.3">
      <c r="A14" s="214" t="s">
        <v>968</v>
      </c>
      <c r="B14" s="215">
        <v>71473</v>
      </c>
      <c r="C14" s="215">
        <v>30289</v>
      </c>
      <c r="D14" s="215">
        <v>28107</v>
      </c>
      <c r="E14" s="215">
        <v>25617</v>
      </c>
      <c r="F14" s="215">
        <v>26017</v>
      </c>
      <c r="G14" s="215">
        <v>24755</v>
      </c>
      <c r="H14" s="215">
        <v>16976</v>
      </c>
      <c r="I14" s="215">
        <v>16499</v>
      </c>
      <c r="J14" s="215">
        <v>16515</v>
      </c>
      <c r="K14" s="215">
        <v>14201</v>
      </c>
      <c r="L14" s="215">
        <v>13314</v>
      </c>
      <c r="M14" s="215">
        <v>9260</v>
      </c>
      <c r="N14" s="260">
        <v>8362</v>
      </c>
      <c r="O14" s="260">
        <v>8351</v>
      </c>
    </row>
    <row r="15" spans="1:17" x14ac:dyDescent="0.3">
      <c r="A15" s="214" t="s">
        <v>969</v>
      </c>
      <c r="B15" s="215">
        <v>18915</v>
      </c>
      <c r="C15" s="215">
        <v>15161</v>
      </c>
      <c r="D15" s="215">
        <v>13806</v>
      </c>
      <c r="E15" s="215">
        <v>19389</v>
      </c>
      <c r="F15" s="215">
        <v>18871</v>
      </c>
      <c r="G15" s="215">
        <v>17866</v>
      </c>
      <c r="H15" s="215">
        <v>15421</v>
      </c>
      <c r="I15" s="215">
        <v>15374</v>
      </c>
      <c r="J15" s="215">
        <v>16338</v>
      </c>
      <c r="K15" s="215">
        <v>9605</v>
      </c>
      <c r="L15" s="215">
        <v>8934</v>
      </c>
      <c r="M15" s="215">
        <v>7148</v>
      </c>
      <c r="N15" s="260">
        <v>6161</v>
      </c>
      <c r="O15" s="260">
        <v>5898</v>
      </c>
      <c r="Q15" s="211" t="s">
        <v>176</v>
      </c>
    </row>
    <row r="16" spans="1:17" x14ac:dyDescent="0.3">
      <c r="A16" s="214" t="s">
        <v>348</v>
      </c>
      <c r="B16" s="215">
        <v>3183</v>
      </c>
      <c r="C16" s="215">
        <v>4445</v>
      </c>
      <c r="D16" s="215">
        <v>3793</v>
      </c>
      <c r="E16" s="215">
        <v>4274</v>
      </c>
      <c r="F16" s="215">
        <v>3416</v>
      </c>
      <c r="G16" s="215">
        <v>3661</v>
      </c>
      <c r="H16" s="215">
        <v>3029</v>
      </c>
      <c r="I16" s="215">
        <v>2070</v>
      </c>
      <c r="J16" s="215">
        <v>1248</v>
      </c>
      <c r="K16" s="215">
        <v>1685</v>
      </c>
      <c r="L16" s="215">
        <v>1168</v>
      </c>
      <c r="M16" s="215">
        <v>1021</v>
      </c>
      <c r="N16" s="260">
        <v>1044</v>
      </c>
      <c r="O16" s="260">
        <v>1054</v>
      </c>
    </row>
    <row r="17" spans="1:19" ht="16.2" thickBot="1" x14ac:dyDescent="0.35">
      <c r="A17" s="214"/>
      <c r="B17" s="1276">
        <f t="shared" ref="B17:C17" si="2">SUM(B12:B16)</f>
        <v>129593</v>
      </c>
      <c r="C17" s="1276">
        <f t="shared" si="2"/>
        <v>78474</v>
      </c>
      <c r="D17" s="1276">
        <f t="shared" ref="D17:O17" si="3">SUM(D12:D16)</f>
        <v>71088</v>
      </c>
      <c r="E17" s="1276">
        <f t="shared" si="3"/>
        <v>74315</v>
      </c>
      <c r="F17" s="1276">
        <f t="shared" si="3"/>
        <v>71433</v>
      </c>
      <c r="G17" s="1276">
        <f t="shared" si="3"/>
        <v>66713</v>
      </c>
      <c r="H17" s="1276">
        <f t="shared" si="3"/>
        <v>51146</v>
      </c>
      <c r="I17" s="1276">
        <f t="shared" si="3"/>
        <v>48799</v>
      </c>
      <c r="J17" s="1276">
        <f t="shared" si="3"/>
        <v>49897</v>
      </c>
      <c r="K17" s="1276">
        <f t="shared" si="3"/>
        <v>38322</v>
      </c>
      <c r="L17" s="1276">
        <f t="shared" si="3"/>
        <v>34372</v>
      </c>
      <c r="M17" s="1276">
        <f t="shared" si="3"/>
        <v>26205</v>
      </c>
      <c r="N17" s="1475">
        <f t="shared" si="3"/>
        <v>23636</v>
      </c>
      <c r="O17" s="1475">
        <f t="shared" si="3"/>
        <v>23267</v>
      </c>
    </row>
    <row r="18" spans="1:19" ht="16.2" thickTop="1" x14ac:dyDescent="0.3">
      <c r="A18" s="214"/>
      <c r="B18" s="215"/>
      <c r="C18" s="215"/>
      <c r="D18" s="215"/>
      <c r="E18" s="215"/>
      <c r="F18" s="215"/>
      <c r="G18" s="215"/>
      <c r="H18" s="215"/>
      <c r="I18" s="215"/>
      <c r="J18" s="215"/>
      <c r="K18" s="215"/>
      <c r="L18" s="215"/>
      <c r="M18" s="215"/>
      <c r="N18" s="260"/>
      <c r="O18" s="260"/>
    </row>
    <row r="19" spans="1:19" x14ac:dyDescent="0.3">
      <c r="A19" s="221" t="s">
        <v>970</v>
      </c>
      <c r="B19" s="215"/>
      <c r="C19" s="215"/>
      <c r="D19" s="215"/>
      <c r="E19" s="215"/>
      <c r="F19" s="215"/>
      <c r="G19" s="215"/>
      <c r="H19" s="215"/>
      <c r="I19" s="215"/>
      <c r="J19" s="215"/>
      <c r="K19" s="215"/>
      <c r="L19" s="215"/>
      <c r="M19" s="215"/>
      <c r="N19" s="260"/>
      <c r="O19" s="260"/>
      <c r="S19" s="211" t="s">
        <v>176</v>
      </c>
    </row>
    <row r="20" spans="1:19" x14ac:dyDescent="0.3">
      <c r="A20" s="214" t="s">
        <v>971</v>
      </c>
      <c r="B20" s="1297">
        <v>2054</v>
      </c>
      <c r="C20" s="1297">
        <v>2135</v>
      </c>
      <c r="D20" s="1297">
        <v>965</v>
      </c>
      <c r="E20" s="1297">
        <v>1615</v>
      </c>
      <c r="F20" s="1297">
        <v>1454</v>
      </c>
      <c r="G20" s="1297">
        <v>1611</v>
      </c>
      <c r="H20" s="1297">
        <v>1805</v>
      </c>
      <c r="I20" s="1297">
        <v>1842</v>
      </c>
      <c r="J20" s="1297">
        <v>2212</v>
      </c>
      <c r="K20" s="1297">
        <v>1278</v>
      </c>
      <c r="L20" s="1297">
        <v>1468</v>
      </c>
      <c r="M20" s="1297">
        <v>1469</v>
      </c>
      <c r="N20" s="1473">
        <v>1143</v>
      </c>
      <c r="O20" s="1473">
        <v>1593</v>
      </c>
    </row>
    <row r="21" spans="1:19" x14ac:dyDescent="0.3">
      <c r="A21" s="214" t="s">
        <v>972</v>
      </c>
      <c r="B21" s="215">
        <v>12464</v>
      </c>
      <c r="C21" s="215">
        <v>10565</v>
      </c>
      <c r="D21" s="215">
        <v>9734</v>
      </c>
      <c r="E21" s="215">
        <v>8965</v>
      </c>
      <c r="F21" s="215">
        <v>8527</v>
      </c>
      <c r="G21" s="215">
        <v>15124</v>
      </c>
      <c r="H21" s="215">
        <v>8169</v>
      </c>
      <c r="I21" s="215">
        <v>7414</v>
      </c>
      <c r="J21" s="215">
        <v>8087</v>
      </c>
      <c r="K21" s="215">
        <v>7652</v>
      </c>
      <c r="L21" s="215">
        <v>6635</v>
      </c>
      <c r="M21" s="215">
        <v>5371</v>
      </c>
      <c r="N21" s="260">
        <v>4685</v>
      </c>
      <c r="O21" s="260">
        <v>4300</v>
      </c>
    </row>
    <row r="22" spans="1:19" x14ac:dyDescent="0.3">
      <c r="A22" s="214" t="s">
        <v>973</v>
      </c>
      <c r="B22" s="472">
        <f t="shared" ref="B22:C22" si="4">SUM(B20:B21)</f>
        <v>14518</v>
      </c>
      <c r="C22" s="472">
        <f t="shared" si="4"/>
        <v>12700</v>
      </c>
      <c r="D22" s="472">
        <f t="shared" ref="D22:O22" si="5">SUM(D20:D21)</f>
        <v>10699</v>
      </c>
      <c r="E22" s="472">
        <f t="shared" si="5"/>
        <v>10580</v>
      </c>
      <c r="F22" s="472">
        <f t="shared" si="5"/>
        <v>9981</v>
      </c>
      <c r="G22" s="472">
        <f t="shared" si="5"/>
        <v>16735</v>
      </c>
      <c r="H22" s="472">
        <f t="shared" si="5"/>
        <v>9974</v>
      </c>
      <c r="I22" s="472">
        <f t="shared" si="5"/>
        <v>9256</v>
      </c>
      <c r="J22" s="472">
        <f t="shared" si="5"/>
        <v>10299</v>
      </c>
      <c r="K22" s="472">
        <f t="shared" si="5"/>
        <v>8930</v>
      </c>
      <c r="L22" s="472">
        <f t="shared" si="5"/>
        <v>8103</v>
      </c>
      <c r="M22" s="472">
        <f t="shared" si="5"/>
        <v>6840</v>
      </c>
      <c r="N22" s="404">
        <f t="shared" si="5"/>
        <v>5828</v>
      </c>
      <c r="O22" s="404">
        <f t="shared" si="5"/>
        <v>5893</v>
      </c>
    </row>
    <row r="23" spans="1:19" x14ac:dyDescent="0.3">
      <c r="A23" s="214"/>
      <c r="B23" s="215"/>
      <c r="C23" s="215"/>
      <c r="D23" s="215"/>
      <c r="E23" s="215"/>
      <c r="F23" s="215"/>
      <c r="G23" s="215"/>
      <c r="H23" s="215"/>
      <c r="I23" s="215"/>
      <c r="J23" s="215"/>
      <c r="K23" s="215"/>
      <c r="L23" s="215"/>
      <c r="M23" s="215"/>
      <c r="N23" s="260"/>
      <c r="O23" s="260"/>
    </row>
    <row r="24" spans="1:19" x14ac:dyDescent="0.3">
      <c r="A24" s="214" t="s">
        <v>974</v>
      </c>
      <c r="B24" s="215">
        <v>12044</v>
      </c>
      <c r="C24" s="215">
        <v>3649</v>
      </c>
      <c r="D24" s="215">
        <v>3801</v>
      </c>
      <c r="E24" s="215">
        <v>5184</v>
      </c>
      <c r="F24" s="215">
        <v>4907</v>
      </c>
      <c r="G24" s="215">
        <v>4661</v>
      </c>
      <c r="H24" s="215">
        <v>3001</v>
      </c>
      <c r="I24" s="215">
        <v>2834</v>
      </c>
      <c r="J24" s="215">
        <v>2786</v>
      </c>
      <c r="K24" s="215">
        <v>828</v>
      </c>
      <c r="L24" s="215">
        <v>540</v>
      </c>
      <c r="M24" s="215">
        <v>338</v>
      </c>
      <c r="N24" s="260">
        <v>248</v>
      </c>
      <c r="O24" s="260">
        <v>105</v>
      </c>
    </row>
    <row r="25" spans="1:19" x14ac:dyDescent="0.3">
      <c r="A25" s="214" t="s">
        <v>980</v>
      </c>
      <c r="B25" s="215">
        <v>10943</v>
      </c>
      <c r="C25" s="215">
        <v>4767</v>
      </c>
      <c r="D25" s="215">
        <v>4269</v>
      </c>
      <c r="E25" s="215">
        <v>4405</v>
      </c>
      <c r="F25" s="215">
        <v>5826</v>
      </c>
      <c r="G25" s="215">
        <v>6214</v>
      </c>
      <c r="H25" s="215">
        <v>6621</v>
      </c>
      <c r="I25" s="215">
        <v>6240</v>
      </c>
      <c r="J25" s="215">
        <v>6033</v>
      </c>
      <c r="K25" s="215">
        <v>3079</v>
      </c>
      <c r="L25" s="215">
        <v>3014</v>
      </c>
      <c r="M25" s="215">
        <v>2188</v>
      </c>
      <c r="N25" s="260">
        <v>1965</v>
      </c>
      <c r="O25" s="260">
        <v>1890</v>
      </c>
    </row>
    <row r="26" spans="1:19" x14ac:dyDescent="0.3">
      <c r="A26" s="214" t="s">
        <v>1078</v>
      </c>
      <c r="B26" s="215">
        <v>579</v>
      </c>
      <c r="C26" s="215">
        <v>521</v>
      </c>
      <c r="D26" s="215">
        <v>492</v>
      </c>
      <c r="E26" s="215">
        <v>456</v>
      </c>
      <c r="F26" s="215">
        <v>2062</v>
      </c>
      <c r="G26" s="215">
        <v>2410</v>
      </c>
      <c r="H26" s="686"/>
      <c r="I26" s="686"/>
      <c r="J26" s="686"/>
      <c r="K26" s="686"/>
      <c r="L26" s="686"/>
      <c r="M26" s="686"/>
      <c r="N26" s="1156"/>
      <c r="O26" s="254"/>
    </row>
    <row r="27" spans="1:19" x14ac:dyDescent="0.3">
      <c r="A27" s="214" t="s">
        <v>95</v>
      </c>
      <c r="B27" s="215">
        <v>91509</v>
      </c>
      <c r="C27" s="215">
        <v>56837</v>
      </c>
      <c r="D27" s="215">
        <v>51827</v>
      </c>
      <c r="E27" s="215">
        <v>53690</v>
      </c>
      <c r="F27" s="215">
        <v>48657</v>
      </c>
      <c r="G27" s="215">
        <v>36693</v>
      </c>
      <c r="H27" s="215">
        <v>31550</v>
      </c>
      <c r="I27" s="215">
        <v>30469</v>
      </c>
      <c r="J27" s="215">
        <v>30779</v>
      </c>
      <c r="K27" s="215">
        <v>25485</v>
      </c>
      <c r="L27" s="215">
        <v>22715</v>
      </c>
      <c r="M27" s="215">
        <v>16839</v>
      </c>
      <c r="N27" s="260">
        <v>15595</v>
      </c>
      <c r="O27" s="260">
        <v>15379</v>
      </c>
    </row>
    <row r="28" spans="1:19" ht="16.2" thickBot="1" x14ac:dyDescent="0.35">
      <c r="A28" s="214"/>
      <c r="B28" s="1282">
        <f t="shared" ref="B28:C28" si="6">SUM(B22:B27)</f>
        <v>129593</v>
      </c>
      <c r="C28" s="1282">
        <f t="shared" si="6"/>
        <v>78474</v>
      </c>
      <c r="D28" s="1282">
        <f t="shared" ref="D28:O28" si="7">SUM(D22:D27)</f>
        <v>71088</v>
      </c>
      <c r="E28" s="1282">
        <f t="shared" si="7"/>
        <v>74315</v>
      </c>
      <c r="F28" s="1282">
        <f t="shared" si="7"/>
        <v>71433</v>
      </c>
      <c r="G28" s="1282">
        <f t="shared" si="7"/>
        <v>66713</v>
      </c>
      <c r="H28" s="1282">
        <f t="shared" si="7"/>
        <v>51146</v>
      </c>
      <c r="I28" s="1282">
        <f t="shared" si="7"/>
        <v>48799</v>
      </c>
      <c r="J28" s="1282">
        <f t="shared" si="7"/>
        <v>49897</v>
      </c>
      <c r="K28" s="1282">
        <f t="shared" si="7"/>
        <v>38322</v>
      </c>
      <c r="L28" s="1282">
        <f t="shared" si="7"/>
        <v>34372</v>
      </c>
      <c r="M28" s="1282">
        <f t="shared" si="7"/>
        <v>26205</v>
      </c>
      <c r="N28" s="1700">
        <f t="shared" si="7"/>
        <v>23636</v>
      </c>
      <c r="O28" s="1475">
        <f t="shared" si="7"/>
        <v>23267</v>
      </c>
    </row>
    <row r="29" spans="1:19" ht="4.5" customHeight="1" thickTop="1" thickBot="1" x14ac:dyDescent="0.35">
      <c r="A29" s="214"/>
      <c r="B29" s="392"/>
      <c r="C29" s="392"/>
      <c r="D29" s="392"/>
      <c r="E29" s="392"/>
      <c r="F29" s="392"/>
      <c r="G29" s="392"/>
      <c r="H29" s="392"/>
      <c r="I29" s="392"/>
      <c r="J29" s="392"/>
      <c r="K29" s="392"/>
      <c r="L29" s="392"/>
      <c r="M29" s="392"/>
      <c r="N29" s="253"/>
      <c r="O29" s="1428"/>
    </row>
    <row r="30" spans="1:19" ht="4.5" customHeight="1" x14ac:dyDescent="0.3">
      <c r="A30" s="1155"/>
      <c r="B30" s="1701"/>
      <c r="C30" s="1701"/>
      <c r="D30" s="1701"/>
      <c r="E30" s="1701"/>
      <c r="F30" s="1701"/>
      <c r="G30" s="1701"/>
      <c r="H30" s="1701"/>
      <c r="I30" s="1701"/>
      <c r="J30" s="1701"/>
      <c r="K30" s="1701"/>
      <c r="L30" s="1701"/>
      <c r="M30" s="1701"/>
      <c r="N30" s="1702"/>
      <c r="O30" s="392"/>
    </row>
    <row r="31" spans="1:19" ht="4.5" customHeight="1" x14ac:dyDescent="0.3">
      <c r="A31" s="214"/>
      <c r="B31" s="392"/>
      <c r="C31" s="392"/>
      <c r="D31" s="392"/>
      <c r="E31" s="392"/>
      <c r="F31" s="392"/>
      <c r="G31" s="392"/>
      <c r="H31" s="392"/>
      <c r="I31" s="392"/>
      <c r="J31" s="392"/>
      <c r="K31" s="392"/>
      <c r="L31" s="392"/>
      <c r="M31" s="392"/>
      <c r="N31" s="253"/>
      <c r="O31" s="392"/>
    </row>
    <row r="32" spans="1:19" x14ac:dyDescent="0.3">
      <c r="A32" s="214" t="s">
        <v>998</v>
      </c>
      <c r="B32" s="392"/>
      <c r="C32" s="392"/>
      <c r="D32" s="392"/>
      <c r="E32" s="392"/>
      <c r="F32" s="392"/>
      <c r="G32" s="392"/>
      <c r="H32" s="392"/>
      <c r="I32" s="392"/>
      <c r="J32" s="392"/>
      <c r="K32" s="392"/>
      <c r="L32" s="392"/>
      <c r="M32" s="392"/>
      <c r="N32" s="253"/>
      <c r="O32" s="392"/>
    </row>
    <row r="33" spans="1:16" x14ac:dyDescent="0.3">
      <c r="A33" s="214" t="s">
        <v>2441</v>
      </c>
      <c r="B33" s="392"/>
      <c r="C33" s="392"/>
      <c r="D33" s="392"/>
      <c r="E33" s="392"/>
      <c r="F33" s="392"/>
      <c r="G33" s="392"/>
      <c r="H33" s="392"/>
      <c r="I33" s="392"/>
      <c r="J33" s="392"/>
      <c r="K33" s="392"/>
      <c r="L33" s="392"/>
      <c r="M33" s="392"/>
      <c r="N33" s="253"/>
      <c r="O33" s="392"/>
    </row>
    <row r="34" spans="1:16" ht="31.5" customHeight="1" thickBot="1" x14ac:dyDescent="0.35">
      <c r="A34" s="3008" t="s">
        <v>2578</v>
      </c>
      <c r="B34" s="3009"/>
      <c r="C34" s="3009"/>
      <c r="D34" s="3009"/>
      <c r="E34" s="3009"/>
      <c r="F34" s="3009"/>
      <c r="G34" s="3009"/>
      <c r="H34" s="3009"/>
      <c r="I34" s="3009"/>
      <c r="J34" s="3009"/>
      <c r="K34" s="3009"/>
      <c r="L34" s="3009"/>
      <c r="M34" s="3009"/>
      <c r="N34" s="3010"/>
      <c r="O34" s="392"/>
    </row>
    <row r="35" spans="1:16" x14ac:dyDescent="0.3">
      <c r="A35" s="3011" t="s">
        <v>2481</v>
      </c>
      <c r="B35" s="3011"/>
      <c r="C35" s="3011"/>
      <c r="D35" s="3011"/>
      <c r="E35" s="3011"/>
      <c r="F35" s="3011"/>
      <c r="G35" s="3011"/>
      <c r="H35" s="3011"/>
      <c r="I35" s="3011"/>
      <c r="J35" s="3011"/>
      <c r="K35" s="3011"/>
      <c r="L35" s="3011"/>
      <c r="M35" s="3011"/>
      <c r="N35" s="1895"/>
      <c r="O35" s="392"/>
    </row>
    <row r="36" spans="1:16" s="309" customFormat="1" hidden="1" outlineLevel="1" x14ac:dyDescent="0.3">
      <c r="A36" s="309" t="s">
        <v>20</v>
      </c>
      <c r="B36" s="1409">
        <f t="shared" ref="B36:C36" si="8">B28-B17</f>
        <v>0</v>
      </c>
      <c r="C36" s="1409">
        <f t="shared" si="8"/>
        <v>0</v>
      </c>
      <c r="D36" s="1409">
        <f t="shared" ref="D36:O36" si="9">D28-D17</f>
        <v>0</v>
      </c>
      <c r="E36" s="1409">
        <f t="shared" si="9"/>
        <v>0</v>
      </c>
      <c r="F36" s="1409">
        <f t="shared" si="9"/>
        <v>0</v>
      </c>
      <c r="G36" s="1409">
        <f t="shared" si="9"/>
        <v>0</v>
      </c>
      <c r="H36" s="1409">
        <f t="shared" si="9"/>
        <v>0</v>
      </c>
      <c r="I36" s="1409">
        <f t="shared" si="9"/>
        <v>0</v>
      </c>
      <c r="J36" s="1409">
        <f t="shared" si="9"/>
        <v>0</v>
      </c>
      <c r="K36" s="1409">
        <f t="shared" si="9"/>
        <v>0</v>
      </c>
      <c r="L36" s="1409">
        <f t="shared" si="9"/>
        <v>0</v>
      </c>
      <c r="M36" s="1409">
        <f t="shared" si="9"/>
        <v>0</v>
      </c>
      <c r="N36" s="1409">
        <f t="shared" si="9"/>
        <v>0</v>
      </c>
      <c r="O36" s="1409">
        <f t="shared" si="9"/>
        <v>0</v>
      </c>
    </row>
    <row r="37" spans="1:16" collapsed="1" x14ac:dyDescent="0.3"/>
    <row r="40" spans="1:16" s="1519" customFormat="1" ht="16.2" x14ac:dyDescent="0.35">
      <c r="A40" s="459" t="s">
        <v>2240</v>
      </c>
      <c r="J40" s="1519" t="s">
        <v>176</v>
      </c>
    </row>
    <row r="41" spans="1:16" s="1519" customFormat="1" ht="16.2" x14ac:dyDescent="0.35">
      <c r="A41" s="499" t="s">
        <v>2483</v>
      </c>
    </row>
    <row r="42" spans="1:16" s="1519" customFormat="1" ht="8.25" customHeight="1" thickBot="1" x14ac:dyDescent="0.4"/>
    <row r="43" spans="1:16" s="152" customFormat="1" x14ac:dyDescent="0.3">
      <c r="A43" s="212" t="s">
        <v>1250</v>
      </c>
      <c r="B43" s="712">
        <f>B6</f>
        <v>2016</v>
      </c>
      <c r="C43" s="712">
        <f>C6</f>
        <v>2015</v>
      </c>
      <c r="D43" s="712">
        <v>2014</v>
      </c>
      <c r="E43" s="712">
        <v>2013</v>
      </c>
      <c r="F43" s="712">
        <v>2012</v>
      </c>
      <c r="G43" s="712">
        <v>2011</v>
      </c>
      <c r="H43" s="712">
        <v>2010</v>
      </c>
      <c r="I43" s="712">
        <v>2009</v>
      </c>
      <c r="J43" s="712">
        <v>2008</v>
      </c>
      <c r="K43" s="712">
        <v>2007</v>
      </c>
      <c r="L43" s="712">
        <v>2006</v>
      </c>
      <c r="M43" s="712">
        <v>2005</v>
      </c>
      <c r="N43" s="713">
        <v>2004</v>
      </c>
      <c r="O43" s="286">
        <f>O6</f>
        <v>2003</v>
      </c>
      <c r="P43" s="1107">
        <v>2002</v>
      </c>
    </row>
    <row r="44" spans="1:16" x14ac:dyDescent="0.3">
      <c r="A44" s="214" t="s">
        <v>975</v>
      </c>
      <c r="B44" s="1160">
        <v>120059</v>
      </c>
      <c r="C44" s="1160">
        <v>107825</v>
      </c>
      <c r="D44" s="1160">
        <v>97689</v>
      </c>
      <c r="E44" s="1160">
        <v>95291</v>
      </c>
      <c r="F44" s="1160">
        <v>83255</v>
      </c>
      <c r="G44" s="1160">
        <v>72406</v>
      </c>
      <c r="H44" s="1160">
        <v>66610</v>
      </c>
      <c r="I44" s="1160">
        <v>61665</v>
      </c>
      <c r="J44" s="1160">
        <v>66099</v>
      </c>
      <c r="K44" s="1160">
        <v>59100</v>
      </c>
      <c r="L44" s="1160">
        <v>52660</v>
      </c>
      <c r="M44" s="1160">
        <v>46896</v>
      </c>
      <c r="N44" s="1161">
        <v>44142</v>
      </c>
      <c r="O44" s="252">
        <v>32106</v>
      </c>
      <c r="P44" s="253">
        <v>16970</v>
      </c>
    </row>
    <row r="45" spans="1:16" x14ac:dyDescent="0.3">
      <c r="A45" s="214" t="s">
        <v>976</v>
      </c>
      <c r="B45" s="215">
        <v>111383</v>
      </c>
      <c r="C45" s="215">
        <v>100607</v>
      </c>
      <c r="D45" s="215">
        <v>90788</v>
      </c>
      <c r="E45" s="215">
        <v>88414</v>
      </c>
      <c r="F45" s="215">
        <v>76978</v>
      </c>
      <c r="G45" s="215">
        <v>67239</v>
      </c>
      <c r="H45" s="215">
        <v>62225</v>
      </c>
      <c r="I45" s="215">
        <v>59509</v>
      </c>
      <c r="J45" s="215">
        <v>61937</v>
      </c>
      <c r="K45" s="215">
        <v>55026</v>
      </c>
      <c r="L45" s="215">
        <v>49002</v>
      </c>
      <c r="M45" s="215">
        <v>44190</v>
      </c>
      <c r="N45" s="260">
        <v>41604</v>
      </c>
      <c r="O45" s="230">
        <v>29885</v>
      </c>
      <c r="P45" s="260">
        <v>14921</v>
      </c>
    </row>
    <row r="46" spans="1:16" s="320" customFormat="1" x14ac:dyDescent="0.3">
      <c r="A46" s="221" t="s">
        <v>977</v>
      </c>
      <c r="B46" s="2482"/>
      <c r="C46" s="2482"/>
      <c r="D46" s="2482"/>
      <c r="E46" s="2482"/>
      <c r="F46" s="2482"/>
      <c r="G46" s="428">
        <v>1431</v>
      </c>
      <c r="H46" s="428">
        <v>1362</v>
      </c>
      <c r="I46" s="428">
        <v>1422</v>
      </c>
      <c r="J46" s="428">
        <v>1280</v>
      </c>
      <c r="K46" s="428">
        <v>955</v>
      </c>
      <c r="L46" s="428">
        <v>823</v>
      </c>
      <c r="M46" s="428">
        <v>699</v>
      </c>
      <c r="N46" s="429">
        <v>676</v>
      </c>
      <c r="O46" s="1356">
        <v>605</v>
      </c>
      <c r="P46" s="429">
        <v>477</v>
      </c>
    </row>
    <row r="47" spans="1:16" x14ac:dyDescent="0.3">
      <c r="A47" s="214" t="s">
        <v>978</v>
      </c>
      <c r="B47" s="215">
        <v>214</v>
      </c>
      <c r="C47" s="215">
        <v>103</v>
      </c>
      <c r="D47" s="215">
        <v>109</v>
      </c>
      <c r="E47" s="215">
        <v>135</v>
      </c>
      <c r="F47" s="215">
        <v>146</v>
      </c>
      <c r="G47" s="215">
        <v>130</v>
      </c>
      <c r="H47" s="215">
        <v>111</v>
      </c>
      <c r="I47" s="215">
        <v>98</v>
      </c>
      <c r="J47" s="215">
        <v>139</v>
      </c>
      <c r="K47" s="215">
        <v>127</v>
      </c>
      <c r="L47" s="215">
        <v>132</v>
      </c>
      <c r="M47" s="215">
        <v>83</v>
      </c>
      <c r="N47" s="260">
        <v>57</v>
      </c>
      <c r="O47" s="230">
        <v>64</v>
      </c>
      <c r="P47" s="260">
        <v>108</v>
      </c>
    </row>
    <row r="48" spans="1:16" ht="18.600000000000001" x14ac:dyDescent="0.3">
      <c r="A48" s="214" t="s">
        <v>2113</v>
      </c>
      <c r="B48" s="472">
        <f t="shared" ref="B48:C48" si="10">B44-B45-B47</f>
        <v>8462</v>
      </c>
      <c r="C48" s="472">
        <f t="shared" si="10"/>
        <v>7115</v>
      </c>
      <c r="D48" s="472">
        <f t="shared" ref="D48:P48" si="11">D44-D45-D47</f>
        <v>6792</v>
      </c>
      <c r="E48" s="472">
        <f t="shared" si="11"/>
        <v>6742</v>
      </c>
      <c r="F48" s="472">
        <f t="shared" si="11"/>
        <v>6131</v>
      </c>
      <c r="G48" s="472">
        <f t="shared" si="11"/>
        <v>5037</v>
      </c>
      <c r="H48" s="472">
        <f t="shared" si="11"/>
        <v>4274</v>
      </c>
      <c r="I48" s="472">
        <f t="shared" si="11"/>
        <v>2058</v>
      </c>
      <c r="J48" s="472">
        <f t="shared" si="11"/>
        <v>4023</v>
      </c>
      <c r="K48" s="472">
        <f t="shared" si="11"/>
        <v>3947</v>
      </c>
      <c r="L48" s="472">
        <f t="shared" si="11"/>
        <v>3526</v>
      </c>
      <c r="M48" s="472">
        <f t="shared" si="11"/>
        <v>2623</v>
      </c>
      <c r="N48" s="404">
        <f t="shared" si="11"/>
        <v>2481</v>
      </c>
      <c r="O48" s="472">
        <f t="shared" si="11"/>
        <v>2157</v>
      </c>
      <c r="P48" s="404">
        <f t="shared" si="11"/>
        <v>1941</v>
      </c>
    </row>
    <row r="49" spans="1:19" x14ac:dyDescent="0.3">
      <c r="A49" s="214" t="s">
        <v>1079</v>
      </c>
      <c r="B49" s="215">
        <v>2831</v>
      </c>
      <c r="C49" s="215">
        <v>2432</v>
      </c>
      <c r="D49" s="215">
        <v>2324</v>
      </c>
      <c r="E49" s="215">
        <v>2512</v>
      </c>
      <c r="F49" s="215">
        <v>2432</v>
      </c>
      <c r="G49" s="215">
        <v>1998</v>
      </c>
      <c r="H49" s="215">
        <v>1812</v>
      </c>
      <c r="I49" s="215">
        <v>945</v>
      </c>
      <c r="J49" s="215">
        <v>1740</v>
      </c>
      <c r="K49" s="215">
        <v>1594</v>
      </c>
      <c r="L49" s="215">
        <v>1395</v>
      </c>
      <c r="M49" s="215">
        <v>977</v>
      </c>
      <c r="N49" s="260">
        <v>941</v>
      </c>
      <c r="O49" s="230">
        <v>813</v>
      </c>
      <c r="P49" s="260">
        <v>743</v>
      </c>
    </row>
    <row r="50" spans="1:19" ht="16.2" thickBot="1" x14ac:dyDescent="0.35">
      <c r="A50" s="214" t="s">
        <v>99</v>
      </c>
      <c r="B50" s="747">
        <f t="shared" ref="B50:C50" si="12">B48-B49</f>
        <v>5631</v>
      </c>
      <c r="C50" s="747">
        <f t="shared" si="12"/>
        <v>4683</v>
      </c>
      <c r="D50" s="747">
        <f t="shared" ref="D50:P50" si="13">D48-D49</f>
        <v>4468</v>
      </c>
      <c r="E50" s="747">
        <f t="shared" si="13"/>
        <v>4230</v>
      </c>
      <c r="F50" s="747">
        <f t="shared" si="13"/>
        <v>3699</v>
      </c>
      <c r="G50" s="747">
        <f t="shared" si="13"/>
        <v>3039</v>
      </c>
      <c r="H50" s="747">
        <f t="shared" si="13"/>
        <v>2462</v>
      </c>
      <c r="I50" s="747">
        <f t="shared" si="13"/>
        <v>1113</v>
      </c>
      <c r="J50" s="747">
        <f t="shared" si="13"/>
        <v>2283</v>
      </c>
      <c r="K50" s="747">
        <f t="shared" si="13"/>
        <v>2353</v>
      </c>
      <c r="L50" s="747">
        <f t="shared" si="13"/>
        <v>2131</v>
      </c>
      <c r="M50" s="747">
        <f t="shared" si="13"/>
        <v>1646</v>
      </c>
      <c r="N50" s="748">
        <f t="shared" si="13"/>
        <v>1540</v>
      </c>
      <c r="O50" s="1567">
        <f t="shared" si="13"/>
        <v>1344</v>
      </c>
      <c r="P50" s="1703">
        <f t="shared" si="13"/>
        <v>1198</v>
      </c>
      <c r="S50" s="211" t="s">
        <v>176</v>
      </c>
    </row>
    <row r="51" spans="1:19" ht="4.5" customHeight="1" thickTop="1" x14ac:dyDescent="0.3">
      <c r="A51" s="214"/>
      <c r="B51" s="220"/>
      <c r="C51" s="220"/>
      <c r="D51" s="220"/>
      <c r="E51" s="220"/>
      <c r="F51" s="220"/>
      <c r="G51" s="220"/>
      <c r="H51" s="220"/>
      <c r="I51" s="220"/>
      <c r="J51" s="220"/>
      <c r="K51" s="220"/>
      <c r="L51" s="220"/>
      <c r="M51" s="220"/>
      <c r="N51" s="223"/>
      <c r="P51" s="223"/>
    </row>
    <row r="52" spans="1:19" hidden="1" outlineLevel="1" x14ac:dyDescent="0.3">
      <c r="A52" s="221" t="s">
        <v>986</v>
      </c>
      <c r="B52" s="220"/>
      <c r="C52" s="220"/>
      <c r="D52" s="220"/>
      <c r="E52" s="220"/>
      <c r="F52" s="220"/>
      <c r="G52" s="220"/>
      <c r="H52" s="220"/>
      <c r="I52" s="220"/>
      <c r="J52" s="220"/>
      <c r="K52" s="220"/>
      <c r="L52" s="220"/>
      <c r="M52" s="220"/>
      <c r="N52" s="223"/>
      <c r="P52" s="223"/>
    </row>
    <row r="53" spans="1:19" ht="4.5" hidden="1" customHeight="1" outlineLevel="1" x14ac:dyDescent="0.3">
      <c r="A53" s="214" t="s">
        <v>981</v>
      </c>
      <c r="B53" s="392"/>
      <c r="C53" s="392"/>
      <c r="D53" s="392"/>
      <c r="E53" s="392"/>
      <c r="F53" s="392"/>
      <c r="G53" s="392"/>
      <c r="H53" s="392"/>
      <c r="I53" s="392"/>
      <c r="J53" s="392"/>
      <c r="K53" s="392"/>
      <c r="L53" s="2950" t="s">
        <v>1076</v>
      </c>
      <c r="M53" s="392">
        <v>751</v>
      </c>
      <c r="N53" s="253">
        <v>643</v>
      </c>
      <c r="O53" s="252">
        <v>559</v>
      </c>
      <c r="P53" s="253">
        <v>516</v>
      </c>
    </row>
    <row r="54" spans="1:19" hidden="1" outlineLevel="1" x14ac:dyDescent="0.3">
      <c r="A54" s="214" t="s">
        <v>982</v>
      </c>
      <c r="B54" s="215"/>
      <c r="C54" s="215"/>
      <c r="D54" s="215"/>
      <c r="E54" s="215"/>
      <c r="F54" s="215"/>
      <c r="G54" s="215"/>
      <c r="H54" s="215"/>
      <c r="I54" s="215"/>
      <c r="J54" s="215"/>
      <c r="K54" s="215"/>
      <c r="L54" s="2950"/>
      <c r="M54" s="215">
        <v>485</v>
      </c>
      <c r="N54" s="260">
        <v>466</v>
      </c>
      <c r="O54" s="230">
        <v>436</v>
      </c>
      <c r="P54" s="260">
        <v>424</v>
      </c>
    </row>
    <row r="55" spans="1:19" hidden="1" outlineLevel="1" x14ac:dyDescent="0.3">
      <c r="A55" s="214" t="s">
        <v>987</v>
      </c>
      <c r="B55" s="215"/>
      <c r="C55" s="215"/>
      <c r="D55" s="215"/>
      <c r="E55" s="215"/>
      <c r="F55" s="215"/>
      <c r="G55" s="215"/>
      <c r="H55" s="215"/>
      <c r="I55" s="215"/>
      <c r="J55" s="215"/>
      <c r="K55" s="215"/>
      <c r="L55" s="2950"/>
      <c r="M55" s="215">
        <v>348</v>
      </c>
      <c r="N55" s="260">
        <v>325</v>
      </c>
      <c r="O55" s="230">
        <v>289</v>
      </c>
      <c r="P55" s="260">
        <v>229</v>
      </c>
    </row>
    <row r="56" spans="1:19" hidden="1" outlineLevel="1" x14ac:dyDescent="0.3">
      <c r="A56" s="214" t="s">
        <v>983</v>
      </c>
      <c r="B56" s="215"/>
      <c r="C56" s="215"/>
      <c r="D56" s="215"/>
      <c r="E56" s="215"/>
      <c r="F56" s="215"/>
      <c r="G56" s="215"/>
      <c r="H56" s="215"/>
      <c r="I56" s="215"/>
      <c r="J56" s="215"/>
      <c r="K56" s="215"/>
      <c r="L56" s="2950"/>
      <c r="M56" s="215">
        <v>257</v>
      </c>
      <c r="N56" s="260">
        <v>215</v>
      </c>
      <c r="O56" s="230">
        <v>224</v>
      </c>
      <c r="P56" s="260">
        <v>219</v>
      </c>
    </row>
    <row r="57" spans="1:19" hidden="1" outlineLevel="1" x14ac:dyDescent="0.3">
      <c r="A57" s="214" t="s">
        <v>984</v>
      </c>
      <c r="B57" s="215"/>
      <c r="C57" s="215"/>
      <c r="D57" s="215"/>
      <c r="E57" s="215"/>
      <c r="F57" s="215"/>
      <c r="G57" s="215"/>
      <c r="H57" s="215"/>
      <c r="I57" s="215"/>
      <c r="J57" s="215"/>
      <c r="K57" s="215"/>
      <c r="L57" s="2950"/>
      <c r="M57" s="215">
        <v>120</v>
      </c>
      <c r="N57" s="260">
        <v>191</v>
      </c>
      <c r="O57" s="230">
        <v>72</v>
      </c>
      <c r="P57" s="260">
        <v>225</v>
      </c>
    </row>
    <row r="58" spans="1:19" ht="4.5" hidden="1" customHeight="1" outlineLevel="1" x14ac:dyDescent="0.3">
      <c r="A58" s="214" t="s">
        <v>1075</v>
      </c>
      <c r="B58" s="215"/>
      <c r="C58" s="215"/>
      <c r="D58" s="215"/>
      <c r="E58" s="215"/>
      <c r="F58" s="215"/>
      <c r="G58" s="215"/>
      <c r="H58" s="215"/>
      <c r="I58" s="215"/>
      <c r="J58" s="215"/>
      <c r="K58" s="215"/>
      <c r="L58" s="2950"/>
      <c r="M58" s="215">
        <v>217</v>
      </c>
      <c r="N58" s="260">
        <v>228</v>
      </c>
      <c r="O58" s="230">
        <v>150</v>
      </c>
      <c r="P58" s="260">
        <v>0</v>
      </c>
    </row>
    <row r="59" spans="1:19" hidden="1" outlineLevel="1" x14ac:dyDescent="0.3">
      <c r="A59" s="214" t="s">
        <v>985</v>
      </c>
      <c r="B59" s="215"/>
      <c r="C59" s="215"/>
      <c r="D59" s="215"/>
      <c r="E59" s="215"/>
      <c r="F59" s="215"/>
      <c r="G59" s="215"/>
      <c r="H59" s="215"/>
      <c r="I59" s="215"/>
      <c r="J59" s="215"/>
      <c r="K59" s="215"/>
      <c r="L59" s="2951"/>
      <c r="M59" s="215">
        <v>445</v>
      </c>
      <c r="N59" s="260">
        <v>413</v>
      </c>
      <c r="O59" s="230">
        <v>427</v>
      </c>
      <c r="P59" s="260">
        <v>328</v>
      </c>
    </row>
    <row r="60" spans="1:19" ht="16.2" hidden="1" outlineLevel="1" thickBot="1" x14ac:dyDescent="0.35">
      <c r="A60" s="214"/>
      <c r="B60" s="1567"/>
      <c r="C60" s="1567"/>
      <c r="D60" s="1567"/>
      <c r="E60" s="1567"/>
      <c r="F60" s="1567"/>
      <c r="G60" s="1567"/>
      <c r="H60" s="1567"/>
      <c r="I60" s="1567"/>
      <c r="J60" s="1567"/>
      <c r="K60" s="1567"/>
      <c r="L60" s="1567"/>
      <c r="M60" s="1567">
        <f>SUM(M53:M59)</f>
        <v>2623</v>
      </c>
      <c r="N60" s="1703">
        <f>SUM(N53:N59)</f>
        <v>2481</v>
      </c>
      <c r="O60" s="1567">
        <f>SUM(O53:O59)</f>
        <v>2157</v>
      </c>
      <c r="P60" s="1703">
        <f>SUM(P53:P59)</f>
        <v>1941</v>
      </c>
    </row>
    <row r="61" spans="1:19" hidden="1" outlineLevel="1" x14ac:dyDescent="0.3">
      <c r="A61" s="214"/>
      <c r="B61" s="220"/>
      <c r="C61" s="220"/>
      <c r="D61" s="220"/>
      <c r="E61" s="220"/>
      <c r="F61" s="220"/>
      <c r="G61" s="220"/>
      <c r="H61" s="220"/>
      <c r="I61" s="220"/>
      <c r="J61" s="220"/>
      <c r="K61" s="220"/>
      <c r="L61" s="220"/>
      <c r="M61" s="220"/>
      <c r="N61" s="223"/>
      <c r="P61" s="223"/>
    </row>
    <row r="62" spans="1:19" hidden="1" outlineLevel="1" x14ac:dyDescent="0.3">
      <c r="A62" s="214" t="s">
        <v>1077</v>
      </c>
      <c r="B62" s="220"/>
      <c r="C62" s="220"/>
      <c r="D62" s="220"/>
      <c r="E62" s="220"/>
      <c r="F62" s="220"/>
      <c r="G62" s="220"/>
      <c r="H62" s="220"/>
      <c r="I62" s="220"/>
      <c r="J62" s="220"/>
      <c r="K62" s="220"/>
      <c r="L62" s="220"/>
      <c r="M62" s="220"/>
      <c r="N62" s="223"/>
      <c r="P62" s="223"/>
    </row>
    <row r="63" spans="1:19" ht="4.5" customHeight="1" outlineLevel="1" x14ac:dyDescent="0.3">
      <c r="A63" s="1155"/>
      <c r="B63" s="684"/>
      <c r="C63" s="684"/>
      <c r="D63" s="684"/>
      <c r="E63" s="684"/>
      <c r="F63" s="684"/>
      <c r="G63" s="684"/>
      <c r="H63" s="684"/>
      <c r="I63" s="684"/>
      <c r="J63" s="684"/>
      <c r="K63" s="684"/>
      <c r="L63" s="684"/>
      <c r="M63" s="684"/>
      <c r="N63" s="1279"/>
      <c r="P63" s="223"/>
    </row>
    <row r="64" spans="1:19" ht="4.5" customHeight="1" outlineLevel="1" x14ac:dyDescent="0.3">
      <c r="A64" s="214"/>
      <c r="B64" s="220"/>
      <c r="C64" s="220"/>
      <c r="D64" s="220"/>
      <c r="E64" s="220"/>
      <c r="F64" s="220"/>
      <c r="G64" s="220"/>
      <c r="H64" s="220"/>
      <c r="I64" s="220"/>
      <c r="J64" s="220"/>
      <c r="K64" s="220"/>
      <c r="L64" s="220"/>
      <c r="M64" s="220"/>
      <c r="N64" s="223"/>
      <c r="P64" s="223"/>
    </row>
    <row r="65" spans="1:16" ht="16.2" thickBot="1" x14ac:dyDescent="0.35">
      <c r="A65" s="224" t="s">
        <v>2116</v>
      </c>
      <c r="B65" s="218"/>
      <c r="C65" s="218"/>
      <c r="D65" s="218"/>
      <c r="E65" s="218"/>
      <c r="F65" s="218"/>
      <c r="G65" s="218"/>
      <c r="H65" s="218"/>
      <c r="I65" s="218"/>
      <c r="J65" s="218"/>
      <c r="K65" s="218"/>
      <c r="L65" s="218"/>
      <c r="M65" s="218"/>
      <c r="N65" s="219"/>
      <c r="P65" s="223"/>
    </row>
    <row r="66" spans="1:16" x14ac:dyDescent="0.3">
      <c r="A66" s="3011" t="s">
        <v>176</v>
      </c>
      <c r="B66" s="3011"/>
      <c r="C66" s="3011"/>
      <c r="D66" s="3011"/>
      <c r="E66" s="3011"/>
      <c r="F66" s="3011"/>
      <c r="G66" s="3011"/>
      <c r="H66" s="3011"/>
      <c r="I66" s="3011"/>
      <c r="J66" s="3011"/>
      <c r="K66" s="3011"/>
      <c r="L66" s="3011"/>
      <c r="M66" s="3011"/>
    </row>
    <row r="68" spans="1:16" x14ac:dyDescent="0.3">
      <c r="I68" s="211" t="s">
        <v>176</v>
      </c>
    </row>
    <row r="69" spans="1:16" s="1519" customFormat="1" ht="16.2" x14ac:dyDescent="0.35">
      <c r="A69" s="459" t="s">
        <v>2240</v>
      </c>
    </row>
    <row r="70" spans="1:16" s="1519" customFormat="1" ht="16.2" x14ac:dyDescent="0.35">
      <c r="A70" s="499" t="s">
        <v>2487</v>
      </c>
    </row>
    <row r="71" spans="1:16" s="1519" customFormat="1" ht="8.25" customHeight="1" thickBot="1" x14ac:dyDescent="0.4"/>
    <row r="72" spans="1:16" s="152" customFormat="1" x14ac:dyDescent="0.3">
      <c r="A72" s="212" t="s">
        <v>554</v>
      </c>
      <c r="B72" s="712">
        <f>B6</f>
        <v>2016</v>
      </c>
      <c r="C72" s="712">
        <f>C6</f>
        <v>2015</v>
      </c>
      <c r="D72" s="712">
        <v>2014</v>
      </c>
      <c r="E72" s="712">
        <v>2013</v>
      </c>
      <c r="F72" s="712">
        <v>2012</v>
      </c>
      <c r="G72" s="712">
        <v>2011</v>
      </c>
      <c r="H72" s="712">
        <v>2010</v>
      </c>
      <c r="I72" s="712">
        <v>2009</v>
      </c>
      <c r="J72" s="712">
        <v>2008</v>
      </c>
      <c r="K72" s="712">
        <v>2007</v>
      </c>
      <c r="L72" s="712">
        <v>2006</v>
      </c>
      <c r="M72" s="712">
        <v>2005</v>
      </c>
      <c r="N72" s="713">
        <v>2004</v>
      </c>
      <c r="O72" s="286">
        <f>O43</f>
        <v>2003</v>
      </c>
      <c r="P72" s="1107">
        <f>P43</f>
        <v>2002</v>
      </c>
    </row>
    <row r="73" spans="1:16" s="152" customFormat="1" outlineLevel="1" x14ac:dyDescent="0.3">
      <c r="A73" s="214" t="s">
        <v>2120</v>
      </c>
      <c r="B73" s="1302">
        <f>B27+B25+B20-B14</f>
        <v>33033</v>
      </c>
      <c r="C73" s="1302">
        <f>C27+C25+C20-C14</f>
        <v>33450</v>
      </c>
      <c r="D73" s="1302">
        <f>D27+D25+D20-D14</f>
        <v>28954</v>
      </c>
      <c r="E73" s="1302">
        <f t="shared" ref="E73:N73" si="14">E27+E25+E20-E14</f>
        <v>34093</v>
      </c>
      <c r="F73" s="1302">
        <f t="shared" si="14"/>
        <v>29920</v>
      </c>
      <c r="G73" s="1302">
        <f t="shared" si="14"/>
        <v>19763</v>
      </c>
      <c r="H73" s="1302">
        <f t="shared" si="14"/>
        <v>23000</v>
      </c>
      <c r="I73" s="1302">
        <f t="shared" si="14"/>
        <v>22052</v>
      </c>
      <c r="J73" s="1302">
        <f t="shared" si="14"/>
        <v>22509</v>
      </c>
      <c r="K73" s="1302">
        <f t="shared" si="14"/>
        <v>15641</v>
      </c>
      <c r="L73" s="1302">
        <f t="shared" si="14"/>
        <v>13883</v>
      </c>
      <c r="M73" s="1302">
        <f t="shared" si="14"/>
        <v>11236</v>
      </c>
      <c r="N73" s="1711">
        <f t="shared" si="14"/>
        <v>10341</v>
      </c>
      <c r="O73" s="286"/>
      <c r="P73" s="1107"/>
    </row>
    <row r="74" spans="1:16" s="612" customFormat="1" x14ac:dyDescent="0.3">
      <c r="A74" s="734" t="s">
        <v>2121</v>
      </c>
      <c r="B74" s="1709">
        <f>B44/AVERAGE(B73:C73)</f>
        <v>3.6117202893972897</v>
      </c>
      <c r="C74" s="1709">
        <f>C44/AVERAGE(C73:D73)</f>
        <v>3.4557079674379847</v>
      </c>
      <c r="D74" s="1709">
        <f>D44/AVERAGE(D73:E73)</f>
        <v>3.0989261979158407</v>
      </c>
      <c r="E74" s="1709">
        <f t="shared" ref="E74:N74" si="15">E44/AVERAGE(E73:F73)</f>
        <v>2.9772389983284646</v>
      </c>
      <c r="F74" s="1709">
        <f t="shared" si="15"/>
        <v>3.351448181470523</v>
      </c>
      <c r="G74" s="1709">
        <f t="shared" si="15"/>
        <v>3.3863854266538831</v>
      </c>
      <c r="H74" s="1709">
        <f t="shared" si="15"/>
        <v>2.9570274349640417</v>
      </c>
      <c r="I74" s="1709">
        <f t="shared" si="15"/>
        <v>2.7676667938331727</v>
      </c>
      <c r="J74" s="1709">
        <f t="shared" si="15"/>
        <v>3.4652162516382701</v>
      </c>
      <c r="K74" s="1709">
        <f t="shared" si="15"/>
        <v>4.0035225579189815</v>
      </c>
      <c r="L74" s="1709">
        <f t="shared" si="15"/>
        <v>4.1928420717385242</v>
      </c>
      <c r="M74" s="1709">
        <f t="shared" si="15"/>
        <v>4.3468508133660846</v>
      </c>
      <c r="N74" s="1710">
        <f t="shared" si="15"/>
        <v>4.2686393965767335</v>
      </c>
      <c r="P74" s="1281"/>
    </row>
    <row r="75" spans="1:16" s="612" customFormat="1" x14ac:dyDescent="0.3">
      <c r="A75" s="734" t="s">
        <v>570</v>
      </c>
      <c r="B75" s="827">
        <f t="shared" ref="B75:C75" si="16">B48/B44</f>
        <v>7.0482013010269948E-2</v>
      </c>
      <c r="C75" s="827">
        <f t="shared" si="16"/>
        <v>6.5986552283793187E-2</v>
      </c>
      <c r="D75" s="827">
        <f t="shared" ref="D75:P75" si="17">D48/D44</f>
        <v>6.9526763504591096E-2</v>
      </c>
      <c r="E75" s="827">
        <f t="shared" si="17"/>
        <v>7.0751697432076488E-2</v>
      </c>
      <c r="F75" s="827">
        <f t="shared" si="17"/>
        <v>7.3641222749384422E-2</v>
      </c>
      <c r="G75" s="827">
        <f t="shared" si="17"/>
        <v>6.9566058061486621E-2</v>
      </c>
      <c r="H75" s="827">
        <f t="shared" si="17"/>
        <v>6.4164539858880043E-2</v>
      </c>
      <c r="I75" s="827">
        <f t="shared" si="17"/>
        <v>3.3373874969593771E-2</v>
      </c>
      <c r="J75" s="827">
        <f t="shared" si="17"/>
        <v>6.086325057867744E-2</v>
      </c>
      <c r="K75" s="827">
        <f t="shared" si="17"/>
        <v>6.678510998307953E-2</v>
      </c>
      <c r="L75" s="827">
        <f t="shared" si="17"/>
        <v>6.6957842764906947E-2</v>
      </c>
      <c r="M75" s="827">
        <f t="shared" si="17"/>
        <v>5.5932275673831459E-2</v>
      </c>
      <c r="N75" s="890">
        <f t="shared" si="17"/>
        <v>5.6204974853880658E-2</v>
      </c>
      <c r="O75" s="397">
        <f t="shared" si="17"/>
        <v>6.7183703980564377E-2</v>
      </c>
      <c r="P75" s="397">
        <f t="shared" si="17"/>
        <v>0.11437831467295227</v>
      </c>
    </row>
    <row r="76" spans="1:16" s="612" customFormat="1" x14ac:dyDescent="0.3">
      <c r="A76" s="734" t="s">
        <v>2122</v>
      </c>
      <c r="B76" s="827">
        <f>B74*B75</f>
        <v>0.25456131642675572</v>
      </c>
      <c r="C76" s="827">
        <f>C74*C75</f>
        <v>0.22803025447086725</v>
      </c>
      <c r="D76" s="827">
        <f>D74*D75</f>
        <v>0.21545830888067632</v>
      </c>
      <c r="E76" s="827">
        <f t="shared" ref="E76:P76" si="18">E74*E75</f>
        <v>0.21064471279271402</v>
      </c>
      <c r="F76" s="827">
        <f t="shared" si="18"/>
        <v>0.24680474206469014</v>
      </c>
      <c r="G76" s="827">
        <f t="shared" si="18"/>
        <v>0.23557748520917618</v>
      </c>
      <c r="H76" s="827">
        <f t="shared" si="18"/>
        <v>0.18973630471455208</v>
      </c>
      <c r="I76" s="827">
        <f t="shared" si="18"/>
        <v>9.2367765534884766E-2</v>
      </c>
      <c r="J76" s="827">
        <f t="shared" si="18"/>
        <v>0.21090432503276541</v>
      </c>
      <c r="K76" s="827">
        <f t="shared" si="18"/>
        <v>0.26737569435035907</v>
      </c>
      <c r="L76" s="827">
        <f t="shared" si="18"/>
        <v>0.28074366017755481</v>
      </c>
      <c r="M76" s="827">
        <f t="shared" si="18"/>
        <v>0.24312925800621035</v>
      </c>
      <c r="N76" s="890">
        <f t="shared" si="18"/>
        <v>0.23991876994487962</v>
      </c>
      <c r="O76" s="827">
        <f t="shared" si="18"/>
        <v>0</v>
      </c>
      <c r="P76" s="827">
        <f t="shared" si="18"/>
        <v>0</v>
      </c>
    </row>
    <row r="77" spans="1:16" s="612" customFormat="1" ht="4.5" customHeight="1" x14ac:dyDescent="0.3">
      <c r="A77" s="734"/>
      <c r="B77" s="827"/>
      <c r="C77" s="827"/>
      <c r="D77" s="827"/>
      <c r="E77" s="827"/>
      <c r="F77" s="827"/>
      <c r="G77" s="827"/>
      <c r="H77" s="827"/>
      <c r="I77" s="827"/>
      <c r="J77" s="827"/>
      <c r="K77" s="827"/>
      <c r="L77" s="827"/>
      <c r="M77" s="827"/>
      <c r="N77" s="890"/>
      <c r="O77" s="827"/>
      <c r="P77" s="827"/>
    </row>
    <row r="78" spans="1:16" ht="4.5" customHeight="1" x14ac:dyDescent="0.3">
      <c r="A78" s="1155"/>
      <c r="B78" s="728"/>
      <c r="C78" s="728"/>
      <c r="D78" s="728"/>
      <c r="E78" s="728"/>
      <c r="F78" s="728"/>
      <c r="G78" s="728"/>
      <c r="H78" s="728"/>
      <c r="I78" s="728"/>
      <c r="J78" s="728"/>
      <c r="K78" s="728"/>
      <c r="L78" s="728"/>
      <c r="M78" s="728"/>
      <c r="N78" s="1518"/>
      <c r="O78" s="464"/>
      <c r="P78" s="464"/>
    </row>
    <row r="79" spans="1:16" s="612" customFormat="1" ht="4.5" customHeight="1" x14ac:dyDescent="0.3">
      <c r="A79" s="734"/>
      <c r="B79" s="827"/>
      <c r="C79" s="827"/>
      <c r="D79" s="827"/>
      <c r="E79" s="827"/>
      <c r="F79" s="827"/>
      <c r="G79" s="827"/>
      <c r="H79" s="827"/>
      <c r="I79" s="827"/>
      <c r="J79" s="827"/>
      <c r="K79" s="827"/>
      <c r="L79" s="827"/>
      <c r="M79" s="827"/>
      <c r="N79" s="890"/>
      <c r="O79" s="827"/>
      <c r="P79" s="827"/>
    </row>
    <row r="80" spans="1:16" x14ac:dyDescent="0.3">
      <c r="A80" s="214" t="s">
        <v>2118</v>
      </c>
      <c r="B80" s="464">
        <f>B50/AVERAGE(B27:C27)</f>
        <v>7.5917112695994493E-2</v>
      </c>
      <c r="C80" s="464">
        <f>C50/AVERAGE(C27:D27)</f>
        <v>8.6192299197526315E-2</v>
      </c>
      <c r="D80" s="464">
        <f>D50/AVERAGE(D27:E27)</f>
        <v>8.4687775429551637E-2</v>
      </c>
      <c r="E80" s="464">
        <f t="shared" ref="E80:N80" si="19">E50/AVERAGE(E27:F27)</f>
        <v>8.2659970492540077E-2</v>
      </c>
      <c r="F80" s="464">
        <f t="shared" si="19"/>
        <v>8.6678383128295261E-2</v>
      </c>
      <c r="G80" s="464">
        <f t="shared" si="19"/>
        <v>8.9064079832363766E-2</v>
      </c>
      <c r="H80" s="464">
        <f t="shared" si="19"/>
        <v>7.9395024105516049E-2</v>
      </c>
      <c r="I80" s="464">
        <f t="shared" si="19"/>
        <v>3.6344043887147334E-2</v>
      </c>
      <c r="J80" s="464">
        <f>J50/AVERAGE(J27:K27)</f>
        <v>8.1153135219678652E-2</v>
      </c>
      <c r="K80" s="464">
        <f t="shared" si="19"/>
        <v>9.7634854771784227E-2</v>
      </c>
      <c r="L80" s="464">
        <f t="shared" si="19"/>
        <v>0.10775142842696062</v>
      </c>
      <c r="M80" s="464">
        <f>M50/AVERAGE(M27:N27)</f>
        <v>0.1014984275760005</v>
      </c>
      <c r="N80" s="347">
        <f t="shared" si="19"/>
        <v>9.943823852263188E-2</v>
      </c>
      <c r="P80" s="223"/>
    </row>
    <row r="81" spans="1:16" x14ac:dyDescent="0.3">
      <c r="A81" s="214" t="s">
        <v>2119</v>
      </c>
      <c r="B81" s="464">
        <f>B50/((AVERAGE((B27-B14),(C27-C14))))</f>
        <v>0.2417568263781556</v>
      </c>
      <c r="C81" s="464">
        <f>C50/((AVERAGE((C27-C14),(D27-D14))))</f>
        <v>0.18632131773693006</v>
      </c>
      <c r="D81" s="464">
        <f>D50/((AVERAGE((D27-D14),(E27-E14))))</f>
        <v>0.17253296777556812</v>
      </c>
      <c r="E81" s="464">
        <f t="shared" ref="E81:N81" si="20">E50/((AVERAGE((E27-E14),(F27-F14))))</f>
        <v>0.16682113067655235</v>
      </c>
      <c r="F81" s="464">
        <f t="shared" si="20"/>
        <v>0.21395106715252474</v>
      </c>
      <c r="G81" s="464">
        <f t="shared" si="20"/>
        <v>0.22925467712733857</v>
      </c>
      <c r="H81" s="464">
        <f t="shared" si="20"/>
        <v>0.17250560538116591</v>
      </c>
      <c r="I81" s="464">
        <f t="shared" si="20"/>
        <v>7.8841113551037761E-2</v>
      </c>
      <c r="J81" s="464">
        <f t="shared" si="20"/>
        <v>0.1787224048849225</v>
      </c>
      <c r="K81" s="464">
        <f t="shared" si="20"/>
        <v>0.22750785593425188</v>
      </c>
      <c r="L81" s="464">
        <f t="shared" si="20"/>
        <v>0.25100117785630155</v>
      </c>
      <c r="M81" s="464">
        <f t="shared" si="20"/>
        <v>0.22225222792330543</v>
      </c>
      <c r="N81" s="347">
        <f t="shared" si="20"/>
        <v>0.21597363438749037</v>
      </c>
      <c r="P81" s="223"/>
    </row>
    <row r="82" spans="1:16" s="612" customFormat="1" ht="4.5" customHeight="1" x14ac:dyDescent="0.3">
      <c r="A82" s="734"/>
      <c r="B82" s="827"/>
      <c r="C82" s="827"/>
      <c r="D82" s="827"/>
      <c r="E82" s="827"/>
      <c r="F82" s="827"/>
      <c r="G82" s="827"/>
      <c r="H82" s="827"/>
      <c r="I82" s="827"/>
      <c r="J82" s="827"/>
      <c r="K82" s="827"/>
      <c r="L82" s="827"/>
      <c r="M82" s="827"/>
      <c r="N82" s="890"/>
      <c r="O82" s="827"/>
      <c r="P82" s="827"/>
    </row>
    <row r="83" spans="1:16" ht="4.5" customHeight="1" x14ac:dyDescent="0.3">
      <c r="A83" s="1155"/>
      <c r="B83" s="728"/>
      <c r="C83" s="728"/>
      <c r="D83" s="728"/>
      <c r="E83" s="728"/>
      <c r="F83" s="728"/>
      <c r="G83" s="728"/>
      <c r="H83" s="728"/>
      <c r="I83" s="728"/>
      <c r="J83" s="728"/>
      <c r="K83" s="728"/>
      <c r="L83" s="728"/>
      <c r="M83" s="728"/>
      <c r="N83" s="1518"/>
      <c r="O83" s="464"/>
      <c r="P83" s="464"/>
    </row>
    <row r="84" spans="1:16" s="612" customFormat="1" ht="4.5" customHeight="1" x14ac:dyDescent="0.3">
      <c r="A84" s="734"/>
      <c r="B84" s="827"/>
      <c r="C84" s="827"/>
      <c r="D84" s="827"/>
      <c r="E84" s="827"/>
      <c r="F84" s="827"/>
      <c r="G84" s="827"/>
      <c r="H84" s="827"/>
      <c r="I84" s="827"/>
      <c r="J84" s="827"/>
      <c r="K84" s="827"/>
      <c r="L84" s="827"/>
      <c r="M84" s="827"/>
      <c r="N84" s="890"/>
      <c r="O84" s="827"/>
      <c r="P84" s="827"/>
    </row>
    <row r="85" spans="1:16" s="612" customFormat="1" x14ac:dyDescent="0.3">
      <c r="A85" s="734" t="s">
        <v>2009</v>
      </c>
      <c r="B85" s="1302">
        <f>B25+B20-B8</f>
        <v>4924</v>
      </c>
      <c r="C85" s="1302">
        <f>C25+C20-C8</f>
        <v>95</v>
      </c>
      <c r="D85" s="1302">
        <f>D25+D20-D8</f>
        <v>-531</v>
      </c>
      <c r="E85" s="1302">
        <f t="shared" ref="E85:N85" si="21">E25+E20-E8</f>
        <v>-605</v>
      </c>
      <c r="F85" s="1302">
        <f t="shared" si="21"/>
        <v>1942</v>
      </c>
      <c r="G85" s="1302">
        <f t="shared" si="21"/>
        <v>3584</v>
      </c>
      <c r="H85" s="1302">
        <f t="shared" si="21"/>
        <v>5753</v>
      </c>
      <c r="I85" s="1302">
        <f t="shared" si="21"/>
        <v>5064</v>
      </c>
      <c r="J85" s="1302">
        <f t="shared" si="21"/>
        <v>5748</v>
      </c>
      <c r="K85" s="1302">
        <f t="shared" si="21"/>
        <v>2277</v>
      </c>
      <c r="L85" s="1302">
        <f t="shared" si="21"/>
        <v>2939</v>
      </c>
      <c r="M85" s="1302">
        <f t="shared" si="21"/>
        <v>2653</v>
      </c>
      <c r="N85" s="1711">
        <f t="shared" si="21"/>
        <v>2209</v>
      </c>
      <c r="O85" s="827"/>
      <c r="P85" s="827"/>
    </row>
    <row r="86" spans="1:16" x14ac:dyDescent="0.3">
      <c r="A86" s="214" t="s">
        <v>1829</v>
      </c>
      <c r="B86" s="464">
        <f t="shared" ref="B86:C86" si="22">(B20+B25)/B27</f>
        <v>0.14202974570807242</v>
      </c>
      <c r="C86" s="464">
        <f t="shared" si="22"/>
        <v>0.12143498073438078</v>
      </c>
      <c r="D86" s="464">
        <f t="shared" ref="D86:O86" si="23">(D20+D25)/D27</f>
        <v>0.10098983155498099</v>
      </c>
      <c r="E86" s="464">
        <f t="shared" si="23"/>
        <v>0.1121251629726206</v>
      </c>
      <c r="F86" s="464">
        <f t="shared" si="23"/>
        <v>0.14961875989066323</v>
      </c>
      <c r="G86" s="464">
        <f t="shared" si="23"/>
        <v>0.21325593437440385</v>
      </c>
      <c r="H86" s="464">
        <f t="shared" si="23"/>
        <v>0.26706814580031696</v>
      </c>
      <c r="I86" s="464">
        <f t="shared" si="23"/>
        <v>0.26525320817880471</v>
      </c>
      <c r="J86" s="464">
        <f t="shared" si="23"/>
        <v>0.26787744890997106</v>
      </c>
      <c r="K86" s="464">
        <f t="shared" si="23"/>
        <v>0.17096331175201099</v>
      </c>
      <c r="L86" s="464">
        <f t="shared" si="23"/>
        <v>0.19731454985692273</v>
      </c>
      <c r="M86" s="464">
        <f t="shared" si="23"/>
        <v>0.21717441653304828</v>
      </c>
      <c r="N86" s="347">
        <f t="shared" si="23"/>
        <v>0.19929464571978198</v>
      </c>
      <c r="O86" s="227">
        <f t="shared" si="23"/>
        <v>0.22647766434748684</v>
      </c>
      <c r="P86" s="223"/>
    </row>
    <row r="87" spans="1:16" ht="16.2" thickBot="1" x14ac:dyDescent="0.35">
      <c r="A87" s="224" t="s">
        <v>1830</v>
      </c>
      <c r="B87" s="1108">
        <f t="shared" ref="B87:C87" si="24">B17/B27</f>
        <v>1.4161776437290321</v>
      </c>
      <c r="C87" s="1108">
        <f t="shared" si="24"/>
        <v>1.38068511708922</v>
      </c>
      <c r="D87" s="1108">
        <f t="shared" ref="D87:O87" si="25">D17/D27</f>
        <v>1.3716402647268797</v>
      </c>
      <c r="E87" s="1108">
        <f t="shared" si="25"/>
        <v>1.3841497485565282</v>
      </c>
      <c r="F87" s="1108">
        <f t="shared" si="25"/>
        <v>1.4680929773722178</v>
      </c>
      <c r="G87" s="1108">
        <f t="shared" si="25"/>
        <v>1.8181396996702368</v>
      </c>
      <c r="H87" s="1108">
        <f t="shared" si="25"/>
        <v>1.6211093502377178</v>
      </c>
      <c r="I87" s="1108">
        <f t="shared" si="25"/>
        <v>1.6015950638353738</v>
      </c>
      <c r="J87" s="1108">
        <f t="shared" si="25"/>
        <v>1.6211377887520713</v>
      </c>
      <c r="K87" s="1108">
        <f t="shared" si="25"/>
        <v>1.5037080635668041</v>
      </c>
      <c r="L87" s="1108">
        <f t="shared" si="25"/>
        <v>1.513185119964781</v>
      </c>
      <c r="M87" s="1108">
        <f t="shared" si="25"/>
        <v>1.556208800997684</v>
      </c>
      <c r="N87" s="1505">
        <f t="shared" si="25"/>
        <v>1.5156139788393717</v>
      </c>
      <c r="O87" s="1108">
        <f t="shared" si="25"/>
        <v>1.5129072111320632</v>
      </c>
      <c r="P87" s="219"/>
    </row>
    <row r="88" spans="1:16" x14ac:dyDescent="0.3">
      <c r="A88" s="2953" t="s">
        <v>2484</v>
      </c>
      <c r="B88" s="2953"/>
      <c r="C88" s="2953"/>
      <c r="D88" s="2953"/>
      <c r="E88" s="2953"/>
      <c r="F88" s="2953"/>
      <c r="G88" s="2953"/>
      <c r="H88" s="2953"/>
      <c r="I88" s="2953"/>
      <c r="J88" s="2953"/>
      <c r="K88" s="2953"/>
      <c r="L88" s="2953"/>
      <c r="M88" s="2953"/>
    </row>
    <row r="89" spans="1:16" x14ac:dyDescent="0.3">
      <c r="L89" s="226">
        <f>L50/M50-1</f>
        <v>0.29465370595382745</v>
      </c>
    </row>
    <row r="90" spans="1:16" s="658" customFormat="1" x14ac:dyDescent="0.3">
      <c r="A90" s="658" t="s">
        <v>2006</v>
      </c>
      <c r="B90" s="1704">
        <f t="shared" ref="B90:O90" si="26">B27-C27</f>
        <v>34672</v>
      </c>
      <c r="C90" s="1704">
        <f t="shared" si="26"/>
        <v>5010</v>
      </c>
      <c r="D90" s="1704">
        <f t="shared" si="26"/>
        <v>-1863</v>
      </c>
      <c r="E90" s="1704">
        <f t="shared" si="26"/>
        <v>5033</v>
      </c>
      <c r="F90" s="1704">
        <f t="shared" si="26"/>
        <v>11964</v>
      </c>
      <c r="G90" s="1704">
        <f t="shared" si="26"/>
        <v>5143</v>
      </c>
      <c r="H90" s="1704">
        <f t="shared" si="26"/>
        <v>1081</v>
      </c>
      <c r="I90" s="1704">
        <f t="shared" si="26"/>
        <v>-310</v>
      </c>
      <c r="J90" s="1704">
        <f t="shared" si="26"/>
        <v>5294</v>
      </c>
      <c r="K90" s="1704">
        <f t="shared" si="26"/>
        <v>2770</v>
      </c>
      <c r="L90" s="1704">
        <f t="shared" si="26"/>
        <v>5876</v>
      </c>
      <c r="M90" s="1704">
        <f t="shared" si="26"/>
        <v>1244</v>
      </c>
      <c r="N90" s="1704">
        <f t="shared" si="26"/>
        <v>216</v>
      </c>
      <c r="O90" s="1704">
        <f t="shared" si="26"/>
        <v>15379</v>
      </c>
    </row>
    <row r="91" spans="1:16" s="658" customFormat="1" x14ac:dyDescent="0.3">
      <c r="A91" s="658" t="s">
        <v>2007</v>
      </c>
      <c r="B91" s="1704">
        <f t="shared" ref="B91:C91" si="27">B90-B50</f>
        <v>29041</v>
      </c>
      <c r="C91" s="1704">
        <f t="shared" si="27"/>
        <v>327</v>
      </c>
      <c r="D91" s="1704">
        <f t="shared" ref="D91:O91" si="28">D90-D50</f>
        <v>-6331</v>
      </c>
      <c r="E91" s="1704">
        <f t="shared" si="28"/>
        <v>803</v>
      </c>
      <c r="F91" s="1704">
        <f t="shared" si="28"/>
        <v>8265</v>
      </c>
      <c r="G91" s="1704">
        <f t="shared" si="28"/>
        <v>2104</v>
      </c>
      <c r="H91" s="1704">
        <f t="shared" si="28"/>
        <v>-1381</v>
      </c>
      <c r="I91" s="1704">
        <f t="shared" si="28"/>
        <v>-1423</v>
      </c>
      <c r="J91" s="1704">
        <f t="shared" si="28"/>
        <v>3011</v>
      </c>
      <c r="K91" s="1704">
        <f t="shared" si="28"/>
        <v>417</v>
      </c>
      <c r="L91" s="1704">
        <f t="shared" si="28"/>
        <v>3745</v>
      </c>
      <c r="M91" s="1704">
        <f t="shared" si="28"/>
        <v>-402</v>
      </c>
      <c r="N91" s="1704">
        <f t="shared" si="28"/>
        <v>-1324</v>
      </c>
      <c r="O91" s="1704">
        <f t="shared" si="28"/>
        <v>14035</v>
      </c>
    </row>
    <row r="92" spans="1:16" s="658" customFormat="1" x14ac:dyDescent="0.3"/>
    <row r="93" spans="1:16" s="658" customFormat="1" x14ac:dyDescent="0.3">
      <c r="A93" s="658" t="s">
        <v>2008</v>
      </c>
      <c r="B93" s="1705">
        <f t="shared" ref="B93:C93" si="29">B8/B44</f>
        <v>6.7241939379804924E-2</v>
      </c>
      <c r="C93" s="1705">
        <f t="shared" si="29"/>
        <v>6.3130071875724558E-2</v>
      </c>
      <c r="D93" s="1705">
        <f t="shared" ref="D93:O93" si="30">D8/D44</f>
        <v>5.9013809128970508E-2</v>
      </c>
      <c r="E93" s="1705">
        <f t="shared" si="30"/>
        <v>6.9523879484946108E-2</v>
      </c>
      <c r="F93" s="1705">
        <f t="shared" si="30"/>
        <v>6.4116269293135547E-2</v>
      </c>
      <c r="G93" s="1705">
        <f t="shared" si="30"/>
        <v>5.8572493992210588E-2</v>
      </c>
      <c r="H93" s="1705">
        <f t="shared" si="30"/>
        <v>4.0129109743281786E-2</v>
      </c>
      <c r="I93" s="1705">
        <f t="shared" si="30"/>
        <v>4.8941863293602526E-2</v>
      </c>
      <c r="J93" s="1705">
        <f t="shared" si="30"/>
        <v>3.7776668330837079E-2</v>
      </c>
      <c r="K93" s="1705">
        <f t="shared" si="30"/>
        <v>3.5194585448392553E-2</v>
      </c>
      <c r="L93" s="1705">
        <f t="shared" si="30"/>
        <v>2.9301177364223319E-2</v>
      </c>
      <c r="M93" s="1705">
        <f t="shared" si="30"/>
        <v>2.140907540088707E-2</v>
      </c>
      <c r="N93" s="1705">
        <f t="shared" si="30"/>
        <v>2.0366091250962802E-2</v>
      </c>
      <c r="O93" s="1705">
        <f t="shared" si="30"/>
        <v>3.8933532673020618E-2</v>
      </c>
    </row>
    <row r="94" spans="1:16" s="658" customFormat="1" x14ac:dyDescent="0.3">
      <c r="A94" s="658" t="s">
        <v>2015</v>
      </c>
      <c r="B94" s="1706">
        <f t="shared" ref="B94:C94" si="31">B25+B20</f>
        <v>12997</v>
      </c>
      <c r="C94" s="1706">
        <f t="shared" si="31"/>
        <v>6902</v>
      </c>
      <c r="D94" s="1706">
        <f t="shared" ref="D94:O94" si="32">D25+D20</f>
        <v>5234</v>
      </c>
      <c r="E94" s="1706">
        <f t="shared" si="32"/>
        <v>6020</v>
      </c>
      <c r="F94" s="1706">
        <f t="shared" si="32"/>
        <v>7280</v>
      </c>
      <c r="G94" s="1706">
        <f t="shared" si="32"/>
        <v>7825</v>
      </c>
      <c r="H94" s="1706">
        <f t="shared" si="32"/>
        <v>8426</v>
      </c>
      <c r="I94" s="1706">
        <f t="shared" si="32"/>
        <v>8082</v>
      </c>
      <c r="J94" s="1706">
        <f t="shared" si="32"/>
        <v>8245</v>
      </c>
      <c r="K94" s="1706">
        <f t="shared" si="32"/>
        <v>4357</v>
      </c>
      <c r="L94" s="1706">
        <f t="shared" si="32"/>
        <v>4482</v>
      </c>
      <c r="M94" s="1706">
        <f t="shared" si="32"/>
        <v>3657</v>
      </c>
      <c r="N94" s="1706">
        <f t="shared" si="32"/>
        <v>3108</v>
      </c>
      <c r="O94" s="1706">
        <f t="shared" si="32"/>
        <v>3483</v>
      </c>
    </row>
    <row r="95" spans="1:16" s="658" customFormat="1" x14ac:dyDescent="0.3">
      <c r="A95" s="658" t="s">
        <v>5</v>
      </c>
      <c r="B95" s="1707">
        <f t="shared" ref="B95:C95" si="33">B8</f>
        <v>8073</v>
      </c>
      <c r="C95" s="1707">
        <f t="shared" si="33"/>
        <v>6807</v>
      </c>
      <c r="D95" s="1707">
        <f t="shared" ref="D95:O95" si="34">D8</f>
        <v>5765</v>
      </c>
      <c r="E95" s="1707">
        <f t="shared" si="34"/>
        <v>6625</v>
      </c>
      <c r="F95" s="1707">
        <f t="shared" si="34"/>
        <v>5338</v>
      </c>
      <c r="G95" s="1707">
        <f t="shared" si="34"/>
        <v>4241</v>
      </c>
      <c r="H95" s="1707">
        <f t="shared" si="34"/>
        <v>2673</v>
      </c>
      <c r="I95" s="1707">
        <f t="shared" si="34"/>
        <v>3018</v>
      </c>
      <c r="J95" s="1707">
        <f t="shared" si="34"/>
        <v>2497</v>
      </c>
      <c r="K95" s="1707">
        <f t="shared" si="34"/>
        <v>2080</v>
      </c>
      <c r="L95" s="1707">
        <f t="shared" si="34"/>
        <v>1543</v>
      </c>
      <c r="M95" s="1707">
        <f t="shared" si="34"/>
        <v>1004</v>
      </c>
      <c r="N95" s="1707">
        <f t="shared" si="34"/>
        <v>899</v>
      </c>
      <c r="O95" s="1707">
        <f t="shared" si="34"/>
        <v>1250</v>
      </c>
    </row>
    <row r="96" spans="1:16" s="658" customFormat="1" x14ac:dyDescent="0.3">
      <c r="A96" s="658" t="s">
        <v>2009</v>
      </c>
      <c r="B96" s="357">
        <f>B94-B95</f>
        <v>4924</v>
      </c>
      <c r="C96" s="357">
        <f>C94-C95</f>
        <v>95</v>
      </c>
      <c r="D96" s="357">
        <f>D94-D95</f>
        <v>-531</v>
      </c>
      <c r="E96" s="357">
        <f t="shared" ref="E96:O96" si="35">E25+E20-E8</f>
        <v>-605</v>
      </c>
      <c r="F96" s="357">
        <f t="shared" si="35"/>
        <v>1942</v>
      </c>
      <c r="G96" s="357">
        <f t="shared" si="35"/>
        <v>3584</v>
      </c>
      <c r="H96" s="357">
        <f t="shared" si="35"/>
        <v>5753</v>
      </c>
      <c r="I96" s="357">
        <f t="shared" si="35"/>
        <v>5064</v>
      </c>
      <c r="J96" s="1704">
        <f t="shared" si="35"/>
        <v>5748</v>
      </c>
      <c r="K96" s="1704">
        <f t="shared" si="35"/>
        <v>2277</v>
      </c>
      <c r="L96" s="1704">
        <f t="shared" si="35"/>
        <v>2939</v>
      </c>
      <c r="M96" s="1704">
        <f t="shared" si="35"/>
        <v>2653</v>
      </c>
      <c r="N96" s="1704">
        <f t="shared" si="35"/>
        <v>2209</v>
      </c>
      <c r="O96" s="1704">
        <f t="shared" si="35"/>
        <v>2233</v>
      </c>
    </row>
    <row r="97" spans="1:15" s="658" customFormat="1" x14ac:dyDescent="0.3"/>
    <row r="98" spans="1:15" s="658" customFormat="1" x14ac:dyDescent="0.3">
      <c r="A98" s="658" t="s">
        <v>2010</v>
      </c>
      <c r="B98" s="1708">
        <f t="shared" ref="B98:O98" si="36">B48/C48-1</f>
        <v>0.1893183415319748</v>
      </c>
      <c r="C98" s="1708">
        <f t="shared" si="36"/>
        <v>4.7555948174322626E-2</v>
      </c>
      <c r="D98" s="1708">
        <f t="shared" si="36"/>
        <v>7.4161969741917133E-3</v>
      </c>
      <c r="E98" s="1708">
        <f t="shared" si="36"/>
        <v>9.9657478388517351E-2</v>
      </c>
      <c r="F98" s="1708">
        <f t="shared" si="36"/>
        <v>0.21719277347627552</v>
      </c>
      <c r="G98" s="1708">
        <f t="shared" si="36"/>
        <v>0.17852129153018259</v>
      </c>
      <c r="H98" s="1708">
        <f t="shared" si="36"/>
        <v>1.0767735665694849</v>
      </c>
      <c r="I98" s="1708">
        <f t="shared" si="36"/>
        <v>-0.48844146159582402</v>
      </c>
      <c r="J98" s="1708">
        <f t="shared" si="36"/>
        <v>1.925513047884464E-2</v>
      </c>
      <c r="K98" s="1708">
        <f t="shared" si="36"/>
        <v>0.11939875212705608</v>
      </c>
      <c r="L98" s="1708">
        <f t="shared" si="36"/>
        <v>0.34426229508196715</v>
      </c>
      <c r="M98" s="1708">
        <f t="shared" si="36"/>
        <v>5.7234985892785195E-2</v>
      </c>
      <c r="N98" s="1708">
        <f t="shared" si="36"/>
        <v>0.15020862308762162</v>
      </c>
      <c r="O98" s="1708">
        <f t="shared" si="36"/>
        <v>0.11128284389489962</v>
      </c>
    </row>
    <row r="99" spans="1:15" s="658" customFormat="1" x14ac:dyDescent="0.3">
      <c r="A99" s="658" t="s">
        <v>2011</v>
      </c>
      <c r="B99" s="1708">
        <f t="shared" ref="B99:O99" si="37">B50/C50-1</f>
        <v>0.2024343369634849</v>
      </c>
      <c r="C99" s="1708">
        <f t="shared" si="37"/>
        <v>4.8119964189794029E-2</v>
      </c>
      <c r="D99" s="1708">
        <f t="shared" si="37"/>
        <v>5.6264775413711554E-2</v>
      </c>
      <c r="E99" s="1708">
        <f t="shared" si="37"/>
        <v>0.14355231143552305</v>
      </c>
      <c r="F99" s="1708">
        <f t="shared" si="37"/>
        <v>0.21717670286278379</v>
      </c>
      <c r="G99" s="1708">
        <f t="shared" si="37"/>
        <v>0.23436230706742478</v>
      </c>
      <c r="H99" s="1708">
        <f t="shared" si="37"/>
        <v>1.2120395327942499</v>
      </c>
      <c r="I99" s="1708">
        <f t="shared" si="37"/>
        <v>-0.51248357424441526</v>
      </c>
      <c r="J99" s="1708">
        <f t="shared" si="37"/>
        <v>-2.974925626859326E-2</v>
      </c>
      <c r="K99" s="1708">
        <f t="shared" si="37"/>
        <v>0.10417644298451423</v>
      </c>
      <c r="L99" s="1708">
        <f t="shared" si="37"/>
        <v>0.29465370595382745</v>
      </c>
      <c r="M99" s="1708">
        <f t="shared" si="37"/>
        <v>6.883116883116891E-2</v>
      </c>
      <c r="N99" s="1708">
        <f t="shared" si="37"/>
        <v>0.14583333333333326</v>
      </c>
      <c r="O99" s="1708">
        <f t="shared" si="37"/>
        <v>0.12186978297161932</v>
      </c>
    </row>
    <row r="100" spans="1:15" s="658" customFormat="1" x14ac:dyDescent="0.3"/>
    <row r="101" spans="1:15" s="658" customFormat="1" x14ac:dyDescent="0.3">
      <c r="A101" s="658" t="s">
        <v>2014</v>
      </c>
      <c r="B101" s="1704">
        <f t="shared" ref="B101:C101" si="38">B27-B14</f>
        <v>20036</v>
      </c>
      <c r="C101" s="1704">
        <f t="shared" si="38"/>
        <v>26548</v>
      </c>
      <c r="D101" s="1704">
        <f t="shared" ref="D101:N101" si="39">D27-D14</f>
        <v>23720</v>
      </c>
      <c r="E101" s="1704">
        <f t="shared" si="39"/>
        <v>28073</v>
      </c>
      <c r="F101" s="1704">
        <f t="shared" si="39"/>
        <v>22640</v>
      </c>
      <c r="G101" s="1704">
        <f t="shared" si="39"/>
        <v>11938</v>
      </c>
      <c r="H101" s="1704">
        <f t="shared" si="39"/>
        <v>14574</v>
      </c>
      <c r="I101" s="1704">
        <f t="shared" si="39"/>
        <v>13970</v>
      </c>
      <c r="J101" s="1704">
        <f t="shared" si="39"/>
        <v>14264</v>
      </c>
      <c r="K101" s="1704">
        <f t="shared" si="39"/>
        <v>11284</v>
      </c>
      <c r="L101" s="1704">
        <f t="shared" si="39"/>
        <v>9401</v>
      </c>
      <c r="M101" s="1704">
        <f t="shared" si="39"/>
        <v>7579</v>
      </c>
      <c r="N101" s="1704">
        <f t="shared" si="39"/>
        <v>7233</v>
      </c>
    </row>
    <row r="102" spans="1:15" s="658" customFormat="1" x14ac:dyDescent="0.3">
      <c r="A102" s="658" t="s">
        <v>2012</v>
      </c>
      <c r="B102" s="1704">
        <f>AVERAGE(B101:C101)</f>
        <v>23292</v>
      </c>
      <c r="C102" s="1704">
        <f>AVERAGE(C101:D101)</f>
        <v>25134</v>
      </c>
      <c r="D102" s="1704">
        <f>AVERAGE(D101:E101)</f>
        <v>25896.5</v>
      </c>
      <c r="E102" s="1704">
        <f t="shared" ref="E102:N102" si="40">AVERAGE(E101:F101)</f>
        <v>25356.5</v>
      </c>
      <c r="F102" s="1704">
        <f t="shared" si="40"/>
        <v>17289</v>
      </c>
      <c r="G102" s="1704">
        <f t="shared" si="40"/>
        <v>13256</v>
      </c>
      <c r="H102" s="1704">
        <f t="shared" si="40"/>
        <v>14272</v>
      </c>
      <c r="I102" s="1704">
        <f t="shared" si="40"/>
        <v>14117</v>
      </c>
      <c r="J102" s="1704">
        <f t="shared" si="40"/>
        <v>12774</v>
      </c>
      <c r="K102" s="1704">
        <f t="shared" si="40"/>
        <v>10342.5</v>
      </c>
      <c r="L102" s="1704">
        <f t="shared" si="40"/>
        <v>8490</v>
      </c>
      <c r="M102" s="1704">
        <f t="shared" si="40"/>
        <v>7406</v>
      </c>
      <c r="N102" s="1704">
        <f t="shared" si="40"/>
        <v>7233</v>
      </c>
      <c r="O102" s="1704"/>
    </row>
    <row r="103" spans="1:15" s="658" customFormat="1" x14ac:dyDescent="0.3">
      <c r="A103" s="658" t="s">
        <v>2013</v>
      </c>
      <c r="B103" s="1708">
        <f>B102/C102-1</f>
        <v>-7.3287180711386957E-2</v>
      </c>
      <c r="C103" s="1708">
        <f>C102/D102-1</f>
        <v>-2.9444133377097281E-2</v>
      </c>
      <c r="D103" s="1708">
        <f>D102/E102-1</f>
        <v>2.1296314554453577E-2</v>
      </c>
      <c r="E103" s="1708">
        <f t="shared" ref="E103:M103" si="41">E102/F102-1</f>
        <v>0.46662617849499677</v>
      </c>
      <c r="F103" s="1708">
        <f t="shared" si="41"/>
        <v>0.30423958961979491</v>
      </c>
      <c r="G103" s="1708">
        <f t="shared" si="41"/>
        <v>-7.1188340807174844E-2</v>
      </c>
      <c r="H103" s="1708">
        <f t="shared" si="41"/>
        <v>1.0979669901537203E-2</v>
      </c>
      <c r="I103" s="1708">
        <f t="shared" si="41"/>
        <v>0.10513543134491932</v>
      </c>
      <c r="J103" s="1708">
        <f t="shared" si="41"/>
        <v>0.23509789702683093</v>
      </c>
      <c r="K103" s="1708">
        <f t="shared" si="41"/>
        <v>0.21819787985865724</v>
      </c>
      <c r="L103" s="1708">
        <f t="shared" si="41"/>
        <v>0.14636780988387788</v>
      </c>
      <c r="M103" s="1708">
        <f t="shared" si="41"/>
        <v>2.3918152910272328E-2</v>
      </c>
      <c r="N103" s="1708"/>
      <c r="O103" s="1708"/>
    </row>
    <row r="105" spans="1:15" x14ac:dyDescent="0.3">
      <c r="A105" s="211" t="s">
        <v>2322</v>
      </c>
      <c r="B105" s="348">
        <f>(B27+B25+B20-B14)/B101</f>
        <v>1.6486823717308845</v>
      </c>
      <c r="C105" s="348">
        <f>(C27+C25+C20-C14)/C101</f>
        <v>1.2599819195419617</v>
      </c>
      <c r="D105" s="348">
        <f>(D27+D25+D20-D14)/D101</f>
        <v>1.2206576728499157</v>
      </c>
      <c r="E105" s="348">
        <f t="shared" ref="E105:M105" si="42">(E27+E25+E20-E14)/E101</f>
        <v>1.2144409218822356</v>
      </c>
      <c r="F105" s="348">
        <f t="shared" si="42"/>
        <v>1.3215547703180213</v>
      </c>
      <c r="G105" s="348">
        <f t="shared" si="42"/>
        <v>1.6554699279611325</v>
      </c>
      <c r="H105" s="348">
        <f t="shared" si="42"/>
        <v>1.5781528749828462</v>
      </c>
      <c r="I105" s="348">
        <f t="shared" si="42"/>
        <v>1.5785254115962777</v>
      </c>
      <c r="J105" s="348">
        <f t="shared" si="42"/>
        <v>1.5780286034772855</v>
      </c>
      <c r="K105" s="348">
        <f t="shared" si="42"/>
        <v>1.3861219425735556</v>
      </c>
      <c r="L105" s="348">
        <f t="shared" si="42"/>
        <v>1.4767577917242847</v>
      </c>
      <c r="M105" s="348">
        <f t="shared" si="42"/>
        <v>1.4825174825174825</v>
      </c>
    </row>
  </sheetData>
  <mergeCells count="5">
    <mergeCell ref="A34:N34"/>
    <mergeCell ref="A35:M35"/>
    <mergeCell ref="L53:L59"/>
    <mergeCell ref="A66:M66"/>
    <mergeCell ref="A88:M88"/>
  </mergeCells>
  <pageMargins left="0.7" right="0.7" top="0.75" bottom="0.75" header="0.3" footer="0.3"/>
  <pageSetup orientation="portrait" r:id="rId1"/>
  <ignoredErrors>
    <ignoredError sqref="B80:N80" formulaRange="1"/>
  </ignoredError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7DB4-2950-4A8F-9AE2-8CE32E918D55}">
  <sheetPr>
    <tabColor theme="4"/>
  </sheetPr>
  <dimension ref="A1:L44"/>
  <sheetViews>
    <sheetView showGridLines="0" zoomScale="70" zoomScaleNormal="70" workbookViewId="0">
      <pane xSplit="1" ySplit="6" topLeftCell="B7" activePane="bottomRight" state="frozen"/>
      <selection pane="topRight" activeCell="B1" sqref="B1"/>
      <selection pane="bottomLeft" activeCell="A7" sqref="A7"/>
      <selection pane="bottomRight" activeCell="O35" sqref="O35"/>
    </sheetView>
  </sheetViews>
  <sheetFormatPr defaultColWidth="9.109375" defaultRowHeight="15.6" x14ac:dyDescent="0.3"/>
  <cols>
    <col min="1" max="1" width="44.88671875" style="211" customWidth="1"/>
    <col min="2" max="3" width="9.109375" style="211" bestFit="1" customWidth="1"/>
    <col min="4" max="5" width="9.109375" style="211"/>
    <col min="6" max="6" width="9.109375" style="211" bestFit="1" customWidth="1"/>
    <col min="7" max="16384" width="9.109375" style="211"/>
  </cols>
  <sheetData>
    <row r="1" spans="1:9" s="1632" customFormat="1" x14ac:dyDescent="0.3">
      <c r="B1" s="1632">
        <v>2019</v>
      </c>
      <c r="C1" s="1632">
        <v>2018</v>
      </c>
      <c r="D1" s="1632">
        <v>2017</v>
      </c>
      <c r="E1" s="1632">
        <v>2016</v>
      </c>
      <c r="F1" s="1632">
        <v>2016</v>
      </c>
      <c r="G1" s="1632">
        <v>2016</v>
      </c>
    </row>
    <row r="2" spans="1:9" x14ac:dyDescent="0.3">
      <c r="A2" s="459" t="s">
        <v>2240</v>
      </c>
      <c r="B2" s="459"/>
      <c r="C2" s="459"/>
    </row>
    <row r="3" spans="1:9" x14ac:dyDescent="0.3">
      <c r="A3" s="152" t="s">
        <v>949</v>
      </c>
      <c r="B3" s="152"/>
      <c r="C3" s="152"/>
    </row>
    <row r="4" spans="1:9" ht="8.25" customHeight="1" thickBot="1" x14ac:dyDescent="0.35"/>
    <row r="5" spans="1:9" x14ac:dyDescent="0.3">
      <c r="A5" s="212" t="s">
        <v>1250</v>
      </c>
      <c r="B5" s="712">
        <v>2019</v>
      </c>
      <c r="C5" s="712">
        <v>2018</v>
      </c>
      <c r="D5" s="712">
        <v>2017</v>
      </c>
      <c r="E5" s="712">
        <v>2016</v>
      </c>
      <c r="F5" s="712">
        <v>2015</v>
      </c>
      <c r="G5" s="713">
        <v>2014</v>
      </c>
    </row>
    <row r="6" spans="1:9" ht="31.2" x14ac:dyDescent="0.3">
      <c r="A6" s="940" t="s">
        <v>2168</v>
      </c>
      <c r="B6" s="1888"/>
      <c r="C6" s="1888"/>
      <c r="D6" s="220"/>
      <c r="E6" s="220"/>
      <c r="F6" s="220"/>
      <c r="G6" s="223"/>
    </row>
    <row r="7" spans="1:9" x14ac:dyDescent="0.3">
      <c r="A7" s="214" t="s">
        <v>2151</v>
      </c>
      <c r="B7" s="2477"/>
      <c r="C7" s="518">
        <v>304</v>
      </c>
      <c r="D7" s="518">
        <v>311</v>
      </c>
      <c r="E7" s="518">
        <v>367</v>
      </c>
      <c r="F7" s="518">
        <v>460</v>
      </c>
      <c r="G7" s="1325">
        <v>527</v>
      </c>
    </row>
    <row r="8" spans="1:9" ht="18.600000000000001" x14ac:dyDescent="0.3">
      <c r="A8" s="214" t="s">
        <v>2444</v>
      </c>
      <c r="B8" s="2477"/>
      <c r="C8" s="926">
        <v>407</v>
      </c>
      <c r="D8" s="926">
        <v>372</v>
      </c>
      <c r="E8" s="926">
        <v>392</v>
      </c>
      <c r="F8" s="926">
        <v>292</v>
      </c>
      <c r="G8" s="927">
        <v>270</v>
      </c>
      <c r="I8" s="1224"/>
    </row>
    <row r="9" spans="1:9" x14ac:dyDescent="0.3">
      <c r="A9" s="214" t="s">
        <v>2158</v>
      </c>
      <c r="B9" s="2477"/>
      <c r="C9" s="926">
        <v>417</v>
      </c>
      <c r="D9" s="926">
        <v>567</v>
      </c>
      <c r="E9" s="926">
        <v>559</v>
      </c>
      <c r="F9" s="926">
        <v>586</v>
      </c>
      <c r="G9" s="927">
        <v>549</v>
      </c>
    </row>
    <row r="10" spans="1:9" x14ac:dyDescent="0.3">
      <c r="A10" s="214" t="s">
        <v>2443</v>
      </c>
      <c r="B10" s="2477"/>
      <c r="C10" s="926">
        <v>745</v>
      </c>
      <c r="D10" s="926">
        <v>1131</v>
      </c>
      <c r="E10" s="926">
        <v>1105</v>
      </c>
      <c r="F10" s="926">
        <v>1026</v>
      </c>
      <c r="G10" s="927">
        <v>1010</v>
      </c>
    </row>
    <row r="11" spans="1:9" x14ac:dyDescent="0.3">
      <c r="A11" s="214" t="s">
        <v>2153</v>
      </c>
      <c r="B11" s="2477"/>
      <c r="C11" s="926">
        <v>507</v>
      </c>
      <c r="D11" s="926">
        <v>446</v>
      </c>
      <c r="E11" s="926">
        <v>413</v>
      </c>
      <c r="F11" s="926">
        <v>401</v>
      </c>
      <c r="G11" s="927">
        <v>379</v>
      </c>
    </row>
    <row r="12" spans="1:9" ht="18.600000000000001" x14ac:dyDescent="0.3">
      <c r="A12" s="214" t="s">
        <v>2445</v>
      </c>
      <c r="B12" s="2477"/>
      <c r="C12" s="2477"/>
      <c r="D12" s="2477"/>
      <c r="E12" s="926">
        <v>147</v>
      </c>
      <c r="F12" s="926">
        <v>170</v>
      </c>
      <c r="G12" s="927">
        <v>16</v>
      </c>
    </row>
    <row r="13" spans="1:9" ht="18.600000000000001" x14ac:dyDescent="0.3">
      <c r="A13" s="214" t="s">
        <v>2446</v>
      </c>
      <c r="B13" s="2477"/>
      <c r="C13" s="2477"/>
      <c r="D13" s="2477"/>
      <c r="E13" s="926">
        <v>157</v>
      </c>
      <c r="F13" s="926">
        <v>175</v>
      </c>
      <c r="G13" s="927">
        <v>194</v>
      </c>
    </row>
    <row r="14" spans="1:9" x14ac:dyDescent="0.3">
      <c r="A14" s="214" t="s">
        <v>2154</v>
      </c>
      <c r="B14" s="2477"/>
      <c r="C14" s="926">
        <v>204</v>
      </c>
      <c r="D14" s="926">
        <v>220</v>
      </c>
      <c r="E14" s="926">
        <v>225</v>
      </c>
      <c r="F14" s="926">
        <v>191</v>
      </c>
      <c r="G14" s="927">
        <v>139</v>
      </c>
    </row>
    <row r="15" spans="1:9" ht="18.600000000000001" x14ac:dyDescent="0.3">
      <c r="A15" s="214" t="s">
        <v>2447</v>
      </c>
      <c r="B15" s="2477"/>
      <c r="C15" s="926">
        <v>296</v>
      </c>
      <c r="D15" s="926">
        <v>296</v>
      </c>
      <c r="E15" s="926">
        <v>73</v>
      </c>
      <c r="F15" s="926">
        <v>49</v>
      </c>
      <c r="G15" s="927">
        <v>54</v>
      </c>
      <c r="I15" s="1224"/>
    </row>
    <row r="16" spans="1:9" x14ac:dyDescent="0.3">
      <c r="A16" s="282" t="s">
        <v>2449</v>
      </c>
      <c r="B16" s="2477"/>
      <c r="C16" s="1630">
        <f>SUM(C7:C15)</f>
        <v>2880</v>
      </c>
      <c r="D16" s="1630">
        <f>SUM(D7:D15)</f>
        <v>3343</v>
      </c>
      <c r="E16" s="1630">
        <f>SUM(E7:E15)</f>
        <v>3438</v>
      </c>
      <c r="F16" s="1630">
        <f>SUM(F7:F15)</f>
        <v>3350</v>
      </c>
      <c r="G16" s="1635">
        <f>SUM(G7:G15)</f>
        <v>3138</v>
      </c>
    </row>
    <row r="17" spans="1:12" x14ac:dyDescent="0.3">
      <c r="A17" s="214" t="s">
        <v>2157</v>
      </c>
      <c r="B17" s="2477"/>
      <c r="C17" s="926">
        <v>408</v>
      </c>
      <c r="D17" s="926">
        <v>844</v>
      </c>
      <c r="E17" s="926">
        <v>465</v>
      </c>
      <c r="F17" s="926">
        <v>499</v>
      </c>
      <c r="G17" s="927">
        <v>427</v>
      </c>
      <c r="L17" s="211" t="s">
        <v>176</v>
      </c>
    </row>
    <row r="18" spans="1:12" x14ac:dyDescent="0.3">
      <c r="A18" s="214" t="s">
        <v>2127</v>
      </c>
      <c r="B18" s="1630">
        <v>2618</v>
      </c>
      <c r="C18" s="1630">
        <f>C16-C17</f>
        <v>2472</v>
      </c>
      <c r="D18" s="1630">
        <f t="shared" ref="D18:G18" si="0">D16-D17</f>
        <v>2499</v>
      </c>
      <c r="E18" s="1630">
        <f t="shared" si="0"/>
        <v>2973</v>
      </c>
      <c r="F18" s="1630">
        <f t="shared" si="0"/>
        <v>2851</v>
      </c>
      <c r="G18" s="1635">
        <f t="shared" si="0"/>
        <v>2711</v>
      </c>
    </row>
    <row r="19" spans="1:12" x14ac:dyDescent="0.3">
      <c r="A19" s="214" t="s">
        <v>391</v>
      </c>
      <c r="B19" s="926">
        <v>-526</v>
      </c>
      <c r="C19" s="926">
        <v>-452</v>
      </c>
      <c r="D19" s="926">
        <v>148</v>
      </c>
      <c r="E19" s="926">
        <v>431</v>
      </c>
      <c r="F19" s="926">
        <v>481</v>
      </c>
      <c r="G19" s="927">
        <v>616</v>
      </c>
    </row>
    <row r="20" spans="1:12" ht="16.2" thickBot="1" x14ac:dyDescent="0.35">
      <c r="A20" s="214" t="s">
        <v>301</v>
      </c>
      <c r="B20" s="519">
        <v>3144</v>
      </c>
      <c r="C20" s="519">
        <f>C16-C17-C19</f>
        <v>2924</v>
      </c>
      <c r="D20" s="519">
        <f>D16-D17-D19</f>
        <v>2351</v>
      </c>
      <c r="E20" s="519">
        <f>E16-E17-E19</f>
        <v>2542</v>
      </c>
      <c r="F20" s="519">
        <f>F16-F17-F19</f>
        <v>2370</v>
      </c>
      <c r="G20" s="1890">
        <f>G16-G17-G19</f>
        <v>2095</v>
      </c>
    </row>
    <row r="21" spans="1:12" ht="16.2" thickTop="1" x14ac:dyDescent="0.3">
      <c r="A21" s="214"/>
      <c r="B21" s="1889"/>
      <c r="C21" s="1889"/>
      <c r="D21" s="1889"/>
      <c r="E21" s="1889"/>
      <c r="F21" s="1889"/>
      <c r="G21" s="1891"/>
    </row>
    <row r="22" spans="1:12" ht="19.2" thickBot="1" x14ac:dyDescent="0.35">
      <c r="A22" s="214" t="s">
        <v>2453</v>
      </c>
      <c r="B22" s="1731">
        <v>2840</v>
      </c>
      <c r="C22" s="1731">
        <v>2621</v>
      </c>
      <c r="D22" s="1731">
        <v>2033</v>
      </c>
      <c r="E22" s="1731">
        <v>2287</v>
      </c>
      <c r="F22" s="1731">
        <v>2132</v>
      </c>
      <c r="G22" s="1734">
        <v>1882</v>
      </c>
    </row>
    <row r="23" spans="1:12" ht="4.5" customHeight="1" thickTop="1" x14ac:dyDescent="0.3">
      <c r="A23" s="214"/>
      <c r="B23" s="220"/>
      <c r="C23" s="220"/>
      <c r="D23" s="220"/>
      <c r="E23" s="220"/>
      <c r="F23" s="220"/>
      <c r="G23" s="223"/>
    </row>
    <row r="24" spans="1:12" ht="4.5" customHeight="1" x14ac:dyDescent="0.3">
      <c r="A24" s="1155"/>
      <c r="B24" s="684"/>
      <c r="C24" s="684"/>
      <c r="D24" s="684"/>
      <c r="E24" s="684"/>
      <c r="F24" s="684"/>
      <c r="G24" s="1279"/>
    </row>
    <row r="25" spans="1:12" ht="4.5" customHeight="1" x14ac:dyDescent="0.3">
      <c r="A25" s="214"/>
      <c r="B25" s="220"/>
      <c r="C25" s="220"/>
      <c r="D25" s="220"/>
      <c r="E25" s="220"/>
      <c r="F25" s="220"/>
      <c r="G25" s="223"/>
    </row>
    <row r="26" spans="1:12" x14ac:dyDescent="0.3">
      <c r="A26" s="1723" t="s">
        <v>2169</v>
      </c>
      <c r="B26" s="1067">
        <f>B5</f>
        <v>2019</v>
      </c>
      <c r="C26" s="1067">
        <f>C5</f>
        <v>2018</v>
      </c>
      <c r="D26" s="1067">
        <f>D5</f>
        <v>2017</v>
      </c>
      <c r="E26" s="1067">
        <f>E5</f>
        <v>2016</v>
      </c>
      <c r="F26" s="1067">
        <f>F5</f>
        <v>2015</v>
      </c>
      <c r="G26" s="1470">
        <v>2014</v>
      </c>
    </row>
    <row r="27" spans="1:12" x14ac:dyDescent="0.3">
      <c r="A27" s="214" t="s">
        <v>975</v>
      </c>
      <c r="B27" s="518">
        <v>23515</v>
      </c>
      <c r="C27" s="518">
        <v>23855</v>
      </c>
      <c r="D27" s="518">
        <v>21387</v>
      </c>
      <c r="E27" s="518">
        <v>19829</v>
      </c>
      <c r="F27" s="518">
        <v>21967</v>
      </c>
      <c r="G27" s="1325">
        <v>23239</v>
      </c>
    </row>
    <row r="28" spans="1:12" x14ac:dyDescent="0.3">
      <c r="A28" s="214" t="s">
        <v>2159</v>
      </c>
      <c r="B28" s="926">
        <v>15195</v>
      </c>
      <c r="C28" s="926">
        <v>15951</v>
      </c>
      <c r="D28" s="926">
        <v>14043</v>
      </c>
      <c r="E28" s="926">
        <v>13144</v>
      </c>
      <c r="F28" s="926">
        <v>14264</v>
      </c>
      <c r="G28" s="927">
        <v>16237</v>
      </c>
    </row>
    <row r="29" spans="1:12" x14ac:dyDescent="0.3">
      <c r="A29" s="214" t="s">
        <v>2160</v>
      </c>
      <c r="B29" s="1630">
        <f t="shared" ref="B29:G29" si="1">B27-B28</f>
        <v>8320</v>
      </c>
      <c r="C29" s="1630">
        <f t="shared" si="1"/>
        <v>7904</v>
      </c>
      <c r="D29" s="1630">
        <f t="shared" si="1"/>
        <v>7344</v>
      </c>
      <c r="E29" s="1630">
        <f t="shared" si="1"/>
        <v>6685</v>
      </c>
      <c r="F29" s="1630">
        <f t="shared" si="1"/>
        <v>7703</v>
      </c>
      <c r="G29" s="1635">
        <f t="shared" si="1"/>
        <v>7002</v>
      </c>
    </row>
    <row r="30" spans="1:12" x14ac:dyDescent="0.3">
      <c r="A30" s="214" t="s">
        <v>2161</v>
      </c>
      <c r="B30" s="926">
        <v>1070</v>
      </c>
      <c r="C30" s="926">
        <v>1041</v>
      </c>
      <c r="D30" s="926">
        <v>1016</v>
      </c>
      <c r="E30" s="926">
        <v>992</v>
      </c>
      <c r="F30" s="926">
        <v>928</v>
      </c>
      <c r="G30" s="927">
        <v>833</v>
      </c>
    </row>
    <row r="31" spans="1:12" x14ac:dyDescent="0.3">
      <c r="A31" s="214" t="s">
        <v>391</v>
      </c>
      <c r="B31" s="926">
        <v>1769</v>
      </c>
      <c r="C31" s="926">
        <v>1644</v>
      </c>
      <c r="D31" s="926">
        <v>2369</v>
      </c>
      <c r="E31" s="926">
        <v>2124</v>
      </c>
      <c r="F31" s="926">
        <v>2527</v>
      </c>
      <c r="G31" s="927">
        <v>2300</v>
      </c>
    </row>
    <row r="32" spans="1:12" ht="16.2" thickBot="1" x14ac:dyDescent="0.35">
      <c r="A32" s="214" t="s">
        <v>301</v>
      </c>
      <c r="B32" s="519">
        <f t="shared" ref="B32:G32" si="2">B29-B30-B31</f>
        <v>5481</v>
      </c>
      <c r="C32" s="519">
        <f t="shared" si="2"/>
        <v>5219</v>
      </c>
      <c r="D32" s="519">
        <f t="shared" si="2"/>
        <v>3959</v>
      </c>
      <c r="E32" s="519">
        <f t="shared" si="2"/>
        <v>3569</v>
      </c>
      <c r="F32" s="519">
        <f t="shared" si="2"/>
        <v>4248</v>
      </c>
      <c r="G32" s="1890">
        <f t="shared" si="2"/>
        <v>3869</v>
      </c>
    </row>
    <row r="33" spans="1:9" ht="4.5" customHeight="1" thickTop="1" x14ac:dyDescent="0.3">
      <c r="A33" s="214"/>
      <c r="B33" s="220"/>
      <c r="C33" s="220"/>
      <c r="D33" s="220"/>
      <c r="E33" s="220"/>
      <c r="F33" s="220"/>
      <c r="G33" s="223"/>
    </row>
    <row r="34" spans="1:9" ht="4.5" customHeight="1" x14ac:dyDescent="0.3">
      <c r="A34" s="1155"/>
      <c r="B34" s="684"/>
      <c r="C34" s="684"/>
      <c r="D34" s="684"/>
      <c r="E34" s="684"/>
      <c r="F34" s="684"/>
      <c r="G34" s="1279"/>
    </row>
    <row r="35" spans="1:9" ht="4.5" customHeight="1" x14ac:dyDescent="0.3">
      <c r="A35" s="214"/>
      <c r="B35" s="220"/>
      <c r="C35" s="220"/>
      <c r="D35" s="220"/>
      <c r="E35" s="220"/>
      <c r="F35" s="220"/>
      <c r="G35" s="223"/>
    </row>
    <row r="36" spans="1:9" x14ac:dyDescent="0.3">
      <c r="A36" s="734" t="s">
        <v>998</v>
      </c>
      <c r="B36" s="397"/>
      <c r="C36" s="397"/>
      <c r="D36" s="397"/>
      <c r="E36" s="397"/>
      <c r="F36" s="397"/>
      <c r="G36" s="1281"/>
      <c r="H36" s="612"/>
      <c r="I36" s="612"/>
    </row>
    <row r="37" spans="1:9" ht="31.5" customHeight="1" x14ac:dyDescent="0.3">
      <c r="A37" s="2939" t="s">
        <v>2450</v>
      </c>
      <c r="B37" s="2940"/>
      <c r="C37" s="2940"/>
      <c r="D37" s="2940"/>
      <c r="E37" s="2940"/>
      <c r="F37" s="2940"/>
      <c r="G37" s="2941"/>
      <c r="H37" s="612"/>
      <c r="I37" s="612"/>
    </row>
    <row r="38" spans="1:9" ht="31.5" customHeight="1" x14ac:dyDescent="0.3">
      <c r="A38" s="2939" t="s">
        <v>2451</v>
      </c>
      <c r="B38" s="2940"/>
      <c r="C38" s="2940"/>
      <c r="D38" s="2940"/>
      <c r="E38" s="2940"/>
      <c r="F38" s="2940"/>
      <c r="G38" s="2941"/>
      <c r="H38" s="612"/>
      <c r="I38" s="612"/>
    </row>
    <row r="39" spans="1:9" ht="8.25" customHeight="1" x14ac:dyDescent="0.3">
      <c r="A39" s="734"/>
      <c r="B39" s="397"/>
      <c r="C39" s="397"/>
      <c r="D39" s="397"/>
      <c r="E39" s="397"/>
      <c r="F39" s="397"/>
      <c r="G39" s="1281"/>
      <c r="H39" s="612"/>
      <c r="I39" s="612"/>
    </row>
    <row r="40" spans="1:9" x14ac:dyDescent="0.3">
      <c r="A40" s="734" t="s">
        <v>1398</v>
      </c>
      <c r="B40" s="397"/>
      <c r="C40" s="397"/>
      <c r="D40" s="397"/>
      <c r="E40" s="397"/>
      <c r="F40" s="397"/>
      <c r="G40" s="1281"/>
      <c r="H40" s="612"/>
      <c r="I40" s="612"/>
    </row>
    <row r="41" spans="1:9" ht="31.5" customHeight="1" x14ac:dyDescent="0.3">
      <c r="A41" s="2939" t="s">
        <v>2442</v>
      </c>
      <c r="B41" s="2940"/>
      <c r="C41" s="2940"/>
      <c r="D41" s="2940"/>
      <c r="E41" s="2940"/>
      <c r="F41" s="2940"/>
      <c r="G41" s="2941"/>
      <c r="H41" s="612"/>
      <c r="I41" s="612"/>
    </row>
    <row r="42" spans="1:9" x14ac:dyDescent="0.3">
      <c r="A42" s="734" t="s">
        <v>2448</v>
      </c>
      <c r="B42" s="397"/>
      <c r="C42" s="397"/>
      <c r="D42" s="397"/>
      <c r="E42" s="397"/>
      <c r="F42" s="397"/>
      <c r="G42" s="1281"/>
      <c r="H42" s="612"/>
      <c r="I42" s="612"/>
    </row>
    <row r="43" spans="1:9" ht="33" customHeight="1" thickBot="1" x14ac:dyDescent="0.35">
      <c r="A43" s="3008" t="s">
        <v>2454</v>
      </c>
      <c r="B43" s="3009"/>
      <c r="C43" s="3009"/>
      <c r="D43" s="3009"/>
      <c r="E43" s="3009"/>
      <c r="F43" s="3009"/>
      <c r="G43" s="3010"/>
      <c r="H43" s="612"/>
      <c r="I43" s="612"/>
    </row>
    <row r="44" spans="1:9" x14ac:dyDescent="0.3">
      <c r="A44" s="804" t="s">
        <v>2452</v>
      </c>
      <c r="B44" s="804"/>
      <c r="C44" s="804"/>
      <c r="D44" s="612"/>
      <c r="E44" s="612"/>
      <c r="F44" s="612"/>
      <c r="G44" s="612"/>
      <c r="H44" s="612"/>
      <c r="I44" s="612"/>
    </row>
  </sheetData>
  <mergeCells count="4">
    <mergeCell ref="A37:G37"/>
    <mergeCell ref="A38:G38"/>
    <mergeCell ref="A41:G41"/>
    <mergeCell ref="A43:G4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CFCF-6068-4168-84D8-28963EB2C201}">
  <sheetPr>
    <tabColor theme="4"/>
  </sheetPr>
  <dimension ref="A1:D7"/>
  <sheetViews>
    <sheetView showGridLines="0" zoomScale="115" zoomScaleNormal="115" workbookViewId="0">
      <selection activeCell="N20" sqref="N20"/>
    </sheetView>
  </sheetViews>
  <sheetFormatPr defaultColWidth="9.109375" defaultRowHeight="15.6" x14ac:dyDescent="0.3"/>
  <cols>
    <col min="1" max="1" width="18.6640625" style="211" customWidth="1"/>
    <col min="2" max="3" width="10.33203125" style="211" customWidth="1"/>
    <col min="4" max="4" width="10.33203125" style="320" customWidth="1"/>
    <col min="5" max="16384" width="9.109375" style="211"/>
  </cols>
  <sheetData>
    <row r="1" spans="1:4" x14ac:dyDescent="0.3">
      <c r="A1" s="152" t="s">
        <v>2680</v>
      </c>
    </row>
    <row r="2" spans="1:4" x14ac:dyDescent="0.3">
      <c r="A2" s="152" t="s">
        <v>2679</v>
      </c>
    </row>
    <row r="3" spans="1:4" ht="8.25" customHeight="1" thickBot="1" x14ac:dyDescent="0.35"/>
    <row r="4" spans="1:4" x14ac:dyDescent="0.3">
      <c r="A4" s="212" t="s">
        <v>1250</v>
      </c>
      <c r="B4" s="501">
        <v>1973</v>
      </c>
      <c r="C4" s="501">
        <v>1972</v>
      </c>
      <c r="D4" s="471" t="s">
        <v>1290</v>
      </c>
    </row>
    <row r="5" spans="1:4" x14ac:dyDescent="0.3">
      <c r="A5" s="214" t="s">
        <v>975</v>
      </c>
      <c r="B5" s="2004">
        <v>33.4</v>
      </c>
      <c r="C5" s="2004">
        <v>27.7</v>
      </c>
      <c r="D5" s="216">
        <f>B5/C5-1</f>
        <v>0.20577617328519859</v>
      </c>
    </row>
    <row r="6" spans="1:4" ht="16.2" thickBot="1" x14ac:dyDescent="0.35">
      <c r="A6" s="224" t="s">
        <v>251</v>
      </c>
      <c r="B6" s="2003">
        <v>2.8</v>
      </c>
      <c r="C6" s="2003">
        <v>1.6970000000000001</v>
      </c>
      <c r="D6" s="2002">
        <f>B6/C6-1</f>
        <v>0.649970536240424</v>
      </c>
    </row>
    <row r="7" spans="1:4" x14ac:dyDescent="0.3">
      <c r="A7" s="12" t="s">
        <v>2678</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E387-4A75-4DCF-B63D-9E681B7CF338}">
  <sheetPr>
    <tabColor theme="4"/>
  </sheetPr>
  <dimension ref="A1:M28"/>
  <sheetViews>
    <sheetView showGridLines="0" zoomScaleNormal="100" workbookViewId="0">
      <pane xSplit="1" ySplit="5" topLeftCell="B6" activePane="bottomRight" state="frozen"/>
      <selection pane="topRight" activeCell="B1" sqref="B1"/>
      <selection pane="bottomLeft" activeCell="A8" sqref="A8"/>
      <selection pane="bottomRight" activeCell="O25" sqref="O25"/>
    </sheetView>
  </sheetViews>
  <sheetFormatPr defaultColWidth="9.109375" defaultRowHeight="15.6" x14ac:dyDescent="0.3"/>
  <cols>
    <col min="1" max="1" width="29.5546875" style="211" customWidth="1"/>
    <col min="2" max="2" width="10.33203125" style="211" bestFit="1" customWidth="1"/>
    <col min="3" max="3" width="10" style="211" customWidth="1"/>
    <col min="4" max="5" width="9.109375" style="211" bestFit="1" customWidth="1"/>
    <col min="6" max="11" width="9.109375" style="211"/>
    <col min="12" max="12" width="2" style="211" customWidth="1"/>
    <col min="13" max="13" width="10.33203125" style="211" bestFit="1" customWidth="1"/>
    <col min="14" max="16384" width="9.109375" style="211"/>
  </cols>
  <sheetData>
    <row r="1" spans="1:13" s="1632" customFormat="1" x14ac:dyDescent="0.3">
      <c r="A1" s="1632" t="s">
        <v>2456</v>
      </c>
      <c r="B1" s="1632">
        <v>2019</v>
      </c>
      <c r="C1" s="1632">
        <v>2019</v>
      </c>
      <c r="D1" s="1632">
        <v>2019</v>
      </c>
      <c r="E1" s="1632">
        <v>2016</v>
      </c>
      <c r="F1" s="1632">
        <v>2016</v>
      </c>
      <c r="G1" s="1632">
        <v>2014</v>
      </c>
      <c r="H1" s="1632">
        <v>2014</v>
      </c>
      <c r="I1" s="1632">
        <v>2014</v>
      </c>
      <c r="J1" s="1632">
        <v>2011</v>
      </c>
      <c r="K1" s="1632">
        <v>2011</v>
      </c>
    </row>
    <row r="2" spans="1:13" x14ac:dyDescent="0.3">
      <c r="A2" s="459" t="s">
        <v>2240</v>
      </c>
      <c r="B2" s="459"/>
      <c r="C2" s="459"/>
      <c r="D2" s="459"/>
      <c r="E2" s="459"/>
    </row>
    <row r="3" spans="1:13" x14ac:dyDescent="0.3">
      <c r="A3" s="152" t="s">
        <v>2126</v>
      </c>
      <c r="B3" s="152"/>
      <c r="C3" s="152"/>
      <c r="D3" s="152"/>
      <c r="E3" s="152"/>
    </row>
    <row r="4" spans="1:13" ht="8.25" customHeight="1" thickBot="1" x14ac:dyDescent="0.35"/>
    <row r="5" spans="1:13" x14ac:dyDescent="0.3">
      <c r="A5" s="212" t="s">
        <v>1250</v>
      </c>
      <c r="B5" s="712">
        <v>2019</v>
      </c>
      <c r="C5" s="712">
        <v>2018</v>
      </c>
      <c r="D5" s="712">
        <v>2017</v>
      </c>
      <c r="E5" s="712">
        <v>2016</v>
      </c>
      <c r="F5" s="712">
        <v>2015</v>
      </c>
      <c r="G5" s="712">
        <v>2014</v>
      </c>
      <c r="H5" s="712">
        <v>2013</v>
      </c>
      <c r="I5" s="712">
        <v>2012</v>
      </c>
      <c r="J5" s="712">
        <v>2011</v>
      </c>
      <c r="K5" s="712">
        <v>2010</v>
      </c>
      <c r="L5" s="522"/>
      <c r="M5" s="1719" t="s">
        <v>2136</v>
      </c>
    </row>
    <row r="6" spans="1:13" x14ac:dyDescent="0.3">
      <c r="A6" s="214" t="s">
        <v>532</v>
      </c>
      <c r="B6" s="1417">
        <v>102696</v>
      </c>
      <c r="C6" s="1417">
        <v>4001</v>
      </c>
      <c r="D6" s="1417">
        <v>23838</v>
      </c>
      <c r="E6" s="1417">
        <v>33667</v>
      </c>
      <c r="F6" s="1417">
        <v>34946</v>
      </c>
      <c r="G6" s="1417">
        <v>28105</v>
      </c>
      <c r="H6" s="1417">
        <v>28796</v>
      </c>
      <c r="I6" s="1417">
        <v>22236</v>
      </c>
      <c r="J6" s="1417">
        <v>15314</v>
      </c>
      <c r="K6" s="1417">
        <v>19051</v>
      </c>
      <c r="L6" s="220"/>
      <c r="M6" s="1422">
        <f>SUM(B6:K6)</f>
        <v>312650</v>
      </c>
    </row>
    <row r="7" spans="1:13" x14ac:dyDescent="0.3">
      <c r="A7" s="214"/>
      <c r="B7" s="926"/>
      <c r="C7" s="926"/>
      <c r="D7" s="926"/>
      <c r="E7" s="926"/>
      <c r="F7" s="926"/>
      <c r="G7" s="926"/>
      <c r="H7" s="926"/>
      <c r="I7" s="926"/>
      <c r="J7" s="926"/>
      <c r="K7" s="926"/>
      <c r="L7" s="220"/>
      <c r="M7" s="1422"/>
    </row>
    <row r="8" spans="1:13" x14ac:dyDescent="0.3">
      <c r="A8" s="214" t="s">
        <v>1130</v>
      </c>
      <c r="B8" s="926">
        <v>5818</v>
      </c>
      <c r="C8" s="926">
        <v>5176</v>
      </c>
      <c r="D8" s="926">
        <v>3299</v>
      </c>
      <c r="E8" s="926">
        <v>6565</v>
      </c>
      <c r="F8" s="926">
        <v>5426</v>
      </c>
      <c r="G8" s="926">
        <v>3302</v>
      </c>
      <c r="H8" s="926">
        <v>5168</v>
      </c>
      <c r="I8" s="926">
        <v>4711</v>
      </c>
      <c r="J8" s="926">
        <v>2897</v>
      </c>
      <c r="K8" s="926">
        <v>3668</v>
      </c>
      <c r="L8" s="220"/>
      <c r="M8" s="1422">
        <f>SUM(B8:K8)</f>
        <v>46030</v>
      </c>
    </row>
    <row r="9" spans="1:13" ht="18.600000000000001" x14ac:dyDescent="0.3">
      <c r="A9" s="214" t="s">
        <v>2455</v>
      </c>
      <c r="B9" s="926">
        <v>15086</v>
      </c>
      <c r="C9" s="926">
        <v>-5497</v>
      </c>
      <c r="D9" s="926">
        <f>-24814+28200</f>
        <v>3386</v>
      </c>
      <c r="E9" s="926">
        <v>2675</v>
      </c>
      <c r="F9" s="926">
        <v>5106</v>
      </c>
      <c r="G9" s="926">
        <v>4633</v>
      </c>
      <c r="H9" s="926">
        <v>3783</v>
      </c>
      <c r="I9" s="926">
        <v>2213</v>
      </c>
      <c r="J9" s="926">
        <v>1671</v>
      </c>
      <c r="K9" s="926">
        <v>1939</v>
      </c>
      <c r="L9" s="220"/>
      <c r="M9" s="1422">
        <f>SUM(B9:K9)</f>
        <v>34995</v>
      </c>
    </row>
    <row r="10" spans="1:13" x14ac:dyDescent="0.3">
      <c r="A10" s="214" t="s">
        <v>2128</v>
      </c>
      <c r="B10" s="1630">
        <f t="shared" ref="B10:G10" si="0">B8+B9</f>
        <v>20904</v>
      </c>
      <c r="C10" s="1630">
        <f t="shared" si="0"/>
        <v>-321</v>
      </c>
      <c r="D10" s="1630">
        <f t="shared" si="0"/>
        <v>6685</v>
      </c>
      <c r="E10" s="1630">
        <f t="shared" si="0"/>
        <v>9240</v>
      </c>
      <c r="F10" s="1630">
        <f t="shared" si="0"/>
        <v>10532</v>
      </c>
      <c r="G10" s="1630">
        <f t="shared" si="0"/>
        <v>7935</v>
      </c>
      <c r="H10" s="1630">
        <f t="shared" ref="H10:M10" si="1">H8+H9</f>
        <v>8951</v>
      </c>
      <c r="I10" s="1630">
        <f t="shared" si="1"/>
        <v>6924</v>
      </c>
      <c r="J10" s="1630">
        <f t="shared" si="1"/>
        <v>4568</v>
      </c>
      <c r="K10" s="1630">
        <f t="shared" si="1"/>
        <v>5607</v>
      </c>
      <c r="L10" s="220"/>
      <c r="M10" s="1635">
        <f t="shared" si="1"/>
        <v>81025</v>
      </c>
    </row>
    <row r="11" spans="1:13" x14ac:dyDescent="0.3">
      <c r="A11" s="214"/>
      <c r="B11" s="220"/>
      <c r="C11" s="220"/>
      <c r="D11" s="220"/>
      <c r="E11" s="220"/>
      <c r="F11" s="220"/>
      <c r="G11" s="220"/>
      <c r="H11" s="220"/>
      <c r="I11" s="220"/>
      <c r="J11" s="220"/>
      <c r="K11" s="220"/>
      <c r="L11" s="220"/>
      <c r="M11" s="1422"/>
    </row>
    <row r="12" spans="1:13" x14ac:dyDescent="0.3">
      <c r="A12" s="214" t="s">
        <v>2133</v>
      </c>
      <c r="B12" s="926">
        <v>5415</v>
      </c>
      <c r="C12" s="926">
        <v>4354</v>
      </c>
      <c r="D12" s="926">
        <v>3286</v>
      </c>
      <c r="E12" s="926">
        <v>4719</v>
      </c>
      <c r="F12" s="926">
        <v>4535</v>
      </c>
      <c r="G12" s="926">
        <v>4014</v>
      </c>
      <c r="H12" s="926">
        <v>5401</v>
      </c>
      <c r="I12" s="926">
        <v>4695</v>
      </c>
      <c r="J12" s="926">
        <v>2885</v>
      </c>
      <c r="K12" s="926">
        <v>3547</v>
      </c>
      <c r="L12" s="220"/>
      <c r="M12" s="1422">
        <f>SUM(B12:K12)</f>
        <v>42851</v>
      </c>
    </row>
    <row r="13" spans="1:13" ht="4.5" customHeight="1" x14ac:dyDescent="0.3">
      <c r="A13" s="214"/>
      <c r="B13" s="220"/>
      <c r="C13" s="220"/>
      <c r="D13" s="220"/>
      <c r="E13" s="220"/>
      <c r="F13" s="220"/>
      <c r="G13" s="220"/>
      <c r="H13" s="220"/>
      <c r="I13" s="220"/>
      <c r="J13" s="220"/>
      <c r="K13" s="220"/>
      <c r="L13" s="220"/>
      <c r="M13" s="223"/>
    </row>
    <row r="14" spans="1:13" ht="4.5" customHeight="1" x14ac:dyDescent="0.3">
      <c r="A14" s="1155"/>
      <c r="B14" s="684"/>
      <c r="C14" s="684"/>
      <c r="D14" s="684"/>
      <c r="E14" s="684"/>
      <c r="F14" s="684"/>
      <c r="G14" s="684"/>
      <c r="H14" s="684"/>
      <c r="I14" s="684"/>
      <c r="J14" s="684"/>
      <c r="K14" s="684"/>
      <c r="L14" s="684"/>
      <c r="M14" s="1279"/>
    </row>
    <row r="15" spans="1:13" ht="4.5" customHeight="1" x14ac:dyDescent="0.3">
      <c r="A15" s="214"/>
      <c r="B15" s="220"/>
      <c r="C15" s="220"/>
      <c r="D15" s="220"/>
      <c r="E15" s="220"/>
      <c r="F15" s="220"/>
      <c r="G15" s="220"/>
      <c r="H15" s="220"/>
      <c r="I15" s="220"/>
      <c r="J15" s="220"/>
      <c r="K15" s="220"/>
      <c r="L15" s="220"/>
      <c r="M15" s="223"/>
    </row>
    <row r="16" spans="1:13" x14ac:dyDescent="0.3">
      <c r="A16" s="214" t="s">
        <v>1963</v>
      </c>
      <c r="B16" s="1793">
        <f t="shared" ref="B16" si="2">B8/B6</f>
        <v>5.665264469891719E-2</v>
      </c>
      <c r="C16" s="1793">
        <f t="shared" ref="C16:D16" si="3">C8/C6</f>
        <v>1.2936765808547863</v>
      </c>
      <c r="D16" s="1793">
        <f t="shared" si="3"/>
        <v>0.13839248259082138</v>
      </c>
      <c r="E16" s="1793">
        <f t="shared" ref="E16:F16" si="4">E8/E6</f>
        <v>0.19499806932604627</v>
      </c>
      <c r="F16" s="1793">
        <f t="shared" si="4"/>
        <v>0.15526812796886624</v>
      </c>
      <c r="G16" s="1793">
        <f t="shared" ref="G16:K16" si="5">G8/G6</f>
        <v>0.1174879914605942</v>
      </c>
      <c r="H16" s="1793">
        <f t="shared" si="5"/>
        <v>0.17946937074593694</v>
      </c>
      <c r="I16" s="1793">
        <f t="shared" si="5"/>
        <v>0.21186364454038495</v>
      </c>
      <c r="J16" s="1793">
        <f t="shared" si="5"/>
        <v>0.18917330547211703</v>
      </c>
      <c r="K16" s="1793">
        <f t="shared" si="5"/>
        <v>0.19253582489108184</v>
      </c>
      <c r="L16" s="220"/>
      <c r="M16" s="347">
        <f>M8/M6</f>
        <v>0.14722533184071646</v>
      </c>
    </row>
    <row r="17" spans="1:13" x14ac:dyDescent="0.3">
      <c r="A17" s="214" t="s">
        <v>2130</v>
      </c>
      <c r="B17" s="1793">
        <f t="shared" ref="B17" si="6">B9/B6</f>
        <v>0.14689958713094961</v>
      </c>
      <c r="C17" s="1793">
        <f t="shared" ref="C17:D17" si="7">C9/C6</f>
        <v>-1.3739065233691576</v>
      </c>
      <c r="D17" s="1793">
        <f t="shared" si="7"/>
        <v>0.14204211762731772</v>
      </c>
      <c r="E17" s="1793">
        <f t="shared" ref="E17:F17" si="8">E9/E6</f>
        <v>7.9454658864763716E-2</v>
      </c>
      <c r="F17" s="1793">
        <f t="shared" si="8"/>
        <v>0.14611114290619814</v>
      </c>
      <c r="G17" s="1793">
        <f t="shared" ref="G17:K17" si="9">G9/G6</f>
        <v>0.16484611279131828</v>
      </c>
      <c r="H17" s="1793">
        <f t="shared" si="9"/>
        <v>0.131372412835116</v>
      </c>
      <c r="I17" s="1793">
        <f t="shared" si="9"/>
        <v>9.9523295556754807E-2</v>
      </c>
      <c r="J17" s="1793">
        <f t="shared" si="9"/>
        <v>0.10911584171346481</v>
      </c>
      <c r="K17" s="1793">
        <f t="shared" si="9"/>
        <v>0.1017794341504383</v>
      </c>
      <c r="L17" s="220"/>
      <c r="M17" s="347">
        <f>M9/M6</f>
        <v>0.11193027346873501</v>
      </c>
    </row>
    <row r="18" spans="1:13" x14ac:dyDescent="0.3">
      <c r="A18" s="214" t="s">
        <v>2129</v>
      </c>
      <c r="B18" s="1892">
        <f t="shared" ref="B18:G18" si="10">B16+B17</f>
        <v>0.20355223182986681</v>
      </c>
      <c r="C18" s="1892">
        <f t="shared" si="10"/>
        <v>-8.0229942514371322E-2</v>
      </c>
      <c r="D18" s="1892">
        <f t="shared" si="10"/>
        <v>0.2804346002181391</v>
      </c>
      <c r="E18" s="1892">
        <f t="shared" si="10"/>
        <v>0.27445272819081001</v>
      </c>
      <c r="F18" s="1892">
        <f t="shared" si="10"/>
        <v>0.30137927087506439</v>
      </c>
      <c r="G18" s="1892">
        <f t="shared" si="10"/>
        <v>0.28233410425191247</v>
      </c>
      <c r="H18" s="1892">
        <f t="shared" ref="H18:M18" si="11">H16+H17</f>
        <v>0.31084178358105297</v>
      </c>
      <c r="I18" s="1892">
        <f t="shared" si="11"/>
        <v>0.31138694009713974</v>
      </c>
      <c r="J18" s="1892">
        <f t="shared" si="11"/>
        <v>0.29828914718558186</v>
      </c>
      <c r="K18" s="1892">
        <f t="shared" si="11"/>
        <v>0.29431525904152012</v>
      </c>
      <c r="L18" s="220"/>
      <c r="M18" s="229">
        <f t="shared" si="11"/>
        <v>0.25915560530945148</v>
      </c>
    </row>
    <row r="19" spans="1:13" x14ac:dyDescent="0.3">
      <c r="A19" s="214"/>
      <c r="B19" s="1793"/>
      <c r="C19" s="1793"/>
      <c r="D19" s="1793"/>
      <c r="E19" s="1793"/>
      <c r="F19" s="1793"/>
      <c r="G19" s="1793"/>
      <c r="H19" s="1793"/>
      <c r="I19" s="1793"/>
      <c r="J19" s="1793"/>
      <c r="K19" s="1793"/>
      <c r="L19" s="220"/>
      <c r="M19" s="347"/>
    </row>
    <row r="20" spans="1:13" x14ac:dyDescent="0.3">
      <c r="A20" s="214" t="s">
        <v>2131</v>
      </c>
      <c r="B20" s="1793">
        <f t="shared" ref="B20:G20" si="12">B16/B18</f>
        <v>0.27831993876769989</v>
      </c>
      <c r="C20" s="1894">
        <f t="shared" si="12"/>
        <v>-16.124610591900328</v>
      </c>
      <c r="D20" s="1793">
        <f t="shared" si="12"/>
        <v>0.49349289454001499</v>
      </c>
      <c r="E20" s="1793">
        <f t="shared" si="12"/>
        <v>0.71049783549783541</v>
      </c>
      <c r="F20" s="1793">
        <f t="shared" si="12"/>
        <v>0.51519179642992785</v>
      </c>
      <c r="G20" s="1793">
        <f t="shared" si="12"/>
        <v>0.41613106490233148</v>
      </c>
      <c r="H20" s="1793">
        <f t="shared" ref="H20:K20" si="13">H16/H18</f>
        <v>0.57736565746843926</v>
      </c>
      <c r="I20" s="1793">
        <f t="shared" si="13"/>
        <v>0.68038705950317735</v>
      </c>
      <c r="J20" s="1793">
        <f t="shared" si="13"/>
        <v>0.63419439579684755</v>
      </c>
      <c r="K20" s="1793">
        <f t="shared" si="13"/>
        <v>0.65418227215980029</v>
      </c>
      <c r="L20" s="220"/>
      <c r="M20" s="347">
        <f t="shared" ref="M20" si="14">M16/M18</f>
        <v>0.5680962665843875</v>
      </c>
    </row>
    <row r="21" spans="1:13" x14ac:dyDescent="0.3">
      <c r="A21" s="214" t="s">
        <v>2132</v>
      </c>
      <c r="B21" s="1793">
        <f t="shared" ref="B21:G21" si="15">B17/B18</f>
        <v>0.7216800612323</v>
      </c>
      <c r="C21" s="1793">
        <f t="shared" si="15"/>
        <v>17.124610591900328</v>
      </c>
      <c r="D21" s="1793">
        <f t="shared" si="15"/>
        <v>0.50650710545998501</v>
      </c>
      <c r="E21" s="1793">
        <f t="shared" si="15"/>
        <v>0.28950216450216448</v>
      </c>
      <c r="F21" s="1793">
        <f t="shared" si="15"/>
        <v>0.4848082035700722</v>
      </c>
      <c r="G21" s="1793">
        <f t="shared" si="15"/>
        <v>0.58386893509766857</v>
      </c>
      <c r="H21" s="1793">
        <f t="shared" ref="H21:K21" si="16">H17/H18</f>
        <v>0.42263434253156068</v>
      </c>
      <c r="I21" s="1793">
        <f t="shared" si="16"/>
        <v>0.31961294049682265</v>
      </c>
      <c r="J21" s="1793">
        <f t="shared" si="16"/>
        <v>0.36580560420315233</v>
      </c>
      <c r="K21" s="1793">
        <f t="shared" si="16"/>
        <v>0.34581772784019976</v>
      </c>
      <c r="L21" s="220"/>
      <c r="M21" s="347">
        <f t="shared" ref="M21" si="17">M17/M18</f>
        <v>0.43190373341561245</v>
      </c>
    </row>
    <row r="22" spans="1:13" x14ac:dyDescent="0.3">
      <c r="A22" s="214" t="s">
        <v>1148</v>
      </c>
      <c r="B22" s="1893">
        <f t="shared" ref="B22:G22" si="18">B20+B21</f>
        <v>0.99999999999999989</v>
      </c>
      <c r="C22" s="1893">
        <f t="shared" si="18"/>
        <v>1</v>
      </c>
      <c r="D22" s="1893">
        <f t="shared" si="18"/>
        <v>1</v>
      </c>
      <c r="E22" s="1893">
        <f t="shared" si="18"/>
        <v>0.99999999999999989</v>
      </c>
      <c r="F22" s="1893">
        <f t="shared" si="18"/>
        <v>1</v>
      </c>
      <c r="G22" s="1893">
        <f t="shared" si="18"/>
        <v>1</v>
      </c>
      <c r="H22" s="1893">
        <f t="shared" ref="H22:M22" si="19">H20+H21</f>
        <v>1</v>
      </c>
      <c r="I22" s="1893">
        <f t="shared" si="19"/>
        <v>1</v>
      </c>
      <c r="J22" s="1893">
        <f t="shared" si="19"/>
        <v>0.99999999999999989</v>
      </c>
      <c r="K22" s="1893">
        <f t="shared" si="19"/>
        <v>1</v>
      </c>
      <c r="L22" s="220"/>
      <c r="M22" s="1041">
        <f t="shared" si="19"/>
        <v>1</v>
      </c>
    </row>
    <row r="23" spans="1:13" x14ac:dyDescent="0.3">
      <c r="A23" s="214"/>
      <c r="B23" s="1792"/>
      <c r="C23" s="1792"/>
      <c r="D23" s="1792"/>
      <c r="E23" s="1792"/>
      <c r="F23" s="1792"/>
      <c r="G23" s="1792"/>
      <c r="H23" s="1792"/>
      <c r="I23" s="1792"/>
      <c r="J23" s="1792"/>
      <c r="K23" s="1792"/>
      <c r="L23" s="220"/>
      <c r="M23" s="223"/>
    </row>
    <row r="24" spans="1:13" x14ac:dyDescent="0.3">
      <c r="A24" s="214" t="s">
        <v>2134</v>
      </c>
      <c r="B24" s="1793">
        <f t="shared" ref="B24" si="20">B12/B6</f>
        <v>5.2728441224585185E-2</v>
      </c>
      <c r="C24" s="1793">
        <f t="shared" ref="C24:D24" si="21">C12/C6</f>
        <v>1.0882279430142465</v>
      </c>
      <c r="D24" s="1793">
        <f t="shared" si="21"/>
        <v>0.13784713482674721</v>
      </c>
      <c r="E24" s="1793">
        <f t="shared" ref="E24:F24" si="22">E12/E6</f>
        <v>0.14016692904030653</v>
      </c>
      <c r="F24" s="1793">
        <f t="shared" si="22"/>
        <v>0.12977164768499971</v>
      </c>
      <c r="G24" s="1793">
        <f t="shared" ref="G24:K24" si="23">G12/G6</f>
        <v>0.14282156199964419</v>
      </c>
      <c r="H24" s="1793">
        <f t="shared" si="23"/>
        <v>0.1875607723294902</v>
      </c>
      <c r="I24" s="1793">
        <f t="shared" si="23"/>
        <v>0.21114409066378845</v>
      </c>
      <c r="J24" s="1793">
        <f t="shared" si="23"/>
        <v>0.1883897087632232</v>
      </c>
      <c r="K24" s="1793">
        <f t="shared" si="23"/>
        <v>0.18618445225972391</v>
      </c>
      <c r="L24" s="220"/>
      <c r="M24" s="347">
        <f t="shared" ref="M24" si="24">M12/M6</f>
        <v>0.13705741244202782</v>
      </c>
    </row>
    <row r="25" spans="1:13" ht="9.75" customHeight="1" x14ac:dyDescent="0.3">
      <c r="A25" s="214"/>
      <c r="B25" s="1793"/>
      <c r="C25" s="1793"/>
      <c r="D25" s="1793"/>
      <c r="E25" s="1793"/>
      <c r="F25" s="1793"/>
      <c r="G25" s="1793"/>
      <c r="H25" s="1793"/>
      <c r="I25" s="1793"/>
      <c r="J25" s="1793"/>
      <c r="K25" s="1793"/>
      <c r="L25" s="220"/>
      <c r="M25" s="347"/>
    </row>
    <row r="26" spans="1:13" x14ac:dyDescent="0.3">
      <c r="A26" s="214" t="s">
        <v>3795</v>
      </c>
      <c r="B26" s="464"/>
      <c r="C26" s="464"/>
      <c r="D26" s="464"/>
      <c r="E26" s="464"/>
      <c r="F26" s="464"/>
      <c r="G26" s="464"/>
      <c r="H26" s="464"/>
      <c r="I26" s="464"/>
      <c r="J26" s="464"/>
      <c r="K26" s="464"/>
      <c r="L26" s="220"/>
      <c r="M26" s="347"/>
    </row>
    <row r="27" spans="1:13" ht="4.8" customHeight="1" thickBot="1" x14ac:dyDescent="0.35">
      <c r="A27" s="224"/>
      <c r="B27" s="232"/>
      <c r="C27" s="232"/>
      <c r="D27" s="232"/>
      <c r="E27" s="232"/>
      <c r="F27" s="232"/>
      <c r="G27" s="232"/>
      <c r="H27" s="232"/>
      <c r="I27" s="232"/>
      <c r="J27" s="232"/>
      <c r="K27" s="232"/>
      <c r="L27" s="218"/>
      <c r="M27" s="366"/>
    </row>
    <row r="28" spans="1:13" x14ac:dyDescent="0.3">
      <c r="A28" s="12" t="s">
        <v>2457</v>
      </c>
      <c r="B28" s="12"/>
      <c r="C28" s="12"/>
      <c r="D28" s="12"/>
      <c r="E28" s="12"/>
    </row>
  </sheetData>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498B-4362-41F6-8CFF-E4E645185EB7}">
  <sheetPr>
    <tabColor theme="9" tint="0.39997558519241921"/>
  </sheetPr>
  <dimension ref="A1:I21"/>
  <sheetViews>
    <sheetView topLeftCell="A5" workbookViewId="0">
      <selection activeCell="G26" sqref="G26"/>
    </sheetView>
  </sheetViews>
  <sheetFormatPr defaultColWidth="9.109375" defaultRowHeight="15.6" x14ac:dyDescent="0.3"/>
  <cols>
    <col min="1" max="2" width="14.5546875" style="211" customWidth="1"/>
    <col min="3" max="4" width="9.5546875" style="211" bestFit="1" customWidth="1"/>
    <col min="5" max="5" width="11.109375" style="211" bestFit="1" customWidth="1"/>
    <col min="6" max="6" width="10.5546875" style="211" bestFit="1" customWidth="1"/>
    <col min="7" max="7" width="12.109375" style="211" bestFit="1" customWidth="1"/>
    <col min="8" max="8" width="14.5546875" style="211" bestFit="1" customWidth="1"/>
    <col min="9" max="9" width="15.88671875" style="211" customWidth="1"/>
    <col min="10" max="16384" width="9.109375" style="211"/>
  </cols>
  <sheetData>
    <row r="1" spans="1:9" x14ac:dyDescent="0.3">
      <c r="A1" s="459" t="s">
        <v>1863</v>
      </c>
      <c r="B1" s="459"/>
    </row>
    <row r="2" spans="1:9" x14ac:dyDescent="0.3">
      <c r="A2" s="152" t="s">
        <v>2229</v>
      </c>
      <c r="B2" s="152"/>
    </row>
    <row r="3" spans="1:9" ht="8.25" customHeight="1" x14ac:dyDescent="0.3"/>
    <row r="4" spans="1:9" x14ac:dyDescent="0.3">
      <c r="A4" s="211" t="s">
        <v>2231</v>
      </c>
    </row>
    <row r="5" spans="1:9" x14ac:dyDescent="0.3">
      <c r="C5" s="1620"/>
    </row>
    <row r="6" spans="1:9" s="1497" customFormat="1" ht="46.8" x14ac:dyDescent="0.3">
      <c r="A6" s="1497" t="s">
        <v>156</v>
      </c>
      <c r="B6" s="1497" t="s">
        <v>2230</v>
      </c>
      <c r="C6" s="1497" t="s">
        <v>2232</v>
      </c>
      <c r="D6" s="1497" t="s">
        <v>2233</v>
      </c>
      <c r="E6" s="1497" t="s">
        <v>2005</v>
      </c>
      <c r="F6" s="1497" t="s">
        <v>2234</v>
      </c>
      <c r="G6" s="1497" t="s">
        <v>2235</v>
      </c>
      <c r="H6" s="1497" t="s">
        <v>2236</v>
      </c>
      <c r="I6" s="1497" t="s">
        <v>2237</v>
      </c>
    </row>
    <row r="7" spans="1:9" x14ac:dyDescent="0.3">
      <c r="A7" s="211">
        <v>1</v>
      </c>
      <c r="B7" s="545">
        <v>77000</v>
      </c>
      <c r="C7" s="226">
        <v>-0.03</v>
      </c>
      <c r="D7" s="230">
        <f>B7*C7</f>
        <v>-2310</v>
      </c>
      <c r="E7" s="545">
        <f>B7+D7</f>
        <v>74690</v>
      </c>
      <c r="F7" s="545">
        <f t="shared" ref="F7:F21" si="0">E7-$B$7</f>
        <v>-2310</v>
      </c>
      <c r="G7" s="226">
        <v>0.03</v>
      </c>
      <c r="H7" s="211">
        <f>G7*B7</f>
        <v>2310</v>
      </c>
      <c r="I7" s="211">
        <f>SUM($H$7:H7)</f>
        <v>2310</v>
      </c>
    </row>
    <row r="8" spans="1:9" x14ac:dyDescent="0.3">
      <c r="A8" s="211">
        <v>2</v>
      </c>
      <c r="B8" s="545">
        <f>E7</f>
        <v>74690</v>
      </c>
      <c r="C8" s="226">
        <v>-0.03</v>
      </c>
      <c r="D8" s="230">
        <f t="shared" ref="D8:D21" si="1">B8*C8</f>
        <v>-2240.6999999999998</v>
      </c>
      <c r="E8" s="545">
        <f>B8+D8</f>
        <v>72449.3</v>
      </c>
      <c r="F8" s="545">
        <f t="shared" si="0"/>
        <v>-4550.6999999999971</v>
      </c>
      <c r="G8" s="226">
        <v>0.03</v>
      </c>
      <c r="H8" s="211">
        <f t="shared" ref="H8:H21" si="2">G8*B8</f>
        <v>2240.6999999999998</v>
      </c>
      <c r="I8" s="211">
        <f>SUM($H$7:H8)</f>
        <v>4550.7</v>
      </c>
    </row>
    <row r="9" spans="1:9" x14ac:dyDescent="0.3">
      <c r="A9" s="211">
        <v>3</v>
      </c>
      <c r="B9" s="545">
        <f t="shared" ref="B9:B21" si="3">E8</f>
        <v>72449.3</v>
      </c>
      <c r="C9" s="226">
        <v>-0.03</v>
      </c>
      <c r="D9" s="230">
        <f t="shared" si="1"/>
        <v>-2173.4789999999998</v>
      </c>
      <c r="E9" s="545">
        <f t="shared" ref="E9:E21" si="4">B9+D9</f>
        <v>70275.820999999996</v>
      </c>
      <c r="F9" s="545">
        <f t="shared" si="0"/>
        <v>-6724.1790000000037</v>
      </c>
      <c r="G9" s="226">
        <v>0.03</v>
      </c>
      <c r="H9" s="211">
        <f t="shared" si="2"/>
        <v>2173.4789999999998</v>
      </c>
      <c r="I9" s="211">
        <f>SUM($H$7:H9)</f>
        <v>6724.1790000000001</v>
      </c>
    </row>
    <row r="10" spans="1:9" x14ac:dyDescent="0.3">
      <c r="A10" s="211">
        <v>4</v>
      </c>
      <c r="B10" s="545">
        <f t="shared" si="3"/>
        <v>70275.820999999996</v>
      </c>
      <c r="C10" s="226">
        <v>-0.03</v>
      </c>
      <c r="D10" s="230">
        <f t="shared" si="1"/>
        <v>-2108.2746299999999</v>
      </c>
      <c r="E10" s="545">
        <f t="shared" si="4"/>
        <v>68167.546369999996</v>
      </c>
      <c r="F10" s="545">
        <f t="shared" si="0"/>
        <v>-8832.4536300000036</v>
      </c>
      <c r="G10" s="226">
        <v>0.03</v>
      </c>
      <c r="H10" s="211">
        <f t="shared" si="2"/>
        <v>2108.2746299999999</v>
      </c>
      <c r="I10" s="211">
        <f>SUM($H$7:H10)</f>
        <v>8832.45363</v>
      </c>
    </row>
    <row r="11" spans="1:9" x14ac:dyDescent="0.3">
      <c r="A11" s="211">
        <v>5</v>
      </c>
      <c r="B11" s="545">
        <f t="shared" si="3"/>
        <v>68167.546369999996</v>
      </c>
      <c r="C11" s="226">
        <v>-0.03</v>
      </c>
      <c r="D11" s="230">
        <f t="shared" si="1"/>
        <v>-2045.0263910999997</v>
      </c>
      <c r="E11" s="545">
        <f t="shared" si="4"/>
        <v>66122.519978900003</v>
      </c>
      <c r="F11" s="545">
        <f t="shared" si="0"/>
        <v>-10877.480021099997</v>
      </c>
      <c r="G11" s="226">
        <v>0.03</v>
      </c>
      <c r="H11" s="211">
        <f t="shared" si="2"/>
        <v>2045.0263910999997</v>
      </c>
      <c r="I11" s="211">
        <f>SUM($H$7:H11)</f>
        <v>10877.4800211</v>
      </c>
    </row>
    <row r="12" spans="1:9" x14ac:dyDescent="0.3">
      <c r="A12" s="211">
        <v>6</v>
      </c>
      <c r="B12" s="545">
        <f t="shared" si="3"/>
        <v>66122.519978900003</v>
      </c>
      <c r="C12" s="226">
        <v>-0.03</v>
      </c>
      <c r="D12" s="230">
        <f t="shared" si="1"/>
        <v>-1983.6755993670001</v>
      </c>
      <c r="E12" s="545">
        <f t="shared" si="4"/>
        <v>64138.844379533002</v>
      </c>
      <c r="F12" s="545">
        <f t="shared" si="0"/>
        <v>-12861.155620466998</v>
      </c>
      <c r="G12" s="226">
        <v>0.03</v>
      </c>
      <c r="H12" s="211">
        <f t="shared" si="2"/>
        <v>1983.6755993670001</v>
      </c>
      <c r="I12" s="211">
        <f>SUM($H$7:H12)</f>
        <v>12861.155620467</v>
      </c>
    </row>
    <row r="13" spans="1:9" x14ac:dyDescent="0.3">
      <c r="A13" s="211">
        <v>7</v>
      </c>
      <c r="B13" s="545">
        <f t="shared" si="3"/>
        <v>64138.844379533002</v>
      </c>
      <c r="C13" s="226">
        <v>-0.03</v>
      </c>
      <c r="D13" s="230">
        <f t="shared" si="1"/>
        <v>-1924.1653313859899</v>
      </c>
      <c r="E13" s="545">
        <f t="shared" si="4"/>
        <v>62214.679048147009</v>
      </c>
      <c r="F13" s="545">
        <f t="shared" si="0"/>
        <v>-14785.320951852991</v>
      </c>
      <c r="G13" s="226">
        <v>0.03</v>
      </c>
      <c r="H13" s="211">
        <f t="shared" si="2"/>
        <v>1924.1653313859899</v>
      </c>
      <c r="I13" s="211">
        <f>SUM($H$7:H13)</f>
        <v>14785.320951852989</v>
      </c>
    </row>
    <row r="14" spans="1:9" x14ac:dyDescent="0.3">
      <c r="A14" s="211">
        <v>8</v>
      </c>
      <c r="B14" s="545">
        <f t="shared" si="3"/>
        <v>62214.679048147009</v>
      </c>
      <c r="C14" s="226">
        <v>-0.03</v>
      </c>
      <c r="D14" s="230">
        <f t="shared" si="1"/>
        <v>-1866.4403714444102</v>
      </c>
      <c r="E14" s="545">
        <f t="shared" si="4"/>
        <v>60348.238676702596</v>
      </c>
      <c r="F14" s="545">
        <f t="shared" si="0"/>
        <v>-16651.761323297404</v>
      </c>
      <c r="G14" s="226">
        <v>0.03</v>
      </c>
      <c r="H14" s="211">
        <f t="shared" si="2"/>
        <v>1866.4403714444102</v>
      </c>
      <c r="I14" s="211">
        <f>SUM($H$7:H14)</f>
        <v>16651.7613232974</v>
      </c>
    </row>
    <row r="15" spans="1:9" x14ac:dyDescent="0.3">
      <c r="A15" s="211">
        <v>9</v>
      </c>
      <c r="B15" s="545">
        <f t="shared" si="3"/>
        <v>60348.238676702596</v>
      </c>
      <c r="C15" s="226">
        <v>-0.03</v>
      </c>
      <c r="D15" s="230">
        <f t="shared" si="1"/>
        <v>-1810.4471603010779</v>
      </c>
      <c r="E15" s="545">
        <f t="shared" si="4"/>
        <v>58537.791516401521</v>
      </c>
      <c r="F15" s="545">
        <f t="shared" si="0"/>
        <v>-18462.208483598479</v>
      </c>
      <c r="G15" s="226">
        <v>0.03</v>
      </c>
      <c r="H15" s="211">
        <f t="shared" si="2"/>
        <v>1810.4471603010779</v>
      </c>
      <c r="I15" s="211">
        <f>SUM($H$7:H15)</f>
        <v>18462.208483598479</v>
      </c>
    </row>
    <row r="16" spans="1:9" x14ac:dyDescent="0.3">
      <c r="A16" s="211">
        <v>10</v>
      </c>
      <c r="B16" s="545">
        <f t="shared" si="3"/>
        <v>58537.791516401521</v>
      </c>
      <c r="C16" s="226">
        <v>-0.03</v>
      </c>
      <c r="D16" s="230">
        <f t="shared" si="1"/>
        <v>-1756.1337454920456</v>
      </c>
      <c r="E16" s="545">
        <f t="shared" si="4"/>
        <v>56781.657770909478</v>
      </c>
      <c r="F16" s="545">
        <f t="shared" si="0"/>
        <v>-20218.342229090522</v>
      </c>
      <c r="G16" s="226">
        <v>0.03</v>
      </c>
      <c r="H16" s="211">
        <f t="shared" si="2"/>
        <v>1756.1337454920456</v>
      </c>
      <c r="I16" s="211">
        <f>SUM($H$7:H16)</f>
        <v>20218.342229090526</v>
      </c>
    </row>
    <row r="17" spans="1:9" x14ac:dyDescent="0.3">
      <c r="A17" s="211">
        <v>11</v>
      </c>
      <c r="B17" s="545">
        <f t="shared" si="3"/>
        <v>56781.657770909478</v>
      </c>
      <c r="C17" s="226">
        <v>-0.03</v>
      </c>
      <c r="D17" s="230">
        <f t="shared" si="1"/>
        <v>-1703.4497331272844</v>
      </c>
      <c r="E17" s="545">
        <f t="shared" si="4"/>
        <v>55078.208037782191</v>
      </c>
      <c r="F17" s="545">
        <f t="shared" si="0"/>
        <v>-21921.791962217809</v>
      </c>
      <c r="G17" s="226">
        <v>0.03</v>
      </c>
      <c r="H17" s="211">
        <f t="shared" si="2"/>
        <v>1703.4497331272844</v>
      </c>
      <c r="I17" s="211">
        <f>SUM($H$7:H17)</f>
        <v>21921.791962217809</v>
      </c>
    </row>
    <row r="18" spans="1:9" x14ac:dyDescent="0.3">
      <c r="A18" s="211">
        <v>12</v>
      </c>
      <c r="B18" s="545">
        <f t="shared" si="3"/>
        <v>55078.208037782191</v>
      </c>
      <c r="C18" s="226">
        <v>-0.03</v>
      </c>
      <c r="D18" s="230">
        <f t="shared" si="1"/>
        <v>-1652.3462411334656</v>
      </c>
      <c r="E18" s="545">
        <f t="shared" si="4"/>
        <v>53425.861796648729</v>
      </c>
      <c r="F18" s="545">
        <f t="shared" si="0"/>
        <v>-23574.138203351271</v>
      </c>
      <c r="G18" s="226">
        <v>0.03</v>
      </c>
      <c r="H18" s="211">
        <f t="shared" si="2"/>
        <v>1652.3462411334656</v>
      </c>
      <c r="I18" s="211">
        <f>SUM($H$7:H18)</f>
        <v>23574.138203351275</v>
      </c>
    </row>
    <row r="19" spans="1:9" x14ac:dyDescent="0.3">
      <c r="A19" s="211">
        <v>13</v>
      </c>
      <c r="B19" s="545">
        <f t="shared" si="3"/>
        <v>53425.861796648729</v>
      </c>
      <c r="C19" s="226">
        <v>-0.03</v>
      </c>
      <c r="D19" s="230">
        <f t="shared" si="1"/>
        <v>-1602.7758538994617</v>
      </c>
      <c r="E19" s="545">
        <f t="shared" si="4"/>
        <v>51823.085942749269</v>
      </c>
      <c r="F19" s="545">
        <f t="shared" si="0"/>
        <v>-25176.914057250731</v>
      </c>
      <c r="G19" s="226">
        <v>0.03</v>
      </c>
      <c r="H19" s="211">
        <f t="shared" si="2"/>
        <v>1602.7758538994617</v>
      </c>
      <c r="I19" s="211">
        <f>SUM($H$7:H19)</f>
        <v>25176.914057250735</v>
      </c>
    </row>
    <row r="20" spans="1:9" x14ac:dyDescent="0.3">
      <c r="A20" s="211">
        <v>14</v>
      </c>
      <c r="B20" s="545">
        <f t="shared" si="3"/>
        <v>51823.085942749269</v>
      </c>
      <c r="C20" s="226">
        <v>-0.03</v>
      </c>
      <c r="D20" s="230">
        <f t="shared" si="1"/>
        <v>-1554.6925782824781</v>
      </c>
      <c r="E20" s="545">
        <f t="shared" si="4"/>
        <v>50268.393364466792</v>
      </c>
      <c r="F20" s="545">
        <f t="shared" si="0"/>
        <v>-26731.606635533208</v>
      </c>
      <c r="G20" s="226">
        <v>0.03</v>
      </c>
      <c r="H20" s="211">
        <f t="shared" si="2"/>
        <v>1554.6925782824781</v>
      </c>
      <c r="I20" s="211">
        <f>SUM($H$7:H20)</f>
        <v>26731.606635533211</v>
      </c>
    </row>
    <row r="21" spans="1:9" x14ac:dyDescent="0.3">
      <c r="A21" s="211">
        <v>15</v>
      </c>
      <c r="B21" s="545">
        <f t="shared" si="3"/>
        <v>50268.393364466792</v>
      </c>
      <c r="C21" s="226">
        <v>-0.03</v>
      </c>
      <c r="D21" s="230">
        <f t="shared" si="1"/>
        <v>-1508.0518009340037</v>
      </c>
      <c r="E21" s="545">
        <f t="shared" si="4"/>
        <v>48760.341563532791</v>
      </c>
      <c r="F21" s="545">
        <f t="shared" si="0"/>
        <v>-28239.658436467209</v>
      </c>
      <c r="G21" s="226">
        <v>0.03</v>
      </c>
      <c r="H21" s="211">
        <f t="shared" si="2"/>
        <v>1508.0518009340037</v>
      </c>
      <c r="I21" s="211">
        <f>SUM($H$7:H21)</f>
        <v>28239.658436467216</v>
      </c>
    </row>
  </sheetData>
  <pageMargins left="0.7" right="0.7" top="0.75" bottom="0.75" header="0.3" footer="0.3"/>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8F46A-0A60-44F7-AC36-4F2623BD03B0}">
  <sheetPr>
    <tabColor theme="0" tint="-0.34998626667073579"/>
  </sheetPr>
  <dimension ref="A1:S39"/>
  <sheetViews>
    <sheetView workbookViewId="0">
      <pane xSplit="1" ySplit="5" topLeftCell="B6" activePane="bottomRight" state="frozen"/>
      <selection activeCell="G19" sqref="G19"/>
      <selection pane="topRight" activeCell="G19" sqref="G19"/>
      <selection pane="bottomLeft" activeCell="G19" sqref="G19"/>
      <selection pane="bottomRight" activeCell="G19" sqref="G19"/>
    </sheetView>
  </sheetViews>
  <sheetFormatPr defaultColWidth="9.109375" defaultRowHeight="15.6" x14ac:dyDescent="0.3"/>
  <cols>
    <col min="1" max="1" width="25.6640625" style="211" customWidth="1"/>
    <col min="2" max="2" width="10.33203125" style="211" bestFit="1" customWidth="1"/>
    <col min="3" max="16384" width="9.109375" style="211"/>
  </cols>
  <sheetData>
    <row r="1" spans="1:19" s="1632" customFormat="1" x14ac:dyDescent="0.3">
      <c r="A1" s="1632" t="s">
        <v>556</v>
      </c>
      <c r="B1" s="1632">
        <v>1960</v>
      </c>
      <c r="C1" s="1632">
        <v>1960</v>
      </c>
      <c r="D1" s="1632">
        <v>1959</v>
      </c>
      <c r="E1" s="1632">
        <v>1958</v>
      </c>
      <c r="F1" s="1632">
        <v>1957</v>
      </c>
      <c r="G1" s="1632">
        <v>1956</v>
      </c>
      <c r="H1" s="1632">
        <v>1954</v>
      </c>
      <c r="I1" s="1632">
        <v>1953</v>
      </c>
      <c r="J1" s="1632">
        <v>1952</v>
      </c>
      <c r="K1" s="1632">
        <v>1952</v>
      </c>
      <c r="L1" s="1632">
        <v>1952</v>
      </c>
      <c r="M1" s="1632">
        <v>1952</v>
      </c>
      <c r="N1" s="1632">
        <v>1952</v>
      </c>
      <c r="O1" s="1632">
        <v>1952</v>
      </c>
      <c r="P1" s="1632">
        <v>1952</v>
      </c>
      <c r="Q1" s="1632">
        <v>1952</v>
      </c>
      <c r="R1" s="1632">
        <v>1952</v>
      </c>
      <c r="S1" s="1632">
        <v>1952</v>
      </c>
    </row>
    <row r="2" spans="1:19" x14ac:dyDescent="0.3">
      <c r="A2" s="459" t="s">
        <v>2497</v>
      </c>
    </row>
    <row r="3" spans="1:19" x14ac:dyDescent="0.3">
      <c r="A3" s="152" t="s">
        <v>2519</v>
      </c>
    </row>
    <row r="4" spans="1:19" ht="8.25" customHeight="1" x14ac:dyDescent="0.3"/>
    <row r="5" spans="1:19" x14ac:dyDescent="0.3">
      <c r="A5" s="211" t="s">
        <v>1250</v>
      </c>
      <c r="B5" s="884">
        <v>1960</v>
      </c>
      <c r="C5" s="884">
        <v>1959</v>
      </c>
      <c r="D5" s="884">
        <v>1958</v>
      </c>
      <c r="E5" s="884">
        <v>1957</v>
      </c>
      <c r="F5" s="884">
        <v>1956</v>
      </c>
      <c r="G5" s="884">
        <v>1955</v>
      </c>
      <c r="H5" s="884">
        <v>1954</v>
      </c>
      <c r="I5" s="884">
        <v>1953</v>
      </c>
      <c r="J5" s="884">
        <v>1952</v>
      </c>
      <c r="K5" s="884">
        <v>1951</v>
      </c>
      <c r="L5" s="884">
        <v>1950</v>
      </c>
      <c r="M5" s="884">
        <v>1949</v>
      </c>
      <c r="N5" s="884">
        <v>1948</v>
      </c>
      <c r="O5" s="884">
        <v>1947</v>
      </c>
      <c r="P5" s="884">
        <v>1946</v>
      </c>
      <c r="Q5" s="884">
        <v>1945</v>
      </c>
      <c r="R5" s="884">
        <v>1944</v>
      </c>
      <c r="S5" s="884">
        <v>1943</v>
      </c>
    </row>
    <row r="6" spans="1:19" x14ac:dyDescent="0.3">
      <c r="A6" s="211" t="s">
        <v>975</v>
      </c>
      <c r="B6" s="211">
        <v>383.18758000000003</v>
      </c>
      <c r="C6" s="211">
        <v>308.20163700000001</v>
      </c>
      <c r="D6" s="211">
        <v>244.22746799999999</v>
      </c>
      <c r="E6" s="211">
        <v>254.57520600000001</v>
      </c>
      <c r="F6" s="211">
        <v>245.79439199999999</v>
      </c>
      <c r="G6" s="211">
        <v>191.57153</v>
      </c>
      <c r="H6" s="211">
        <v>99.717140999999998</v>
      </c>
      <c r="I6" s="211">
        <v>71.017104000000003</v>
      </c>
      <c r="J6" s="211">
        <v>98.744849000000002</v>
      </c>
      <c r="K6" s="211">
        <v>98.29</v>
      </c>
      <c r="L6" s="211">
        <v>87.546999999999997</v>
      </c>
      <c r="M6" s="211">
        <v>67.896000000000001</v>
      </c>
      <c r="N6" s="211">
        <v>98.846999999999994</v>
      </c>
      <c r="O6" s="211">
        <v>124.776</v>
      </c>
      <c r="P6" s="211">
        <v>112.952</v>
      </c>
      <c r="Q6" s="211">
        <v>46.853000000000002</v>
      </c>
      <c r="R6" s="211">
        <v>26.254999999999999</v>
      </c>
      <c r="S6" s="211">
        <v>23.742999999999999</v>
      </c>
    </row>
    <row r="7" spans="1:19" x14ac:dyDescent="0.3">
      <c r="A7" s="211" t="s">
        <v>1703</v>
      </c>
      <c r="B7" s="211">
        <f>B6/B28</f>
        <v>1.9007941777461874</v>
      </c>
      <c r="C7" s="211">
        <f>C6/C28</f>
        <v>1.8345960991021284</v>
      </c>
      <c r="D7" s="211">
        <f>D6/D28</f>
        <v>1.603872450069282</v>
      </c>
      <c r="E7" s="211">
        <f>E6/E28</f>
        <v>1.644465675606525</v>
      </c>
      <c r="F7" s="211">
        <f t="shared" ref="F7:O7" si="0">F6/F28</f>
        <v>1.7870927916471486</v>
      </c>
      <c r="G7" s="211">
        <f t="shared" si="0"/>
        <v>2.1666973406595398</v>
      </c>
      <c r="H7" s="211" t="e">
        <f t="shared" si="0"/>
        <v>#DIV/0!</v>
      </c>
      <c r="I7" s="211" t="e">
        <f t="shared" si="0"/>
        <v>#DIV/0!</v>
      </c>
      <c r="J7" s="211" t="e">
        <f t="shared" si="0"/>
        <v>#DIV/0!</v>
      </c>
      <c r="K7" s="211" t="e">
        <f t="shared" si="0"/>
        <v>#DIV/0!</v>
      </c>
      <c r="L7" s="211" t="e">
        <f t="shared" si="0"/>
        <v>#DIV/0!</v>
      </c>
      <c r="M7" s="211" t="e">
        <f t="shared" si="0"/>
        <v>#DIV/0!</v>
      </c>
      <c r="N7" s="211" t="e">
        <f t="shared" si="0"/>
        <v>#DIV/0!</v>
      </c>
      <c r="O7" s="211" t="e">
        <f t="shared" si="0"/>
        <v>#DIV/0!</v>
      </c>
    </row>
    <row r="8" spans="1:19" x14ac:dyDescent="0.3">
      <c r="A8" s="211" t="s">
        <v>1097</v>
      </c>
      <c r="B8" s="211">
        <v>26.15081</v>
      </c>
      <c r="C8" s="211">
        <v>24.220904000000001</v>
      </c>
      <c r="D8" s="211">
        <v>16.318045000000001</v>
      </c>
      <c r="E8" s="211">
        <v>14.14678</v>
      </c>
      <c r="F8" s="211">
        <v>12.006261</v>
      </c>
      <c r="G8" s="211">
        <v>11.410432999999999</v>
      </c>
      <c r="H8" s="211">
        <v>3.6049600000000002</v>
      </c>
      <c r="I8" s="211">
        <f>-0.47427</f>
        <v>-0.47427000000000002</v>
      </c>
      <c r="J8" s="211">
        <f>-3.052758</f>
        <v>-3.0527579999999999</v>
      </c>
    </row>
    <row r="9" spans="1:19" x14ac:dyDescent="0.3">
      <c r="A9" s="211" t="s">
        <v>1993</v>
      </c>
      <c r="B9" s="227">
        <f>B8/B6</f>
        <v>6.8245453049391627E-2</v>
      </c>
      <c r="C9" s="227">
        <f t="shared" ref="C9:P9" si="1">C8/C6</f>
        <v>7.8587849940589385E-2</v>
      </c>
      <c r="D9" s="227">
        <f t="shared" si="1"/>
        <v>6.6814945647309429E-2</v>
      </c>
      <c r="E9" s="227">
        <f t="shared" si="1"/>
        <v>5.5570140636555153E-2</v>
      </c>
      <c r="F9" s="227">
        <f t="shared" si="1"/>
        <v>4.8846765389179425E-2</v>
      </c>
      <c r="G9" s="227">
        <f t="shared" si="1"/>
        <v>5.9562258546455207E-2</v>
      </c>
      <c r="H9" s="227">
        <f t="shared" si="1"/>
        <v>3.6151858786244183E-2</v>
      </c>
      <c r="I9" s="227">
        <f t="shared" si="1"/>
        <v>-6.6782503550130686E-3</v>
      </c>
      <c r="J9" s="227">
        <f t="shared" si="1"/>
        <v>-3.0915617684523472E-2</v>
      </c>
      <c r="K9" s="227">
        <f t="shared" si="1"/>
        <v>0</v>
      </c>
      <c r="L9" s="227">
        <f t="shared" si="1"/>
        <v>0</v>
      </c>
      <c r="M9" s="227">
        <f t="shared" si="1"/>
        <v>0</v>
      </c>
      <c r="N9" s="227">
        <f t="shared" si="1"/>
        <v>0</v>
      </c>
      <c r="O9" s="227">
        <f t="shared" si="1"/>
        <v>0</v>
      </c>
      <c r="P9" s="227">
        <f t="shared" si="1"/>
        <v>0</v>
      </c>
    </row>
    <row r="10" spans="1:19" x14ac:dyDescent="0.3">
      <c r="A10" s="211" t="s">
        <v>1563</v>
      </c>
      <c r="B10" s="227">
        <f>B7*B9</f>
        <v>0.12972055981393441</v>
      </c>
      <c r="C10" s="227">
        <f>C7*C9</f>
        <v>0.14417696293782872</v>
      </c>
      <c r="D10" s="227">
        <f>D7*D9</f>
        <v>0.10716265057659609</v>
      </c>
      <c r="E10" s="227">
        <f t="shared" ref="E10:O10" si="2">E7*E9</f>
        <v>9.1383188865442277E-2</v>
      </c>
      <c r="F10" s="227">
        <f t="shared" si="2"/>
        <v>8.729370232228198E-2</v>
      </c>
      <c r="G10" s="227">
        <f t="shared" si="2"/>
        <v>0.12905338719628046</v>
      </c>
      <c r="H10" s="227" t="e">
        <f t="shared" si="2"/>
        <v>#DIV/0!</v>
      </c>
      <c r="I10" s="227" t="e">
        <f t="shared" si="2"/>
        <v>#DIV/0!</v>
      </c>
      <c r="J10" s="227" t="e">
        <f t="shared" si="2"/>
        <v>#DIV/0!</v>
      </c>
      <c r="K10" s="227" t="e">
        <f t="shared" si="2"/>
        <v>#DIV/0!</v>
      </c>
      <c r="L10" s="227" t="e">
        <f t="shared" si="2"/>
        <v>#DIV/0!</v>
      </c>
      <c r="M10" s="227" t="e">
        <f t="shared" si="2"/>
        <v>#DIV/0!</v>
      </c>
      <c r="N10" s="227" t="e">
        <f t="shared" si="2"/>
        <v>#DIV/0!</v>
      </c>
      <c r="O10" s="227" t="e">
        <f t="shared" si="2"/>
        <v>#DIV/0!</v>
      </c>
    </row>
    <row r="12" spans="1:19" x14ac:dyDescent="0.3">
      <c r="A12" s="211" t="s">
        <v>293</v>
      </c>
    </row>
    <row r="13" spans="1:19" x14ac:dyDescent="0.3">
      <c r="A13" s="211" t="s">
        <v>979</v>
      </c>
    </row>
    <row r="14" spans="1:19" x14ac:dyDescent="0.3">
      <c r="A14" s="211" t="s">
        <v>391</v>
      </c>
    </row>
    <row r="15" spans="1:19" x14ac:dyDescent="0.3">
      <c r="A15" s="211" t="s">
        <v>99</v>
      </c>
      <c r="B15" s="211">
        <v>14.168301</v>
      </c>
      <c r="C15" s="211">
        <v>16.643084999999999</v>
      </c>
      <c r="D15" s="211">
        <v>10.755865</v>
      </c>
      <c r="E15" s="211">
        <v>8.6955770000000001</v>
      </c>
      <c r="F15" s="211">
        <v>6.5025919999999999</v>
      </c>
      <c r="G15" s="211">
        <v>5.4974109999999996</v>
      </c>
      <c r="H15" s="211">
        <v>1.293374</v>
      </c>
    </row>
    <row r="18" spans="1:19" x14ac:dyDescent="0.3">
      <c r="A18" s="211" t="s">
        <v>2499</v>
      </c>
    </row>
    <row r="21" spans="1:19" x14ac:dyDescent="0.3">
      <c r="B21" s="884">
        <f>B5</f>
        <v>1960</v>
      </c>
      <c r="C21" s="884">
        <f t="shared" ref="C21:P21" si="3">C5</f>
        <v>1959</v>
      </c>
      <c r="D21" s="884">
        <f t="shared" si="3"/>
        <v>1958</v>
      </c>
      <c r="E21" s="884">
        <f t="shared" si="3"/>
        <v>1957</v>
      </c>
      <c r="F21" s="884">
        <f t="shared" si="3"/>
        <v>1956</v>
      </c>
      <c r="G21" s="884">
        <f t="shared" si="3"/>
        <v>1955</v>
      </c>
      <c r="H21" s="884">
        <f t="shared" si="3"/>
        <v>1954</v>
      </c>
      <c r="I21" s="884">
        <f t="shared" si="3"/>
        <v>1953</v>
      </c>
      <c r="J21" s="884">
        <f t="shared" si="3"/>
        <v>1952</v>
      </c>
      <c r="K21" s="884">
        <f t="shared" si="3"/>
        <v>1951</v>
      </c>
      <c r="L21" s="884">
        <f t="shared" si="3"/>
        <v>1950</v>
      </c>
      <c r="M21" s="884">
        <f t="shared" si="3"/>
        <v>1949</v>
      </c>
      <c r="N21" s="884">
        <f t="shared" si="3"/>
        <v>1948</v>
      </c>
      <c r="O21" s="884">
        <f t="shared" si="3"/>
        <v>1947</v>
      </c>
      <c r="P21" s="884">
        <f t="shared" si="3"/>
        <v>1946</v>
      </c>
    </row>
    <row r="22" spans="1:19" x14ac:dyDescent="0.3">
      <c r="A22" s="211" t="s">
        <v>746</v>
      </c>
      <c r="B22" s="211">
        <v>119.175431</v>
      </c>
      <c r="C22" s="211">
        <v>116.80246699999999</v>
      </c>
      <c r="D22" s="211">
        <v>94.729929999999996</v>
      </c>
      <c r="E22" s="211">
        <v>80.420169999999999</v>
      </c>
      <c r="F22" s="211">
        <v>77.863023999999996</v>
      </c>
      <c r="G22" s="211">
        <v>67.816361000000001</v>
      </c>
      <c r="H22" s="211">
        <v>43.839917</v>
      </c>
    </row>
    <row r="23" spans="1:19" x14ac:dyDescent="0.3">
      <c r="A23" s="211" t="s">
        <v>2015</v>
      </c>
      <c r="B23" s="211">
        <f>3.15+83.519719+1.374+3.906038+14.89</f>
        <v>106.83975699999999</v>
      </c>
      <c r="C23" s="211">
        <f>4.288542+62.23754+2.719624+2.715554</f>
        <v>71.961259999999996</v>
      </c>
      <c r="D23" s="211">
        <f>5.147083+53.763254+3.400795+3.882091</f>
        <v>66.193223000000003</v>
      </c>
      <c r="E23" s="211">
        <f>0.755625+56.517403+2.865463+4.678726+7.5965</f>
        <v>72.413717000000005</v>
      </c>
      <c r="F23" s="211">
        <f>58.877697+4.4448864+4.155459+14.1698</f>
        <v>81.647842399999988</v>
      </c>
      <c r="G23" s="211">
        <f>1.05+31.486786+5.954394+3.236622+7.625264</f>
        <v>49.353065999999998</v>
      </c>
      <c r="H23" s="211">
        <f>1.75+3.956303+10.770985</f>
        <v>16.477288000000001</v>
      </c>
    </row>
    <row r="24" spans="1:19" x14ac:dyDescent="0.3">
      <c r="A24" s="211" t="s">
        <v>346</v>
      </c>
      <c r="B24" s="211">
        <f>-5.322345</f>
        <v>-5.3223450000000003</v>
      </c>
      <c r="C24" s="211">
        <f>-6.26975</f>
        <v>-6.2697500000000002</v>
      </c>
      <c r="D24" s="211">
        <f>-7.428585</f>
        <v>-7.428585</v>
      </c>
      <c r="E24" s="211">
        <f>-1.78121</f>
        <v>-1.78121</v>
      </c>
      <c r="F24" s="211">
        <f>-0.949047</f>
        <v>-0.94904699999999997</v>
      </c>
      <c r="G24" s="211">
        <f>-0.653877</f>
        <v>-0.65387700000000004</v>
      </c>
      <c r="H24" s="211">
        <f>0</f>
        <v>0</v>
      </c>
    </row>
    <row r="25" spans="1:19" x14ac:dyDescent="0.3">
      <c r="A25" s="211" t="s">
        <v>2500</v>
      </c>
      <c r="B25" s="211">
        <v>0</v>
      </c>
      <c r="C25" s="211">
        <v>0</v>
      </c>
      <c r="D25" s="211">
        <v>0</v>
      </c>
      <c r="E25" s="211">
        <v>0</v>
      </c>
      <c r="F25" s="211">
        <v>0</v>
      </c>
      <c r="G25" s="211">
        <v>0</v>
      </c>
      <c r="H25" s="211">
        <v>0</v>
      </c>
    </row>
    <row r="26" spans="1:19" x14ac:dyDescent="0.3">
      <c r="A26" s="211" t="s">
        <v>1099</v>
      </c>
      <c r="B26" s="848">
        <f>SUM(B22:B25)</f>
        <v>220.69284299999998</v>
      </c>
      <c r="C26" s="848">
        <f>SUM(C22:C25)</f>
        <v>182.493977</v>
      </c>
      <c r="D26" s="848">
        <f>SUM(D22:D25)</f>
        <v>153.49456800000002</v>
      </c>
      <c r="E26" s="848">
        <f>SUM(E22:E25)</f>
        <v>151.05267700000002</v>
      </c>
      <c r="F26" s="848">
        <f t="shared" ref="F26:P26" si="4">SUM(F22:F25)</f>
        <v>158.56181939999999</v>
      </c>
      <c r="G26" s="848">
        <f t="shared" si="4"/>
        <v>116.51555</v>
      </c>
      <c r="H26" s="848">
        <f t="shared" si="4"/>
        <v>60.317205000000001</v>
      </c>
      <c r="I26" s="848">
        <f t="shared" si="4"/>
        <v>0</v>
      </c>
      <c r="J26" s="848">
        <f t="shared" si="4"/>
        <v>0</v>
      </c>
      <c r="K26" s="848">
        <f t="shared" si="4"/>
        <v>0</v>
      </c>
      <c r="L26" s="848">
        <f t="shared" si="4"/>
        <v>0</v>
      </c>
      <c r="M26" s="848">
        <f t="shared" si="4"/>
        <v>0</v>
      </c>
      <c r="N26" s="848">
        <f t="shared" si="4"/>
        <v>0</v>
      </c>
      <c r="O26" s="848">
        <f t="shared" si="4"/>
        <v>0</v>
      </c>
      <c r="P26" s="848">
        <f t="shared" si="4"/>
        <v>0</v>
      </c>
    </row>
    <row r="28" spans="1:19" x14ac:dyDescent="0.3">
      <c r="A28" s="211" t="s">
        <v>575</v>
      </c>
      <c r="B28" s="211">
        <f t="shared" ref="B28:G28" si="5">AVERAGE(B26:C26)</f>
        <v>201.59341000000001</v>
      </c>
      <c r="C28" s="211">
        <f t="shared" si="5"/>
        <v>167.99427250000002</v>
      </c>
      <c r="D28" s="211">
        <f t="shared" si="5"/>
        <v>152.27362250000002</v>
      </c>
      <c r="E28" s="211">
        <f t="shared" si="5"/>
        <v>154.8072482</v>
      </c>
      <c r="F28" s="211">
        <f t="shared" si="5"/>
        <v>137.5386847</v>
      </c>
      <c r="G28" s="211">
        <f t="shared" si="5"/>
        <v>88.41637750000001</v>
      </c>
    </row>
    <row r="31" spans="1:19" x14ac:dyDescent="0.3">
      <c r="A31" s="211" t="s">
        <v>2501</v>
      </c>
      <c r="B31" s="211">
        <v>4.6724290000000002</v>
      </c>
      <c r="C31" s="211">
        <v>4.7830089999999998</v>
      </c>
      <c r="D31" s="211">
        <v>4.3493659999999998</v>
      </c>
      <c r="E31" s="211">
        <v>3.5318339999999999</v>
      </c>
      <c r="F31" s="211">
        <v>3.5302479999999998</v>
      </c>
      <c r="G31" s="211">
        <v>2.9005139999999998</v>
      </c>
      <c r="H31" s="211">
        <v>1.3362780000000001</v>
      </c>
      <c r="I31" s="211">
        <v>1.2065399999999999</v>
      </c>
      <c r="J31" s="211">
        <v>1.1970000000000001</v>
      </c>
      <c r="K31" s="211">
        <v>1.196</v>
      </c>
      <c r="L31" s="211">
        <v>1.133</v>
      </c>
      <c r="M31" s="211">
        <v>1.133</v>
      </c>
      <c r="N31" s="211">
        <v>1.133</v>
      </c>
      <c r="O31" s="211">
        <v>1.133</v>
      </c>
      <c r="P31" s="211">
        <v>1.0109999999999999</v>
      </c>
      <c r="Q31" s="211">
        <v>0.99099999999999999</v>
      </c>
      <c r="R31" s="211">
        <v>0.443</v>
      </c>
      <c r="S31" s="211">
        <v>0.443</v>
      </c>
    </row>
    <row r="33" spans="1:16" x14ac:dyDescent="0.3">
      <c r="A33" s="211" t="s">
        <v>2502</v>
      </c>
      <c r="B33" s="604">
        <f>B22/B31</f>
        <v>25.506097791962169</v>
      </c>
      <c r="C33" s="604">
        <f t="shared" ref="C33:P33" si="6">C22/C31</f>
        <v>24.42029003081533</v>
      </c>
      <c r="D33" s="604">
        <f t="shared" si="6"/>
        <v>21.780169799460428</v>
      </c>
      <c r="E33" s="604">
        <f t="shared" si="6"/>
        <v>22.770087722129634</v>
      </c>
      <c r="F33" s="604">
        <f t="shared" si="6"/>
        <v>22.055964340182332</v>
      </c>
      <c r="G33" s="604">
        <f t="shared" si="6"/>
        <v>23.380808022302254</v>
      </c>
      <c r="H33" s="604">
        <f t="shared" si="6"/>
        <v>32.807482425064244</v>
      </c>
      <c r="I33" s="604">
        <f t="shared" si="6"/>
        <v>0</v>
      </c>
      <c r="J33" s="604">
        <f t="shared" si="6"/>
        <v>0</v>
      </c>
      <c r="K33" s="604">
        <f t="shared" si="6"/>
        <v>0</v>
      </c>
      <c r="L33" s="604">
        <f t="shared" si="6"/>
        <v>0</v>
      </c>
      <c r="M33" s="604">
        <f t="shared" si="6"/>
        <v>0</v>
      </c>
      <c r="N33" s="604">
        <f t="shared" si="6"/>
        <v>0</v>
      </c>
      <c r="O33" s="604">
        <f t="shared" si="6"/>
        <v>0</v>
      </c>
      <c r="P33" s="604">
        <f t="shared" si="6"/>
        <v>0</v>
      </c>
    </row>
    <row r="34" spans="1:16" x14ac:dyDescent="0.3">
      <c r="A34" s="211" t="s">
        <v>2503</v>
      </c>
      <c r="B34" s="604">
        <f>B13/B31</f>
        <v>0</v>
      </c>
      <c r="C34" s="604">
        <f>C13/C31</f>
        <v>0</v>
      </c>
      <c r="D34" s="604">
        <f t="shared" ref="D34:P34" si="7">D13/D31</f>
        <v>0</v>
      </c>
      <c r="E34" s="604">
        <f t="shared" si="7"/>
        <v>0</v>
      </c>
      <c r="F34" s="604">
        <f t="shared" si="7"/>
        <v>0</v>
      </c>
      <c r="G34" s="604">
        <f t="shared" si="7"/>
        <v>0</v>
      </c>
      <c r="H34" s="604">
        <f t="shared" si="7"/>
        <v>0</v>
      </c>
      <c r="I34" s="604">
        <f t="shared" si="7"/>
        <v>0</v>
      </c>
      <c r="J34" s="604">
        <f t="shared" si="7"/>
        <v>0</v>
      </c>
      <c r="K34" s="604">
        <f t="shared" si="7"/>
        <v>0</v>
      </c>
      <c r="L34" s="604">
        <f t="shared" si="7"/>
        <v>0</v>
      </c>
      <c r="M34" s="604">
        <f t="shared" si="7"/>
        <v>0</v>
      </c>
      <c r="N34" s="604">
        <f t="shared" si="7"/>
        <v>0</v>
      </c>
      <c r="O34" s="604">
        <f t="shared" si="7"/>
        <v>0</v>
      </c>
      <c r="P34" s="604">
        <f t="shared" si="7"/>
        <v>0</v>
      </c>
    </row>
    <row r="36" spans="1:16" x14ac:dyDescent="0.3">
      <c r="A36" s="211" t="s">
        <v>2504</v>
      </c>
      <c r="B36" s="604">
        <f>B15/B31</f>
        <v>3.0323202342935547</v>
      </c>
      <c r="C36" s="604">
        <f t="shared" ref="C36:P36" si="8">C15/C31</f>
        <v>3.4796265279868801</v>
      </c>
      <c r="D36" s="604">
        <f t="shared" si="8"/>
        <v>2.4729730723972185</v>
      </c>
      <c r="E36" s="604">
        <f t="shared" si="8"/>
        <v>2.462057106874219</v>
      </c>
      <c r="F36" s="604">
        <f t="shared" si="8"/>
        <v>1.8419646438437187</v>
      </c>
      <c r="G36" s="604">
        <f t="shared" si="8"/>
        <v>1.895323035848129</v>
      </c>
      <c r="H36" s="604">
        <f t="shared" si="8"/>
        <v>0.96789290851155219</v>
      </c>
      <c r="I36" s="604">
        <f t="shared" si="8"/>
        <v>0</v>
      </c>
      <c r="J36" s="604">
        <f t="shared" si="8"/>
        <v>0</v>
      </c>
      <c r="K36" s="604">
        <f t="shared" si="8"/>
        <v>0</v>
      </c>
      <c r="L36" s="604">
        <f t="shared" si="8"/>
        <v>0</v>
      </c>
      <c r="M36" s="604">
        <f t="shared" si="8"/>
        <v>0</v>
      </c>
      <c r="N36" s="604">
        <f t="shared" si="8"/>
        <v>0</v>
      </c>
      <c r="O36" s="604">
        <f t="shared" si="8"/>
        <v>0</v>
      </c>
      <c r="P36" s="604">
        <f t="shared" si="8"/>
        <v>0</v>
      </c>
    </row>
    <row r="39" spans="1:16" x14ac:dyDescent="0.3">
      <c r="A39" s="211" t="s">
        <v>2549</v>
      </c>
      <c r="B39" s="226">
        <f>B22/B26</f>
        <v>0.54000587141831335</v>
      </c>
      <c r="C39" s="226">
        <f t="shared" ref="C39:H39" si="9">C22/C26</f>
        <v>0.64003464070488192</v>
      </c>
      <c r="D39" s="226">
        <f t="shared" si="9"/>
        <v>0.61715493410815681</v>
      </c>
      <c r="E39" s="226">
        <f t="shared" si="9"/>
        <v>0.53239817788863142</v>
      </c>
      <c r="F39" s="226">
        <f t="shared" si="9"/>
        <v>0.4910578365878665</v>
      </c>
      <c r="G39" s="226">
        <f t="shared" si="9"/>
        <v>0.58203699849505064</v>
      </c>
      <c r="H39" s="226">
        <f t="shared" si="9"/>
        <v>0.7268227531431537</v>
      </c>
    </row>
  </sheetData>
  <pageMargins left="0.7" right="0.7" top="0.75" bottom="0.75" header="0.3" footer="0.3"/>
  <pageSetup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86CB-B447-47DA-B30F-FA0549AE5620}">
  <sheetPr>
    <tabColor theme="0" tint="-0.34998626667073579"/>
  </sheetPr>
  <dimension ref="A1:T38"/>
  <sheetViews>
    <sheetView workbookViewId="0">
      <pane xSplit="1" ySplit="5" topLeftCell="B9" activePane="bottomRight" state="frozen"/>
      <selection activeCell="G19" sqref="G19"/>
      <selection pane="topRight" activeCell="G19" sqref="G19"/>
      <selection pane="bottomLeft" activeCell="G19" sqref="G19"/>
      <selection pane="bottomRight" activeCell="G19" sqref="G19"/>
    </sheetView>
  </sheetViews>
  <sheetFormatPr defaultColWidth="9.109375" defaultRowHeight="15.6" x14ac:dyDescent="0.3"/>
  <cols>
    <col min="1" max="2" width="25.6640625" style="211" customWidth="1"/>
    <col min="3" max="3" width="5.44140625" style="211" customWidth="1"/>
    <col min="4" max="4" width="25.6640625" style="211" customWidth="1"/>
    <col min="5" max="5" width="6" style="211" customWidth="1"/>
    <col min="6" max="6" width="10.33203125" style="211" bestFit="1" customWidth="1"/>
    <col min="7" max="16384" width="9.109375" style="211"/>
  </cols>
  <sheetData>
    <row r="1" spans="1:20" s="1632" customFormat="1" x14ac:dyDescent="0.3">
      <c r="A1" s="1632" t="s">
        <v>556</v>
      </c>
      <c r="B1" s="1632">
        <v>1989</v>
      </c>
      <c r="D1" s="1632">
        <v>1979</v>
      </c>
      <c r="F1" s="1632">
        <v>1970</v>
      </c>
      <c r="G1" s="1632">
        <v>1970</v>
      </c>
      <c r="H1" s="1632">
        <v>1968</v>
      </c>
      <c r="I1" s="1632">
        <v>1968</v>
      </c>
      <c r="J1" s="1632">
        <v>1966</v>
      </c>
      <c r="K1" s="1632">
        <v>1966</v>
      </c>
      <c r="L1" s="1632">
        <v>1964</v>
      </c>
      <c r="M1" s="1632">
        <v>1963</v>
      </c>
      <c r="N1" s="1632">
        <v>1962</v>
      </c>
      <c r="O1" s="1632">
        <v>1962</v>
      </c>
      <c r="P1" s="1632">
        <v>1960</v>
      </c>
      <c r="Q1" s="1632">
        <v>1960</v>
      </c>
    </row>
    <row r="2" spans="1:20" x14ac:dyDescent="0.3">
      <c r="A2" s="459" t="s">
        <v>2497</v>
      </c>
      <c r="B2" s="459"/>
      <c r="C2" s="459"/>
      <c r="D2" s="459"/>
      <c r="E2" s="459"/>
    </row>
    <row r="3" spans="1:20" x14ac:dyDescent="0.3">
      <c r="A3" s="152" t="s">
        <v>2498</v>
      </c>
      <c r="B3" s="152"/>
      <c r="C3" s="152"/>
      <c r="D3" s="152"/>
      <c r="E3" s="152"/>
    </row>
    <row r="4" spans="1:20" ht="8.25" customHeight="1" x14ac:dyDescent="0.3"/>
    <row r="5" spans="1:20" x14ac:dyDescent="0.3">
      <c r="A5" s="211" t="s">
        <v>1250</v>
      </c>
      <c r="B5" s="211">
        <v>1989</v>
      </c>
      <c r="D5" s="211">
        <v>1979</v>
      </c>
      <c r="F5" s="884">
        <v>1970</v>
      </c>
      <c r="G5" s="884">
        <v>1969</v>
      </c>
      <c r="H5" s="884">
        <v>1968</v>
      </c>
      <c r="I5" s="884">
        <v>1967</v>
      </c>
      <c r="J5" s="884">
        <v>1966</v>
      </c>
      <c r="K5" s="884">
        <v>1965</v>
      </c>
      <c r="L5" s="884">
        <v>1964</v>
      </c>
      <c r="M5" s="884">
        <v>1963</v>
      </c>
      <c r="N5" s="884">
        <v>1962</v>
      </c>
      <c r="O5" s="884">
        <v>1961</v>
      </c>
      <c r="P5" s="884">
        <v>1960</v>
      </c>
      <c r="Q5" s="884">
        <v>1959</v>
      </c>
      <c r="R5" s="884">
        <v>1958</v>
      </c>
      <c r="S5" s="884">
        <v>1957</v>
      </c>
      <c r="T5" s="884">
        <v>1956</v>
      </c>
    </row>
    <row r="6" spans="1:20" x14ac:dyDescent="0.3">
      <c r="A6" s="211" t="s">
        <v>975</v>
      </c>
      <c r="B6" s="211">
        <v>5022.7820000000002</v>
      </c>
      <c r="D6" s="211">
        <v>4087.8090000000002</v>
      </c>
      <c r="F6" s="211">
        <v>2404.3270000000002</v>
      </c>
      <c r="G6" s="211">
        <v>2176.598</v>
      </c>
      <c r="H6" s="211">
        <v>1855.0070000000001</v>
      </c>
      <c r="I6" s="211">
        <v>1778.8009999999999</v>
      </c>
      <c r="J6" s="211">
        <v>1172.2329999999999</v>
      </c>
      <c r="K6" s="211">
        <v>933.82500000000005</v>
      </c>
      <c r="L6" s="211">
        <v>686.13549699999999</v>
      </c>
      <c r="M6" s="211">
        <v>553.14623900000004</v>
      </c>
      <c r="N6" s="211">
        <v>393.80770899999999</v>
      </c>
      <c r="O6" s="211">
        <v>250.11445599999999</v>
      </c>
      <c r="P6" s="211">
        <v>187.76124200000001</v>
      </c>
      <c r="Q6" s="211">
        <v>125.525561</v>
      </c>
      <c r="R6" s="211">
        <v>83.155473000000001</v>
      </c>
      <c r="S6" s="211">
        <v>28.130603000000001</v>
      </c>
      <c r="T6" s="211">
        <v>14.92005</v>
      </c>
    </row>
    <row r="7" spans="1:20" x14ac:dyDescent="0.3">
      <c r="A7" s="211" t="s">
        <v>1703</v>
      </c>
      <c r="F7" s="211">
        <f>F6/F28</f>
        <v>1.835739678041004</v>
      </c>
      <c r="G7" s="211">
        <f>G6/G28</f>
        <v>2.1501851259132816</v>
      </c>
      <c r="H7" s="211">
        <f>H6/H28</f>
        <v>2.3163237146949269</v>
      </c>
      <c r="I7" s="211">
        <f>I6/I28</f>
        <v>2.8928442632010913</v>
      </c>
      <c r="J7" s="211">
        <f t="shared" ref="J7:M7" si="0">J6/J28</f>
        <v>2.5602762892362123</v>
      </c>
      <c r="K7" s="211">
        <f t="shared" si="0"/>
        <v>2.5615418188273464</v>
      </c>
      <c r="L7" s="211">
        <f t="shared" si="0"/>
        <v>2.4929050328654592</v>
      </c>
      <c r="M7" s="211">
        <f t="shared" si="0"/>
        <v>2.4915271409675803</v>
      </c>
      <c r="N7" s="211">
        <f t="shared" ref="N7" si="1">N6/N28</f>
        <v>2.5033458329296518</v>
      </c>
      <c r="O7" s="211">
        <f t="shared" ref="O7" si="2">O6/O28</f>
        <v>2.4691445820199731</v>
      </c>
      <c r="P7" s="211">
        <f t="shared" ref="P7:S7" si="3">P6/P28</f>
        <v>2.6747132133014335</v>
      </c>
      <c r="Q7" s="211">
        <f t="shared" si="3"/>
        <v>2.4975139327178821</v>
      </c>
      <c r="R7" s="211">
        <f t="shared" si="3"/>
        <v>3.0685838708982835</v>
      </c>
      <c r="S7" s="211">
        <f t="shared" si="3"/>
        <v>2.8169409178083731</v>
      </c>
    </row>
    <row r="8" spans="1:20" x14ac:dyDescent="0.3">
      <c r="A8" s="211" t="s">
        <v>1097</v>
      </c>
      <c r="B8" s="211">
        <f>214.52+80.425</f>
        <v>294.94499999999999</v>
      </c>
      <c r="D8" s="211">
        <f>322.077+16.787</f>
        <v>338.86399999999998</v>
      </c>
      <c r="F8" s="211">
        <f>F12+F13</f>
        <v>163.13</v>
      </c>
      <c r="G8" s="211">
        <f t="shared" ref="G8:P8" si="4">G12+G13</f>
        <v>156.08500000000001</v>
      </c>
      <c r="H8" s="211">
        <f t="shared" si="4"/>
        <v>115.988</v>
      </c>
      <c r="I8" s="211">
        <f>I12+I13</f>
        <v>156.14699999999999</v>
      </c>
      <c r="J8" s="211">
        <f t="shared" si="4"/>
        <v>105.93524100000002</v>
      </c>
      <c r="K8" s="211">
        <f t="shared" si="4"/>
        <v>79.223286999999999</v>
      </c>
      <c r="L8" s="211">
        <f t="shared" si="4"/>
        <v>62.318446999999999</v>
      </c>
      <c r="M8" s="211">
        <f t="shared" si="4"/>
        <v>49.078673999999999</v>
      </c>
      <c r="N8" s="211">
        <f t="shared" si="4"/>
        <v>33.796427999999999</v>
      </c>
      <c r="O8" s="211">
        <f t="shared" si="4"/>
        <v>21.889292000000001</v>
      </c>
      <c r="P8" s="211">
        <f t="shared" si="4"/>
        <v>16.608065</v>
      </c>
      <c r="Q8" s="211">
        <f>Q12+Q13</f>
        <v>11.700330000000001</v>
      </c>
      <c r="R8" s="211">
        <f>R12+R13</f>
        <v>7.6983290000000002</v>
      </c>
      <c r="S8" s="211">
        <f>S12+S13</f>
        <v>3.5307389999999996</v>
      </c>
      <c r="T8" s="211">
        <f>T12+T13</f>
        <v>2.1450239999999998</v>
      </c>
    </row>
    <row r="9" spans="1:20" x14ac:dyDescent="0.3">
      <c r="A9" s="211" t="s">
        <v>1993</v>
      </c>
      <c r="B9" s="227">
        <f>B8/B6</f>
        <v>5.8721441623387195E-2</v>
      </c>
      <c r="D9" s="227">
        <f>D8/D6</f>
        <v>8.2896240993647202E-2</v>
      </c>
      <c r="F9" s="227">
        <f>F8/F6</f>
        <v>6.784850812722229E-2</v>
      </c>
      <c r="G9" s="227">
        <f t="shared" ref="G9:I9" si="5">G8/G6</f>
        <v>7.1710531756438267E-2</v>
      </c>
      <c r="H9" s="227">
        <f t="shared" si="5"/>
        <v>6.252698776877931E-2</v>
      </c>
      <c r="I9" s="227">
        <f t="shared" si="5"/>
        <v>8.7782163378590405E-2</v>
      </c>
      <c r="J9" s="227">
        <f t="shared" ref="J9" si="6">J8/J6</f>
        <v>9.0370464745490042E-2</v>
      </c>
      <c r="K9" s="227">
        <f t="shared" ref="K9" si="7">K8/K6</f>
        <v>8.4837402082831359E-2</v>
      </c>
      <c r="L9" s="227">
        <f t="shared" ref="L9" si="8">L8/L6</f>
        <v>9.082527762005585E-2</v>
      </c>
      <c r="M9" s="227">
        <f t="shared" ref="M9" si="9">M8/M6</f>
        <v>8.8726399168376158E-2</v>
      </c>
      <c r="N9" s="227">
        <f t="shared" ref="N9" si="10">N8/N6</f>
        <v>8.5819620153753773E-2</v>
      </c>
      <c r="O9" s="227">
        <f t="shared" ref="O9:T9" si="11">O8/O6</f>
        <v>8.751710057094822E-2</v>
      </c>
      <c r="P9" s="227">
        <f t="shared" si="11"/>
        <v>8.8453105779945779E-2</v>
      </c>
      <c r="Q9" s="227">
        <f t="shared" si="11"/>
        <v>9.3210736576592568E-2</v>
      </c>
      <c r="R9" s="227">
        <f t="shared" si="11"/>
        <v>9.2577538462200806E-2</v>
      </c>
      <c r="S9" s="227">
        <f t="shared" si="11"/>
        <v>0.12551238236876755</v>
      </c>
      <c r="T9" s="227">
        <f t="shared" si="11"/>
        <v>0.14376788281540612</v>
      </c>
    </row>
    <row r="10" spans="1:20" x14ac:dyDescent="0.3">
      <c r="A10" s="211" t="s">
        <v>1563</v>
      </c>
      <c r="F10" s="227">
        <f>F7*F9</f>
        <v>0.12455219846502949</v>
      </c>
      <c r="G10" s="227">
        <f>G7*G9</f>
        <v>0.1541909187540256</v>
      </c>
      <c r="H10" s="227">
        <f>H7*H9</f>
        <v>0.14483274457726314</v>
      </c>
      <c r="I10" s="227">
        <f t="shared" ref="I10:M10" si="12">I7*I9</f>
        <v>0.25394012774113617</v>
      </c>
      <c r="J10" s="227">
        <f t="shared" si="12"/>
        <v>0.23137335813513518</v>
      </c>
      <c r="K10" s="227">
        <f t="shared" si="12"/>
        <v>0.21731455323584276</v>
      </c>
      <c r="L10" s="227">
        <f t="shared" si="12"/>
        <v>0.22641879169043977</v>
      </c>
      <c r="M10" s="227">
        <f t="shared" si="12"/>
        <v>0.22106423164833255</v>
      </c>
      <c r="N10" s="227">
        <f t="shared" ref="N10" si="13">N7*N9</f>
        <v>0.21483618849550506</v>
      </c>
      <c r="O10" s="227">
        <f t="shared" ref="O10" si="14">O7*O9</f>
        <v>0.2160923747088539</v>
      </c>
      <c r="P10" s="227">
        <f t="shared" ref="P10:S10" si="15">P7*P9</f>
        <v>0.23658669078717037</v>
      </c>
      <c r="Q10" s="227">
        <f t="shared" si="15"/>
        <v>0.23279511327893623</v>
      </c>
      <c r="R10" s="227">
        <f t="shared" si="15"/>
        <v>0.28408194133257486</v>
      </c>
      <c r="S10" s="227">
        <f t="shared" si="15"/>
        <v>0.35356096558619154</v>
      </c>
    </row>
    <row r="12" spans="1:20" x14ac:dyDescent="0.3">
      <c r="A12" s="211" t="s">
        <v>293</v>
      </c>
      <c r="F12" s="211">
        <v>43.94</v>
      </c>
      <c r="G12" s="211">
        <v>24.53</v>
      </c>
      <c r="H12" s="211">
        <v>14.366</v>
      </c>
      <c r="I12" s="211">
        <v>10.627000000000001</v>
      </c>
      <c r="J12" s="211">
        <v>9.723217</v>
      </c>
      <c r="K12" s="211">
        <v>7.6840400000000004</v>
      </c>
      <c r="L12" s="211">
        <v>6.1670030000000002</v>
      </c>
      <c r="M12" s="211">
        <v>5.2822709999999997</v>
      </c>
      <c r="N12" s="211">
        <v>2.9469289999999999</v>
      </c>
      <c r="O12" s="211">
        <v>2.201835</v>
      </c>
      <c r="P12" s="211">
        <v>1.242883</v>
      </c>
      <c r="Q12" s="211">
        <v>0.89457399999999998</v>
      </c>
      <c r="R12" s="211">
        <v>0.65389200000000003</v>
      </c>
      <c r="S12" s="211">
        <v>0.29824600000000001</v>
      </c>
      <c r="T12" s="211">
        <v>0.14932100000000001</v>
      </c>
    </row>
    <row r="13" spans="1:20" x14ac:dyDescent="0.3">
      <c r="A13" s="211" t="s">
        <v>979</v>
      </c>
      <c r="F13" s="211">
        <f>F14+F15</f>
        <v>119.19</v>
      </c>
      <c r="G13" s="211">
        <f>G14+G15</f>
        <v>131.55500000000001</v>
      </c>
      <c r="H13" s="211">
        <f t="shared" ref="H13:I13" si="16">H14+H15</f>
        <v>101.622</v>
      </c>
      <c r="I13" s="211">
        <f t="shared" si="16"/>
        <v>145.51999999999998</v>
      </c>
      <c r="J13" s="211">
        <f t="shared" ref="J13" si="17">J14+J15</f>
        <v>96.212024000000014</v>
      </c>
      <c r="K13" s="211">
        <f t="shared" ref="K13" si="18">K14+K15</f>
        <v>71.539247000000003</v>
      </c>
      <c r="L13" s="211">
        <f t="shared" ref="L13" si="19">L14+L15</f>
        <v>56.151443999999998</v>
      </c>
      <c r="M13" s="211">
        <f t="shared" ref="M13:P13" si="20">M14+M15</f>
        <v>43.796402999999998</v>
      </c>
      <c r="N13" s="211">
        <f t="shared" si="20"/>
        <v>30.849499000000002</v>
      </c>
      <c r="O13" s="211">
        <f t="shared" si="20"/>
        <v>19.687457000000002</v>
      </c>
      <c r="P13" s="211">
        <f t="shared" si="20"/>
        <v>15.365182000000001</v>
      </c>
      <c r="Q13" s="211">
        <v>10.805756000000001</v>
      </c>
      <c r="R13" s="211">
        <v>7.0444370000000003</v>
      </c>
      <c r="S13" s="211">
        <v>3.2324929999999998</v>
      </c>
      <c r="T13" s="211">
        <v>1.995703</v>
      </c>
    </row>
    <row r="14" spans="1:20" x14ac:dyDescent="0.3">
      <c r="A14" s="211" t="s">
        <v>391</v>
      </c>
      <c r="F14" s="211">
        <v>50.439</v>
      </c>
      <c r="G14" s="211">
        <v>49.296999999999997</v>
      </c>
      <c r="H14" s="211">
        <v>43.165999999999997</v>
      </c>
      <c r="I14" s="211">
        <v>62.320999999999998</v>
      </c>
      <c r="J14" s="211">
        <v>40.597821000000003</v>
      </c>
      <c r="K14" s="211">
        <v>31.787234000000002</v>
      </c>
      <c r="L14" s="211">
        <v>26.384122999999999</v>
      </c>
      <c r="M14" s="211">
        <v>20.500295999999999</v>
      </c>
      <c r="N14" s="211">
        <v>14.533547</v>
      </c>
      <c r="O14" s="211">
        <v>9.5291340000000009</v>
      </c>
      <c r="P14" s="211">
        <v>7.9103279999999998</v>
      </c>
      <c r="Q14" s="211">
        <v>5.8517250000000001</v>
      </c>
      <c r="R14" s="211">
        <v>3.3422339999999999</v>
      </c>
      <c r="S14" s="211">
        <v>1.4259999999999999</v>
      </c>
      <c r="T14" s="211">
        <v>0.97599999999999998</v>
      </c>
    </row>
    <row r="15" spans="1:20" x14ac:dyDescent="0.3">
      <c r="A15" s="211" t="s">
        <v>99</v>
      </c>
      <c r="B15" s="211">
        <v>178.27199999999999</v>
      </c>
      <c r="D15" s="211">
        <v>188.887</v>
      </c>
      <c r="F15" s="211">
        <v>68.751000000000005</v>
      </c>
      <c r="G15" s="211">
        <v>82.257999999999996</v>
      </c>
      <c r="H15" s="211">
        <v>58.456000000000003</v>
      </c>
      <c r="I15" s="211">
        <v>83.198999999999998</v>
      </c>
      <c r="J15" s="211">
        <v>55.614203000000003</v>
      </c>
      <c r="K15" s="211">
        <v>39.752012999999998</v>
      </c>
      <c r="L15" s="211">
        <v>29.767320999999999</v>
      </c>
      <c r="M15" s="211">
        <v>23.296106999999999</v>
      </c>
      <c r="N15" s="211">
        <v>16.315951999999999</v>
      </c>
      <c r="O15" s="211">
        <v>10.158322999999999</v>
      </c>
      <c r="P15" s="211">
        <v>7.4548540000000001</v>
      </c>
      <c r="Q15" s="211">
        <v>4.9540309999999996</v>
      </c>
      <c r="R15" s="211">
        <v>3.7022029999999999</v>
      </c>
      <c r="S15" s="211">
        <v>1.8064929999999999</v>
      </c>
      <c r="T15" s="211">
        <v>1.019703</v>
      </c>
    </row>
    <row r="18" spans="1:20" x14ac:dyDescent="0.3">
      <c r="A18" s="211" t="s">
        <v>2499</v>
      </c>
      <c r="F18" s="211">
        <v>1.9</v>
      </c>
      <c r="G18" s="211">
        <v>2.34</v>
      </c>
      <c r="H18" s="211">
        <v>1.83</v>
      </c>
      <c r="I18" s="211">
        <v>2.67</v>
      </c>
      <c r="J18" s="211">
        <v>2.25</v>
      </c>
      <c r="K18" s="211">
        <v>1.68</v>
      </c>
      <c r="L18" s="211">
        <v>2.77</v>
      </c>
      <c r="M18" s="211">
        <v>2.23</v>
      </c>
      <c r="N18" s="211">
        <v>3.36</v>
      </c>
      <c r="O18" s="211">
        <v>2.2400000000000002</v>
      </c>
    </row>
    <row r="22" spans="1:20" x14ac:dyDescent="0.3">
      <c r="A22" s="211" t="s">
        <v>746</v>
      </c>
      <c r="B22" s="211">
        <f>1267.657+201.266</f>
        <v>1468.923</v>
      </c>
      <c r="D22" s="211">
        <v>930.76700000000005</v>
      </c>
      <c r="F22" s="211">
        <v>770.07899999999995</v>
      </c>
      <c r="G22" s="211">
        <v>704.30799999999999</v>
      </c>
      <c r="H22" s="211">
        <v>596.51599999999996</v>
      </c>
      <c r="I22" s="211">
        <v>524.88199999999995</v>
      </c>
      <c r="J22" s="211">
        <v>308.87944099999999</v>
      </c>
      <c r="K22" s="211">
        <v>234.99363399999999</v>
      </c>
      <c r="L22" s="211">
        <v>154.74989199999999</v>
      </c>
      <c r="M22" s="211">
        <v>121.96792499999999</v>
      </c>
      <c r="N22" s="211">
        <v>102.93405799999999</v>
      </c>
      <c r="O22" s="211">
        <f>36.559121+20.366578+4.368273+2.437</f>
        <v>63.730971999999994</v>
      </c>
      <c r="P22" s="211">
        <v>50.568249000000002</v>
      </c>
      <c r="Q22" s="211">
        <v>34.546599999999998</v>
      </c>
      <c r="R22" s="211">
        <v>27.994799</v>
      </c>
      <c r="S22" s="211">
        <v>7.7854190000000001</v>
      </c>
      <c r="T22" s="211">
        <v>4.5331770000000002</v>
      </c>
    </row>
    <row r="23" spans="1:20" x14ac:dyDescent="0.3">
      <c r="A23" s="211" t="s">
        <v>2015</v>
      </c>
      <c r="B23" s="211">
        <f>1311.305+182.128+149.384</f>
        <v>1642.817</v>
      </c>
      <c r="D23" s="211">
        <f>61.036+180.786+18.273+39.087</f>
        <v>299.18200000000002</v>
      </c>
      <c r="F23" s="211">
        <f>137.3+121.527+410.743+116.232+28.714</f>
        <v>814.51599999999985</v>
      </c>
      <c r="G23" s="211">
        <f>194.146+25.397+243.916+79.196+29.308</f>
        <v>571.96299999999997</v>
      </c>
      <c r="H23" s="211">
        <f>31.566+201.272+11.319+70.443</f>
        <v>314.59999999999997</v>
      </c>
      <c r="I23" s="211">
        <f>48.984+196.793+4.248+13.575</f>
        <v>263.60000000000002</v>
      </c>
      <c r="J23" s="211">
        <f>57.897+145.151997+2.731412+2.140643</f>
        <v>207.921052</v>
      </c>
      <c r="K23" s="211">
        <f>78.8796+106.781227+2.202115+27.108811</f>
        <v>214.97175299999998</v>
      </c>
      <c r="L23" s="211">
        <f>73.3069+73.615+1.795+2.13745</f>
        <v>150.85434999999998</v>
      </c>
      <c r="M23" s="211">
        <f>71.3061+43.597012+1.13809+17.3063</f>
        <v>133.34750199999999</v>
      </c>
      <c r="N23" s="211">
        <f>60.1722+18.611703+1.148339+12.6273</f>
        <v>92.559542000000008</v>
      </c>
      <c r="O23" s="211">
        <f>49.238672+0.949746+8.503983</f>
        <v>58.692400999999997</v>
      </c>
      <c r="P23" s="211">
        <f>11.362+18.266673+0.56786+2.309361</f>
        <v>32.505893999999998</v>
      </c>
      <c r="Q23" s="211">
        <f>20.992+0.425+3.025097</f>
        <v>24.442097</v>
      </c>
      <c r="R23" s="211">
        <f>10.933499+0.435062+3</f>
        <v>14.368561</v>
      </c>
      <c r="S23" s="211">
        <f>4.670136+0.085319+0</f>
        <v>4.7554550000000004</v>
      </c>
      <c r="T23" s="211">
        <f>2.321462+0.081473+1.1</f>
        <v>3.5029349999999999</v>
      </c>
    </row>
    <row r="24" spans="1:20" x14ac:dyDescent="0.3">
      <c r="A24" s="211" t="s">
        <v>346</v>
      </c>
      <c r="B24" s="211">
        <f>-451.787</f>
        <v>-451.78699999999998</v>
      </c>
      <c r="D24" s="211">
        <f>-38.929</f>
        <v>-38.929000000000002</v>
      </c>
      <c r="F24" s="211">
        <v>-121.60599999999999</v>
      </c>
      <c r="G24" s="211">
        <v>-102.72799999999999</v>
      </c>
      <c r="H24" s="211">
        <f>-46.223</f>
        <v>-46.222999999999999</v>
      </c>
      <c r="I24" s="211">
        <f>-39.284</f>
        <v>-39.283999999999999</v>
      </c>
      <c r="J24" s="211">
        <f>-27.739113</f>
        <v>-27.739113</v>
      </c>
      <c r="K24" s="211">
        <f>-17.509895</f>
        <v>-17.509895</v>
      </c>
      <c r="L24" s="211">
        <f>-4.930258</f>
        <v>-4.9302580000000003</v>
      </c>
      <c r="M24" s="211">
        <f>-4.799159</f>
        <v>-4.7991590000000004</v>
      </c>
      <c r="N24" s="211">
        <f>-1.245418</f>
        <v>-1.2454179999999999</v>
      </c>
      <c r="O24" s="211">
        <f>-1.250094</f>
        <v>-1.250094</v>
      </c>
      <c r="P24" s="211">
        <f>-0.817084</f>
        <v>-0.81708400000000003</v>
      </c>
      <c r="Q24" s="211">
        <f>-0.048137</f>
        <v>-4.8136999999999999E-2</v>
      </c>
      <c r="R24" s="211">
        <f>-0.051499</f>
        <v>-5.1499000000000003E-2</v>
      </c>
      <c r="S24" s="211">
        <f>-0.054861</f>
        <v>-5.4861E-2</v>
      </c>
      <c r="T24" s="211">
        <f>-0.058223</f>
        <v>-5.8222999999999997E-2</v>
      </c>
    </row>
    <row r="25" spans="1:20" x14ac:dyDescent="0.3">
      <c r="A25" s="211" t="s">
        <v>2500</v>
      </c>
      <c r="B25" s="211">
        <v>0</v>
      </c>
      <c r="D25" s="211">
        <f>-8.417</f>
        <v>-8.4169999999999998</v>
      </c>
      <c r="F25" s="211">
        <f>-9.299</f>
        <v>-9.2989999999999995</v>
      </c>
      <c r="G25" s="211">
        <v>-7.7690000000000001</v>
      </c>
      <c r="H25" s="211">
        <f>-6.099</f>
        <v>-6.0990000000000002</v>
      </c>
      <c r="I25" s="211">
        <f>-6.31</f>
        <v>-6.31</v>
      </c>
      <c r="J25" s="211">
        <f>-2.155559</f>
        <v>-2.1555589999999998</v>
      </c>
      <c r="K25" s="211">
        <f>-3.65311</f>
        <v>-3.6531099999999999</v>
      </c>
      <c r="L25" s="211">
        <f>-0.364709</f>
        <v>-0.36470900000000001</v>
      </c>
      <c r="M25" s="211">
        <f>-0.354917</f>
        <v>-0.35491699999999998</v>
      </c>
      <c r="N25" s="211">
        <f>-0.387688</f>
        <v>-0.38768799999999998</v>
      </c>
      <c r="O25" s="356">
        <f>AVERAGE(N25,P25)</f>
        <v>-0.40867900000000001</v>
      </c>
      <c r="P25" s="211">
        <f>-0.42967</f>
        <v>-0.42967</v>
      </c>
      <c r="Q25" s="211">
        <f>-0.37066</f>
        <v>-0.37065999999999999</v>
      </c>
      <c r="R25" s="211">
        <f>-0.361352</f>
        <v>-0.36135200000000001</v>
      </c>
      <c r="S25" s="211">
        <f>-0.238575</f>
        <v>-0.23857500000000001</v>
      </c>
      <c r="T25" s="211">
        <f>-0.252879</f>
        <v>-0.25287900000000002</v>
      </c>
    </row>
    <row r="26" spans="1:20" x14ac:dyDescent="0.3">
      <c r="A26" s="211" t="s">
        <v>1099</v>
      </c>
      <c r="B26" s="848">
        <f>SUM(B22:B25)</f>
        <v>2659.953</v>
      </c>
      <c r="D26" s="848">
        <f>SUM(D22:D25)</f>
        <v>1182.6030000000001</v>
      </c>
      <c r="F26" s="848">
        <f>SUM(F22:F25)</f>
        <v>1453.6899999999998</v>
      </c>
      <c r="G26" s="848">
        <f>SUM(G22:G25)</f>
        <v>1165.7739999999999</v>
      </c>
      <c r="H26" s="848">
        <f>SUM(H22:H25)</f>
        <v>858.79399999999998</v>
      </c>
      <c r="I26" s="848">
        <f>SUM(I22:I25)</f>
        <v>742.88800000000003</v>
      </c>
      <c r="J26" s="848">
        <f t="shared" ref="J26:T26" si="21">SUM(J22:J25)</f>
        <v>486.905821</v>
      </c>
      <c r="K26" s="848">
        <f t="shared" si="21"/>
        <v>428.80238199999991</v>
      </c>
      <c r="L26" s="848">
        <f t="shared" si="21"/>
        <v>300.30927500000001</v>
      </c>
      <c r="M26" s="848">
        <f t="shared" si="21"/>
        <v>250.161351</v>
      </c>
      <c r="N26" s="848">
        <f t="shared" si="21"/>
        <v>193.86049400000002</v>
      </c>
      <c r="O26" s="848">
        <f t="shared" si="21"/>
        <v>120.76459999999999</v>
      </c>
      <c r="P26" s="848">
        <f t="shared" si="21"/>
        <v>81.827388999999997</v>
      </c>
      <c r="Q26" s="848">
        <f t="shared" si="21"/>
        <v>58.569900000000004</v>
      </c>
      <c r="R26" s="848">
        <f t="shared" si="21"/>
        <v>41.950509000000004</v>
      </c>
      <c r="S26" s="848">
        <f t="shared" si="21"/>
        <v>12.247437999999999</v>
      </c>
      <c r="T26" s="848">
        <f t="shared" si="21"/>
        <v>7.7250099999999993</v>
      </c>
    </row>
    <row r="28" spans="1:20" x14ac:dyDescent="0.3">
      <c r="A28" s="211" t="s">
        <v>575</v>
      </c>
      <c r="F28" s="211">
        <f>AVERAGE(F26:G26)</f>
        <v>1309.732</v>
      </c>
      <c r="G28" s="211">
        <f>AVERAGE(G26:H26)</f>
        <v>1012.2839999999999</v>
      </c>
      <c r="H28" s="211">
        <f>AVERAGE(H26:I26)</f>
        <v>800.84100000000001</v>
      </c>
      <c r="I28" s="211">
        <f t="shared" ref="I28:O28" si="22">AVERAGE(I26:J26)</f>
        <v>614.89691049999999</v>
      </c>
      <c r="J28" s="211">
        <f t="shared" si="22"/>
        <v>457.85410149999996</v>
      </c>
      <c r="K28" s="211">
        <f t="shared" si="22"/>
        <v>364.55582849999996</v>
      </c>
      <c r="L28" s="211">
        <f t="shared" si="22"/>
        <v>275.23531300000002</v>
      </c>
      <c r="M28" s="211">
        <f t="shared" si="22"/>
        <v>222.01092249999999</v>
      </c>
      <c r="N28" s="211">
        <f t="shared" si="22"/>
        <v>157.312547</v>
      </c>
      <c r="O28" s="211">
        <f t="shared" si="22"/>
        <v>101.29599449999999</v>
      </c>
      <c r="P28" s="211">
        <f t="shared" ref="P28:S28" si="23">AVERAGE(P26:Q26)</f>
        <v>70.1986445</v>
      </c>
      <c r="Q28" s="211">
        <f t="shared" si="23"/>
        <v>50.2602045</v>
      </c>
      <c r="R28" s="211">
        <f t="shared" si="23"/>
        <v>27.0989735</v>
      </c>
      <c r="S28" s="211">
        <f t="shared" si="23"/>
        <v>9.986224</v>
      </c>
    </row>
    <row r="31" spans="1:20" x14ac:dyDescent="0.3">
      <c r="A31" s="211" t="s">
        <v>2501</v>
      </c>
      <c r="B31" s="211">
        <v>24.348754</v>
      </c>
      <c r="D31" s="211">
        <v>38.792364999999997</v>
      </c>
      <c r="F31" s="211">
        <v>28.552382000000001</v>
      </c>
      <c r="G31" s="211">
        <v>26.213082</v>
      </c>
      <c r="H31" s="211">
        <v>24.524986999999999</v>
      </c>
      <c r="I31" s="211">
        <v>22.998930999999999</v>
      </c>
      <c r="J31" s="211">
        <v>20.470552000000001</v>
      </c>
      <c r="K31" s="211">
        <v>22.420224999999999</v>
      </c>
      <c r="L31" s="211">
        <v>10.508365</v>
      </c>
      <c r="M31" s="211">
        <v>10.398847</v>
      </c>
      <c r="N31" s="211">
        <v>4.8338570000000001</v>
      </c>
      <c r="O31" s="211">
        <v>4.4774799999999999</v>
      </c>
      <c r="P31" s="211">
        <v>4.1586020000000001</v>
      </c>
      <c r="Q31" s="211">
        <v>1.7962039999999999</v>
      </c>
      <c r="R31" s="211">
        <v>1.691389</v>
      </c>
      <c r="S31" s="211">
        <v>1.193986</v>
      </c>
      <c r="T31" s="211">
        <v>1.046834</v>
      </c>
    </row>
    <row r="33" spans="1:20" x14ac:dyDescent="0.3">
      <c r="A33" s="211" t="s">
        <v>2502</v>
      </c>
      <c r="B33" s="604">
        <f>B22/B31</f>
        <v>60.328466910462851</v>
      </c>
      <c r="D33" s="604">
        <f>D22/D31</f>
        <v>23.993561619664078</v>
      </c>
      <c r="F33" s="604">
        <f>F22/F31</f>
        <v>26.970744507410974</v>
      </c>
      <c r="G33" s="604">
        <f t="shared" ref="G33:T33" si="24">G22/G31</f>
        <v>26.86856890769273</v>
      </c>
      <c r="H33" s="604">
        <f t="shared" si="24"/>
        <v>24.322785573749744</v>
      </c>
      <c r="I33" s="604">
        <f t="shared" si="24"/>
        <v>22.822017249410418</v>
      </c>
      <c r="J33" s="604">
        <f t="shared" si="24"/>
        <v>15.088964918972383</v>
      </c>
      <c r="K33" s="604">
        <f t="shared" si="24"/>
        <v>10.481323626324</v>
      </c>
      <c r="L33" s="604">
        <f t="shared" si="24"/>
        <v>14.726352957857859</v>
      </c>
      <c r="M33" s="604">
        <f t="shared" si="24"/>
        <v>11.728985434635204</v>
      </c>
      <c r="N33" s="604">
        <f t="shared" si="24"/>
        <v>21.294394517669843</v>
      </c>
      <c r="O33" s="604">
        <f t="shared" si="24"/>
        <v>14.23366983213772</v>
      </c>
      <c r="P33" s="604">
        <f t="shared" si="24"/>
        <v>12.159915519686663</v>
      </c>
      <c r="Q33" s="604">
        <f t="shared" si="24"/>
        <v>19.233116060313861</v>
      </c>
      <c r="R33" s="604">
        <f t="shared" si="24"/>
        <v>16.551366362202899</v>
      </c>
      <c r="S33" s="604">
        <f t="shared" si="24"/>
        <v>6.5205278788863525</v>
      </c>
      <c r="T33" s="604">
        <f t="shared" si="24"/>
        <v>4.3303685207014677</v>
      </c>
    </row>
    <row r="34" spans="1:20" x14ac:dyDescent="0.3">
      <c r="A34" s="211" t="s">
        <v>2503</v>
      </c>
      <c r="B34" s="604">
        <f>B13/B31</f>
        <v>0</v>
      </c>
      <c r="D34" s="604">
        <f>D13/D31</f>
        <v>0</v>
      </c>
      <c r="F34" s="604">
        <f>F13/F31</f>
        <v>4.1744328021388899</v>
      </c>
      <c r="G34" s="604">
        <f>G13/G31</f>
        <v>5.0186773153954203</v>
      </c>
      <c r="H34" s="604">
        <f t="shared" ref="H34:L34" si="25">H13/H31</f>
        <v>4.143610759100504</v>
      </c>
      <c r="I34" s="604">
        <f t="shared" si="25"/>
        <v>6.3272506013431666</v>
      </c>
      <c r="J34" s="604">
        <f t="shared" si="25"/>
        <v>4.700020986244045</v>
      </c>
      <c r="K34" s="604">
        <f t="shared" si="25"/>
        <v>3.1908353729723946</v>
      </c>
      <c r="L34" s="604">
        <f t="shared" si="25"/>
        <v>5.343499583427108</v>
      </c>
      <c r="M34" s="604">
        <f t="shared" ref="M34:T34" si="26">M13/M31</f>
        <v>4.2116595234067775</v>
      </c>
      <c r="N34" s="604">
        <f t="shared" si="26"/>
        <v>6.3819635127807883</v>
      </c>
      <c r="O34" s="604">
        <f t="shared" si="26"/>
        <v>4.3969949614515311</v>
      </c>
      <c r="P34" s="604">
        <f t="shared" si="26"/>
        <v>3.6947950296758383</v>
      </c>
      <c r="Q34" s="604">
        <f t="shared" si="26"/>
        <v>6.0158846099886212</v>
      </c>
      <c r="R34" s="604">
        <f t="shared" si="26"/>
        <v>4.1648828270728968</v>
      </c>
      <c r="S34" s="604">
        <f t="shared" si="26"/>
        <v>2.707312313544715</v>
      </c>
      <c r="T34" s="604">
        <f t="shared" si="26"/>
        <v>1.9064178274683474</v>
      </c>
    </row>
    <row r="36" spans="1:20" x14ac:dyDescent="0.3">
      <c r="A36" s="211" t="s">
        <v>2504</v>
      </c>
      <c r="B36" s="604">
        <f>B15/B31</f>
        <v>7.3216066826253199</v>
      </c>
      <c r="D36" s="604">
        <f>D15/D31</f>
        <v>4.8691797986536791</v>
      </c>
      <c r="F36" s="604">
        <f>F15/F31</f>
        <v>2.4078901718252439</v>
      </c>
      <c r="G36" s="604">
        <f t="shared" ref="G36:T36" si="27">G15/G31</f>
        <v>3.138051450798498</v>
      </c>
      <c r="H36" s="604">
        <f t="shared" si="27"/>
        <v>2.3835282766918491</v>
      </c>
      <c r="I36" s="604">
        <f t="shared" si="27"/>
        <v>3.6175159619375354</v>
      </c>
      <c r="J36" s="604">
        <f t="shared" si="27"/>
        <v>2.7167905877672474</v>
      </c>
      <c r="K36" s="604">
        <f t="shared" si="27"/>
        <v>1.7730425542116548</v>
      </c>
      <c r="L36" s="604">
        <f t="shared" si="27"/>
        <v>2.8327262138306009</v>
      </c>
      <c r="M36" s="604">
        <f t="shared" si="27"/>
        <v>2.2402586555990291</v>
      </c>
      <c r="N36" s="604">
        <f t="shared" si="27"/>
        <v>3.3753485053446965</v>
      </c>
      <c r="O36" s="604">
        <f t="shared" si="27"/>
        <v>2.268758989431555</v>
      </c>
      <c r="P36" s="604">
        <f t="shared" si="27"/>
        <v>1.7926346401987976</v>
      </c>
      <c r="Q36" s="604">
        <f t="shared" si="27"/>
        <v>2.7580558778401563</v>
      </c>
      <c r="R36" s="604">
        <f t="shared" si="27"/>
        <v>2.1888536581472389</v>
      </c>
      <c r="S36" s="604">
        <f t="shared" si="27"/>
        <v>1.5129934521845314</v>
      </c>
      <c r="T36" s="604">
        <f t="shared" si="27"/>
        <v>0.9740828058698896</v>
      </c>
    </row>
    <row r="38" spans="1:20" x14ac:dyDescent="0.3">
      <c r="A38" s="211" t="s">
        <v>2548</v>
      </c>
      <c r="B38" s="226">
        <f>B22/B26</f>
        <v>0.55223644929064541</v>
      </c>
      <c r="D38" s="226">
        <f>D22/D26</f>
        <v>0.78704941556887642</v>
      </c>
      <c r="F38" s="226">
        <f>F22/F26</f>
        <v>0.52974086634702033</v>
      </c>
      <c r="G38" s="226">
        <f t="shared" ref="G38:T38" si="28">G22/G26</f>
        <v>0.60415483618608756</v>
      </c>
      <c r="H38" s="226">
        <f t="shared" si="28"/>
        <v>0.69459730738687042</v>
      </c>
      <c r="I38" s="226">
        <f t="shared" si="28"/>
        <v>0.7065425743853716</v>
      </c>
      <c r="J38" s="226">
        <f t="shared" si="28"/>
        <v>0.63437204419866644</v>
      </c>
      <c r="K38" s="226">
        <f t="shared" si="28"/>
        <v>0.54802315440495863</v>
      </c>
      <c r="L38" s="226">
        <f t="shared" si="28"/>
        <v>0.51530174018101838</v>
      </c>
      <c r="M38" s="226">
        <f t="shared" si="28"/>
        <v>0.48755702874342088</v>
      </c>
      <c r="N38" s="226">
        <f t="shared" si="28"/>
        <v>0.53096974982432465</v>
      </c>
      <c r="O38" s="226">
        <f t="shared" si="28"/>
        <v>0.52772892056115783</v>
      </c>
      <c r="P38" s="226">
        <f t="shared" si="28"/>
        <v>0.61798683323501868</v>
      </c>
      <c r="Q38" s="226">
        <f t="shared" si="28"/>
        <v>0.58983539326514123</v>
      </c>
      <c r="R38" s="226">
        <f t="shared" si="28"/>
        <v>0.66732918544564024</v>
      </c>
      <c r="S38" s="226">
        <f t="shared" si="28"/>
        <v>0.63567735554162441</v>
      </c>
      <c r="T38" s="226">
        <f t="shared" si="28"/>
        <v>0.58681826949091331</v>
      </c>
    </row>
  </sheetData>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D2E5-915C-4791-B51A-9AFA1B8C40DD}">
  <sheetPr>
    <tabColor theme="0" tint="-0.34998626667073579"/>
  </sheetPr>
  <dimension ref="A1:S39"/>
  <sheetViews>
    <sheetView workbookViewId="0">
      <pane xSplit="1" ySplit="5" topLeftCell="B24" activePane="bottomRight" state="frozen"/>
      <selection activeCell="G19" sqref="G19"/>
      <selection pane="topRight" activeCell="G19" sqref="G19"/>
      <selection pane="bottomLeft" activeCell="G19" sqref="G19"/>
      <selection pane="bottomRight" activeCell="G19" sqref="G19"/>
    </sheetView>
  </sheetViews>
  <sheetFormatPr defaultColWidth="9.109375" defaultRowHeight="15.6" x14ac:dyDescent="0.3"/>
  <cols>
    <col min="1" max="1" width="25.6640625" style="211" customWidth="1"/>
    <col min="2" max="2" width="10.33203125" style="211" bestFit="1" customWidth="1"/>
    <col min="3" max="3" width="12" style="211" customWidth="1"/>
    <col min="4" max="16384" width="9.109375" style="211"/>
  </cols>
  <sheetData>
    <row r="1" spans="1:19" s="1632" customFormat="1" x14ac:dyDescent="0.3">
      <c r="A1" s="1632" t="s">
        <v>556</v>
      </c>
      <c r="B1" s="1632">
        <v>1969</v>
      </c>
      <c r="C1" s="1632">
        <v>1968</v>
      </c>
      <c r="D1" s="1632">
        <v>1967</v>
      </c>
      <c r="E1" s="1632">
        <v>1966</v>
      </c>
      <c r="F1" s="1632">
        <v>1965</v>
      </c>
      <c r="G1" s="1632">
        <v>1964</v>
      </c>
      <c r="H1" s="1632">
        <v>1963</v>
      </c>
      <c r="I1" s="1632">
        <v>1962</v>
      </c>
      <c r="J1" s="1632">
        <v>1961</v>
      </c>
      <c r="K1" s="1632">
        <v>1960</v>
      </c>
      <c r="L1" s="1632">
        <v>1959</v>
      </c>
      <c r="M1" s="1632">
        <v>1959</v>
      </c>
    </row>
    <row r="2" spans="1:19" x14ac:dyDescent="0.3">
      <c r="A2" s="459" t="s">
        <v>2497</v>
      </c>
    </row>
    <row r="3" spans="1:19" x14ac:dyDescent="0.3">
      <c r="A3" s="152" t="s">
        <v>2522</v>
      </c>
    </row>
    <row r="4" spans="1:19" ht="8.25" customHeight="1" x14ac:dyDescent="0.3"/>
    <row r="5" spans="1:19" x14ac:dyDescent="0.3">
      <c r="A5" s="211" t="s">
        <v>1250</v>
      </c>
      <c r="B5" s="884">
        <v>1969</v>
      </c>
      <c r="C5" s="884">
        <v>1968</v>
      </c>
      <c r="D5" s="884">
        <v>1967</v>
      </c>
      <c r="E5" s="884">
        <v>1966</v>
      </c>
      <c r="F5" s="884">
        <v>1965</v>
      </c>
      <c r="G5" s="884">
        <v>1964</v>
      </c>
      <c r="H5" s="884">
        <v>1963</v>
      </c>
      <c r="I5" s="884">
        <v>1962</v>
      </c>
      <c r="J5" s="884">
        <v>1961</v>
      </c>
      <c r="K5" s="884">
        <v>1960</v>
      </c>
      <c r="L5" s="884">
        <v>1959</v>
      </c>
      <c r="M5" s="884">
        <v>1958</v>
      </c>
      <c r="N5" s="884"/>
      <c r="O5" s="884"/>
      <c r="P5" s="884"/>
      <c r="Q5" s="884"/>
      <c r="R5" s="884"/>
      <c r="S5" s="884"/>
    </row>
    <row r="6" spans="1:19" x14ac:dyDescent="0.3">
      <c r="A6" s="211" t="s">
        <v>975</v>
      </c>
      <c r="B6" s="211">
        <v>3767.7719999999999</v>
      </c>
      <c r="C6" s="211">
        <v>2780.5</v>
      </c>
      <c r="D6" s="211">
        <v>1841.0519999999999</v>
      </c>
      <c r="E6" s="211">
        <v>469.072</v>
      </c>
      <c r="F6" s="211">
        <v>338.22328900000002</v>
      </c>
      <c r="G6" s="211">
        <v>324.183537</v>
      </c>
      <c r="H6" s="211">
        <v>331.294377</v>
      </c>
      <c r="I6" s="211">
        <v>326.02997499999998</v>
      </c>
      <c r="J6" s="211">
        <v>193.73048199999999</v>
      </c>
      <c r="K6" s="211">
        <v>148.447484</v>
      </c>
      <c r="L6" s="211">
        <v>48.086784999999999</v>
      </c>
    </row>
    <row r="7" spans="1:19" x14ac:dyDescent="0.3">
      <c r="A7" s="211" t="s">
        <v>1703</v>
      </c>
      <c r="B7" s="211">
        <f>B6/B28</f>
        <v>1.6818023155641295</v>
      </c>
      <c r="C7" s="211">
        <f>C6/C28</f>
        <v>2.0199723357142445</v>
      </c>
      <c r="D7" s="211">
        <f>D6/D28</f>
        <v>4.3811726742484272</v>
      </c>
      <c r="E7" s="211">
        <f>E6/E28</f>
        <v>2.6212903443549802</v>
      </c>
      <c r="F7" s="211">
        <f t="shared" ref="F7:O7" si="0">F6/F28</f>
        <v>2.9697692946682999</v>
      </c>
      <c r="G7" s="211">
        <f t="shared" si="0"/>
        <v>3.8834909483411852</v>
      </c>
      <c r="H7" s="211">
        <f t="shared" si="0"/>
        <v>3.1673197665633284</v>
      </c>
      <c r="I7" s="211">
        <f t="shared" si="0"/>
        <v>2.5278138728084327</v>
      </c>
      <c r="J7" s="211">
        <f t="shared" si="0"/>
        <v>1.919952671743318</v>
      </c>
      <c r="K7" s="211">
        <f t="shared" si="0"/>
        <v>3.1868653324992171</v>
      </c>
      <c r="L7" s="211">
        <f t="shared" si="0"/>
        <v>2.9774694393472481</v>
      </c>
      <c r="M7" s="211" t="e">
        <f t="shared" si="0"/>
        <v>#DIV/0!</v>
      </c>
      <c r="N7" s="211" t="e">
        <f t="shared" si="0"/>
        <v>#DIV/0!</v>
      </c>
      <c r="O7" s="211" t="e">
        <f t="shared" si="0"/>
        <v>#DIV/0!</v>
      </c>
    </row>
    <row r="8" spans="1:19" x14ac:dyDescent="0.3">
      <c r="A8" s="211" t="s">
        <v>1097</v>
      </c>
      <c r="B8" s="211">
        <f>-1.369+122.642</f>
        <v>121.273</v>
      </c>
      <c r="C8" s="211">
        <f>47.235+67.367</f>
        <v>114.602</v>
      </c>
      <c r="D8" s="211">
        <f>76.16+17.742</f>
        <v>93.902000000000001</v>
      </c>
      <c r="E8" s="211">
        <f>30.327+5.5</f>
        <v>35.826999999999998</v>
      </c>
      <c r="F8" s="211">
        <f>11.533093+3.783476</f>
        <v>15.316568999999999</v>
      </c>
      <c r="G8" s="211">
        <f>9.024031+3.154155</f>
        <v>12.178186</v>
      </c>
      <c r="H8" s="211">
        <f>10.352957+4.639357</f>
        <v>14.992314</v>
      </c>
      <c r="I8" s="211">
        <f>8.796824+5.82049</f>
        <v>14.617314</v>
      </c>
      <c r="J8" s="211">
        <f>14.526897+3.732306</f>
        <v>18.259202999999999</v>
      </c>
      <c r="K8" s="211">
        <f>5.737132+1.281201</f>
        <v>7.0183330000000002</v>
      </c>
      <c r="L8" s="211">
        <f>3.119734</f>
        <v>3.1197339999999998</v>
      </c>
    </row>
    <row r="9" spans="1:19" x14ac:dyDescent="0.3">
      <c r="A9" s="211" t="s">
        <v>1993</v>
      </c>
      <c r="B9" s="227">
        <f>B8/B6</f>
        <v>3.2186926385142201E-2</v>
      </c>
      <c r="C9" s="227">
        <f t="shared" ref="C9:P9" si="1">C8/C6</f>
        <v>4.1216327998561411E-2</v>
      </c>
      <c r="D9" s="227">
        <f t="shared" si="1"/>
        <v>5.1004534364048386E-2</v>
      </c>
      <c r="E9" s="227">
        <f t="shared" si="1"/>
        <v>7.6378466418801375E-2</v>
      </c>
      <c r="F9" s="227">
        <f t="shared" si="1"/>
        <v>4.5285376548981515E-2</v>
      </c>
      <c r="G9" s="227">
        <f t="shared" si="1"/>
        <v>3.7565713893731749E-2</v>
      </c>
      <c r="H9" s="227">
        <f t="shared" si="1"/>
        <v>4.5253753280575605E-2</v>
      </c>
      <c r="I9" s="227">
        <f t="shared" si="1"/>
        <v>4.4834264088754419E-2</v>
      </c>
      <c r="J9" s="227">
        <f t="shared" si="1"/>
        <v>9.4250542359152339E-2</v>
      </c>
      <c r="K9" s="227">
        <f t="shared" si="1"/>
        <v>4.7278221300133316E-2</v>
      </c>
      <c r="L9" s="227">
        <f t="shared" si="1"/>
        <v>6.4877159078112617E-2</v>
      </c>
      <c r="M9" s="227" t="e">
        <f t="shared" si="1"/>
        <v>#DIV/0!</v>
      </c>
      <c r="N9" s="227" t="e">
        <f t="shared" si="1"/>
        <v>#DIV/0!</v>
      </c>
      <c r="O9" s="227" t="e">
        <f t="shared" si="1"/>
        <v>#DIV/0!</v>
      </c>
      <c r="P9" s="227" t="e">
        <f t="shared" si="1"/>
        <v>#DIV/0!</v>
      </c>
    </row>
    <row r="10" spans="1:19" x14ac:dyDescent="0.3">
      <c r="A10" s="211" t="s">
        <v>1563</v>
      </c>
      <c r="B10" s="227">
        <f>B7*B9</f>
        <v>5.4132047325424329E-2</v>
      </c>
      <c r="C10" s="227">
        <f>C7*C9</f>
        <v>8.32558423368185E-2</v>
      </c>
      <c r="D10" s="227">
        <f>D7*D9</f>
        <v>0.22345967221853366</v>
      </c>
      <c r="E10" s="227">
        <f t="shared" ref="E10:O10" si="2">E7*E9</f>
        <v>0.20021013654024514</v>
      </c>
      <c r="F10" s="227">
        <f t="shared" si="2"/>
        <v>0.1344871207726572</v>
      </c>
      <c r="G10" s="227">
        <f t="shared" si="2"/>
        <v>0.14588610987428194</v>
      </c>
      <c r="H10" s="227">
        <f t="shared" si="2"/>
        <v>0.14333310727674717</v>
      </c>
      <c r="I10" s="227">
        <f t="shared" si="2"/>
        <v>0.11333267474071035</v>
      </c>
      <c r="J10" s="227">
        <f t="shared" si="2"/>
        <v>0.18095658061571129</v>
      </c>
      <c r="K10" s="227">
        <f t="shared" si="2"/>
        <v>0.15066932444362094</v>
      </c>
      <c r="L10" s="227">
        <f t="shared" si="2"/>
        <v>0.19316975846675019</v>
      </c>
      <c r="M10" s="227" t="e">
        <f t="shared" si="2"/>
        <v>#DIV/0!</v>
      </c>
      <c r="N10" s="227" t="e">
        <f t="shared" si="2"/>
        <v>#DIV/0!</v>
      </c>
      <c r="O10" s="227" t="e">
        <f t="shared" si="2"/>
        <v>#DIV/0!</v>
      </c>
    </row>
    <row r="12" spans="1:19" x14ac:dyDescent="0.3">
      <c r="A12" s="211" t="s">
        <v>293</v>
      </c>
    </row>
    <row r="13" spans="1:19" x14ac:dyDescent="0.3">
      <c r="A13" s="211" t="s">
        <v>979</v>
      </c>
    </row>
    <row r="14" spans="1:19" x14ac:dyDescent="0.3">
      <c r="A14" s="211" t="s">
        <v>391</v>
      </c>
    </row>
    <row r="15" spans="1:19" x14ac:dyDescent="0.3">
      <c r="A15" s="211" t="s">
        <v>99</v>
      </c>
      <c r="B15" s="211">
        <v>-38.293999999999997</v>
      </c>
      <c r="C15" s="211">
        <v>36.332000000000001</v>
      </c>
      <c r="D15" s="211">
        <v>34.003</v>
      </c>
      <c r="E15" s="211">
        <v>13.683</v>
      </c>
      <c r="F15" s="211">
        <v>5.9836520000000002</v>
      </c>
      <c r="G15" s="211">
        <v>4.9035970000000004</v>
      </c>
      <c r="H15" s="211">
        <v>6.1868090000000002</v>
      </c>
      <c r="I15" s="211">
        <v>8.6500690000000002</v>
      </c>
      <c r="J15" s="211">
        <f>-13.158591</f>
        <v>-13.158590999999999</v>
      </c>
      <c r="K15" s="211">
        <v>3.0511720000000002</v>
      </c>
      <c r="L15" s="211">
        <v>1.866466</v>
      </c>
    </row>
    <row r="18" spans="1:16" x14ac:dyDescent="0.3">
      <c r="A18" s="211" t="s">
        <v>2499</v>
      </c>
    </row>
    <row r="21" spans="1:16" x14ac:dyDescent="0.3">
      <c r="A21" s="320" t="s">
        <v>2520</v>
      </c>
      <c r="B21" s="884">
        <f>B5</f>
        <v>1969</v>
      </c>
      <c r="C21" s="884">
        <f t="shared" ref="C21:P21" si="3">C5</f>
        <v>1968</v>
      </c>
      <c r="D21" s="884">
        <f t="shared" si="3"/>
        <v>1967</v>
      </c>
      <c r="E21" s="884">
        <f t="shared" si="3"/>
        <v>1966</v>
      </c>
      <c r="F21" s="884">
        <f t="shared" si="3"/>
        <v>1965</v>
      </c>
      <c r="G21" s="884">
        <f t="shared" si="3"/>
        <v>1964</v>
      </c>
      <c r="H21" s="884">
        <f t="shared" si="3"/>
        <v>1963</v>
      </c>
      <c r="I21" s="884">
        <f t="shared" si="3"/>
        <v>1962</v>
      </c>
      <c r="J21" s="884">
        <f t="shared" si="3"/>
        <v>1961</v>
      </c>
      <c r="K21" s="884">
        <f t="shared" si="3"/>
        <v>1960</v>
      </c>
      <c r="L21" s="884">
        <f t="shared" si="3"/>
        <v>1959</v>
      </c>
      <c r="M21" s="884">
        <f t="shared" si="3"/>
        <v>1958</v>
      </c>
      <c r="N21" s="884">
        <f t="shared" si="3"/>
        <v>0</v>
      </c>
      <c r="O21" s="884">
        <f t="shared" si="3"/>
        <v>0</v>
      </c>
      <c r="P21" s="884">
        <f t="shared" si="3"/>
        <v>0</v>
      </c>
    </row>
    <row r="22" spans="1:16" x14ac:dyDescent="0.3">
      <c r="A22" s="211" t="s">
        <v>746</v>
      </c>
      <c r="B22" s="211">
        <f>268.174+234.419</f>
        <v>502.59299999999996</v>
      </c>
      <c r="C22" s="211">
        <f>175.453+355.751</f>
        <v>531.20399999999995</v>
      </c>
      <c r="D22" s="211">
        <f>245.39+51.343</f>
        <v>296.733</v>
      </c>
      <c r="E22" s="211">
        <f>58.906+13.377</f>
        <v>72.283000000000001</v>
      </c>
      <c r="F22" s="211">
        <f>30.534053+1.528581</f>
        <v>32.062634000000003</v>
      </c>
      <c r="G22" s="211">
        <f>28.56215+0.99591</f>
        <v>29.558059999999998</v>
      </c>
      <c r="H22" s="211">
        <f>32.861815+0</f>
        <v>32.861815</v>
      </c>
      <c r="I22" s="211">
        <f>26.655718</f>
        <v>26.655718</v>
      </c>
      <c r="J22" s="211">
        <f>17.916594+0.679077</f>
        <v>18.595670999999999</v>
      </c>
      <c r="K22" s="211">
        <v>28.532955999999999</v>
      </c>
      <c r="L22" s="211">
        <v>9.7926090000000006</v>
      </c>
      <c r="M22" s="211">
        <v>6.1017419999999998</v>
      </c>
    </row>
    <row r="23" spans="1:16" x14ac:dyDescent="0.3">
      <c r="A23" s="211" t="s">
        <v>2015</v>
      </c>
      <c r="B23" s="211">
        <f>1500.792+30.908+358.394</f>
        <v>1890.0939999999998</v>
      </c>
      <c r="C23" s="211">
        <f>1236.693+5.835+413.97</f>
        <v>1656.498</v>
      </c>
      <c r="D23" s="211">
        <f>205.1+4.893+165.17</f>
        <v>375.16300000000001</v>
      </c>
      <c r="E23" s="211">
        <f>95.773+2.683+47.64</f>
        <v>146.096</v>
      </c>
      <c r="F23" s="211">
        <f>40.273674+0.310659+15.95+57</f>
        <v>113.534333</v>
      </c>
      <c r="G23" s="211">
        <f>37.012401+0.167324+21.7</f>
        <v>58.879724999999993</v>
      </c>
      <c r="H23" s="211">
        <f>34.591553+0.06324+16.8</f>
        <v>51.454792999999995</v>
      </c>
      <c r="I23" s="211">
        <f>64.198617+0.474324+39</f>
        <v>103.67294099999999</v>
      </c>
      <c r="J23" s="211">
        <f>64.948003+0.523568+48.6</f>
        <v>114.07157100000001</v>
      </c>
      <c r="K23" s="211">
        <f>14.639132+1.067157+29.34</f>
        <v>45.046289000000002</v>
      </c>
      <c r="L23" s="211">
        <f>7.61392+0.217293+0.0625+7.200988</f>
        <v>15.094701000000001</v>
      </c>
      <c r="M23" s="211">
        <f>3.27225+0.056264+0.03825+1.385202</f>
        <v>4.7519660000000004</v>
      </c>
    </row>
    <row r="24" spans="1:16" x14ac:dyDescent="0.3">
      <c r="A24" s="211" t="s">
        <v>346</v>
      </c>
      <c r="B24" s="211">
        <f>-31.659</f>
        <v>-31.658999999999999</v>
      </c>
      <c r="C24" s="211">
        <f>-59.742</f>
        <v>-59.741999999999997</v>
      </c>
      <c r="D24" s="211">
        <f>-46.848</f>
        <v>-46.847999999999999</v>
      </c>
      <c r="E24" s="211">
        <f>-2.989</f>
        <v>-2.9889999999999999</v>
      </c>
      <c r="F24" s="211">
        <f>-3.093</f>
        <v>-3.093</v>
      </c>
      <c r="G24" s="211">
        <f>-3.164268</f>
        <v>-3.1642679999999999</v>
      </c>
      <c r="H24" s="211">
        <f>-2.635423</f>
        <v>-2.6354229999999998</v>
      </c>
      <c r="I24" s="211">
        <f>-2.814435</f>
        <v>-2.814435</v>
      </c>
      <c r="J24" s="211">
        <f>-2.227367</f>
        <v>-2.2273670000000001</v>
      </c>
      <c r="K24" s="211">
        <f>-2.21156</f>
        <v>-2.21156</v>
      </c>
      <c r="L24" s="211">
        <f>-3.092926</f>
        <v>-3.0929259999999998</v>
      </c>
      <c r="M24" s="211">
        <f>-0.347653</f>
        <v>-0.34765299999999999</v>
      </c>
    </row>
    <row r="25" spans="1:16" x14ac:dyDescent="0.3">
      <c r="A25" s="211" t="s">
        <v>2500</v>
      </c>
      <c r="B25" s="211">
        <f>-8.352</f>
        <v>-8.3520000000000003</v>
      </c>
      <c r="C25" s="211">
        <v>0</v>
      </c>
      <c r="D25" s="211">
        <f>0</f>
        <v>0</v>
      </c>
      <c r="E25" s="211">
        <v>0</v>
      </c>
      <c r="F25" s="211">
        <v>0</v>
      </c>
      <c r="G25" s="211">
        <v>0</v>
      </c>
      <c r="H25" s="211">
        <v>0</v>
      </c>
      <c r="I25" s="211">
        <v>0</v>
      </c>
      <c r="J25" s="211">
        <v>0</v>
      </c>
      <c r="K25" s="211">
        <v>0</v>
      </c>
      <c r="L25" s="211">
        <v>0</v>
      </c>
      <c r="M25" s="211">
        <v>0</v>
      </c>
    </row>
    <row r="26" spans="1:16" x14ac:dyDescent="0.3">
      <c r="A26" s="211" t="s">
        <v>1099</v>
      </c>
      <c r="B26" s="848">
        <f>SUM(B22:B25)</f>
        <v>2352.6759999999999</v>
      </c>
      <c r="C26" s="848">
        <f>SUM(C22:C25)</f>
        <v>2127.96</v>
      </c>
      <c r="D26" s="848">
        <f>SUM(D22:D25)</f>
        <v>625.048</v>
      </c>
      <c r="E26" s="848">
        <f>SUM(E22:E25)</f>
        <v>215.39000000000001</v>
      </c>
      <c r="F26" s="848">
        <f t="shared" ref="F26:P26" si="4">SUM(F22:F25)</f>
        <v>142.50396700000002</v>
      </c>
      <c r="G26" s="848">
        <f t="shared" si="4"/>
        <v>85.273516999999998</v>
      </c>
      <c r="H26" s="848">
        <f t="shared" si="4"/>
        <v>81.681184999999999</v>
      </c>
      <c r="I26" s="848">
        <f t="shared" si="4"/>
        <v>127.51422399999998</v>
      </c>
      <c r="J26" s="848">
        <f t="shared" si="4"/>
        <v>130.43987500000003</v>
      </c>
      <c r="K26" s="848">
        <f t="shared" si="4"/>
        <v>71.367684999999994</v>
      </c>
      <c r="L26" s="848">
        <f t="shared" si="4"/>
        <v>21.794384000000001</v>
      </c>
      <c r="M26" s="848">
        <f t="shared" si="4"/>
        <v>10.506055000000002</v>
      </c>
      <c r="N26" s="848">
        <f t="shared" si="4"/>
        <v>0</v>
      </c>
      <c r="O26" s="848">
        <f t="shared" si="4"/>
        <v>0</v>
      </c>
      <c r="P26" s="848">
        <f t="shared" si="4"/>
        <v>0</v>
      </c>
    </row>
    <row r="28" spans="1:16" x14ac:dyDescent="0.3">
      <c r="A28" s="211" t="s">
        <v>575</v>
      </c>
      <c r="B28" s="211">
        <f t="shared" ref="B28:L28" si="5">AVERAGE(B26:C26)</f>
        <v>2240.3180000000002</v>
      </c>
      <c r="C28" s="211">
        <f t="shared" si="5"/>
        <v>1376.5039999999999</v>
      </c>
      <c r="D28" s="211">
        <f t="shared" si="5"/>
        <v>420.21899999999999</v>
      </c>
      <c r="E28" s="211">
        <f t="shared" si="5"/>
        <v>178.94698350000002</v>
      </c>
      <c r="F28" s="211">
        <f t="shared" si="5"/>
        <v>113.88874200000001</v>
      </c>
      <c r="G28" s="211">
        <f t="shared" si="5"/>
        <v>83.477350999999999</v>
      </c>
      <c r="H28" s="211">
        <f t="shared" si="5"/>
        <v>104.59770449999999</v>
      </c>
      <c r="I28" s="211">
        <f t="shared" si="5"/>
        <v>128.97704950000002</v>
      </c>
      <c r="J28" s="211">
        <f t="shared" si="5"/>
        <v>100.90378000000001</v>
      </c>
      <c r="K28" s="211">
        <f t="shared" si="5"/>
        <v>46.581034500000001</v>
      </c>
      <c r="L28" s="211">
        <f t="shared" si="5"/>
        <v>16.150219500000002</v>
      </c>
    </row>
    <row r="30" spans="1:16" x14ac:dyDescent="0.3">
      <c r="D30" s="211" t="s">
        <v>2521</v>
      </c>
    </row>
    <row r="31" spans="1:16" x14ac:dyDescent="0.3">
      <c r="A31" s="211" t="s">
        <v>2501</v>
      </c>
      <c r="B31" s="211">
        <v>2.423759</v>
      </c>
      <c r="C31" s="211">
        <v>2.0717530000000002</v>
      </c>
      <c r="D31" s="211">
        <v>4.669276</v>
      </c>
      <c r="E31" s="211">
        <v>1.9360900000000001</v>
      </c>
      <c r="F31" s="211">
        <v>1.76461</v>
      </c>
      <c r="G31" s="211">
        <v>1.849982</v>
      </c>
      <c r="H31" s="211">
        <v>2.824722</v>
      </c>
      <c r="I31" s="211">
        <v>2.7835999999999999</v>
      </c>
      <c r="J31" s="211">
        <v>2.775185</v>
      </c>
      <c r="K31" s="211">
        <v>2.5530979999999999</v>
      </c>
      <c r="L31" s="211">
        <v>1.6108199999999999</v>
      </c>
      <c r="M31" s="211">
        <v>1.362628</v>
      </c>
    </row>
    <row r="33" spans="1:16" x14ac:dyDescent="0.3">
      <c r="A33" s="211" t="s">
        <v>2502</v>
      </c>
      <c r="B33" s="604">
        <f>B22/B31</f>
        <v>207.3609628680079</v>
      </c>
      <c r="C33" s="604">
        <f t="shared" ref="C33:P33" si="6">C22/C31</f>
        <v>256.40315230628357</v>
      </c>
      <c r="D33" s="604">
        <f t="shared" si="6"/>
        <v>63.5501092674753</v>
      </c>
      <c r="E33" s="604">
        <f>E22/E31</f>
        <v>37.334524738002884</v>
      </c>
      <c r="F33" s="604">
        <f t="shared" si="6"/>
        <v>18.169813159848353</v>
      </c>
      <c r="G33" s="604">
        <f t="shared" si="6"/>
        <v>15.977485186342353</v>
      </c>
      <c r="H33" s="604">
        <f t="shared" si="6"/>
        <v>11.633645718056503</v>
      </c>
      <c r="I33" s="604">
        <f t="shared" si="6"/>
        <v>9.5759872108061508</v>
      </c>
      <c r="J33" s="604">
        <f t="shared" si="6"/>
        <v>6.7006959896367269</v>
      </c>
      <c r="K33" s="604">
        <f t="shared" si="6"/>
        <v>11.175816987832038</v>
      </c>
      <c r="L33" s="604">
        <f t="shared" si="6"/>
        <v>6.0792695645695991</v>
      </c>
      <c r="M33" s="604">
        <f t="shared" si="6"/>
        <v>4.4779220741097348</v>
      </c>
      <c r="N33" s="604" t="e">
        <f t="shared" si="6"/>
        <v>#DIV/0!</v>
      </c>
      <c r="O33" s="604" t="e">
        <f t="shared" si="6"/>
        <v>#DIV/0!</v>
      </c>
      <c r="P33" s="604" t="e">
        <f t="shared" si="6"/>
        <v>#DIV/0!</v>
      </c>
    </row>
    <row r="34" spans="1:16" x14ac:dyDescent="0.3">
      <c r="A34" s="211" t="s">
        <v>2503</v>
      </c>
      <c r="B34" s="604">
        <f>B13/B31</f>
        <v>0</v>
      </c>
      <c r="C34" s="604">
        <f>C13/C31</f>
        <v>0</v>
      </c>
      <c r="D34" s="604">
        <f t="shared" ref="D34:P34" si="7">D13/D31</f>
        <v>0</v>
      </c>
      <c r="E34" s="604">
        <f>E13/E31</f>
        <v>0</v>
      </c>
      <c r="F34" s="604">
        <f t="shared" si="7"/>
        <v>0</v>
      </c>
      <c r="G34" s="604">
        <f t="shared" si="7"/>
        <v>0</v>
      </c>
      <c r="H34" s="604">
        <f t="shared" si="7"/>
        <v>0</v>
      </c>
      <c r="I34" s="604">
        <f t="shared" si="7"/>
        <v>0</v>
      </c>
      <c r="J34" s="604">
        <f t="shared" si="7"/>
        <v>0</v>
      </c>
      <c r="K34" s="604">
        <f t="shared" si="7"/>
        <v>0</v>
      </c>
      <c r="L34" s="604">
        <f t="shared" si="7"/>
        <v>0</v>
      </c>
      <c r="M34" s="604">
        <f t="shared" si="7"/>
        <v>0</v>
      </c>
      <c r="N34" s="604" t="e">
        <f t="shared" si="7"/>
        <v>#DIV/0!</v>
      </c>
      <c r="O34" s="604" t="e">
        <f t="shared" si="7"/>
        <v>#DIV/0!</v>
      </c>
      <c r="P34" s="604" t="e">
        <f t="shared" si="7"/>
        <v>#DIV/0!</v>
      </c>
    </row>
    <row r="36" spans="1:16" x14ac:dyDescent="0.3">
      <c r="A36" s="211" t="s">
        <v>2504</v>
      </c>
      <c r="B36" s="604">
        <f>B15/B31</f>
        <v>-15.799425602958049</v>
      </c>
      <c r="C36" s="604">
        <f t="shared" ref="C36:P36" si="8">C15/C31</f>
        <v>17.536839574987944</v>
      </c>
      <c r="D36" s="604">
        <f t="shared" si="8"/>
        <v>7.2822853050451508</v>
      </c>
      <c r="E36" s="604">
        <f>E15/E31</f>
        <v>7.0673367457091354</v>
      </c>
      <c r="F36" s="604">
        <f t="shared" si="8"/>
        <v>3.3909203733402848</v>
      </c>
      <c r="G36" s="604">
        <f t="shared" si="8"/>
        <v>2.6506187627771514</v>
      </c>
      <c r="H36" s="604">
        <f t="shared" si="8"/>
        <v>2.1902364197255517</v>
      </c>
      <c r="I36" s="604">
        <f t="shared" si="8"/>
        <v>3.1075114959045842</v>
      </c>
      <c r="J36" s="604">
        <f t="shared" si="8"/>
        <v>-4.7415184933617036</v>
      </c>
      <c r="K36" s="604">
        <f t="shared" si="8"/>
        <v>1.1950861267370074</v>
      </c>
      <c r="L36" s="604">
        <f t="shared" si="8"/>
        <v>1.158705504029004</v>
      </c>
      <c r="M36" s="604">
        <f t="shared" si="8"/>
        <v>0</v>
      </c>
      <c r="N36" s="604" t="e">
        <f t="shared" si="8"/>
        <v>#DIV/0!</v>
      </c>
      <c r="O36" s="604" t="e">
        <f t="shared" si="8"/>
        <v>#DIV/0!</v>
      </c>
      <c r="P36" s="604" t="e">
        <f t="shared" si="8"/>
        <v>#DIV/0!</v>
      </c>
    </row>
    <row r="39" spans="1:16" x14ac:dyDescent="0.3">
      <c r="A39" s="211" t="s">
        <v>2549</v>
      </c>
      <c r="B39" s="226">
        <f>B22/B26</f>
        <v>0.21362610066154455</v>
      </c>
      <c r="C39" s="226">
        <f t="shared" ref="C39:M39" si="9">C22/C26</f>
        <v>0.24963063215473971</v>
      </c>
      <c r="D39" s="226">
        <f t="shared" si="9"/>
        <v>0.47473634024906886</v>
      </c>
      <c r="E39" s="226">
        <f t="shared" si="9"/>
        <v>0.33559125307581594</v>
      </c>
      <c r="F39" s="226">
        <f t="shared" si="9"/>
        <v>0.22499467681485666</v>
      </c>
      <c r="G39" s="226">
        <f t="shared" si="9"/>
        <v>0.3466264913173453</v>
      </c>
      <c r="H39" s="226">
        <f t="shared" si="9"/>
        <v>0.40231804913212266</v>
      </c>
      <c r="I39" s="226">
        <f t="shared" si="9"/>
        <v>0.20904113410908576</v>
      </c>
      <c r="J39" s="226">
        <f t="shared" si="9"/>
        <v>0.14256124517138641</v>
      </c>
      <c r="K39" s="226">
        <f t="shared" si="9"/>
        <v>0.39980217937572166</v>
      </c>
      <c r="L39" s="226">
        <f t="shared" si="9"/>
        <v>0.44931799861835969</v>
      </c>
      <c r="M39" s="226">
        <f t="shared" si="9"/>
        <v>0.58078336730580593</v>
      </c>
    </row>
  </sheetData>
  <pageMargins left="0.7" right="0.7" top="0.75" bottom="0.75" header="0.3" footer="0.3"/>
  <pageSetup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E77D-D621-44DA-BD1F-959477EA9BF3}">
  <sheetPr>
    <tabColor theme="0" tint="-0.34998626667073579"/>
  </sheetPr>
  <dimension ref="A1:S39"/>
  <sheetViews>
    <sheetView workbookViewId="0">
      <pane xSplit="1" ySplit="5" topLeftCell="B6" activePane="bottomRight" state="frozen"/>
      <selection activeCell="G19" sqref="G19"/>
      <selection pane="topRight" activeCell="G19" sqref="G19"/>
      <selection pane="bottomLeft" activeCell="G19" sqref="G19"/>
      <selection pane="bottomRight" activeCell="B18" sqref="B18"/>
    </sheetView>
  </sheetViews>
  <sheetFormatPr defaultColWidth="9.109375" defaultRowHeight="15.6" x14ac:dyDescent="0.3"/>
  <cols>
    <col min="1" max="1" width="25.6640625" style="211" customWidth="1"/>
    <col min="2" max="2" width="10.33203125" style="211" bestFit="1" customWidth="1"/>
    <col min="3" max="3" width="12" style="211" customWidth="1"/>
    <col min="4" max="16384" width="9.109375" style="211"/>
  </cols>
  <sheetData>
    <row r="1" spans="1:19" s="1632" customFormat="1" x14ac:dyDescent="0.3">
      <c r="A1" s="1632" t="s">
        <v>556</v>
      </c>
      <c r="B1" s="1632">
        <v>1970</v>
      </c>
      <c r="C1" s="1632">
        <v>1969</v>
      </c>
      <c r="D1" s="1632">
        <v>1968</v>
      </c>
      <c r="E1" s="1632">
        <v>1967</v>
      </c>
      <c r="F1" s="1632">
        <v>1966</v>
      </c>
      <c r="G1" s="1632">
        <v>1965</v>
      </c>
      <c r="H1" s="1632">
        <v>1964</v>
      </c>
      <c r="I1" s="1632">
        <v>1963</v>
      </c>
      <c r="J1" s="1632">
        <v>1962</v>
      </c>
      <c r="K1" s="1632">
        <v>1961</v>
      </c>
      <c r="L1" s="1632">
        <v>1960</v>
      </c>
      <c r="M1" s="1632">
        <v>1959</v>
      </c>
      <c r="N1" s="1632">
        <v>1959</v>
      </c>
    </row>
    <row r="2" spans="1:19" x14ac:dyDescent="0.3">
      <c r="A2" s="459" t="s">
        <v>2497</v>
      </c>
    </row>
    <row r="3" spans="1:19" x14ac:dyDescent="0.3">
      <c r="A3" s="152" t="s">
        <v>2523</v>
      </c>
    </row>
    <row r="4" spans="1:19" ht="8.25" customHeight="1" x14ac:dyDescent="0.3"/>
    <row r="5" spans="1:19" x14ac:dyDescent="0.3">
      <c r="A5" s="211" t="s">
        <v>1250</v>
      </c>
      <c r="B5" s="884">
        <v>1970</v>
      </c>
      <c r="C5" s="884">
        <v>1969</v>
      </c>
      <c r="D5" s="884">
        <v>1968</v>
      </c>
      <c r="E5" s="884">
        <v>1967</v>
      </c>
      <c r="F5" s="884">
        <v>1966</v>
      </c>
      <c r="G5" s="884">
        <v>1965</v>
      </c>
      <c r="H5" s="884">
        <v>1964</v>
      </c>
      <c r="I5" s="884">
        <v>1963</v>
      </c>
      <c r="J5" s="884">
        <v>1962</v>
      </c>
      <c r="K5" s="884">
        <v>1961</v>
      </c>
      <c r="L5" s="884">
        <v>1960</v>
      </c>
      <c r="M5" s="884">
        <v>1959</v>
      </c>
      <c r="N5" s="884">
        <v>1958</v>
      </c>
      <c r="O5" s="884">
        <v>1957</v>
      </c>
      <c r="P5" s="884"/>
      <c r="Q5" s="884"/>
      <c r="R5" s="884"/>
      <c r="S5" s="884"/>
    </row>
    <row r="6" spans="1:19" x14ac:dyDescent="0.3">
      <c r="A6" s="211" t="s">
        <v>975</v>
      </c>
      <c r="B6" s="211">
        <v>1671.3910000000001</v>
      </c>
      <c r="C6" s="211">
        <v>1613.204</v>
      </c>
      <c r="D6" s="211">
        <v>1336.4623650000001</v>
      </c>
      <c r="E6" s="211">
        <v>656.62095399999998</v>
      </c>
      <c r="F6" s="211">
        <v>317.53300000000002</v>
      </c>
      <c r="G6" s="211">
        <v>182.07873699999999</v>
      </c>
      <c r="H6" s="211">
        <v>117.246439</v>
      </c>
      <c r="I6" s="211">
        <v>92.536867999999998</v>
      </c>
      <c r="J6" s="211">
        <v>65.646164999999996</v>
      </c>
      <c r="K6" s="211">
        <v>33.835385000000002</v>
      </c>
      <c r="L6" s="211">
        <v>24.046600000000002</v>
      </c>
      <c r="M6" s="211">
        <v>15.376575000000001</v>
      </c>
      <c r="N6" s="211">
        <v>8.394755</v>
      </c>
    </row>
    <row r="7" spans="1:19" x14ac:dyDescent="0.3">
      <c r="A7" s="211" t="s">
        <v>1703</v>
      </c>
      <c r="B7" s="211">
        <f>B6/B28</f>
        <v>1.2724688380874798</v>
      </c>
      <c r="C7" s="211">
        <f>C6/C28</f>
        <v>1.277327814793608</v>
      </c>
      <c r="D7" s="211">
        <f>D6/D28</f>
        <v>1.5592948595179978</v>
      </c>
      <c r="E7" s="211">
        <f>E6/E28</f>
        <v>1.7969729014392515</v>
      </c>
      <c r="F7" s="211">
        <f t="shared" ref="F7:O7" si="0">F6/F28</f>
        <v>2.0051920741687859</v>
      </c>
      <c r="G7" s="211">
        <f t="shared" si="0"/>
        <v>2.8484259263561338</v>
      </c>
      <c r="H7" s="211">
        <f t="shared" si="0"/>
        <v>2.7247433112172348</v>
      </c>
      <c r="I7" s="211">
        <f t="shared" si="0"/>
        <v>2.9043381606433636</v>
      </c>
      <c r="J7" s="211">
        <f t="shared" si="0"/>
        <v>2.8915304833348916</v>
      </c>
      <c r="K7" s="211">
        <f t="shared" si="0"/>
        <v>2.5211623219614698</v>
      </c>
      <c r="L7" s="211">
        <f t="shared" si="0"/>
        <v>3.3859582831792157</v>
      </c>
      <c r="M7" s="211">
        <f t="shared" si="0"/>
        <v>3.3984494270248629</v>
      </c>
      <c r="N7" s="211" t="e">
        <f t="shared" si="0"/>
        <v>#DIV/0!</v>
      </c>
      <c r="O7" s="211" t="e">
        <f t="shared" si="0"/>
        <v>#DIV/0!</v>
      </c>
    </row>
    <row r="8" spans="1:19" x14ac:dyDescent="0.3">
      <c r="A8" s="211" t="s">
        <v>1097</v>
      </c>
      <c r="B8" s="211">
        <f>129.654</f>
        <v>129.654</v>
      </c>
      <c r="C8" s="211">
        <v>119.69</v>
      </c>
      <c r="D8" s="211">
        <f>69.842154+33.9+2.883081+26.757291</f>
        <v>133.38252600000001</v>
      </c>
      <c r="E8" s="211">
        <f>46.198826+25.875+1.581089+11.523034</f>
        <v>85.177948999999998</v>
      </c>
      <c r="F8" s="211">
        <f>20.116571+10.025052+1.259612+7.270189</f>
        <v>38.671424000000002</v>
      </c>
      <c r="G8" s="211">
        <f>10.014632+1.861757</f>
        <v>11.876389000000001</v>
      </c>
      <c r="H8" s="211">
        <f>6.005785+0.9559</f>
        <v>6.9616850000000001</v>
      </c>
      <c r="I8" s="211">
        <f>5.154951+0.677765+0.058622</f>
        <v>5.8913379999999993</v>
      </c>
      <c r="J8" s="211">
        <f>3.282425+0.056821+0.359359</f>
        <v>3.6986049999999997</v>
      </c>
      <c r="K8" s="211">
        <f>1.521685+0.189393+0.027545</f>
        <v>1.7386229999999998</v>
      </c>
      <c r="L8" s="211">
        <f>0.80929+0.134842</f>
        <v>0.94413199999999997</v>
      </c>
      <c r="M8" s="211">
        <f>0.675472</f>
        <v>0.67547199999999996</v>
      </c>
      <c r="N8" s="211">
        <v>8.2820000000000005E-2</v>
      </c>
    </row>
    <row r="9" spans="1:19" x14ac:dyDescent="0.3">
      <c r="A9" s="211" t="s">
        <v>1993</v>
      </c>
      <c r="B9" s="227">
        <f>B8/B6</f>
        <v>7.7572512954778378E-2</v>
      </c>
      <c r="C9" s="227">
        <f t="shared" ref="C9:P9" si="1">C8/C6</f>
        <v>7.4193964309535565E-2</v>
      </c>
      <c r="D9" s="227">
        <f t="shared" si="1"/>
        <v>9.9802680189950588E-2</v>
      </c>
      <c r="E9" s="227">
        <f t="shared" si="1"/>
        <v>0.12972164302877243</v>
      </c>
      <c r="F9" s="227">
        <f t="shared" si="1"/>
        <v>0.1217871024428957</v>
      </c>
      <c r="G9" s="227">
        <f t="shared" si="1"/>
        <v>6.5226666197712044E-2</v>
      </c>
      <c r="H9" s="227">
        <f t="shared" si="1"/>
        <v>5.9376515477796307E-2</v>
      </c>
      <c r="I9" s="227">
        <f t="shared" si="1"/>
        <v>6.366476548568728E-2</v>
      </c>
      <c r="J9" s="227">
        <f t="shared" si="1"/>
        <v>5.6341524291632264E-2</v>
      </c>
      <c r="K9" s="227">
        <f t="shared" si="1"/>
        <v>5.1384755929332553E-2</v>
      </c>
      <c r="L9" s="227">
        <f t="shared" si="1"/>
        <v>3.9262598454667182E-2</v>
      </c>
      <c r="M9" s="227">
        <f t="shared" si="1"/>
        <v>4.3928638204541647E-2</v>
      </c>
      <c r="N9" s="227">
        <f t="shared" si="1"/>
        <v>9.8656839895863557E-3</v>
      </c>
      <c r="O9" s="227" t="e">
        <f t="shared" si="1"/>
        <v>#DIV/0!</v>
      </c>
      <c r="P9" s="227" t="e">
        <f t="shared" si="1"/>
        <v>#DIV/0!</v>
      </c>
    </row>
    <row r="10" spans="1:19" x14ac:dyDescent="0.3">
      <c r="A10" s="211" t="s">
        <v>1563</v>
      </c>
      <c r="B10" s="227">
        <f>B7*B9</f>
        <v>9.870860542709281E-2</v>
      </c>
      <c r="C10" s="227">
        <f>C7*C9</f>
        <v>9.4770014302374014E-2</v>
      </c>
      <c r="D10" s="227">
        <f>D7*D9</f>
        <v>0.15562180618630866</v>
      </c>
      <c r="E10" s="227">
        <f t="shared" ref="E10:O10" si="2">E7*E9</f>
        <v>0.23310627725288005</v>
      </c>
      <c r="F10" s="227">
        <f t="shared" si="2"/>
        <v>0.24420653255447644</v>
      </c>
      <c r="G10" s="227">
        <f t="shared" si="2"/>
        <v>0.18579332708734025</v>
      </c>
      <c r="H10" s="227">
        <f t="shared" si="2"/>
        <v>0.1617857633915121</v>
      </c>
      <c r="I10" s="227">
        <f t="shared" si="2"/>
        <v>0.18490400788849209</v>
      </c>
      <c r="J10" s="227">
        <f t="shared" si="2"/>
        <v>0.16291323496680798</v>
      </c>
      <c r="K10" s="227">
        <f t="shared" si="2"/>
        <v>0.12954931057221947</v>
      </c>
      <c r="L10" s="227">
        <f t="shared" si="2"/>
        <v>0.13294152045671981</v>
      </c>
      <c r="M10" s="227">
        <f t="shared" si="2"/>
        <v>0.14928925533620707</v>
      </c>
      <c r="N10" s="227" t="e">
        <f t="shared" si="2"/>
        <v>#DIV/0!</v>
      </c>
      <c r="O10" s="227" t="e">
        <f t="shared" si="2"/>
        <v>#DIV/0!</v>
      </c>
    </row>
    <row r="12" spans="1:19" x14ac:dyDescent="0.3">
      <c r="A12" s="211" t="s">
        <v>293</v>
      </c>
    </row>
    <row r="13" spans="1:19" x14ac:dyDescent="0.3">
      <c r="A13" s="211" t="s">
        <v>979</v>
      </c>
    </row>
    <row r="14" spans="1:19" x14ac:dyDescent="0.3">
      <c r="A14" s="211" t="s">
        <v>391</v>
      </c>
    </row>
    <row r="15" spans="1:19" x14ac:dyDescent="0.3">
      <c r="A15" s="211" t="s">
        <v>99</v>
      </c>
      <c r="B15" s="211">
        <v>44.771000000000001</v>
      </c>
      <c r="C15" s="211">
        <v>72.05</v>
      </c>
      <c r="D15" s="211">
        <v>69.842153999999994</v>
      </c>
      <c r="E15" s="211">
        <v>46.198825999999997</v>
      </c>
      <c r="F15" s="211">
        <v>20.116571</v>
      </c>
      <c r="G15" s="211">
        <v>5.5143979999999999</v>
      </c>
      <c r="H15" s="211">
        <v>3.457589</v>
      </c>
      <c r="I15" s="211">
        <v>2.6333160000000002</v>
      </c>
      <c r="J15" s="211">
        <v>1.7666770000000001</v>
      </c>
      <c r="K15" s="211">
        <v>1.002297</v>
      </c>
      <c r="L15" s="211">
        <v>0.43268699999999999</v>
      </c>
      <c r="M15" s="211">
        <v>0.31632500000000002</v>
      </c>
      <c r="N15" s="211">
        <v>2.666E-2</v>
      </c>
    </row>
    <row r="18" spans="1:16" x14ac:dyDescent="0.3">
      <c r="A18" s="211" t="s">
        <v>2499</v>
      </c>
    </row>
    <row r="21" spans="1:16" x14ac:dyDescent="0.3">
      <c r="A21" s="320" t="s">
        <v>2520</v>
      </c>
      <c r="B21" s="884">
        <f>B5</f>
        <v>1970</v>
      </c>
      <c r="C21" s="884">
        <f t="shared" ref="C21:P21" si="3">C5</f>
        <v>1969</v>
      </c>
      <c r="D21" s="884">
        <f t="shared" si="3"/>
        <v>1968</v>
      </c>
      <c r="E21" s="884">
        <f t="shared" si="3"/>
        <v>1967</v>
      </c>
      <c r="F21" s="884">
        <f t="shared" si="3"/>
        <v>1966</v>
      </c>
      <c r="G21" s="884">
        <f t="shared" si="3"/>
        <v>1965</v>
      </c>
      <c r="H21" s="884">
        <f t="shared" si="3"/>
        <v>1964</v>
      </c>
      <c r="I21" s="884">
        <f t="shared" si="3"/>
        <v>1963</v>
      </c>
      <c r="J21" s="884">
        <f t="shared" si="3"/>
        <v>1962</v>
      </c>
      <c r="K21" s="884">
        <f t="shared" si="3"/>
        <v>1961</v>
      </c>
      <c r="L21" s="884">
        <f t="shared" si="3"/>
        <v>1960</v>
      </c>
      <c r="M21" s="884">
        <f t="shared" si="3"/>
        <v>1959</v>
      </c>
      <c r="N21" s="884">
        <f t="shared" si="3"/>
        <v>1958</v>
      </c>
      <c r="O21" s="884">
        <f t="shared" si="3"/>
        <v>1957</v>
      </c>
      <c r="P21" s="884">
        <f t="shared" si="3"/>
        <v>0</v>
      </c>
    </row>
    <row r="22" spans="1:16" x14ac:dyDescent="0.3">
      <c r="A22" s="211" t="s">
        <v>746</v>
      </c>
      <c r="B22" s="211">
        <f>580.346+46.74</f>
        <v>627.08600000000001</v>
      </c>
      <c r="C22" s="211">
        <f>590.066+54.869</f>
        <v>644.93500000000006</v>
      </c>
      <c r="D22" s="211">
        <f>537.873626+56.416025</f>
        <v>594.28965099999994</v>
      </c>
      <c r="E22" s="211">
        <f>229.244748+19.882222</f>
        <v>249.12696999999997</v>
      </c>
      <c r="F22" s="211">
        <f>107.576433+0</f>
        <v>107.57643299999999</v>
      </c>
      <c r="G22" s="211">
        <f>37.251301+0</f>
        <v>37.251300999999998</v>
      </c>
      <c r="H22" s="211">
        <v>29.614778999999999</v>
      </c>
      <c r="I22" s="211">
        <f>20.55199+0.111549</f>
        <v>20.663539</v>
      </c>
      <c r="J22" s="211">
        <f>15.790093+0.111549</f>
        <v>15.901642000000001</v>
      </c>
      <c r="K22" s="211">
        <f>10.38116+0.112509</f>
        <v>10.493668999999999</v>
      </c>
      <c r="L22" s="211">
        <v>5.9318460000000002</v>
      </c>
      <c r="M22" s="211">
        <v>3.4122490000000001</v>
      </c>
      <c r="N22" s="211">
        <v>2.2919170000000002</v>
      </c>
    </row>
    <row r="23" spans="1:16" x14ac:dyDescent="0.3">
      <c r="A23" s="211" t="s">
        <v>2015</v>
      </c>
      <c r="B23" s="211">
        <f>413.812+28.076+254.426</f>
        <v>696.31400000000008</v>
      </c>
      <c r="C23" s="211">
        <f>432.491+23.04+203.139</f>
        <v>658.67000000000007</v>
      </c>
      <c r="D23" s="211">
        <f>461.468412+13.794887+152.746491</f>
        <v>628.00979000000007</v>
      </c>
      <c r="E23" s="211">
        <f>185.274388+3.319752+54.167573</f>
        <v>242.76171299999999</v>
      </c>
      <c r="F23" s="211">
        <f>102.367065+0.801775+28.173897</f>
        <v>131.342737</v>
      </c>
      <c r="G23" s="211">
        <f>29.940448+2.465647+8.134241</f>
        <v>40.540335999999996</v>
      </c>
      <c r="H23" s="211">
        <f>11.526013+0.483282+0.937759+7.491692</f>
        <v>20.438746000000002</v>
      </c>
      <c r="I23" s="211">
        <f>8.519658+0.474087+0.266954+6.082776</f>
        <v>15.343475000000002</v>
      </c>
      <c r="J23" s="211">
        <f>6.899911+0.394788+0.791845+3.278005+0.45+0</f>
        <v>11.814549</v>
      </c>
      <c r="K23" s="211">
        <f>5.004673+0.687636+0.19909+0.854567+0.45</f>
        <v>7.1959660000000012</v>
      </c>
      <c r="L23" s="211">
        <f>1.798915+0.160645+0.13116+1.128899</f>
        <v>3.2196190000000002</v>
      </c>
      <c r="M23" s="211">
        <f>1.144927+0.495078</f>
        <v>1.6400049999999999</v>
      </c>
      <c r="N23" s="211">
        <f>1.24+0.465</f>
        <v>1.7050000000000001</v>
      </c>
    </row>
    <row r="24" spans="1:16" x14ac:dyDescent="0.3">
      <c r="A24" s="211" t="s">
        <v>346</v>
      </c>
    </row>
    <row r="25" spans="1:16" x14ac:dyDescent="0.3">
      <c r="A25" s="211" t="s">
        <v>2500</v>
      </c>
    </row>
    <row r="26" spans="1:16" x14ac:dyDescent="0.3">
      <c r="A26" s="211" t="s">
        <v>1099</v>
      </c>
      <c r="B26" s="848">
        <f>SUM(B22:B25)</f>
        <v>1323.4</v>
      </c>
      <c r="C26" s="848">
        <f>SUM(C22:C25)</f>
        <v>1303.605</v>
      </c>
      <c r="D26" s="848">
        <f>SUM(D22:D25)</f>
        <v>1222.2994410000001</v>
      </c>
      <c r="E26" s="848">
        <f>SUM(E22:E25)</f>
        <v>491.88868299999996</v>
      </c>
      <c r="F26" s="848">
        <f t="shared" ref="F26:P26" si="4">SUM(F22:F25)</f>
        <v>238.91917000000001</v>
      </c>
      <c r="G26" s="848">
        <f t="shared" si="4"/>
        <v>77.791636999999994</v>
      </c>
      <c r="H26" s="848">
        <f t="shared" si="4"/>
        <v>50.053525</v>
      </c>
      <c r="I26" s="848">
        <f t="shared" si="4"/>
        <v>36.007013999999998</v>
      </c>
      <c r="J26" s="848">
        <f t="shared" si="4"/>
        <v>27.716191000000002</v>
      </c>
      <c r="K26" s="848">
        <f t="shared" si="4"/>
        <v>17.689634999999999</v>
      </c>
      <c r="L26" s="848">
        <f t="shared" si="4"/>
        <v>9.151465</v>
      </c>
      <c r="M26" s="848">
        <f t="shared" si="4"/>
        <v>5.0522539999999996</v>
      </c>
      <c r="N26" s="848">
        <f t="shared" si="4"/>
        <v>3.9969170000000003</v>
      </c>
      <c r="O26" s="848">
        <f t="shared" si="4"/>
        <v>0</v>
      </c>
      <c r="P26" s="848">
        <f t="shared" si="4"/>
        <v>0</v>
      </c>
    </row>
    <row r="28" spans="1:16" x14ac:dyDescent="0.3">
      <c r="A28" s="211" t="s">
        <v>575</v>
      </c>
      <c r="B28" s="211">
        <f t="shared" ref="B28:K28" si="5">AVERAGE(B26:C26)</f>
        <v>1313.5025000000001</v>
      </c>
      <c r="C28" s="211">
        <f t="shared" si="5"/>
        <v>1262.9522205000001</v>
      </c>
      <c r="D28" s="211">
        <f t="shared" si="5"/>
        <v>857.09406200000001</v>
      </c>
      <c r="E28" s="211">
        <f t="shared" si="5"/>
        <v>365.40392650000001</v>
      </c>
      <c r="F28" s="211">
        <f t="shared" si="5"/>
        <v>158.35540349999999</v>
      </c>
      <c r="G28" s="211">
        <f t="shared" si="5"/>
        <v>63.922580999999994</v>
      </c>
      <c r="H28" s="211">
        <f t="shared" si="5"/>
        <v>43.030269500000003</v>
      </c>
      <c r="I28" s="211">
        <f t="shared" si="5"/>
        <v>31.8616025</v>
      </c>
      <c r="J28" s="211">
        <f t="shared" si="5"/>
        <v>22.702913000000002</v>
      </c>
      <c r="K28" s="211">
        <f t="shared" si="5"/>
        <v>13.420549999999999</v>
      </c>
      <c r="L28" s="211">
        <f t="shared" ref="L28:M28" si="6">AVERAGE(L26:M26)</f>
        <v>7.1018594999999998</v>
      </c>
      <c r="M28" s="211">
        <f t="shared" si="6"/>
        <v>4.5245854999999997</v>
      </c>
    </row>
    <row r="31" spans="1:16" x14ac:dyDescent="0.3">
      <c r="A31" s="211" t="s">
        <v>2501</v>
      </c>
      <c r="B31" s="211">
        <v>14.963691000000001</v>
      </c>
      <c r="C31" s="211">
        <v>16.309861000000001</v>
      </c>
      <c r="D31" s="211">
        <v>14.988318</v>
      </c>
      <c r="E31" s="211">
        <v>11.277514</v>
      </c>
      <c r="F31" s="211">
        <v>6.2363819999999999</v>
      </c>
      <c r="G31" s="211">
        <v>2.0824259999999999</v>
      </c>
      <c r="H31" s="211">
        <v>1.823637</v>
      </c>
      <c r="I31" s="211">
        <v>1.526375</v>
      </c>
      <c r="J31" s="211">
        <v>1.287577</v>
      </c>
      <c r="K31" s="211">
        <v>1.046154</v>
      </c>
      <c r="L31" s="211">
        <v>0.72145000000000004</v>
      </c>
      <c r="M31" s="211">
        <v>0.40560600000000002</v>
      </c>
      <c r="N31" s="211">
        <v>0.265262</v>
      </c>
    </row>
    <row r="33" spans="1:16" x14ac:dyDescent="0.3">
      <c r="A33" s="211" t="s">
        <v>2502</v>
      </c>
      <c r="B33" s="604">
        <f>B22/B31</f>
        <v>41.907173838326386</v>
      </c>
      <c r="C33" s="604">
        <f t="shared" ref="C33:P33" si="7">C22/C31</f>
        <v>39.542642331531823</v>
      </c>
      <c r="D33" s="604">
        <f t="shared" si="7"/>
        <v>39.6501896343539</v>
      </c>
      <c r="E33" s="604">
        <f>E22/E31</f>
        <v>22.090592838102438</v>
      </c>
      <c r="F33" s="604">
        <f t="shared" si="7"/>
        <v>17.249814555939647</v>
      </c>
      <c r="G33" s="604">
        <f t="shared" si="7"/>
        <v>17.88841524260646</v>
      </c>
      <c r="H33" s="604">
        <f t="shared" si="7"/>
        <v>16.239404552550756</v>
      </c>
      <c r="I33" s="604">
        <f t="shared" si="7"/>
        <v>13.537655556465481</v>
      </c>
      <c r="J33" s="604">
        <f t="shared" si="7"/>
        <v>12.350051297902962</v>
      </c>
      <c r="K33" s="604">
        <f t="shared" si="7"/>
        <v>10.030711539601242</v>
      </c>
      <c r="L33" s="604">
        <f t="shared" si="7"/>
        <v>8.2221165707949275</v>
      </c>
      <c r="M33" s="604">
        <f t="shared" si="7"/>
        <v>8.4127182536747487</v>
      </c>
      <c r="N33" s="604">
        <f t="shared" si="7"/>
        <v>8.6402010088139285</v>
      </c>
      <c r="O33" s="604" t="e">
        <f t="shared" si="7"/>
        <v>#DIV/0!</v>
      </c>
      <c r="P33" s="604" t="e">
        <f t="shared" si="7"/>
        <v>#DIV/0!</v>
      </c>
    </row>
    <row r="34" spans="1:16" x14ac:dyDescent="0.3">
      <c r="A34" s="211" t="s">
        <v>2503</v>
      </c>
      <c r="B34" s="604">
        <f>B13/B31</f>
        <v>0</v>
      </c>
      <c r="C34" s="604">
        <f>C13/C31</f>
        <v>0</v>
      </c>
      <c r="D34" s="604">
        <f t="shared" ref="D34:P34" si="8">D13/D31</f>
        <v>0</v>
      </c>
      <c r="E34" s="604">
        <f>E13/E31</f>
        <v>0</v>
      </c>
      <c r="F34" s="604">
        <f t="shared" si="8"/>
        <v>0</v>
      </c>
      <c r="G34" s="604">
        <f t="shared" si="8"/>
        <v>0</v>
      </c>
      <c r="H34" s="604">
        <f t="shared" si="8"/>
        <v>0</v>
      </c>
      <c r="I34" s="604">
        <f t="shared" si="8"/>
        <v>0</v>
      </c>
      <c r="J34" s="604">
        <f t="shared" si="8"/>
        <v>0</v>
      </c>
      <c r="K34" s="604">
        <f t="shared" si="8"/>
        <v>0</v>
      </c>
      <c r="L34" s="604">
        <f t="shared" si="8"/>
        <v>0</v>
      </c>
      <c r="M34" s="604">
        <f t="shared" si="8"/>
        <v>0</v>
      </c>
      <c r="N34" s="604">
        <f t="shared" si="8"/>
        <v>0</v>
      </c>
      <c r="O34" s="604" t="e">
        <f t="shared" si="8"/>
        <v>#DIV/0!</v>
      </c>
      <c r="P34" s="604" t="e">
        <f t="shared" si="8"/>
        <v>#DIV/0!</v>
      </c>
    </row>
    <row r="36" spans="1:16" x14ac:dyDescent="0.3">
      <c r="A36" s="211" t="s">
        <v>2504</v>
      </c>
      <c r="B36" s="604">
        <f>B15/B31</f>
        <v>2.9919757097363209</v>
      </c>
      <c r="C36" s="604">
        <f t="shared" ref="C36:P36" si="9">C15/C31</f>
        <v>4.4175729026752579</v>
      </c>
      <c r="D36" s="604">
        <f t="shared" si="9"/>
        <v>4.6597726309249641</v>
      </c>
      <c r="E36" s="604">
        <f>E15/E31</f>
        <v>4.0965434403362302</v>
      </c>
      <c r="F36" s="604">
        <f t="shared" si="9"/>
        <v>3.2256797290480281</v>
      </c>
      <c r="G36" s="604">
        <f t="shared" si="9"/>
        <v>2.648064324974813</v>
      </c>
      <c r="H36" s="604">
        <f t="shared" si="9"/>
        <v>1.8959853304138927</v>
      </c>
      <c r="I36" s="604">
        <f t="shared" si="9"/>
        <v>1.7252090737859309</v>
      </c>
      <c r="J36" s="604">
        <f t="shared" si="9"/>
        <v>1.3720942514505929</v>
      </c>
      <c r="K36" s="604">
        <f t="shared" si="9"/>
        <v>0.95807787381207732</v>
      </c>
      <c r="L36" s="604">
        <f t="shared" si="9"/>
        <v>0.59974634416799499</v>
      </c>
      <c r="M36" s="604">
        <f t="shared" si="9"/>
        <v>0.77988244749831115</v>
      </c>
      <c r="N36" s="604">
        <f t="shared" si="9"/>
        <v>0.10050440696368119</v>
      </c>
      <c r="O36" s="604" t="e">
        <f t="shared" si="9"/>
        <v>#DIV/0!</v>
      </c>
      <c r="P36" s="604" t="e">
        <f t="shared" si="9"/>
        <v>#DIV/0!</v>
      </c>
    </row>
    <row r="39" spans="1:16" x14ac:dyDescent="0.3">
      <c r="A39" s="211" t="s">
        <v>2549</v>
      </c>
      <c r="B39" s="226">
        <f>B22/B26</f>
        <v>0.47384464258727516</v>
      </c>
      <c r="C39" s="226">
        <f>C22/C26</f>
        <v>0.49473191649310955</v>
      </c>
      <c r="D39" s="226">
        <f t="shared" ref="D39:N39" si="10">D22/D26</f>
        <v>0.48620626915593906</v>
      </c>
      <c r="E39" s="226">
        <f t="shared" si="10"/>
        <v>0.50647022102763029</v>
      </c>
      <c r="F39" s="226">
        <f t="shared" si="10"/>
        <v>0.45026287760835598</v>
      </c>
      <c r="G39" s="226">
        <f t="shared" si="10"/>
        <v>0.47885997051328283</v>
      </c>
      <c r="H39" s="226">
        <f t="shared" si="10"/>
        <v>0.5916622056088956</v>
      </c>
      <c r="I39" s="226">
        <f t="shared" si="10"/>
        <v>0.57387538439038577</v>
      </c>
      <c r="J39" s="226">
        <f t="shared" si="10"/>
        <v>0.5737311450913295</v>
      </c>
      <c r="K39" s="226">
        <f t="shared" si="10"/>
        <v>0.59321003514204784</v>
      </c>
      <c r="L39" s="226">
        <f t="shared" si="10"/>
        <v>0.64818539982396262</v>
      </c>
      <c r="M39" s="226">
        <f t="shared" si="10"/>
        <v>0.67539141935460889</v>
      </c>
      <c r="N39" s="226">
        <f t="shared" si="10"/>
        <v>0.57342121440099958</v>
      </c>
    </row>
  </sheetData>
  <pageMargins left="0.7" right="0.7" top="0.75" bottom="0.75" header="0.3" footer="0.3"/>
  <pageSetup orientation="portrait" r:id="rId1"/>
  <drawing r:id="rId2"/>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9099A-1503-4D55-B745-21A57DA30D9B}">
  <sheetPr>
    <tabColor theme="0" tint="-0.34998626667073579"/>
  </sheetPr>
  <dimension ref="A1:W45"/>
  <sheetViews>
    <sheetView workbookViewId="0">
      <pane xSplit="1" ySplit="5" topLeftCell="B12" activePane="bottomRight" state="frozen"/>
      <selection activeCell="G19" sqref="G19"/>
      <selection pane="topRight" activeCell="G19" sqref="G19"/>
      <selection pane="bottomLeft" activeCell="G19" sqref="G19"/>
      <selection pane="bottomRight" activeCell="G19" sqref="G19"/>
    </sheetView>
  </sheetViews>
  <sheetFormatPr defaultColWidth="9.109375" defaultRowHeight="15.6" x14ac:dyDescent="0.3"/>
  <cols>
    <col min="1" max="2" width="25.6640625" style="211" customWidth="1"/>
    <col min="3" max="3" width="8" style="211" customWidth="1"/>
    <col min="4" max="4" width="14.88671875" style="211" customWidth="1"/>
    <col min="5" max="5" width="5.33203125" style="211" customWidth="1"/>
    <col min="6" max="6" width="10.33203125" style="211" bestFit="1" customWidth="1"/>
    <col min="7" max="7" width="12" style="211" customWidth="1"/>
    <col min="8" max="17" width="9.109375" style="211"/>
    <col min="18" max="18" width="12.44140625" style="211" bestFit="1" customWidth="1"/>
    <col min="19" max="16384" width="9.109375" style="211"/>
  </cols>
  <sheetData>
    <row r="1" spans="1:23" s="1632" customFormat="1" x14ac:dyDescent="0.3">
      <c r="A1" s="1632" t="s">
        <v>556</v>
      </c>
      <c r="B1" s="1632">
        <v>1989</v>
      </c>
      <c r="D1" s="1632">
        <v>1980</v>
      </c>
      <c r="F1" s="1632">
        <v>1970</v>
      </c>
      <c r="G1" s="1632">
        <v>1969</v>
      </c>
      <c r="H1" s="1632">
        <v>1968</v>
      </c>
      <c r="I1" s="1632">
        <v>1967</v>
      </c>
      <c r="J1" s="1632">
        <v>1967</v>
      </c>
      <c r="K1" s="1632">
        <v>1965</v>
      </c>
      <c r="L1" s="1632">
        <v>1964</v>
      </c>
      <c r="M1" s="1632">
        <v>1963</v>
      </c>
      <c r="N1" s="1632">
        <v>1962</v>
      </c>
      <c r="O1" s="1632">
        <v>1961</v>
      </c>
      <c r="P1" s="1632">
        <v>1960</v>
      </c>
      <c r="Q1" s="1632">
        <v>1959</v>
      </c>
      <c r="R1" s="1632">
        <v>1959</v>
      </c>
    </row>
    <row r="2" spans="1:23" x14ac:dyDescent="0.3">
      <c r="A2" s="459" t="s">
        <v>2497</v>
      </c>
      <c r="B2" s="459"/>
      <c r="C2" s="459"/>
      <c r="D2" s="459"/>
      <c r="E2" s="459"/>
    </row>
    <row r="3" spans="1:23" x14ac:dyDescent="0.3">
      <c r="A3" s="152" t="s">
        <v>2524</v>
      </c>
      <c r="B3" s="152"/>
      <c r="C3" s="152"/>
      <c r="D3" s="152"/>
      <c r="E3" s="152"/>
    </row>
    <row r="4" spans="1:23" ht="8.25" customHeight="1" x14ac:dyDescent="0.3"/>
    <row r="5" spans="1:23" x14ac:dyDescent="0.3">
      <c r="A5" s="211" t="s">
        <v>1250</v>
      </c>
      <c r="B5" s="211">
        <v>1989</v>
      </c>
      <c r="D5" s="211">
        <v>1979</v>
      </c>
      <c r="F5" s="884">
        <v>1970</v>
      </c>
      <c r="G5" s="884">
        <v>1969</v>
      </c>
      <c r="H5" s="884">
        <v>1968</v>
      </c>
      <c r="I5" s="884">
        <v>1967</v>
      </c>
      <c r="J5" s="884">
        <v>1966</v>
      </c>
      <c r="K5" s="884">
        <v>1965</v>
      </c>
      <c r="L5" s="884">
        <v>1964</v>
      </c>
      <c r="M5" s="884">
        <v>1963</v>
      </c>
      <c r="N5" s="884">
        <v>1962</v>
      </c>
      <c r="O5" s="884">
        <v>1961</v>
      </c>
      <c r="P5" s="884">
        <v>1960</v>
      </c>
      <c r="Q5" s="884">
        <v>1959</v>
      </c>
      <c r="R5" s="884">
        <v>1958</v>
      </c>
      <c r="S5" s="884">
        <v>1957</v>
      </c>
      <c r="T5" s="884"/>
      <c r="U5" s="884"/>
      <c r="V5" s="884"/>
      <c r="W5" s="884"/>
    </row>
    <row r="6" spans="1:23" x14ac:dyDescent="0.3">
      <c r="A6" s="211" t="s">
        <v>975</v>
      </c>
      <c r="B6" s="211">
        <v>20054</v>
      </c>
      <c r="D6" s="211">
        <v>17257.562999999998</v>
      </c>
      <c r="F6" s="211">
        <v>6364.4939999999997</v>
      </c>
      <c r="G6" s="211">
        <v>5474.7430000000004</v>
      </c>
      <c r="H6" s="211">
        <v>4066.502</v>
      </c>
      <c r="I6" s="211">
        <v>2760.5720000000001</v>
      </c>
      <c r="J6" s="211">
        <v>2613.6579999999999</v>
      </c>
      <c r="K6" s="211">
        <v>1782.9390000000001</v>
      </c>
      <c r="L6" s="211">
        <v>1542.0791099999999</v>
      </c>
      <c r="M6" s="211">
        <v>1414.146385</v>
      </c>
      <c r="N6" s="211">
        <v>1090.198359</v>
      </c>
      <c r="O6" s="211">
        <v>930.49993099999995</v>
      </c>
      <c r="P6" s="211">
        <v>811.44870700000001</v>
      </c>
      <c r="Q6" s="211">
        <v>765.63989600000002</v>
      </c>
      <c r="R6" s="211">
        <v>687.45144500000004</v>
      </c>
    </row>
    <row r="7" spans="1:23" x14ac:dyDescent="0.3">
      <c r="A7" s="211" t="s">
        <v>1703</v>
      </c>
      <c r="B7" s="356">
        <f>B6/B26</f>
        <v>1.6857767316745125</v>
      </c>
      <c r="D7" s="356">
        <f>D6/D26</f>
        <v>2.0053546812528982</v>
      </c>
      <c r="F7" s="211">
        <f>F6/F28</f>
        <v>1.392805266075952</v>
      </c>
      <c r="G7" s="211">
        <f>G6/G28</f>
        <v>1.5816595724580707</v>
      </c>
      <c r="H7" s="211">
        <f>H6/H28</f>
        <v>1.5236961519431378</v>
      </c>
      <c r="I7" s="211">
        <f>I6/I28</f>
        <v>1.2370775706500527</v>
      </c>
      <c r="J7" s="211">
        <f t="shared" ref="J7:S7" si="0">J6/J28</f>
        <v>1.4233175807623315</v>
      </c>
      <c r="K7" s="211">
        <f t="shared" si="0"/>
        <v>1.3290404127649373</v>
      </c>
      <c r="L7" s="211">
        <f t="shared" si="0"/>
        <v>1.3883524031924637</v>
      </c>
      <c r="M7" s="211">
        <f t="shared" si="0"/>
        <v>1.4591975961335175</v>
      </c>
      <c r="N7" s="211">
        <f t="shared" si="0"/>
        <v>1.2907808069172428</v>
      </c>
      <c r="O7" s="211">
        <f t="shared" si="0"/>
        <v>1.2673713893177221</v>
      </c>
      <c r="P7" s="211">
        <f t="shared" si="0"/>
        <v>1.1913475014353323</v>
      </c>
      <c r="Q7" s="211">
        <f t="shared" si="0"/>
        <v>1.1332395453300057</v>
      </c>
      <c r="R7" s="211" t="e">
        <f t="shared" si="0"/>
        <v>#DIV/0!</v>
      </c>
      <c r="S7" s="211" t="e">
        <f t="shared" si="0"/>
        <v>#DIV/0!</v>
      </c>
    </row>
    <row r="8" spans="1:23" x14ac:dyDescent="0.3">
      <c r="A8" s="211" t="s">
        <v>1097</v>
      </c>
      <c r="B8" s="211">
        <v>1302</v>
      </c>
      <c r="D8" s="211">
        <v>1556.0630000000001</v>
      </c>
      <c r="F8" s="211">
        <f>671.952</f>
        <v>671.952</v>
      </c>
      <c r="G8" s="211">
        <f>464.103</f>
        <v>464.10300000000001</v>
      </c>
      <c r="H8" s="211">
        <v>367.32799999999997</v>
      </c>
      <c r="I8" s="211">
        <v>260.20699999999999</v>
      </c>
      <c r="J8" s="211">
        <v>245.56899999999999</v>
      </c>
      <c r="K8" s="211">
        <v>168.86600000000001</v>
      </c>
      <c r="L8" s="211">
        <v>184.04822300000001</v>
      </c>
      <c r="M8" s="211">
        <f>156.928043</f>
        <v>156.928043</v>
      </c>
      <c r="N8" s="211">
        <f>111.255436</f>
        <v>111.255436</v>
      </c>
      <c r="O8" s="211">
        <f>38.824434+54.133285+17.338197</f>
        <v>110.29591600000001</v>
      </c>
      <c r="P8" s="211">
        <f>121.179988-14.02269-25.066309</f>
        <v>82.090988999999993</v>
      </c>
      <c r="Q8" s="211">
        <f>119.877275-15.026512-27.43326</f>
        <v>77.417502999999996</v>
      </c>
      <c r="R8" s="211">
        <f>109.965713-15.559234-24.51614</f>
        <v>69.890338999999983</v>
      </c>
    </row>
    <row r="9" spans="1:23" x14ac:dyDescent="0.3">
      <c r="A9" s="211" t="s">
        <v>1993</v>
      </c>
      <c r="B9" s="227">
        <f>B8/B6</f>
        <v>6.4924703301087058E-2</v>
      </c>
      <c r="D9" s="227">
        <f>D8/D6</f>
        <v>9.0167018367541249E-2</v>
      </c>
      <c r="F9" s="227">
        <f>F8/F6</f>
        <v>0.10557822821421468</v>
      </c>
      <c r="G9" s="227">
        <f t="shared" ref="G9:T9" si="1">G8/G6</f>
        <v>8.4771650468341619E-2</v>
      </c>
      <c r="H9" s="227">
        <f t="shared" si="1"/>
        <v>9.0330215010345494E-2</v>
      </c>
      <c r="I9" s="227">
        <f t="shared" si="1"/>
        <v>9.4258363846333293E-2</v>
      </c>
      <c r="J9" s="227">
        <f t="shared" si="1"/>
        <v>9.3956056989858663E-2</v>
      </c>
      <c r="K9" s="227">
        <f t="shared" si="1"/>
        <v>9.4712157847239867E-2</v>
      </c>
      <c r="L9" s="227">
        <f t="shared" si="1"/>
        <v>0.11935070114528691</v>
      </c>
      <c r="M9" s="227">
        <f t="shared" si="1"/>
        <v>0.11097015462087399</v>
      </c>
      <c r="N9" s="227">
        <f t="shared" si="1"/>
        <v>0.10205063608979438</v>
      </c>
      <c r="O9" s="227">
        <f t="shared" si="1"/>
        <v>0.11853403995577515</v>
      </c>
      <c r="P9" s="227">
        <f t="shared" si="1"/>
        <v>0.10116596192937183</v>
      </c>
      <c r="Q9" s="227">
        <f t="shared" si="1"/>
        <v>0.10111477132325403</v>
      </c>
      <c r="R9" s="227">
        <f t="shared" si="1"/>
        <v>0.10166585510631952</v>
      </c>
      <c r="S9" s="227" t="e">
        <f t="shared" si="1"/>
        <v>#DIV/0!</v>
      </c>
      <c r="T9" s="227" t="e">
        <f t="shared" si="1"/>
        <v>#DIV/0!</v>
      </c>
    </row>
    <row r="10" spans="1:23" x14ac:dyDescent="0.3">
      <c r="A10" s="211" t="s">
        <v>1563</v>
      </c>
      <c r="B10" s="227">
        <f>B7*B9</f>
        <v>0.10944855413584398</v>
      </c>
      <c r="D10" s="227">
        <f>D7*D9</f>
        <v>0.18081685237796491</v>
      </c>
      <c r="F10" s="227">
        <f>F7*F9</f>
        <v>0.14704991223972685</v>
      </c>
      <c r="G10" s="227">
        <f>G7*G9</f>
        <v>0.13407989243632221</v>
      </c>
      <c r="H10" s="227">
        <f>H7*H9</f>
        <v>0.13763580101545969</v>
      </c>
      <c r="I10" s="227">
        <f t="shared" ref="I10:S10" si="2">I7*I9</f>
        <v>0.11660490776047075</v>
      </c>
      <c r="J10" s="227">
        <f t="shared" si="2"/>
        <v>0.13372930773277339</v>
      </c>
      <c r="K10" s="227">
        <f t="shared" si="2"/>
        <v>0.12587628535915357</v>
      </c>
      <c r="L10" s="227">
        <f t="shared" si="2"/>
        <v>0.16570083275776462</v>
      </c>
      <c r="M10" s="227">
        <f t="shared" si="2"/>
        <v>0.16192738286534408</v>
      </c>
      <c r="N10" s="227">
        <f t="shared" si="2"/>
        <v>0.13172500239840271</v>
      </c>
      <c r="O10" s="227">
        <f t="shared" si="2"/>
        <v>0.15022665090019313</v>
      </c>
      <c r="P10" s="227">
        <f t="shared" si="2"/>
        <v>0.12052381597485907</v>
      </c>
      <c r="Q10" s="227">
        <f t="shared" si="2"/>
        <v>0.11458725748051189</v>
      </c>
      <c r="R10" s="227" t="e">
        <f t="shared" si="2"/>
        <v>#DIV/0!</v>
      </c>
      <c r="S10" s="227" t="e">
        <f t="shared" si="2"/>
        <v>#DIV/0!</v>
      </c>
    </row>
    <row r="12" spans="1:23" x14ac:dyDescent="0.3">
      <c r="A12" s="211" t="s">
        <v>293</v>
      </c>
    </row>
    <row r="13" spans="1:23" x14ac:dyDescent="0.3">
      <c r="A13" s="211" t="s">
        <v>979</v>
      </c>
    </row>
    <row r="14" spans="1:23" x14ac:dyDescent="0.3">
      <c r="A14" s="211" t="s">
        <v>391</v>
      </c>
    </row>
    <row r="15" spans="1:23" x14ac:dyDescent="0.3">
      <c r="A15" s="211" t="s">
        <v>99</v>
      </c>
      <c r="B15" s="211">
        <v>922</v>
      </c>
      <c r="D15" s="211">
        <v>894.32600000000002</v>
      </c>
      <c r="F15" s="211">
        <v>353.30700000000002</v>
      </c>
      <c r="G15" s="211">
        <v>234.03399999999999</v>
      </c>
      <c r="H15" s="211">
        <v>192.404</v>
      </c>
      <c r="I15" s="211">
        <v>122.76</v>
      </c>
      <c r="J15" s="211">
        <v>105.479</v>
      </c>
      <c r="K15" s="211">
        <v>76.11</v>
      </c>
      <c r="L15" s="211">
        <v>63.164071999999997</v>
      </c>
      <c r="M15" s="211">
        <v>52.374938999999998</v>
      </c>
      <c r="N15" s="211">
        <v>40.693849999999998</v>
      </c>
      <c r="O15" s="211">
        <v>43.679034000000001</v>
      </c>
      <c r="P15" s="211">
        <v>38.471969999999999</v>
      </c>
      <c r="Q15" s="211">
        <v>29.035688</v>
      </c>
      <c r="R15" s="211">
        <v>26.600168</v>
      </c>
    </row>
    <row r="18" spans="1:20" x14ac:dyDescent="0.3">
      <c r="A18" s="211" t="s">
        <v>2499</v>
      </c>
    </row>
    <row r="21" spans="1:20" x14ac:dyDescent="0.3">
      <c r="A21" s="320" t="s">
        <v>2520</v>
      </c>
      <c r="B21" s="884">
        <f>B5</f>
        <v>1989</v>
      </c>
      <c r="C21" s="320"/>
      <c r="D21" s="884">
        <f>D5</f>
        <v>1979</v>
      </c>
      <c r="E21" s="320"/>
      <c r="F21" s="884">
        <f>F5</f>
        <v>1970</v>
      </c>
      <c r="G21" s="884">
        <f t="shared" ref="G21:T21" si="3">G5</f>
        <v>1969</v>
      </c>
      <c r="H21" s="884">
        <f t="shared" si="3"/>
        <v>1968</v>
      </c>
      <c r="I21" s="884">
        <f t="shared" si="3"/>
        <v>1967</v>
      </c>
      <c r="J21" s="884">
        <f t="shared" si="3"/>
        <v>1966</v>
      </c>
      <c r="K21" s="884">
        <f t="shared" si="3"/>
        <v>1965</v>
      </c>
      <c r="L21" s="884">
        <f t="shared" si="3"/>
        <v>1964</v>
      </c>
      <c r="M21" s="884">
        <f t="shared" si="3"/>
        <v>1963</v>
      </c>
      <c r="N21" s="884">
        <f t="shared" si="3"/>
        <v>1962</v>
      </c>
      <c r="O21" s="884">
        <f t="shared" si="3"/>
        <v>1961</v>
      </c>
      <c r="P21" s="884">
        <f t="shared" si="3"/>
        <v>1960</v>
      </c>
      <c r="Q21" s="884">
        <f t="shared" si="3"/>
        <v>1959</v>
      </c>
      <c r="R21" s="884">
        <f t="shared" si="3"/>
        <v>1958</v>
      </c>
      <c r="S21" s="884">
        <f t="shared" si="3"/>
        <v>1957</v>
      </c>
      <c r="T21" s="884">
        <f t="shared" si="3"/>
        <v>0</v>
      </c>
    </row>
    <row r="22" spans="1:20" x14ac:dyDescent="0.3">
      <c r="A22" s="211" t="s">
        <v>746</v>
      </c>
      <c r="B22" s="211">
        <v>8057</v>
      </c>
      <c r="D22" s="211">
        <v>5634.8829999999998</v>
      </c>
      <c r="F22" s="211">
        <f>2823.628+113.3</f>
        <v>2936.9280000000003</v>
      </c>
      <c r="G22" s="211">
        <f>2081.309</f>
        <v>2081.3090000000002</v>
      </c>
      <c r="H22" s="211">
        <f>1652.092+77.991</f>
        <v>1730.0830000000001</v>
      </c>
      <c r="I22" s="211">
        <f>1143.568+63.503</f>
        <v>1207.0709999999999</v>
      </c>
      <c r="J22" s="211">
        <f>951.338+57.493</f>
        <v>1008.831</v>
      </c>
      <c r="K22" s="211">
        <f>739.62+53.521</f>
        <v>793.14099999999996</v>
      </c>
      <c r="L22" s="211">
        <f>659.925389+45.913808</f>
        <v>705.83919700000001</v>
      </c>
      <c r="M22" s="211">
        <f>592.42873+45.479213</f>
        <v>637.90794299999993</v>
      </c>
      <c r="N22" s="211">
        <f>483.530642+41.89811</f>
        <v>525.42875200000003</v>
      </c>
      <c r="O22" s="211">
        <f>465.060954+35.04337</f>
        <v>500.10432399999996</v>
      </c>
      <c r="P22" s="211">
        <f>415.813828+24.405272</f>
        <v>440.21910000000003</v>
      </c>
      <c r="Q22" s="211">
        <f>415.088256+40.924168</f>
        <v>456.01242400000001</v>
      </c>
      <c r="R22" s="211">
        <f>395.738616+40.554653</f>
        <v>436.29326900000001</v>
      </c>
    </row>
    <row r="23" spans="1:20" x14ac:dyDescent="0.3">
      <c r="A23" s="211" t="s">
        <v>2015</v>
      </c>
      <c r="B23" s="211">
        <f>3839</f>
        <v>3839</v>
      </c>
      <c r="D23" s="211">
        <f>2970.858</f>
        <v>2970.8580000000002</v>
      </c>
      <c r="F23" s="211">
        <f>1458.806+858.608</f>
        <v>2317.4139999999998</v>
      </c>
      <c r="G23" s="211">
        <f>1145.383+658.067</f>
        <v>1803.45</v>
      </c>
      <c r="H23" s="211">
        <f>931.772+376.169</f>
        <v>1307.941</v>
      </c>
      <c r="I23" s="211">
        <f>744.675+347.911</f>
        <v>1092.586</v>
      </c>
      <c r="J23" s="211">
        <f>665.59+488.976</f>
        <v>1154.566</v>
      </c>
      <c r="K23" s="211">
        <f>428.134+287.956</f>
        <v>716.09</v>
      </c>
      <c r="L23" s="211">
        <f>309.79451+158.182374</f>
        <v>467.97688400000004</v>
      </c>
      <c r="M23" s="211">
        <f>293.408155+116.319819</f>
        <v>409.72797400000002</v>
      </c>
      <c r="N23" s="211">
        <f>266.815281+98.372126</f>
        <v>365.18740700000001</v>
      </c>
      <c r="O23" s="211">
        <f>182.50853+115.978563</f>
        <v>298.48709300000002</v>
      </c>
      <c r="P23" s="211">
        <f>148.477963+81.104982</f>
        <v>229.582945</v>
      </c>
      <c r="Q23" s="211">
        <f>165.512482+70.909854</f>
        <v>236.422336</v>
      </c>
      <c r="R23" s="211">
        <f>158.962645+63.550375</f>
        <v>222.51302000000001</v>
      </c>
    </row>
    <row r="24" spans="1:20" x14ac:dyDescent="0.3">
      <c r="A24" s="211" t="s">
        <v>346</v>
      </c>
      <c r="B24" s="211" t="s">
        <v>2536</v>
      </c>
    </row>
    <row r="25" spans="1:20" x14ac:dyDescent="0.3">
      <c r="A25" s="211" t="s">
        <v>2500</v>
      </c>
    </row>
    <row r="26" spans="1:20" x14ac:dyDescent="0.3">
      <c r="A26" s="211" t="s">
        <v>1099</v>
      </c>
      <c r="B26" s="848">
        <f>SUM(B22:B25)</f>
        <v>11896</v>
      </c>
      <c r="D26" s="848">
        <f>SUM(D22:D25)</f>
        <v>8605.741</v>
      </c>
      <c r="F26" s="848">
        <f>SUM(F22:F25)</f>
        <v>5254.3420000000006</v>
      </c>
      <c r="G26" s="848">
        <f>SUM(G22:G25)</f>
        <v>3884.759</v>
      </c>
      <c r="H26" s="848">
        <f>SUM(H22:H25)</f>
        <v>3038.0240000000003</v>
      </c>
      <c r="I26" s="848">
        <f>SUM(I22:I25)</f>
        <v>2299.6570000000002</v>
      </c>
      <c r="J26" s="848">
        <f t="shared" ref="J26:T26" si="4">SUM(J22:J25)</f>
        <v>2163.3969999999999</v>
      </c>
      <c r="K26" s="848">
        <f t="shared" si="4"/>
        <v>1509.231</v>
      </c>
      <c r="L26" s="848">
        <f t="shared" si="4"/>
        <v>1173.8160809999999</v>
      </c>
      <c r="M26" s="848">
        <f t="shared" si="4"/>
        <v>1047.6359170000001</v>
      </c>
      <c r="N26" s="848">
        <f t="shared" si="4"/>
        <v>890.61615900000004</v>
      </c>
      <c r="O26" s="848">
        <f t="shared" si="4"/>
        <v>798.59141699999998</v>
      </c>
      <c r="P26" s="848">
        <f t="shared" si="4"/>
        <v>669.80204500000002</v>
      </c>
      <c r="Q26" s="848">
        <f t="shared" si="4"/>
        <v>692.43475999999998</v>
      </c>
      <c r="R26" s="848">
        <f t="shared" si="4"/>
        <v>658.80628899999999</v>
      </c>
      <c r="S26" s="848">
        <f t="shared" si="4"/>
        <v>0</v>
      </c>
      <c r="T26" s="848">
        <f t="shared" si="4"/>
        <v>0</v>
      </c>
    </row>
    <row r="28" spans="1:20" x14ac:dyDescent="0.3">
      <c r="A28" s="211" t="s">
        <v>575</v>
      </c>
      <c r="F28" s="211">
        <f t="shared" ref="F28:J28" si="5">AVERAGE(F26:G26)</f>
        <v>4569.5505000000003</v>
      </c>
      <c r="G28" s="211">
        <f t="shared" si="5"/>
        <v>3461.3915000000002</v>
      </c>
      <c r="H28" s="211">
        <f t="shared" si="5"/>
        <v>2668.8405000000002</v>
      </c>
      <c r="I28" s="211">
        <f t="shared" si="5"/>
        <v>2231.527</v>
      </c>
      <c r="J28" s="211">
        <f t="shared" si="5"/>
        <v>1836.3139999999999</v>
      </c>
      <c r="K28" s="211">
        <f t="shared" ref="K28:Q28" si="6">AVERAGE(K26:L26)</f>
        <v>1341.5235404999999</v>
      </c>
      <c r="L28" s="211">
        <f t="shared" si="6"/>
        <v>1110.725999</v>
      </c>
      <c r="M28" s="211">
        <f t="shared" si="6"/>
        <v>969.12603800000011</v>
      </c>
      <c r="N28" s="211">
        <f t="shared" si="6"/>
        <v>844.60378800000001</v>
      </c>
      <c r="O28" s="211">
        <f t="shared" si="6"/>
        <v>734.196731</v>
      </c>
      <c r="P28" s="211">
        <f t="shared" si="6"/>
        <v>681.1184025</v>
      </c>
      <c r="Q28" s="211">
        <f t="shared" si="6"/>
        <v>675.62052449999999</v>
      </c>
    </row>
    <row r="31" spans="1:20" x14ac:dyDescent="0.3">
      <c r="A31" s="211" t="s">
        <v>2501</v>
      </c>
      <c r="B31" s="211">
        <v>122.759885</v>
      </c>
      <c r="D31" s="211">
        <v>116.99773</v>
      </c>
      <c r="F31" s="211">
        <v>67.819987999999995</v>
      </c>
      <c r="G31" s="211">
        <v>65.371217999999999</v>
      </c>
      <c r="H31" s="211">
        <v>59.059251000000003</v>
      </c>
      <c r="I31" s="211">
        <v>49.940353999999999</v>
      </c>
      <c r="J31" s="356">
        <v>48.103999999999999</v>
      </c>
      <c r="K31" s="211">
        <v>20.265146999999999</v>
      </c>
      <c r="L31" s="211">
        <v>19.360493000000002</v>
      </c>
      <c r="M31" s="211">
        <v>18.461917</v>
      </c>
      <c r="N31" s="211">
        <v>16.628852999999999</v>
      </c>
      <c r="O31" s="211">
        <v>16.375060000000001</v>
      </c>
      <c r="P31" s="211">
        <v>15.681478</v>
      </c>
      <c r="Q31" s="211">
        <v>15.52983</v>
      </c>
      <c r="R31" s="211">
        <v>14.726000000000001</v>
      </c>
    </row>
    <row r="33" spans="1:20" x14ac:dyDescent="0.3">
      <c r="A33" s="211" t="s">
        <v>2502</v>
      </c>
      <c r="B33" s="604">
        <f>B22/B31</f>
        <v>65.632189212298471</v>
      </c>
      <c r="D33" s="604">
        <f>D22/D31</f>
        <v>48.162327593877244</v>
      </c>
      <c r="F33" s="604">
        <f>F22/F31</f>
        <v>43.304755524285859</v>
      </c>
      <c r="G33" s="604">
        <f t="shared" ref="G33:T33" si="7">G22/G31</f>
        <v>31.83830841273296</v>
      </c>
      <c r="H33" s="604">
        <f t="shared" si="7"/>
        <v>29.294022032213039</v>
      </c>
      <c r="I33" s="604">
        <f>I22/I31</f>
        <v>24.1702531784216</v>
      </c>
      <c r="J33" s="604">
        <f t="shared" si="7"/>
        <v>20.971873440878099</v>
      </c>
      <c r="K33" s="604">
        <f t="shared" si="7"/>
        <v>39.13818143041351</v>
      </c>
      <c r="L33" s="604">
        <f t="shared" si="7"/>
        <v>36.457707817667654</v>
      </c>
      <c r="M33" s="604">
        <f t="shared" si="7"/>
        <v>34.55263843944266</v>
      </c>
      <c r="N33" s="604">
        <f t="shared" si="7"/>
        <v>31.59741396475151</v>
      </c>
      <c r="O33" s="604">
        <f t="shared" si="7"/>
        <v>30.540610171810052</v>
      </c>
      <c r="P33" s="604">
        <f t="shared" si="7"/>
        <v>28.072551579640646</v>
      </c>
      <c r="Q33" s="604">
        <f t="shared" si="7"/>
        <v>29.363645577575543</v>
      </c>
      <c r="R33" s="604">
        <f t="shared" si="7"/>
        <v>29.627411992394403</v>
      </c>
      <c r="S33" s="604" t="e">
        <f t="shared" si="7"/>
        <v>#DIV/0!</v>
      </c>
      <c r="T33" s="604" t="e">
        <f t="shared" si="7"/>
        <v>#DIV/0!</v>
      </c>
    </row>
    <row r="34" spans="1:20" x14ac:dyDescent="0.3">
      <c r="A34" s="211" t="s">
        <v>2503</v>
      </c>
      <c r="F34" s="604">
        <f>F13/F31</f>
        <v>0</v>
      </c>
      <c r="G34" s="604">
        <f>G13/G31</f>
        <v>0</v>
      </c>
      <c r="H34" s="604">
        <f t="shared" ref="H34:T34" si="8">H13/H31</f>
        <v>0</v>
      </c>
      <c r="I34" s="604">
        <f>I13/I31</f>
        <v>0</v>
      </c>
      <c r="J34" s="604">
        <f t="shared" si="8"/>
        <v>0</v>
      </c>
      <c r="K34" s="604">
        <f t="shared" si="8"/>
        <v>0</v>
      </c>
      <c r="L34" s="604">
        <f t="shared" si="8"/>
        <v>0</v>
      </c>
      <c r="M34" s="604">
        <f t="shared" si="8"/>
        <v>0</v>
      </c>
      <c r="N34" s="604">
        <f t="shared" si="8"/>
        <v>0</v>
      </c>
      <c r="O34" s="604">
        <f t="shared" si="8"/>
        <v>0</v>
      </c>
      <c r="P34" s="604">
        <f t="shared" si="8"/>
        <v>0</v>
      </c>
      <c r="Q34" s="604">
        <f t="shared" si="8"/>
        <v>0</v>
      </c>
      <c r="R34" s="604">
        <f t="shared" si="8"/>
        <v>0</v>
      </c>
      <c r="S34" s="604" t="e">
        <f t="shared" si="8"/>
        <v>#DIV/0!</v>
      </c>
      <c r="T34" s="604" t="e">
        <f t="shared" si="8"/>
        <v>#DIV/0!</v>
      </c>
    </row>
    <row r="36" spans="1:20" x14ac:dyDescent="0.3">
      <c r="A36" s="211" t="s">
        <v>2504</v>
      </c>
      <c r="B36" s="604">
        <f>B15/B31</f>
        <v>7.5105968044854396</v>
      </c>
      <c r="D36" s="604">
        <f>D15/D31</f>
        <v>7.6439602717078357</v>
      </c>
      <c r="F36" s="604">
        <f>F15/F31</f>
        <v>5.2094819008225137</v>
      </c>
      <c r="G36" s="604">
        <f t="shared" ref="G36:T36" si="9">G15/G31</f>
        <v>3.580077091419652</v>
      </c>
      <c r="H36" s="604">
        <f t="shared" si="9"/>
        <v>3.2578130731796784</v>
      </c>
      <c r="I36" s="604">
        <f>I15/I31</f>
        <v>2.4581323552492242</v>
      </c>
      <c r="J36" s="604">
        <f t="shared" si="9"/>
        <v>2.1927282554465326</v>
      </c>
      <c r="K36" s="604">
        <f t="shared" si="9"/>
        <v>3.7557092480010139</v>
      </c>
      <c r="L36" s="604">
        <f t="shared" si="9"/>
        <v>3.2625239450255732</v>
      </c>
      <c r="M36" s="604">
        <f t="shared" si="9"/>
        <v>2.8369176938667851</v>
      </c>
      <c r="N36" s="604">
        <f t="shared" si="9"/>
        <v>2.4471832182291826</v>
      </c>
      <c r="O36" s="604">
        <f t="shared" si="9"/>
        <v>2.6674121499402137</v>
      </c>
      <c r="P36" s="604">
        <f t="shared" si="9"/>
        <v>2.4533382631407572</v>
      </c>
      <c r="Q36" s="604">
        <f t="shared" si="9"/>
        <v>1.8696719796675172</v>
      </c>
      <c r="R36" s="604">
        <f t="shared" si="9"/>
        <v>1.8063403504006519</v>
      </c>
      <c r="S36" s="604" t="e">
        <f t="shared" si="9"/>
        <v>#DIV/0!</v>
      </c>
      <c r="T36" s="604" t="e">
        <f t="shared" si="9"/>
        <v>#DIV/0!</v>
      </c>
    </row>
    <row r="39" spans="1:20" x14ac:dyDescent="0.3">
      <c r="A39" s="211" t="s">
        <v>2525</v>
      </c>
      <c r="B39" s="211">
        <f>B6/B31</f>
        <v>163.35955348931779</v>
      </c>
      <c r="D39" s="211">
        <f>D6/D31</f>
        <v>147.50340027964643</v>
      </c>
      <c r="F39" s="211">
        <f>F6/F31</f>
        <v>93.843926955575398</v>
      </c>
      <c r="G39" s="211">
        <f t="shared" ref="G39:R39" si="10">G6/G31</f>
        <v>83.748523700445674</v>
      </c>
      <c r="H39" s="211">
        <f t="shared" si="10"/>
        <v>68.85461517282026</v>
      </c>
      <c r="I39" s="211">
        <f t="shared" si="10"/>
        <v>55.277381493931742</v>
      </c>
      <c r="J39" s="211">
        <f t="shared" si="10"/>
        <v>54.333485780808246</v>
      </c>
      <c r="K39" s="211">
        <f t="shared" si="10"/>
        <v>87.980560910809089</v>
      </c>
      <c r="L39" s="211">
        <f t="shared" si="10"/>
        <v>79.65081829269532</v>
      </c>
      <c r="M39" s="211">
        <f t="shared" si="10"/>
        <v>76.598025275490087</v>
      </c>
      <c r="N39" s="211">
        <f t="shared" si="10"/>
        <v>65.560646846778909</v>
      </c>
      <c r="O39" s="211">
        <f t="shared" si="10"/>
        <v>56.824215056311239</v>
      </c>
      <c r="P39" s="211">
        <f t="shared" si="10"/>
        <v>51.74567773522368</v>
      </c>
      <c r="Q39" s="211">
        <f t="shared" si="10"/>
        <v>49.301241288539536</v>
      </c>
      <c r="R39" s="211">
        <f t="shared" si="10"/>
        <v>46.682836140160262</v>
      </c>
    </row>
    <row r="42" spans="1:20" x14ac:dyDescent="0.3">
      <c r="A42" s="211" t="s">
        <v>2549</v>
      </c>
      <c r="B42" s="226">
        <f>B22/B26</f>
        <v>0.6772864828513786</v>
      </c>
      <c r="D42" s="226">
        <f>D22/D26</f>
        <v>0.65478184853576238</v>
      </c>
      <c r="F42" s="226">
        <f>F22/F26</f>
        <v>0.55895257674509957</v>
      </c>
      <c r="G42" s="226">
        <f t="shared" ref="G42:Q42" si="11">G22/G26</f>
        <v>0.53576270754504984</v>
      </c>
      <c r="H42" s="226">
        <f t="shared" si="11"/>
        <v>0.5694764096662831</v>
      </c>
      <c r="I42" s="226">
        <f t="shared" si="11"/>
        <v>0.5248917555965954</v>
      </c>
      <c r="J42" s="226">
        <f t="shared" si="11"/>
        <v>0.46631801745125839</v>
      </c>
      <c r="K42" s="226">
        <f t="shared" si="11"/>
        <v>0.52552657611724118</v>
      </c>
      <c r="L42" s="226">
        <f t="shared" si="11"/>
        <v>0.60132009471081704</v>
      </c>
      <c r="M42" s="226">
        <f t="shared" si="11"/>
        <v>0.60890232250408793</v>
      </c>
      <c r="N42" s="226">
        <f t="shared" si="11"/>
        <v>0.58996094635197383</v>
      </c>
      <c r="O42" s="226">
        <f t="shared" si="11"/>
        <v>0.62623303150276655</v>
      </c>
      <c r="P42" s="226">
        <f t="shared" si="11"/>
        <v>0.65723761712313078</v>
      </c>
      <c r="Q42" s="226">
        <f t="shared" si="11"/>
        <v>0.65856373819246161</v>
      </c>
    </row>
    <row r="45" spans="1:20" x14ac:dyDescent="0.3">
      <c r="G45" s="226"/>
    </row>
  </sheetData>
  <pageMargins left="0.7" right="0.7" top="0.75" bottom="0.75" header="0.3" footer="0.3"/>
  <pageSetup orientation="portrait" r:id="rId1"/>
  <drawing r:id="rId2"/>
  <legacyDrawing r:id="rId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19E50-A27D-48EC-B89B-7A8DA0415F83}">
  <sheetPr>
    <tabColor theme="0" tint="-0.34998626667073579"/>
  </sheetPr>
  <dimension ref="A1:W42"/>
  <sheetViews>
    <sheetView workbookViewId="0">
      <pane xSplit="1" ySplit="5" topLeftCell="B24" activePane="bottomRight" state="frozen"/>
      <selection activeCell="G19" sqref="G19"/>
      <selection pane="topRight" activeCell="G19" sqref="G19"/>
      <selection pane="bottomLeft" activeCell="G19" sqref="G19"/>
      <selection pane="bottomRight" activeCell="G19" sqref="G19"/>
    </sheetView>
  </sheetViews>
  <sheetFormatPr defaultColWidth="9.109375" defaultRowHeight="15.6" x14ac:dyDescent="0.3"/>
  <cols>
    <col min="1" max="2" width="25.6640625" style="211" customWidth="1"/>
    <col min="3" max="3" width="4.5546875" style="211" customWidth="1"/>
    <col min="4" max="4" width="25.6640625" style="211" customWidth="1"/>
    <col min="5" max="5" width="5.5546875" style="211" customWidth="1"/>
    <col min="6" max="6" width="10.33203125" style="211" bestFit="1" customWidth="1"/>
    <col min="7" max="7" width="12" style="211" customWidth="1"/>
    <col min="8" max="17" width="9.109375" style="211"/>
    <col min="18" max="18" width="12.44140625" style="211" bestFit="1" customWidth="1"/>
    <col min="19" max="16384" width="9.109375" style="211"/>
  </cols>
  <sheetData>
    <row r="1" spans="1:23" s="1632" customFormat="1" x14ac:dyDescent="0.3">
      <c r="A1" s="1632" t="s">
        <v>556</v>
      </c>
      <c r="B1" s="1632">
        <v>1989</v>
      </c>
      <c r="D1" s="1632">
        <v>1979</v>
      </c>
      <c r="F1" s="1632">
        <v>1970</v>
      </c>
      <c r="G1" s="1632">
        <v>1969</v>
      </c>
      <c r="H1" s="1632">
        <v>1968</v>
      </c>
      <c r="I1" s="1632">
        <v>1967</v>
      </c>
      <c r="J1" s="1632">
        <v>1966</v>
      </c>
      <c r="K1" s="1632">
        <v>1965</v>
      </c>
      <c r="L1" s="1632">
        <v>1964</v>
      </c>
      <c r="M1" s="1632">
        <v>1963</v>
      </c>
      <c r="N1" s="1632">
        <v>1962</v>
      </c>
      <c r="O1" s="1632">
        <v>1961</v>
      </c>
      <c r="P1" s="1632">
        <v>1960</v>
      </c>
    </row>
    <row r="2" spans="1:23" x14ac:dyDescent="0.3">
      <c r="A2" s="459" t="s">
        <v>2497</v>
      </c>
      <c r="B2" s="459"/>
      <c r="C2" s="459"/>
      <c r="D2" s="459"/>
      <c r="E2" s="459"/>
    </row>
    <row r="3" spans="1:23" x14ac:dyDescent="0.3">
      <c r="A3" s="152" t="s">
        <v>2526</v>
      </c>
      <c r="B3" s="152"/>
      <c r="C3" s="152"/>
      <c r="D3" s="152"/>
      <c r="E3" s="152"/>
    </row>
    <row r="4" spans="1:23" ht="8.25" customHeight="1" x14ac:dyDescent="0.3"/>
    <row r="5" spans="1:23" x14ac:dyDescent="0.3">
      <c r="A5" s="211" t="s">
        <v>1250</v>
      </c>
      <c r="B5" s="211">
        <v>1989</v>
      </c>
      <c r="D5" s="211">
        <v>1979</v>
      </c>
      <c r="F5" s="884">
        <v>1970</v>
      </c>
      <c r="G5" s="884">
        <v>1969</v>
      </c>
      <c r="H5" s="884">
        <v>1968</v>
      </c>
      <c r="I5" s="884">
        <v>1967</v>
      </c>
      <c r="J5" s="884">
        <v>1966</v>
      </c>
      <c r="K5" s="884">
        <v>1965</v>
      </c>
      <c r="L5" s="884">
        <v>1964</v>
      </c>
      <c r="M5" s="884">
        <v>1963</v>
      </c>
      <c r="N5" s="884">
        <v>1962</v>
      </c>
      <c r="O5" s="884">
        <v>1961</v>
      </c>
      <c r="P5" s="884">
        <v>1960</v>
      </c>
      <c r="Q5" s="884">
        <v>1959</v>
      </c>
      <c r="R5" s="884">
        <v>1958</v>
      </c>
      <c r="S5" s="884">
        <v>1957</v>
      </c>
      <c r="T5" s="884"/>
      <c r="U5" s="884"/>
      <c r="V5" s="884"/>
      <c r="W5" s="884"/>
    </row>
    <row r="6" spans="1:23" x14ac:dyDescent="0.3">
      <c r="A6" s="211" t="s">
        <v>975</v>
      </c>
      <c r="B6" s="211">
        <v>3299.5</v>
      </c>
      <c r="D6" s="211">
        <v>2705.6</v>
      </c>
      <c r="F6" s="211">
        <v>1231.588</v>
      </c>
      <c r="G6" s="211">
        <v>1305.296</v>
      </c>
      <c r="H6" s="211">
        <v>810.01900000000001</v>
      </c>
      <c r="I6" s="211">
        <v>451.06</v>
      </c>
      <c r="J6" s="211">
        <v>256.75099999999998</v>
      </c>
      <c r="K6" s="211">
        <v>86.504000000000005</v>
      </c>
      <c r="L6" s="211">
        <v>38.187126999999997</v>
      </c>
      <c r="M6" s="211">
        <v>31.924685</v>
      </c>
      <c r="N6" s="211">
        <v>10.438367</v>
      </c>
      <c r="O6" s="211">
        <v>4.4914310000000004</v>
      </c>
    </row>
    <row r="7" spans="1:23" x14ac:dyDescent="0.3">
      <c r="A7" s="211" t="s">
        <v>1703</v>
      </c>
      <c r="F7" s="211">
        <f>F6/F28</f>
        <v>1.6350929739173843</v>
      </c>
      <c r="G7" s="211">
        <f>G6/G28</f>
        <v>2.1744821991107468</v>
      </c>
      <c r="H7" s="211">
        <f>H6/H28</f>
        <v>2.2325643569814235</v>
      </c>
      <c r="I7" s="211">
        <f>I6/I28</f>
        <v>2.3438506786389803</v>
      </c>
      <c r="J7" s="211">
        <f t="shared" ref="J7:S7" si="0">J6/J28</f>
        <v>2.8800533943554538</v>
      </c>
      <c r="K7" s="211">
        <f t="shared" si="0"/>
        <v>2.2601084817583321</v>
      </c>
      <c r="L7" s="211">
        <f t="shared" si="0"/>
        <v>1.7073540048846785</v>
      </c>
      <c r="M7" s="211">
        <f t="shared" si="0"/>
        <v>2.4647550067253543</v>
      </c>
      <c r="N7" s="211">
        <f t="shared" si="0"/>
        <v>2.0475377693980366</v>
      </c>
      <c r="O7" s="211" t="e">
        <f t="shared" si="0"/>
        <v>#DIV/0!</v>
      </c>
      <c r="P7" s="211" t="e">
        <f t="shared" si="0"/>
        <v>#DIV/0!</v>
      </c>
      <c r="Q7" s="211" t="e">
        <f t="shared" si="0"/>
        <v>#DIV/0!</v>
      </c>
      <c r="R7" s="211" t="e">
        <f t="shared" si="0"/>
        <v>#DIV/0!</v>
      </c>
      <c r="S7" s="211" t="e">
        <f t="shared" si="0"/>
        <v>#DIV/0!</v>
      </c>
    </row>
    <row r="8" spans="1:23" x14ac:dyDescent="0.3">
      <c r="A8" s="211" t="s">
        <v>1097</v>
      </c>
      <c r="B8" s="211">
        <f>231.7+69.6</f>
        <v>301.29999999999995</v>
      </c>
      <c r="D8" s="211">
        <f>207.315+193.8+12.505-22.689</f>
        <v>390.93099999999998</v>
      </c>
      <c r="F8" s="211">
        <f>109.62+8.975</f>
        <v>118.595</v>
      </c>
      <c r="G8" s="211">
        <f>114.603+12.136</f>
        <v>126.73899999999999</v>
      </c>
      <c r="H8" s="211">
        <f>78.22+7.311</f>
        <v>85.531000000000006</v>
      </c>
      <c r="I8" s="211">
        <v>40.744999999999997</v>
      </c>
      <c r="J8" s="211">
        <v>24.591999999999999</v>
      </c>
      <c r="K8" s="211">
        <v>7.5369999999999999</v>
      </c>
      <c r="L8" s="211">
        <v>3.718877</v>
      </c>
      <c r="M8" s="211">
        <v>2.0734349999999999</v>
      </c>
      <c r="N8" s="211">
        <v>0.46208300000000002</v>
      </c>
      <c r="O8" s="211">
        <v>0.15871399999999999</v>
      </c>
    </row>
    <row r="9" spans="1:23" x14ac:dyDescent="0.3">
      <c r="A9" s="211" t="s">
        <v>1993</v>
      </c>
      <c r="B9" s="227">
        <f>B8/B6</f>
        <v>9.1316866191847229E-2</v>
      </c>
      <c r="D9" s="227">
        <f>D8/D6</f>
        <v>0.14448957717327024</v>
      </c>
      <c r="F9" s="227">
        <f>F8/F6</f>
        <v>9.6294377665258182E-2</v>
      </c>
      <c r="G9" s="227">
        <f t="shared" ref="G9:T9" si="1">G8/G6</f>
        <v>9.7095984359103216E-2</v>
      </c>
      <c r="H9" s="227">
        <f t="shared" si="1"/>
        <v>0.10559135032635038</v>
      </c>
      <c r="I9" s="227">
        <f t="shared" si="1"/>
        <v>9.0331663193366732E-2</v>
      </c>
      <c r="J9" s="227">
        <f t="shared" si="1"/>
        <v>9.5781515943462736E-2</v>
      </c>
      <c r="K9" s="227">
        <f t="shared" si="1"/>
        <v>8.7128918893923976E-2</v>
      </c>
      <c r="L9" s="227">
        <f t="shared" si="1"/>
        <v>9.7385618980972311E-2</v>
      </c>
      <c r="M9" s="227">
        <f t="shared" si="1"/>
        <v>6.494770426082512E-2</v>
      </c>
      <c r="N9" s="227">
        <f t="shared" si="1"/>
        <v>4.4267748010776022E-2</v>
      </c>
      <c r="O9" s="227">
        <f t="shared" si="1"/>
        <v>3.5337067406801967E-2</v>
      </c>
      <c r="P9" s="227" t="e">
        <f t="shared" si="1"/>
        <v>#DIV/0!</v>
      </c>
      <c r="Q9" s="227" t="e">
        <f t="shared" si="1"/>
        <v>#DIV/0!</v>
      </c>
      <c r="R9" s="227" t="e">
        <f t="shared" si="1"/>
        <v>#DIV/0!</v>
      </c>
      <c r="S9" s="227" t="e">
        <f t="shared" si="1"/>
        <v>#DIV/0!</v>
      </c>
      <c r="T9" s="227" t="e">
        <f t="shared" si="1"/>
        <v>#DIV/0!</v>
      </c>
    </row>
    <row r="10" spans="1:23" x14ac:dyDescent="0.3">
      <c r="A10" s="211" t="s">
        <v>1563</v>
      </c>
      <c r="F10" s="227">
        <f>F7*F9</f>
        <v>0.15745026034821075</v>
      </c>
      <c r="G10" s="227">
        <f>G7*G9</f>
        <v>0.21113348959400544</v>
      </c>
      <c r="H10" s="227">
        <f>H7*H9</f>
        <v>0.23573948514414866</v>
      </c>
      <c r="I10" s="227">
        <f t="shared" ref="I10:S10" si="2">I7*I9</f>
        <v>0.21172393007836041</v>
      </c>
      <c r="J10" s="227">
        <f t="shared" si="2"/>
        <v>0.27585588010948087</v>
      </c>
      <c r="K10" s="227">
        <f t="shared" si="2"/>
        <v>0.19692080859859137</v>
      </c>
      <c r="L10" s="227">
        <f t="shared" si="2"/>
        <v>0.16627172658533643</v>
      </c>
      <c r="M10" s="227">
        <f t="shared" si="2"/>
        <v>0.16008017925218634</v>
      </c>
      <c r="N10" s="227">
        <f t="shared" si="2"/>
        <v>9.0639886018258703E-2</v>
      </c>
      <c r="O10" s="227" t="e">
        <f t="shared" si="2"/>
        <v>#DIV/0!</v>
      </c>
      <c r="P10" s="227" t="e">
        <f t="shared" si="2"/>
        <v>#DIV/0!</v>
      </c>
      <c r="Q10" s="227" t="e">
        <f t="shared" si="2"/>
        <v>#DIV/0!</v>
      </c>
      <c r="R10" s="227" t="e">
        <f t="shared" si="2"/>
        <v>#DIV/0!</v>
      </c>
      <c r="S10" s="227" t="e">
        <f t="shared" si="2"/>
        <v>#DIV/0!</v>
      </c>
    </row>
    <row r="12" spans="1:23" x14ac:dyDescent="0.3">
      <c r="A12" s="211" t="s">
        <v>293</v>
      </c>
    </row>
    <row r="13" spans="1:23" x14ac:dyDescent="0.3">
      <c r="A13" s="211" t="s">
        <v>979</v>
      </c>
    </row>
    <row r="14" spans="1:23" x14ac:dyDescent="0.3">
      <c r="A14" s="211" t="s">
        <v>391</v>
      </c>
    </row>
    <row r="15" spans="1:23" x14ac:dyDescent="0.3">
      <c r="A15" s="211" t="s">
        <v>99</v>
      </c>
      <c r="B15" s="211">
        <v>258.89999999999998</v>
      </c>
      <c r="D15" s="211">
        <v>371.96</v>
      </c>
      <c r="F15" s="211">
        <v>64.12</v>
      </c>
      <c r="G15" s="211">
        <v>60.103000000000002</v>
      </c>
      <c r="H15" s="211">
        <v>40.72</v>
      </c>
      <c r="I15" s="211">
        <v>21.745000000000001</v>
      </c>
      <c r="J15" s="211">
        <v>12.035</v>
      </c>
      <c r="K15" s="211">
        <v>3.758</v>
      </c>
      <c r="L15" s="211">
        <v>2.545388</v>
      </c>
      <c r="M15" s="211">
        <v>1.2802960000000001</v>
      </c>
      <c r="N15" s="211">
        <v>0.33151799999999998</v>
      </c>
      <c r="O15" s="211">
        <v>0.13319</v>
      </c>
    </row>
    <row r="18" spans="1:20" x14ac:dyDescent="0.3">
      <c r="A18" s="211" t="s">
        <v>2499</v>
      </c>
    </row>
    <row r="21" spans="1:20" x14ac:dyDescent="0.3">
      <c r="A21" s="320" t="s">
        <v>2520</v>
      </c>
      <c r="B21" s="884">
        <f>B5</f>
        <v>1989</v>
      </c>
      <c r="C21" s="320"/>
      <c r="D21" s="884">
        <f>D5</f>
        <v>1979</v>
      </c>
      <c r="E21" s="320"/>
      <c r="F21" s="884">
        <f>F5</f>
        <v>1970</v>
      </c>
      <c r="G21" s="884">
        <f t="shared" ref="G21:T21" si="3">G5</f>
        <v>1969</v>
      </c>
      <c r="H21" s="884">
        <f t="shared" si="3"/>
        <v>1968</v>
      </c>
      <c r="I21" s="884">
        <f t="shared" si="3"/>
        <v>1967</v>
      </c>
      <c r="J21" s="884">
        <f t="shared" si="3"/>
        <v>1966</v>
      </c>
      <c r="K21" s="884">
        <f t="shared" si="3"/>
        <v>1965</v>
      </c>
      <c r="L21" s="884">
        <f t="shared" si="3"/>
        <v>1964</v>
      </c>
      <c r="M21" s="884">
        <f t="shared" si="3"/>
        <v>1963</v>
      </c>
      <c r="N21" s="884">
        <f t="shared" si="3"/>
        <v>1962</v>
      </c>
      <c r="O21" s="884">
        <f t="shared" si="3"/>
        <v>1961</v>
      </c>
      <c r="P21" s="884">
        <f t="shared" si="3"/>
        <v>1960</v>
      </c>
      <c r="Q21" s="884">
        <f t="shared" si="3"/>
        <v>1959</v>
      </c>
      <c r="R21" s="884">
        <f t="shared" si="3"/>
        <v>1958</v>
      </c>
      <c r="S21" s="884">
        <f t="shared" si="3"/>
        <v>1957</v>
      </c>
      <c r="T21" s="884">
        <f t="shared" si="3"/>
        <v>0</v>
      </c>
    </row>
    <row r="22" spans="1:20" x14ac:dyDescent="0.3">
      <c r="A22" s="211" t="s">
        <v>746</v>
      </c>
      <c r="B22" s="211">
        <v>2326.9</v>
      </c>
      <c r="D22" s="211">
        <v>1275.4059999999999</v>
      </c>
      <c r="F22" s="211">
        <f>589.509+4.69</f>
        <v>594.19900000000007</v>
      </c>
      <c r="G22" s="211">
        <f>504.865+13.572</f>
        <v>518.43700000000001</v>
      </c>
      <c r="H22" s="211">
        <v>317.38900000000001</v>
      </c>
      <c r="I22" s="211">
        <v>153.09200000000001</v>
      </c>
      <c r="J22" s="211">
        <v>90.204999999999998</v>
      </c>
      <c r="K22" s="211">
        <v>34.765000000000001</v>
      </c>
      <c r="L22" s="211">
        <f>13.6722+0.02625</f>
        <v>13.698449999999999</v>
      </c>
      <c r="M22" s="211">
        <v>8.6289569999999998</v>
      </c>
      <c r="N22" s="211">
        <v>3.5274480000000001</v>
      </c>
      <c r="O22" s="211">
        <v>2.4767809999999999</v>
      </c>
    </row>
    <row r="23" spans="1:20" x14ac:dyDescent="0.3">
      <c r="A23" s="211" t="s">
        <v>2015</v>
      </c>
      <c r="B23" s="211">
        <f>571.3+8.6</f>
        <v>579.9</v>
      </c>
      <c r="D23" s="211">
        <f>243.617+20.774</f>
        <v>264.39099999999996</v>
      </c>
      <c r="F23" s="211">
        <f>97.247+103.643+13.496</f>
        <v>214.386</v>
      </c>
      <c r="G23" s="211">
        <f>98.494+107.661+4.537+26.272</f>
        <v>236.964</v>
      </c>
      <c r="H23" s="211">
        <f>75.621+80.085+4.257+12.61</f>
        <v>172.57299999999998</v>
      </c>
      <c r="I23" s="211">
        <f>67.61+43.386+2.091+0.802</f>
        <v>113.88900000000001</v>
      </c>
      <c r="J23" s="211">
        <f>10.261+20.704+4.596+2.124+6.543</f>
        <v>44.228000000000002</v>
      </c>
      <c r="K23" s="211">
        <f>2.317+12.955+2.17+2.076</f>
        <v>19.518000000000001</v>
      </c>
      <c r="L23" s="211">
        <f>2.5+7.431479+1.427036+4.10716</f>
        <v>15.465674999999999</v>
      </c>
      <c r="M23" s="211">
        <f>2.5+3.365754+0.306457+1.28+3.088636</f>
        <v>10.540846999999999</v>
      </c>
      <c r="N23" s="211">
        <f>1.841562+0.715+2.5</f>
        <v>5.0565619999999996</v>
      </c>
      <c r="O23" s="211">
        <f>0.5+0.155</f>
        <v>0.65500000000000003</v>
      </c>
    </row>
    <row r="24" spans="1:20" x14ac:dyDescent="0.3">
      <c r="A24" s="211" t="s">
        <v>346</v>
      </c>
      <c r="D24" s="211">
        <v>-30.23</v>
      </c>
      <c r="F24" s="211">
        <v>-33.680999999999997</v>
      </c>
      <c r="G24" s="211">
        <v>-23.861000000000001</v>
      </c>
      <c r="H24" s="211">
        <v>-20.943999999999999</v>
      </c>
      <c r="I24" s="211">
        <v>-10.359</v>
      </c>
      <c r="J24" s="211">
        <v>-6.1669999999999998</v>
      </c>
      <c r="K24" s="211">
        <v>-4.2530000000000001</v>
      </c>
      <c r="L24" s="211">
        <v>-2.6455869999999999</v>
      </c>
      <c r="M24" s="211">
        <v>-0.95581799999999995</v>
      </c>
      <c r="N24" s="211">
        <v>-0.89303999999999994</v>
      </c>
      <c r="O24" s="211">
        <v>-0.62673199999999996</v>
      </c>
    </row>
    <row r="25" spans="1:20" x14ac:dyDescent="0.3">
      <c r="A25" s="211" t="s">
        <v>2500</v>
      </c>
    </row>
    <row r="26" spans="1:20" x14ac:dyDescent="0.3">
      <c r="A26" s="211" t="s">
        <v>1099</v>
      </c>
      <c r="B26" s="848">
        <f>SUM(B22:B25)</f>
        <v>2906.8</v>
      </c>
      <c r="D26" s="848">
        <f>SUM(D22:D25)</f>
        <v>1509.567</v>
      </c>
      <c r="F26" s="848">
        <f>SUM(F22:F25)</f>
        <v>774.904</v>
      </c>
      <c r="G26" s="848">
        <f>SUM(G22:G25)</f>
        <v>731.54000000000008</v>
      </c>
      <c r="H26" s="848">
        <f>SUM(H22:H25)</f>
        <v>469.01799999999997</v>
      </c>
      <c r="I26" s="848">
        <f>SUM(I22:I25)</f>
        <v>256.62200000000001</v>
      </c>
      <c r="J26" s="848">
        <f t="shared" ref="J26:T26" si="4">SUM(J22:J25)</f>
        <v>128.26599999999999</v>
      </c>
      <c r="K26" s="848">
        <f t="shared" si="4"/>
        <v>50.03</v>
      </c>
      <c r="L26" s="848">
        <f t="shared" si="4"/>
        <v>26.518537999999999</v>
      </c>
      <c r="M26" s="848">
        <f t="shared" si="4"/>
        <v>18.213985999999998</v>
      </c>
      <c r="N26" s="848">
        <f t="shared" si="4"/>
        <v>7.6909699999999992</v>
      </c>
      <c r="O26" s="848">
        <f t="shared" si="4"/>
        <v>2.5050490000000001</v>
      </c>
      <c r="P26" s="848">
        <f t="shared" si="4"/>
        <v>0</v>
      </c>
      <c r="Q26" s="848">
        <f t="shared" si="4"/>
        <v>0</v>
      </c>
      <c r="R26" s="848">
        <f t="shared" si="4"/>
        <v>0</v>
      </c>
      <c r="S26" s="848">
        <f t="shared" si="4"/>
        <v>0</v>
      </c>
      <c r="T26" s="848">
        <f t="shared" si="4"/>
        <v>0</v>
      </c>
    </row>
    <row r="28" spans="1:20" x14ac:dyDescent="0.3">
      <c r="A28" s="211" t="s">
        <v>575</v>
      </c>
      <c r="F28" s="211">
        <f t="shared" ref="F28:N28" si="5">AVERAGE(F26:G26)</f>
        <v>753.22199999999998</v>
      </c>
      <c r="G28" s="211">
        <f t="shared" si="5"/>
        <v>600.279</v>
      </c>
      <c r="H28" s="211">
        <f t="shared" si="5"/>
        <v>362.82</v>
      </c>
      <c r="I28" s="211">
        <f t="shared" si="5"/>
        <v>192.44400000000002</v>
      </c>
      <c r="J28" s="211">
        <f t="shared" si="5"/>
        <v>89.147999999999996</v>
      </c>
      <c r="K28" s="211">
        <f t="shared" si="5"/>
        <v>38.274269000000004</v>
      </c>
      <c r="L28" s="211">
        <f t="shared" si="5"/>
        <v>22.366261999999999</v>
      </c>
      <c r="M28" s="211">
        <f t="shared" si="5"/>
        <v>12.952477999999999</v>
      </c>
      <c r="N28" s="211">
        <f t="shared" si="5"/>
        <v>5.0980094999999999</v>
      </c>
    </row>
    <row r="31" spans="1:20" x14ac:dyDescent="0.3">
      <c r="A31" s="211" t="s">
        <v>2501</v>
      </c>
      <c r="B31" s="211">
        <v>11.089568999999999</v>
      </c>
      <c r="D31" s="211">
        <v>18.877134000000002</v>
      </c>
      <c r="F31" s="211">
        <v>28.390362</v>
      </c>
      <c r="G31" s="211">
        <v>24.942442</v>
      </c>
      <c r="H31" s="211">
        <v>11.24</v>
      </c>
      <c r="I31" s="211">
        <v>8.4703759999999999</v>
      </c>
      <c r="J31" s="612">
        <v>2.7412369999999999</v>
      </c>
      <c r="K31" s="211">
        <v>1.8374239999999999</v>
      </c>
      <c r="L31" s="211">
        <v>1.050996</v>
      </c>
      <c r="M31" s="211">
        <v>0.84946100000000002</v>
      </c>
      <c r="N31" s="211">
        <v>0.65485700000000002</v>
      </c>
      <c r="O31" s="211">
        <v>0.51954999999999996</v>
      </c>
    </row>
    <row r="33" spans="1:20" x14ac:dyDescent="0.3">
      <c r="A33" s="211" t="s">
        <v>2502</v>
      </c>
      <c r="B33" s="604">
        <f>B22/B31</f>
        <v>209.82781206375111</v>
      </c>
      <c r="D33" s="604">
        <f>D22/D31</f>
        <v>67.563540100949638</v>
      </c>
      <c r="F33" s="604">
        <f>F22/F31</f>
        <v>20.929602799710693</v>
      </c>
      <c r="G33" s="604">
        <f t="shared" ref="G33:T33" si="6">G22/G31</f>
        <v>20.785334491306024</v>
      </c>
      <c r="H33" s="604">
        <f t="shared" si="6"/>
        <v>28.237455516014236</v>
      </c>
      <c r="I33" s="604">
        <f>I22/I31</f>
        <v>18.073813960560901</v>
      </c>
      <c r="J33" s="604">
        <f t="shared" si="6"/>
        <v>32.906676803209649</v>
      </c>
      <c r="K33" s="604">
        <f t="shared" si="6"/>
        <v>18.920510453765708</v>
      </c>
      <c r="L33" s="604">
        <f t="shared" si="6"/>
        <v>13.033779386410604</v>
      </c>
      <c r="M33" s="604">
        <f t="shared" si="6"/>
        <v>10.158155583364039</v>
      </c>
      <c r="N33" s="604">
        <f t="shared" si="6"/>
        <v>5.3865927981223383</v>
      </c>
      <c r="O33" s="604">
        <f t="shared" si="6"/>
        <v>4.7671658165720334</v>
      </c>
      <c r="P33" s="604" t="e">
        <f t="shared" si="6"/>
        <v>#DIV/0!</v>
      </c>
      <c r="Q33" s="604" t="e">
        <f t="shared" si="6"/>
        <v>#DIV/0!</v>
      </c>
      <c r="R33" s="604" t="e">
        <f t="shared" si="6"/>
        <v>#DIV/0!</v>
      </c>
      <c r="S33" s="604" t="e">
        <f t="shared" si="6"/>
        <v>#DIV/0!</v>
      </c>
      <c r="T33" s="604" t="e">
        <f t="shared" si="6"/>
        <v>#DIV/0!</v>
      </c>
    </row>
    <row r="34" spans="1:20" x14ac:dyDescent="0.3">
      <c r="A34" s="211" t="s">
        <v>2503</v>
      </c>
      <c r="F34" s="604">
        <f>F13/F31</f>
        <v>0</v>
      </c>
      <c r="G34" s="604">
        <f>G13/G31</f>
        <v>0</v>
      </c>
      <c r="H34" s="604">
        <f t="shared" ref="H34:T34" si="7">H13/H31</f>
        <v>0</v>
      </c>
      <c r="I34" s="604">
        <f>I13/I31</f>
        <v>0</v>
      </c>
      <c r="J34" s="604">
        <f t="shared" si="7"/>
        <v>0</v>
      </c>
      <c r="K34" s="604">
        <f t="shared" si="7"/>
        <v>0</v>
      </c>
      <c r="L34" s="604">
        <f t="shared" si="7"/>
        <v>0</v>
      </c>
      <c r="M34" s="604">
        <f t="shared" si="7"/>
        <v>0</v>
      </c>
      <c r="N34" s="604">
        <f t="shared" si="7"/>
        <v>0</v>
      </c>
      <c r="O34" s="604">
        <f t="shared" si="7"/>
        <v>0</v>
      </c>
      <c r="P34" s="604" t="e">
        <f t="shared" si="7"/>
        <v>#DIV/0!</v>
      </c>
      <c r="Q34" s="604" t="e">
        <f t="shared" si="7"/>
        <v>#DIV/0!</v>
      </c>
      <c r="R34" s="604" t="e">
        <f t="shared" si="7"/>
        <v>#DIV/0!</v>
      </c>
      <c r="S34" s="604" t="e">
        <f t="shared" si="7"/>
        <v>#DIV/0!</v>
      </c>
      <c r="T34" s="604" t="e">
        <f t="shared" si="7"/>
        <v>#DIV/0!</v>
      </c>
    </row>
    <row r="36" spans="1:20" x14ac:dyDescent="0.3">
      <c r="A36" s="211" t="s">
        <v>2504</v>
      </c>
      <c r="B36" s="604">
        <f>B15/B31</f>
        <v>23.346263502215461</v>
      </c>
      <c r="D36" s="604">
        <f>D15/D31</f>
        <v>19.704262310157883</v>
      </c>
      <c r="F36" s="604">
        <f>F15/F31</f>
        <v>2.2585129418215946</v>
      </c>
      <c r="G36" s="604">
        <f t="shared" ref="G36:T36" si="8">G15/G31</f>
        <v>2.4096678264301468</v>
      </c>
      <c r="H36" s="604">
        <f t="shared" si="8"/>
        <v>3.6227758007117434</v>
      </c>
      <c r="I36" s="604">
        <f>I15/I31</f>
        <v>2.5671823777362421</v>
      </c>
      <c r="J36" s="604">
        <f t="shared" si="8"/>
        <v>4.3903536979837936</v>
      </c>
      <c r="K36" s="604">
        <f t="shared" si="8"/>
        <v>2.0452546608730486</v>
      </c>
      <c r="L36" s="604">
        <f t="shared" si="8"/>
        <v>2.4218817198162506</v>
      </c>
      <c r="M36" s="604">
        <f t="shared" si="8"/>
        <v>1.5071863216792767</v>
      </c>
      <c r="N36" s="604">
        <f t="shared" si="8"/>
        <v>0.50624487483526937</v>
      </c>
      <c r="O36" s="604">
        <f t="shared" si="8"/>
        <v>0.25635646232316428</v>
      </c>
      <c r="P36" s="604" t="e">
        <f t="shared" si="8"/>
        <v>#DIV/0!</v>
      </c>
      <c r="Q36" s="604" t="e">
        <f t="shared" si="8"/>
        <v>#DIV/0!</v>
      </c>
      <c r="R36" s="604" t="e">
        <f t="shared" si="8"/>
        <v>#DIV/0!</v>
      </c>
      <c r="S36" s="604" t="e">
        <f t="shared" si="8"/>
        <v>#DIV/0!</v>
      </c>
      <c r="T36" s="604" t="e">
        <f t="shared" si="8"/>
        <v>#DIV/0!</v>
      </c>
    </row>
    <row r="39" spans="1:20" x14ac:dyDescent="0.3">
      <c r="A39" s="211" t="s">
        <v>2525</v>
      </c>
      <c r="B39" s="211">
        <f>B6/B31</f>
        <v>297.53185177891044</v>
      </c>
      <c r="D39" s="211">
        <f>D6/D31</f>
        <v>143.32684188182378</v>
      </c>
      <c r="F39" s="211">
        <f>F6/F31</f>
        <v>43.380496522023918</v>
      </c>
      <c r="G39" s="211">
        <f t="shared" ref="G39:R39" si="9">G6/G31</f>
        <v>52.332325760244331</v>
      </c>
      <c r="H39" s="211">
        <f t="shared" si="9"/>
        <v>72.065747330960846</v>
      </c>
      <c r="I39" s="211">
        <f t="shared" si="9"/>
        <v>53.251473134132418</v>
      </c>
      <c r="J39" s="211">
        <f t="shared" si="9"/>
        <v>93.662459685171328</v>
      </c>
      <c r="K39" s="211">
        <f t="shared" si="9"/>
        <v>47.078954013880306</v>
      </c>
      <c r="L39" s="211">
        <f t="shared" si="9"/>
        <v>36.334226771557638</v>
      </c>
      <c r="M39" s="211">
        <f t="shared" si="9"/>
        <v>37.582284531014373</v>
      </c>
      <c r="N39" s="211">
        <f t="shared" si="9"/>
        <v>15.939918180610421</v>
      </c>
      <c r="O39" s="211">
        <f t="shared" si="9"/>
        <v>8.6448484265229535</v>
      </c>
      <c r="P39" s="211" t="e">
        <f t="shared" si="9"/>
        <v>#DIV/0!</v>
      </c>
      <c r="Q39" s="211" t="e">
        <f t="shared" si="9"/>
        <v>#DIV/0!</v>
      </c>
      <c r="R39" s="211" t="e">
        <f t="shared" si="9"/>
        <v>#DIV/0!</v>
      </c>
    </row>
    <row r="42" spans="1:20" x14ac:dyDescent="0.3">
      <c r="A42" s="211" t="s">
        <v>2549</v>
      </c>
      <c r="B42" s="226">
        <f>B22/B26</f>
        <v>0.80050227053804868</v>
      </c>
      <c r="D42" s="226">
        <f>D22/D26</f>
        <v>0.84488200921191303</v>
      </c>
      <c r="F42" s="226">
        <f>F22/F26</f>
        <v>0.76680337177250357</v>
      </c>
      <c r="G42" s="226">
        <f t="shared" ref="G42:O42" si="10">G22/G26</f>
        <v>0.70869262104601249</v>
      </c>
      <c r="H42" s="226">
        <f t="shared" si="10"/>
        <v>0.67670963587751432</v>
      </c>
      <c r="I42" s="226">
        <f t="shared" si="10"/>
        <v>0.5965661556686489</v>
      </c>
      <c r="J42" s="226">
        <f t="shared" si="10"/>
        <v>0.7032650897353937</v>
      </c>
      <c r="K42" s="226">
        <f t="shared" si="10"/>
        <v>0.69488307015790529</v>
      </c>
      <c r="L42" s="226">
        <f t="shared" si="10"/>
        <v>0.51656128252620859</v>
      </c>
      <c r="M42" s="226">
        <f t="shared" si="10"/>
        <v>0.47375445440663017</v>
      </c>
      <c r="N42" s="226">
        <f t="shared" si="10"/>
        <v>0.45864799888700652</v>
      </c>
      <c r="O42" s="226">
        <f t="shared" si="10"/>
        <v>0.9887155899944472</v>
      </c>
    </row>
  </sheetData>
  <pageMargins left="0.7" right="0.7" top="0.75" bottom="0.75" header="0.3" footer="0.3"/>
  <pageSetup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5D2E-1C10-435F-A0EE-3DFED1BC4429}">
  <sheetPr>
    <tabColor theme="0" tint="-0.34998626667073579"/>
  </sheetPr>
  <dimension ref="A1:Q36"/>
  <sheetViews>
    <sheetView showGridLines="0" topLeftCell="A18" workbookViewId="0">
      <selection activeCell="J39" sqref="J39"/>
    </sheetView>
  </sheetViews>
  <sheetFormatPr defaultColWidth="9.109375" defaultRowHeight="15.6" x14ac:dyDescent="0.3"/>
  <cols>
    <col min="1" max="1" width="20.5546875" style="211" customWidth="1"/>
    <col min="2" max="2" width="17.109375" style="211" customWidth="1"/>
    <col min="3" max="11" width="9.109375" style="211"/>
    <col min="12" max="12" width="18.44140625" style="211" customWidth="1"/>
    <col min="13" max="13" width="16.33203125" style="211" customWidth="1"/>
    <col min="14" max="14" width="1.5546875" style="211" customWidth="1"/>
    <col min="15" max="15" width="16.33203125" style="211" customWidth="1"/>
    <col min="16" max="16" width="1.5546875" style="211" customWidth="1"/>
    <col min="17" max="17" width="16.33203125" style="211" customWidth="1"/>
    <col min="18" max="16384" width="9.109375" style="211"/>
  </cols>
  <sheetData>
    <row r="1" spans="1:6" x14ac:dyDescent="0.3">
      <c r="A1" s="459" t="s">
        <v>2497</v>
      </c>
    </row>
    <row r="2" spans="1:6" x14ac:dyDescent="0.3">
      <c r="A2" s="152" t="s">
        <v>2527</v>
      </c>
    </row>
    <row r="3" spans="1:6" ht="8.25" customHeight="1" x14ac:dyDescent="0.3"/>
    <row r="4" spans="1:6" x14ac:dyDescent="0.3">
      <c r="A4" s="320" t="s">
        <v>2530</v>
      </c>
      <c r="B4" s="884">
        <v>1989</v>
      </c>
      <c r="C4" s="884">
        <v>1979</v>
      </c>
      <c r="D4" s="884">
        <v>1969</v>
      </c>
      <c r="E4" s="884">
        <v>1961</v>
      </c>
      <c r="F4" s="884">
        <v>1959</v>
      </c>
    </row>
    <row r="5" spans="1:6" ht="6.75" customHeight="1" x14ac:dyDescent="0.3">
      <c r="A5" s="320"/>
      <c r="B5" s="884"/>
      <c r="C5" s="884"/>
      <c r="D5" s="884"/>
      <c r="E5" s="884"/>
      <c r="F5" s="884"/>
    </row>
    <row r="6" spans="1:6" x14ac:dyDescent="0.3">
      <c r="A6" s="320" t="s">
        <v>2528</v>
      </c>
    </row>
    <row r="7" spans="1:6" x14ac:dyDescent="0.3">
      <c r="A7" s="211" t="s">
        <v>1258</v>
      </c>
      <c r="B7" s="1018">
        <f>Litton!B31</f>
        <v>24.348754</v>
      </c>
      <c r="C7" s="1018">
        <f>Litton!D31</f>
        <v>38.792364999999997</v>
      </c>
      <c r="D7" s="1018">
        <f>Litton!G31</f>
        <v>26.213082</v>
      </c>
      <c r="E7" s="1018"/>
      <c r="F7" s="1018">
        <f>Litton!Q31</f>
        <v>1.7962039999999999</v>
      </c>
    </row>
    <row r="8" spans="1:6" x14ac:dyDescent="0.3">
      <c r="A8" s="211" t="s">
        <v>2529</v>
      </c>
      <c r="B8" s="226">
        <f>B7/$F7</f>
        <v>13.555672963650009</v>
      </c>
      <c r="C8" s="226">
        <f t="shared" ref="C8:F8" si="0">C7/$F7</f>
        <v>21.596859265428648</v>
      </c>
      <c r="D8" s="226">
        <f t="shared" si="0"/>
        <v>14.593599613406941</v>
      </c>
      <c r="E8" s="226"/>
      <c r="F8" s="226">
        <f t="shared" si="0"/>
        <v>1</v>
      </c>
    </row>
    <row r="10" spans="1:6" x14ac:dyDescent="0.3">
      <c r="A10" s="211" t="s">
        <v>2534</v>
      </c>
      <c r="B10" s="908"/>
      <c r="C10" s="908"/>
      <c r="D10" s="908"/>
      <c r="E10" s="908"/>
      <c r="F10" s="908"/>
    </row>
    <row r="11" spans="1:6" x14ac:dyDescent="0.3">
      <c r="A11" s="211" t="s">
        <v>1258</v>
      </c>
      <c r="B11" s="1018">
        <f>Teledyne!B31</f>
        <v>11.089568999999999</v>
      </c>
      <c r="C11" s="1018">
        <f>Teledyne!D31</f>
        <v>18.877134000000002</v>
      </c>
      <c r="D11" s="1018">
        <f>Teledyne!G31</f>
        <v>24.942442</v>
      </c>
      <c r="E11" s="1018">
        <f>Teledyne!O31</f>
        <v>0.51954999999999996</v>
      </c>
    </row>
    <row r="12" spans="1:6" x14ac:dyDescent="0.3">
      <c r="A12" s="211" t="s">
        <v>2529</v>
      </c>
      <c r="B12" s="226">
        <f>B11/$E11</f>
        <v>21.344565489365799</v>
      </c>
      <c r="C12" s="226">
        <f>C11/$E11</f>
        <v>36.333623327879906</v>
      </c>
      <c r="D12" s="226">
        <f>D11/$E11</f>
        <v>48.00777980945049</v>
      </c>
      <c r="E12" s="226">
        <f>E11/$E11</f>
        <v>1</v>
      </c>
    </row>
    <row r="13" spans="1:6" x14ac:dyDescent="0.3">
      <c r="B13" s="908"/>
      <c r="C13" s="908"/>
      <c r="D13" s="908"/>
      <c r="E13" s="908"/>
      <c r="F13" s="908"/>
    </row>
    <row r="14" spans="1:6" x14ac:dyDescent="0.3">
      <c r="A14" s="211" t="s">
        <v>2540</v>
      </c>
      <c r="B14" s="908"/>
      <c r="C14" s="908"/>
      <c r="D14" s="908"/>
      <c r="E14" s="908"/>
      <c r="F14" s="908"/>
    </row>
    <row r="15" spans="1:6" x14ac:dyDescent="0.3">
      <c r="B15" s="908"/>
      <c r="C15" s="908"/>
      <c r="D15" s="908"/>
      <c r="E15" s="908"/>
      <c r="F15" s="908"/>
    </row>
    <row r="16" spans="1:6" x14ac:dyDescent="0.3">
      <c r="B16" s="908"/>
      <c r="C16" s="908"/>
      <c r="D16" s="908"/>
      <c r="E16" s="908"/>
      <c r="F16" s="908"/>
    </row>
    <row r="17" spans="1:17" x14ac:dyDescent="0.3">
      <c r="B17" s="226"/>
      <c r="C17" s="226"/>
      <c r="D17" s="226"/>
      <c r="E17" s="226"/>
      <c r="F17" s="226"/>
    </row>
    <row r="20" spans="1:17" x14ac:dyDescent="0.3">
      <c r="A20" s="211" t="s">
        <v>998</v>
      </c>
      <c r="J20" s="211" t="s">
        <v>176</v>
      </c>
    </row>
    <row r="21" spans="1:17" x14ac:dyDescent="0.3">
      <c r="A21" s="211" t="s">
        <v>2531</v>
      </c>
    </row>
    <row r="22" spans="1:17" x14ac:dyDescent="0.3">
      <c r="A22" s="211" t="s">
        <v>2535</v>
      </c>
    </row>
    <row r="23" spans="1:17" x14ac:dyDescent="0.3">
      <c r="L23" s="459" t="s">
        <v>2497</v>
      </c>
    </row>
    <row r="24" spans="1:17" x14ac:dyDescent="0.3">
      <c r="L24" s="152" t="s">
        <v>2546</v>
      </c>
    </row>
    <row r="25" spans="1:17" ht="9.75" customHeight="1" thickBot="1" x14ac:dyDescent="0.35">
      <c r="L25" s="152"/>
    </row>
    <row r="26" spans="1:17" ht="31.2" x14ac:dyDescent="0.3">
      <c r="L26" s="453"/>
      <c r="M26" s="1906" t="s">
        <v>2544</v>
      </c>
      <c r="N26" s="512"/>
      <c r="O26" s="1906" t="s">
        <v>2545</v>
      </c>
      <c r="P26" s="512"/>
      <c r="Q26" s="1907" t="s">
        <v>2541</v>
      </c>
    </row>
    <row r="27" spans="1:17" x14ac:dyDescent="0.3">
      <c r="L27" s="1391" t="s">
        <v>2532</v>
      </c>
      <c r="M27" s="1908">
        <f>LTV!B31/LTV!M31-1</f>
        <v>0.77873858455866163</v>
      </c>
      <c r="N27" s="1696"/>
      <c r="O27" s="1908">
        <f>LTV!B6/LTV!L6-1</f>
        <v>77.353585085798514</v>
      </c>
      <c r="P27" s="1908"/>
      <c r="Q27" s="770">
        <f>AVERAGE(LTV!B10:J10)</f>
        <v>0.14211703241123663</v>
      </c>
    </row>
    <row r="28" spans="1:17" x14ac:dyDescent="0.3">
      <c r="L28" s="1391" t="s">
        <v>2550</v>
      </c>
      <c r="M28" s="1908">
        <f>ITT!G31/ITT!Q31-1</f>
        <v>3.209396883288484</v>
      </c>
      <c r="N28" s="1696"/>
      <c r="O28" s="1908">
        <f>ITT!G6/ITT!Q6-1</f>
        <v>6.1505456136784185</v>
      </c>
      <c r="P28" s="1908"/>
      <c r="Q28" s="770">
        <f>AVERAGE(ITT!G10:Q10)</f>
        <v>0.13569246697102319</v>
      </c>
    </row>
    <row r="29" spans="1:17" x14ac:dyDescent="0.3">
      <c r="L29" s="1391" t="s">
        <v>2542</v>
      </c>
      <c r="M29" s="1908">
        <f>Litton!G31/Litton!R31-1</f>
        <v>14.49796173440882</v>
      </c>
      <c r="N29" s="1696"/>
      <c r="O29" s="1908">
        <f>Litton!G6/Litton!R6-1</f>
        <v>25.175042020385117</v>
      </c>
      <c r="P29" s="1908"/>
      <c r="Q29" s="770">
        <f>AVERAGE(Litton!G10:Q10)</f>
        <v>0.21358591755024009</v>
      </c>
    </row>
    <row r="30" spans="1:17" ht="18.600000000000001" x14ac:dyDescent="0.3">
      <c r="L30" s="1391" t="s">
        <v>2543</v>
      </c>
      <c r="M30" s="1908">
        <f>Teledyne!G31/Teledyne!O31-1</f>
        <v>47.00777980945049</v>
      </c>
      <c r="N30" s="1696"/>
      <c r="O30" s="1908">
        <f>Teledyne!F6/Teledyne!O6-1</f>
        <v>273.2083759051402</v>
      </c>
      <c r="P30" s="1908"/>
      <c r="Q30" s="770">
        <f>AVERAGE(Teledyne!F10:N10)</f>
        <v>0.18953507174761991</v>
      </c>
    </row>
    <row r="31" spans="1:17" x14ac:dyDescent="0.3">
      <c r="L31" s="1391" t="s">
        <v>2533</v>
      </c>
      <c r="M31" s="1908">
        <f>'G&amp;W'!C31/'G&amp;W'!N31-1</f>
        <v>60.485855493813666</v>
      </c>
      <c r="N31" s="1696"/>
      <c r="O31" s="1908">
        <f>'G&amp;W'!C6/'G&amp;W'!N6-1</f>
        <v>191.16808590602108</v>
      </c>
      <c r="P31" s="1908"/>
      <c r="Q31" s="770">
        <f>AVERAGE('G&amp;W'!C10:M10)</f>
        <v>0.16680736818139433</v>
      </c>
    </row>
    <row r="32" spans="1:17" x14ac:dyDescent="0.3">
      <c r="L32" s="214"/>
      <c r="M32" s="220"/>
      <c r="N32" s="220"/>
      <c r="O32" s="220"/>
      <c r="P32" s="220"/>
      <c r="Q32" s="223"/>
    </row>
    <row r="33" spans="12:17" x14ac:dyDescent="0.3">
      <c r="L33" s="214" t="s">
        <v>1398</v>
      </c>
      <c r="M33" s="220"/>
      <c r="N33" s="220"/>
      <c r="O33" s="220"/>
      <c r="P33" s="220"/>
      <c r="Q33" s="223"/>
    </row>
    <row r="34" spans="12:17" ht="16.2" thickBot="1" x14ac:dyDescent="0.35">
      <c r="L34" s="224" t="s">
        <v>2547</v>
      </c>
      <c r="M34" s="218"/>
      <c r="N34" s="218"/>
      <c r="O34" s="218"/>
      <c r="P34" s="218"/>
      <c r="Q34" s="219"/>
    </row>
    <row r="35" spans="12:17" x14ac:dyDescent="0.3">
      <c r="L35" s="2809" t="s">
        <v>2551</v>
      </c>
      <c r="M35" s="2809"/>
      <c r="N35" s="2809"/>
      <c r="O35" s="2809"/>
      <c r="P35" s="2809"/>
      <c r="Q35" s="2809"/>
    </row>
    <row r="36" spans="12:17" x14ac:dyDescent="0.3">
      <c r="L36" s="2810"/>
      <c r="M36" s="2810"/>
      <c r="N36" s="2810"/>
      <c r="O36" s="2810"/>
      <c r="P36" s="2810"/>
      <c r="Q36" s="2810"/>
    </row>
  </sheetData>
  <mergeCells count="1">
    <mergeCell ref="L35:Q36"/>
  </mergeCells>
  <pageMargins left="0.7" right="0.7" top="0.75" bottom="0.75" header="0.3" footer="0.3"/>
  <pageSetup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91D3-AEE2-44DC-8633-65A96CFAB769}">
  <sheetPr>
    <tabColor theme="0" tint="-0.34998626667073579"/>
  </sheetPr>
  <dimension ref="A2:J6"/>
  <sheetViews>
    <sheetView workbookViewId="0">
      <selection activeCell="K22" sqref="K22"/>
    </sheetView>
  </sheetViews>
  <sheetFormatPr defaultColWidth="9.109375" defaultRowHeight="15.6" x14ac:dyDescent="0.3"/>
  <cols>
    <col min="1" max="1" width="25.33203125" style="211" customWidth="1"/>
    <col min="2" max="6" width="11.5546875" style="211" bestFit="1" customWidth="1"/>
    <col min="7" max="7" width="9.88671875" style="211" bestFit="1" customWidth="1"/>
    <col min="8" max="8" width="11.5546875" style="211" bestFit="1" customWidth="1"/>
    <col min="9" max="16384" width="9.109375" style="211"/>
  </cols>
  <sheetData>
    <row r="2" spans="1:10" x14ac:dyDescent="0.3">
      <c r="B2" s="884">
        <v>2019</v>
      </c>
      <c r="C2" s="884">
        <v>2014</v>
      </c>
      <c r="D2" s="884">
        <v>2004</v>
      </c>
      <c r="E2" s="884">
        <v>1994</v>
      </c>
      <c r="F2" s="884">
        <v>1984</v>
      </c>
      <c r="G2" s="884">
        <v>1974</v>
      </c>
      <c r="H2" s="884">
        <v>1964</v>
      </c>
    </row>
    <row r="3" spans="1:10" x14ac:dyDescent="0.3">
      <c r="A3" s="211" t="s">
        <v>2537</v>
      </c>
      <c r="B3" s="230">
        <f>'9. Equity recon. ''14-''19'!B20</f>
        <v>1624957.6886666666</v>
      </c>
      <c r="C3" s="230">
        <f>'9. Equity recon. ''14-''19'!G20</f>
        <v>1642909.3253333333</v>
      </c>
      <c r="D3" s="230">
        <f>'7. Equity Reconc. ''04-''14'!L20</f>
        <v>1538755.5</v>
      </c>
      <c r="E3" s="230">
        <f>'6. Equity Reconc.'!L20</f>
        <v>1177750</v>
      </c>
      <c r="F3" s="230">
        <f>'4. Financials'!B78</f>
        <v>1146909</v>
      </c>
      <c r="G3" s="230">
        <f>'4. Financials'!P78</f>
        <v>979569</v>
      </c>
      <c r="H3" s="230">
        <f>'3. Financials'!M53</f>
        <v>1137778</v>
      </c>
      <c r="J3" s="227">
        <f>(C3/H3)^1/50</f>
        <v>2.8879259843894563E-2</v>
      </c>
    </row>
    <row r="4" spans="1:10" x14ac:dyDescent="0.3">
      <c r="A4" s="211" t="s">
        <v>2539</v>
      </c>
      <c r="C4" s="227">
        <f>C3/D3-1</f>
        <v>6.7687053162983624E-2</v>
      </c>
      <c r="D4" s="227">
        <f t="shared" ref="D4:G4" si="0">D3/E3-1</f>
        <v>0.30652133305030782</v>
      </c>
      <c r="E4" s="227">
        <f t="shared" si="0"/>
        <v>2.6890537958983662E-2</v>
      </c>
      <c r="F4" s="227">
        <f t="shared" si="0"/>
        <v>0.17083023247979479</v>
      </c>
      <c r="G4" s="227">
        <f t="shared" si="0"/>
        <v>-0.13905085174788057</v>
      </c>
    </row>
    <row r="6" spans="1:10" x14ac:dyDescent="0.3">
      <c r="A6" s="211" t="s">
        <v>2538</v>
      </c>
      <c r="B6" s="226">
        <f t="shared" ref="B6:H6" si="1">B3/$H$3</f>
        <v>1.4281851896122677</v>
      </c>
      <c r="C6" s="226">
        <f t="shared" si="1"/>
        <v>1.4439629921947281</v>
      </c>
      <c r="D6" s="226">
        <f t="shared" si="1"/>
        <v>1.3524215620270386</v>
      </c>
      <c r="E6" s="226">
        <f t="shared" si="1"/>
        <v>1.0351316337633527</v>
      </c>
      <c r="F6" s="226">
        <f t="shared" si="1"/>
        <v>1.0080252914013104</v>
      </c>
      <c r="G6" s="226">
        <f t="shared" si="1"/>
        <v>0.86094914825211943</v>
      </c>
      <c r="H6" s="226">
        <f t="shared" si="1"/>
        <v>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97F7-015E-41E9-BA15-349802B1F4C3}">
  <sheetPr>
    <tabColor theme="4"/>
  </sheetPr>
  <dimension ref="A1:T30"/>
  <sheetViews>
    <sheetView showGridLines="0" zoomScale="70" zoomScaleNormal="70" workbookViewId="0">
      <selection activeCell="AC33" sqref="AC33"/>
    </sheetView>
  </sheetViews>
  <sheetFormatPr defaultColWidth="9.109375" defaultRowHeight="15.6" x14ac:dyDescent="0.3"/>
  <cols>
    <col min="1" max="1" width="5.6640625" style="211" customWidth="1"/>
    <col min="2" max="2" width="5.5546875" style="211" customWidth="1"/>
    <col min="3" max="3" width="11.33203125" style="211" customWidth="1"/>
    <col min="4" max="4" width="11.109375" style="211" customWidth="1"/>
    <col min="5" max="5" width="7.44140625" style="211" customWidth="1"/>
    <col min="6" max="6" width="5.44140625" style="211" customWidth="1"/>
    <col min="7" max="7" width="1" style="211" customWidth="1"/>
    <col min="8" max="8" width="0.88671875" style="211" customWidth="1"/>
    <col min="9" max="9" width="2.33203125" style="211" customWidth="1"/>
    <col min="10" max="10" width="5.44140625" style="211" customWidth="1"/>
    <col min="11" max="12" width="11.109375" style="211" customWidth="1"/>
    <col min="13" max="13" width="4.109375" style="211" customWidth="1"/>
    <col min="14" max="14" width="4.88671875" style="211" customWidth="1"/>
    <col min="15" max="15" width="0.88671875" style="211" customWidth="1"/>
    <col min="16" max="16384" width="9.109375" style="211"/>
  </cols>
  <sheetData>
    <row r="1" spans="1:15" x14ac:dyDescent="0.3">
      <c r="B1" s="152" t="s">
        <v>2703</v>
      </c>
      <c r="C1" s="152"/>
    </row>
    <row r="2" spans="1:15" x14ac:dyDescent="0.3">
      <c r="B2" s="152" t="s">
        <v>2702</v>
      </c>
      <c r="C2" s="152"/>
    </row>
    <row r="3" spans="1:15" ht="7.5" customHeight="1" thickBot="1" x14ac:dyDescent="0.35"/>
    <row r="4" spans="1:15" x14ac:dyDescent="0.3">
      <c r="B4" s="453"/>
      <c r="C4" s="522" t="s">
        <v>2701</v>
      </c>
      <c r="D4" s="522"/>
      <c r="E4" s="522"/>
      <c r="F4" s="522"/>
      <c r="G4" s="522"/>
      <c r="H4" s="2007"/>
      <c r="I4" s="522"/>
      <c r="J4" s="522"/>
      <c r="K4" s="522" t="s">
        <v>2700</v>
      </c>
      <c r="L4" s="522"/>
      <c r="M4" s="522"/>
      <c r="N4" s="522"/>
      <c r="O4" s="389"/>
    </row>
    <row r="5" spans="1:15" x14ac:dyDescent="0.3">
      <c r="B5" s="214"/>
      <c r="C5" s="211" t="s">
        <v>2699</v>
      </c>
      <c r="H5" s="372"/>
      <c r="K5" s="211" t="s">
        <v>2698</v>
      </c>
      <c r="O5" s="223"/>
    </row>
    <row r="6" spans="1:15" x14ac:dyDescent="0.3">
      <c r="B6" s="214"/>
      <c r="C6" s="211" t="s">
        <v>2697</v>
      </c>
      <c r="H6" s="372"/>
      <c r="K6" s="211" t="s">
        <v>2696</v>
      </c>
      <c r="O6" s="223"/>
    </row>
    <row r="7" spans="1:15" x14ac:dyDescent="0.3">
      <c r="B7" s="214"/>
      <c r="H7" s="372"/>
      <c r="O7" s="223"/>
    </row>
    <row r="8" spans="1:15" x14ac:dyDescent="0.3">
      <c r="A8" s="223"/>
      <c r="B8" s="214"/>
      <c r="D8" s="597" t="s">
        <v>2681</v>
      </c>
      <c r="E8" s="2817" t="s">
        <v>2695</v>
      </c>
      <c r="F8" s="2815" t="s">
        <v>265</v>
      </c>
      <c r="H8" s="372"/>
      <c r="L8" s="597" t="s">
        <v>2690</v>
      </c>
      <c r="M8" s="2818" t="s">
        <v>2694</v>
      </c>
      <c r="N8" s="2813" t="s">
        <v>265</v>
      </c>
      <c r="O8" s="223"/>
    </row>
    <row r="9" spans="1:15" x14ac:dyDescent="0.3">
      <c r="B9" s="2814" t="s">
        <v>1020</v>
      </c>
      <c r="C9" s="211" t="s">
        <v>2692</v>
      </c>
      <c r="D9" s="597" t="s">
        <v>2692</v>
      </c>
      <c r="E9" s="2817"/>
      <c r="F9" s="2815"/>
      <c r="H9" s="372"/>
      <c r="L9" s="597" t="s">
        <v>2689</v>
      </c>
      <c r="M9" s="2818"/>
      <c r="N9" s="2813"/>
      <c r="O9" s="223"/>
    </row>
    <row r="10" spans="1:15" x14ac:dyDescent="0.3">
      <c r="B10" s="2814"/>
      <c r="C10" s="211" t="s">
        <v>2691</v>
      </c>
      <c r="D10" s="597" t="s">
        <v>2691</v>
      </c>
      <c r="E10" s="2817"/>
      <c r="F10" s="2815"/>
      <c r="H10" s="372"/>
      <c r="L10" s="597" t="s">
        <v>2688</v>
      </c>
      <c r="M10" s="2818"/>
      <c r="N10" s="2813"/>
      <c r="O10" s="223"/>
    </row>
    <row r="11" spans="1:15" x14ac:dyDescent="0.3">
      <c r="B11" s="2814"/>
      <c r="C11" s="211" t="s">
        <v>2690</v>
      </c>
      <c r="D11" s="2006" t="s">
        <v>2690</v>
      </c>
      <c r="E11" s="2816" t="s">
        <v>2693</v>
      </c>
      <c r="F11" s="2815"/>
      <c r="H11" s="372"/>
      <c r="L11" s="597" t="s">
        <v>2687</v>
      </c>
      <c r="M11" s="2818"/>
      <c r="N11" s="2813"/>
      <c r="O11" s="223"/>
    </row>
    <row r="12" spans="1:15" x14ac:dyDescent="0.3">
      <c r="B12" s="2814"/>
      <c r="C12" s="211" t="s">
        <v>2689</v>
      </c>
      <c r="D12" s="2006" t="s">
        <v>2689</v>
      </c>
      <c r="E12" s="2816"/>
      <c r="F12" s="2815"/>
      <c r="H12" s="372"/>
      <c r="L12" s="597" t="s">
        <v>2686</v>
      </c>
      <c r="M12" s="2818"/>
      <c r="N12" s="2813"/>
      <c r="O12" s="223"/>
    </row>
    <row r="13" spans="1:15" x14ac:dyDescent="0.3">
      <c r="B13" s="2814"/>
      <c r="C13" s="211" t="s">
        <v>2688</v>
      </c>
      <c r="D13" s="2006" t="s">
        <v>2688</v>
      </c>
      <c r="E13" s="2816"/>
      <c r="F13" s="2815"/>
      <c r="H13" s="372"/>
      <c r="L13" s="597" t="s">
        <v>2685</v>
      </c>
      <c r="M13" s="2818"/>
      <c r="N13" s="2813"/>
      <c r="O13" s="223"/>
    </row>
    <row r="14" spans="1:15" x14ac:dyDescent="0.3">
      <c r="B14" s="2814"/>
      <c r="C14" s="211" t="s">
        <v>2687</v>
      </c>
      <c r="D14" s="2006" t="s">
        <v>2687</v>
      </c>
      <c r="E14" s="2816"/>
      <c r="F14" s="2815"/>
      <c r="H14" s="372"/>
      <c r="L14" s="597" t="s">
        <v>2684</v>
      </c>
      <c r="M14" s="2818"/>
      <c r="N14" s="2813"/>
      <c r="O14" s="223"/>
    </row>
    <row r="15" spans="1:15" x14ac:dyDescent="0.3">
      <c r="B15" s="2814"/>
      <c r="C15" s="211" t="s">
        <v>2686</v>
      </c>
      <c r="D15" s="2006" t="s">
        <v>2686</v>
      </c>
      <c r="E15" s="2816"/>
      <c r="F15" s="2815"/>
      <c r="H15" s="372"/>
      <c r="L15" s="597" t="s">
        <v>2683</v>
      </c>
      <c r="M15" s="2818"/>
      <c r="N15" s="2813"/>
      <c r="O15" s="223"/>
    </row>
    <row r="16" spans="1:15" x14ac:dyDescent="0.3">
      <c r="B16" s="2814"/>
      <c r="C16" s="211" t="s">
        <v>2685</v>
      </c>
      <c r="D16" s="2006" t="s">
        <v>2685</v>
      </c>
      <c r="E16" s="2816"/>
      <c r="F16" s="2815"/>
      <c r="H16" s="372"/>
      <c r="L16" s="597" t="s">
        <v>2682</v>
      </c>
      <c r="M16" s="2818"/>
      <c r="N16" s="2813"/>
      <c r="O16" s="223"/>
    </row>
    <row r="17" spans="2:20" x14ac:dyDescent="0.3">
      <c r="B17" s="2814"/>
      <c r="C17" s="211" t="s">
        <v>2684</v>
      </c>
      <c r="D17" s="2006" t="s">
        <v>2684</v>
      </c>
      <c r="E17" s="2816"/>
      <c r="F17" s="2815"/>
      <c r="H17" s="372"/>
      <c r="L17" s="597" t="s">
        <v>2681</v>
      </c>
      <c r="M17" s="2818"/>
      <c r="N17" s="2813"/>
      <c r="O17" s="223"/>
    </row>
    <row r="18" spans="2:20" x14ac:dyDescent="0.3">
      <c r="B18" s="2814"/>
      <c r="C18" s="211" t="s">
        <v>2683</v>
      </c>
      <c r="D18" s="2006" t="s">
        <v>2683</v>
      </c>
      <c r="E18" s="2816"/>
      <c r="F18" s="2815"/>
      <c r="H18" s="372"/>
      <c r="J18" s="2819" t="s">
        <v>1020</v>
      </c>
      <c r="K18" s="211" t="s">
        <v>2692</v>
      </c>
      <c r="L18" s="597" t="s">
        <v>2692</v>
      </c>
      <c r="M18" s="2818"/>
      <c r="N18" s="2813"/>
      <c r="O18" s="223"/>
      <c r="T18" s="211" t="s">
        <v>176</v>
      </c>
    </row>
    <row r="19" spans="2:20" x14ac:dyDescent="0.3">
      <c r="B19" s="2815"/>
      <c r="C19" s="214" t="s">
        <v>2682</v>
      </c>
      <c r="D19" s="2006" t="s">
        <v>2682</v>
      </c>
      <c r="E19" s="2816"/>
      <c r="F19" s="2815"/>
      <c r="H19" s="372"/>
      <c r="J19" s="2819"/>
      <c r="K19" s="211" t="s">
        <v>2691</v>
      </c>
      <c r="L19" s="597" t="s">
        <v>2691</v>
      </c>
      <c r="M19" s="2818"/>
      <c r="N19" s="2813"/>
      <c r="O19" s="223"/>
    </row>
    <row r="20" spans="2:20" x14ac:dyDescent="0.3">
      <c r="B20" s="2814"/>
      <c r="C20" s="211" t="s">
        <v>2681</v>
      </c>
      <c r="H20" s="372"/>
      <c r="J20" s="2819"/>
      <c r="K20" s="211" t="s">
        <v>2690</v>
      </c>
      <c r="O20" s="223"/>
    </row>
    <row r="21" spans="2:20" x14ac:dyDescent="0.3">
      <c r="B21" s="214"/>
      <c r="H21" s="372"/>
      <c r="J21" s="2819"/>
      <c r="K21" s="211" t="s">
        <v>2689</v>
      </c>
      <c r="O21" s="223"/>
    </row>
    <row r="22" spans="2:20" x14ac:dyDescent="0.3">
      <c r="B22" s="214"/>
      <c r="H22" s="372"/>
      <c r="J22" s="2819"/>
      <c r="K22" s="211" t="s">
        <v>2688</v>
      </c>
      <c r="O22" s="223"/>
    </row>
    <row r="23" spans="2:20" x14ac:dyDescent="0.3">
      <c r="B23" s="214"/>
      <c r="H23" s="372"/>
      <c r="J23" s="2819"/>
      <c r="K23" s="211" t="s">
        <v>2687</v>
      </c>
      <c r="O23" s="223"/>
    </row>
    <row r="24" spans="2:20" x14ac:dyDescent="0.3">
      <c r="B24" s="214"/>
      <c r="H24" s="372"/>
      <c r="J24" s="2819"/>
      <c r="K24" s="211" t="s">
        <v>2686</v>
      </c>
      <c r="O24" s="223"/>
    </row>
    <row r="25" spans="2:20" x14ac:dyDescent="0.3">
      <c r="B25" s="214"/>
      <c r="H25" s="372"/>
      <c r="J25" s="2819"/>
      <c r="K25" s="211" t="s">
        <v>2685</v>
      </c>
      <c r="O25" s="223"/>
    </row>
    <row r="26" spans="2:20" x14ac:dyDescent="0.3">
      <c r="B26" s="214"/>
      <c r="H26" s="372"/>
      <c r="J26" s="2819"/>
      <c r="K26" s="211" t="s">
        <v>2684</v>
      </c>
      <c r="O26" s="223"/>
    </row>
    <row r="27" spans="2:20" x14ac:dyDescent="0.3">
      <c r="B27" s="214"/>
      <c r="H27" s="372"/>
      <c r="J27" s="2819"/>
      <c r="K27" s="211" t="s">
        <v>2683</v>
      </c>
      <c r="O27" s="223"/>
    </row>
    <row r="28" spans="2:20" x14ac:dyDescent="0.3">
      <c r="B28" s="214"/>
      <c r="H28" s="372"/>
      <c r="J28" s="2819"/>
      <c r="K28" s="211" t="s">
        <v>2682</v>
      </c>
      <c r="O28" s="223"/>
    </row>
    <row r="29" spans="2:20" x14ac:dyDescent="0.3">
      <c r="B29" s="214"/>
      <c r="H29" s="372"/>
      <c r="J29" s="2819"/>
      <c r="K29" s="211" t="s">
        <v>2681</v>
      </c>
      <c r="O29" s="223"/>
    </row>
    <row r="30" spans="2:20" ht="6.75" customHeight="1" thickBot="1" x14ac:dyDescent="0.35">
      <c r="B30" s="224"/>
      <c r="C30" s="218"/>
      <c r="D30" s="218"/>
      <c r="E30" s="218"/>
      <c r="F30" s="218"/>
      <c r="G30" s="218"/>
      <c r="H30" s="2005"/>
      <c r="I30" s="218"/>
      <c r="J30" s="218"/>
      <c r="K30" s="218"/>
      <c r="L30" s="218"/>
      <c r="M30" s="218"/>
      <c r="N30" s="218"/>
      <c r="O30" s="219"/>
    </row>
  </sheetData>
  <mergeCells count="7">
    <mergeCell ref="N8:N19"/>
    <mergeCell ref="B9:B20"/>
    <mergeCell ref="F8:F19"/>
    <mergeCell ref="E11:E19"/>
    <mergeCell ref="E8:E10"/>
    <mergeCell ref="M8:M19"/>
    <mergeCell ref="J18:J29"/>
  </mergeCell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DD03-4A93-4F59-A1E2-534D7ECB8309}">
  <sheetPr>
    <tabColor theme="0" tint="-0.34998626667073579"/>
  </sheetPr>
  <dimension ref="A1:O83"/>
  <sheetViews>
    <sheetView showGridLines="0" topLeftCell="A18" zoomScale="70" zoomScaleNormal="70" workbookViewId="0">
      <selection activeCell="U52" sqref="U52"/>
    </sheetView>
  </sheetViews>
  <sheetFormatPr defaultColWidth="9.109375" defaultRowHeight="15.6" x14ac:dyDescent="0.3"/>
  <cols>
    <col min="1" max="1" width="14.33203125" style="211" customWidth="1"/>
    <col min="2" max="2" width="16" style="211" customWidth="1"/>
    <col min="3" max="3" width="22.33203125" style="211" bestFit="1" customWidth="1"/>
    <col min="4" max="4" width="12.88671875" style="211" customWidth="1"/>
    <col min="5" max="5" width="9.109375" style="211"/>
    <col min="6" max="6" width="4.33203125" style="211" customWidth="1"/>
    <col min="7" max="8" width="9.109375" style="211"/>
    <col min="9" max="9" width="13.109375" style="211" bestFit="1" customWidth="1"/>
    <col min="10" max="16384" width="9.109375" style="211"/>
  </cols>
  <sheetData>
    <row r="1" spans="1:15" x14ac:dyDescent="0.3">
      <c r="A1" s="211" t="s">
        <v>2505</v>
      </c>
    </row>
    <row r="2" spans="1:15" ht="16.2" thickBot="1" x14ac:dyDescent="0.35"/>
    <row r="3" spans="1:15" x14ac:dyDescent="0.3">
      <c r="C3" s="1903" t="s">
        <v>2511</v>
      </c>
    </row>
    <row r="4" spans="1:15" ht="16.2" thickBot="1" x14ac:dyDescent="0.35">
      <c r="C4" s="1904">
        <f>SUM(C18:C72)</f>
        <v>3933</v>
      </c>
    </row>
    <row r="7" spans="1:15" s="1497" customFormat="1" ht="109.2" x14ac:dyDescent="0.3">
      <c r="A7" s="1497" t="s">
        <v>156</v>
      </c>
      <c r="B7" s="1497" t="s">
        <v>2506</v>
      </c>
      <c r="C7" s="1497" t="s">
        <v>2507</v>
      </c>
      <c r="D7" s="1497" t="s">
        <v>2509</v>
      </c>
      <c r="E7" s="1497" t="s">
        <v>2510</v>
      </c>
      <c r="G7" s="1497" t="s">
        <v>2517</v>
      </c>
      <c r="I7" s="1497" t="s">
        <v>3796</v>
      </c>
    </row>
    <row r="8" spans="1:15" x14ac:dyDescent="0.3">
      <c r="A8" s="211">
        <v>1955</v>
      </c>
      <c r="B8" s="211">
        <v>12</v>
      </c>
      <c r="C8" s="211">
        <f t="shared" ref="C8:C71" si="0">B8-2</f>
        <v>10</v>
      </c>
      <c r="D8" s="211">
        <v>2</v>
      </c>
      <c r="E8" s="226">
        <f>D8/C8</f>
        <v>0.2</v>
      </c>
      <c r="G8" s="211">
        <f>C8-D8</f>
        <v>8</v>
      </c>
      <c r="J8" s="211" t="s">
        <v>2518</v>
      </c>
      <c r="O8" s="227">
        <f>(C72/C18)^(1/55)-1</f>
        <v>4.3022852322716298E-2</v>
      </c>
    </row>
    <row r="9" spans="1:15" x14ac:dyDescent="0.3">
      <c r="A9" s="211">
        <v>1956</v>
      </c>
      <c r="B9" s="211">
        <v>12</v>
      </c>
      <c r="C9" s="211">
        <f t="shared" si="0"/>
        <v>10</v>
      </c>
      <c r="D9" s="211">
        <v>2</v>
      </c>
      <c r="E9" s="226">
        <f t="shared" ref="E9:E72" si="1">D9/C9</f>
        <v>0.2</v>
      </c>
      <c r="G9" s="211">
        <f t="shared" ref="G9:G72" si="2">C9-D9</f>
        <v>8</v>
      </c>
    </row>
    <row r="10" spans="1:15" x14ac:dyDescent="0.3">
      <c r="A10" s="211">
        <v>1957</v>
      </c>
      <c r="B10" s="211">
        <v>12</v>
      </c>
      <c r="C10" s="211">
        <f t="shared" si="0"/>
        <v>10</v>
      </c>
      <c r="D10" s="211">
        <v>2</v>
      </c>
      <c r="E10" s="226">
        <f t="shared" si="1"/>
        <v>0.2</v>
      </c>
      <c r="G10" s="211">
        <f t="shared" si="2"/>
        <v>8</v>
      </c>
    </row>
    <row r="11" spans="1:15" x14ac:dyDescent="0.3">
      <c r="A11" s="211">
        <v>1958</v>
      </c>
      <c r="B11" s="211">
        <v>12</v>
      </c>
      <c r="C11" s="211">
        <f t="shared" si="0"/>
        <v>10</v>
      </c>
      <c r="D11" s="211">
        <v>2</v>
      </c>
      <c r="E11" s="226">
        <f t="shared" si="1"/>
        <v>0.2</v>
      </c>
      <c r="G11" s="211">
        <f t="shared" si="2"/>
        <v>8</v>
      </c>
    </row>
    <row r="12" spans="1:15" x14ac:dyDescent="0.3">
      <c r="A12" s="211">
        <v>1959</v>
      </c>
      <c r="B12" s="211">
        <v>16</v>
      </c>
      <c r="C12" s="211">
        <f t="shared" si="0"/>
        <v>14</v>
      </c>
      <c r="D12" s="211">
        <v>1</v>
      </c>
      <c r="E12" s="226">
        <f t="shared" si="1"/>
        <v>7.1428571428571425E-2</v>
      </c>
      <c r="G12" s="211">
        <f t="shared" si="2"/>
        <v>13</v>
      </c>
    </row>
    <row r="13" spans="1:15" x14ac:dyDescent="0.3">
      <c r="A13" s="211">
        <v>1960</v>
      </c>
      <c r="B13" s="211">
        <v>16</v>
      </c>
      <c r="C13" s="211">
        <f t="shared" si="0"/>
        <v>14</v>
      </c>
      <c r="D13" s="211">
        <v>1</v>
      </c>
      <c r="E13" s="226">
        <f t="shared" si="1"/>
        <v>7.1428571428571425E-2</v>
      </c>
      <c r="G13" s="211">
        <f t="shared" si="2"/>
        <v>13</v>
      </c>
    </row>
    <row r="14" spans="1:15" x14ac:dyDescent="0.3">
      <c r="A14" s="211">
        <v>1961</v>
      </c>
      <c r="B14" s="211">
        <v>16</v>
      </c>
      <c r="C14" s="211">
        <f t="shared" si="0"/>
        <v>14</v>
      </c>
      <c r="D14" s="211">
        <v>1</v>
      </c>
      <c r="E14" s="226">
        <f t="shared" si="1"/>
        <v>7.1428571428571425E-2</v>
      </c>
      <c r="G14" s="211">
        <f t="shared" si="2"/>
        <v>13</v>
      </c>
    </row>
    <row r="15" spans="1:15" x14ac:dyDescent="0.3">
      <c r="A15" s="211">
        <v>1962</v>
      </c>
      <c r="B15" s="211">
        <v>16</v>
      </c>
      <c r="C15" s="211">
        <f t="shared" si="0"/>
        <v>14</v>
      </c>
      <c r="D15" s="211">
        <v>1</v>
      </c>
      <c r="E15" s="226">
        <f t="shared" si="1"/>
        <v>7.1428571428571425E-2</v>
      </c>
      <c r="G15" s="211">
        <f t="shared" si="2"/>
        <v>13</v>
      </c>
    </row>
    <row r="16" spans="1:15" x14ac:dyDescent="0.3">
      <c r="A16" s="211">
        <v>1963</v>
      </c>
      <c r="B16" s="211">
        <v>16</v>
      </c>
      <c r="C16" s="211">
        <f t="shared" si="0"/>
        <v>14</v>
      </c>
      <c r="D16" s="211">
        <v>1</v>
      </c>
      <c r="E16" s="226">
        <f t="shared" si="1"/>
        <v>7.1428571428571425E-2</v>
      </c>
      <c r="G16" s="211">
        <f t="shared" si="2"/>
        <v>13</v>
      </c>
    </row>
    <row r="17" spans="1:7" x14ac:dyDescent="0.3">
      <c r="A17" s="211">
        <v>1964</v>
      </c>
      <c r="B17" s="211">
        <v>16</v>
      </c>
      <c r="C17" s="211">
        <f t="shared" si="0"/>
        <v>14</v>
      </c>
      <c r="D17" s="211">
        <v>1</v>
      </c>
      <c r="E17" s="226">
        <f t="shared" si="1"/>
        <v>7.1428571428571425E-2</v>
      </c>
      <c r="G17" s="211">
        <f t="shared" si="2"/>
        <v>13</v>
      </c>
    </row>
    <row r="18" spans="1:7" x14ac:dyDescent="0.3">
      <c r="A18" s="211">
        <v>1965</v>
      </c>
      <c r="B18" s="211">
        <v>16</v>
      </c>
      <c r="C18" s="211">
        <f>B18-2</f>
        <v>14</v>
      </c>
      <c r="D18" s="211">
        <v>1</v>
      </c>
      <c r="E18" s="226">
        <f t="shared" si="1"/>
        <v>7.1428571428571425E-2</v>
      </c>
      <c r="G18" s="211">
        <f t="shared" si="2"/>
        <v>13</v>
      </c>
    </row>
    <row r="19" spans="1:7" x14ac:dyDescent="0.3">
      <c r="A19" s="211">
        <v>1966</v>
      </c>
      <c r="B19" s="211">
        <v>12</v>
      </c>
      <c r="C19" s="211">
        <f t="shared" si="0"/>
        <v>10</v>
      </c>
      <c r="D19" s="211">
        <v>4</v>
      </c>
      <c r="E19" s="226">
        <f t="shared" si="1"/>
        <v>0.4</v>
      </c>
      <c r="G19" s="211">
        <f t="shared" si="2"/>
        <v>6</v>
      </c>
    </row>
    <row r="20" spans="1:7" x14ac:dyDescent="0.3">
      <c r="A20" s="211">
        <v>1967</v>
      </c>
      <c r="B20" s="211">
        <v>12</v>
      </c>
      <c r="C20" s="211">
        <f t="shared" si="0"/>
        <v>10</v>
      </c>
      <c r="D20" s="211">
        <v>3</v>
      </c>
      <c r="E20" s="226">
        <f t="shared" si="1"/>
        <v>0.3</v>
      </c>
      <c r="G20" s="211">
        <f t="shared" si="2"/>
        <v>7</v>
      </c>
    </row>
    <row r="21" spans="1:7" x14ac:dyDescent="0.3">
      <c r="A21" s="211">
        <v>1968</v>
      </c>
      <c r="B21" s="211">
        <v>12</v>
      </c>
      <c r="C21" s="211">
        <f t="shared" si="0"/>
        <v>10</v>
      </c>
      <c r="D21" s="211">
        <v>2</v>
      </c>
      <c r="E21" s="226">
        <f t="shared" si="1"/>
        <v>0.2</v>
      </c>
      <c r="G21" s="211">
        <f t="shared" si="2"/>
        <v>8</v>
      </c>
    </row>
    <row r="22" spans="1:7" x14ac:dyDescent="0.3">
      <c r="A22" s="211">
        <v>1969</v>
      </c>
      <c r="B22" s="211">
        <v>24</v>
      </c>
      <c r="C22" s="211">
        <f t="shared" si="0"/>
        <v>22</v>
      </c>
      <c r="D22" s="211">
        <v>2</v>
      </c>
      <c r="E22" s="226">
        <f t="shared" si="1"/>
        <v>9.0909090909090912E-2</v>
      </c>
      <c r="G22" s="211">
        <f t="shared" si="2"/>
        <v>20</v>
      </c>
    </row>
    <row r="23" spans="1:7" x14ac:dyDescent="0.3">
      <c r="A23" s="211">
        <v>1970</v>
      </c>
      <c r="B23" s="211">
        <v>32</v>
      </c>
      <c r="C23" s="211">
        <f t="shared" si="0"/>
        <v>30</v>
      </c>
      <c r="D23" s="211">
        <v>2</v>
      </c>
      <c r="E23" s="226">
        <f t="shared" si="1"/>
        <v>6.6666666666666666E-2</v>
      </c>
      <c r="G23" s="211">
        <f t="shared" si="2"/>
        <v>28</v>
      </c>
    </row>
    <row r="24" spans="1:7" x14ac:dyDescent="0.3">
      <c r="A24" s="211">
        <v>1971</v>
      </c>
      <c r="B24" s="211">
        <v>28</v>
      </c>
      <c r="C24" s="211">
        <f t="shared" si="0"/>
        <v>26</v>
      </c>
      <c r="D24" s="211">
        <v>3</v>
      </c>
      <c r="E24" s="226">
        <f t="shared" si="1"/>
        <v>0.11538461538461539</v>
      </c>
      <c r="G24" s="211">
        <f t="shared" si="2"/>
        <v>23</v>
      </c>
    </row>
    <row r="25" spans="1:7" x14ac:dyDescent="0.3">
      <c r="A25" s="211">
        <v>1972</v>
      </c>
      <c r="B25" s="211">
        <v>28</v>
      </c>
      <c r="C25" s="211">
        <f t="shared" si="0"/>
        <v>26</v>
      </c>
      <c r="D25" s="211">
        <v>3</v>
      </c>
      <c r="E25" s="226">
        <f t="shared" si="1"/>
        <v>0.11538461538461539</v>
      </c>
      <c r="G25" s="211">
        <f t="shared" si="2"/>
        <v>23</v>
      </c>
    </row>
    <row r="26" spans="1:7" x14ac:dyDescent="0.3">
      <c r="A26" s="211">
        <v>1973</v>
      </c>
      <c r="B26" s="211">
        <v>28</v>
      </c>
      <c r="C26" s="211">
        <f t="shared" si="0"/>
        <v>26</v>
      </c>
      <c r="D26" s="211">
        <v>4</v>
      </c>
      <c r="E26" s="226">
        <f t="shared" si="1"/>
        <v>0.15384615384615385</v>
      </c>
      <c r="G26" s="211">
        <f t="shared" si="2"/>
        <v>22</v>
      </c>
    </row>
    <row r="27" spans="1:7" x14ac:dyDescent="0.3">
      <c r="A27" s="211">
        <v>1974</v>
      </c>
      <c r="B27" s="211">
        <v>22</v>
      </c>
      <c r="C27" s="211">
        <f t="shared" si="0"/>
        <v>20</v>
      </c>
      <c r="D27" s="211">
        <v>5</v>
      </c>
      <c r="E27" s="226">
        <f t="shared" si="1"/>
        <v>0.25</v>
      </c>
      <c r="G27" s="211">
        <f t="shared" si="2"/>
        <v>15</v>
      </c>
    </row>
    <row r="28" spans="1:7" x14ac:dyDescent="0.3">
      <c r="A28" s="211">
        <v>1975</v>
      </c>
      <c r="B28" s="211">
        <v>50</v>
      </c>
      <c r="C28" s="211">
        <f t="shared" si="0"/>
        <v>48</v>
      </c>
      <c r="D28" s="211">
        <v>5</v>
      </c>
      <c r="E28" s="226">
        <f t="shared" si="1"/>
        <v>0.10416666666666667</v>
      </c>
      <c r="G28" s="211">
        <f t="shared" si="2"/>
        <v>43</v>
      </c>
    </row>
    <row r="29" spans="1:7" x14ac:dyDescent="0.3">
      <c r="A29" s="211">
        <v>1976</v>
      </c>
      <c r="B29" s="211">
        <v>44</v>
      </c>
      <c r="C29" s="211">
        <f t="shared" si="0"/>
        <v>42</v>
      </c>
      <c r="D29" s="211">
        <v>5</v>
      </c>
      <c r="E29" s="226">
        <f t="shared" si="1"/>
        <v>0.11904761904761904</v>
      </c>
      <c r="G29" s="211">
        <f t="shared" si="2"/>
        <v>37</v>
      </c>
    </row>
    <row r="30" spans="1:7" x14ac:dyDescent="0.3">
      <c r="A30" s="211">
        <v>1977</v>
      </c>
      <c r="B30" s="211">
        <v>48</v>
      </c>
      <c r="C30" s="211">
        <f t="shared" si="0"/>
        <v>46</v>
      </c>
      <c r="D30" s="211">
        <v>6</v>
      </c>
      <c r="E30" s="226">
        <f t="shared" si="1"/>
        <v>0.13043478260869565</v>
      </c>
      <c r="G30" s="211">
        <f t="shared" si="2"/>
        <v>40</v>
      </c>
    </row>
    <row r="31" spans="1:7" x14ac:dyDescent="0.3">
      <c r="A31" s="211">
        <v>1978</v>
      </c>
      <c r="B31" s="211">
        <v>72</v>
      </c>
      <c r="C31" s="211">
        <f t="shared" si="0"/>
        <v>70</v>
      </c>
      <c r="D31" s="211">
        <v>9</v>
      </c>
      <c r="E31" s="226">
        <f t="shared" si="1"/>
        <v>0.12857142857142856</v>
      </c>
      <c r="G31" s="211">
        <f t="shared" si="2"/>
        <v>61</v>
      </c>
    </row>
    <row r="32" spans="1:7" x14ac:dyDescent="0.3">
      <c r="A32" s="211">
        <v>1979</v>
      </c>
      <c r="B32" s="211">
        <v>94</v>
      </c>
      <c r="C32" s="211">
        <f t="shared" si="0"/>
        <v>92</v>
      </c>
      <c r="D32" s="211">
        <v>12</v>
      </c>
      <c r="E32" s="226">
        <f t="shared" si="1"/>
        <v>0.13043478260869565</v>
      </c>
      <c r="G32" s="211">
        <f t="shared" si="2"/>
        <v>80</v>
      </c>
    </row>
    <row r="33" spans="1:9" x14ac:dyDescent="0.3">
      <c r="A33" s="211">
        <v>1980</v>
      </c>
      <c r="B33" s="211">
        <v>58</v>
      </c>
      <c r="C33" s="211">
        <f t="shared" si="0"/>
        <v>56</v>
      </c>
      <c r="D33" s="211">
        <v>13</v>
      </c>
      <c r="E33" s="226">
        <f t="shared" si="1"/>
        <v>0.23214285714285715</v>
      </c>
      <c r="G33" s="211">
        <f t="shared" si="2"/>
        <v>43</v>
      </c>
    </row>
    <row r="34" spans="1:9" x14ac:dyDescent="0.3">
      <c r="A34" s="211">
        <v>1981</v>
      </c>
      <c r="B34" s="211">
        <v>58</v>
      </c>
      <c r="C34" s="211">
        <f t="shared" si="0"/>
        <v>56</v>
      </c>
      <c r="D34" s="211">
        <v>13</v>
      </c>
      <c r="E34" s="226">
        <f t="shared" si="1"/>
        <v>0.23214285714285715</v>
      </c>
      <c r="G34" s="211">
        <f t="shared" si="2"/>
        <v>43</v>
      </c>
    </row>
    <row r="35" spans="1:9" x14ac:dyDescent="0.3">
      <c r="A35" s="211">
        <v>1982</v>
      </c>
      <c r="B35" s="211">
        <v>74</v>
      </c>
      <c r="C35" s="211">
        <f t="shared" si="0"/>
        <v>72</v>
      </c>
      <c r="D35" s="211">
        <v>15</v>
      </c>
      <c r="E35" s="226">
        <f t="shared" si="1"/>
        <v>0.20833333333333334</v>
      </c>
      <c r="G35" s="211">
        <f t="shared" si="2"/>
        <v>57</v>
      </c>
    </row>
    <row r="36" spans="1:9" x14ac:dyDescent="0.3">
      <c r="A36" s="211">
        <v>1983</v>
      </c>
      <c r="B36" s="211">
        <v>61</v>
      </c>
      <c r="C36" s="211">
        <f t="shared" si="0"/>
        <v>59</v>
      </c>
      <c r="D36" s="211">
        <v>21</v>
      </c>
      <c r="E36" s="226">
        <f t="shared" si="1"/>
        <v>0.3559322033898305</v>
      </c>
      <c r="G36" s="211">
        <f t="shared" si="2"/>
        <v>38</v>
      </c>
    </row>
    <row r="37" spans="1:9" x14ac:dyDescent="0.3">
      <c r="A37" s="211">
        <v>1984</v>
      </c>
      <c r="B37" s="211">
        <v>72</v>
      </c>
      <c r="C37" s="211">
        <f t="shared" si="0"/>
        <v>70</v>
      </c>
      <c r="D37" s="211">
        <v>22</v>
      </c>
      <c r="E37" s="226">
        <f t="shared" si="1"/>
        <v>0.31428571428571428</v>
      </c>
      <c r="G37" s="211">
        <f t="shared" si="2"/>
        <v>48</v>
      </c>
    </row>
    <row r="38" spans="1:9" x14ac:dyDescent="0.3">
      <c r="A38" s="211">
        <v>1985</v>
      </c>
      <c r="B38" s="211">
        <v>86</v>
      </c>
      <c r="C38" s="211">
        <f t="shared" si="0"/>
        <v>84</v>
      </c>
      <c r="D38" s="211">
        <v>22</v>
      </c>
      <c r="E38" s="226">
        <f t="shared" si="1"/>
        <v>0.26190476190476192</v>
      </c>
      <c r="G38" s="211">
        <f t="shared" si="2"/>
        <v>62</v>
      </c>
    </row>
    <row r="39" spans="1:9" x14ac:dyDescent="0.3">
      <c r="A39" s="211">
        <v>1986</v>
      </c>
      <c r="B39" s="211">
        <v>67</v>
      </c>
      <c r="C39" s="211">
        <f t="shared" si="0"/>
        <v>65</v>
      </c>
      <c r="D39" s="211">
        <v>25</v>
      </c>
      <c r="E39" s="226">
        <f t="shared" si="1"/>
        <v>0.38461538461538464</v>
      </c>
      <c r="G39" s="211">
        <f t="shared" si="2"/>
        <v>40</v>
      </c>
    </row>
    <row r="40" spans="1:9" x14ac:dyDescent="0.3">
      <c r="A40" s="211">
        <v>1987</v>
      </c>
      <c r="B40" s="211">
        <v>68</v>
      </c>
      <c r="C40" s="211">
        <f t="shared" si="0"/>
        <v>66</v>
      </c>
      <c r="D40" s="211">
        <v>21</v>
      </c>
      <c r="E40" s="226">
        <f t="shared" si="1"/>
        <v>0.31818181818181818</v>
      </c>
      <c r="G40" s="211">
        <f t="shared" si="2"/>
        <v>45</v>
      </c>
    </row>
    <row r="41" spans="1:9" x14ac:dyDescent="0.3">
      <c r="A41" s="211">
        <v>1988</v>
      </c>
      <c r="B41" s="211">
        <v>78</v>
      </c>
      <c r="C41" s="211">
        <f t="shared" si="0"/>
        <v>76</v>
      </c>
      <c r="D41" s="211">
        <v>21</v>
      </c>
      <c r="E41" s="226">
        <f t="shared" si="1"/>
        <v>0.27631578947368424</v>
      </c>
      <c r="G41" s="211">
        <f t="shared" si="2"/>
        <v>55</v>
      </c>
    </row>
    <row r="42" spans="1:9" x14ac:dyDescent="0.3">
      <c r="A42" s="211">
        <v>1989</v>
      </c>
      <c r="B42" s="211">
        <v>76</v>
      </c>
      <c r="C42" s="211">
        <f t="shared" si="0"/>
        <v>74</v>
      </c>
      <c r="D42" s="211">
        <v>24</v>
      </c>
      <c r="E42" s="226">
        <f t="shared" si="1"/>
        <v>0.32432432432432434</v>
      </c>
      <c r="G42" s="211">
        <f t="shared" si="2"/>
        <v>50</v>
      </c>
    </row>
    <row r="43" spans="1:9" x14ac:dyDescent="0.3">
      <c r="A43" s="211">
        <v>1990</v>
      </c>
      <c r="B43" s="211">
        <v>76</v>
      </c>
      <c r="C43" s="211">
        <f t="shared" si="0"/>
        <v>74</v>
      </c>
      <c r="D43" s="211">
        <v>24</v>
      </c>
      <c r="E43" s="226">
        <f t="shared" si="1"/>
        <v>0.32432432432432434</v>
      </c>
      <c r="G43" s="211">
        <f t="shared" si="2"/>
        <v>50</v>
      </c>
    </row>
    <row r="44" spans="1:9" x14ac:dyDescent="0.3">
      <c r="A44" s="211">
        <v>1991</v>
      </c>
      <c r="B44" s="211">
        <v>64</v>
      </c>
      <c r="C44" s="211">
        <f t="shared" si="0"/>
        <v>62</v>
      </c>
      <c r="D44" s="211">
        <v>14</v>
      </c>
      <c r="E44" s="226">
        <f t="shared" si="1"/>
        <v>0.22580645161290322</v>
      </c>
      <c r="G44" s="211">
        <f t="shared" si="2"/>
        <v>48</v>
      </c>
    </row>
    <row r="45" spans="1:9" x14ac:dyDescent="0.3">
      <c r="A45" s="211">
        <v>1992</v>
      </c>
      <c r="B45" s="211">
        <v>64</v>
      </c>
      <c r="C45" s="211">
        <f t="shared" si="0"/>
        <v>62</v>
      </c>
      <c r="D45" s="211">
        <v>16</v>
      </c>
      <c r="E45" s="226">
        <f t="shared" si="1"/>
        <v>0.25806451612903225</v>
      </c>
      <c r="G45" s="211">
        <f t="shared" si="2"/>
        <v>46</v>
      </c>
    </row>
    <row r="46" spans="1:9" x14ac:dyDescent="0.3">
      <c r="A46" s="211">
        <v>1993</v>
      </c>
      <c r="B46" s="211">
        <v>64</v>
      </c>
      <c r="C46" s="211">
        <f t="shared" si="0"/>
        <v>62</v>
      </c>
      <c r="D46" s="211">
        <v>16</v>
      </c>
      <c r="E46" s="226">
        <f t="shared" si="1"/>
        <v>0.25806451612903225</v>
      </c>
      <c r="G46" s="211">
        <f t="shared" si="2"/>
        <v>46</v>
      </c>
    </row>
    <row r="47" spans="1:9" x14ac:dyDescent="0.3">
      <c r="A47" s="211">
        <v>1994</v>
      </c>
      <c r="B47" s="211">
        <v>64</v>
      </c>
      <c r="C47" s="211">
        <f t="shared" si="0"/>
        <v>62</v>
      </c>
      <c r="D47" s="211">
        <v>15</v>
      </c>
      <c r="E47" s="226">
        <f t="shared" si="1"/>
        <v>0.24193548387096775</v>
      </c>
      <c r="G47" s="211">
        <f t="shared" si="2"/>
        <v>47</v>
      </c>
      <c r="I47" s="211">
        <v>4.5999999999999996</v>
      </c>
    </row>
    <row r="48" spans="1:9" x14ac:dyDescent="0.3">
      <c r="A48" s="211">
        <v>1995</v>
      </c>
      <c r="B48" s="211">
        <v>68</v>
      </c>
      <c r="C48" s="211">
        <f t="shared" si="0"/>
        <v>66</v>
      </c>
      <c r="D48" s="211">
        <v>17</v>
      </c>
      <c r="E48" s="226">
        <f t="shared" si="1"/>
        <v>0.25757575757575757</v>
      </c>
      <c r="G48" s="211">
        <f t="shared" si="2"/>
        <v>49</v>
      </c>
      <c r="I48" s="211">
        <v>5</v>
      </c>
    </row>
    <row r="49" spans="1:9" x14ac:dyDescent="0.3">
      <c r="A49" s="211">
        <v>1996</v>
      </c>
      <c r="B49" s="211">
        <v>72</v>
      </c>
      <c r="C49" s="211">
        <f t="shared" si="0"/>
        <v>70</v>
      </c>
      <c r="D49" s="211">
        <v>17</v>
      </c>
      <c r="E49" s="226">
        <f t="shared" si="1"/>
        <v>0.24285714285714285</v>
      </c>
      <c r="G49" s="211">
        <f t="shared" si="2"/>
        <v>53</v>
      </c>
      <c r="I49" s="211">
        <v>5.75</v>
      </c>
    </row>
    <row r="50" spans="1:9" x14ac:dyDescent="0.3">
      <c r="A50" s="211">
        <v>1997</v>
      </c>
      <c r="B50" s="211">
        <v>76</v>
      </c>
      <c r="C50" s="211">
        <f t="shared" si="0"/>
        <v>74</v>
      </c>
      <c r="D50" s="211">
        <v>17</v>
      </c>
      <c r="E50" s="226">
        <f t="shared" si="1"/>
        <v>0.22972972972972974</v>
      </c>
      <c r="G50" s="211">
        <f t="shared" si="2"/>
        <v>57</v>
      </c>
      <c r="I50" s="211">
        <v>4</v>
      </c>
    </row>
    <row r="51" spans="1:9" x14ac:dyDescent="0.3">
      <c r="A51" s="211">
        <v>1998</v>
      </c>
      <c r="B51" s="211">
        <v>74</v>
      </c>
      <c r="C51" s="211">
        <f t="shared" si="0"/>
        <v>72</v>
      </c>
      <c r="D51" s="211">
        <v>19</v>
      </c>
      <c r="E51" s="226">
        <f t="shared" si="1"/>
        <v>0.2638888888888889</v>
      </c>
      <c r="G51" s="211">
        <f t="shared" si="2"/>
        <v>53</v>
      </c>
      <c r="I51" s="211">
        <v>4.5</v>
      </c>
    </row>
    <row r="52" spans="1:9" x14ac:dyDescent="0.3">
      <c r="A52" s="211">
        <v>1999</v>
      </c>
      <c r="B52" s="211">
        <v>74</v>
      </c>
      <c r="C52" s="211">
        <f t="shared" si="0"/>
        <v>72</v>
      </c>
      <c r="D52" s="211">
        <v>19</v>
      </c>
      <c r="E52" s="226">
        <f t="shared" si="1"/>
        <v>0.2638888888888889</v>
      </c>
      <c r="G52" s="211">
        <f t="shared" si="2"/>
        <v>53</v>
      </c>
      <c r="I52" s="211">
        <v>6.4</v>
      </c>
    </row>
    <row r="53" spans="1:9" x14ac:dyDescent="0.3">
      <c r="A53" s="211">
        <v>2000</v>
      </c>
      <c r="B53" s="211">
        <v>78</v>
      </c>
      <c r="C53" s="211">
        <f t="shared" si="0"/>
        <v>76</v>
      </c>
      <c r="D53" s="211">
        <v>21</v>
      </c>
      <c r="E53" s="226">
        <f t="shared" si="1"/>
        <v>0.27631578947368424</v>
      </c>
      <c r="G53" s="211">
        <f t="shared" si="2"/>
        <v>55</v>
      </c>
      <c r="I53" s="211">
        <v>6</v>
      </c>
    </row>
    <row r="54" spans="1:9" x14ac:dyDescent="0.3">
      <c r="A54" s="211">
        <v>2001</v>
      </c>
      <c r="B54" s="211">
        <v>74</v>
      </c>
      <c r="C54" s="211">
        <f t="shared" si="0"/>
        <v>72</v>
      </c>
      <c r="D54" s="211">
        <v>19</v>
      </c>
      <c r="E54" s="226">
        <f t="shared" si="1"/>
        <v>0.2638888888888889</v>
      </c>
      <c r="G54" s="211">
        <f t="shared" si="2"/>
        <v>53</v>
      </c>
      <c r="I54" s="211">
        <v>5.0999999999999996</v>
      </c>
    </row>
    <row r="55" spans="1:9" x14ac:dyDescent="0.3">
      <c r="A55" s="211">
        <v>2002</v>
      </c>
      <c r="B55" s="211">
        <v>78</v>
      </c>
      <c r="C55" s="211">
        <f t="shared" si="0"/>
        <v>76</v>
      </c>
      <c r="D55" s="211">
        <v>23</v>
      </c>
      <c r="E55" s="226">
        <f t="shared" si="1"/>
        <v>0.30263157894736842</v>
      </c>
      <c r="G55" s="211">
        <f t="shared" si="2"/>
        <v>53</v>
      </c>
      <c r="I55" s="211">
        <v>3.5</v>
      </c>
    </row>
    <row r="56" spans="1:9" x14ac:dyDescent="0.3">
      <c r="A56" s="211">
        <v>2003</v>
      </c>
      <c r="B56" s="211">
        <v>78</v>
      </c>
      <c r="C56" s="211">
        <f t="shared" si="0"/>
        <v>76</v>
      </c>
      <c r="D56" s="211">
        <v>23</v>
      </c>
      <c r="E56" s="226">
        <f t="shared" si="1"/>
        <v>0.30263157894736842</v>
      </c>
      <c r="G56" s="211">
        <f t="shared" si="2"/>
        <v>53</v>
      </c>
      <c r="I56" s="211">
        <v>3.6</v>
      </c>
    </row>
    <row r="57" spans="1:9" x14ac:dyDescent="0.3">
      <c r="A57" s="211">
        <v>2004</v>
      </c>
      <c r="B57" s="211">
        <v>82</v>
      </c>
      <c r="C57" s="211">
        <f t="shared" si="0"/>
        <v>80</v>
      </c>
      <c r="D57" s="211">
        <v>26</v>
      </c>
      <c r="E57" s="226">
        <f t="shared" si="1"/>
        <v>0.32500000000000001</v>
      </c>
      <c r="G57" s="211">
        <f t="shared" si="2"/>
        <v>54</v>
      </c>
      <c r="I57" s="211">
        <v>5.5</v>
      </c>
    </row>
    <row r="58" spans="1:9" x14ac:dyDescent="0.3">
      <c r="A58" s="211">
        <v>2005</v>
      </c>
      <c r="B58" s="211">
        <v>82</v>
      </c>
      <c r="C58" s="211">
        <f t="shared" si="0"/>
        <v>80</v>
      </c>
      <c r="D58" s="211">
        <v>23</v>
      </c>
      <c r="E58" s="226">
        <f t="shared" si="1"/>
        <v>0.28749999999999998</v>
      </c>
      <c r="G58" s="211">
        <f t="shared" si="2"/>
        <v>57</v>
      </c>
      <c r="I58" s="211">
        <v>5.7</v>
      </c>
    </row>
    <row r="59" spans="1:9" x14ac:dyDescent="0.3">
      <c r="A59" s="211">
        <v>2006</v>
      </c>
      <c r="B59" s="211">
        <v>82</v>
      </c>
      <c r="C59" s="211">
        <f t="shared" si="0"/>
        <v>80</v>
      </c>
      <c r="D59" s="211">
        <v>24</v>
      </c>
      <c r="E59" s="226">
        <f t="shared" si="1"/>
        <v>0.3</v>
      </c>
      <c r="G59" s="211">
        <f t="shared" si="2"/>
        <v>56</v>
      </c>
      <c r="I59" s="211">
        <v>6</v>
      </c>
    </row>
    <row r="60" spans="1:9" x14ac:dyDescent="0.3">
      <c r="A60" s="211">
        <v>2007</v>
      </c>
      <c r="B60" s="211">
        <v>78</v>
      </c>
      <c r="C60" s="211">
        <f t="shared" si="0"/>
        <v>76</v>
      </c>
      <c r="D60" s="211">
        <v>22</v>
      </c>
      <c r="E60" s="226">
        <f t="shared" si="1"/>
        <v>0.28947368421052633</v>
      </c>
      <c r="G60" s="211">
        <f t="shared" si="2"/>
        <v>54</v>
      </c>
      <c r="I60" s="211">
        <v>5.5</v>
      </c>
    </row>
    <row r="61" spans="1:9" x14ac:dyDescent="0.3">
      <c r="A61" s="211">
        <v>2008</v>
      </c>
      <c r="B61" s="211">
        <v>100</v>
      </c>
      <c r="C61" s="211">
        <f t="shared" si="0"/>
        <v>98</v>
      </c>
      <c r="D61" s="211">
        <v>23</v>
      </c>
      <c r="E61" s="226">
        <f t="shared" si="1"/>
        <v>0.23469387755102042</v>
      </c>
      <c r="G61" s="211">
        <f t="shared" si="2"/>
        <v>75</v>
      </c>
      <c r="I61" s="211">
        <v>5</v>
      </c>
    </row>
    <row r="62" spans="1:9" x14ac:dyDescent="0.3">
      <c r="A62" s="211">
        <v>2009</v>
      </c>
      <c r="B62" s="211">
        <v>100</v>
      </c>
      <c r="C62" s="211">
        <f t="shared" si="0"/>
        <v>98</v>
      </c>
      <c r="D62" s="211">
        <v>20</v>
      </c>
      <c r="E62" s="226">
        <f t="shared" si="1"/>
        <v>0.20408163265306123</v>
      </c>
      <c r="G62" s="211">
        <f t="shared" si="2"/>
        <v>78</v>
      </c>
      <c r="I62" s="211">
        <v>5.6</v>
      </c>
    </row>
    <row r="63" spans="1:9" x14ac:dyDescent="0.3">
      <c r="A63" s="211">
        <v>2010</v>
      </c>
      <c r="B63" s="211">
        <v>110</v>
      </c>
      <c r="C63" s="211">
        <f t="shared" si="0"/>
        <v>108</v>
      </c>
      <c r="D63" s="211">
        <v>28</v>
      </c>
      <c r="E63" s="226">
        <f t="shared" si="1"/>
        <v>0.25925925925925924</v>
      </c>
      <c r="G63" s="211">
        <f t="shared" si="2"/>
        <v>80</v>
      </c>
      <c r="I63" s="211">
        <v>5</v>
      </c>
    </row>
    <row r="64" spans="1:9" x14ac:dyDescent="0.3">
      <c r="A64" s="211">
        <v>2011</v>
      </c>
      <c r="B64" s="211">
        <v>105</v>
      </c>
      <c r="C64" s="211">
        <f t="shared" si="0"/>
        <v>103</v>
      </c>
      <c r="D64" s="211">
        <v>22</v>
      </c>
      <c r="E64" s="226">
        <f t="shared" si="1"/>
        <v>0.21359223300970873</v>
      </c>
      <c r="G64" s="211">
        <f t="shared" si="2"/>
        <v>81</v>
      </c>
      <c r="I64" s="211">
        <v>5.6</v>
      </c>
    </row>
    <row r="65" spans="1:9" x14ac:dyDescent="0.3">
      <c r="A65" s="211">
        <v>2012</v>
      </c>
      <c r="B65" s="211">
        <v>112</v>
      </c>
      <c r="C65" s="211">
        <f t="shared" si="0"/>
        <v>110</v>
      </c>
      <c r="D65" s="211">
        <v>24</v>
      </c>
      <c r="E65" s="226">
        <f t="shared" si="1"/>
        <v>0.21818181818181817</v>
      </c>
      <c r="G65" s="211">
        <f t="shared" si="2"/>
        <v>86</v>
      </c>
      <c r="I65" s="211">
        <v>5</v>
      </c>
    </row>
    <row r="66" spans="1:9" x14ac:dyDescent="0.3">
      <c r="A66" s="211">
        <v>2013</v>
      </c>
      <c r="B66" s="211">
        <v>140</v>
      </c>
      <c r="C66" s="211">
        <f t="shared" si="0"/>
        <v>138</v>
      </c>
      <c r="D66" s="211">
        <v>24</v>
      </c>
      <c r="E66" s="226">
        <f t="shared" si="1"/>
        <v>0.17391304347826086</v>
      </c>
      <c r="G66" s="211">
        <f t="shared" si="2"/>
        <v>114</v>
      </c>
      <c r="I66" s="211">
        <v>5</v>
      </c>
    </row>
    <row r="67" spans="1:9" x14ac:dyDescent="0.3">
      <c r="A67" s="211">
        <v>2014</v>
      </c>
      <c r="B67" s="211">
        <v>148</v>
      </c>
      <c r="C67" s="211">
        <f t="shared" si="0"/>
        <v>146</v>
      </c>
      <c r="D67" s="211">
        <v>43</v>
      </c>
      <c r="E67" s="226">
        <f t="shared" si="1"/>
        <v>0.29452054794520549</v>
      </c>
      <c r="G67" s="211">
        <f t="shared" si="2"/>
        <v>103</v>
      </c>
      <c r="I67" s="211">
        <v>5</v>
      </c>
    </row>
    <row r="68" spans="1:9" x14ac:dyDescent="0.3">
      <c r="A68" s="211">
        <v>2015</v>
      </c>
      <c r="B68" s="211">
        <v>124</v>
      </c>
      <c r="C68" s="211">
        <f t="shared" si="0"/>
        <v>122</v>
      </c>
      <c r="D68" s="211">
        <v>28</v>
      </c>
      <c r="E68" s="226">
        <f t="shared" si="1"/>
        <v>0.22950819672131148</v>
      </c>
      <c r="G68" s="211">
        <f t="shared" si="2"/>
        <v>94</v>
      </c>
      <c r="I68" s="211">
        <v>6.3</v>
      </c>
    </row>
    <row r="69" spans="1:9" x14ac:dyDescent="0.3">
      <c r="A69" s="211">
        <v>2016</v>
      </c>
      <c r="B69" s="211">
        <v>124</v>
      </c>
      <c r="C69" s="211">
        <f t="shared" si="0"/>
        <v>122</v>
      </c>
      <c r="D69" s="211">
        <v>27</v>
      </c>
      <c r="E69" s="226">
        <f t="shared" si="1"/>
        <v>0.22131147540983606</v>
      </c>
      <c r="G69" s="211">
        <f t="shared" si="2"/>
        <v>95</v>
      </c>
      <c r="I69" s="211">
        <v>6</v>
      </c>
    </row>
    <row r="70" spans="1:9" x14ac:dyDescent="0.3">
      <c r="A70" s="211">
        <v>2017</v>
      </c>
      <c r="B70" s="211">
        <v>148</v>
      </c>
      <c r="C70" s="211">
        <f t="shared" si="0"/>
        <v>146</v>
      </c>
      <c r="D70" s="211">
        <v>15</v>
      </c>
      <c r="E70" s="226">
        <f t="shared" si="1"/>
        <v>0.10273972602739725</v>
      </c>
      <c r="G70" s="211">
        <f t="shared" si="2"/>
        <v>131</v>
      </c>
      <c r="I70" s="211">
        <v>6</v>
      </c>
    </row>
    <row r="71" spans="1:9" x14ac:dyDescent="0.3">
      <c r="A71" s="211">
        <v>2018</v>
      </c>
      <c r="B71" s="211">
        <v>140</v>
      </c>
      <c r="C71" s="211">
        <f t="shared" si="0"/>
        <v>138</v>
      </c>
      <c r="D71" s="211">
        <v>13</v>
      </c>
      <c r="E71" s="226">
        <f t="shared" si="1"/>
        <v>9.420289855072464E-2</v>
      </c>
      <c r="G71" s="211">
        <f t="shared" si="2"/>
        <v>125</v>
      </c>
      <c r="I71" s="211">
        <v>6.5</v>
      </c>
    </row>
    <row r="72" spans="1:9" x14ac:dyDescent="0.3">
      <c r="A72" s="211">
        <v>2019</v>
      </c>
      <c r="B72" s="211">
        <v>144</v>
      </c>
      <c r="C72" s="211">
        <f t="shared" ref="C72" si="3">B72-2</f>
        <v>142</v>
      </c>
      <c r="D72" s="211">
        <v>12</v>
      </c>
      <c r="E72" s="226">
        <f t="shared" si="1"/>
        <v>8.4507042253521125E-2</v>
      </c>
      <c r="G72" s="211">
        <f t="shared" si="2"/>
        <v>130</v>
      </c>
      <c r="I72" s="348">
        <v>6</v>
      </c>
    </row>
    <row r="73" spans="1:9" x14ac:dyDescent="0.3">
      <c r="C73" s="211">
        <f>SUM(C8:C72)</f>
        <v>4057</v>
      </c>
      <c r="D73" s="211">
        <f>SUM(D8:D72)</f>
        <v>911</v>
      </c>
      <c r="G73" s="211">
        <f>SUM(G8:G72)</f>
        <v>3146</v>
      </c>
      <c r="I73" s="211">
        <f>SUM(I47:I72)</f>
        <v>138.14999999999998</v>
      </c>
    </row>
    <row r="75" spans="1:9" s="372" customFormat="1" x14ac:dyDescent="0.3"/>
    <row r="78" spans="1:9" x14ac:dyDescent="0.3">
      <c r="A78" s="211" t="s">
        <v>2508</v>
      </c>
    </row>
    <row r="79" spans="1:9" x14ac:dyDescent="0.3">
      <c r="B79" s="211" t="s">
        <v>2515</v>
      </c>
      <c r="C79" s="211" t="s">
        <v>2516</v>
      </c>
    </row>
    <row r="80" spans="1:9" x14ac:dyDescent="0.3">
      <c r="A80" s="211" t="s">
        <v>2512</v>
      </c>
      <c r="B80" s="211">
        <v>1461</v>
      </c>
    </row>
    <row r="81" spans="1:2" x14ac:dyDescent="0.3">
      <c r="A81" s="211" t="s">
        <v>2513</v>
      </c>
      <c r="B81" s="211">
        <v>718</v>
      </c>
    </row>
    <row r="82" spans="1:2" x14ac:dyDescent="0.3">
      <c r="A82" s="211" t="s">
        <v>2514</v>
      </c>
      <c r="B82" s="211">
        <v>878</v>
      </c>
    </row>
    <row r="83" spans="1:2" x14ac:dyDescent="0.3">
      <c r="B83" s="848">
        <f>SUM(B80:B82)</f>
        <v>3057</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ED8EC-65D3-46AC-8A9F-F4570E16ED59}">
  <sheetPr>
    <tabColor theme="4"/>
  </sheetPr>
  <dimension ref="A1:B15"/>
  <sheetViews>
    <sheetView showGridLines="0" zoomScale="115" zoomScaleNormal="115" workbookViewId="0">
      <selection activeCell="I18" sqref="I18"/>
    </sheetView>
  </sheetViews>
  <sheetFormatPr defaultColWidth="9.109375" defaultRowHeight="15.6" x14ac:dyDescent="0.3"/>
  <cols>
    <col min="1" max="1" width="43.88671875" style="211" customWidth="1"/>
    <col min="2" max="2" width="10.6640625" style="211" bestFit="1" customWidth="1"/>
    <col min="3" max="16384" width="9.109375" style="211"/>
  </cols>
  <sheetData>
    <row r="1" spans="1:2" x14ac:dyDescent="0.3">
      <c r="A1" s="152" t="s">
        <v>2714</v>
      </c>
    </row>
    <row r="2" spans="1:2" ht="31.5" customHeight="1" x14ac:dyDescent="0.3">
      <c r="A2" s="2794" t="s">
        <v>2713</v>
      </c>
      <c r="B2" s="2794"/>
    </row>
    <row r="3" spans="1:2" ht="8.25" customHeight="1" thickBot="1" x14ac:dyDescent="0.35"/>
    <row r="4" spans="1:2" x14ac:dyDescent="0.3">
      <c r="A4" s="212" t="s">
        <v>1204</v>
      </c>
      <c r="B4" s="389"/>
    </row>
    <row r="5" spans="1:2" x14ac:dyDescent="0.3">
      <c r="A5" s="214" t="s">
        <v>2712</v>
      </c>
      <c r="B5" s="2010">
        <v>37201793</v>
      </c>
    </row>
    <row r="6" spans="1:2" ht="31.2" x14ac:dyDescent="0.3">
      <c r="A6" s="1918" t="s">
        <v>2711</v>
      </c>
      <c r="B6" s="642">
        <v>16449675</v>
      </c>
    </row>
    <row r="7" spans="1:2" x14ac:dyDescent="0.3">
      <c r="A7" s="214" t="s">
        <v>2710</v>
      </c>
      <c r="B7" s="642">
        <v>9176194</v>
      </c>
    </row>
    <row r="8" spans="1:2" x14ac:dyDescent="0.3">
      <c r="A8" s="214" t="s">
        <v>2709</v>
      </c>
      <c r="B8" s="2009">
        <v>4400000</v>
      </c>
    </row>
    <row r="9" spans="1:2" x14ac:dyDescent="0.3">
      <c r="A9" s="214" t="s">
        <v>2708</v>
      </c>
      <c r="B9" s="642">
        <v>1850644</v>
      </c>
    </row>
    <row r="10" spans="1:2" x14ac:dyDescent="0.3">
      <c r="A10" s="214" t="s">
        <v>2707</v>
      </c>
      <c r="B10" s="642">
        <v>1788012</v>
      </c>
    </row>
    <row r="11" spans="1:2" x14ac:dyDescent="0.3">
      <c r="A11" s="214" t="s">
        <v>2706</v>
      </c>
      <c r="B11" s="642">
        <v>1042892</v>
      </c>
    </row>
    <row r="12" spans="1:2" x14ac:dyDescent="0.3">
      <c r="A12" s="214" t="s">
        <v>2705</v>
      </c>
      <c r="B12" s="642">
        <v>-1678310</v>
      </c>
    </row>
    <row r="13" spans="1:2" ht="16.2" thickBot="1" x14ac:dyDescent="0.35">
      <c r="A13" s="214" t="s">
        <v>2704</v>
      </c>
      <c r="B13" s="2008">
        <f>SUM(B5:B12)</f>
        <v>70230900</v>
      </c>
    </row>
    <row r="14" spans="1:2" ht="4.5" customHeight="1" thickTop="1" thickBot="1" x14ac:dyDescent="0.35">
      <c r="A14" s="224"/>
      <c r="B14" s="219"/>
    </row>
    <row r="15" spans="1:2" x14ac:dyDescent="0.3">
      <c r="A15" s="12" t="s">
        <v>3703</v>
      </c>
    </row>
  </sheetData>
  <mergeCells count="1">
    <mergeCell ref="A2:B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9B0E9-B355-41E5-B7F4-2E2F805BBDD2}">
  <sheetPr>
    <tabColor theme="4"/>
  </sheetPr>
  <dimension ref="A1:K22"/>
  <sheetViews>
    <sheetView showGridLines="0" zoomScale="115" zoomScaleNormal="115" workbookViewId="0">
      <selection activeCell="L21" sqref="L21"/>
    </sheetView>
  </sheetViews>
  <sheetFormatPr defaultColWidth="9.109375" defaultRowHeight="15.6" x14ac:dyDescent="0.3"/>
  <cols>
    <col min="1" max="1" width="35.44140625" style="211" customWidth="1"/>
    <col min="2" max="16384" width="9.109375" style="211"/>
  </cols>
  <sheetData>
    <row r="1" spans="1:11" x14ac:dyDescent="0.3">
      <c r="A1" s="152" t="s">
        <v>2722</v>
      </c>
    </row>
    <row r="2" spans="1:11" x14ac:dyDescent="0.3">
      <c r="A2" s="152" t="s">
        <v>2679</v>
      </c>
    </row>
    <row r="3" spans="1:11" ht="7.2" customHeight="1" thickBot="1" x14ac:dyDescent="0.35"/>
    <row r="4" spans="1:11" x14ac:dyDescent="0.3">
      <c r="A4" s="212" t="s">
        <v>1250</v>
      </c>
      <c r="B4" s="1989">
        <v>1974</v>
      </c>
      <c r="C4" s="2019">
        <v>1964</v>
      </c>
      <c r="F4" s="220"/>
    </row>
    <row r="5" spans="1:11" ht="18.600000000000001" x14ac:dyDescent="0.3">
      <c r="A5" s="214" t="s">
        <v>2721</v>
      </c>
      <c r="B5" s="2014">
        <f>0.025*B14</f>
        <v>0.81500000000000006</v>
      </c>
      <c r="C5" s="2013">
        <v>0.92</v>
      </c>
      <c r="D5" s="908"/>
      <c r="F5" s="220"/>
    </row>
    <row r="6" spans="1:11" x14ac:dyDescent="0.3">
      <c r="A6" s="214" t="s">
        <v>558</v>
      </c>
      <c r="B6" s="2017">
        <v>4.3780000000000001</v>
      </c>
      <c r="C6" s="2018">
        <v>7.4509999999999996</v>
      </c>
      <c r="D6" s="908"/>
      <c r="F6" s="220"/>
    </row>
    <row r="7" spans="1:11" x14ac:dyDescent="0.3">
      <c r="A7" s="214" t="s">
        <v>10</v>
      </c>
      <c r="B7" s="2017">
        <v>6</v>
      </c>
      <c r="C7" s="2018">
        <v>11.689</v>
      </c>
      <c r="D7" s="908"/>
      <c r="F7" s="220"/>
    </row>
    <row r="8" spans="1:11" x14ac:dyDescent="0.3">
      <c r="A8" s="214" t="s">
        <v>2720</v>
      </c>
      <c r="B8" s="2017">
        <v>2.3330000000000002</v>
      </c>
      <c r="C8" s="2018">
        <v>7.5709999999999997</v>
      </c>
      <c r="D8" s="908"/>
      <c r="F8" s="220"/>
    </row>
    <row r="9" spans="1:11" ht="18.600000000000001" x14ac:dyDescent="0.3">
      <c r="A9" s="214" t="s">
        <v>2719</v>
      </c>
      <c r="B9" s="2682">
        <f>-3.1</f>
        <v>-3.1</v>
      </c>
      <c r="C9" s="2018">
        <f>-2.883-0.365</f>
        <v>-3.2480000000000002</v>
      </c>
      <c r="D9" s="908"/>
      <c r="F9" s="220"/>
    </row>
    <row r="10" spans="1:11" x14ac:dyDescent="0.3">
      <c r="A10" s="214" t="s">
        <v>2718</v>
      </c>
      <c r="B10" s="2016">
        <f>SUM(B5:B9)</f>
        <v>10.426000000000002</v>
      </c>
      <c r="C10" s="2015">
        <f>SUM(C5:C9)</f>
        <v>24.382999999999999</v>
      </c>
      <c r="D10" s="908"/>
      <c r="F10" s="220"/>
      <c r="K10" s="211" t="s">
        <v>176</v>
      </c>
    </row>
    <row r="11" spans="1:11" ht="4.5" customHeight="1" x14ac:dyDescent="0.3">
      <c r="A11" s="214"/>
      <c r="B11" s="2014"/>
      <c r="C11" s="2013"/>
      <c r="D11" s="908"/>
      <c r="F11" s="220"/>
    </row>
    <row r="12" spans="1:11" ht="4.5" customHeight="1" x14ac:dyDescent="0.3">
      <c r="A12" s="1995"/>
      <c r="B12" s="2680"/>
      <c r="C12" s="1994"/>
      <c r="D12" s="908"/>
      <c r="F12" s="220"/>
    </row>
    <row r="13" spans="1:11" ht="4.5" customHeight="1" x14ac:dyDescent="0.3">
      <c r="A13" s="214"/>
      <c r="B13" s="2014"/>
      <c r="C13" s="2013"/>
      <c r="D13" s="908"/>
      <c r="F13" s="220"/>
    </row>
    <row r="14" spans="1:11" x14ac:dyDescent="0.3">
      <c r="A14" s="214" t="s">
        <v>1447</v>
      </c>
      <c r="B14" s="2014">
        <v>32.6</v>
      </c>
      <c r="C14" s="2013">
        <v>49.982999999999997</v>
      </c>
      <c r="D14" s="908"/>
      <c r="F14" s="220"/>
    </row>
    <row r="15" spans="1:11" x14ac:dyDescent="0.3">
      <c r="A15" s="214" t="s">
        <v>2717</v>
      </c>
      <c r="B15" s="2012">
        <f>B14/B10</f>
        <v>3.1267983886437749</v>
      </c>
      <c r="C15" s="2011">
        <f>C14/C10</f>
        <v>2.049911823811672</v>
      </c>
      <c r="D15" s="908"/>
      <c r="F15" s="220"/>
    </row>
    <row r="16" spans="1:11" x14ac:dyDescent="0.3">
      <c r="A16" s="214"/>
      <c r="B16" s="220"/>
      <c r="C16" s="223"/>
      <c r="F16" s="211" t="s">
        <v>176</v>
      </c>
    </row>
    <row r="17" spans="1:3" x14ac:dyDescent="0.3">
      <c r="A17" s="6" t="s">
        <v>1398</v>
      </c>
      <c r="B17" s="205"/>
      <c r="C17" s="8"/>
    </row>
    <row r="18" spans="1:3" x14ac:dyDescent="0.3">
      <c r="A18" s="6" t="s">
        <v>2716</v>
      </c>
      <c r="B18" s="205"/>
      <c r="C18" s="8"/>
    </row>
    <row r="19" spans="1:3" x14ac:dyDescent="0.3">
      <c r="A19" s="2799" t="s">
        <v>2715</v>
      </c>
      <c r="B19" s="2800"/>
      <c r="C19" s="2801"/>
    </row>
    <row r="20" spans="1:3" ht="16.2" thickBot="1" x14ac:dyDescent="0.35">
      <c r="A20" s="2802"/>
      <c r="B20" s="2803"/>
      <c r="C20" s="2804"/>
    </row>
    <row r="21" spans="1:3" x14ac:dyDescent="0.3">
      <c r="A21" s="2811" t="s">
        <v>3705</v>
      </c>
      <c r="B21" s="2811"/>
      <c r="C21" s="2811"/>
    </row>
    <row r="22" spans="1:3" x14ac:dyDescent="0.3">
      <c r="A22" s="2805"/>
      <c r="B22" s="2805"/>
      <c r="C22" s="2805"/>
    </row>
  </sheetData>
  <mergeCells count="2">
    <mergeCell ref="A19:C20"/>
    <mergeCell ref="A21:C2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720E-42AA-4504-ABD9-CF6918DAC129}">
  <sheetPr>
    <tabColor theme="4"/>
  </sheetPr>
  <dimension ref="A1:W45"/>
  <sheetViews>
    <sheetView zoomScale="85" zoomScaleNormal="85" workbookViewId="0">
      <pane xSplit="3" ySplit="1" topLeftCell="D2" activePane="bottomRight" state="frozen"/>
      <selection activeCell="J77" sqref="J77"/>
      <selection pane="topRight" activeCell="J77" sqref="J77"/>
      <selection pane="bottomLeft" activeCell="J77" sqref="J77"/>
      <selection pane="bottomRight" activeCell="P29" sqref="P29"/>
    </sheetView>
  </sheetViews>
  <sheetFormatPr defaultRowHeight="15.6" x14ac:dyDescent="0.3"/>
  <cols>
    <col min="1" max="2" width="8.88671875" style="211"/>
    <col min="3" max="3" width="10.109375" style="211" bestFit="1" customWidth="1"/>
    <col min="4" max="4" width="10.109375" style="211" customWidth="1"/>
    <col min="5" max="5" width="12.88671875" style="211" customWidth="1"/>
    <col min="6" max="7" width="12.5546875" style="211" customWidth="1"/>
    <col min="8" max="8" width="8.88671875" style="211"/>
    <col min="9" max="9" width="9.77734375" style="211" bestFit="1" customWidth="1"/>
    <col min="10" max="10" width="11.88671875" style="211" customWidth="1"/>
    <col min="11" max="11" width="12" style="211" bestFit="1" customWidth="1"/>
    <col min="12" max="12" width="18.109375" style="211" bestFit="1" customWidth="1"/>
    <col min="13" max="13" width="17.88671875" style="211" bestFit="1" customWidth="1"/>
    <col min="14" max="14" width="17.88671875" style="211" customWidth="1"/>
    <col min="15" max="15" width="3.77734375" style="211" customWidth="1"/>
    <col min="16" max="17" width="14.44140625" style="211" bestFit="1" customWidth="1"/>
    <col min="18" max="18" width="1.33203125" style="211" customWidth="1"/>
    <col min="19" max="19" width="20.109375" style="211" customWidth="1"/>
    <col min="20" max="20" width="19.21875" style="211" customWidth="1"/>
    <col min="21" max="16384" width="8.88671875" style="211"/>
  </cols>
  <sheetData>
    <row r="1" spans="1:21" x14ac:dyDescent="0.3">
      <c r="E1" s="211" t="s">
        <v>2904</v>
      </c>
      <c r="F1" s="211" t="s">
        <v>2905</v>
      </c>
      <c r="G1" s="211" t="s">
        <v>2918</v>
      </c>
      <c r="I1" s="220"/>
      <c r="J1" s="211" t="s">
        <v>2910</v>
      </c>
      <c r="K1" s="211" t="s">
        <v>2911</v>
      </c>
      <c r="L1" s="211" t="s">
        <v>2912</v>
      </c>
      <c r="M1" s="211" t="s">
        <v>2913</v>
      </c>
      <c r="N1" s="211" t="s">
        <v>2919</v>
      </c>
      <c r="P1" s="211" t="s">
        <v>2914</v>
      </c>
      <c r="Q1" s="211" t="s">
        <v>2915</v>
      </c>
      <c r="S1" s="211" t="s">
        <v>2916</v>
      </c>
      <c r="T1" s="211" t="s">
        <v>2917</v>
      </c>
      <c r="U1" s="211" t="s">
        <v>2618</v>
      </c>
    </row>
    <row r="2" spans="1:21" x14ac:dyDescent="0.3">
      <c r="I2" s="2230">
        <v>23653</v>
      </c>
      <c r="J2" s="230">
        <v>1137778</v>
      </c>
      <c r="P2" s="252">
        <f>'3. Financials'!M58</f>
        <v>22138753</v>
      </c>
    </row>
    <row r="3" spans="1:21"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row>
    <row r="4" spans="1:21" x14ac:dyDescent="0.3">
      <c r="A4" s="211">
        <v>1965</v>
      </c>
      <c r="B4" s="211" t="s">
        <v>2907</v>
      </c>
      <c r="C4" s="2088" t="str">
        <f t="shared" ref="C4:C18" si="0">CONCATENATE(A4,"-",B4)</f>
        <v>1965-Q2</v>
      </c>
      <c r="D4" s="2228"/>
      <c r="E4" s="252">
        <v>21</v>
      </c>
      <c r="F4" s="252">
        <v>16</v>
      </c>
      <c r="G4" s="252">
        <f t="shared" ref="G4:G42" si="1">AVERAGE(E4:F4)</f>
        <v>18.5</v>
      </c>
      <c r="I4" s="460"/>
      <c r="J4" s="230"/>
      <c r="L4" s="252">
        <f>K3*E4</f>
        <v>22630912.5</v>
      </c>
      <c r="M4" s="252">
        <f>K3*F4</f>
        <v>17242600</v>
      </c>
      <c r="N4" s="252">
        <f t="shared" ref="N4:N42" si="2">AVERAGE(L4:M4)</f>
        <v>19936756.25</v>
      </c>
      <c r="P4" s="252"/>
      <c r="S4" s="348">
        <f>L4/Q3</f>
        <v>0.97005838140047418</v>
      </c>
      <c r="T4" s="348">
        <f>M4/Q3</f>
        <v>0.73909210011464699</v>
      </c>
      <c r="U4" s="1043">
        <f t="shared" ref="U4:U42" si="3">AVERAGE(S4:T4)</f>
        <v>0.85457524075756064</v>
      </c>
    </row>
    <row r="5" spans="1:21"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row>
    <row r="6" spans="1:21"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row>
    <row r="7" spans="1:21"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row>
    <row r="8" spans="1:21"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row>
    <row r="9" spans="1:21"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row>
    <row r="10" spans="1:21"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row>
    <row r="11" spans="1:21"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row>
    <row r="12" spans="1:21" x14ac:dyDescent="0.3">
      <c r="A12" s="211">
        <f t="shared" ref="A12:A42" si="6">A8+1</f>
        <v>1967</v>
      </c>
      <c r="B12" s="211" t="str">
        <f t="shared" ref="B12:B42"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row>
    <row r="13" spans="1:21"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row>
    <row r="14" spans="1:21"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row>
    <row r="15" spans="1:21"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row>
    <row r="16" spans="1:21"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row>
    <row r="19" spans="1:23" x14ac:dyDescent="0.3">
      <c r="A19" s="211">
        <f t="shared" si="6"/>
        <v>1969</v>
      </c>
      <c r="B19" s="211" t="str">
        <f t="shared" si="7"/>
        <v>Q1</v>
      </c>
      <c r="C19" s="2088" t="str">
        <f t="shared" ref="C19:C26" si="8">CONCATENATE(A19,"-",B19)</f>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row>
    <row r="20" spans="1:23" x14ac:dyDescent="0.3">
      <c r="A20" s="211">
        <f t="shared" si="6"/>
        <v>1969</v>
      </c>
      <c r="B20" s="211" t="str">
        <f t="shared" si="7"/>
        <v>Q2</v>
      </c>
      <c r="C20" s="2088" t="str">
        <f t="shared" si="8"/>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row>
    <row r="21" spans="1:23" x14ac:dyDescent="0.3">
      <c r="A21" s="211">
        <f t="shared" si="6"/>
        <v>1969</v>
      </c>
      <c r="B21" s="211" t="str">
        <f t="shared" si="7"/>
        <v>Q3</v>
      </c>
      <c r="C21" s="2088" t="str">
        <f t="shared" si="8"/>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row>
    <row r="22" spans="1:23" x14ac:dyDescent="0.3">
      <c r="A22" s="211">
        <f t="shared" si="6"/>
        <v>1969</v>
      </c>
      <c r="B22" s="211" t="str">
        <f t="shared" si="7"/>
        <v>Q4</v>
      </c>
      <c r="C22" s="2088" t="str">
        <f t="shared" si="8"/>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row>
    <row r="23" spans="1:23" x14ac:dyDescent="0.3">
      <c r="A23" s="211">
        <f t="shared" si="6"/>
        <v>1970</v>
      </c>
      <c r="B23" s="211" t="str">
        <f t="shared" si="7"/>
        <v>Q1</v>
      </c>
      <c r="C23" s="2088" t="str">
        <f t="shared" si="8"/>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row>
    <row r="24" spans="1:23" x14ac:dyDescent="0.3">
      <c r="A24" s="211">
        <f t="shared" si="6"/>
        <v>1970</v>
      </c>
      <c r="B24" s="211" t="str">
        <f t="shared" si="7"/>
        <v>Q2</v>
      </c>
      <c r="C24" s="2088" t="str">
        <f t="shared" si="8"/>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row>
    <row r="25" spans="1:23" x14ac:dyDescent="0.3">
      <c r="A25" s="211">
        <f t="shared" si="6"/>
        <v>1970</v>
      </c>
      <c r="B25" s="211" t="str">
        <f t="shared" si="7"/>
        <v>Q3</v>
      </c>
      <c r="C25" s="2088" t="str">
        <f t="shared" si="8"/>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row>
    <row r="26" spans="1:23" x14ac:dyDescent="0.3">
      <c r="A26" s="211">
        <f t="shared" si="6"/>
        <v>1970</v>
      </c>
      <c r="B26" s="211" t="str">
        <f t="shared" si="7"/>
        <v>Q4</v>
      </c>
      <c r="C26" s="2088" t="str">
        <f t="shared" si="8"/>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row>
    <row r="27" spans="1:23" x14ac:dyDescent="0.3">
      <c r="A27" s="211">
        <f t="shared" si="6"/>
        <v>1971</v>
      </c>
      <c r="B27" s="211" t="str">
        <f t="shared" si="7"/>
        <v>Q1</v>
      </c>
      <c r="C27" s="2088" t="str">
        <f t="shared" ref="C27:C38" si="9">CONCATENATE(A27,"-",B27)</f>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row>
    <row r="28" spans="1:23" x14ac:dyDescent="0.3">
      <c r="A28" s="211">
        <f t="shared" si="6"/>
        <v>1971</v>
      </c>
      <c r="B28" s="211" t="str">
        <f t="shared" si="7"/>
        <v>Q2</v>
      </c>
      <c r="C28" s="2088" t="str">
        <f t="shared" si="9"/>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29"/>
      <c r="W28" s="2229"/>
    </row>
    <row r="29" spans="1:23" x14ac:dyDescent="0.3">
      <c r="A29" s="211">
        <f t="shared" si="6"/>
        <v>1971</v>
      </c>
      <c r="B29" s="211" t="str">
        <f t="shared" si="7"/>
        <v>Q3</v>
      </c>
      <c r="C29" s="2088" t="str">
        <f t="shared" si="9"/>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0"/>
      <c r="W29" s="220"/>
    </row>
    <row r="30" spans="1:23" x14ac:dyDescent="0.3">
      <c r="A30" s="211">
        <f t="shared" si="6"/>
        <v>1971</v>
      </c>
      <c r="B30" s="211" t="str">
        <f t="shared" si="7"/>
        <v>Q4</v>
      </c>
      <c r="C30" s="2088" t="str">
        <f t="shared" si="9"/>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row>
    <row r="31" spans="1:23" x14ac:dyDescent="0.3">
      <c r="A31" s="211">
        <f t="shared" si="6"/>
        <v>1972</v>
      </c>
      <c r="B31" s="211" t="str">
        <f t="shared" si="7"/>
        <v>Q1</v>
      </c>
      <c r="C31" s="2088" t="str">
        <f t="shared" si="9"/>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row>
    <row r="32" spans="1:23" x14ac:dyDescent="0.3">
      <c r="A32" s="211">
        <f t="shared" si="6"/>
        <v>1972</v>
      </c>
      <c r="B32" s="211" t="str">
        <f t="shared" si="7"/>
        <v>Q2</v>
      </c>
      <c r="C32" s="2088" t="str">
        <f t="shared" si="9"/>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row>
    <row r="33" spans="1:21" x14ac:dyDescent="0.3">
      <c r="A33" s="211">
        <f t="shared" si="6"/>
        <v>1972</v>
      </c>
      <c r="B33" s="211" t="str">
        <f t="shared" si="7"/>
        <v>Q3</v>
      </c>
      <c r="C33" s="2088" t="str">
        <f t="shared" si="9"/>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row>
    <row r="34" spans="1:21" x14ac:dyDescent="0.3">
      <c r="A34" s="211">
        <f t="shared" si="6"/>
        <v>1972</v>
      </c>
      <c r="B34" s="211" t="str">
        <f t="shared" si="7"/>
        <v>Q4</v>
      </c>
      <c r="C34" s="2088" t="str">
        <f t="shared" si="9"/>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row>
    <row r="35" spans="1:21" x14ac:dyDescent="0.3">
      <c r="A35" s="211">
        <f t="shared" si="6"/>
        <v>1973</v>
      </c>
      <c r="B35" s="211" t="str">
        <f t="shared" si="7"/>
        <v>Q1</v>
      </c>
      <c r="C35" s="2088" t="str">
        <f t="shared" si="9"/>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row>
    <row r="36" spans="1:21" x14ac:dyDescent="0.3">
      <c r="A36" s="211">
        <f t="shared" si="6"/>
        <v>1973</v>
      </c>
      <c r="B36" s="211" t="str">
        <f t="shared" si="7"/>
        <v>Q2</v>
      </c>
      <c r="C36" s="2088" t="str">
        <f t="shared" si="9"/>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row>
    <row r="37" spans="1:21" x14ac:dyDescent="0.3">
      <c r="A37" s="211">
        <f t="shared" si="6"/>
        <v>1973</v>
      </c>
      <c r="B37" s="211" t="str">
        <f t="shared" si="7"/>
        <v>Q3</v>
      </c>
      <c r="C37" s="2088" t="str">
        <f t="shared" si="9"/>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row>
    <row r="38" spans="1:21" x14ac:dyDescent="0.3">
      <c r="A38" s="211">
        <f t="shared" si="6"/>
        <v>1973</v>
      </c>
      <c r="B38" s="211" t="str">
        <f t="shared" si="7"/>
        <v>Q4</v>
      </c>
      <c r="C38" s="2088" t="str">
        <f t="shared" si="9"/>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row>
    <row r="39" spans="1:21" x14ac:dyDescent="0.3">
      <c r="A39" s="211">
        <f t="shared" si="6"/>
        <v>1974</v>
      </c>
      <c r="B39" s="211" t="str">
        <f t="shared" si="7"/>
        <v>Q1</v>
      </c>
      <c r="C39" s="2088" t="str">
        <f t="shared" ref="C39:C42" si="10">CONCATENATE(A39,"-",B39)</f>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row>
    <row r="40" spans="1:21" x14ac:dyDescent="0.3">
      <c r="A40" s="211">
        <f t="shared" si="6"/>
        <v>1974</v>
      </c>
      <c r="B40" s="211" t="str">
        <f t="shared" si="7"/>
        <v>Q2</v>
      </c>
      <c r="C40" s="2088" t="str">
        <f t="shared" si="1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row>
    <row r="41" spans="1:21" x14ac:dyDescent="0.3">
      <c r="A41" s="211">
        <f t="shared" si="6"/>
        <v>1974</v>
      </c>
      <c r="B41" s="211" t="str">
        <f t="shared" si="7"/>
        <v>Q3</v>
      </c>
      <c r="C41" s="2088" t="str">
        <f t="shared" si="1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row>
    <row r="42" spans="1:21" x14ac:dyDescent="0.3">
      <c r="A42" s="211">
        <f t="shared" si="6"/>
        <v>1974</v>
      </c>
      <c r="B42" s="211" t="str">
        <f t="shared" si="7"/>
        <v>Q4</v>
      </c>
      <c r="C42" s="2088" t="str">
        <f t="shared" si="1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row>
    <row r="43" spans="1:21" x14ac:dyDescent="0.3">
      <c r="D43" s="211">
        <v>1975</v>
      </c>
    </row>
    <row r="45" spans="1:21" x14ac:dyDescent="0.3">
      <c r="K45" s="1043"/>
    </row>
  </sheetData>
  <phoneticPr fontId="49"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9ADC-E2DE-481E-B849-B7B4F2D5DA1E}">
  <sheetPr codeName="Sheet9">
    <tabColor theme="4"/>
  </sheetPr>
  <dimension ref="A1:I20"/>
  <sheetViews>
    <sheetView showGridLines="0" zoomScaleNormal="100" workbookViewId="0">
      <selection activeCell="H13" sqref="H13"/>
    </sheetView>
  </sheetViews>
  <sheetFormatPr defaultColWidth="8.6640625" defaultRowHeight="14.4" x14ac:dyDescent="0.3"/>
  <cols>
    <col min="1" max="1" width="32" style="1" customWidth="1"/>
    <col min="2" max="3" width="9.88671875" style="1" customWidth="1"/>
    <col min="4" max="5" width="9.88671875" customWidth="1"/>
    <col min="6" max="6" width="9.88671875" style="1" customWidth="1"/>
    <col min="7" max="7" width="9.33203125" style="1" bestFit="1" customWidth="1"/>
    <col min="8" max="8" width="10.44140625" style="1" bestFit="1" customWidth="1"/>
    <col min="9" max="16384" width="8.6640625" style="1"/>
  </cols>
  <sheetData>
    <row r="1" spans="1:9" ht="15.6" x14ac:dyDescent="0.3">
      <c r="A1" s="499" t="s">
        <v>1481</v>
      </c>
      <c r="B1" s="211"/>
      <c r="C1" s="211"/>
      <c r="F1" s="211"/>
      <c r="G1" s="211"/>
      <c r="H1" s="211"/>
    </row>
    <row r="2" spans="1:9" ht="15.6" x14ac:dyDescent="0.3">
      <c r="A2" s="152" t="s">
        <v>1429</v>
      </c>
      <c r="B2" s="211"/>
      <c r="C2" s="211"/>
      <c r="F2" s="211"/>
      <c r="G2" s="211"/>
      <c r="H2" s="211"/>
    </row>
    <row r="3" spans="1:9" ht="7.5" customHeight="1" thickBot="1" x14ac:dyDescent="0.35">
      <c r="A3" s="211"/>
      <c r="B3" s="211"/>
      <c r="C3" s="211"/>
      <c r="F3" s="211"/>
      <c r="G3" s="211"/>
      <c r="H3" s="211"/>
    </row>
    <row r="4" spans="1:9" ht="15.6" x14ac:dyDescent="0.3">
      <c r="A4" s="212" t="s">
        <v>1204</v>
      </c>
      <c r="B4" s="712">
        <v>1974</v>
      </c>
      <c r="C4" s="712">
        <v>1973</v>
      </c>
      <c r="D4" s="712">
        <v>1972</v>
      </c>
      <c r="E4" s="712">
        <v>1971</v>
      </c>
      <c r="F4" s="713">
        <v>1970</v>
      </c>
    </row>
    <row r="5" spans="1:9" ht="15.6" x14ac:dyDescent="0.3">
      <c r="A5" s="484" t="s">
        <v>262</v>
      </c>
      <c r="B5" s="754">
        <v>892</v>
      </c>
      <c r="C5" s="754">
        <v>10249</v>
      </c>
      <c r="D5" s="754">
        <v>10701</v>
      </c>
      <c r="E5" s="754">
        <v>6372</v>
      </c>
      <c r="F5" s="751">
        <v>2639</v>
      </c>
    </row>
    <row r="6" spans="1:9" ht="15.6" x14ac:dyDescent="0.3">
      <c r="A6" s="484" t="s">
        <v>263</v>
      </c>
      <c r="B6" s="393">
        <v>2660</v>
      </c>
      <c r="C6" s="393">
        <v>2837</v>
      </c>
      <c r="D6" s="393">
        <v>1697</v>
      </c>
      <c r="E6" s="393">
        <v>233</v>
      </c>
      <c r="F6" s="262">
        <v>104</v>
      </c>
    </row>
    <row r="7" spans="1:9" ht="15.6" x14ac:dyDescent="0.3">
      <c r="A7" s="484" t="s">
        <v>264</v>
      </c>
      <c r="B7" s="393">
        <v>4093</v>
      </c>
      <c r="C7" s="393">
        <v>2782</v>
      </c>
      <c r="D7" s="393">
        <v>2700</v>
      </c>
      <c r="E7" s="393">
        <v>2192</v>
      </c>
      <c r="F7" s="262">
        <v>2973</v>
      </c>
    </row>
    <row r="8" spans="1:9" ht="15.6" x14ac:dyDescent="0.3">
      <c r="A8" s="484" t="s">
        <v>265</v>
      </c>
      <c r="B8" s="393">
        <v>1164</v>
      </c>
      <c r="C8" s="393">
        <v>1124</v>
      </c>
      <c r="D8" s="393">
        <v>142</v>
      </c>
      <c r="E8" s="393">
        <v>68</v>
      </c>
      <c r="F8" s="262">
        <v>0</v>
      </c>
    </row>
    <row r="9" spans="1:9" ht="31.2" x14ac:dyDescent="0.3">
      <c r="A9" s="487" t="s">
        <v>266</v>
      </c>
      <c r="B9" s="393">
        <v>-2324</v>
      </c>
      <c r="C9" s="393">
        <v>-1966</v>
      </c>
      <c r="D9" s="393">
        <v>-770</v>
      </c>
      <c r="E9" s="393">
        <v>-648</v>
      </c>
      <c r="F9" s="262">
        <v>-581</v>
      </c>
    </row>
    <row r="10" spans="1:9" ht="15.6" x14ac:dyDescent="0.3">
      <c r="A10" s="487" t="s">
        <v>371</v>
      </c>
      <c r="B10" s="752">
        <f>SUM(B5:B9)</f>
        <v>6485</v>
      </c>
      <c r="C10" s="752">
        <f t="shared" ref="C10" si="0">SUM(C5:C9)</f>
        <v>15026</v>
      </c>
      <c r="D10" s="752">
        <f t="shared" ref="D10" si="1">SUM(D5:D9)</f>
        <v>14470</v>
      </c>
      <c r="E10" s="752">
        <f t="shared" ref="E10" si="2">SUM(E5:E9)</f>
        <v>8217</v>
      </c>
      <c r="F10" s="753">
        <f t="shared" ref="F10" si="3">SUM(F5:F9)</f>
        <v>5135</v>
      </c>
    </row>
    <row r="11" spans="1:9" ht="15.6" x14ac:dyDescent="0.3">
      <c r="A11" s="484" t="s">
        <v>267</v>
      </c>
      <c r="B11" s="393">
        <v>-1908</v>
      </c>
      <c r="C11" s="393">
        <v>1331</v>
      </c>
      <c r="D11" s="393">
        <v>1359</v>
      </c>
      <c r="E11" s="393">
        <v>1028</v>
      </c>
      <c r="F11" s="262">
        <v>-301</v>
      </c>
    </row>
    <row r="12" spans="1:9" ht="15.6" x14ac:dyDescent="0.3">
      <c r="A12" s="484" t="s">
        <v>268</v>
      </c>
      <c r="B12" s="393">
        <v>0</v>
      </c>
      <c r="C12" s="393">
        <v>0</v>
      </c>
      <c r="D12" s="393">
        <v>0</v>
      </c>
      <c r="E12" s="393">
        <v>0</v>
      </c>
      <c r="F12" s="262">
        <v>282</v>
      </c>
    </row>
    <row r="13" spans="1:9" ht="15.6" x14ac:dyDescent="0.3">
      <c r="A13" s="484" t="s">
        <v>269</v>
      </c>
      <c r="B13" s="752">
        <v>4577</v>
      </c>
      <c r="C13" s="752">
        <v>16357</v>
      </c>
      <c r="D13" s="752">
        <v>15829</v>
      </c>
      <c r="E13" s="752">
        <v>9245</v>
      </c>
      <c r="F13" s="753">
        <v>5116</v>
      </c>
    </row>
    <row r="14" spans="1:9" ht="15.6" x14ac:dyDescent="0.3">
      <c r="A14" s="484" t="s">
        <v>270</v>
      </c>
      <c r="B14" s="393">
        <v>-2466</v>
      </c>
      <c r="C14" s="393">
        <v>3497</v>
      </c>
      <c r="D14" s="393">
        <v>3703</v>
      </c>
      <c r="E14" s="393">
        <v>1559</v>
      </c>
      <c r="F14" s="262">
        <v>551</v>
      </c>
    </row>
    <row r="15" spans="1:9" ht="15.6" x14ac:dyDescent="0.3">
      <c r="A15" s="484" t="s">
        <v>271</v>
      </c>
      <c r="B15" s="755">
        <v>7043</v>
      </c>
      <c r="C15" s="755">
        <v>12860</v>
      </c>
      <c r="D15" s="755">
        <v>12126</v>
      </c>
      <c r="E15" s="755">
        <v>7686</v>
      </c>
      <c r="F15" s="757">
        <v>4565</v>
      </c>
    </row>
    <row r="16" spans="1:9" ht="15.6" x14ac:dyDescent="0.3">
      <c r="A16" s="214"/>
      <c r="B16" s="220"/>
      <c r="C16" s="220"/>
      <c r="D16" s="756"/>
      <c r="E16" s="756"/>
      <c r="F16" s="223"/>
      <c r="G16" s="220"/>
      <c r="H16" s="220"/>
      <c r="I16" s="205"/>
    </row>
    <row r="17" spans="1:6" x14ac:dyDescent="0.3">
      <c r="A17" s="6" t="s">
        <v>998</v>
      </c>
      <c r="B17" s="205"/>
      <c r="C17" s="205"/>
      <c r="D17" s="756"/>
      <c r="E17" s="756"/>
      <c r="F17" s="8"/>
    </row>
    <row r="18" spans="1:6" x14ac:dyDescent="0.3">
      <c r="A18" s="6" t="s">
        <v>1431</v>
      </c>
      <c r="B18" s="205"/>
      <c r="C18" s="205"/>
      <c r="D18" s="756"/>
      <c r="E18" s="756"/>
      <c r="F18" s="8"/>
    </row>
    <row r="19" spans="1:6" ht="15" thickBot="1" x14ac:dyDescent="0.35">
      <c r="A19" s="9" t="s">
        <v>1430</v>
      </c>
      <c r="B19" s="25"/>
      <c r="C19" s="25"/>
      <c r="D19" s="758"/>
      <c r="E19" s="758"/>
      <c r="F19" s="26"/>
    </row>
    <row r="20" spans="1:6" x14ac:dyDescent="0.3">
      <c r="A20" s="12" t="s">
        <v>3703</v>
      </c>
    </row>
  </sheetData>
  <pageMargins left="0.7" right="0.7" top="0.75" bottom="0.75" header="0.3" footer="0.3"/>
  <pageSetup orientation="portrait" r:id="rId1"/>
  <ignoredErrors>
    <ignoredError sqref="B10:F10" formulaRange="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theme="4"/>
  </sheetPr>
  <dimension ref="A1:T183"/>
  <sheetViews>
    <sheetView showGridLines="0" topLeftCell="B8" zoomScale="70" zoomScaleNormal="70" workbookViewId="0">
      <selection activeCell="Q177" sqref="Q177"/>
    </sheetView>
  </sheetViews>
  <sheetFormatPr defaultColWidth="9.109375" defaultRowHeight="15.6" outlineLevelRow="1" x14ac:dyDescent="0.3"/>
  <cols>
    <col min="1" max="1" width="9.109375" style="285"/>
    <col min="2" max="2" width="46.5546875" style="211" customWidth="1"/>
    <col min="3" max="4" width="11" style="211" bestFit="1" customWidth="1"/>
    <col min="5" max="13" width="10.44140625" style="211" customWidth="1"/>
    <col min="14" max="16" width="9.109375" style="211"/>
    <col min="17" max="17" width="42.44140625" style="211" customWidth="1"/>
    <col min="18" max="18" width="9.109375" style="211"/>
    <col min="19" max="19" width="1.109375" style="211" customWidth="1"/>
    <col min="20" max="20" width="10.33203125" style="211" bestFit="1" customWidth="1"/>
    <col min="21" max="16384" width="9.109375" style="211"/>
  </cols>
  <sheetData>
    <row r="1" spans="1:13" x14ac:dyDescent="0.3">
      <c r="B1" s="499" t="s">
        <v>1482</v>
      </c>
    </row>
    <row r="2" spans="1:13" x14ac:dyDescent="0.3">
      <c r="B2" s="152" t="s">
        <v>1432</v>
      </c>
    </row>
    <row r="3" spans="1:13" ht="9" customHeight="1" thickBot="1" x14ac:dyDescent="0.35"/>
    <row r="4" spans="1:13" x14ac:dyDescent="0.3">
      <c r="B4" s="225"/>
      <c r="C4" s="443">
        <v>27391</v>
      </c>
      <c r="D4" s="443">
        <v>27027</v>
      </c>
      <c r="E4" s="443">
        <v>26663</v>
      </c>
      <c r="F4" s="443">
        <v>26298</v>
      </c>
      <c r="G4" s="443">
        <v>25933</v>
      </c>
      <c r="H4" s="443">
        <v>25571</v>
      </c>
      <c r="I4" s="443">
        <v>25200</v>
      </c>
      <c r="J4" s="443">
        <v>24836</v>
      </c>
      <c r="K4" s="443">
        <v>24381</v>
      </c>
      <c r="L4" s="443">
        <v>24017</v>
      </c>
      <c r="M4" s="444">
        <v>23653</v>
      </c>
    </row>
    <row r="5" spans="1:13" x14ac:dyDescent="0.3">
      <c r="B5" s="221" t="s">
        <v>1204</v>
      </c>
      <c r="C5" s="781"/>
      <c r="D5" s="781"/>
      <c r="E5" s="781"/>
      <c r="F5" s="781"/>
      <c r="G5" s="781"/>
      <c r="H5" s="781"/>
      <c r="I5" s="781"/>
      <c r="J5" s="781"/>
      <c r="K5" s="781"/>
      <c r="L5" s="781"/>
      <c r="M5" s="249"/>
    </row>
    <row r="6" spans="1:13" x14ac:dyDescent="0.3">
      <c r="B6" s="221" t="s">
        <v>1253</v>
      </c>
      <c r="C6" s="220"/>
      <c r="D6" s="220"/>
      <c r="E6" s="220"/>
      <c r="F6" s="220"/>
      <c r="G6" s="220"/>
      <c r="H6" s="220"/>
      <c r="I6" s="220"/>
      <c r="J6" s="220"/>
      <c r="K6" s="220"/>
      <c r="L6" s="220"/>
      <c r="M6" s="223"/>
    </row>
    <row r="7" spans="1:13" x14ac:dyDescent="0.3">
      <c r="B7" s="214" t="s">
        <v>5</v>
      </c>
      <c r="C7" s="442">
        <v>4230559</v>
      </c>
      <c r="D7" s="442">
        <v>2885645</v>
      </c>
      <c r="E7" s="442">
        <v>4998225</v>
      </c>
      <c r="F7" s="442">
        <v>962010</v>
      </c>
      <c r="G7" s="442">
        <v>1351567</v>
      </c>
      <c r="H7" s="442">
        <v>1792835</v>
      </c>
      <c r="I7" s="442">
        <v>1605600</v>
      </c>
      <c r="J7" s="442">
        <v>835301</v>
      </c>
      <c r="K7" s="442">
        <v>628721</v>
      </c>
      <c r="L7" s="442">
        <v>775504</v>
      </c>
      <c r="M7" s="251">
        <v>920089</v>
      </c>
    </row>
    <row r="8" spans="1:13" x14ac:dyDescent="0.3">
      <c r="B8" s="214"/>
      <c r="C8" s="392"/>
      <c r="D8" s="392"/>
      <c r="E8" s="392"/>
      <c r="F8" s="392"/>
      <c r="G8" s="392"/>
      <c r="H8" s="392"/>
      <c r="I8" s="392"/>
      <c r="J8" s="392"/>
      <c r="K8" s="392"/>
      <c r="L8" s="392"/>
      <c r="M8" s="253"/>
    </row>
    <row r="9" spans="1:13" x14ac:dyDescent="0.3">
      <c r="B9" s="214" t="s">
        <v>64</v>
      </c>
      <c r="C9" s="446">
        <f>11108163+71530651</f>
        <v>82638814</v>
      </c>
      <c r="D9" s="446">
        <v>74474461</v>
      </c>
      <c r="E9" s="446">
        <v>88148480</v>
      </c>
      <c r="F9" s="1701"/>
      <c r="G9" s="1701"/>
      <c r="H9" s="1701"/>
      <c r="I9" s="1701"/>
      <c r="J9" s="1701"/>
      <c r="K9" s="1701"/>
      <c r="L9" s="1701"/>
      <c r="M9" s="1702"/>
    </row>
    <row r="10" spans="1:13" x14ac:dyDescent="0.3">
      <c r="B10" s="214" t="s">
        <v>631</v>
      </c>
      <c r="C10" s="446">
        <v>2855185</v>
      </c>
      <c r="D10" s="446">
        <v>2298348</v>
      </c>
      <c r="E10" s="446">
        <v>2942252</v>
      </c>
      <c r="F10" s="1701"/>
      <c r="G10" s="1701"/>
      <c r="H10" s="1701"/>
      <c r="I10" s="1701"/>
      <c r="J10" s="1701"/>
      <c r="K10" s="1701"/>
      <c r="L10" s="1701"/>
      <c r="M10" s="1702"/>
    </row>
    <row r="11" spans="1:13" x14ac:dyDescent="0.3">
      <c r="B11" s="214" t="s">
        <v>169</v>
      </c>
      <c r="C11" s="446">
        <v>50669865</v>
      </c>
      <c r="D11" s="446">
        <v>49756778</v>
      </c>
      <c r="E11" s="446">
        <v>17411780</v>
      </c>
      <c r="F11" s="686"/>
      <c r="G11" s="686"/>
      <c r="H11" s="686"/>
      <c r="I11" s="686"/>
      <c r="J11" s="686"/>
      <c r="K11" s="686"/>
      <c r="L11" s="686"/>
      <c r="M11" s="1156"/>
    </row>
    <row r="12" spans="1:13" s="320" customFormat="1" x14ac:dyDescent="0.3">
      <c r="A12" s="439"/>
      <c r="B12" s="214" t="s">
        <v>1433</v>
      </c>
      <c r="C12" s="235">
        <f>SUM(C9:C11)</f>
        <v>136163864</v>
      </c>
      <c r="D12" s="235">
        <f>SUM(D9:D11)</f>
        <v>126529587</v>
      </c>
      <c r="E12" s="235">
        <f>SUM(E9:E11)</f>
        <v>108502512</v>
      </c>
      <c r="F12" s="235">
        <v>0</v>
      </c>
      <c r="G12" s="235">
        <v>0</v>
      </c>
      <c r="H12" s="235">
        <v>294165</v>
      </c>
      <c r="I12" s="235">
        <v>5421384</v>
      </c>
      <c r="J12" s="235">
        <v>3825077</v>
      </c>
      <c r="K12" s="235">
        <v>5445795</v>
      </c>
      <c r="L12" s="235">
        <v>2900000</v>
      </c>
      <c r="M12" s="263">
        <v>0</v>
      </c>
    </row>
    <row r="13" spans="1:13" s="320" customFormat="1" x14ac:dyDescent="0.3">
      <c r="A13" s="439"/>
      <c r="B13" s="221"/>
      <c r="C13" s="783"/>
      <c r="D13" s="783"/>
      <c r="E13" s="783"/>
      <c r="F13" s="783"/>
      <c r="G13" s="783"/>
      <c r="H13" s="783"/>
      <c r="I13" s="783"/>
      <c r="J13" s="783"/>
      <c r="K13" s="783"/>
      <c r="L13" s="783"/>
      <c r="M13" s="257"/>
    </row>
    <row r="14" spans="1:13" x14ac:dyDescent="0.3">
      <c r="B14" s="214" t="s">
        <v>1436</v>
      </c>
      <c r="C14" s="446">
        <v>4377918</v>
      </c>
      <c r="D14" s="446">
        <v>5148239</v>
      </c>
      <c r="E14" s="446">
        <v>4054676</v>
      </c>
      <c r="F14" s="446">
        <v>5099853</v>
      </c>
      <c r="G14" s="446">
        <v>3916332</v>
      </c>
      <c r="H14" s="446">
        <v>6397021</v>
      </c>
      <c r="I14" s="446">
        <v>7563123</v>
      </c>
      <c r="J14" s="446">
        <v>7571694</v>
      </c>
      <c r="K14" s="446">
        <v>8114240</v>
      </c>
      <c r="L14" s="446">
        <v>7422726</v>
      </c>
      <c r="M14" s="237">
        <v>7450564</v>
      </c>
    </row>
    <row r="15" spans="1:13" x14ac:dyDescent="0.3">
      <c r="B15" s="214" t="s">
        <v>1437</v>
      </c>
      <c r="C15" s="446">
        <f>17891227-C14</f>
        <v>13513309</v>
      </c>
      <c r="D15" s="446">
        <f>14056574-D14</f>
        <v>8908335</v>
      </c>
      <c r="E15" s="446">
        <f>12853881-E14</f>
        <v>8799205</v>
      </c>
      <c r="F15" s="446">
        <v>0</v>
      </c>
      <c r="G15" s="446">
        <v>0</v>
      </c>
      <c r="H15" s="446">
        <v>0</v>
      </c>
      <c r="I15" s="446">
        <v>0</v>
      </c>
      <c r="J15" s="446">
        <v>0</v>
      </c>
      <c r="K15" s="446">
        <v>0</v>
      </c>
      <c r="L15" s="446">
        <v>0</v>
      </c>
      <c r="M15" s="237">
        <v>0</v>
      </c>
    </row>
    <row r="16" spans="1:13" x14ac:dyDescent="0.3">
      <c r="B16" s="214" t="s">
        <v>1434</v>
      </c>
      <c r="C16" s="446">
        <v>5999552</v>
      </c>
      <c r="D16" s="446">
        <v>7136676</v>
      </c>
      <c r="E16" s="446">
        <v>6827043</v>
      </c>
      <c r="F16" s="446">
        <v>6030647</v>
      </c>
      <c r="G16" s="446">
        <v>8471798</v>
      </c>
      <c r="H16" s="446">
        <v>9269578</v>
      </c>
      <c r="I16" s="446">
        <v>12332943</v>
      </c>
      <c r="J16" s="446">
        <v>11585598</v>
      </c>
      <c r="K16" s="446">
        <v>12239261</v>
      </c>
      <c r="L16" s="446">
        <v>10277178</v>
      </c>
      <c r="M16" s="237">
        <v>11689145</v>
      </c>
    </row>
    <row r="17" spans="1:18" x14ac:dyDescent="0.3">
      <c r="B17" s="214"/>
      <c r="C17" s="446"/>
      <c r="D17" s="446"/>
      <c r="E17" s="446"/>
      <c r="F17" s="446"/>
      <c r="G17" s="446"/>
      <c r="H17" s="446"/>
      <c r="I17" s="446"/>
      <c r="J17" s="446"/>
      <c r="K17" s="446"/>
      <c r="L17" s="446"/>
      <c r="M17" s="237"/>
    </row>
    <row r="18" spans="1:18" x14ac:dyDescent="0.3">
      <c r="B18" s="214" t="s">
        <v>1438</v>
      </c>
      <c r="C18" s="446">
        <v>2332879</v>
      </c>
      <c r="D18" s="446">
        <v>2062833</v>
      </c>
      <c r="E18" s="446">
        <v>1966135</v>
      </c>
      <c r="F18" s="446">
        <v>2209204</v>
      </c>
      <c r="G18" s="446">
        <v>2493775</v>
      </c>
      <c r="H18" s="446">
        <v>3013844</v>
      </c>
      <c r="I18" s="446">
        <v>3862624</v>
      </c>
      <c r="J18" s="446">
        <v>5640287</v>
      </c>
      <c r="K18" s="446">
        <v>6306526</v>
      </c>
      <c r="L18" s="446">
        <v>6617447</v>
      </c>
      <c r="M18" s="237">
        <v>7571243</v>
      </c>
    </row>
    <row r="19" spans="1:18" x14ac:dyDescent="0.3">
      <c r="B19" s="214" t="s">
        <v>1439</v>
      </c>
      <c r="C19" s="446">
        <f>3913473-C18</f>
        <v>1580594</v>
      </c>
      <c r="D19" s="446">
        <f>3668005-D18</f>
        <v>1605172</v>
      </c>
      <c r="E19" s="446">
        <f>3640249-E18</f>
        <v>1674114</v>
      </c>
      <c r="F19" s="1701"/>
      <c r="G19" s="1701"/>
      <c r="H19" s="1701"/>
      <c r="I19" s="1701"/>
      <c r="J19" s="1701"/>
      <c r="K19" s="1701"/>
      <c r="L19" s="1701"/>
      <c r="M19" s="1702"/>
    </row>
    <row r="20" spans="1:18" x14ac:dyDescent="0.3">
      <c r="B20" s="214"/>
      <c r="C20" s="446"/>
      <c r="D20" s="446"/>
      <c r="E20" s="446"/>
      <c r="F20" s="446"/>
      <c r="G20" s="446"/>
      <c r="H20" s="446"/>
      <c r="I20" s="446"/>
      <c r="J20" s="446"/>
      <c r="K20" s="446"/>
      <c r="L20" s="446"/>
      <c r="M20" s="237"/>
    </row>
    <row r="21" spans="1:18" x14ac:dyDescent="0.3">
      <c r="B21" s="214" t="s">
        <v>1360</v>
      </c>
      <c r="C21" s="446">
        <v>22416879</v>
      </c>
      <c r="D21" s="446">
        <v>21003034</v>
      </c>
      <c r="E21" s="446">
        <v>20472590</v>
      </c>
      <c r="F21" s="446">
        <v>20116846</v>
      </c>
      <c r="G21" s="446">
        <v>19877908</v>
      </c>
      <c r="H21" s="446">
        <v>18868404</v>
      </c>
      <c r="I21" s="1701"/>
      <c r="J21" s="1701"/>
      <c r="K21" s="1701"/>
      <c r="L21" s="1701"/>
      <c r="M21" s="1702"/>
    </row>
    <row r="22" spans="1:18" x14ac:dyDescent="0.3">
      <c r="B22" s="214" t="s">
        <v>1450</v>
      </c>
      <c r="C22" s="686"/>
      <c r="D22" s="686"/>
      <c r="E22" s="686"/>
      <c r="F22" s="446">
        <v>33501882</v>
      </c>
      <c r="G22" s="446">
        <v>19064663</v>
      </c>
      <c r="H22" s="446">
        <v>15314965</v>
      </c>
      <c r="I22" s="446">
        <v>12754985</v>
      </c>
      <c r="J22" s="446">
        <v>10259078</v>
      </c>
      <c r="K22" s="1701"/>
      <c r="L22" s="1701"/>
      <c r="M22" s="1702"/>
    </row>
    <row r="23" spans="1:18" x14ac:dyDescent="0.3">
      <c r="B23" s="214" t="s">
        <v>1435</v>
      </c>
      <c r="C23" s="446">
        <v>16923998</v>
      </c>
      <c r="D23" s="446">
        <v>13717274</v>
      </c>
      <c r="E23" s="446">
        <v>11287396</v>
      </c>
      <c r="F23" s="2020"/>
      <c r="G23" s="2020"/>
      <c r="H23" s="2020"/>
      <c r="I23" s="2020"/>
      <c r="J23" s="2020"/>
      <c r="K23" s="2020"/>
      <c r="L23" s="2020"/>
      <c r="M23" s="2021"/>
    </row>
    <row r="24" spans="1:18" x14ac:dyDescent="0.3">
      <c r="B24" s="214" t="s">
        <v>1361</v>
      </c>
      <c r="C24" s="446">
        <v>1187333</v>
      </c>
      <c r="D24" s="446">
        <v>1333832</v>
      </c>
      <c r="E24" s="446">
        <v>1258832</v>
      </c>
      <c r="F24" s="446">
        <v>1258832</v>
      </c>
      <c r="G24" s="446">
        <v>1261000</v>
      </c>
      <c r="H24" s="446">
        <v>1261000</v>
      </c>
      <c r="I24" s="446">
        <v>0</v>
      </c>
      <c r="J24" s="446">
        <v>0</v>
      </c>
      <c r="K24" s="446">
        <v>0</v>
      </c>
      <c r="L24" s="446">
        <v>0</v>
      </c>
      <c r="M24" s="237">
        <v>0</v>
      </c>
    </row>
    <row r="25" spans="1:18" x14ac:dyDescent="0.3">
      <c r="B25" s="214" t="s">
        <v>1362</v>
      </c>
      <c r="C25" s="446">
        <v>4400000</v>
      </c>
      <c r="D25" s="446">
        <v>5240000</v>
      </c>
      <c r="E25" s="446">
        <v>5624000</v>
      </c>
      <c r="F25" s="2020"/>
      <c r="G25" s="2020"/>
      <c r="H25" s="2020"/>
      <c r="I25" s="2020"/>
      <c r="J25" s="2020"/>
      <c r="K25" s="2020"/>
      <c r="L25" s="2020"/>
      <c r="M25" s="2021"/>
    </row>
    <row r="26" spans="1:18" x14ac:dyDescent="0.3">
      <c r="B26" s="214" t="s">
        <v>348</v>
      </c>
      <c r="C26" s="446">
        <f t="shared" ref="C26:M26" si="0">C27-(SUM(C12:C25)+C7)</f>
        <v>3086688</v>
      </c>
      <c r="D26" s="446">
        <f t="shared" si="0"/>
        <v>560987</v>
      </c>
      <c r="E26" s="446">
        <f t="shared" si="0"/>
        <v>645105</v>
      </c>
      <c r="F26" s="446">
        <f t="shared" si="0"/>
        <v>110290</v>
      </c>
      <c r="G26" s="446">
        <f t="shared" si="0"/>
        <v>200341</v>
      </c>
      <c r="H26" s="446">
        <f t="shared" si="0"/>
        <v>344725</v>
      </c>
      <c r="I26" s="446">
        <f t="shared" si="0"/>
        <v>199501</v>
      </c>
      <c r="J26" s="446">
        <f t="shared" si="0"/>
        <v>223555</v>
      </c>
      <c r="K26" s="446">
        <f t="shared" si="0"/>
        <v>161635</v>
      </c>
      <c r="L26" s="446">
        <f t="shared" si="0"/>
        <v>229532</v>
      </c>
      <c r="M26" s="237">
        <f t="shared" si="0"/>
        <v>256005</v>
      </c>
    </row>
    <row r="27" spans="1:18" ht="16.2" thickBot="1" x14ac:dyDescent="0.35">
      <c r="B27" s="214" t="s">
        <v>282</v>
      </c>
      <c r="C27" s="258">
        <v>216213573</v>
      </c>
      <c r="D27" s="258">
        <v>196131614</v>
      </c>
      <c r="E27" s="258">
        <v>176109833</v>
      </c>
      <c r="F27" s="258">
        <v>69289564</v>
      </c>
      <c r="G27" s="258">
        <v>56637384</v>
      </c>
      <c r="H27" s="258">
        <v>56556537</v>
      </c>
      <c r="I27" s="258">
        <v>43740160</v>
      </c>
      <c r="J27" s="258">
        <v>39940590</v>
      </c>
      <c r="K27" s="258">
        <v>32896178</v>
      </c>
      <c r="L27" s="258">
        <v>28222387</v>
      </c>
      <c r="M27" s="259">
        <v>27887046</v>
      </c>
    </row>
    <row r="28" spans="1:18" ht="7.5" customHeight="1" thickTop="1" x14ac:dyDescent="0.3">
      <c r="B28" s="213"/>
      <c r="C28" s="442"/>
      <c r="D28" s="442"/>
      <c r="E28" s="442"/>
      <c r="F28" s="442"/>
      <c r="G28" s="442"/>
      <c r="H28" s="442"/>
      <c r="I28" s="442"/>
      <c r="J28" s="442"/>
      <c r="K28" s="442"/>
      <c r="L28" s="442"/>
      <c r="M28" s="251"/>
    </row>
    <row r="29" spans="1:18" s="1" customFormat="1" x14ac:dyDescent="0.3">
      <c r="A29" s="32"/>
      <c r="B29" s="221" t="s">
        <v>1365</v>
      </c>
      <c r="C29" s="215"/>
      <c r="D29" s="446"/>
      <c r="E29" s="446"/>
      <c r="F29" s="784"/>
      <c r="G29" s="784"/>
      <c r="H29" s="784"/>
      <c r="I29" s="784"/>
      <c r="J29" s="784"/>
      <c r="K29" s="784"/>
      <c r="L29" s="784"/>
      <c r="M29" s="785"/>
      <c r="N29" s="446"/>
      <c r="O29" s="446"/>
      <c r="P29" s="446"/>
      <c r="Q29" s="446"/>
      <c r="R29" s="205"/>
    </row>
    <row r="30" spans="1:18" s="1" customFormat="1" x14ac:dyDescent="0.3">
      <c r="A30" s="32"/>
      <c r="B30" s="221" t="s">
        <v>1366</v>
      </c>
      <c r="C30" s="215"/>
      <c r="D30" s="446"/>
      <c r="E30" s="446"/>
      <c r="F30" s="784"/>
      <c r="G30" s="784"/>
      <c r="H30" s="784"/>
      <c r="I30" s="784"/>
      <c r="J30" s="784"/>
      <c r="K30" s="784"/>
      <c r="L30" s="784"/>
      <c r="M30" s="785"/>
      <c r="N30" s="446"/>
      <c r="O30" s="446"/>
      <c r="P30" s="446"/>
      <c r="Q30" s="446"/>
      <c r="R30" s="205"/>
    </row>
    <row r="31" spans="1:18" x14ac:dyDescent="0.3">
      <c r="B31" s="214"/>
      <c r="C31" s="215"/>
      <c r="D31" s="215" t="s">
        <v>176</v>
      </c>
      <c r="E31" s="215"/>
      <c r="F31" s="215"/>
      <c r="G31" s="215"/>
      <c r="H31" s="215"/>
      <c r="I31" s="215"/>
      <c r="J31" s="215"/>
      <c r="K31" s="215"/>
      <c r="L31" s="215"/>
      <c r="M31" s="260"/>
      <c r="P31" s="341"/>
    </row>
    <row r="32" spans="1:18" x14ac:dyDescent="0.3">
      <c r="B32" s="221" t="s">
        <v>1292</v>
      </c>
      <c r="C32" s="215"/>
      <c r="D32" s="215"/>
      <c r="E32" s="215"/>
      <c r="F32" s="215"/>
      <c r="G32" s="215"/>
      <c r="H32" s="215"/>
      <c r="I32" s="215"/>
      <c r="J32" s="215"/>
      <c r="K32" s="215"/>
      <c r="L32" s="215"/>
      <c r="M32" s="260"/>
    </row>
    <row r="33" spans="1:17" x14ac:dyDescent="0.3">
      <c r="B33" s="214" t="s">
        <v>68</v>
      </c>
      <c r="C33" s="442">
        <v>72761097</v>
      </c>
      <c r="D33" s="442">
        <v>61675768</v>
      </c>
      <c r="E33" s="442">
        <v>60275018</v>
      </c>
      <c r="F33" s="2020"/>
      <c r="G33" s="2020"/>
      <c r="H33" s="2020"/>
      <c r="I33" s="2020"/>
      <c r="J33" s="2020"/>
      <c r="K33" s="2020"/>
      <c r="L33" s="2020"/>
      <c r="M33" s="2021"/>
    </row>
    <row r="34" spans="1:17" x14ac:dyDescent="0.3">
      <c r="B34" s="214" t="s">
        <v>69</v>
      </c>
      <c r="C34" s="446">
        <v>21704867</v>
      </c>
      <c r="D34" s="446">
        <v>21281980</v>
      </c>
      <c r="E34" s="446">
        <v>23839397</v>
      </c>
      <c r="F34" s="2020"/>
      <c r="G34" s="2020"/>
      <c r="H34" s="2020"/>
      <c r="I34" s="2020"/>
      <c r="J34" s="2020"/>
      <c r="K34" s="2020"/>
      <c r="L34" s="2020"/>
      <c r="M34" s="2021"/>
    </row>
    <row r="35" spans="1:17" x14ac:dyDescent="0.3">
      <c r="B35" s="214" t="s">
        <v>70</v>
      </c>
      <c r="C35" s="446">
        <v>2857284</v>
      </c>
      <c r="D35" s="446">
        <v>1318205</v>
      </c>
      <c r="E35" s="446">
        <v>957845</v>
      </c>
      <c r="F35" s="2020"/>
      <c r="G35" s="2020"/>
      <c r="H35" s="2020"/>
      <c r="I35" s="2020"/>
      <c r="J35" s="2020"/>
      <c r="K35" s="2020"/>
      <c r="L35" s="2020"/>
      <c r="M35" s="2021"/>
    </row>
    <row r="36" spans="1:17" x14ac:dyDescent="0.3">
      <c r="B36" s="214" t="s">
        <v>72</v>
      </c>
      <c r="C36" s="446">
        <v>294101</v>
      </c>
      <c r="D36" s="446">
        <v>459609</v>
      </c>
      <c r="E36" s="446">
        <v>674123</v>
      </c>
      <c r="F36" s="2020"/>
      <c r="G36" s="2020"/>
      <c r="H36" s="2020"/>
      <c r="I36" s="2020"/>
      <c r="J36" s="2020"/>
      <c r="K36" s="2020"/>
      <c r="L36" s="2020"/>
      <c r="M36" s="2021"/>
    </row>
    <row r="37" spans="1:17" x14ac:dyDescent="0.3">
      <c r="B37" s="214" t="s">
        <v>1440</v>
      </c>
      <c r="C37" s="446">
        <v>4435325</v>
      </c>
      <c r="D37" s="446">
        <v>4726609</v>
      </c>
      <c r="E37" s="446">
        <v>4383758</v>
      </c>
      <c r="F37" s="446">
        <v>3305390</v>
      </c>
      <c r="G37" s="446">
        <v>2014843</v>
      </c>
      <c r="H37" s="446">
        <v>3804322</v>
      </c>
      <c r="I37" s="446">
        <v>4256530</v>
      </c>
      <c r="J37" s="446">
        <v>5433556</v>
      </c>
      <c r="K37" s="446">
        <v>2978712</v>
      </c>
      <c r="L37" s="446">
        <f>2581585+296256+382481</f>
        <v>3260322</v>
      </c>
      <c r="M37" s="237">
        <f>2096726+294764+491691</f>
        <v>2883181</v>
      </c>
    </row>
    <row r="38" spans="1:17" x14ac:dyDescent="0.3">
      <c r="B38" s="214" t="s">
        <v>1441</v>
      </c>
      <c r="C38" s="446">
        <v>163809</v>
      </c>
      <c r="D38" s="446">
        <v>262357</v>
      </c>
      <c r="E38" s="446">
        <v>3576109</v>
      </c>
      <c r="F38" s="446">
        <v>174009</v>
      </c>
      <c r="G38" s="446">
        <v>247908</v>
      </c>
      <c r="H38" s="446">
        <v>1442855</v>
      </c>
      <c r="I38" s="446">
        <v>637059</v>
      </c>
      <c r="J38" s="446">
        <v>322799</v>
      </c>
      <c r="K38" s="446">
        <v>422546</v>
      </c>
      <c r="L38" s="446">
        <v>441951</v>
      </c>
      <c r="M38" s="237">
        <v>365112</v>
      </c>
    </row>
    <row r="39" spans="1:17" x14ac:dyDescent="0.3">
      <c r="B39" s="214" t="s">
        <v>1442</v>
      </c>
      <c r="C39" s="446">
        <v>3043800</v>
      </c>
      <c r="D39" s="446">
        <v>3297368</v>
      </c>
      <c r="E39" s="446">
        <v>3214084</v>
      </c>
      <c r="F39" s="2020"/>
      <c r="G39" s="2020"/>
      <c r="H39" s="2020"/>
      <c r="I39" s="2020"/>
      <c r="J39" s="2020"/>
      <c r="K39" s="2020"/>
      <c r="L39" s="2020"/>
      <c r="M39" s="2021"/>
    </row>
    <row r="40" spans="1:17" x14ac:dyDescent="0.3">
      <c r="B40" s="214"/>
      <c r="C40" s="446"/>
      <c r="D40" s="446"/>
      <c r="E40" s="446"/>
      <c r="F40" s="446"/>
      <c r="G40" s="446"/>
      <c r="H40" s="446"/>
      <c r="I40" s="446"/>
      <c r="J40" s="446"/>
      <c r="K40" s="446"/>
      <c r="L40" s="446"/>
      <c r="M40" s="237"/>
    </row>
    <row r="41" spans="1:17" x14ac:dyDescent="0.3">
      <c r="B41" s="214" t="s">
        <v>1443</v>
      </c>
      <c r="C41" s="446">
        <v>0</v>
      </c>
      <c r="D41" s="446">
        <v>0</v>
      </c>
      <c r="E41" s="446">
        <v>0</v>
      </c>
      <c r="F41" s="446">
        <v>0</v>
      </c>
      <c r="G41" s="446">
        <v>1500000</v>
      </c>
      <c r="H41" s="446">
        <v>1500000</v>
      </c>
      <c r="I41" s="446">
        <v>0</v>
      </c>
      <c r="J41" s="446">
        <v>0</v>
      </c>
      <c r="K41" s="446">
        <v>0</v>
      </c>
      <c r="L41" s="446">
        <v>0</v>
      </c>
      <c r="M41" s="237">
        <v>0</v>
      </c>
    </row>
    <row r="42" spans="1:17" x14ac:dyDescent="0.3">
      <c r="B42" s="214" t="s">
        <v>75</v>
      </c>
      <c r="C42" s="446">
        <v>555780</v>
      </c>
      <c r="D42" s="446">
        <v>598540</v>
      </c>
      <c r="E42" s="446">
        <v>641300</v>
      </c>
      <c r="F42" s="446">
        <v>641300</v>
      </c>
      <c r="G42" s="446">
        <v>641300</v>
      </c>
      <c r="H42" s="446">
        <v>641300</v>
      </c>
      <c r="I42" s="446">
        <v>641300</v>
      </c>
      <c r="J42" s="446">
        <v>641300</v>
      </c>
      <c r="K42" s="446">
        <v>0</v>
      </c>
      <c r="L42" s="446">
        <v>0</v>
      </c>
      <c r="M42" s="237">
        <v>0</v>
      </c>
    </row>
    <row r="43" spans="1:17" x14ac:dyDescent="0.3">
      <c r="B43" s="214" t="s">
        <v>76</v>
      </c>
      <c r="C43" s="446">
        <v>0</v>
      </c>
      <c r="D43" s="446">
        <v>0</v>
      </c>
      <c r="E43" s="446">
        <v>9000000</v>
      </c>
      <c r="F43" s="446">
        <v>9000000</v>
      </c>
      <c r="G43" s="446">
        <v>3750000</v>
      </c>
      <c r="H43" s="446">
        <v>5250000</v>
      </c>
      <c r="I43" s="446">
        <v>2000000</v>
      </c>
      <c r="J43" s="446">
        <v>2000000</v>
      </c>
      <c r="K43" s="446">
        <v>0</v>
      </c>
      <c r="L43" s="446">
        <v>0</v>
      </c>
      <c r="M43" s="237">
        <v>2500000</v>
      </c>
      <c r="Q43" s="211" t="s">
        <v>176</v>
      </c>
    </row>
    <row r="44" spans="1:17" x14ac:dyDescent="0.3">
      <c r="B44" s="214" t="s">
        <v>77</v>
      </c>
      <c r="C44" s="446">
        <v>20000000</v>
      </c>
      <c r="D44" s="446">
        <v>20000000</v>
      </c>
      <c r="E44" s="446">
        <v>0</v>
      </c>
      <c r="F44" s="446">
        <v>0</v>
      </c>
      <c r="G44" s="446">
        <v>0</v>
      </c>
      <c r="H44" s="446">
        <v>0</v>
      </c>
      <c r="I44" s="446">
        <v>0</v>
      </c>
      <c r="J44" s="446">
        <v>0</v>
      </c>
      <c r="K44" s="446">
        <v>0</v>
      </c>
      <c r="L44" s="446">
        <v>0</v>
      </c>
      <c r="M44" s="237">
        <v>0</v>
      </c>
    </row>
    <row r="45" spans="1:17" x14ac:dyDescent="0.3">
      <c r="B45" s="214" t="s">
        <v>79</v>
      </c>
      <c r="C45" s="446">
        <v>1274437</v>
      </c>
      <c r="D45" s="446"/>
      <c r="E45" s="446">
        <v>0</v>
      </c>
      <c r="F45" s="446">
        <v>0</v>
      </c>
      <c r="G45" s="446">
        <v>0</v>
      </c>
      <c r="H45" s="446">
        <v>0</v>
      </c>
      <c r="I45" s="446">
        <v>0</v>
      </c>
      <c r="J45" s="446">
        <v>0</v>
      </c>
      <c r="K45" s="446">
        <v>0</v>
      </c>
      <c r="L45" s="446">
        <v>0</v>
      </c>
      <c r="M45" s="237">
        <v>0</v>
      </c>
    </row>
    <row r="46" spans="1:17" s="320" customFormat="1" x14ac:dyDescent="0.3">
      <c r="A46" s="439"/>
      <c r="B46" s="214" t="s">
        <v>255</v>
      </c>
      <c r="C46" s="235">
        <f t="shared" ref="C46:M46" si="1">SUM(C41:C45)</f>
        <v>21830217</v>
      </c>
      <c r="D46" s="235">
        <f t="shared" si="1"/>
        <v>20598540</v>
      </c>
      <c r="E46" s="235">
        <f t="shared" si="1"/>
        <v>9641300</v>
      </c>
      <c r="F46" s="235">
        <f t="shared" si="1"/>
        <v>9641300</v>
      </c>
      <c r="G46" s="235">
        <f t="shared" si="1"/>
        <v>5891300</v>
      </c>
      <c r="H46" s="235">
        <f t="shared" si="1"/>
        <v>7391300</v>
      </c>
      <c r="I46" s="235">
        <f t="shared" si="1"/>
        <v>2641300</v>
      </c>
      <c r="J46" s="235">
        <f t="shared" si="1"/>
        <v>2641300</v>
      </c>
      <c r="K46" s="235">
        <f t="shared" si="1"/>
        <v>0</v>
      </c>
      <c r="L46" s="235">
        <f t="shared" si="1"/>
        <v>0</v>
      </c>
      <c r="M46" s="263">
        <f t="shared" si="1"/>
        <v>2500000</v>
      </c>
    </row>
    <row r="47" spans="1:17" x14ac:dyDescent="0.3">
      <c r="B47" s="214"/>
      <c r="C47" s="393"/>
      <c r="D47" s="393"/>
      <c r="E47" s="393"/>
      <c r="F47" s="393"/>
      <c r="G47" s="393"/>
      <c r="H47" s="393"/>
      <c r="I47" s="393"/>
      <c r="J47" s="393"/>
      <c r="K47" s="393"/>
      <c r="L47" s="393"/>
      <c r="M47" s="262"/>
    </row>
    <row r="48" spans="1:17" x14ac:dyDescent="0.3">
      <c r="B48" s="214" t="s">
        <v>15</v>
      </c>
      <c r="C48" s="423">
        <f>C49-SUM(C33:C45)</f>
        <v>924446</v>
      </c>
      <c r="D48" s="423">
        <f t="shared" ref="D48:M48" si="2">D49-SUM(D33:D45)</f>
        <v>1355712</v>
      </c>
      <c r="E48" s="423">
        <f t="shared" si="2"/>
        <v>1253176</v>
      </c>
      <c r="F48" s="446">
        <f t="shared" si="2"/>
        <v>0</v>
      </c>
      <c r="G48" s="446">
        <f t="shared" si="2"/>
        <v>0</v>
      </c>
      <c r="H48" s="446">
        <f t="shared" si="2"/>
        <v>0</v>
      </c>
      <c r="I48" s="446">
        <f t="shared" si="2"/>
        <v>0</v>
      </c>
      <c r="J48" s="446">
        <f t="shared" si="2"/>
        <v>0</v>
      </c>
      <c r="K48" s="446">
        <f t="shared" si="2"/>
        <v>0</v>
      </c>
      <c r="L48" s="446">
        <f t="shared" si="2"/>
        <v>0</v>
      </c>
      <c r="M48" s="237">
        <f t="shared" si="2"/>
        <v>0</v>
      </c>
    </row>
    <row r="49" spans="1:13" x14ac:dyDescent="0.3">
      <c r="B49" s="214" t="s">
        <v>136</v>
      </c>
      <c r="C49" s="235">
        <f>C27-C58</f>
        <v>128014946</v>
      </c>
      <c r="D49" s="235">
        <f>196131614-81155466</f>
        <v>114976148</v>
      </c>
      <c r="E49" s="235">
        <f t="shared" ref="E49:M49" si="3">E27-E58</f>
        <v>107814810</v>
      </c>
      <c r="F49" s="235">
        <f t="shared" si="3"/>
        <v>13120699</v>
      </c>
      <c r="G49" s="235">
        <f t="shared" si="3"/>
        <v>8154051</v>
      </c>
      <c r="H49" s="235">
        <f t="shared" si="3"/>
        <v>12638477</v>
      </c>
      <c r="I49" s="235">
        <f t="shared" si="3"/>
        <v>7534889</v>
      </c>
      <c r="J49" s="235">
        <f t="shared" si="3"/>
        <v>8397655</v>
      </c>
      <c r="K49" s="235">
        <f t="shared" si="3"/>
        <v>3401258</v>
      </c>
      <c r="L49" s="235">
        <f t="shared" si="3"/>
        <v>3702273</v>
      </c>
      <c r="M49" s="263">
        <f t="shared" si="3"/>
        <v>5748293</v>
      </c>
    </row>
    <row r="50" spans="1:13" x14ac:dyDescent="0.3">
      <c r="B50" s="214"/>
      <c r="C50" s="423"/>
      <c r="D50" s="423"/>
      <c r="E50" s="423"/>
      <c r="F50" s="423"/>
      <c r="G50" s="423"/>
      <c r="H50" s="423"/>
      <c r="I50" s="423"/>
      <c r="J50" s="423"/>
      <c r="K50" s="423"/>
      <c r="L50" s="423"/>
      <c r="M50" s="240"/>
    </row>
    <row r="51" spans="1:13" s="320" customFormat="1" hidden="1" outlineLevel="1" x14ac:dyDescent="0.3">
      <c r="A51" s="439"/>
      <c r="B51" s="221" t="s">
        <v>16</v>
      </c>
      <c r="C51" s="538">
        <v>979569</v>
      </c>
      <c r="D51" s="538">
        <v>979569</v>
      </c>
      <c r="E51" s="538">
        <v>1017547</v>
      </c>
      <c r="F51" s="538">
        <v>1017547</v>
      </c>
      <c r="G51" s="538">
        <v>1017547</v>
      </c>
      <c r="H51" s="538">
        <v>1017547</v>
      </c>
      <c r="I51" s="538">
        <v>1017547</v>
      </c>
      <c r="J51" s="538">
        <v>1017547</v>
      </c>
      <c r="K51" s="538">
        <v>1017547</v>
      </c>
      <c r="L51" s="538">
        <v>1137778</v>
      </c>
      <c r="M51" s="264">
        <v>1607380</v>
      </c>
    </row>
    <row r="52" spans="1:13" s="320" customFormat="1" hidden="1" outlineLevel="1" x14ac:dyDescent="0.3">
      <c r="A52" s="439"/>
      <c r="B52" s="221" t="s">
        <v>26</v>
      </c>
      <c r="C52" s="265">
        <v>0</v>
      </c>
      <c r="D52" s="265">
        <v>0</v>
      </c>
      <c r="E52" s="265">
        <v>-37978</v>
      </c>
      <c r="F52" s="265">
        <v>-37978</v>
      </c>
      <c r="G52" s="265">
        <v>-37970</v>
      </c>
      <c r="H52" s="265">
        <v>-37965</v>
      </c>
      <c r="I52" s="265">
        <v>-32065</v>
      </c>
      <c r="J52" s="265">
        <v>-32065</v>
      </c>
      <c r="K52" s="265">
        <v>0</v>
      </c>
      <c r="L52" s="265">
        <v>-120231</v>
      </c>
      <c r="M52" s="266">
        <v>-469602</v>
      </c>
    </row>
    <row r="53" spans="1:13" s="320" customFormat="1" collapsed="1" x14ac:dyDescent="0.3">
      <c r="A53" s="439"/>
      <c r="B53" s="221" t="s">
        <v>2627</v>
      </c>
      <c r="C53" s="538">
        <f t="shared" ref="C53:M53" si="4">C51+C52</f>
        <v>979569</v>
      </c>
      <c r="D53" s="538">
        <f t="shared" si="4"/>
        <v>979569</v>
      </c>
      <c r="E53" s="538">
        <f t="shared" si="4"/>
        <v>979569</v>
      </c>
      <c r="F53" s="538">
        <f t="shared" si="4"/>
        <v>979569</v>
      </c>
      <c r="G53" s="538">
        <f t="shared" si="4"/>
        <v>979577</v>
      </c>
      <c r="H53" s="538">
        <f t="shared" si="4"/>
        <v>979582</v>
      </c>
      <c r="I53" s="538">
        <f t="shared" si="4"/>
        <v>985482</v>
      </c>
      <c r="J53" s="538">
        <f t="shared" si="4"/>
        <v>985482</v>
      </c>
      <c r="K53" s="538">
        <f t="shared" si="4"/>
        <v>1017547</v>
      </c>
      <c r="L53" s="538">
        <f t="shared" si="4"/>
        <v>1017547</v>
      </c>
      <c r="M53" s="264">
        <f t="shared" si="4"/>
        <v>1137778</v>
      </c>
    </row>
    <row r="54" spans="1:13" s="759" customFormat="1" hidden="1" outlineLevel="1" x14ac:dyDescent="0.3">
      <c r="A54" s="439"/>
      <c r="B54" s="267" t="s">
        <v>17</v>
      </c>
      <c r="C54" s="541">
        <v>4897845</v>
      </c>
      <c r="D54" s="541">
        <v>4897845</v>
      </c>
      <c r="E54" s="541">
        <v>5087735</v>
      </c>
      <c r="F54" s="541">
        <v>5087735</v>
      </c>
      <c r="G54" s="541">
        <v>5087735</v>
      </c>
      <c r="H54" s="541">
        <v>5087735</v>
      </c>
      <c r="I54" s="541">
        <v>5087735</v>
      </c>
      <c r="J54" s="541">
        <v>5087735</v>
      </c>
      <c r="K54" s="541">
        <v>5087735</v>
      </c>
      <c r="L54" s="541">
        <v>5688890</v>
      </c>
      <c r="M54" s="268">
        <v>8036900</v>
      </c>
    </row>
    <row r="55" spans="1:13" s="759" customFormat="1" hidden="1" outlineLevel="1" x14ac:dyDescent="0.3">
      <c r="A55" s="439"/>
      <c r="B55" s="267" t="s">
        <v>18</v>
      </c>
      <c r="C55" s="541">
        <v>0</v>
      </c>
      <c r="D55" s="541">
        <v>0</v>
      </c>
      <c r="E55" s="541">
        <v>0</v>
      </c>
      <c r="F55" s="541">
        <v>0</v>
      </c>
      <c r="G55" s="541">
        <v>0</v>
      </c>
      <c r="H55" s="541">
        <v>0</v>
      </c>
      <c r="I55" s="541">
        <v>0</v>
      </c>
      <c r="J55" s="541">
        <v>0</v>
      </c>
      <c r="K55" s="541">
        <v>0</v>
      </c>
      <c r="L55" s="541">
        <v>0</v>
      </c>
      <c r="M55" s="268">
        <v>0</v>
      </c>
    </row>
    <row r="56" spans="1:13" s="759" customFormat="1" hidden="1" outlineLevel="1" x14ac:dyDescent="0.3">
      <c r="A56" s="439"/>
      <c r="B56" s="267" t="s">
        <v>19</v>
      </c>
      <c r="C56" s="541">
        <v>83300782</v>
      </c>
      <c r="D56" s="541">
        <v>76257621</v>
      </c>
      <c r="E56" s="541">
        <v>64024662</v>
      </c>
      <c r="F56" s="541">
        <v>51898505</v>
      </c>
      <c r="G56" s="541">
        <v>44212973</v>
      </c>
      <c r="H56" s="541">
        <v>39647495</v>
      </c>
      <c r="I56" s="541">
        <v>31694706</v>
      </c>
      <c r="J56" s="541">
        <v>27032370</v>
      </c>
      <c r="K56" s="541">
        <v>24407185</v>
      </c>
      <c r="L56" s="541">
        <v>20469068</v>
      </c>
      <c r="M56" s="268">
        <v>19417576</v>
      </c>
    </row>
    <row r="57" spans="1:13" s="759" customFormat="1" hidden="1" outlineLevel="1" x14ac:dyDescent="0.3">
      <c r="A57" s="439"/>
      <c r="B57" s="267" t="s">
        <v>21</v>
      </c>
      <c r="C57" s="541">
        <v>0</v>
      </c>
      <c r="D57" s="541">
        <v>0</v>
      </c>
      <c r="E57" s="541">
        <v>817375</v>
      </c>
      <c r="F57" s="541">
        <v>817375</v>
      </c>
      <c r="G57" s="541">
        <v>817375</v>
      </c>
      <c r="H57" s="541">
        <v>817170</v>
      </c>
      <c r="I57" s="541">
        <v>577170</v>
      </c>
      <c r="J57" s="541">
        <v>577170</v>
      </c>
      <c r="K57" s="541">
        <v>0</v>
      </c>
      <c r="L57" s="541">
        <v>1637844</v>
      </c>
      <c r="M57" s="268">
        <v>5315723</v>
      </c>
    </row>
    <row r="58" spans="1:13" collapsed="1" x14ac:dyDescent="0.3">
      <c r="B58" s="214" t="s">
        <v>642</v>
      </c>
      <c r="C58" s="269">
        <v>88198627</v>
      </c>
      <c r="D58" s="269">
        <v>81155466</v>
      </c>
      <c r="E58" s="269">
        <v>68295023</v>
      </c>
      <c r="F58" s="269">
        <v>56168865</v>
      </c>
      <c r="G58" s="269">
        <v>48483333</v>
      </c>
      <c r="H58" s="269">
        <v>43918060</v>
      </c>
      <c r="I58" s="269">
        <v>36205271</v>
      </c>
      <c r="J58" s="269">
        <v>31542935</v>
      </c>
      <c r="K58" s="269">
        <v>29494920</v>
      </c>
      <c r="L58" s="269">
        <v>24520114</v>
      </c>
      <c r="M58" s="270">
        <v>22138753</v>
      </c>
    </row>
    <row r="59" spans="1:13" ht="16.2" thickBot="1" x14ac:dyDescent="0.35">
      <c r="B59" s="214" t="s">
        <v>1259</v>
      </c>
      <c r="C59" s="258">
        <v>216213573</v>
      </c>
      <c r="D59" s="258">
        <v>196131614</v>
      </c>
      <c r="E59" s="258">
        <v>81607142</v>
      </c>
      <c r="F59" s="258">
        <v>69289564</v>
      </c>
      <c r="G59" s="258">
        <v>56637384</v>
      </c>
      <c r="H59" s="258">
        <v>56556537</v>
      </c>
      <c r="I59" s="258">
        <v>43740160</v>
      </c>
      <c r="J59" s="258">
        <v>39940590</v>
      </c>
      <c r="K59" s="258">
        <v>32896178</v>
      </c>
      <c r="L59" s="258">
        <v>28222387</v>
      </c>
      <c r="M59" s="259">
        <v>27887046</v>
      </c>
    </row>
    <row r="60" spans="1:13" ht="6" customHeight="1" thickTop="1" thickBot="1" x14ac:dyDescent="0.35">
      <c r="B60" s="271"/>
      <c r="C60" s="272"/>
      <c r="D60" s="272"/>
      <c r="E60" s="272"/>
      <c r="F60" s="272"/>
      <c r="G60" s="272"/>
      <c r="H60" s="272"/>
      <c r="I60" s="272"/>
      <c r="J60" s="272"/>
      <c r="K60" s="272"/>
      <c r="L60" s="272"/>
      <c r="M60" s="273"/>
    </row>
    <row r="61" spans="1:13" x14ac:dyDescent="0.3">
      <c r="B61" s="12" t="s">
        <v>1459</v>
      </c>
    </row>
    <row r="62" spans="1:13" s="274" customFormat="1" hidden="1" outlineLevel="1" x14ac:dyDescent="0.3">
      <c r="A62" s="285"/>
      <c r="B62" s="274" t="s">
        <v>27</v>
      </c>
      <c r="C62" s="275"/>
      <c r="D62" s="275"/>
      <c r="E62" s="275"/>
      <c r="F62" s="275"/>
      <c r="G62" s="275"/>
      <c r="H62" s="275"/>
      <c r="I62" s="275"/>
      <c r="J62" s="275"/>
      <c r="K62" s="275"/>
      <c r="L62" s="275">
        <f>L57/-L52</f>
        <v>13.622476732290341</v>
      </c>
      <c r="M62" s="275">
        <f>M57/-M52</f>
        <v>11.319634499001282</v>
      </c>
    </row>
    <row r="63" spans="1:13" s="274" customFormat="1" hidden="1" outlineLevel="1" x14ac:dyDescent="0.3">
      <c r="A63" s="285"/>
      <c r="B63" s="274" t="s">
        <v>28</v>
      </c>
      <c r="C63" s="275"/>
      <c r="D63" s="275"/>
      <c r="E63" s="275"/>
      <c r="F63" s="275"/>
      <c r="G63" s="275"/>
      <c r="H63" s="275"/>
      <c r="I63" s="275"/>
      <c r="J63" s="275"/>
      <c r="K63" s="275"/>
      <c r="L63" s="275">
        <f>(L57-M57)/(-L52+M52)</f>
        <v>10.527144496824294</v>
      </c>
      <c r="M63" s="275" t="e">
        <f>(M57-#REF!)/(-M52+#REF!)</f>
        <v>#REF!</v>
      </c>
    </row>
    <row r="64" spans="1:13" s="274" customFormat="1" hidden="1" outlineLevel="1" x14ac:dyDescent="0.3">
      <c r="A64" s="285"/>
      <c r="B64" s="274" t="s">
        <v>29</v>
      </c>
      <c r="C64" s="276"/>
      <c r="D64" s="276"/>
      <c r="E64" s="276"/>
      <c r="F64" s="276"/>
      <c r="G64" s="276"/>
      <c r="H64" s="276"/>
      <c r="I64" s="276"/>
      <c r="J64" s="276"/>
      <c r="K64" s="276"/>
      <c r="L64" s="276">
        <f>L63*L53</f>
        <v>10711864.30131007</v>
      </c>
      <c r="M64" s="276" t="e">
        <f>M63*M53</f>
        <v>#REF!</v>
      </c>
    </row>
    <row r="65" spans="2:17" collapsed="1" x14ac:dyDescent="0.3">
      <c r="F65" s="277"/>
      <c r="I65" s="277"/>
    </row>
    <row r="66" spans="2:17" s="372" customFormat="1" x14ac:dyDescent="0.3">
      <c r="F66" s="786"/>
      <c r="I66" s="786"/>
    </row>
    <row r="67" spans="2:17" x14ac:dyDescent="0.3">
      <c r="B67" s="211" t="s">
        <v>176</v>
      </c>
      <c r="I67" s="278"/>
    </row>
    <row r="68" spans="2:17" x14ac:dyDescent="0.3">
      <c r="B68" s="499" t="s">
        <v>1483</v>
      </c>
      <c r="E68" s="211" t="s">
        <v>176</v>
      </c>
    </row>
    <row r="69" spans="2:17" x14ac:dyDescent="0.3">
      <c r="B69" s="152" t="s">
        <v>1444</v>
      </c>
      <c r="Q69" s="211" t="s">
        <v>176</v>
      </c>
    </row>
    <row r="70" spans="2:17" ht="9" customHeight="1" thickBot="1" x14ac:dyDescent="0.35"/>
    <row r="71" spans="2:17" x14ac:dyDescent="0.3">
      <c r="B71" s="212" t="s">
        <v>1204</v>
      </c>
      <c r="C71" s="797">
        <f t="shared" ref="C71:I71" si="5">C4</f>
        <v>27391</v>
      </c>
      <c r="D71" s="797">
        <f t="shared" si="5"/>
        <v>27027</v>
      </c>
      <c r="E71" s="797">
        <f t="shared" si="5"/>
        <v>26663</v>
      </c>
      <c r="F71" s="797">
        <f t="shared" si="5"/>
        <v>26298</v>
      </c>
      <c r="G71" s="797">
        <f t="shared" si="5"/>
        <v>25933</v>
      </c>
      <c r="H71" s="797">
        <f t="shared" si="5"/>
        <v>25571</v>
      </c>
      <c r="I71" s="797">
        <f t="shared" si="5"/>
        <v>25200</v>
      </c>
      <c r="J71" s="797">
        <v>24745</v>
      </c>
      <c r="K71" s="797">
        <f>K4</f>
        <v>24381</v>
      </c>
      <c r="L71" s="797">
        <f>L4</f>
        <v>24017</v>
      </c>
      <c r="M71" s="798">
        <f>M4</f>
        <v>23653</v>
      </c>
    </row>
    <row r="72" spans="2:17" x14ac:dyDescent="0.3">
      <c r="B72" s="214" t="s">
        <v>285</v>
      </c>
      <c r="C72" s="796">
        <v>60573729</v>
      </c>
      <c r="D72" s="796">
        <v>52929257</v>
      </c>
      <c r="E72" s="796">
        <v>59627050</v>
      </c>
      <c r="F72" s="603"/>
      <c r="G72" s="603"/>
      <c r="H72" s="603"/>
      <c r="I72" s="603"/>
      <c r="J72" s="603"/>
      <c r="K72" s="603"/>
      <c r="L72" s="603"/>
      <c r="M72" s="1156"/>
    </row>
    <row r="73" spans="2:17" outlineLevel="1" x14ac:dyDescent="0.3">
      <c r="B73" s="214" t="s">
        <v>1369</v>
      </c>
      <c r="C73" s="789">
        <v>47119846</v>
      </c>
      <c r="D73" s="789">
        <v>32835798</v>
      </c>
      <c r="E73" s="789">
        <v>36987030</v>
      </c>
      <c r="F73" s="2022"/>
      <c r="G73" s="2022"/>
      <c r="H73" s="2022"/>
      <c r="I73" s="2022"/>
      <c r="J73" s="2022"/>
      <c r="K73" s="2022"/>
      <c r="L73" s="2022"/>
      <c r="M73" s="2023"/>
    </row>
    <row r="74" spans="2:17" outlineLevel="1" x14ac:dyDescent="0.3">
      <c r="B74" s="214" t="s">
        <v>292</v>
      </c>
      <c r="C74" s="789">
        <v>20345744</v>
      </c>
      <c r="D74" s="789">
        <v>16774167</v>
      </c>
      <c r="E74" s="789">
        <v>18355872</v>
      </c>
      <c r="F74" s="2022"/>
      <c r="G74" s="2022"/>
      <c r="H74" s="2022"/>
      <c r="I74" s="2022"/>
      <c r="J74" s="2022"/>
      <c r="K74" s="2022"/>
      <c r="L74" s="2022"/>
      <c r="M74" s="2023"/>
    </row>
    <row r="75" spans="2:17" x14ac:dyDescent="0.3">
      <c r="B75" s="214" t="s">
        <v>1446</v>
      </c>
      <c r="C75" s="789">
        <v>-6891861</v>
      </c>
      <c r="D75" s="789">
        <f>D72-D73-D74</f>
        <v>3319292</v>
      </c>
      <c r="E75" s="789">
        <v>4284148</v>
      </c>
      <c r="F75" s="2022"/>
      <c r="G75" s="2022"/>
      <c r="H75" s="2022"/>
      <c r="I75" s="2022"/>
      <c r="J75" s="2022"/>
      <c r="K75" s="2022"/>
      <c r="L75" s="2022"/>
      <c r="M75" s="2023"/>
    </row>
    <row r="76" spans="2:17" x14ac:dyDescent="0.3">
      <c r="B76" s="214" t="s">
        <v>1445</v>
      </c>
      <c r="C76" s="789">
        <v>7879820</v>
      </c>
      <c r="D76" s="789">
        <v>7282890</v>
      </c>
      <c r="E76" s="789">
        <v>6644074</v>
      </c>
      <c r="F76" s="2022"/>
      <c r="G76" s="2022"/>
      <c r="H76" s="2022"/>
      <c r="I76" s="2022"/>
      <c r="J76" s="2022"/>
      <c r="K76" s="2022"/>
      <c r="L76" s="2022"/>
      <c r="M76" s="2023"/>
    </row>
    <row r="77" spans="2:17" x14ac:dyDescent="0.3">
      <c r="B77" s="214"/>
      <c r="C77" s="790"/>
      <c r="D77" s="789"/>
      <c r="E77" s="790"/>
      <c r="F77" s="790"/>
      <c r="G77" s="790"/>
      <c r="H77" s="790"/>
      <c r="I77" s="790"/>
      <c r="J77" s="790"/>
      <c r="K77" s="790"/>
      <c r="L77" s="790"/>
      <c r="M77" s="791"/>
    </row>
    <row r="78" spans="2:17" x14ac:dyDescent="0.3">
      <c r="B78" s="214" t="s">
        <v>1447</v>
      </c>
      <c r="C78" s="792">
        <v>32591874</v>
      </c>
      <c r="D78" s="792">
        <v>33410551</v>
      </c>
      <c r="E78" s="792">
        <v>27741969</v>
      </c>
      <c r="F78" s="792">
        <v>26011267</v>
      </c>
      <c r="G78" s="792">
        <v>24568567</v>
      </c>
      <c r="H78" s="792">
        <v>40427037</v>
      </c>
      <c r="I78" s="792">
        <v>46002417</v>
      </c>
      <c r="J78" s="792">
        <v>39055671</v>
      </c>
      <c r="K78" s="792">
        <v>49372328</v>
      </c>
      <c r="L78" s="792">
        <v>49300685</v>
      </c>
      <c r="M78" s="793">
        <v>49982830</v>
      </c>
    </row>
    <row r="79" spans="2:17" hidden="1" outlineLevel="1" x14ac:dyDescent="0.3">
      <c r="B79" s="214" t="s">
        <v>62</v>
      </c>
      <c r="C79" s="792">
        <f>C78-27429277</f>
        <v>5162597</v>
      </c>
      <c r="D79" s="792">
        <f>D78-28305725</f>
        <v>5104826</v>
      </c>
      <c r="E79" s="792">
        <f>E78-23655273</f>
        <v>4086696</v>
      </c>
      <c r="F79" s="794"/>
      <c r="G79" s="794"/>
      <c r="H79" s="794"/>
      <c r="I79" s="794"/>
      <c r="J79" s="792">
        <v>2386006</v>
      </c>
      <c r="K79" s="792">
        <v>7176756</v>
      </c>
      <c r="L79" s="792">
        <v>6821701</v>
      </c>
      <c r="M79" s="793">
        <v>2600493</v>
      </c>
    </row>
    <row r="80" spans="2:17" collapsed="1" x14ac:dyDescent="0.3">
      <c r="B80" s="214" t="s">
        <v>1448</v>
      </c>
      <c r="C80" s="792">
        <v>2660000</v>
      </c>
      <c r="D80" s="792">
        <v>2837000</v>
      </c>
      <c r="E80" s="792">
        <v>1697000</v>
      </c>
      <c r="F80" s="789">
        <v>233343</v>
      </c>
      <c r="G80" s="789">
        <v>107288</v>
      </c>
      <c r="H80" s="789">
        <v>1455235</v>
      </c>
      <c r="I80" s="789">
        <f>46002417-44435569</f>
        <v>1566848</v>
      </c>
      <c r="J80" s="789">
        <v>55519</v>
      </c>
      <c r="K80" s="789">
        <v>4848614</v>
      </c>
      <c r="L80" s="789">
        <v>4686663</v>
      </c>
      <c r="M80" s="697">
        <v>527671</v>
      </c>
    </row>
    <row r="81" spans="2:13" hidden="1" outlineLevel="1" x14ac:dyDescent="0.3">
      <c r="B81" s="214" t="s">
        <v>58</v>
      </c>
      <c r="C81" s="795">
        <v>2660</v>
      </c>
      <c r="D81" s="795">
        <v>2837</v>
      </c>
      <c r="E81" s="795">
        <v>1697</v>
      </c>
      <c r="F81" s="789">
        <v>233</v>
      </c>
      <c r="G81" s="789">
        <v>44747</v>
      </c>
      <c r="H81" s="789">
        <v>788235</v>
      </c>
      <c r="I81" s="795">
        <v>756848</v>
      </c>
      <c r="J81" s="789"/>
      <c r="K81" s="789">
        <f>K91</f>
        <v>2762514</v>
      </c>
      <c r="L81" s="789"/>
      <c r="M81" s="697"/>
    </row>
    <row r="82" spans="2:13" collapsed="1" x14ac:dyDescent="0.3">
      <c r="B82" s="214"/>
      <c r="C82" s="789"/>
      <c r="D82" s="789"/>
      <c r="E82" s="789"/>
      <c r="F82" s="789"/>
      <c r="G82" s="789"/>
      <c r="H82" s="789"/>
      <c r="I82" s="789"/>
      <c r="J82" s="789"/>
      <c r="K82" s="789"/>
      <c r="L82" s="789"/>
      <c r="M82" s="697"/>
    </row>
    <row r="83" spans="2:13" hidden="1" outlineLevel="1" x14ac:dyDescent="0.3">
      <c r="B83" s="214" t="s">
        <v>9</v>
      </c>
      <c r="C83" s="795"/>
      <c r="D83" s="795"/>
      <c r="E83" s="795"/>
      <c r="F83" s="789"/>
      <c r="G83" s="789"/>
      <c r="H83" s="789"/>
      <c r="I83" s="789"/>
      <c r="J83" s="789">
        <f t="shared" ref="J83:M83" si="6">J84-J80</f>
        <v>163055</v>
      </c>
      <c r="K83" s="789">
        <f t="shared" si="6"/>
        <v>155900</v>
      </c>
      <c r="L83" s="789">
        <f t="shared" si="6"/>
        <v>-367457</v>
      </c>
      <c r="M83" s="697">
        <f t="shared" si="6"/>
        <v>-352085</v>
      </c>
    </row>
    <row r="84" spans="2:13" hidden="1" outlineLevel="1" x14ac:dyDescent="0.3">
      <c r="B84" s="214" t="s">
        <v>12</v>
      </c>
      <c r="C84" s="795"/>
      <c r="D84" s="795"/>
      <c r="E84" s="795"/>
      <c r="F84" s="789"/>
      <c r="G84" s="789"/>
      <c r="H84" s="789"/>
      <c r="I84" s="789"/>
      <c r="J84" s="789">
        <v>218574</v>
      </c>
      <c r="K84" s="789">
        <v>5004514</v>
      </c>
      <c r="L84" s="789">
        <f>L91+L85</f>
        <v>4319206</v>
      </c>
      <c r="M84" s="697">
        <v>175586</v>
      </c>
    </row>
    <row r="85" spans="2:13" hidden="1" outlineLevel="1" x14ac:dyDescent="0.3">
      <c r="B85" s="214" t="s">
        <v>25</v>
      </c>
      <c r="C85" s="795"/>
      <c r="D85" s="795"/>
      <c r="E85" s="795"/>
      <c r="F85" s="789"/>
      <c r="G85" s="789"/>
      <c r="H85" s="789"/>
      <c r="I85" s="789"/>
      <c r="J85" s="789">
        <v>3200</v>
      </c>
      <c r="K85" s="789">
        <v>2242000</v>
      </c>
      <c r="L85" s="789">
        <v>2040000</v>
      </c>
      <c r="M85" s="697">
        <v>0</v>
      </c>
    </row>
    <row r="86" spans="2:13" collapsed="1" x14ac:dyDescent="0.3">
      <c r="B86" s="282" t="s">
        <v>60</v>
      </c>
      <c r="C86" s="789">
        <v>-1340415</v>
      </c>
      <c r="D86" s="789">
        <v>929851</v>
      </c>
      <c r="E86" s="789">
        <v>928586</v>
      </c>
      <c r="F86" s="789">
        <v>744623</v>
      </c>
      <c r="G86" s="789">
        <v>57772</v>
      </c>
      <c r="H86" s="789">
        <v>3717708</v>
      </c>
      <c r="I86" s="789">
        <v>2174256</v>
      </c>
      <c r="J86" s="789">
        <v>100147</v>
      </c>
      <c r="K86" s="789">
        <v>0</v>
      </c>
      <c r="L86" s="789">
        <v>0</v>
      </c>
      <c r="M86" s="697">
        <v>0</v>
      </c>
    </row>
    <row r="87" spans="2:13" x14ac:dyDescent="0.3">
      <c r="B87" s="214" t="s">
        <v>1449</v>
      </c>
      <c r="C87" s="2022"/>
      <c r="D87" s="2022"/>
      <c r="E87" s="2022"/>
      <c r="F87" s="789">
        <v>5221862</v>
      </c>
      <c r="G87" s="789">
        <v>2051873</v>
      </c>
      <c r="H87" s="789">
        <v>2278229</v>
      </c>
      <c r="I87" s="789">
        <v>1789402</v>
      </c>
      <c r="J87" s="789">
        <v>791938</v>
      </c>
      <c r="K87" s="2022"/>
      <c r="L87" s="2022"/>
      <c r="M87" s="2023"/>
    </row>
    <row r="88" spans="2:13" x14ac:dyDescent="0.3">
      <c r="B88" s="214" t="s">
        <v>61</v>
      </c>
      <c r="C88" s="789">
        <v>4093000</v>
      </c>
      <c r="D88" s="789">
        <v>2781900</v>
      </c>
      <c r="E88" s="789">
        <v>2700353</v>
      </c>
      <c r="F88" s="789">
        <v>2167180</v>
      </c>
      <c r="G88" s="789">
        <v>2614124</v>
      </c>
      <c r="H88" s="789">
        <v>1536806</v>
      </c>
      <c r="I88" s="789">
        <v>0</v>
      </c>
      <c r="J88" s="789">
        <v>0</v>
      </c>
      <c r="K88" s="789">
        <v>0</v>
      </c>
      <c r="L88" s="789">
        <v>0</v>
      </c>
      <c r="M88" s="697">
        <v>0</v>
      </c>
    </row>
    <row r="89" spans="2:13" x14ac:dyDescent="0.3">
      <c r="B89" s="214" t="s">
        <v>63</v>
      </c>
      <c r="C89" s="789">
        <v>1052000</v>
      </c>
      <c r="D89" s="789">
        <v>1008000</v>
      </c>
      <c r="E89" s="789">
        <v>111168</v>
      </c>
      <c r="F89" s="2022"/>
      <c r="G89" s="2022"/>
      <c r="H89" s="2022"/>
      <c r="I89" s="2022"/>
      <c r="J89" s="2022"/>
      <c r="K89" s="2022"/>
      <c r="L89" s="2022"/>
      <c r="M89" s="2023"/>
    </row>
    <row r="90" spans="2:13" x14ac:dyDescent="0.3">
      <c r="B90" s="214" t="s">
        <v>1451</v>
      </c>
      <c r="C90" s="234">
        <f>C91-C89-C88-C87-C86-C80-C76-C75</f>
        <v>-409383</v>
      </c>
      <c r="D90" s="234">
        <f>D91-D89-D88-D87-D86-D80-D76-D75</f>
        <v>-5298490</v>
      </c>
      <c r="E90" s="234">
        <f>E91-E89-E88-E87-E86-E80-E76-E75</f>
        <v>-4239171</v>
      </c>
      <c r="F90" s="234">
        <f>F91-F88-F87-F86-F80-F89</f>
        <v>-681476</v>
      </c>
      <c r="G90" s="234">
        <f>G91-G88-G87-G86-G80</f>
        <v>-265579</v>
      </c>
      <c r="H90" s="234">
        <f>H91-H88-H87-H86-H80</f>
        <v>-1035189</v>
      </c>
      <c r="I90" s="234">
        <f>I91-I88-I87-I86-I80</f>
        <v>-868170</v>
      </c>
      <c r="J90" s="234">
        <f>J91-J88-J87-J86-J80</f>
        <v>159855</v>
      </c>
      <c r="K90" s="234">
        <f>K91-K80</f>
        <v>-2086100</v>
      </c>
      <c r="L90" s="234">
        <f>L91-L80</f>
        <v>-2407457</v>
      </c>
      <c r="M90" s="237">
        <f>M91-M80</f>
        <v>-352085</v>
      </c>
    </row>
    <row r="91" spans="2:13" ht="16.2" thickBot="1" x14ac:dyDescent="0.35">
      <c r="B91" s="214" t="s">
        <v>99</v>
      </c>
      <c r="C91" s="787">
        <v>7043161</v>
      </c>
      <c r="D91" s="787">
        <v>12860443</v>
      </c>
      <c r="E91" s="787">
        <v>12126158</v>
      </c>
      <c r="F91" s="787">
        <v>7685532</v>
      </c>
      <c r="G91" s="787">
        <v>4565478</v>
      </c>
      <c r="H91" s="787">
        <v>7952789</v>
      </c>
      <c r="I91" s="787">
        <v>4662336</v>
      </c>
      <c r="J91" s="787">
        <v>1107459</v>
      </c>
      <c r="K91" s="787">
        <v>2762514</v>
      </c>
      <c r="L91" s="787">
        <v>2279206</v>
      </c>
      <c r="M91" s="788">
        <v>175586</v>
      </c>
    </row>
    <row r="92" spans="2:13" ht="6" customHeight="1" thickTop="1" thickBot="1" x14ac:dyDescent="0.35">
      <c r="B92" s="271"/>
      <c r="C92" s="283"/>
      <c r="D92" s="283"/>
      <c r="E92" s="283"/>
      <c r="F92" s="283"/>
      <c r="G92" s="283"/>
      <c r="H92" s="283"/>
      <c r="I92" s="283"/>
      <c r="J92" s="283"/>
      <c r="K92" s="283"/>
      <c r="L92" s="283"/>
      <c r="M92" s="284"/>
    </row>
    <row r="93" spans="2:13" x14ac:dyDescent="0.3">
      <c r="B93" s="12" t="s">
        <v>1459</v>
      </c>
    </row>
    <row r="94" spans="2:13" x14ac:dyDescent="0.3">
      <c r="C94" s="277"/>
    </row>
    <row r="95" spans="2:13" s="372" customFormat="1" x14ac:dyDescent="0.3">
      <c r="C95" s="786"/>
    </row>
    <row r="97" spans="2:13" x14ac:dyDescent="0.3">
      <c r="B97" s="499" t="s">
        <v>1484</v>
      </c>
      <c r="E97" s="211" t="s">
        <v>176</v>
      </c>
    </row>
    <row r="98" spans="2:13" x14ac:dyDescent="0.3">
      <c r="B98" s="152" t="s">
        <v>1452</v>
      </c>
    </row>
    <row r="99" spans="2:13" ht="9" customHeight="1" thickBot="1" x14ac:dyDescent="0.35"/>
    <row r="100" spans="2:13" x14ac:dyDescent="0.3">
      <c r="B100" s="212" t="s">
        <v>1204</v>
      </c>
      <c r="C100" s="797">
        <f t="shared" ref="C100:M100" si="7">C4</f>
        <v>27391</v>
      </c>
      <c r="D100" s="797">
        <f t="shared" si="7"/>
        <v>27027</v>
      </c>
      <c r="E100" s="797">
        <f t="shared" si="7"/>
        <v>26663</v>
      </c>
      <c r="F100" s="797">
        <f t="shared" si="7"/>
        <v>26298</v>
      </c>
      <c r="G100" s="797">
        <f t="shared" si="7"/>
        <v>25933</v>
      </c>
      <c r="H100" s="797">
        <f t="shared" si="7"/>
        <v>25571</v>
      </c>
      <c r="I100" s="797">
        <f t="shared" si="7"/>
        <v>25200</v>
      </c>
      <c r="J100" s="797">
        <f t="shared" si="7"/>
        <v>24836</v>
      </c>
      <c r="K100" s="797">
        <f t="shared" si="7"/>
        <v>24381</v>
      </c>
      <c r="L100" s="797">
        <f t="shared" si="7"/>
        <v>24017</v>
      </c>
      <c r="M100" s="798">
        <f t="shared" si="7"/>
        <v>23653</v>
      </c>
    </row>
    <row r="101" spans="2:13" x14ac:dyDescent="0.3">
      <c r="B101" s="214" t="s">
        <v>1372</v>
      </c>
      <c r="C101" s="707">
        <f t="shared" ref="C101:L101" si="8">D58</f>
        <v>81155466</v>
      </c>
      <c r="D101" s="707">
        <f t="shared" si="8"/>
        <v>68295023</v>
      </c>
      <c r="E101" s="707">
        <f t="shared" si="8"/>
        <v>56168865</v>
      </c>
      <c r="F101" s="707">
        <f t="shared" si="8"/>
        <v>48483333</v>
      </c>
      <c r="G101" s="707">
        <f t="shared" si="8"/>
        <v>43918060</v>
      </c>
      <c r="H101" s="707">
        <f t="shared" si="8"/>
        <v>36205271</v>
      </c>
      <c r="I101" s="707">
        <f t="shared" si="8"/>
        <v>31542935</v>
      </c>
      <c r="J101" s="707">
        <f t="shared" si="8"/>
        <v>29494920</v>
      </c>
      <c r="K101" s="707">
        <f t="shared" si="8"/>
        <v>24520114</v>
      </c>
      <c r="L101" s="707">
        <f t="shared" si="8"/>
        <v>22138753</v>
      </c>
      <c r="M101" s="708">
        <v>30278890</v>
      </c>
    </row>
    <row r="102" spans="2:13" x14ac:dyDescent="0.3">
      <c r="B102" s="214" t="s">
        <v>1453</v>
      </c>
      <c r="C102" s="799">
        <f t="shared" ref="C102:D102" si="9">C91</f>
        <v>7043161</v>
      </c>
      <c r="D102" s="799">
        <f t="shared" si="9"/>
        <v>12860443</v>
      </c>
      <c r="E102" s="799">
        <f t="shared" ref="E102:F102" si="10">E91</f>
        <v>12126158</v>
      </c>
      <c r="F102" s="799">
        <f t="shared" si="10"/>
        <v>7685532</v>
      </c>
      <c r="G102" s="799">
        <f t="shared" ref="G102:I102" si="11">G91</f>
        <v>4565478</v>
      </c>
      <c r="H102" s="799">
        <f t="shared" si="11"/>
        <v>7952789</v>
      </c>
      <c r="I102" s="799">
        <f t="shared" si="11"/>
        <v>4662336</v>
      </c>
      <c r="J102" s="799">
        <f t="shared" ref="J102:L102" si="12">J91</f>
        <v>1107459</v>
      </c>
      <c r="K102" s="799">
        <f t="shared" si="12"/>
        <v>2762514</v>
      </c>
      <c r="L102" s="799">
        <f t="shared" si="12"/>
        <v>2279206</v>
      </c>
      <c r="M102" s="800">
        <v>175586</v>
      </c>
    </row>
    <row r="103" spans="2:13" x14ac:dyDescent="0.3">
      <c r="B103" s="214" t="s">
        <v>1273</v>
      </c>
      <c r="C103" s="799">
        <v>0</v>
      </c>
      <c r="D103" s="799">
        <v>0</v>
      </c>
      <c r="E103" s="799">
        <v>0</v>
      </c>
      <c r="F103" s="799">
        <v>0</v>
      </c>
      <c r="G103" s="799">
        <v>0</v>
      </c>
      <c r="H103" s="799">
        <v>0</v>
      </c>
      <c r="I103" s="799">
        <v>0</v>
      </c>
      <c r="J103" s="799">
        <v>-101755</v>
      </c>
      <c r="K103" s="799">
        <v>0</v>
      </c>
      <c r="L103" s="799">
        <v>0</v>
      </c>
      <c r="M103" s="800">
        <v>0</v>
      </c>
    </row>
    <row r="104" spans="2:13" x14ac:dyDescent="0.3">
      <c r="B104" s="214" t="s">
        <v>478</v>
      </c>
      <c r="C104" s="799">
        <f t="shared" ref="C104:L104" si="13">C54-D54</f>
        <v>0</v>
      </c>
      <c r="D104" s="799">
        <f t="shared" si="13"/>
        <v>-189890</v>
      </c>
      <c r="E104" s="799">
        <f t="shared" si="13"/>
        <v>0</v>
      </c>
      <c r="F104" s="799">
        <f t="shared" si="13"/>
        <v>0</v>
      </c>
      <c r="G104" s="799">
        <f t="shared" si="13"/>
        <v>0</v>
      </c>
      <c r="H104" s="799">
        <f t="shared" si="13"/>
        <v>0</v>
      </c>
      <c r="I104" s="799">
        <f t="shared" si="13"/>
        <v>0</v>
      </c>
      <c r="J104" s="799">
        <f t="shared" si="13"/>
        <v>0</v>
      </c>
      <c r="K104" s="799">
        <f t="shared" si="13"/>
        <v>-601155</v>
      </c>
      <c r="L104" s="799">
        <f t="shared" si="13"/>
        <v>-2348010</v>
      </c>
      <c r="M104" s="800">
        <v>0</v>
      </c>
    </row>
    <row r="105" spans="2:13" x14ac:dyDescent="0.3">
      <c r="B105" s="214" t="s">
        <v>1274</v>
      </c>
      <c r="C105" s="799">
        <f t="shared" ref="C105:L105" si="14">C55-D55</f>
        <v>0</v>
      </c>
      <c r="D105" s="799">
        <f t="shared" si="14"/>
        <v>0</v>
      </c>
      <c r="E105" s="799">
        <f t="shared" si="14"/>
        <v>0</v>
      </c>
      <c r="F105" s="799">
        <f t="shared" si="14"/>
        <v>0</v>
      </c>
      <c r="G105" s="799">
        <f t="shared" si="14"/>
        <v>0</v>
      </c>
      <c r="H105" s="799">
        <f t="shared" si="14"/>
        <v>0</v>
      </c>
      <c r="I105" s="799">
        <f t="shared" si="14"/>
        <v>0</v>
      </c>
      <c r="J105" s="799">
        <f t="shared" si="14"/>
        <v>0</v>
      </c>
      <c r="K105" s="799">
        <f t="shared" si="14"/>
        <v>0</v>
      </c>
      <c r="L105" s="799">
        <f t="shared" si="14"/>
        <v>0</v>
      </c>
      <c r="M105" s="800">
        <v>0</v>
      </c>
    </row>
    <row r="106" spans="2:13" x14ac:dyDescent="0.3">
      <c r="B106" s="214" t="s">
        <v>477</v>
      </c>
      <c r="C106" s="799">
        <f t="shared" ref="C106:L106" si="15">D57-C57</f>
        <v>0</v>
      </c>
      <c r="D106" s="799">
        <f t="shared" si="15"/>
        <v>817375</v>
      </c>
      <c r="E106" s="799">
        <f t="shared" si="15"/>
        <v>0</v>
      </c>
      <c r="F106" s="799">
        <f t="shared" si="15"/>
        <v>0</v>
      </c>
      <c r="G106" s="799">
        <f>H57-G57</f>
        <v>-205</v>
      </c>
      <c r="H106" s="799">
        <f t="shared" si="15"/>
        <v>-240000</v>
      </c>
      <c r="I106" s="799">
        <f t="shared" si="15"/>
        <v>0</v>
      </c>
      <c r="J106" s="799">
        <f t="shared" si="15"/>
        <v>-577170</v>
      </c>
      <c r="K106" s="799">
        <f t="shared" si="15"/>
        <v>1637844</v>
      </c>
      <c r="L106" s="799">
        <f t="shared" si="15"/>
        <v>3677879</v>
      </c>
      <c r="M106" s="800">
        <v>-5315723</v>
      </c>
    </row>
    <row r="107" spans="2:13" x14ac:dyDescent="0.3">
      <c r="B107" s="282" t="s">
        <v>1276</v>
      </c>
      <c r="C107" s="799">
        <v>0</v>
      </c>
      <c r="D107" s="799">
        <v>0</v>
      </c>
      <c r="E107" s="799">
        <v>0</v>
      </c>
      <c r="F107" s="799">
        <v>0</v>
      </c>
      <c r="G107" s="799">
        <v>0</v>
      </c>
      <c r="H107" s="799">
        <v>0</v>
      </c>
      <c r="I107" s="799">
        <v>0</v>
      </c>
      <c r="J107" s="799">
        <v>226097</v>
      </c>
      <c r="K107" s="799">
        <v>0</v>
      </c>
      <c r="L107" s="799">
        <v>0</v>
      </c>
      <c r="M107" s="800">
        <v>0</v>
      </c>
    </row>
    <row r="108" spans="2:13" x14ac:dyDescent="0.3">
      <c r="B108" s="214" t="s">
        <v>1277</v>
      </c>
      <c r="C108" s="799">
        <v>0</v>
      </c>
      <c r="D108" s="799">
        <v>0</v>
      </c>
      <c r="E108" s="799">
        <v>0</v>
      </c>
      <c r="F108" s="799">
        <v>0</v>
      </c>
      <c r="G108" s="799">
        <v>0</v>
      </c>
      <c r="H108" s="799">
        <v>0</v>
      </c>
      <c r="I108" s="799">
        <v>0</v>
      </c>
      <c r="J108" s="799">
        <v>0</v>
      </c>
      <c r="K108" s="799">
        <v>0</v>
      </c>
      <c r="L108" s="799">
        <v>-300000</v>
      </c>
      <c r="M108" s="800">
        <v>-3000000</v>
      </c>
    </row>
    <row r="109" spans="2:13" x14ac:dyDescent="0.3">
      <c r="B109" s="214" t="s">
        <v>1278</v>
      </c>
      <c r="C109" s="799">
        <v>0</v>
      </c>
      <c r="D109" s="799">
        <v>0</v>
      </c>
      <c r="E109" s="799">
        <v>0</v>
      </c>
      <c r="F109" s="799">
        <v>0</v>
      </c>
      <c r="G109" s="799">
        <v>0</v>
      </c>
      <c r="H109" s="799">
        <v>0</v>
      </c>
      <c r="I109" s="799">
        <v>0</v>
      </c>
      <c r="J109" s="799">
        <v>0</v>
      </c>
      <c r="K109" s="799">
        <v>-1036689</v>
      </c>
      <c r="L109" s="799">
        <v>-2967714</v>
      </c>
      <c r="M109" s="800">
        <v>0</v>
      </c>
    </row>
    <row r="110" spans="2:13" ht="31.2" x14ac:dyDescent="0.3">
      <c r="B110" s="282" t="s">
        <v>1454</v>
      </c>
      <c r="C110" s="799">
        <v>0</v>
      </c>
      <c r="D110" s="799">
        <v>0</v>
      </c>
      <c r="E110" s="799">
        <v>0</v>
      </c>
      <c r="F110" s="799">
        <v>0</v>
      </c>
      <c r="G110" s="799">
        <v>0</v>
      </c>
      <c r="H110" s="799">
        <v>0</v>
      </c>
      <c r="I110" s="799">
        <v>0</v>
      </c>
      <c r="J110" s="799">
        <v>0</v>
      </c>
      <c r="K110" s="799">
        <v>2212292</v>
      </c>
      <c r="L110" s="799">
        <v>2040000</v>
      </c>
      <c r="M110" s="800">
        <v>0</v>
      </c>
    </row>
    <row r="111" spans="2:13" x14ac:dyDescent="0.3">
      <c r="B111" s="214" t="s">
        <v>1485</v>
      </c>
      <c r="C111" s="799">
        <v>0</v>
      </c>
      <c r="D111" s="799">
        <v>0</v>
      </c>
      <c r="E111" s="799">
        <v>0</v>
      </c>
      <c r="F111" s="799">
        <v>0</v>
      </c>
      <c r="G111" s="799">
        <v>0</v>
      </c>
      <c r="H111" s="799">
        <v>0</v>
      </c>
      <c r="I111" s="799">
        <v>0</v>
      </c>
      <c r="J111" s="799">
        <v>1393384</v>
      </c>
      <c r="K111" s="799">
        <v>0</v>
      </c>
      <c r="L111" s="799">
        <v>0</v>
      </c>
      <c r="M111" s="800">
        <v>0</v>
      </c>
    </row>
    <row r="112" spans="2:13" x14ac:dyDescent="0.3">
      <c r="B112" s="282" t="s">
        <v>1455</v>
      </c>
      <c r="C112" s="799">
        <v>0</v>
      </c>
      <c r="D112" s="799">
        <v>-627485</v>
      </c>
      <c r="E112" s="799">
        <v>0</v>
      </c>
      <c r="F112" s="799">
        <v>0</v>
      </c>
      <c r="G112" s="799">
        <v>0</v>
      </c>
      <c r="H112" s="799">
        <v>0</v>
      </c>
      <c r="I112" s="799">
        <v>0</v>
      </c>
      <c r="J112" s="799">
        <v>0</v>
      </c>
      <c r="K112" s="799">
        <v>0</v>
      </c>
      <c r="L112" s="799">
        <v>0</v>
      </c>
      <c r="M112" s="800">
        <v>0</v>
      </c>
    </row>
    <row r="113" spans="1:20" ht="16.2" thickBot="1" x14ac:dyDescent="0.35">
      <c r="B113" s="214" t="s">
        <v>1456</v>
      </c>
      <c r="C113" s="787">
        <f t="shared" ref="C113:L113" si="16">C58</f>
        <v>88198627</v>
      </c>
      <c r="D113" s="787">
        <f t="shared" si="16"/>
        <v>81155466</v>
      </c>
      <c r="E113" s="787">
        <f t="shared" si="16"/>
        <v>68295023</v>
      </c>
      <c r="F113" s="787">
        <f t="shared" si="16"/>
        <v>56168865</v>
      </c>
      <c r="G113" s="787">
        <f t="shared" si="16"/>
        <v>48483333</v>
      </c>
      <c r="H113" s="787">
        <f t="shared" si="16"/>
        <v>43918060</v>
      </c>
      <c r="I113" s="787">
        <f t="shared" si="16"/>
        <v>36205271</v>
      </c>
      <c r="J113" s="787">
        <f t="shared" si="16"/>
        <v>31542935</v>
      </c>
      <c r="K113" s="787">
        <f t="shared" si="16"/>
        <v>29494920</v>
      </c>
      <c r="L113" s="787">
        <f t="shared" si="16"/>
        <v>24520114</v>
      </c>
      <c r="M113" s="788">
        <v>22138753</v>
      </c>
    </row>
    <row r="114" spans="1:20" ht="8.4" customHeight="1" thickTop="1" thickBot="1" x14ac:dyDescent="0.35">
      <c r="B114" s="224"/>
      <c r="C114" s="283"/>
      <c r="D114" s="283"/>
      <c r="E114" s="283"/>
      <c r="F114" s="283"/>
      <c r="G114" s="283"/>
      <c r="H114" s="283"/>
      <c r="I114" s="283"/>
      <c r="J114" s="283"/>
      <c r="K114" s="283"/>
      <c r="L114" s="283"/>
      <c r="M114" s="284"/>
    </row>
    <row r="115" spans="1:20" x14ac:dyDescent="0.3">
      <c r="B115" s="12" t="s">
        <v>1459</v>
      </c>
    </row>
    <row r="117" spans="1:20" s="760" customFormat="1" hidden="1" outlineLevel="1" x14ac:dyDescent="0.3">
      <c r="A117" s="285"/>
      <c r="B117" s="760" t="s">
        <v>245</v>
      </c>
      <c r="C117" s="761">
        <f t="shared" ref="C117:M117" si="17">SUM(C101:C112)-C113</f>
        <v>0</v>
      </c>
      <c r="D117" s="761">
        <f t="shared" si="17"/>
        <v>0</v>
      </c>
      <c r="E117" s="761">
        <f t="shared" si="17"/>
        <v>0</v>
      </c>
      <c r="F117" s="761">
        <f t="shared" si="17"/>
        <v>0</v>
      </c>
      <c r="G117" s="761">
        <f t="shared" si="17"/>
        <v>0</v>
      </c>
      <c r="H117" s="761">
        <f t="shared" si="17"/>
        <v>0</v>
      </c>
      <c r="I117" s="761">
        <f t="shared" si="17"/>
        <v>0</v>
      </c>
      <c r="J117" s="761">
        <f t="shared" si="17"/>
        <v>0</v>
      </c>
      <c r="K117" s="761">
        <f t="shared" si="17"/>
        <v>0</v>
      </c>
      <c r="L117" s="761">
        <f t="shared" si="17"/>
        <v>0</v>
      </c>
      <c r="M117" s="761">
        <f t="shared" si="17"/>
        <v>0</v>
      </c>
    </row>
    <row r="118" spans="1:20" collapsed="1" x14ac:dyDescent="0.3">
      <c r="Q118" s="211" t="s">
        <v>1197</v>
      </c>
    </row>
    <row r="120" spans="1:20" x14ac:dyDescent="0.3">
      <c r="Q120" s="499" t="s">
        <v>1480</v>
      </c>
    </row>
    <row r="121" spans="1:20" x14ac:dyDescent="0.3">
      <c r="Q121" s="152" t="s">
        <v>1428</v>
      </c>
    </row>
    <row r="122" spans="1:20" ht="7.5" customHeight="1" thickBot="1" x14ac:dyDescent="0.35"/>
    <row r="123" spans="1:20" x14ac:dyDescent="0.3">
      <c r="Q123" s="212" t="s">
        <v>1250</v>
      </c>
      <c r="R123" s="470" t="s">
        <v>688</v>
      </c>
      <c r="S123" s="470"/>
      <c r="T123" s="415" t="s">
        <v>1290</v>
      </c>
    </row>
    <row r="124" spans="1:20" x14ac:dyDescent="0.3">
      <c r="Q124" s="214" t="s">
        <v>799</v>
      </c>
      <c r="R124" s="749">
        <v>57.125</v>
      </c>
      <c r="S124" s="749"/>
      <c r="T124" s="1881">
        <f t="shared" ref="T124:T130" si="18">R124/$R$130</f>
        <v>0.86084755320376938</v>
      </c>
    </row>
    <row r="125" spans="1:20" x14ac:dyDescent="0.3">
      <c r="Q125" s="214" t="s">
        <v>800</v>
      </c>
      <c r="R125" s="215">
        <v>7.3129999999999997</v>
      </c>
      <c r="S125" s="215"/>
      <c r="T125" s="1881">
        <f t="shared" si="18"/>
        <v>0.11020355635149524</v>
      </c>
    </row>
    <row r="126" spans="1:20" x14ac:dyDescent="0.3">
      <c r="Q126" s="214" t="s">
        <v>784</v>
      </c>
      <c r="R126" s="215">
        <v>1.0000000000000001E-5</v>
      </c>
      <c r="S126" s="215"/>
      <c r="T126" s="1881">
        <f t="shared" si="18"/>
        <v>1.5069541412757452E-7</v>
      </c>
    </row>
    <row r="127" spans="1:20" x14ac:dyDescent="0.3">
      <c r="Q127" s="214" t="s">
        <v>790</v>
      </c>
      <c r="R127" s="215">
        <v>1.0000000000000001E-5</v>
      </c>
      <c r="S127" s="215"/>
      <c r="T127" s="1881">
        <f t="shared" si="18"/>
        <v>1.5069541412757452E-7</v>
      </c>
    </row>
    <row r="128" spans="1:20" x14ac:dyDescent="0.3">
      <c r="Q128" s="214" t="s">
        <v>791</v>
      </c>
      <c r="R128" s="215">
        <v>-2.5569999999999999</v>
      </c>
      <c r="S128" s="215"/>
      <c r="T128" s="1881">
        <f t="shared" si="18"/>
        <v>-3.8532817392420801E-2</v>
      </c>
    </row>
    <row r="129" spans="1:20" x14ac:dyDescent="0.3">
      <c r="Q129" s="214" t="s">
        <v>279</v>
      </c>
      <c r="R129" s="215">
        <v>4.4779999999999998</v>
      </c>
      <c r="S129" s="215"/>
      <c r="T129" s="1881">
        <f t="shared" si="18"/>
        <v>6.7481406446327871E-2</v>
      </c>
    </row>
    <row r="130" spans="1:20" x14ac:dyDescent="0.3">
      <c r="Q130" s="214" t="s">
        <v>803</v>
      </c>
      <c r="R130" s="472">
        <v>66.359020000000001</v>
      </c>
      <c r="S130" s="215"/>
      <c r="T130" s="1882">
        <f t="shared" si="18"/>
        <v>1</v>
      </c>
    </row>
    <row r="131" spans="1:20" x14ac:dyDescent="0.3">
      <c r="Q131" s="214" t="s">
        <v>798</v>
      </c>
      <c r="R131" s="215">
        <v>22.138999999999999</v>
      </c>
      <c r="S131" s="215"/>
      <c r="T131" s="222"/>
    </row>
    <row r="132" spans="1:20" ht="16.2" thickBot="1" x14ac:dyDescent="0.35">
      <c r="Q132" s="214" t="s">
        <v>801</v>
      </c>
      <c r="R132" s="750">
        <v>88.498019999999997</v>
      </c>
      <c r="S132" s="749"/>
      <c r="T132" s="223"/>
    </row>
    <row r="133" spans="1:20" ht="6" customHeight="1" thickTop="1" thickBot="1" x14ac:dyDescent="0.35">
      <c r="Q133" s="217"/>
      <c r="R133" s="218"/>
      <c r="S133" s="218"/>
      <c r="T133" s="219"/>
    </row>
    <row r="134" spans="1:20" x14ac:dyDescent="0.3">
      <c r="C134" s="762"/>
      <c r="D134" s="762"/>
      <c r="E134" s="762"/>
      <c r="F134" s="762"/>
      <c r="G134" s="763"/>
      <c r="H134" s="762" t="s">
        <v>234</v>
      </c>
      <c r="I134" s="293"/>
      <c r="J134" s="764">
        <f>M113</f>
        <v>22138753</v>
      </c>
      <c r="K134" s="762"/>
      <c r="L134" s="762"/>
      <c r="M134" s="763"/>
      <c r="Q134" s="765" t="s">
        <v>3704</v>
      </c>
      <c r="R134" s="220"/>
      <c r="S134" s="220"/>
      <c r="T134" s="220"/>
    </row>
    <row r="135" spans="1:20" x14ac:dyDescent="0.3">
      <c r="C135" s="762"/>
      <c r="D135" s="762"/>
      <c r="E135" s="762"/>
      <c r="F135" s="762"/>
      <c r="G135" s="766"/>
      <c r="H135" s="762" t="s">
        <v>0</v>
      </c>
      <c r="I135" s="293"/>
      <c r="J135" s="281">
        <f>SUM(C102:L102)+C111:L111</f>
        <v>64438460</v>
      </c>
      <c r="K135" s="762"/>
      <c r="L135" s="762"/>
      <c r="M135" s="766"/>
    </row>
    <row r="136" spans="1:20" x14ac:dyDescent="0.3">
      <c r="C136" s="762"/>
      <c r="D136" s="762"/>
      <c r="E136" s="762"/>
      <c r="F136" s="762"/>
      <c r="G136" s="763"/>
      <c r="H136" s="762" t="s">
        <v>1</v>
      </c>
      <c r="I136" s="293"/>
      <c r="J136" s="281">
        <f>J103</f>
        <v>-101755</v>
      </c>
      <c r="K136" s="762"/>
      <c r="L136" s="762"/>
      <c r="M136" s="767"/>
    </row>
    <row r="137" spans="1:20" x14ac:dyDescent="0.3">
      <c r="C137" s="762"/>
      <c r="D137" s="762"/>
      <c r="E137" s="762"/>
      <c r="F137" s="762"/>
      <c r="G137" s="762"/>
      <c r="H137" s="762" t="s">
        <v>235</v>
      </c>
      <c r="I137" s="293"/>
      <c r="J137" s="281">
        <f>SUM(C104:L106)+SUM(C112:L112)+SUM(C109:L109)</f>
        <v>-2455220</v>
      </c>
      <c r="K137" s="762"/>
      <c r="L137" s="762"/>
      <c r="M137" s="767"/>
    </row>
    <row r="138" spans="1:20" x14ac:dyDescent="0.3">
      <c r="C138" s="762"/>
      <c r="D138" s="762"/>
      <c r="E138" s="762"/>
      <c r="F138" s="762"/>
      <c r="G138" s="762"/>
      <c r="H138" s="762" t="s">
        <v>237</v>
      </c>
      <c r="I138" s="293"/>
      <c r="J138" s="281">
        <f>SUM(C108:L108)</f>
        <v>-300000</v>
      </c>
      <c r="K138" s="762"/>
      <c r="L138" s="762"/>
      <c r="M138" s="767"/>
    </row>
    <row r="139" spans="1:20" x14ac:dyDescent="0.3">
      <c r="C139" s="762"/>
      <c r="D139" s="762"/>
      <c r="E139" s="762"/>
      <c r="F139" s="762"/>
      <c r="G139" s="762"/>
      <c r="H139" s="762" t="s">
        <v>43</v>
      </c>
      <c r="I139" s="293"/>
      <c r="J139" s="281">
        <f>SUM(C110:L110)+J107</f>
        <v>4478389</v>
      </c>
      <c r="K139" s="762"/>
      <c r="L139" s="762"/>
      <c r="M139" s="767"/>
    </row>
    <row r="140" spans="1:20" outlineLevel="1" x14ac:dyDescent="0.3">
      <c r="B140" s="211" t="s">
        <v>176</v>
      </c>
      <c r="C140" s="762"/>
      <c r="D140" s="762"/>
      <c r="E140" s="762"/>
      <c r="F140" s="762"/>
      <c r="G140" s="762"/>
      <c r="H140" s="762"/>
      <c r="I140" s="293"/>
      <c r="J140" s="281"/>
      <c r="K140" s="762"/>
      <c r="L140" s="762"/>
      <c r="M140" s="763"/>
    </row>
    <row r="141" spans="1:20" x14ac:dyDescent="0.3">
      <c r="C141" s="762"/>
      <c r="D141" s="762"/>
      <c r="E141" s="762"/>
      <c r="F141" s="762"/>
      <c r="G141" s="762"/>
      <c r="H141" s="762" t="s">
        <v>236</v>
      </c>
      <c r="I141" s="293"/>
      <c r="J141" s="764">
        <f>SUM(J134:J139)</f>
        <v>88198627</v>
      </c>
      <c r="K141" s="762"/>
      <c r="L141" s="762"/>
      <c r="M141" s="768"/>
    </row>
    <row r="142" spans="1:20" s="274" customFormat="1" hidden="1" outlineLevel="1" x14ac:dyDescent="0.3">
      <c r="A142" s="285"/>
      <c r="I142" s="274" t="s">
        <v>20</v>
      </c>
      <c r="J142" s="769">
        <f>SUM(J134:J139)-J141</f>
        <v>0</v>
      </c>
    </row>
    <row r="143" spans="1:20" collapsed="1" x14ac:dyDescent="0.3"/>
    <row r="147" spans="2:16" x14ac:dyDescent="0.3">
      <c r="B147" s="499" t="s">
        <v>1486</v>
      </c>
      <c r="E147" s="211" t="s">
        <v>176</v>
      </c>
    </row>
    <row r="148" spans="2:16" x14ac:dyDescent="0.3">
      <c r="B148" s="152" t="s">
        <v>1457</v>
      </c>
    </row>
    <row r="149" spans="2:16" ht="9" customHeight="1" thickBot="1" x14ac:dyDescent="0.35"/>
    <row r="150" spans="2:16" x14ac:dyDescent="0.3">
      <c r="B150" s="225"/>
      <c r="C150" s="443">
        <f t="shared" ref="C150:M150" si="19">C4</f>
        <v>27391</v>
      </c>
      <c r="D150" s="443">
        <f t="shared" si="19"/>
        <v>27027</v>
      </c>
      <c r="E150" s="443">
        <f t="shared" si="19"/>
        <v>26663</v>
      </c>
      <c r="F150" s="443">
        <f t="shared" si="19"/>
        <v>26298</v>
      </c>
      <c r="G150" s="443">
        <f t="shared" si="19"/>
        <v>25933</v>
      </c>
      <c r="H150" s="443">
        <f t="shared" si="19"/>
        <v>25571</v>
      </c>
      <c r="I150" s="443">
        <f t="shared" si="19"/>
        <v>25200</v>
      </c>
      <c r="J150" s="443">
        <f t="shared" si="19"/>
        <v>24836</v>
      </c>
      <c r="K150" s="443">
        <f t="shared" si="19"/>
        <v>24381</v>
      </c>
      <c r="L150" s="443">
        <f t="shared" si="19"/>
        <v>24017</v>
      </c>
      <c r="M150" s="444">
        <f t="shared" si="19"/>
        <v>23653</v>
      </c>
    </row>
    <row r="151" spans="2:16" x14ac:dyDescent="0.3">
      <c r="B151" s="214" t="s">
        <v>22</v>
      </c>
      <c r="C151" s="462">
        <f t="shared" ref="C151:L151" si="20">C91/(AVERAGE(C113:D113))</f>
        <v>8.3176743770816339E-2</v>
      </c>
      <c r="D151" s="462">
        <f t="shared" si="20"/>
        <v>0.1721030568190379</v>
      </c>
      <c r="E151" s="462">
        <f t="shared" si="20"/>
        <v>0.19485423756005438</v>
      </c>
      <c r="F151" s="462">
        <f t="shared" si="20"/>
        <v>0.14687760308675027</v>
      </c>
      <c r="G151" s="462">
        <f t="shared" si="20"/>
        <v>9.8818380367923675E-2</v>
      </c>
      <c r="H151" s="462">
        <f t="shared" si="20"/>
        <v>0.19851368885300089</v>
      </c>
      <c r="I151" s="462">
        <f t="shared" si="20"/>
        <v>0.13763717964723671</v>
      </c>
      <c r="J151" s="462">
        <f t="shared" si="20"/>
        <v>3.6287612007335449E-2</v>
      </c>
      <c r="K151" s="462">
        <f t="shared" si="20"/>
        <v>0.1022868559149662</v>
      </c>
      <c r="L151" s="462">
        <f t="shared" si="20"/>
        <v>9.7696585731496657E-2</v>
      </c>
      <c r="M151" s="351">
        <f>M91/(AVERAGE(M113:M113))</f>
        <v>7.9311603503593904E-3</v>
      </c>
      <c r="P151" s="350"/>
    </row>
    <row r="152" spans="2:16" x14ac:dyDescent="0.3">
      <c r="B152" s="214" t="s">
        <v>1461</v>
      </c>
      <c r="C152" s="414">
        <f t="shared" ref="C152:M152" si="21">C91-C86</f>
        <v>8383576</v>
      </c>
      <c r="D152" s="414">
        <f t="shared" si="21"/>
        <v>11930592</v>
      </c>
      <c r="E152" s="414">
        <f t="shared" si="21"/>
        <v>11197572</v>
      </c>
      <c r="F152" s="414">
        <f t="shared" si="21"/>
        <v>6940909</v>
      </c>
      <c r="G152" s="414">
        <f t="shared" si="21"/>
        <v>4507706</v>
      </c>
      <c r="H152" s="414">
        <f t="shared" si="21"/>
        <v>4235081</v>
      </c>
      <c r="I152" s="414">
        <f t="shared" si="21"/>
        <v>2488080</v>
      </c>
      <c r="J152" s="414">
        <f t="shared" si="21"/>
        <v>1007312</v>
      </c>
      <c r="K152" s="414">
        <f t="shared" si="21"/>
        <v>2762514</v>
      </c>
      <c r="L152" s="414">
        <f t="shared" si="21"/>
        <v>2279206</v>
      </c>
      <c r="M152" s="361">
        <f t="shared" si="21"/>
        <v>175586</v>
      </c>
    </row>
    <row r="153" spans="2:16" x14ac:dyDescent="0.3">
      <c r="B153" s="214" t="s">
        <v>220</v>
      </c>
      <c r="C153" s="801">
        <f t="shared" ref="C153:M153" si="22">C58/C53</f>
        <v>90.038197411310477</v>
      </c>
      <c r="D153" s="801">
        <f t="shared" si="22"/>
        <v>82.848136272176845</v>
      </c>
      <c r="E153" s="801">
        <f t="shared" si="22"/>
        <v>69.719461314108557</v>
      </c>
      <c r="F153" s="801">
        <f t="shared" si="22"/>
        <v>57.340386435258772</v>
      </c>
      <c r="G153" s="801">
        <f t="shared" si="22"/>
        <v>49.494152067678193</v>
      </c>
      <c r="H153" s="801">
        <f t="shared" si="22"/>
        <v>44.833469786092436</v>
      </c>
      <c r="I153" s="801">
        <f t="shared" si="22"/>
        <v>36.738642613462247</v>
      </c>
      <c r="J153" s="801">
        <f t="shared" si="22"/>
        <v>32.007621651131124</v>
      </c>
      <c r="K153" s="801">
        <f t="shared" si="22"/>
        <v>28.986297438840662</v>
      </c>
      <c r="L153" s="801">
        <f t="shared" si="22"/>
        <v>24.097279044604328</v>
      </c>
      <c r="M153" s="802">
        <f t="shared" si="22"/>
        <v>19.457884578538167</v>
      </c>
    </row>
    <row r="154" spans="2:16" x14ac:dyDescent="0.3">
      <c r="B154" s="214" t="s">
        <v>1198</v>
      </c>
      <c r="C154" s="464">
        <f t="shared" ref="C154:L154" si="23">C78/D78-1</f>
        <v>-2.4503546798734344E-2</v>
      </c>
      <c r="D154" s="464">
        <f t="shared" si="23"/>
        <v>0.20433236011474176</v>
      </c>
      <c r="E154" s="464">
        <f t="shared" si="23"/>
        <v>6.6536628146564247E-2</v>
      </c>
      <c r="F154" s="464">
        <f t="shared" si="23"/>
        <v>5.8721373533914267E-2</v>
      </c>
      <c r="G154" s="464">
        <f t="shared" si="23"/>
        <v>-0.39227386365218897</v>
      </c>
      <c r="H154" s="464">
        <f t="shared" si="23"/>
        <v>-0.12119754490291235</v>
      </c>
      <c r="I154" s="464">
        <f t="shared" si="23"/>
        <v>0.177867792874433</v>
      </c>
      <c r="J154" s="464">
        <f t="shared" si="23"/>
        <v>-0.20895625987091393</v>
      </c>
      <c r="K154" s="464">
        <f t="shared" si="23"/>
        <v>1.4531846768457424E-3</v>
      </c>
      <c r="L154" s="464">
        <f t="shared" si="23"/>
        <v>-1.3647586581231996E-2</v>
      </c>
      <c r="M154" s="347">
        <f>M78/'2. Financials'!C52-1</f>
        <v>0</v>
      </c>
    </row>
    <row r="155" spans="2:16" x14ac:dyDescent="0.3">
      <c r="B155" s="214" t="s">
        <v>261</v>
      </c>
      <c r="C155" s="464">
        <f t="shared" ref="C155:L155" si="24">C80/D80-1</f>
        <v>-6.2389848431441686E-2</v>
      </c>
      <c r="D155" s="464">
        <f t="shared" si="24"/>
        <v>0.67177371832645849</v>
      </c>
      <c r="E155" s="464">
        <f t="shared" si="24"/>
        <v>6.2725558512575912</v>
      </c>
      <c r="F155" s="464">
        <f t="shared" si="24"/>
        <v>1.1749217060621877</v>
      </c>
      <c r="G155" s="464">
        <f t="shared" si="24"/>
        <v>-0.92627445051830115</v>
      </c>
      <c r="H155" s="464">
        <f t="shared" si="24"/>
        <v>-7.1234095457887392E-2</v>
      </c>
      <c r="I155" s="464">
        <f>I80/J80-1</f>
        <v>27.221833966750122</v>
      </c>
      <c r="J155" s="464">
        <f t="shared" si="24"/>
        <v>-0.98854951126239377</v>
      </c>
      <c r="K155" s="464">
        <f t="shared" si="24"/>
        <v>3.455571693548265E-2</v>
      </c>
      <c r="L155" s="464">
        <f t="shared" si="24"/>
        <v>7.8817899789831163</v>
      </c>
      <c r="M155" s="770" t="s">
        <v>272</v>
      </c>
    </row>
    <row r="156" spans="2:16" x14ac:dyDescent="0.3">
      <c r="B156" s="214" t="s">
        <v>1199</v>
      </c>
      <c r="C156" s="464">
        <f t="shared" ref="C156:M156" si="25">C14/C78</f>
        <v>0.13432544566170082</v>
      </c>
      <c r="D156" s="464">
        <f t="shared" si="25"/>
        <v>0.15409021539333487</v>
      </c>
      <c r="E156" s="464">
        <f t="shared" si="25"/>
        <v>0.14615674900364858</v>
      </c>
      <c r="F156" s="464">
        <f t="shared" si="25"/>
        <v>0.19606322906146786</v>
      </c>
      <c r="G156" s="464">
        <f t="shared" si="25"/>
        <v>0.15940416874944313</v>
      </c>
      <c r="H156" s="464">
        <f t="shared" si="25"/>
        <v>0.1582362071204971</v>
      </c>
      <c r="I156" s="464">
        <f t="shared" si="25"/>
        <v>0.16440707887152972</v>
      </c>
      <c r="J156" s="464">
        <f t="shared" si="25"/>
        <v>0.1938692590891602</v>
      </c>
      <c r="K156" s="464">
        <f t="shared" si="25"/>
        <v>0.1643479319022591</v>
      </c>
      <c r="L156" s="464">
        <f t="shared" si="25"/>
        <v>0.1505603015455059</v>
      </c>
      <c r="M156" s="347">
        <f t="shared" si="25"/>
        <v>0.1490624680515289</v>
      </c>
    </row>
    <row r="157" spans="2:16" x14ac:dyDescent="0.3">
      <c r="B157" s="214" t="s">
        <v>1200</v>
      </c>
      <c r="C157" s="464">
        <f t="shared" ref="C157:M157" si="26">C16/C78</f>
        <v>0.18408122220894693</v>
      </c>
      <c r="D157" s="464">
        <f t="shared" si="26"/>
        <v>0.21360545655173421</v>
      </c>
      <c r="E157" s="464">
        <f t="shared" si="26"/>
        <v>0.24609078757171129</v>
      </c>
      <c r="F157" s="464">
        <f t="shared" si="26"/>
        <v>0.23184749131981922</v>
      </c>
      <c r="G157" s="464">
        <f t="shared" si="26"/>
        <v>0.34482263454763151</v>
      </c>
      <c r="H157" s="464">
        <f t="shared" si="26"/>
        <v>0.22929155060263259</v>
      </c>
      <c r="I157" s="464">
        <f t="shared" si="26"/>
        <v>0.26809336996358257</v>
      </c>
      <c r="J157" s="464">
        <f t="shared" si="26"/>
        <v>0.29664316867069063</v>
      </c>
      <c r="K157" s="464">
        <f t="shared" si="26"/>
        <v>0.24789718240549646</v>
      </c>
      <c r="L157" s="464">
        <f t="shared" si="26"/>
        <v>0.20845913195729432</v>
      </c>
      <c r="M157" s="347">
        <f t="shared" si="26"/>
        <v>0.23386320862584212</v>
      </c>
    </row>
    <row r="158" spans="2:16" ht="18.600000000000001" x14ac:dyDescent="0.3">
      <c r="B158" s="214" t="s">
        <v>1462</v>
      </c>
      <c r="C158" s="2020"/>
      <c r="D158" s="2020"/>
      <c r="E158" s="414">
        <f>6827043+4054676-3235859</f>
        <v>7645860</v>
      </c>
      <c r="F158" s="414">
        <f t="shared" ref="F158:M158" si="27">F14+F16-F37</f>
        <v>7825110</v>
      </c>
      <c r="G158" s="414">
        <f t="shared" si="27"/>
        <v>10373287</v>
      </c>
      <c r="H158" s="414">
        <f t="shared" si="27"/>
        <v>11862277</v>
      </c>
      <c r="I158" s="414">
        <f t="shared" si="27"/>
        <v>15639536</v>
      </c>
      <c r="J158" s="414">
        <f t="shared" si="27"/>
        <v>13723736</v>
      </c>
      <c r="K158" s="414">
        <f t="shared" si="27"/>
        <v>17374789</v>
      </c>
      <c r="L158" s="414">
        <f t="shared" si="27"/>
        <v>14439582</v>
      </c>
      <c r="M158" s="361">
        <f t="shared" si="27"/>
        <v>16256528</v>
      </c>
    </row>
    <row r="159" spans="2:16" x14ac:dyDescent="0.3">
      <c r="B159" s="214" t="s">
        <v>1458</v>
      </c>
      <c r="C159" s="2020"/>
      <c r="D159" s="2020"/>
      <c r="E159" s="464">
        <f t="shared" ref="E159:M159" si="28">E158/E78</f>
        <v>0.27560624842454406</v>
      </c>
      <c r="F159" s="464">
        <f t="shared" si="28"/>
        <v>0.30083540336577991</v>
      </c>
      <c r="G159" s="464">
        <f t="shared" si="28"/>
        <v>0.42221782817044234</v>
      </c>
      <c r="H159" s="464">
        <f t="shared" si="28"/>
        <v>0.29342434866052636</v>
      </c>
      <c r="I159" s="464">
        <f t="shared" si="28"/>
        <v>0.33997204972947398</v>
      </c>
      <c r="J159" s="464">
        <f t="shared" si="28"/>
        <v>0.35138907228094995</v>
      </c>
      <c r="K159" s="464">
        <f t="shared" si="28"/>
        <v>0.35191350507109975</v>
      </c>
      <c r="L159" s="464">
        <f t="shared" si="28"/>
        <v>0.29288806027745862</v>
      </c>
      <c r="M159" s="347">
        <f t="shared" si="28"/>
        <v>0.32524224818802777</v>
      </c>
    </row>
    <row r="160" spans="2:16" x14ac:dyDescent="0.3">
      <c r="B160" s="214"/>
      <c r="C160" s="784"/>
      <c r="D160" s="784"/>
      <c r="E160" s="464"/>
      <c r="F160" s="464"/>
      <c r="G160" s="464"/>
      <c r="H160" s="464"/>
      <c r="I160" s="464"/>
      <c r="J160" s="464"/>
      <c r="K160" s="464"/>
      <c r="L160" s="464"/>
      <c r="M160" s="347"/>
    </row>
    <row r="161" spans="2:13" ht="16.2" thickBot="1" x14ac:dyDescent="0.35">
      <c r="B161" s="9" t="s">
        <v>1460</v>
      </c>
      <c r="C161" s="218"/>
      <c r="D161" s="218"/>
      <c r="E161" s="218"/>
      <c r="F161" s="218"/>
      <c r="G161" s="218"/>
      <c r="H161" s="218"/>
      <c r="I161" s="218"/>
      <c r="J161" s="218"/>
      <c r="K161" s="218"/>
      <c r="L161" s="218"/>
      <c r="M161" s="219"/>
    </row>
    <row r="162" spans="2:13" x14ac:dyDescent="0.3">
      <c r="B162" s="12" t="s">
        <v>1459</v>
      </c>
    </row>
    <row r="164" spans="2:13" x14ac:dyDescent="0.3">
      <c r="B164" s="211" t="s">
        <v>247</v>
      </c>
      <c r="C164" s="2679">
        <f>C150</f>
        <v>27391</v>
      </c>
      <c r="D164" s="2679">
        <f t="shared" ref="D164:L164" si="29">D150</f>
        <v>27027</v>
      </c>
      <c r="E164" s="2679">
        <f t="shared" si="29"/>
        <v>26663</v>
      </c>
      <c r="F164" s="2679">
        <f t="shared" si="29"/>
        <v>26298</v>
      </c>
      <c r="G164" s="2679">
        <f t="shared" si="29"/>
        <v>25933</v>
      </c>
      <c r="H164" s="2679">
        <f t="shared" si="29"/>
        <v>25571</v>
      </c>
      <c r="I164" s="2679">
        <f t="shared" si="29"/>
        <v>25200</v>
      </c>
      <c r="J164" s="2679">
        <f t="shared" si="29"/>
        <v>24836</v>
      </c>
      <c r="K164" s="2679">
        <f t="shared" si="29"/>
        <v>24381</v>
      </c>
      <c r="L164" s="2679">
        <f t="shared" si="29"/>
        <v>24017</v>
      </c>
    </row>
    <row r="165" spans="2:13" x14ac:dyDescent="0.3">
      <c r="B165" s="771" t="s">
        <v>253</v>
      </c>
      <c r="C165" s="772"/>
      <c r="D165" s="772" t="e">
        <f>D172</f>
        <v>#DIV/0!</v>
      </c>
      <c r="E165" s="772">
        <f>E172</f>
        <v>0.16136234740225128</v>
      </c>
      <c r="F165" s="772">
        <f>F172</f>
        <v>1.9283000145192908E-2</v>
      </c>
      <c r="G165" s="772">
        <f t="shared" ref="G165:L165" si="30">G172</f>
        <v>7.4064227014421823E-3</v>
      </c>
      <c r="H165" s="772">
        <f t="shared" si="30"/>
        <v>7.9958773540211678E-2</v>
      </c>
      <c r="I165" s="772">
        <f t="shared" si="30"/>
        <v>7.612284093851189E-2</v>
      </c>
      <c r="J165" s="772">
        <f t="shared" si="30"/>
        <v>2.467614117549758E-3</v>
      </c>
      <c r="K165" s="772">
        <f t="shared" si="30"/>
        <v>0.20541945335671305</v>
      </c>
      <c r="L165" s="772">
        <f t="shared" si="30"/>
        <v>0.19795900341509642</v>
      </c>
    </row>
    <row r="166" spans="2:13" outlineLevel="1" x14ac:dyDescent="0.3">
      <c r="B166" s="773" t="s">
        <v>248</v>
      </c>
      <c r="C166" s="774"/>
      <c r="D166" s="774"/>
      <c r="E166" s="774">
        <f>AVERAGE(E158:F158)</f>
        <v>7735485</v>
      </c>
      <c r="F166" s="774">
        <f>AVERAGE(F158:G158)</f>
        <v>9099198.5</v>
      </c>
      <c r="G166" s="774">
        <f t="shared" ref="G166:L166" si="31">AVERAGE(G158:H158)</f>
        <v>11117782</v>
      </c>
      <c r="H166" s="774">
        <f t="shared" si="31"/>
        <v>13750906.5</v>
      </c>
      <c r="I166" s="774">
        <f t="shared" si="31"/>
        <v>14681636</v>
      </c>
      <c r="J166" s="774">
        <f t="shared" si="31"/>
        <v>15549262.5</v>
      </c>
      <c r="K166" s="774">
        <f t="shared" si="31"/>
        <v>15907185.5</v>
      </c>
      <c r="L166" s="774">
        <f t="shared" si="31"/>
        <v>15348055</v>
      </c>
    </row>
    <row r="167" spans="2:13" outlineLevel="1" x14ac:dyDescent="0.3">
      <c r="B167" s="773" t="s">
        <v>249</v>
      </c>
      <c r="C167" s="775"/>
      <c r="D167" s="775"/>
      <c r="E167" s="775">
        <f t="shared" ref="E167:L167" si="32">AVERAGE(E18:F18)</f>
        <v>2087669.5</v>
      </c>
      <c r="F167" s="775">
        <f t="shared" si="32"/>
        <v>2351489.5</v>
      </c>
      <c r="G167" s="775">
        <f t="shared" si="32"/>
        <v>2753809.5</v>
      </c>
      <c r="H167" s="775">
        <f t="shared" si="32"/>
        <v>3438234</v>
      </c>
      <c r="I167" s="775">
        <f t="shared" si="32"/>
        <v>4751455.5</v>
      </c>
      <c r="J167" s="775">
        <f t="shared" si="32"/>
        <v>5973406.5</v>
      </c>
      <c r="K167" s="775">
        <f t="shared" si="32"/>
        <v>6461986.5</v>
      </c>
      <c r="L167" s="775">
        <f t="shared" si="32"/>
        <v>7094345</v>
      </c>
    </row>
    <row r="168" spans="2:13" outlineLevel="1" x14ac:dyDescent="0.3">
      <c r="B168" s="773" t="s">
        <v>254</v>
      </c>
      <c r="C168" s="775">
        <f>0.025*C78</f>
        <v>814796.85000000009</v>
      </c>
      <c r="D168" s="775"/>
      <c r="E168" s="775">
        <f t="shared" ref="E168:L168" si="33">0.025*E78</f>
        <v>693549.22500000009</v>
      </c>
      <c r="F168" s="775">
        <f t="shared" si="33"/>
        <v>650281.67500000005</v>
      </c>
      <c r="G168" s="775">
        <f t="shared" si="33"/>
        <v>614214.17500000005</v>
      </c>
      <c r="H168" s="775">
        <f t="shared" si="33"/>
        <v>1010675.925</v>
      </c>
      <c r="I168" s="775">
        <f t="shared" si="33"/>
        <v>1150060.425</v>
      </c>
      <c r="J168" s="775">
        <f t="shared" si="33"/>
        <v>976391.77500000002</v>
      </c>
      <c r="K168" s="775">
        <f t="shared" si="33"/>
        <v>1234308.2</v>
      </c>
      <c r="L168" s="775">
        <f t="shared" si="33"/>
        <v>1232517.125</v>
      </c>
    </row>
    <row r="169" spans="2:13" outlineLevel="1" x14ac:dyDescent="0.3">
      <c r="B169" s="773" t="s">
        <v>250</v>
      </c>
      <c r="C169" s="776"/>
      <c r="D169" s="776"/>
      <c r="E169" s="776">
        <f>SUM(E166:E168)</f>
        <v>10516703.725</v>
      </c>
      <c r="F169" s="776">
        <f>SUM(F166:F168)</f>
        <v>12100969.675000001</v>
      </c>
      <c r="G169" s="776">
        <f t="shared" ref="G169:L169" si="34">SUM(G166:G168)</f>
        <v>14485805.675000001</v>
      </c>
      <c r="H169" s="776">
        <f t="shared" si="34"/>
        <v>18199816.425000001</v>
      </c>
      <c r="I169" s="776">
        <f t="shared" si="34"/>
        <v>20583151.925000001</v>
      </c>
      <c r="J169" s="776">
        <f t="shared" si="34"/>
        <v>22499060.774999999</v>
      </c>
      <c r="K169" s="776">
        <f t="shared" si="34"/>
        <v>23603480.199999999</v>
      </c>
      <c r="L169" s="776">
        <f t="shared" si="34"/>
        <v>23674917.125</v>
      </c>
    </row>
    <row r="170" spans="2:13" outlineLevel="1" x14ac:dyDescent="0.3">
      <c r="B170" s="773"/>
      <c r="C170" s="773"/>
      <c r="D170" s="773"/>
      <c r="E170" s="773"/>
      <c r="F170" s="773"/>
      <c r="G170" s="773"/>
      <c r="H170" s="773"/>
      <c r="I170" s="773"/>
      <c r="J170" s="773"/>
      <c r="K170" s="773"/>
      <c r="L170" s="773"/>
    </row>
    <row r="171" spans="2:13" outlineLevel="1" x14ac:dyDescent="0.3">
      <c r="B171" s="773" t="s">
        <v>251</v>
      </c>
      <c r="C171" s="775"/>
      <c r="D171" s="775">
        <f t="shared" ref="D171:L171" si="35">D80</f>
        <v>2837000</v>
      </c>
      <c r="E171" s="775">
        <f t="shared" si="35"/>
        <v>1697000</v>
      </c>
      <c r="F171" s="775">
        <f t="shared" si="35"/>
        <v>233343</v>
      </c>
      <c r="G171" s="775">
        <f t="shared" si="35"/>
        <v>107288</v>
      </c>
      <c r="H171" s="775">
        <f t="shared" si="35"/>
        <v>1455235</v>
      </c>
      <c r="I171" s="775">
        <f t="shared" si="35"/>
        <v>1566848</v>
      </c>
      <c r="J171" s="775">
        <f t="shared" si="35"/>
        <v>55519</v>
      </c>
      <c r="K171" s="775">
        <f t="shared" si="35"/>
        <v>4848614</v>
      </c>
      <c r="L171" s="775">
        <f t="shared" si="35"/>
        <v>4686663</v>
      </c>
    </row>
    <row r="172" spans="2:13" outlineLevel="1" x14ac:dyDescent="0.3">
      <c r="B172" s="773" t="s">
        <v>252</v>
      </c>
      <c r="C172" s="777"/>
      <c r="D172" s="777" t="e">
        <f>D171/D169</f>
        <v>#DIV/0!</v>
      </c>
      <c r="E172" s="777">
        <f>E171/E169</f>
        <v>0.16136234740225128</v>
      </c>
      <c r="F172" s="777">
        <f>F171/F169</f>
        <v>1.9283000145192908E-2</v>
      </c>
      <c r="G172" s="777">
        <f t="shared" ref="G172:L172" si="36">G171/G169</f>
        <v>7.4064227014421823E-3</v>
      </c>
      <c r="H172" s="777">
        <f t="shared" si="36"/>
        <v>7.9958773540211678E-2</v>
      </c>
      <c r="I172" s="777">
        <f t="shared" si="36"/>
        <v>7.612284093851189E-2</v>
      </c>
      <c r="J172" s="777">
        <f t="shared" si="36"/>
        <v>2.467614117549758E-3</v>
      </c>
      <c r="K172" s="777">
        <f t="shared" si="36"/>
        <v>0.20541945335671305</v>
      </c>
      <c r="L172" s="777">
        <f t="shared" si="36"/>
        <v>0.19795900341509642</v>
      </c>
    </row>
    <row r="174" spans="2:13" x14ac:dyDescent="0.3">
      <c r="B174" s="771" t="s">
        <v>259</v>
      </c>
      <c r="F174" s="778">
        <f>F179</f>
        <v>0.14650168404835331</v>
      </c>
    </row>
    <row r="175" spans="2:13" outlineLevel="1" x14ac:dyDescent="0.3">
      <c r="B175" s="773" t="s">
        <v>255</v>
      </c>
      <c r="F175" s="775">
        <f>F46</f>
        <v>9641300</v>
      </c>
    </row>
    <row r="176" spans="2:13" outlineLevel="1" x14ac:dyDescent="0.3">
      <c r="B176" s="773" t="s">
        <v>256</v>
      </c>
      <c r="F176" s="775">
        <f>F58</f>
        <v>56168865</v>
      </c>
    </row>
    <row r="177" spans="2:13" outlineLevel="1" x14ac:dyDescent="0.3">
      <c r="B177" s="773" t="s">
        <v>257</v>
      </c>
      <c r="F177" s="779">
        <f>F175+F176</f>
        <v>65810165</v>
      </c>
    </row>
    <row r="178" spans="2:13" outlineLevel="1" x14ac:dyDescent="0.3">
      <c r="B178" s="773"/>
      <c r="F178" s="773"/>
    </row>
    <row r="179" spans="2:13" outlineLevel="1" x14ac:dyDescent="0.3">
      <c r="B179" s="773" t="s">
        <v>258</v>
      </c>
      <c r="F179" s="780">
        <f>F175/F177</f>
        <v>0.14650168404835331</v>
      </c>
    </row>
    <row r="183" spans="2:13" x14ac:dyDescent="0.3">
      <c r="C183" s="341">
        <f>C113/C53</f>
        <v>90.038197411310477</v>
      </c>
      <c r="D183" s="341">
        <f t="shared" ref="D183:M183" si="37">D113/D53</f>
        <v>82.848136272176845</v>
      </c>
      <c r="E183" s="341">
        <f t="shared" si="37"/>
        <v>69.719461314108557</v>
      </c>
      <c r="F183" s="341">
        <f t="shared" si="37"/>
        <v>57.340386435258772</v>
      </c>
      <c r="G183" s="341">
        <f t="shared" si="37"/>
        <v>49.494152067678193</v>
      </c>
      <c r="H183" s="341">
        <f t="shared" si="37"/>
        <v>44.833469786092436</v>
      </c>
      <c r="I183" s="341">
        <f t="shared" si="37"/>
        <v>36.738642613462247</v>
      </c>
      <c r="J183" s="341">
        <f t="shared" si="37"/>
        <v>32.007621651131124</v>
      </c>
      <c r="K183" s="341">
        <f t="shared" si="37"/>
        <v>28.986297438840662</v>
      </c>
      <c r="L183" s="341">
        <f t="shared" si="37"/>
        <v>24.097279044604328</v>
      </c>
      <c r="M183" s="341">
        <f t="shared" si="37"/>
        <v>19.457884578538167</v>
      </c>
    </row>
  </sheetData>
  <pageMargins left="0.7" right="0.7" top="0.75" bottom="0.75" header="0.3" footer="0.3"/>
  <pageSetup orientation="portrait" r:id="rId1"/>
  <ignoredErrors>
    <ignoredError sqref="D49" formula="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ED75B-2745-4FBF-8117-A7E361029F7C}">
  <sheetPr>
    <tabColor theme="4"/>
  </sheetPr>
  <dimension ref="A1:K35"/>
  <sheetViews>
    <sheetView showGridLines="0" zoomScale="70" zoomScaleNormal="70" workbookViewId="0">
      <pane xSplit="1" ySplit="4" topLeftCell="B5" activePane="bottomRight" state="frozen"/>
      <selection activeCell="J77" sqref="J77"/>
      <selection pane="topRight" activeCell="J77" sqref="J77"/>
      <selection pane="bottomLeft" activeCell="J77" sqref="J77"/>
      <selection pane="bottomRight" activeCell="V39" sqref="V39"/>
    </sheetView>
  </sheetViews>
  <sheetFormatPr defaultColWidth="8.6640625" defaultRowHeight="13.8" outlineLevelRow="1" x14ac:dyDescent="0.25"/>
  <cols>
    <col min="1" max="1" width="38.109375" style="1" customWidth="1"/>
    <col min="2" max="2" width="9.5546875" style="1" bestFit="1" customWidth="1"/>
    <col min="3" max="7" width="9.109375" style="1" bestFit="1" customWidth="1"/>
    <col min="8" max="8" width="10" style="1" bestFit="1" customWidth="1"/>
    <col min="9" max="16384" width="8.6640625" style="1"/>
  </cols>
  <sheetData>
    <row r="1" spans="1:9" ht="15.6" x14ac:dyDescent="0.3">
      <c r="A1" s="459" t="s">
        <v>2922</v>
      </c>
      <c r="B1" s="211"/>
      <c r="C1" s="211"/>
      <c r="D1" s="211"/>
      <c r="E1" s="211"/>
      <c r="F1" s="211"/>
      <c r="G1" s="211"/>
    </row>
    <row r="2" spans="1:9" ht="15.6" x14ac:dyDescent="0.3">
      <c r="A2" s="152" t="s">
        <v>2923</v>
      </c>
      <c r="B2" s="211"/>
      <c r="C2" s="211"/>
      <c r="D2" s="211"/>
      <c r="E2" s="211"/>
      <c r="F2" s="211"/>
      <c r="G2" s="211"/>
    </row>
    <row r="3" spans="1:9" ht="8.25" customHeight="1" thickBot="1" x14ac:dyDescent="0.35">
      <c r="A3" s="152"/>
      <c r="B3" s="211"/>
      <c r="C3" s="211"/>
      <c r="D3" s="211"/>
      <c r="E3" s="211"/>
      <c r="F3" s="211"/>
      <c r="G3" s="211"/>
    </row>
    <row r="4" spans="1:9" s="10" customFormat="1" ht="15.6" x14ac:dyDescent="0.3">
      <c r="A4" s="212" t="s">
        <v>1204</v>
      </c>
      <c r="B4" s="2067">
        <v>1974</v>
      </c>
      <c r="C4" s="2067">
        <v>1973</v>
      </c>
      <c r="D4" s="2067">
        <v>1972</v>
      </c>
      <c r="E4" s="2067">
        <v>1971</v>
      </c>
      <c r="F4" s="2067">
        <v>1970</v>
      </c>
      <c r="G4" s="2067">
        <v>1969</v>
      </c>
      <c r="H4" s="2051">
        <v>1968</v>
      </c>
    </row>
    <row r="5" spans="1:9" ht="15.75" customHeight="1" x14ac:dyDescent="0.3">
      <c r="A5" s="221" t="s">
        <v>526</v>
      </c>
      <c r="B5" s="2065"/>
      <c r="C5" s="2065"/>
      <c r="D5" s="2065"/>
      <c r="E5" s="2065"/>
      <c r="F5" s="2065"/>
      <c r="G5" s="2065"/>
      <c r="H5" s="2050"/>
    </row>
    <row r="6" spans="1:9" ht="15.75" customHeight="1" x14ac:dyDescent="0.3">
      <c r="A6" s="214" t="s">
        <v>1336</v>
      </c>
      <c r="B6" s="2065">
        <v>36738</v>
      </c>
      <c r="C6" s="2065">
        <v>28617</v>
      </c>
      <c r="D6" s="2065">
        <v>35354</v>
      </c>
      <c r="E6" s="2065">
        <v>47794</v>
      </c>
      <c r="F6" s="2065">
        <v>37820</v>
      </c>
      <c r="G6" s="2065">
        <v>26034</v>
      </c>
      <c r="H6" s="2050">
        <v>22620</v>
      </c>
    </row>
    <row r="7" spans="1:9" ht="15.75" customHeight="1" x14ac:dyDescent="0.3">
      <c r="A7" s="214" t="s">
        <v>1338</v>
      </c>
      <c r="B7" s="2064">
        <v>12204</v>
      </c>
      <c r="C7" s="2064">
        <v>10184</v>
      </c>
      <c r="D7" s="2064">
        <v>11436</v>
      </c>
      <c r="E7" s="2064">
        <v>14953</v>
      </c>
      <c r="F7" s="2064">
        <v>7017</v>
      </c>
      <c r="G7" s="2064">
        <v>2742</v>
      </c>
      <c r="H7" s="2079"/>
      <c r="I7" s="1" t="s">
        <v>176</v>
      </c>
    </row>
    <row r="8" spans="1:9" ht="15.75" customHeight="1" x14ac:dyDescent="0.3">
      <c r="A8" s="214" t="s">
        <v>2927</v>
      </c>
      <c r="B8" s="2064">
        <v>6613</v>
      </c>
      <c r="C8" s="2064">
        <v>6571</v>
      </c>
      <c r="D8" s="2064">
        <v>6874</v>
      </c>
      <c r="E8" s="2064">
        <v>2040</v>
      </c>
      <c r="F8" s="2080"/>
      <c r="G8" s="2080"/>
      <c r="H8" s="2079"/>
    </row>
    <row r="9" spans="1:9" ht="15.75" customHeight="1" x14ac:dyDescent="0.3">
      <c r="A9" s="214" t="s">
        <v>2761</v>
      </c>
      <c r="B9" s="2066">
        <v>5442</v>
      </c>
      <c r="C9" s="2066">
        <v>5000</v>
      </c>
      <c r="D9" s="2066">
        <v>4286</v>
      </c>
      <c r="E9" s="2066">
        <v>1668</v>
      </c>
      <c r="F9" s="2066">
        <v>249</v>
      </c>
      <c r="G9" s="2141"/>
      <c r="H9" s="2140"/>
    </row>
    <row r="10" spans="1:9" ht="15.6" x14ac:dyDescent="0.3">
      <c r="A10" s="214" t="s">
        <v>526</v>
      </c>
      <c r="B10" s="2064">
        <f>SUM(B6:B9)</f>
        <v>60997</v>
      </c>
      <c r="C10" s="2064">
        <f t="shared" ref="C10:D10" si="0">SUM(C6:C9)</f>
        <v>50372</v>
      </c>
      <c r="D10" s="2064">
        <f t="shared" si="0"/>
        <v>57950</v>
      </c>
      <c r="E10" s="2064">
        <f t="shared" ref="E10" si="1">SUM(E6:E9)</f>
        <v>66455</v>
      </c>
      <c r="F10" s="2064">
        <f t="shared" ref="F10" si="2">SUM(F6:F9)</f>
        <v>45086</v>
      </c>
      <c r="G10" s="2064">
        <f t="shared" ref="G10:H10" si="3">SUM(G6:G9)</f>
        <v>28776</v>
      </c>
      <c r="H10" s="2049">
        <f t="shared" si="3"/>
        <v>22620</v>
      </c>
    </row>
    <row r="11" spans="1:9" ht="15.75" hidden="1" customHeight="1" outlineLevel="1" x14ac:dyDescent="0.3">
      <c r="A11" s="214" t="s">
        <v>453</v>
      </c>
      <c r="B11" s="2064">
        <v>10975</v>
      </c>
      <c r="C11" s="2064"/>
      <c r="D11" s="2064"/>
      <c r="E11" s="2064"/>
      <c r="F11" s="2064"/>
      <c r="G11" s="2064">
        <f>SUM(G6:G10)</f>
        <v>57552</v>
      </c>
      <c r="H11" s="2049"/>
    </row>
    <row r="12" spans="1:9" ht="15.75" hidden="1" customHeight="1" outlineLevel="1" x14ac:dyDescent="0.3">
      <c r="A12" s="214" t="s">
        <v>454</v>
      </c>
      <c r="B12" s="2064">
        <f>B10+B11</f>
        <v>71972</v>
      </c>
      <c r="C12" s="2064"/>
      <c r="D12" s="2064"/>
      <c r="E12" s="2064"/>
      <c r="F12" s="2064"/>
      <c r="G12" s="2064">
        <v>8806</v>
      </c>
      <c r="H12" s="2049"/>
    </row>
    <row r="13" spans="1:9" ht="15.6" collapsed="1" x14ac:dyDescent="0.3">
      <c r="A13" s="214"/>
      <c r="B13" s="2062"/>
      <c r="C13" s="2062"/>
      <c r="D13" s="2062"/>
      <c r="E13" s="2062"/>
      <c r="F13" s="2062"/>
      <c r="G13" s="2062"/>
      <c r="H13" s="2047"/>
    </row>
    <row r="14" spans="1:9" ht="15.6" x14ac:dyDescent="0.3">
      <c r="A14" s="221" t="s">
        <v>2925</v>
      </c>
      <c r="B14" s="220"/>
      <c r="C14" s="220"/>
      <c r="D14" s="220"/>
      <c r="E14" s="220"/>
      <c r="F14" s="220"/>
      <c r="G14" s="220"/>
      <c r="H14" s="223"/>
    </row>
    <row r="15" spans="1:9" ht="15.6" x14ac:dyDescent="0.3">
      <c r="A15" s="214" t="s">
        <v>1336</v>
      </c>
      <c r="B15" s="2064">
        <v>-1939</v>
      </c>
      <c r="C15" s="2064">
        <v>4409</v>
      </c>
      <c r="D15" s="2064">
        <v>4329</v>
      </c>
      <c r="E15" s="2080"/>
      <c r="F15" s="2080"/>
      <c r="G15" s="2080"/>
      <c r="H15" s="2079"/>
    </row>
    <row r="16" spans="1:9" ht="15.6" x14ac:dyDescent="0.3">
      <c r="A16" s="214" t="s">
        <v>1338</v>
      </c>
      <c r="B16" s="2064">
        <v>-2068</v>
      </c>
      <c r="C16" s="2064">
        <v>353</v>
      </c>
      <c r="D16" s="2064">
        <v>561</v>
      </c>
      <c r="E16" s="2080"/>
      <c r="F16" s="2080"/>
      <c r="G16" s="2080"/>
      <c r="H16" s="2079"/>
    </row>
    <row r="17" spans="1:11" ht="15.6" x14ac:dyDescent="0.3">
      <c r="A17" s="214" t="s">
        <v>2924</v>
      </c>
      <c r="B17" s="2064">
        <v>-2183</v>
      </c>
      <c r="C17" s="2064">
        <v>-878</v>
      </c>
      <c r="D17" s="2064">
        <v>62</v>
      </c>
      <c r="E17" s="2080"/>
      <c r="F17" s="2080"/>
      <c r="G17" s="2080"/>
      <c r="H17" s="2079"/>
      <c r="J17" s="1" t="s">
        <v>176</v>
      </c>
    </row>
    <row r="18" spans="1:11" ht="15.6" x14ac:dyDescent="0.3">
      <c r="A18" s="214" t="s">
        <v>2761</v>
      </c>
      <c r="B18" s="2066">
        <v>-702</v>
      </c>
      <c r="C18" s="2066">
        <v>-565</v>
      </c>
      <c r="D18" s="2066">
        <v>-667</v>
      </c>
      <c r="E18" s="2141"/>
      <c r="F18" s="2141"/>
      <c r="G18" s="2141"/>
      <c r="H18" s="2140"/>
      <c r="K18" s="1" t="s">
        <v>176</v>
      </c>
    </row>
    <row r="19" spans="1:11" ht="15.6" x14ac:dyDescent="0.3">
      <c r="A19" s="214" t="s">
        <v>2926</v>
      </c>
      <c r="B19" s="2065">
        <f>SUM(B15:B18)</f>
        <v>-6892</v>
      </c>
      <c r="C19" s="2065">
        <f t="shared" ref="C19:D19" si="4">SUM(C15:C18)</f>
        <v>3319</v>
      </c>
      <c r="D19" s="2065">
        <f t="shared" si="4"/>
        <v>4285</v>
      </c>
      <c r="E19" s="2065">
        <v>1409</v>
      </c>
      <c r="F19" s="2065">
        <v>-330</v>
      </c>
      <c r="G19" s="2065">
        <v>-153</v>
      </c>
      <c r="H19" s="2050">
        <v>568</v>
      </c>
    </row>
    <row r="20" spans="1:11" ht="15.75" hidden="1" customHeight="1" outlineLevel="1" x14ac:dyDescent="0.3">
      <c r="A20" s="6" t="s">
        <v>456</v>
      </c>
      <c r="B20" s="2065">
        <v>10841</v>
      </c>
      <c r="C20" s="2065"/>
      <c r="D20" s="2065"/>
      <c r="E20" s="2065"/>
      <c r="F20" s="2065"/>
      <c r="G20" s="2065"/>
      <c r="H20" s="2050"/>
    </row>
    <row r="21" spans="1:11" ht="15.75" hidden="1" customHeight="1" outlineLevel="1" x14ac:dyDescent="0.3">
      <c r="A21" s="214" t="s">
        <v>457</v>
      </c>
      <c r="B21" s="2064">
        <f>B19+B20</f>
        <v>3949</v>
      </c>
      <c r="C21" s="2064"/>
      <c r="D21" s="2064"/>
      <c r="E21" s="2064"/>
      <c r="F21" s="2064"/>
      <c r="G21" s="2064">
        <f>SUM(G15:G20)</f>
        <v>-153</v>
      </c>
      <c r="H21" s="2049"/>
    </row>
    <row r="22" spans="1:11" ht="4.5" customHeight="1" collapsed="1" x14ac:dyDescent="0.3">
      <c r="A22" s="214"/>
      <c r="B22" s="2062"/>
      <c r="C22" s="2062"/>
      <c r="D22" s="2062"/>
      <c r="E22" s="2062"/>
      <c r="F22" s="2062"/>
      <c r="G22" s="2062"/>
      <c r="H22" s="2047"/>
    </row>
    <row r="23" spans="1:11" ht="4.5" customHeight="1" x14ac:dyDescent="0.3">
      <c r="A23" s="1155"/>
      <c r="B23" s="2063"/>
      <c r="C23" s="2063"/>
      <c r="D23" s="2063"/>
      <c r="E23" s="2063"/>
      <c r="F23" s="2063"/>
      <c r="G23" s="2063"/>
      <c r="H23" s="2048"/>
    </row>
    <row r="24" spans="1:11" ht="4.5" customHeight="1" x14ac:dyDescent="0.3">
      <c r="A24" s="214"/>
      <c r="B24" s="2062"/>
      <c r="C24" s="2062"/>
      <c r="D24" s="2062"/>
      <c r="E24" s="2062"/>
      <c r="F24" s="2062"/>
      <c r="G24" s="2062"/>
      <c r="H24" s="2047"/>
    </row>
    <row r="25" spans="1:11" ht="15.6" x14ac:dyDescent="0.3">
      <c r="A25" s="214" t="s">
        <v>1806</v>
      </c>
      <c r="B25" s="2060">
        <f>'3. Insurance'!B179</f>
        <v>1.1114477334498287</v>
      </c>
      <c r="C25" s="2060">
        <f>'3. Insurance'!C179</f>
        <v>0.95337824202682742</v>
      </c>
      <c r="D25" s="2060">
        <f>'3. Insurance'!D179</f>
        <v>0.93705886232347047</v>
      </c>
      <c r="E25" s="2060">
        <f>'3. Insurance'!E179</f>
        <v>0.951047379888318</v>
      </c>
      <c r="F25" s="2060">
        <f>'3. Insurance'!F179</f>
        <v>0.96609301754407062</v>
      </c>
      <c r="G25" s="2060">
        <f>'3. Insurance'!G179</f>
        <v>0.96224138695531414</v>
      </c>
      <c r="H25" s="2045">
        <f>'3. Insurance'!H179</f>
        <v>0.97485201279248068</v>
      </c>
    </row>
    <row r="26" spans="1:11" ht="4.5" customHeight="1" x14ac:dyDescent="0.3">
      <c r="A26" s="214"/>
      <c r="B26" s="2060"/>
      <c r="C26" s="2060"/>
      <c r="D26" s="2060"/>
      <c r="E26" s="2060"/>
      <c r="F26" s="2060"/>
      <c r="G26" s="2060"/>
      <c r="H26" s="2045"/>
    </row>
    <row r="27" spans="1:11" ht="4.5" customHeight="1" x14ac:dyDescent="0.3">
      <c r="A27" s="1155"/>
      <c r="B27" s="2061"/>
      <c r="C27" s="2061"/>
      <c r="D27" s="2061"/>
      <c r="E27" s="2061"/>
      <c r="F27" s="2061"/>
      <c r="G27" s="2061"/>
      <c r="H27" s="2046"/>
    </row>
    <row r="28" spans="1:11" ht="4.5" customHeight="1" x14ac:dyDescent="0.3">
      <c r="A28" s="214"/>
      <c r="B28" s="2060"/>
      <c r="C28" s="2060"/>
      <c r="D28" s="2060"/>
      <c r="E28" s="2060"/>
      <c r="F28" s="2060"/>
      <c r="G28" s="2060"/>
      <c r="H28" s="223"/>
    </row>
    <row r="29" spans="1:11" x14ac:dyDescent="0.25">
      <c r="A29" s="6" t="s">
        <v>1405</v>
      </c>
      <c r="B29" s="205"/>
      <c r="C29" s="205"/>
      <c r="D29" s="205"/>
      <c r="E29" s="205"/>
      <c r="F29" s="205"/>
      <c r="G29" s="205"/>
      <c r="H29" s="8"/>
    </row>
    <row r="30" spans="1:11" ht="30" customHeight="1" thickBot="1" x14ac:dyDescent="0.3">
      <c r="A30" s="2802" t="s">
        <v>2928</v>
      </c>
      <c r="B30" s="2803"/>
      <c r="C30" s="2803"/>
      <c r="D30" s="2803"/>
      <c r="E30" s="2803"/>
      <c r="F30" s="2803"/>
      <c r="G30" s="2803"/>
      <c r="H30" s="2804"/>
    </row>
    <row r="31" spans="1:11" x14ac:dyDescent="0.25">
      <c r="A31" s="12" t="s">
        <v>2929</v>
      </c>
    </row>
    <row r="32" spans="1:11" x14ac:dyDescent="0.25">
      <c r="A32" s="12"/>
    </row>
    <row r="35" spans="10:10" x14ac:dyDescent="0.25">
      <c r="J35" s="1" t="s">
        <v>176</v>
      </c>
    </row>
  </sheetData>
  <mergeCells count="1">
    <mergeCell ref="A30:H3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69B4C-F70B-4832-A0BD-6F41E1E860D1}">
  <sheetPr>
    <tabColor theme="4"/>
  </sheetPr>
  <dimension ref="A1:C29"/>
  <sheetViews>
    <sheetView showGridLines="0" zoomScaleNormal="100" workbookViewId="0">
      <selection activeCell="G24" sqref="G24"/>
    </sheetView>
  </sheetViews>
  <sheetFormatPr defaultColWidth="9.109375" defaultRowHeight="15.6" x14ac:dyDescent="0.3"/>
  <cols>
    <col min="1" max="1" width="31.109375" style="211" customWidth="1"/>
    <col min="2" max="3" width="16" style="211" customWidth="1"/>
    <col min="4" max="4" width="2.88671875" style="211" customWidth="1"/>
    <col min="5" max="16384" width="9.109375" style="211"/>
  </cols>
  <sheetData>
    <row r="1" spans="1:3" x14ac:dyDescent="0.3">
      <c r="A1" s="2794" t="s">
        <v>2608</v>
      </c>
      <c r="B1" s="2794"/>
      <c r="C1" s="2794"/>
    </row>
    <row r="2" spans="1:3" ht="31.5" customHeight="1" x14ac:dyDescent="0.3">
      <c r="A2" s="2794" t="s">
        <v>2607</v>
      </c>
      <c r="B2" s="2794"/>
      <c r="C2" s="2794"/>
    </row>
    <row r="3" spans="1:3" ht="8.25" customHeight="1" thickBot="1" x14ac:dyDescent="0.35"/>
    <row r="4" spans="1:3" ht="46.8" x14ac:dyDescent="0.3">
      <c r="A4" s="1936"/>
      <c r="B4" s="1935" t="s">
        <v>2606</v>
      </c>
      <c r="C4" s="1934" t="s">
        <v>2605</v>
      </c>
    </row>
    <row r="5" spans="1:3" x14ac:dyDescent="0.3">
      <c r="A5" s="1933">
        <v>1934</v>
      </c>
      <c r="B5" s="2237"/>
      <c r="C5" s="1928"/>
    </row>
    <row r="6" spans="1:3" x14ac:dyDescent="0.3">
      <c r="A6" s="1931" t="s">
        <v>2604</v>
      </c>
      <c r="B6" s="2240">
        <v>16.3</v>
      </c>
      <c r="C6" s="2235">
        <v>3.9</v>
      </c>
    </row>
    <row r="7" spans="1:3" x14ac:dyDescent="0.3">
      <c r="A7" s="1925" t="s">
        <v>2603</v>
      </c>
      <c r="B7" s="2241">
        <v>13.8</v>
      </c>
      <c r="C7" s="2236">
        <v>2.1</v>
      </c>
    </row>
    <row r="8" spans="1:3" x14ac:dyDescent="0.3">
      <c r="A8" s="1931" t="s">
        <v>2602</v>
      </c>
      <c r="B8" s="2242">
        <v>900000</v>
      </c>
      <c r="C8" s="1930">
        <v>79000</v>
      </c>
    </row>
    <row r="9" spans="1:3" x14ac:dyDescent="0.3">
      <c r="A9" s="1925" t="s">
        <v>2601</v>
      </c>
      <c r="B9" s="2243">
        <v>20000</v>
      </c>
      <c r="C9" s="1921">
        <v>3200</v>
      </c>
    </row>
    <row r="10" spans="1:3" ht="4.5" customHeight="1" x14ac:dyDescent="0.3">
      <c r="A10" s="1925"/>
      <c r="B10" s="2243"/>
      <c r="C10" s="1921"/>
    </row>
    <row r="11" spans="1:3" ht="4.5" customHeight="1" x14ac:dyDescent="0.3">
      <c r="A11" s="1924"/>
      <c r="B11" s="2244"/>
      <c r="C11" s="1923"/>
    </row>
    <row r="12" spans="1:3" ht="4.5" customHeight="1" x14ac:dyDescent="0.3">
      <c r="A12" s="1922"/>
      <c r="B12" s="2243"/>
      <c r="C12" s="1921"/>
    </row>
    <row r="13" spans="1:3" x14ac:dyDescent="0.3">
      <c r="A13" s="1933">
        <v>1939</v>
      </c>
      <c r="B13" s="2237"/>
      <c r="C13" s="1928"/>
    </row>
    <row r="14" spans="1:3" x14ac:dyDescent="0.3">
      <c r="A14" s="1931" t="s">
        <v>2604</v>
      </c>
      <c r="B14" s="2240">
        <v>18.399999999999999</v>
      </c>
      <c r="C14" s="2235">
        <v>7.3</v>
      </c>
    </row>
    <row r="15" spans="1:3" x14ac:dyDescent="0.3">
      <c r="A15" s="1925" t="s">
        <v>2603</v>
      </c>
      <c r="B15" s="2241">
        <v>13.1</v>
      </c>
      <c r="C15" s="2236">
        <v>2.2000000000000002</v>
      </c>
    </row>
    <row r="16" spans="1:3" x14ac:dyDescent="0.3">
      <c r="A16" s="1931" t="s">
        <v>2602</v>
      </c>
      <c r="B16" s="2246">
        <v>748000</v>
      </c>
      <c r="C16" s="1930">
        <v>62000</v>
      </c>
    </row>
    <row r="17" spans="1:3" x14ac:dyDescent="0.3">
      <c r="A17" s="1925" t="s">
        <v>2601</v>
      </c>
      <c r="B17" s="2249">
        <v>15000</v>
      </c>
      <c r="C17" s="1921">
        <v>2800</v>
      </c>
    </row>
    <row r="18" spans="1:3" ht="4.5" customHeight="1" x14ac:dyDescent="0.3">
      <c r="A18" s="1925"/>
      <c r="B18" s="2243"/>
      <c r="C18" s="1921"/>
    </row>
    <row r="19" spans="1:3" ht="4.5" customHeight="1" x14ac:dyDescent="0.3">
      <c r="A19" s="1924"/>
      <c r="B19" s="2244"/>
      <c r="C19" s="1923"/>
    </row>
    <row r="20" spans="1:3" ht="4.5" customHeight="1" x14ac:dyDescent="0.3">
      <c r="A20" s="1922"/>
      <c r="B20" s="2243"/>
      <c r="C20" s="1921"/>
    </row>
    <row r="21" spans="1:3" x14ac:dyDescent="0.3">
      <c r="A21" s="1929" t="s">
        <v>2951</v>
      </c>
      <c r="B21" s="2237"/>
      <c r="C21" s="1928"/>
    </row>
    <row r="22" spans="1:3" x14ac:dyDescent="0.3">
      <c r="A22" s="1927" t="s">
        <v>1569</v>
      </c>
      <c r="B22" s="2245">
        <v>0</v>
      </c>
      <c r="C22" s="1926">
        <v>6.0999999999999999E-2</v>
      </c>
    </row>
    <row r="23" spans="1:3" x14ac:dyDescent="0.3">
      <c r="A23" s="1931" t="s">
        <v>2952</v>
      </c>
      <c r="B23" s="2238">
        <v>1.4E-2</v>
      </c>
      <c r="C23" s="2239">
        <v>2.1000000000000001E-2</v>
      </c>
    </row>
    <row r="24" spans="1:3" ht="18.600000000000001" x14ac:dyDescent="0.3">
      <c r="A24" s="1931" t="s">
        <v>2949</v>
      </c>
      <c r="B24" s="2248">
        <f>AVERAGE('1. Financials'!T11:W11)/1000</f>
        <v>1.3374130731237512</v>
      </c>
      <c r="C24" s="1932">
        <f>AVERAGE('1. Financials'!T23:W23)/1000</f>
        <v>3.1519286367411259</v>
      </c>
    </row>
    <row r="25" spans="1:3" ht="12.6" customHeight="1" x14ac:dyDescent="0.3">
      <c r="A25" s="1925"/>
      <c r="B25" s="2249"/>
      <c r="C25" s="1921"/>
    </row>
    <row r="26" spans="1:3" ht="28.8" customHeight="1" thickBot="1" x14ac:dyDescent="0.35">
      <c r="A26" s="2795" t="s">
        <v>2950</v>
      </c>
      <c r="B26" s="2796"/>
      <c r="C26" s="2797"/>
    </row>
    <row r="27" spans="1:3" x14ac:dyDescent="0.3">
      <c r="A27" s="2250" t="s">
        <v>2946</v>
      </c>
      <c r="B27" s="220"/>
      <c r="C27" s="220"/>
    </row>
    <row r="29" spans="1:3" x14ac:dyDescent="0.3">
      <c r="A29" s="211" t="s">
        <v>2947</v>
      </c>
    </row>
  </sheetData>
  <mergeCells count="3">
    <mergeCell ref="A1:C1"/>
    <mergeCell ref="A2:C2"/>
    <mergeCell ref="A26:C2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theme="4"/>
  </sheetPr>
  <dimension ref="A1:M193"/>
  <sheetViews>
    <sheetView showGridLines="0" zoomScale="70" zoomScaleNormal="70" workbookViewId="0">
      <pane xSplit="1" ySplit="1" topLeftCell="B42" activePane="bottomRight" state="frozen"/>
      <selection activeCell="J77" sqref="J77"/>
      <selection pane="topRight" activeCell="J77" sqref="J77"/>
      <selection pane="bottomLeft" activeCell="J77" sqref="J77"/>
      <selection pane="bottomRight" activeCell="T26" sqref="T26"/>
    </sheetView>
  </sheetViews>
  <sheetFormatPr defaultColWidth="9.109375" defaultRowHeight="15.6" outlineLevelRow="1" x14ac:dyDescent="0.3"/>
  <cols>
    <col min="1" max="1" width="51.88671875" style="211" customWidth="1"/>
    <col min="2" max="9" width="10.109375" style="211" customWidth="1"/>
    <col min="10" max="16384" width="9.109375" style="211"/>
  </cols>
  <sheetData>
    <row r="1" spans="1:9" ht="16.2" thickBot="1" x14ac:dyDescent="0.35">
      <c r="A1" s="286" t="s">
        <v>44</v>
      </c>
      <c r="B1" s="287">
        <v>27391</v>
      </c>
      <c r="C1" s="287">
        <v>27027</v>
      </c>
      <c r="D1" s="287">
        <v>26663</v>
      </c>
      <c r="E1" s="287">
        <v>26298</v>
      </c>
      <c r="F1" s="287">
        <v>25933</v>
      </c>
      <c r="G1" s="287">
        <v>25571</v>
      </c>
      <c r="H1" s="287">
        <v>25200</v>
      </c>
      <c r="I1" s="287">
        <v>24836</v>
      </c>
    </row>
    <row r="2" spans="1:9" s="289" customFormat="1" x14ac:dyDescent="0.3">
      <c r="A2" s="288" t="s">
        <v>90</v>
      </c>
    </row>
    <row r="3" spans="1:9" s="293" customFormat="1" x14ac:dyDescent="0.3">
      <c r="A3" s="290" t="s">
        <v>5</v>
      </c>
      <c r="B3" s="291"/>
      <c r="C3" s="291"/>
      <c r="D3" s="292"/>
      <c r="E3" s="292"/>
      <c r="F3" s="281">
        <v>655457</v>
      </c>
      <c r="G3" s="281">
        <v>686818</v>
      </c>
      <c r="H3" s="281">
        <v>509778</v>
      </c>
      <c r="I3" s="281"/>
    </row>
    <row r="4" spans="1:9" s="293" customFormat="1" x14ac:dyDescent="0.3">
      <c r="A4" s="290" t="s">
        <v>86</v>
      </c>
      <c r="B4" s="291"/>
      <c r="C4" s="291"/>
      <c r="D4" s="292"/>
      <c r="E4" s="292"/>
      <c r="F4" s="281">
        <v>45993194</v>
      </c>
      <c r="G4" s="281">
        <v>27894117</v>
      </c>
      <c r="H4" s="281">
        <v>27208728</v>
      </c>
      <c r="I4" s="281"/>
    </row>
    <row r="5" spans="1:9" s="293" customFormat="1" x14ac:dyDescent="0.3">
      <c r="A5" s="290" t="s">
        <v>87</v>
      </c>
      <c r="B5" s="291"/>
      <c r="C5" s="291"/>
      <c r="D5" s="292"/>
      <c r="E5" s="292"/>
      <c r="F5" s="281">
        <v>793331</v>
      </c>
      <c r="G5" s="281">
        <v>1393190</v>
      </c>
      <c r="H5" s="281">
        <v>19490</v>
      </c>
      <c r="I5" s="281"/>
    </row>
    <row r="6" spans="1:9" s="293" customFormat="1" x14ac:dyDescent="0.3">
      <c r="A6" s="290" t="s">
        <v>88</v>
      </c>
      <c r="B6" s="291"/>
      <c r="C6" s="291"/>
      <c r="D6" s="292"/>
      <c r="E6" s="292"/>
      <c r="F6" s="281">
        <v>8737469</v>
      </c>
      <c r="G6" s="281">
        <v>7376925</v>
      </c>
      <c r="H6" s="281">
        <v>8067196</v>
      </c>
      <c r="I6" s="281"/>
    </row>
    <row r="7" spans="1:9" s="293" customFormat="1" x14ac:dyDescent="0.3">
      <c r="A7" s="290" t="s">
        <v>89</v>
      </c>
      <c r="B7" s="291"/>
      <c r="C7" s="291"/>
      <c r="D7" s="292"/>
      <c r="E7" s="292"/>
      <c r="F7" s="294">
        <f>SUM(F3:F6)</f>
        <v>56179451</v>
      </c>
      <c r="G7" s="294">
        <f>SUM(G3:G6)</f>
        <v>37351050</v>
      </c>
      <c r="H7" s="294">
        <f>SUM(H3:H6)</f>
        <v>35805192</v>
      </c>
      <c r="I7" s="294"/>
    </row>
    <row r="8" spans="1:9" s="293" customFormat="1" x14ac:dyDescent="0.3">
      <c r="A8" s="290"/>
      <c r="B8" s="291"/>
      <c r="C8" s="291"/>
      <c r="D8" s="292"/>
      <c r="E8" s="292"/>
      <c r="F8" s="281"/>
      <c r="G8" s="281"/>
      <c r="H8" s="281"/>
      <c r="I8" s="281"/>
    </row>
    <row r="9" spans="1:9" s="293" customFormat="1" x14ac:dyDescent="0.3">
      <c r="A9" s="290" t="s">
        <v>6</v>
      </c>
      <c r="B9" s="291"/>
      <c r="C9" s="291"/>
      <c r="D9" s="292"/>
      <c r="E9" s="292"/>
      <c r="F9" s="281">
        <v>61547919</v>
      </c>
      <c r="G9" s="281">
        <v>43888780</v>
      </c>
      <c r="H9" s="281">
        <v>39797552</v>
      </c>
      <c r="I9" s="281"/>
    </row>
    <row r="10" spans="1:9" s="293" customFormat="1" x14ac:dyDescent="0.3">
      <c r="A10" s="295"/>
      <c r="B10" s="291"/>
      <c r="C10" s="291"/>
      <c r="D10" s="291"/>
      <c r="E10" s="291"/>
      <c r="F10" s="296"/>
      <c r="G10" s="296"/>
      <c r="H10" s="296"/>
      <c r="I10" s="296"/>
    </row>
    <row r="11" spans="1:9" s="293" customFormat="1" x14ac:dyDescent="0.3">
      <c r="A11" s="290" t="s">
        <v>95</v>
      </c>
      <c r="B11" s="292"/>
      <c r="C11" s="292"/>
      <c r="D11" s="292"/>
      <c r="E11" s="292"/>
      <c r="F11" s="281">
        <v>14868349</v>
      </c>
      <c r="G11" s="281">
        <v>11414394</v>
      </c>
      <c r="H11" s="281">
        <v>11508920</v>
      </c>
      <c r="I11" s="281">
        <f>2000000+301250+5856614</f>
        <v>8157864</v>
      </c>
    </row>
    <row r="12" spans="1:9" s="293" customFormat="1" x14ac:dyDescent="0.3">
      <c r="A12" s="295"/>
      <c r="B12" s="291"/>
      <c r="C12" s="291"/>
      <c r="D12" s="291"/>
      <c r="E12" s="291"/>
      <c r="F12" s="296"/>
      <c r="G12" s="296"/>
      <c r="H12" s="296"/>
      <c r="I12" s="296"/>
    </row>
    <row r="13" spans="1:9" s="293" customFormat="1" x14ac:dyDescent="0.3">
      <c r="A13" s="295" t="s">
        <v>246</v>
      </c>
      <c r="B13" s="291"/>
      <c r="C13" s="291"/>
      <c r="D13" s="291"/>
      <c r="E13" s="291"/>
      <c r="F13" s="296"/>
      <c r="G13" s="296"/>
      <c r="H13" s="296"/>
      <c r="I13" s="296"/>
    </row>
    <row r="14" spans="1:9" s="293" customFormat="1" x14ac:dyDescent="0.3">
      <c r="A14" s="293" t="s">
        <v>109</v>
      </c>
      <c r="B14" s="292"/>
      <c r="C14" s="292"/>
      <c r="D14" s="292"/>
      <c r="E14" s="292"/>
      <c r="F14" s="281">
        <v>39390688</v>
      </c>
      <c r="G14" s="281">
        <v>24824366</v>
      </c>
      <c r="H14" s="281">
        <v>19999000</v>
      </c>
      <c r="I14" s="281"/>
    </row>
    <row r="15" spans="1:9" s="293" customFormat="1" x14ac:dyDescent="0.3">
      <c r="A15" s="290" t="s">
        <v>101</v>
      </c>
      <c r="B15" s="291"/>
      <c r="C15" s="291"/>
      <c r="D15" s="291"/>
      <c r="E15" s="291"/>
      <c r="F15" s="281">
        <v>33994353</v>
      </c>
      <c r="G15" s="281">
        <v>21549369</v>
      </c>
      <c r="H15" s="281">
        <v>20341137</v>
      </c>
      <c r="I15" s="281"/>
    </row>
    <row r="16" spans="1:9" s="293" customFormat="1" x14ac:dyDescent="0.3">
      <c r="A16" s="290" t="s">
        <v>100</v>
      </c>
      <c r="B16" s="291"/>
      <c r="C16" s="291"/>
      <c r="D16" s="291"/>
      <c r="E16" s="291"/>
      <c r="F16" s="281">
        <v>23461917</v>
      </c>
      <c r="G16" s="281">
        <v>13933982</v>
      </c>
      <c r="H16" s="281">
        <v>13343028</v>
      </c>
      <c r="I16" s="281"/>
    </row>
    <row r="17" spans="1:9" s="293" customFormat="1" x14ac:dyDescent="0.3">
      <c r="A17" s="290" t="s">
        <v>102</v>
      </c>
      <c r="B17" s="291"/>
      <c r="C17" s="291"/>
      <c r="D17" s="291"/>
      <c r="E17" s="291"/>
      <c r="F17" s="281">
        <v>12437777</v>
      </c>
      <c r="G17" s="281">
        <v>7744745</v>
      </c>
      <c r="H17" s="281">
        <v>6426998</v>
      </c>
      <c r="I17" s="281"/>
    </row>
    <row r="18" spans="1:9" s="293" customFormat="1" x14ac:dyDescent="0.3">
      <c r="A18" s="290" t="s">
        <v>103</v>
      </c>
      <c r="B18" s="291"/>
      <c r="C18" s="291"/>
      <c r="D18" s="291"/>
      <c r="E18" s="291"/>
      <c r="F18" s="297">
        <f>F16+F17</f>
        <v>35899694</v>
      </c>
      <c r="G18" s="297">
        <f>G16+G17</f>
        <v>21678727</v>
      </c>
      <c r="H18" s="297">
        <f>H16+H17</f>
        <v>19770026</v>
      </c>
      <c r="I18" s="297"/>
    </row>
    <row r="19" spans="1:9" s="293" customFormat="1" x14ac:dyDescent="0.3">
      <c r="A19" s="290" t="s">
        <v>104</v>
      </c>
      <c r="B19" s="291"/>
      <c r="C19" s="291"/>
      <c r="D19" s="291"/>
      <c r="E19" s="291"/>
      <c r="F19" s="294">
        <f>F15-F18</f>
        <v>-1905341</v>
      </c>
      <c r="G19" s="294">
        <f>G15-G18</f>
        <v>-129358</v>
      </c>
      <c r="H19" s="294">
        <f>H15-H18</f>
        <v>571111</v>
      </c>
      <c r="I19" s="294"/>
    </row>
    <row r="20" spans="1:9" s="293" customFormat="1" x14ac:dyDescent="0.3">
      <c r="A20" s="290"/>
      <c r="B20" s="291"/>
      <c r="C20" s="291"/>
      <c r="D20" s="291"/>
      <c r="E20" s="291"/>
      <c r="F20" s="281"/>
      <c r="G20" s="281"/>
      <c r="H20" s="281"/>
      <c r="I20" s="281"/>
    </row>
    <row r="21" spans="1:9" s="293" customFormat="1" x14ac:dyDescent="0.3">
      <c r="A21" s="290" t="s">
        <v>108</v>
      </c>
      <c r="B21" s="291"/>
      <c r="C21" s="291"/>
      <c r="D21" s="291"/>
      <c r="E21" s="291"/>
      <c r="F21" s="281">
        <v>2501818</v>
      </c>
      <c r="G21" s="281">
        <v>1787002</v>
      </c>
      <c r="H21" s="281">
        <v>1435586</v>
      </c>
      <c r="I21" s="281"/>
    </row>
    <row r="22" spans="1:9" s="293" customFormat="1" x14ac:dyDescent="0.3">
      <c r="A22" s="290" t="s">
        <v>350</v>
      </c>
      <c r="B22" s="291"/>
      <c r="C22" s="291"/>
      <c r="D22" s="291"/>
      <c r="E22" s="291"/>
      <c r="F22" s="281"/>
      <c r="G22" s="281">
        <v>215367</v>
      </c>
      <c r="H22" s="281">
        <v>577275</v>
      </c>
      <c r="I22" s="281"/>
    </row>
    <row r="23" spans="1:9" s="301" customFormat="1" ht="16.2" thickBot="1" x14ac:dyDescent="0.35">
      <c r="A23" s="298" t="s">
        <v>0</v>
      </c>
      <c r="B23" s="299"/>
      <c r="C23" s="299"/>
      <c r="D23" s="299"/>
      <c r="E23" s="299"/>
      <c r="F23" s="300">
        <v>656148</v>
      </c>
      <c r="G23" s="300">
        <v>1833650</v>
      </c>
      <c r="H23" s="300">
        <v>2199870</v>
      </c>
      <c r="I23" s="300"/>
    </row>
    <row r="24" spans="1:9" x14ac:dyDescent="0.3">
      <c r="A24" s="152"/>
      <c r="B24" s="248"/>
      <c r="C24" s="248"/>
      <c r="D24" s="248"/>
      <c r="E24" s="248"/>
      <c r="F24" s="248"/>
      <c r="G24" s="248"/>
      <c r="H24" s="248"/>
      <c r="I24" s="248"/>
    </row>
    <row r="25" spans="1:9" ht="16.2" thickBot="1" x14ac:dyDescent="0.35">
      <c r="A25" s="152"/>
      <c r="B25" s="248"/>
      <c r="C25" s="248"/>
      <c r="D25" s="248"/>
      <c r="E25" s="248"/>
      <c r="F25" s="248"/>
      <c r="G25" s="248"/>
      <c r="H25" s="248"/>
      <c r="I25" s="248"/>
    </row>
    <row r="26" spans="1:9" s="303" customFormat="1" x14ac:dyDescent="0.3">
      <c r="A26" s="302" t="s">
        <v>118</v>
      </c>
      <c r="F26" s="304"/>
      <c r="G26" s="304"/>
      <c r="H26" s="304"/>
      <c r="I26" s="304"/>
    </row>
    <row r="27" spans="1:9" s="309" customFormat="1" x14ac:dyDescent="0.3">
      <c r="A27" s="305" t="s">
        <v>5</v>
      </c>
      <c r="B27" s="306"/>
      <c r="C27" s="306"/>
      <c r="D27" s="307"/>
      <c r="E27" s="307"/>
      <c r="F27" s="308">
        <v>157017</v>
      </c>
      <c r="G27" s="308">
        <v>101114</v>
      </c>
      <c r="H27" s="308">
        <v>87889</v>
      </c>
      <c r="I27" s="308"/>
    </row>
    <row r="28" spans="1:9" s="309" customFormat="1" x14ac:dyDescent="0.3">
      <c r="A28" s="305" t="s">
        <v>86</v>
      </c>
      <c r="B28" s="306"/>
      <c r="C28" s="306"/>
      <c r="D28" s="307"/>
      <c r="E28" s="307"/>
      <c r="F28" s="308">
        <v>5616100</v>
      </c>
      <c r="G28" s="308">
        <v>3940926</v>
      </c>
      <c r="H28" s="308">
        <v>2992253</v>
      </c>
      <c r="I28" s="308"/>
    </row>
    <row r="29" spans="1:9" s="309" customFormat="1" x14ac:dyDescent="0.3">
      <c r="A29" s="305" t="s">
        <v>87</v>
      </c>
      <c r="B29" s="306"/>
      <c r="C29" s="306"/>
      <c r="D29" s="307"/>
      <c r="E29" s="307"/>
      <c r="F29" s="308">
        <v>247734</v>
      </c>
      <c r="G29" s="308">
        <v>253583</v>
      </c>
      <c r="H29" s="308">
        <v>13200</v>
      </c>
      <c r="I29" s="308"/>
    </row>
    <row r="30" spans="1:9" s="309" customFormat="1" x14ac:dyDescent="0.3">
      <c r="A30" s="305" t="s">
        <v>88</v>
      </c>
      <c r="B30" s="306"/>
      <c r="C30" s="306"/>
      <c r="D30" s="307"/>
      <c r="E30" s="307"/>
      <c r="F30" s="308">
        <v>1516841</v>
      </c>
      <c r="G30" s="308">
        <v>1229678</v>
      </c>
      <c r="H30" s="308">
        <v>1083704</v>
      </c>
      <c r="I30" s="308"/>
    </row>
    <row r="31" spans="1:9" s="309" customFormat="1" x14ac:dyDescent="0.3">
      <c r="A31" s="305" t="s">
        <v>89</v>
      </c>
      <c r="B31" s="306"/>
      <c r="C31" s="306"/>
      <c r="D31" s="307"/>
      <c r="E31" s="307"/>
      <c r="F31" s="310">
        <f>SUM(F27:F30)</f>
        <v>7537692</v>
      </c>
      <c r="G31" s="310">
        <f>SUM(G27:G30)</f>
        <v>5525301</v>
      </c>
      <c r="H31" s="310">
        <f>SUM(H27:H30)</f>
        <v>4177046</v>
      </c>
      <c r="I31" s="310"/>
    </row>
    <row r="32" spans="1:9" s="309" customFormat="1" x14ac:dyDescent="0.3">
      <c r="A32" s="305"/>
      <c r="B32" s="306"/>
      <c r="C32" s="306"/>
      <c r="D32" s="307"/>
      <c r="E32" s="307"/>
      <c r="F32" s="308"/>
      <c r="G32" s="308"/>
      <c r="H32" s="308"/>
      <c r="I32" s="308"/>
    </row>
    <row r="33" spans="1:9" s="309" customFormat="1" x14ac:dyDescent="0.3">
      <c r="A33" s="305" t="s">
        <v>6</v>
      </c>
      <c r="B33" s="306"/>
      <c r="C33" s="306"/>
      <c r="D33" s="307"/>
      <c r="E33" s="307"/>
      <c r="F33" s="308">
        <v>8838137</v>
      </c>
      <c r="G33" s="308">
        <v>6523241</v>
      </c>
      <c r="H33" s="308">
        <v>4894663</v>
      </c>
      <c r="I33" s="308"/>
    </row>
    <row r="34" spans="1:9" s="309" customFormat="1" x14ac:dyDescent="0.3">
      <c r="A34" s="311"/>
      <c r="B34" s="306"/>
      <c r="C34" s="306"/>
      <c r="D34" s="306"/>
      <c r="E34" s="306"/>
      <c r="F34" s="312"/>
      <c r="G34" s="312"/>
      <c r="H34" s="312"/>
      <c r="I34" s="312"/>
    </row>
    <row r="35" spans="1:9" s="309" customFormat="1" x14ac:dyDescent="0.3">
      <c r="A35" s="305" t="s">
        <v>95</v>
      </c>
      <c r="B35" s="307"/>
      <c r="C35" s="307"/>
      <c r="D35" s="307"/>
      <c r="E35" s="307"/>
      <c r="F35" s="308">
        <v>2232982</v>
      </c>
      <c r="G35" s="308">
        <v>1923316</v>
      </c>
      <c r="H35" s="308">
        <v>1944139</v>
      </c>
      <c r="I35" s="308">
        <f>500000+50000+815996</f>
        <v>1365996</v>
      </c>
    </row>
    <row r="36" spans="1:9" s="309" customFormat="1" x14ac:dyDescent="0.3">
      <c r="A36" s="311"/>
      <c r="B36" s="306"/>
      <c r="C36" s="306"/>
      <c r="D36" s="306"/>
      <c r="E36" s="306"/>
      <c r="F36" s="312"/>
      <c r="G36" s="312"/>
      <c r="H36" s="312"/>
      <c r="I36" s="312"/>
    </row>
    <row r="37" spans="1:9" s="309" customFormat="1" x14ac:dyDescent="0.3">
      <c r="A37" s="311" t="s">
        <v>119</v>
      </c>
      <c r="B37" s="306"/>
      <c r="C37" s="306"/>
      <c r="D37" s="306"/>
      <c r="E37" s="306"/>
      <c r="F37" s="312"/>
      <c r="G37" s="312"/>
      <c r="H37" s="312"/>
      <c r="I37" s="312"/>
    </row>
    <row r="38" spans="1:9" s="309" customFormat="1" x14ac:dyDescent="0.3">
      <c r="A38" s="309" t="s">
        <v>109</v>
      </c>
      <c r="B38" s="307"/>
      <c r="C38" s="307"/>
      <c r="D38" s="307"/>
      <c r="E38" s="307"/>
      <c r="F38" s="308">
        <v>5695407</v>
      </c>
      <c r="G38" s="308">
        <v>3951771</v>
      </c>
      <c r="H38" s="308">
        <v>2620727</v>
      </c>
      <c r="I38" s="308"/>
    </row>
    <row r="39" spans="1:9" s="309" customFormat="1" x14ac:dyDescent="0.3">
      <c r="A39" s="305" t="s">
        <v>101</v>
      </c>
      <c r="B39" s="306"/>
      <c r="C39" s="306"/>
      <c r="D39" s="306"/>
      <c r="E39" s="306"/>
      <c r="F39" s="308">
        <v>5178159</v>
      </c>
      <c r="G39" s="308">
        <v>3708499</v>
      </c>
      <c r="H39" s="308">
        <v>2275655</v>
      </c>
      <c r="I39" s="308"/>
    </row>
    <row r="40" spans="1:9" s="309" customFormat="1" x14ac:dyDescent="0.3">
      <c r="A40" s="305" t="s">
        <v>100</v>
      </c>
      <c r="B40" s="306"/>
      <c r="C40" s="306"/>
      <c r="D40" s="306"/>
      <c r="E40" s="306"/>
      <c r="F40" s="308">
        <v>3395897</v>
      </c>
      <c r="G40" s="308">
        <v>2426897</v>
      </c>
      <c r="H40" s="308">
        <v>1455326</v>
      </c>
      <c r="I40" s="308"/>
    </row>
    <row r="41" spans="1:9" s="309" customFormat="1" x14ac:dyDescent="0.3">
      <c r="A41" s="305" t="s">
        <v>102</v>
      </c>
      <c r="B41" s="306"/>
      <c r="C41" s="306"/>
      <c r="D41" s="306"/>
      <c r="E41" s="306"/>
      <c r="F41" s="308">
        <v>1858402</v>
      </c>
      <c r="G41" s="308">
        <v>1304994</v>
      </c>
      <c r="H41" s="308">
        <v>823614</v>
      </c>
      <c r="I41" s="308"/>
    </row>
    <row r="42" spans="1:9" s="309" customFormat="1" x14ac:dyDescent="0.3">
      <c r="A42" s="305" t="s">
        <v>103</v>
      </c>
      <c r="B42" s="306"/>
      <c r="C42" s="306"/>
      <c r="D42" s="306"/>
      <c r="E42" s="306"/>
      <c r="F42" s="313">
        <f>F40+F41</f>
        <v>5254299</v>
      </c>
      <c r="G42" s="313">
        <f>G40+G41</f>
        <v>3731891</v>
      </c>
      <c r="H42" s="313">
        <f>H40+H41</f>
        <v>2278940</v>
      </c>
      <c r="I42" s="313"/>
    </row>
    <row r="43" spans="1:9" s="309" customFormat="1" x14ac:dyDescent="0.3">
      <c r="A43" s="305" t="s">
        <v>104</v>
      </c>
      <c r="B43" s="306"/>
      <c r="C43" s="306"/>
      <c r="D43" s="306"/>
      <c r="E43" s="306"/>
      <c r="F43" s="310">
        <f>F39-F42</f>
        <v>-76140</v>
      </c>
      <c r="G43" s="310">
        <f>G39-G42</f>
        <v>-23392</v>
      </c>
      <c r="H43" s="310">
        <f>H39-H42</f>
        <v>-3285</v>
      </c>
      <c r="I43" s="310"/>
    </row>
    <row r="44" spans="1:9" s="309" customFormat="1" x14ac:dyDescent="0.3">
      <c r="A44" s="305"/>
      <c r="B44" s="306"/>
      <c r="C44" s="306"/>
      <c r="D44" s="306"/>
      <c r="E44" s="306"/>
      <c r="F44" s="308"/>
      <c r="G44" s="308"/>
      <c r="H44" s="308"/>
      <c r="I44" s="308"/>
    </row>
    <row r="45" spans="1:9" s="309" customFormat="1" x14ac:dyDescent="0.3">
      <c r="A45" s="305" t="s">
        <v>108</v>
      </c>
      <c r="B45" s="306"/>
      <c r="C45" s="306"/>
      <c r="D45" s="306"/>
      <c r="E45" s="306"/>
      <c r="F45" s="308">
        <v>368355</v>
      </c>
      <c r="G45" s="308">
        <v>238199</v>
      </c>
      <c r="H45" s="308">
        <v>176473</v>
      </c>
      <c r="I45" s="308"/>
    </row>
    <row r="46" spans="1:9" s="309" customFormat="1" x14ac:dyDescent="0.3">
      <c r="A46" s="305" t="s">
        <v>350</v>
      </c>
      <c r="B46" s="306"/>
      <c r="C46" s="306"/>
      <c r="D46" s="306"/>
      <c r="E46" s="306"/>
      <c r="F46" s="308"/>
      <c r="G46" s="308">
        <v>66505</v>
      </c>
      <c r="H46" s="308">
        <v>129554</v>
      </c>
      <c r="I46" s="308"/>
    </row>
    <row r="47" spans="1:9" s="317" customFormat="1" ht="16.2" thickBot="1" x14ac:dyDescent="0.35">
      <c r="A47" s="314" t="s">
        <v>0</v>
      </c>
      <c r="B47" s="315"/>
      <c r="C47" s="315"/>
      <c r="D47" s="315"/>
      <c r="E47" s="315"/>
      <c r="F47" s="316">
        <v>208042</v>
      </c>
      <c r="G47" s="316">
        <v>281620</v>
      </c>
      <c r="H47" s="316">
        <v>296829</v>
      </c>
      <c r="I47" s="316"/>
    </row>
    <row r="48" spans="1:9" x14ac:dyDescent="0.3">
      <c r="A48" s="152"/>
      <c r="B48" s="248"/>
      <c r="C48" s="248"/>
      <c r="D48" s="248"/>
      <c r="E48" s="248"/>
      <c r="F48" s="248"/>
      <c r="G48" s="248"/>
      <c r="H48" s="248"/>
      <c r="I48" s="248"/>
    </row>
    <row r="49" spans="1:9" x14ac:dyDescent="0.3">
      <c r="B49" s="248"/>
      <c r="C49" s="248"/>
      <c r="D49" s="248"/>
      <c r="E49" s="248"/>
      <c r="F49" s="248"/>
      <c r="G49" s="248"/>
      <c r="H49" s="248"/>
      <c r="I49" s="248"/>
    </row>
    <row r="50" spans="1:9" s="318" customFormat="1" x14ac:dyDescent="0.3">
      <c r="B50" s="319"/>
      <c r="C50" s="319"/>
      <c r="D50" s="319"/>
      <c r="E50" s="319"/>
      <c r="F50" s="319"/>
      <c r="G50" s="319"/>
      <c r="I50" s="319"/>
    </row>
    <row r="51" spans="1:9" x14ac:dyDescent="0.3">
      <c r="B51" s="248"/>
      <c r="C51" s="248"/>
      <c r="D51" s="248"/>
      <c r="E51" s="248"/>
      <c r="F51" s="248"/>
      <c r="G51" s="248"/>
      <c r="I51" s="248"/>
    </row>
    <row r="52" spans="1:9" x14ac:dyDescent="0.3">
      <c r="A52" s="320" t="s">
        <v>80</v>
      </c>
    </row>
    <row r="53" spans="1:9" x14ac:dyDescent="0.3">
      <c r="A53" s="320"/>
    </row>
    <row r="54" spans="1:9" x14ac:dyDescent="0.3">
      <c r="A54" s="499" t="s">
        <v>1487</v>
      </c>
      <c r="D54" s="211" t="s">
        <v>176</v>
      </c>
    </row>
    <row r="55" spans="1:9" x14ac:dyDescent="0.3">
      <c r="A55" s="152" t="s">
        <v>1463</v>
      </c>
    </row>
    <row r="56" spans="1:9" ht="9" customHeight="1" thickBot="1" x14ac:dyDescent="0.35"/>
    <row r="57" spans="1:9" x14ac:dyDescent="0.3">
      <c r="A57" s="212" t="s">
        <v>1204</v>
      </c>
      <c r="B57" s="443">
        <f>B1</f>
        <v>27391</v>
      </c>
      <c r="C57" s="443">
        <f t="shared" ref="C57:I57" si="0">C1</f>
        <v>27027</v>
      </c>
      <c r="D57" s="443">
        <f t="shared" si="0"/>
        <v>26663</v>
      </c>
      <c r="E57" s="443">
        <f t="shared" si="0"/>
        <v>26298</v>
      </c>
      <c r="F57" s="443">
        <f t="shared" si="0"/>
        <v>25933</v>
      </c>
      <c r="G57" s="443">
        <f t="shared" si="0"/>
        <v>25571</v>
      </c>
      <c r="H57" s="443">
        <f t="shared" si="0"/>
        <v>25200</v>
      </c>
      <c r="I57" s="444">
        <f t="shared" si="0"/>
        <v>24836</v>
      </c>
    </row>
    <row r="58" spans="1:9" x14ac:dyDescent="0.3">
      <c r="A58" s="214" t="s">
        <v>5</v>
      </c>
      <c r="B58" s="575">
        <f>1513636+9138663</f>
        <v>10652299</v>
      </c>
      <c r="C58" s="575">
        <f>1465359+1400435</f>
        <v>2865794</v>
      </c>
      <c r="D58" s="575">
        <v>3044367</v>
      </c>
      <c r="E58" s="575">
        <v>4563077</v>
      </c>
      <c r="F58" s="575">
        <v>812474</v>
      </c>
      <c r="G58" s="575">
        <f t="shared" ref="G58:H62" si="1">G3+G27</f>
        <v>787932</v>
      </c>
      <c r="H58" s="575">
        <f t="shared" si="1"/>
        <v>597667</v>
      </c>
      <c r="I58" s="2024"/>
    </row>
    <row r="59" spans="1:9" x14ac:dyDescent="0.3">
      <c r="A59" s="214" t="s">
        <v>86</v>
      </c>
      <c r="B59" s="446">
        <v>71530651</v>
      </c>
      <c r="C59" s="446">
        <v>74474461</v>
      </c>
      <c r="D59" s="446">
        <v>88148480</v>
      </c>
      <c r="E59" s="446">
        <v>84079023</v>
      </c>
      <c r="F59" s="446">
        <v>51609294</v>
      </c>
      <c r="G59" s="446">
        <f t="shared" si="1"/>
        <v>31835043</v>
      </c>
      <c r="H59" s="446">
        <f t="shared" si="1"/>
        <v>30200981</v>
      </c>
      <c r="I59" s="2024"/>
    </row>
    <row r="60" spans="1:9" x14ac:dyDescent="0.3">
      <c r="A60" s="214" t="s">
        <v>87</v>
      </c>
      <c r="B60" s="446">
        <v>2855185</v>
      </c>
      <c r="C60" s="446">
        <v>2298348</v>
      </c>
      <c r="D60" s="446">
        <v>2942252</v>
      </c>
      <c r="E60" s="446">
        <v>998631</v>
      </c>
      <c r="F60" s="446">
        <v>1041065</v>
      </c>
      <c r="G60" s="446">
        <f t="shared" si="1"/>
        <v>1646773</v>
      </c>
      <c r="H60" s="446">
        <f t="shared" si="1"/>
        <v>32690</v>
      </c>
      <c r="I60" s="2024"/>
    </row>
    <row r="61" spans="1:9" x14ac:dyDescent="0.3">
      <c r="A61" s="214" t="s">
        <v>280</v>
      </c>
      <c r="B61" s="446">
        <v>50669865</v>
      </c>
      <c r="C61" s="446">
        <v>49756778</v>
      </c>
      <c r="D61" s="446">
        <v>17411780</v>
      </c>
      <c r="E61" s="446">
        <v>11676048</v>
      </c>
      <c r="F61" s="446">
        <v>10254310</v>
      </c>
      <c r="G61" s="446">
        <f t="shared" si="1"/>
        <v>8606603</v>
      </c>
      <c r="H61" s="446">
        <f t="shared" si="1"/>
        <v>9150900</v>
      </c>
      <c r="I61" s="2024"/>
    </row>
    <row r="62" spans="1:9" x14ac:dyDescent="0.3">
      <c r="A62" s="214" t="s">
        <v>281</v>
      </c>
      <c r="B62" s="235">
        <f>SUM(B58:B61)</f>
        <v>135708000</v>
      </c>
      <c r="C62" s="235">
        <f>SUM(C58:C61)</f>
        <v>129395381</v>
      </c>
      <c r="D62" s="235">
        <f>SUM(D58:D61)</f>
        <v>111546879</v>
      </c>
      <c r="E62" s="235">
        <f>SUM(E58:E61)</f>
        <v>101316779</v>
      </c>
      <c r="F62" s="235">
        <f>SUM(F58:F61)</f>
        <v>63717143</v>
      </c>
      <c r="G62" s="235">
        <f t="shared" si="1"/>
        <v>42876351</v>
      </c>
      <c r="H62" s="235">
        <f t="shared" si="1"/>
        <v>39982238</v>
      </c>
      <c r="I62" s="2025"/>
    </row>
    <row r="63" spans="1:9" x14ac:dyDescent="0.3">
      <c r="A63" s="214"/>
      <c r="B63" s="446"/>
      <c r="C63" s="446"/>
      <c r="D63" s="446"/>
      <c r="E63" s="446"/>
      <c r="F63" s="446"/>
      <c r="G63" s="446"/>
      <c r="H63" s="446"/>
      <c r="I63" s="236"/>
    </row>
    <row r="64" spans="1:9" x14ac:dyDescent="0.3">
      <c r="A64" s="214" t="s">
        <v>96</v>
      </c>
      <c r="B64" s="446">
        <v>14370980</v>
      </c>
      <c r="C64" s="446">
        <v>13717274</v>
      </c>
      <c r="D64" s="446">
        <v>11287396</v>
      </c>
      <c r="E64" s="446">
        <v>4128225</v>
      </c>
      <c r="F64" s="446">
        <v>0</v>
      </c>
      <c r="G64" s="2020"/>
      <c r="H64" s="2020"/>
      <c r="I64" s="2026"/>
    </row>
    <row r="65" spans="1:9" x14ac:dyDescent="0.3">
      <c r="A65" s="214"/>
      <c r="B65" s="446"/>
      <c r="C65" s="446"/>
      <c r="D65" s="446"/>
      <c r="E65" s="446"/>
      <c r="F65" s="446"/>
      <c r="G65" s="446"/>
      <c r="H65" s="446"/>
      <c r="I65" s="236"/>
    </row>
    <row r="66" spans="1:9" x14ac:dyDescent="0.3">
      <c r="A66" s="214" t="s">
        <v>317</v>
      </c>
      <c r="B66" s="446">
        <v>1580594</v>
      </c>
      <c r="C66" s="446">
        <v>1605172</v>
      </c>
      <c r="D66" s="446">
        <v>1674114</v>
      </c>
      <c r="E66" s="446">
        <v>1312772</v>
      </c>
      <c r="F66" s="446">
        <v>1191235</v>
      </c>
      <c r="G66" s="446">
        <v>1191235</v>
      </c>
      <c r="H66" s="2020"/>
      <c r="I66" s="2026"/>
    </row>
    <row r="67" spans="1:9" x14ac:dyDescent="0.3">
      <c r="A67" s="214" t="s">
        <v>348</v>
      </c>
      <c r="B67" s="446">
        <f t="shared" ref="B67:G67" si="2">B68-SUM(B62:B66)</f>
        <v>20678648</v>
      </c>
      <c r="C67" s="446">
        <f t="shared" si="2"/>
        <v>13121425</v>
      </c>
      <c r="D67" s="446">
        <f t="shared" si="2"/>
        <v>14976060</v>
      </c>
      <c r="E67" s="446">
        <f t="shared" si="2"/>
        <v>16556156</v>
      </c>
      <c r="F67" s="446">
        <f t="shared" si="2"/>
        <v>9337577</v>
      </c>
      <c r="G67" s="446">
        <f t="shared" si="2"/>
        <v>6344435</v>
      </c>
      <c r="H67" s="2020"/>
      <c r="I67" s="2026"/>
    </row>
    <row r="68" spans="1:9" x14ac:dyDescent="0.3">
      <c r="A68" s="214" t="s">
        <v>282</v>
      </c>
      <c r="B68" s="235">
        <v>172338222</v>
      </c>
      <c r="C68" s="235">
        <v>157839252</v>
      </c>
      <c r="D68" s="235">
        <v>139484449</v>
      </c>
      <c r="E68" s="235">
        <v>123313932</v>
      </c>
      <c r="F68" s="235">
        <v>74245955</v>
      </c>
      <c r="G68" s="235">
        <f>G9+G33</f>
        <v>50412021</v>
      </c>
      <c r="H68" s="235">
        <f>H9+H33</f>
        <v>44692215</v>
      </c>
      <c r="I68" s="2025"/>
    </row>
    <row r="69" spans="1:9" x14ac:dyDescent="0.3">
      <c r="A69" s="214"/>
      <c r="B69" s="446"/>
      <c r="C69" s="446"/>
      <c r="D69" s="446"/>
      <c r="E69" s="446"/>
      <c r="F69" s="446"/>
      <c r="G69" s="446"/>
      <c r="H69" s="446"/>
      <c r="I69" s="237"/>
    </row>
    <row r="70" spans="1:9" hidden="1" outlineLevel="1" x14ac:dyDescent="0.3">
      <c r="A70" s="238" t="s">
        <v>90</v>
      </c>
      <c r="B70" s="446"/>
      <c r="C70" s="446"/>
      <c r="D70" s="446"/>
      <c r="E70" s="446"/>
      <c r="F70" s="446"/>
      <c r="G70" s="446"/>
      <c r="H70" s="446"/>
      <c r="I70" s="237"/>
    </row>
    <row r="71" spans="1:9" hidden="1" outlineLevel="1" x14ac:dyDescent="0.3">
      <c r="A71" s="214" t="s">
        <v>68</v>
      </c>
      <c r="B71" s="423"/>
      <c r="C71" s="423"/>
      <c r="D71" s="423"/>
      <c r="E71" s="423"/>
      <c r="F71" s="423">
        <v>26161437</v>
      </c>
      <c r="G71" s="423"/>
      <c r="H71" s="423"/>
      <c r="I71" s="240"/>
    </row>
    <row r="72" spans="1:9" hidden="1" outlineLevel="1" x14ac:dyDescent="0.3">
      <c r="A72" s="214" t="s">
        <v>69</v>
      </c>
      <c r="B72" s="423"/>
      <c r="C72" s="423"/>
      <c r="D72" s="423"/>
      <c r="E72" s="423"/>
      <c r="F72" s="423">
        <v>15488334</v>
      </c>
      <c r="G72" s="423"/>
      <c r="H72" s="423"/>
      <c r="I72" s="240"/>
    </row>
    <row r="73" spans="1:9" hidden="1" outlineLevel="1" x14ac:dyDescent="0.3">
      <c r="A73" s="214" t="s">
        <v>70</v>
      </c>
      <c r="B73" s="423"/>
      <c r="C73" s="423"/>
      <c r="D73" s="423"/>
      <c r="E73" s="423"/>
      <c r="F73" s="423">
        <v>1042588</v>
      </c>
      <c r="G73" s="423"/>
      <c r="H73" s="423"/>
      <c r="I73" s="240"/>
    </row>
    <row r="74" spans="1:9" hidden="1" outlineLevel="1" x14ac:dyDescent="0.3">
      <c r="A74" s="214" t="s">
        <v>92</v>
      </c>
      <c r="B74" s="423"/>
      <c r="C74" s="423"/>
      <c r="D74" s="423"/>
      <c r="E74" s="423"/>
      <c r="F74" s="423">
        <v>331728</v>
      </c>
      <c r="G74" s="423"/>
      <c r="H74" s="423"/>
      <c r="I74" s="240"/>
    </row>
    <row r="75" spans="1:9" hidden="1" outlineLevel="1" x14ac:dyDescent="0.3">
      <c r="A75" s="214" t="s">
        <v>93</v>
      </c>
      <c r="B75" s="423"/>
      <c r="C75" s="423"/>
      <c r="D75" s="423"/>
      <c r="E75" s="423"/>
      <c r="F75" s="423">
        <v>127814</v>
      </c>
      <c r="G75" s="423"/>
      <c r="H75" s="423"/>
      <c r="I75" s="240"/>
    </row>
    <row r="76" spans="1:9" hidden="1" outlineLevel="1" x14ac:dyDescent="0.3">
      <c r="A76" s="214" t="s">
        <v>71</v>
      </c>
      <c r="B76" s="423"/>
      <c r="C76" s="423"/>
      <c r="D76" s="423"/>
      <c r="E76" s="423"/>
      <c r="F76" s="423">
        <v>940979</v>
      </c>
      <c r="G76" s="423"/>
      <c r="H76" s="423"/>
      <c r="I76" s="240"/>
    </row>
    <row r="77" spans="1:9" hidden="1" outlineLevel="1" x14ac:dyDescent="0.3">
      <c r="A77" s="214"/>
      <c r="B77" s="423"/>
      <c r="C77" s="423"/>
      <c r="D77" s="423"/>
      <c r="E77" s="423"/>
      <c r="F77" s="423"/>
      <c r="G77" s="423"/>
      <c r="H77" s="423"/>
      <c r="I77" s="240"/>
    </row>
    <row r="78" spans="1:9" hidden="1" outlineLevel="1" x14ac:dyDescent="0.3">
      <c r="A78" s="214"/>
      <c r="B78" s="423"/>
      <c r="C78" s="423"/>
      <c r="D78" s="423"/>
      <c r="E78" s="423"/>
      <c r="F78" s="423"/>
      <c r="G78" s="423"/>
      <c r="H78" s="423"/>
      <c r="I78" s="240"/>
    </row>
    <row r="79" spans="1:9" hidden="1" outlineLevel="1" x14ac:dyDescent="0.3">
      <c r="A79" s="214"/>
      <c r="B79" s="423"/>
      <c r="C79" s="423"/>
      <c r="D79" s="423"/>
      <c r="E79" s="423"/>
      <c r="F79" s="423"/>
      <c r="G79" s="423"/>
      <c r="H79" s="423"/>
      <c r="I79" s="240"/>
    </row>
    <row r="80" spans="1:9" hidden="1" outlineLevel="1" x14ac:dyDescent="0.3">
      <c r="A80" s="214" t="s">
        <v>81</v>
      </c>
      <c r="B80" s="423"/>
      <c r="C80" s="423"/>
      <c r="D80" s="423"/>
      <c r="E80" s="423"/>
      <c r="F80" s="423"/>
      <c r="G80" s="423"/>
      <c r="H80" s="423"/>
      <c r="I80" s="240"/>
    </row>
    <row r="81" spans="1:9" hidden="1" outlineLevel="1" x14ac:dyDescent="0.3">
      <c r="A81" s="214" t="s">
        <v>82</v>
      </c>
      <c r="B81" s="423"/>
      <c r="C81" s="423"/>
      <c r="D81" s="423"/>
      <c r="E81" s="423"/>
      <c r="F81" s="423">
        <v>2980103</v>
      </c>
      <c r="G81" s="423"/>
      <c r="H81" s="423"/>
      <c r="I81" s="240"/>
    </row>
    <row r="82" spans="1:9" hidden="1" outlineLevel="1" x14ac:dyDescent="0.3">
      <c r="A82" s="214" t="s">
        <v>83</v>
      </c>
      <c r="B82" s="423"/>
      <c r="C82" s="423"/>
      <c r="D82" s="423"/>
      <c r="E82" s="423"/>
      <c r="F82" s="423">
        <v>207103</v>
      </c>
      <c r="G82" s="423"/>
      <c r="H82" s="423"/>
      <c r="I82" s="240"/>
    </row>
    <row r="83" spans="1:9" s="321" customFormat="1" hidden="1" outlineLevel="1" x14ac:dyDescent="0.3">
      <c r="A83" s="241" t="s">
        <v>94</v>
      </c>
      <c r="B83" s="619"/>
      <c r="C83" s="619"/>
      <c r="D83" s="619"/>
      <c r="E83" s="619"/>
      <c r="F83" s="619">
        <f>SUM(F71:F77)-SUM(F80:F82)</f>
        <v>40905674</v>
      </c>
      <c r="G83" s="619"/>
      <c r="H83" s="619"/>
      <c r="I83" s="243"/>
    </row>
    <row r="84" spans="1:9" hidden="1" outlineLevel="1" x14ac:dyDescent="0.3">
      <c r="A84" s="238" t="s">
        <v>91</v>
      </c>
      <c r="B84" s="423"/>
      <c r="C84" s="423"/>
      <c r="D84" s="423"/>
      <c r="E84" s="423"/>
      <c r="F84" s="423"/>
      <c r="G84" s="423"/>
      <c r="H84" s="423"/>
      <c r="I84" s="240"/>
    </row>
    <row r="85" spans="1:9" hidden="1" outlineLevel="1" x14ac:dyDescent="0.3">
      <c r="A85" s="214" t="s">
        <v>68</v>
      </c>
      <c r="B85" s="423"/>
      <c r="C85" s="423"/>
      <c r="D85" s="423"/>
      <c r="E85" s="423"/>
      <c r="F85" s="423">
        <v>3597302</v>
      </c>
      <c r="G85" s="423"/>
      <c r="H85" s="423"/>
      <c r="I85" s="240"/>
    </row>
    <row r="86" spans="1:9" hidden="1" outlineLevel="1" x14ac:dyDescent="0.3">
      <c r="A86" s="214" t="s">
        <v>69</v>
      </c>
      <c r="B86" s="423"/>
      <c r="C86" s="423"/>
      <c r="D86" s="423"/>
      <c r="E86" s="423"/>
      <c r="F86" s="423">
        <v>1994623</v>
      </c>
      <c r="G86" s="423"/>
      <c r="H86" s="423"/>
      <c r="I86" s="240"/>
    </row>
    <row r="87" spans="1:9" hidden="1" outlineLevel="1" x14ac:dyDescent="0.3">
      <c r="A87" s="214" t="s">
        <v>70</v>
      </c>
      <c r="B87" s="423"/>
      <c r="C87" s="423"/>
      <c r="D87" s="423"/>
      <c r="E87" s="423"/>
      <c r="F87" s="423">
        <v>867064</v>
      </c>
      <c r="G87" s="423"/>
      <c r="H87" s="423"/>
      <c r="I87" s="240"/>
    </row>
    <row r="88" spans="1:9" hidden="1" outlineLevel="1" x14ac:dyDescent="0.3">
      <c r="A88" s="214" t="s">
        <v>85</v>
      </c>
      <c r="B88" s="423"/>
      <c r="C88" s="423"/>
      <c r="D88" s="423"/>
      <c r="E88" s="423"/>
      <c r="F88" s="423">
        <f>6808</f>
        <v>6808</v>
      </c>
      <c r="G88" s="423"/>
      <c r="H88" s="423"/>
      <c r="I88" s="240"/>
    </row>
    <row r="89" spans="1:9" hidden="1" outlineLevel="1" x14ac:dyDescent="0.3">
      <c r="A89" s="214"/>
      <c r="B89" s="423"/>
      <c r="C89" s="423"/>
      <c r="D89" s="423"/>
      <c r="E89" s="423"/>
      <c r="F89" s="423"/>
      <c r="G89" s="423"/>
      <c r="H89" s="423"/>
      <c r="I89" s="240"/>
    </row>
    <row r="90" spans="1:9" hidden="1" outlineLevel="1" x14ac:dyDescent="0.3">
      <c r="A90" s="214"/>
      <c r="B90" s="423"/>
      <c r="C90" s="423"/>
      <c r="D90" s="423"/>
      <c r="E90" s="423"/>
      <c r="F90" s="423"/>
      <c r="G90" s="423"/>
      <c r="H90" s="423"/>
      <c r="I90" s="240"/>
    </row>
    <row r="91" spans="1:9" hidden="1" outlineLevel="1" x14ac:dyDescent="0.3">
      <c r="A91" s="214" t="s">
        <v>81</v>
      </c>
      <c r="B91" s="423"/>
      <c r="C91" s="423"/>
      <c r="D91" s="423"/>
      <c r="E91" s="423"/>
      <c r="F91" s="423"/>
      <c r="G91" s="423"/>
      <c r="H91" s="423"/>
      <c r="I91" s="240"/>
    </row>
    <row r="92" spans="1:9" hidden="1" outlineLevel="1" x14ac:dyDescent="0.3">
      <c r="A92" s="214" t="s">
        <v>82</v>
      </c>
      <c r="B92" s="423"/>
      <c r="C92" s="423"/>
      <c r="D92" s="423"/>
      <c r="E92" s="423"/>
      <c r="F92" s="423">
        <v>1091924</v>
      </c>
      <c r="G92" s="423"/>
      <c r="H92" s="423"/>
      <c r="I92" s="240"/>
    </row>
    <row r="93" spans="1:9" hidden="1" outlineLevel="1" x14ac:dyDescent="0.3">
      <c r="A93" s="214" t="s">
        <v>83</v>
      </c>
      <c r="B93" s="423"/>
      <c r="C93" s="423"/>
      <c r="D93" s="423"/>
      <c r="E93" s="423"/>
      <c r="F93" s="423">
        <v>97297</v>
      </c>
      <c r="G93" s="423"/>
      <c r="H93" s="423"/>
      <c r="I93" s="240"/>
    </row>
    <row r="94" spans="1:9" hidden="1" outlineLevel="1" x14ac:dyDescent="0.3">
      <c r="A94" s="241" t="s">
        <v>94</v>
      </c>
      <c r="B94" s="619"/>
      <c r="C94" s="619"/>
      <c r="D94" s="619"/>
      <c r="E94" s="619"/>
      <c r="F94" s="619">
        <f>SUM(F85:F88)-SUM(F91:F93)</f>
        <v>5276576</v>
      </c>
      <c r="G94" s="619"/>
      <c r="H94" s="619"/>
      <c r="I94" s="243"/>
    </row>
    <row r="95" spans="1:9" hidden="1" outlineLevel="1" x14ac:dyDescent="0.3">
      <c r="A95" s="214"/>
      <c r="B95" s="423"/>
      <c r="C95" s="423"/>
      <c r="D95" s="423"/>
      <c r="E95" s="423"/>
      <c r="F95" s="423"/>
      <c r="G95" s="423"/>
      <c r="H95" s="423"/>
      <c r="I95" s="240"/>
    </row>
    <row r="96" spans="1:9" hidden="1" outlineLevel="1" x14ac:dyDescent="0.3">
      <c r="A96" s="214"/>
      <c r="B96" s="423"/>
      <c r="C96" s="423"/>
      <c r="D96" s="423"/>
      <c r="E96" s="423"/>
      <c r="F96" s="423"/>
      <c r="G96" s="423"/>
      <c r="H96" s="423"/>
      <c r="I96" s="240"/>
    </row>
    <row r="97" spans="1:9" hidden="1" outlineLevel="1" x14ac:dyDescent="0.3">
      <c r="A97" s="214"/>
      <c r="B97" s="423"/>
      <c r="C97" s="423"/>
      <c r="D97" s="423"/>
      <c r="E97" s="423"/>
      <c r="F97" s="423"/>
      <c r="G97" s="423"/>
      <c r="H97" s="423"/>
      <c r="I97" s="240"/>
    </row>
    <row r="98" spans="1:9" collapsed="1" x14ac:dyDescent="0.3">
      <c r="A98" s="214" t="s">
        <v>68</v>
      </c>
      <c r="B98" s="578">
        <v>72761097</v>
      </c>
      <c r="C98" s="578">
        <v>61675768</v>
      </c>
      <c r="D98" s="578">
        <v>60275018</v>
      </c>
      <c r="E98" s="578">
        <v>52990625</v>
      </c>
      <c r="F98" s="578">
        <v>29758739</v>
      </c>
      <c r="G98" s="2027"/>
      <c r="H98" s="2027"/>
      <c r="I98" s="2028"/>
    </row>
    <row r="99" spans="1:9" x14ac:dyDescent="0.3">
      <c r="A99" s="214" t="s">
        <v>69</v>
      </c>
      <c r="B99" s="578">
        <v>21704867</v>
      </c>
      <c r="C99" s="578">
        <v>21281980</v>
      </c>
      <c r="D99" s="578">
        <v>23839397</v>
      </c>
      <c r="E99" s="578">
        <v>25516268</v>
      </c>
      <c r="F99" s="578">
        <v>17482957</v>
      </c>
      <c r="G99" s="2027"/>
      <c r="H99" s="2027"/>
      <c r="I99" s="2028"/>
    </row>
    <row r="100" spans="1:9" x14ac:dyDescent="0.3">
      <c r="A100" s="214" t="s">
        <v>135</v>
      </c>
      <c r="B100" s="578">
        <f>B101-SUM(B98:B99)</f>
        <v>7641358</v>
      </c>
      <c r="C100" s="578">
        <f>C101-SUM(C98:C99)</f>
        <v>7179186</v>
      </c>
      <c r="D100" s="578">
        <f>D101-SUM(D98:D99)</f>
        <v>9788743</v>
      </c>
      <c r="E100" s="578">
        <f>E101-SUM(E98:E99)</f>
        <v>9563903</v>
      </c>
      <c r="F100" s="578">
        <f>F101-SUM(F98:F99)</f>
        <v>7170441</v>
      </c>
      <c r="G100" s="2029"/>
      <c r="H100" s="2029"/>
      <c r="I100" s="2030"/>
    </row>
    <row r="101" spans="1:9" x14ac:dyDescent="0.3">
      <c r="A101" s="214" t="s">
        <v>136</v>
      </c>
      <c r="B101" s="235">
        <v>102107322</v>
      </c>
      <c r="C101" s="235">
        <v>90136934</v>
      </c>
      <c r="D101" s="235">
        <v>93903158</v>
      </c>
      <c r="E101" s="235">
        <v>88070796</v>
      </c>
      <c r="F101" s="235">
        <v>54412137</v>
      </c>
      <c r="G101" s="2027"/>
      <c r="H101" s="2027"/>
      <c r="I101" s="2028"/>
    </row>
    <row r="102" spans="1:9" x14ac:dyDescent="0.3">
      <c r="A102" s="214"/>
      <c r="B102" s="578"/>
      <c r="C102" s="578"/>
      <c r="D102" s="578"/>
      <c r="E102" s="578"/>
      <c r="F102" s="808"/>
      <c r="G102" s="808"/>
      <c r="H102" s="808"/>
      <c r="I102" s="809"/>
    </row>
    <row r="103" spans="1:9" hidden="1" outlineLevel="1" x14ac:dyDescent="0.3">
      <c r="A103" s="214"/>
      <c r="B103" s="423"/>
      <c r="C103" s="423"/>
      <c r="D103" s="423"/>
      <c r="E103" s="423"/>
      <c r="F103" s="423"/>
      <c r="G103" s="423"/>
      <c r="H103" s="423"/>
      <c r="I103" s="240"/>
    </row>
    <row r="104" spans="1:9" s="285" customFormat="1" hidden="1" outlineLevel="1" x14ac:dyDescent="0.3">
      <c r="A104" s="245" t="s">
        <v>111</v>
      </c>
      <c r="B104" s="621">
        <v>5500000</v>
      </c>
      <c r="C104" s="621">
        <v>5500000</v>
      </c>
      <c r="D104" s="621">
        <v>4000000</v>
      </c>
      <c r="E104" s="621">
        <v>4000000</v>
      </c>
      <c r="F104" s="621">
        <v>2500000</v>
      </c>
      <c r="G104" s="621">
        <v>2000000</v>
      </c>
      <c r="H104" s="621">
        <v>2000000</v>
      </c>
      <c r="I104" s="246"/>
    </row>
    <row r="105" spans="1:9" s="285" customFormat="1" hidden="1" outlineLevel="1" x14ac:dyDescent="0.3">
      <c r="A105" s="245" t="s">
        <v>112</v>
      </c>
      <c r="B105" s="621">
        <v>2500000</v>
      </c>
      <c r="C105" s="621">
        <v>2500000</v>
      </c>
      <c r="D105" s="621">
        <v>2500000</v>
      </c>
      <c r="E105" s="621">
        <v>2000000</v>
      </c>
      <c r="F105" s="621">
        <v>1000000</v>
      </c>
      <c r="G105" s="621">
        <v>1000000</v>
      </c>
      <c r="H105" s="621">
        <v>500000</v>
      </c>
      <c r="I105" s="246"/>
    </row>
    <row r="106" spans="1:9" s="285" customFormat="1" hidden="1" outlineLevel="1" x14ac:dyDescent="0.3">
      <c r="A106" s="245" t="s">
        <v>113</v>
      </c>
      <c r="B106" s="621">
        <v>20601250</v>
      </c>
      <c r="C106" s="621">
        <v>20601250</v>
      </c>
      <c r="D106" s="621">
        <v>9851250</v>
      </c>
      <c r="E106" s="621">
        <v>7851250</v>
      </c>
      <c r="F106" s="621">
        <v>1851250</v>
      </c>
      <c r="G106" s="621">
        <f>301250+50000</f>
        <v>351250</v>
      </c>
      <c r="H106" s="621">
        <f>301250+50000</f>
        <v>351250</v>
      </c>
      <c r="I106" s="246"/>
    </row>
    <row r="107" spans="1:9" s="285" customFormat="1" hidden="1" outlineLevel="1" x14ac:dyDescent="0.3">
      <c r="A107" s="245" t="s">
        <v>114</v>
      </c>
      <c r="B107" s="621">
        <v>41629650</v>
      </c>
      <c r="C107" s="621">
        <v>39101068</v>
      </c>
      <c r="D107" s="621">
        <v>29230041</v>
      </c>
      <c r="E107" s="621">
        <v>21391886</v>
      </c>
      <c r="F107" s="621">
        <v>14482568</v>
      </c>
      <c r="G107" s="621">
        <f>9113144+873316</f>
        <v>9986460</v>
      </c>
      <c r="H107" s="621">
        <f>9207670+1394139</f>
        <v>10601809</v>
      </c>
      <c r="I107" s="246"/>
    </row>
    <row r="108" spans="1:9" collapsed="1" x14ac:dyDescent="0.3">
      <c r="A108" s="214" t="s">
        <v>445</v>
      </c>
      <c r="B108" s="446">
        <v>70230900</v>
      </c>
      <c r="C108" s="446">
        <v>67702318</v>
      </c>
      <c r="D108" s="446">
        <v>45581291</v>
      </c>
      <c r="E108" s="446">
        <v>35243136</v>
      </c>
      <c r="F108" s="446">
        <v>19833818</v>
      </c>
      <c r="G108" s="446">
        <f>G11+G35</f>
        <v>13337710</v>
      </c>
      <c r="H108" s="446">
        <f>H11+H35</f>
        <v>13453059</v>
      </c>
      <c r="I108" s="237">
        <f>I11+I35</f>
        <v>9523860</v>
      </c>
    </row>
    <row r="109" spans="1:9" ht="16.2" thickBot="1" x14ac:dyDescent="0.35">
      <c r="A109" s="214" t="s">
        <v>1259</v>
      </c>
      <c r="B109" s="581">
        <f>B101+B108</f>
        <v>172338222</v>
      </c>
      <c r="C109" s="581">
        <f t="shared" ref="C109:F109" si="3">C101+C108</f>
        <v>157839252</v>
      </c>
      <c r="D109" s="581">
        <f t="shared" si="3"/>
        <v>139484449</v>
      </c>
      <c r="E109" s="581">
        <f t="shared" si="3"/>
        <v>123313932</v>
      </c>
      <c r="F109" s="581">
        <f t="shared" si="3"/>
        <v>74245955</v>
      </c>
      <c r="G109" s="581">
        <f>G68</f>
        <v>50412021</v>
      </c>
      <c r="H109" s="581">
        <f>H68</f>
        <v>44692215</v>
      </c>
      <c r="I109" s="2031"/>
    </row>
    <row r="110" spans="1:9" s="309" customFormat="1" ht="16.2" hidden="1" outlineLevel="1" thickTop="1" x14ac:dyDescent="0.3">
      <c r="A110" s="305" t="s">
        <v>20</v>
      </c>
      <c r="B110" s="805">
        <f>B68-B109</f>
        <v>0</v>
      </c>
      <c r="C110" s="805">
        <f t="shared" ref="C110:H110" si="4">C68-C109</f>
        <v>0</v>
      </c>
      <c r="D110" s="805">
        <f t="shared" si="4"/>
        <v>0</v>
      </c>
      <c r="E110" s="805">
        <f t="shared" si="4"/>
        <v>0</v>
      </c>
      <c r="F110" s="805">
        <f t="shared" si="4"/>
        <v>0</v>
      </c>
      <c r="G110" s="805">
        <f t="shared" si="4"/>
        <v>0</v>
      </c>
      <c r="H110" s="805">
        <f t="shared" si="4"/>
        <v>0</v>
      </c>
      <c r="I110" s="806"/>
    </row>
    <row r="111" spans="1:9" ht="16.2" collapsed="1" thickTop="1" x14ac:dyDescent="0.3">
      <c r="A111" s="214"/>
      <c r="B111" s="423"/>
      <c r="C111" s="423"/>
      <c r="D111" s="423"/>
      <c r="E111" s="423"/>
      <c r="F111" s="423"/>
      <c r="G111" s="423"/>
      <c r="H111" s="423"/>
      <c r="I111" s="240"/>
    </row>
    <row r="112" spans="1:9" s="322" customFormat="1" x14ac:dyDescent="0.3">
      <c r="A112" s="214" t="s">
        <v>283</v>
      </c>
      <c r="B112" s="575">
        <v>79100000</v>
      </c>
      <c r="C112" s="575">
        <v>73300000</v>
      </c>
      <c r="D112" s="575">
        <v>69500000</v>
      </c>
      <c r="E112" s="575">
        <v>52500000</v>
      </c>
      <c r="F112" s="575">
        <v>32400000</v>
      </c>
      <c r="G112" s="575">
        <v>23400000</v>
      </c>
      <c r="H112" s="575">
        <v>19900000</v>
      </c>
      <c r="I112" s="247">
        <v>17300000</v>
      </c>
    </row>
    <row r="113" spans="1:12" ht="16.2" thickBot="1" x14ac:dyDescent="0.35">
      <c r="A113" s="807"/>
      <c r="B113" s="623"/>
      <c r="C113" s="623"/>
      <c r="D113" s="623"/>
      <c r="E113" s="623"/>
      <c r="F113" s="623"/>
      <c r="G113" s="623"/>
      <c r="H113" s="623"/>
      <c r="I113" s="219"/>
    </row>
    <row r="114" spans="1:12" x14ac:dyDescent="0.3">
      <c r="A114" s="804" t="s">
        <v>3706</v>
      </c>
      <c r="B114" s="397"/>
      <c r="C114" s="397"/>
      <c r="D114" s="397"/>
      <c r="E114" s="397"/>
      <c r="F114" s="397"/>
      <c r="G114" s="397"/>
      <c r="H114" s="397"/>
      <c r="I114" s="220"/>
    </row>
    <row r="115" spans="1:12" x14ac:dyDescent="0.3">
      <c r="B115" s="227"/>
    </row>
    <row r="116" spans="1:12" s="372" customFormat="1" x14ac:dyDescent="0.3">
      <c r="B116" s="624"/>
    </row>
    <row r="118" spans="1:12" x14ac:dyDescent="0.3">
      <c r="A118" s="499" t="s">
        <v>1488</v>
      </c>
      <c r="D118" s="211" t="s">
        <v>176</v>
      </c>
      <c r="L118" s="211" t="s">
        <v>176</v>
      </c>
    </row>
    <row r="119" spans="1:12" x14ac:dyDescent="0.3">
      <c r="A119" s="152" t="s">
        <v>1464</v>
      </c>
      <c r="I119" s="220"/>
    </row>
    <row r="120" spans="1:12" ht="9" customHeight="1" thickBot="1" x14ac:dyDescent="0.35">
      <c r="I120" s="220"/>
    </row>
    <row r="121" spans="1:12" x14ac:dyDescent="0.3">
      <c r="A121" s="212" t="s">
        <v>1204</v>
      </c>
      <c r="B121" s="797">
        <f t="shared" ref="B121:H121" si="5">B1</f>
        <v>27391</v>
      </c>
      <c r="C121" s="797">
        <f t="shared" si="5"/>
        <v>27027</v>
      </c>
      <c r="D121" s="797">
        <f t="shared" si="5"/>
        <v>26663</v>
      </c>
      <c r="E121" s="797">
        <f t="shared" si="5"/>
        <v>26298</v>
      </c>
      <c r="F121" s="797">
        <f t="shared" si="5"/>
        <v>25933</v>
      </c>
      <c r="G121" s="797">
        <f t="shared" si="5"/>
        <v>25571</v>
      </c>
      <c r="H121" s="798">
        <f t="shared" si="5"/>
        <v>25200</v>
      </c>
      <c r="I121" s="810"/>
    </row>
    <row r="122" spans="1:12" x14ac:dyDescent="0.3">
      <c r="A122" s="214" t="s">
        <v>109</v>
      </c>
      <c r="B122" s="821">
        <v>60996616</v>
      </c>
      <c r="C122" s="821">
        <v>50371841</v>
      </c>
      <c r="D122" s="821">
        <v>57950178</v>
      </c>
      <c r="E122" s="821">
        <v>66455532</v>
      </c>
      <c r="F122" s="821">
        <v>45086095</v>
      </c>
      <c r="G122" s="821">
        <f t="shared" ref="G122:H125" si="6">G14+G38</f>
        <v>28776137</v>
      </c>
      <c r="H122" s="822">
        <f t="shared" si="6"/>
        <v>22619727</v>
      </c>
      <c r="I122" s="589"/>
    </row>
    <row r="123" spans="1:12" x14ac:dyDescent="0.3">
      <c r="A123" s="214" t="s">
        <v>101</v>
      </c>
      <c r="B123" s="814">
        <v>60573729</v>
      </c>
      <c r="C123" s="814">
        <v>52929257</v>
      </c>
      <c r="D123" s="814">
        <v>59627050</v>
      </c>
      <c r="E123" s="814">
        <v>60867206</v>
      </c>
      <c r="F123" s="814">
        <v>39172512</v>
      </c>
      <c r="G123" s="814">
        <f t="shared" si="6"/>
        <v>25257868</v>
      </c>
      <c r="H123" s="800">
        <f t="shared" si="6"/>
        <v>22616792</v>
      </c>
      <c r="I123" s="784"/>
    </row>
    <row r="124" spans="1:12" x14ac:dyDescent="0.3">
      <c r="A124" s="214" t="s">
        <v>100</v>
      </c>
      <c r="B124" s="814">
        <v>47119846</v>
      </c>
      <c r="C124" s="814">
        <v>32835798</v>
      </c>
      <c r="D124" s="814">
        <v>36987030</v>
      </c>
      <c r="E124" s="814">
        <v>40783230</v>
      </c>
      <c r="F124" s="814">
        <v>26857814</v>
      </c>
      <c r="G124" s="814">
        <f t="shared" si="6"/>
        <v>16360879</v>
      </c>
      <c r="H124" s="800">
        <f t="shared" si="6"/>
        <v>14798354</v>
      </c>
      <c r="I124" s="784"/>
    </row>
    <row r="125" spans="1:12" x14ac:dyDescent="0.3">
      <c r="A125" s="214" t="s">
        <v>102</v>
      </c>
      <c r="B125" s="814">
        <v>20345744</v>
      </c>
      <c r="C125" s="814">
        <v>16774167</v>
      </c>
      <c r="D125" s="814">
        <v>18355872</v>
      </c>
      <c r="E125" s="814">
        <v>18674749</v>
      </c>
      <c r="F125" s="814">
        <v>12645023</v>
      </c>
      <c r="G125" s="814">
        <f t="shared" si="6"/>
        <v>9049739</v>
      </c>
      <c r="H125" s="800">
        <f t="shared" si="6"/>
        <v>7250612</v>
      </c>
      <c r="I125" s="784"/>
    </row>
    <row r="126" spans="1:12" x14ac:dyDescent="0.3">
      <c r="A126" s="214" t="s">
        <v>103</v>
      </c>
      <c r="B126" s="815">
        <f t="shared" ref="B126:H126" si="7">B124+B125</f>
        <v>67465590</v>
      </c>
      <c r="C126" s="815">
        <f t="shared" si="7"/>
        <v>49609965</v>
      </c>
      <c r="D126" s="815">
        <f t="shared" si="7"/>
        <v>55342902</v>
      </c>
      <c r="E126" s="815">
        <f t="shared" si="7"/>
        <v>59457979</v>
      </c>
      <c r="F126" s="815">
        <f t="shared" si="7"/>
        <v>39502837</v>
      </c>
      <c r="G126" s="815">
        <f t="shared" si="7"/>
        <v>25410618</v>
      </c>
      <c r="H126" s="816">
        <f t="shared" si="7"/>
        <v>22048966</v>
      </c>
      <c r="I126" s="784"/>
      <c r="L126" s="211" t="s">
        <v>176</v>
      </c>
    </row>
    <row r="127" spans="1:12" x14ac:dyDescent="0.3">
      <c r="A127" s="214" t="s">
        <v>1465</v>
      </c>
      <c r="B127" s="817">
        <f t="shared" ref="B127:H127" si="8">B123-B126</f>
        <v>-6891861</v>
      </c>
      <c r="C127" s="817">
        <f t="shared" si="8"/>
        <v>3319292</v>
      </c>
      <c r="D127" s="817">
        <f t="shared" si="8"/>
        <v>4284148</v>
      </c>
      <c r="E127" s="817">
        <f t="shared" si="8"/>
        <v>1409227</v>
      </c>
      <c r="F127" s="817">
        <f t="shared" si="8"/>
        <v>-330325</v>
      </c>
      <c r="G127" s="817">
        <f t="shared" si="8"/>
        <v>-152750</v>
      </c>
      <c r="H127" s="818">
        <f t="shared" si="8"/>
        <v>567826</v>
      </c>
      <c r="I127" s="784"/>
    </row>
    <row r="128" spans="1:12" x14ac:dyDescent="0.3">
      <c r="A128" s="214"/>
      <c r="B128" s="814"/>
      <c r="C128" s="814"/>
      <c r="D128" s="814"/>
      <c r="E128" s="814"/>
      <c r="F128" s="814"/>
      <c r="G128" s="814"/>
      <c r="H128" s="800"/>
      <c r="I128" s="784"/>
    </row>
    <row r="129" spans="1:9" x14ac:dyDescent="0.3">
      <c r="A129" s="214" t="s">
        <v>108</v>
      </c>
      <c r="B129" s="814">
        <v>7879820</v>
      </c>
      <c r="C129" s="814">
        <v>7282890</v>
      </c>
      <c r="D129" s="814">
        <v>6644074</v>
      </c>
      <c r="E129" s="814">
        <v>4973628</v>
      </c>
      <c r="F129" s="814">
        <v>2870173</v>
      </c>
      <c r="G129" s="814">
        <f>G21+G45</f>
        <v>2025201</v>
      </c>
      <c r="H129" s="800">
        <f>H21+H45</f>
        <v>1612059</v>
      </c>
      <c r="I129" s="784"/>
    </row>
    <row r="130" spans="1:9" x14ac:dyDescent="0.3">
      <c r="A130" s="214" t="s">
        <v>1466</v>
      </c>
      <c r="B130" s="819">
        <v>-1340415</v>
      </c>
      <c r="C130" s="819">
        <v>929851</v>
      </c>
      <c r="D130" s="819">
        <v>928586</v>
      </c>
      <c r="E130" s="819">
        <v>719359</v>
      </c>
      <c r="F130" s="819">
        <v>-301166</v>
      </c>
      <c r="G130" s="819">
        <f>G46+G22</f>
        <v>281872</v>
      </c>
      <c r="H130" s="820">
        <f>H46+H22</f>
        <v>706829</v>
      </c>
      <c r="I130" s="811"/>
    </row>
    <row r="131" spans="1:9" x14ac:dyDescent="0.3">
      <c r="A131" s="214" t="s">
        <v>63</v>
      </c>
      <c r="B131" s="814">
        <v>791985</v>
      </c>
      <c r="C131" s="814">
        <v>1008000</v>
      </c>
      <c r="D131" s="814">
        <v>111168</v>
      </c>
      <c r="E131" s="814">
        <v>0</v>
      </c>
      <c r="F131" s="814">
        <v>0</v>
      </c>
      <c r="G131" s="814">
        <v>0</v>
      </c>
      <c r="H131" s="800">
        <v>0</v>
      </c>
      <c r="I131" s="784"/>
    </row>
    <row r="132" spans="1:9" s="152" customFormat="1" ht="16.2" thickBot="1" x14ac:dyDescent="0.35">
      <c r="A132" s="214" t="s">
        <v>99</v>
      </c>
      <c r="B132" s="710">
        <v>2528582</v>
      </c>
      <c r="C132" s="710">
        <v>9871027</v>
      </c>
      <c r="D132" s="710">
        <v>8984346</v>
      </c>
      <c r="E132" s="710">
        <v>5943912</v>
      </c>
      <c r="F132" s="710">
        <v>1805901</v>
      </c>
      <c r="G132" s="710">
        <f>G23+G47</f>
        <v>2115270</v>
      </c>
      <c r="H132" s="711">
        <f>H23+H47</f>
        <v>2496699</v>
      </c>
      <c r="I132" s="812"/>
    </row>
    <row r="133" spans="1:9" ht="8.1" customHeight="1" thickTop="1" thickBot="1" x14ac:dyDescent="0.35">
      <c r="A133" s="224"/>
      <c r="B133" s="323"/>
      <c r="C133" s="323"/>
      <c r="D133" s="323"/>
      <c r="E133" s="323"/>
      <c r="F133" s="323"/>
      <c r="G133" s="323"/>
      <c r="H133" s="324"/>
      <c r="I133" s="813"/>
    </row>
    <row r="134" spans="1:9" x14ac:dyDescent="0.3">
      <c r="A134" s="804" t="s">
        <v>3707</v>
      </c>
      <c r="B134" s="397"/>
      <c r="C134" s="397"/>
      <c r="D134" s="397"/>
      <c r="E134" s="397"/>
      <c r="F134" s="397"/>
      <c r="G134" s="397"/>
      <c r="H134" s="397"/>
      <c r="I134" s="220"/>
    </row>
    <row r="135" spans="1:9" x14ac:dyDescent="0.3">
      <c r="B135" s="230"/>
    </row>
    <row r="136" spans="1:9" s="372" customFormat="1" x14ac:dyDescent="0.3">
      <c r="B136" s="624"/>
    </row>
    <row r="138" spans="1:9" x14ac:dyDescent="0.3">
      <c r="A138" s="499" t="s">
        <v>1489</v>
      </c>
      <c r="D138" s="211" t="s">
        <v>176</v>
      </c>
    </row>
    <row r="139" spans="1:9" x14ac:dyDescent="0.3">
      <c r="A139" s="152" t="s">
        <v>1467</v>
      </c>
      <c r="I139" s="220"/>
    </row>
    <row r="140" spans="1:9" ht="9" customHeight="1" thickBot="1" x14ac:dyDescent="0.35">
      <c r="I140" s="220"/>
    </row>
    <row r="141" spans="1:9" x14ac:dyDescent="0.3">
      <c r="A141" s="212" t="s">
        <v>1204</v>
      </c>
      <c r="B141" s="797">
        <f t="shared" ref="B141:I141" si="9">B1</f>
        <v>27391</v>
      </c>
      <c r="C141" s="797">
        <f t="shared" si="9"/>
        <v>27027</v>
      </c>
      <c r="D141" s="797">
        <f t="shared" si="9"/>
        <v>26663</v>
      </c>
      <c r="E141" s="797">
        <f t="shared" si="9"/>
        <v>26298</v>
      </c>
      <c r="F141" s="797">
        <f t="shared" si="9"/>
        <v>25933</v>
      </c>
      <c r="G141" s="797">
        <f t="shared" si="9"/>
        <v>25571</v>
      </c>
      <c r="H141" s="797">
        <f t="shared" si="9"/>
        <v>25200</v>
      </c>
      <c r="I141" s="798">
        <f t="shared" si="9"/>
        <v>24836</v>
      </c>
    </row>
    <row r="142" spans="1:9" x14ac:dyDescent="0.3">
      <c r="A142" s="214" t="s">
        <v>1469</v>
      </c>
      <c r="B142" s="825">
        <f t="shared" ref="B142:G142" si="10">C154</f>
        <v>67702318</v>
      </c>
      <c r="C142" s="825">
        <f t="shared" si="10"/>
        <v>45581291</v>
      </c>
      <c r="D142" s="825">
        <f t="shared" si="10"/>
        <v>35243136</v>
      </c>
      <c r="E142" s="825">
        <f t="shared" si="10"/>
        <v>19833818</v>
      </c>
      <c r="F142" s="825">
        <f t="shared" si="10"/>
        <v>13337710</v>
      </c>
      <c r="G142" s="825">
        <f t="shared" si="10"/>
        <v>13453059</v>
      </c>
      <c r="H142" s="825">
        <f>I154</f>
        <v>9523860</v>
      </c>
      <c r="I142" s="2032"/>
    </row>
    <row r="143" spans="1:9" x14ac:dyDescent="0.3">
      <c r="A143" s="214" t="s">
        <v>97</v>
      </c>
      <c r="B143" s="824">
        <v>0</v>
      </c>
      <c r="C143" s="799">
        <v>9750000</v>
      </c>
      <c r="D143" s="799">
        <v>1500000</v>
      </c>
      <c r="E143" s="799">
        <v>0</v>
      </c>
      <c r="F143" s="799">
        <v>0</v>
      </c>
      <c r="G143" s="799">
        <v>0</v>
      </c>
      <c r="H143" s="799">
        <v>0</v>
      </c>
      <c r="I143" s="2033"/>
    </row>
    <row r="144" spans="1:9" x14ac:dyDescent="0.3">
      <c r="A144" s="214" t="s">
        <v>98</v>
      </c>
      <c r="B144" s="824">
        <v>0</v>
      </c>
      <c r="C144" s="799">
        <v>1000000</v>
      </c>
      <c r="D144" s="799">
        <v>500000</v>
      </c>
      <c r="E144" s="799">
        <v>6000000</v>
      </c>
      <c r="F144" s="799">
        <v>1500000</v>
      </c>
      <c r="G144" s="799">
        <v>0</v>
      </c>
      <c r="H144" s="799">
        <v>0</v>
      </c>
      <c r="I144" s="2033"/>
    </row>
    <row r="145" spans="1:9" x14ac:dyDescent="0.3">
      <c r="A145" s="214" t="s">
        <v>99</v>
      </c>
      <c r="B145" s="824">
        <f t="shared" ref="B145:G145" si="11">B132</f>
        <v>2528582</v>
      </c>
      <c r="C145" s="799">
        <f t="shared" si="11"/>
        <v>9871027</v>
      </c>
      <c r="D145" s="799">
        <f t="shared" si="11"/>
        <v>8984346</v>
      </c>
      <c r="E145" s="799">
        <f t="shared" si="11"/>
        <v>5943912</v>
      </c>
      <c r="F145" s="799">
        <f t="shared" si="11"/>
        <v>1805901</v>
      </c>
      <c r="G145" s="799">
        <f t="shared" si="11"/>
        <v>2115270</v>
      </c>
      <c r="H145" s="799">
        <f>H132</f>
        <v>2496699</v>
      </c>
      <c r="I145" s="2033"/>
    </row>
    <row r="146" spans="1:9" x14ac:dyDescent="0.3">
      <c r="A146" s="214" t="s">
        <v>1468</v>
      </c>
      <c r="B146" s="824">
        <v>0</v>
      </c>
      <c r="C146" s="799">
        <f>C104-D104</f>
        <v>1500000</v>
      </c>
      <c r="D146" s="799">
        <f>D104-E104</f>
        <v>0</v>
      </c>
      <c r="E146" s="799">
        <f>E104-F104</f>
        <v>1500000</v>
      </c>
      <c r="F146" s="799">
        <f>F104-G104</f>
        <v>500000</v>
      </c>
      <c r="G146" s="799">
        <f>G104-H104</f>
        <v>0</v>
      </c>
      <c r="H146" s="799">
        <v>0</v>
      </c>
      <c r="I146" s="2033"/>
    </row>
    <row r="147" spans="1:9" x14ac:dyDescent="0.3">
      <c r="A147" s="214" t="s">
        <v>116</v>
      </c>
      <c r="B147" s="824">
        <v>0</v>
      </c>
      <c r="C147" s="799">
        <v>0</v>
      </c>
      <c r="D147" s="799">
        <f>D105-E105</f>
        <v>500000</v>
      </c>
      <c r="E147" s="799">
        <f>E105-F105</f>
        <v>1000000</v>
      </c>
      <c r="F147" s="799">
        <f>F105-G105</f>
        <v>0</v>
      </c>
      <c r="G147" s="799">
        <f>G105-H105</f>
        <v>500000</v>
      </c>
      <c r="H147" s="799">
        <v>0</v>
      </c>
      <c r="I147" s="2033"/>
    </row>
    <row r="148" spans="1:9" x14ac:dyDescent="0.3">
      <c r="A148" s="214" t="s">
        <v>117</v>
      </c>
      <c r="B148" s="824">
        <v>0</v>
      </c>
      <c r="C148" s="799">
        <v>0</v>
      </c>
      <c r="D148" s="799">
        <v>-1146191</v>
      </c>
      <c r="E148" s="799">
        <f>1306083-340677</f>
        <v>965406</v>
      </c>
      <c r="F148" s="799">
        <f>1505757-132760</f>
        <v>1372997</v>
      </c>
      <c r="G148" s="799">
        <f>-2150741-387176</f>
        <v>-2537917</v>
      </c>
      <c r="H148" s="799">
        <f>1608414+225031</f>
        <v>1833445</v>
      </c>
      <c r="I148" s="2033"/>
    </row>
    <row r="149" spans="1:9" x14ac:dyDescent="0.3">
      <c r="A149" s="214" t="s">
        <v>152</v>
      </c>
      <c r="B149" s="824">
        <v>0</v>
      </c>
      <c r="C149" s="799">
        <v>0</v>
      </c>
      <c r="D149" s="799">
        <v>0</v>
      </c>
      <c r="E149" s="799">
        <v>0</v>
      </c>
      <c r="F149" s="799">
        <v>1317210</v>
      </c>
      <c r="G149" s="799">
        <v>0</v>
      </c>
      <c r="H149" s="799">
        <v>0</v>
      </c>
      <c r="I149" s="2033"/>
    </row>
    <row r="150" spans="1:9" x14ac:dyDescent="0.3">
      <c r="A150" s="214" t="s">
        <v>153</v>
      </c>
      <c r="B150" s="824">
        <v>0</v>
      </c>
      <c r="C150" s="799">
        <v>0</v>
      </c>
      <c r="D150" s="799">
        <v>0</v>
      </c>
      <c r="E150" s="799">
        <v>0</v>
      </c>
      <c r="F150" s="799">
        <v>0</v>
      </c>
      <c r="G150" s="799">
        <v>31640</v>
      </c>
      <c r="H150" s="799">
        <v>12670</v>
      </c>
      <c r="I150" s="2033"/>
    </row>
    <row r="151" spans="1:9" x14ac:dyDescent="0.3">
      <c r="A151" s="214" t="s">
        <v>154</v>
      </c>
      <c r="B151" s="824">
        <v>0</v>
      </c>
      <c r="C151" s="799">
        <v>0</v>
      </c>
      <c r="D151" s="799">
        <v>0</v>
      </c>
      <c r="E151" s="799">
        <v>0</v>
      </c>
      <c r="F151" s="799">
        <v>0</v>
      </c>
      <c r="G151" s="799">
        <f>246371+84733</f>
        <v>331104</v>
      </c>
      <c r="H151" s="799">
        <f>143318+56283</f>
        <v>199601</v>
      </c>
      <c r="I151" s="2033"/>
    </row>
    <row r="152" spans="1:9" x14ac:dyDescent="0.3">
      <c r="A152" s="214" t="s">
        <v>273</v>
      </c>
      <c r="B152" s="824">
        <v>0</v>
      </c>
      <c r="C152" s="799">
        <v>0</v>
      </c>
      <c r="D152" s="799">
        <v>0</v>
      </c>
      <c r="E152" s="799">
        <v>0</v>
      </c>
      <c r="F152" s="799">
        <v>0</v>
      </c>
      <c r="G152" s="799">
        <v>-55446</v>
      </c>
      <c r="H152" s="799">
        <v>-13216</v>
      </c>
      <c r="I152" s="2033"/>
    </row>
    <row r="153" spans="1:9" x14ac:dyDescent="0.3">
      <c r="A153" s="214" t="s">
        <v>155</v>
      </c>
      <c r="B153" s="824">
        <v>0</v>
      </c>
      <c r="C153" s="799">
        <v>0</v>
      </c>
      <c r="D153" s="799">
        <v>0</v>
      </c>
      <c r="E153" s="799">
        <v>0</v>
      </c>
      <c r="F153" s="799">
        <v>0</v>
      </c>
      <c r="G153" s="799">
        <v>-500000</v>
      </c>
      <c r="H153" s="799">
        <v>-600000</v>
      </c>
      <c r="I153" s="2033"/>
    </row>
    <row r="154" spans="1:9" ht="16.2" thickBot="1" x14ac:dyDescent="0.35">
      <c r="A154" s="214" t="s">
        <v>1470</v>
      </c>
      <c r="B154" s="710">
        <f t="shared" ref="B154:C154" si="12">SUM(B142:B153)</f>
        <v>70230900</v>
      </c>
      <c r="C154" s="710">
        <f t="shared" si="12"/>
        <v>67702318</v>
      </c>
      <c r="D154" s="710">
        <f>SUM(D142:D153)</f>
        <v>45581291</v>
      </c>
      <c r="E154" s="710">
        <f t="shared" ref="E154:H154" si="13">SUM(E142:E153)</f>
        <v>35243136</v>
      </c>
      <c r="F154" s="710">
        <f t="shared" si="13"/>
        <v>19833818</v>
      </c>
      <c r="G154" s="710">
        <f t="shared" si="13"/>
        <v>13337710</v>
      </c>
      <c r="H154" s="710">
        <f t="shared" si="13"/>
        <v>13453059</v>
      </c>
      <c r="I154" s="711">
        <f>I108</f>
        <v>9523860</v>
      </c>
    </row>
    <row r="155" spans="1:9" ht="9" customHeight="1" thickTop="1" thickBot="1" x14ac:dyDescent="0.35">
      <c r="A155" s="224"/>
      <c r="B155" s="325"/>
      <c r="C155" s="325"/>
      <c r="D155" s="325"/>
      <c r="E155" s="325"/>
      <c r="F155" s="325"/>
      <c r="G155" s="325"/>
      <c r="H155" s="325"/>
      <c r="I155" s="326"/>
    </row>
    <row r="156" spans="1:9" x14ac:dyDescent="0.3">
      <c r="A156" s="804" t="s">
        <v>3707</v>
      </c>
      <c r="B156" s="397"/>
      <c r="C156" s="397"/>
      <c r="D156" s="397"/>
      <c r="E156" s="397"/>
      <c r="F156" s="397"/>
      <c r="G156" s="397"/>
      <c r="H156" s="397"/>
      <c r="I156" s="220"/>
    </row>
    <row r="157" spans="1:9" ht="9" customHeight="1" x14ac:dyDescent="0.3">
      <c r="A157" s="220"/>
      <c r="B157" s="823"/>
      <c r="C157" s="823"/>
      <c r="D157" s="823"/>
      <c r="E157" s="823"/>
      <c r="F157" s="823"/>
      <c r="G157" s="823"/>
      <c r="H157" s="823"/>
      <c r="I157" s="823"/>
    </row>
    <row r="159" spans="1:9" s="285" customFormat="1" ht="16.2" thickBot="1" x14ac:dyDescent="0.35">
      <c r="A159" s="285" t="s">
        <v>20</v>
      </c>
      <c r="B159" s="327">
        <f t="shared" ref="B159:H159" si="14">B154-B108</f>
        <v>0</v>
      </c>
      <c r="C159" s="327">
        <f t="shared" si="14"/>
        <v>0</v>
      </c>
      <c r="D159" s="327">
        <f t="shared" si="14"/>
        <v>0</v>
      </c>
      <c r="E159" s="327">
        <f t="shared" si="14"/>
        <v>0</v>
      </c>
      <c r="F159" s="327">
        <f t="shared" si="14"/>
        <v>0</v>
      </c>
      <c r="G159" s="327">
        <f t="shared" si="14"/>
        <v>0</v>
      </c>
      <c r="H159" s="327">
        <f t="shared" si="14"/>
        <v>0</v>
      </c>
      <c r="I159" s="328"/>
    </row>
    <row r="160" spans="1:9" x14ac:dyDescent="0.3">
      <c r="D160" s="329" t="s">
        <v>275</v>
      </c>
      <c r="E160" s="330"/>
      <c r="F160" s="330"/>
      <c r="G160" s="331">
        <f>I154</f>
        <v>9523860</v>
      </c>
    </row>
    <row r="161" spans="1:9" x14ac:dyDescent="0.3">
      <c r="D161" s="332" t="s">
        <v>277</v>
      </c>
      <c r="E161" s="333"/>
      <c r="F161" s="333"/>
      <c r="G161" s="334">
        <f>SUM(B145:H145)</f>
        <v>33745737</v>
      </c>
    </row>
    <row r="162" spans="1:9" x14ac:dyDescent="0.3">
      <c r="D162" s="332" t="s">
        <v>276</v>
      </c>
      <c r="E162" s="333"/>
      <c r="F162" s="333"/>
      <c r="G162" s="334">
        <f>SUM(B143:H143)+SUM(B144:H144)+SUM(B146:H146)+SUM(B147:H147)+SUM(B153:H153)</f>
        <v>24650000</v>
      </c>
    </row>
    <row r="163" spans="1:9" x14ac:dyDescent="0.3">
      <c r="D163" s="332" t="s">
        <v>278</v>
      </c>
      <c r="E163" s="333"/>
      <c r="F163" s="333"/>
      <c r="G163" s="334">
        <f>SUM(B148:H148)</f>
        <v>487740</v>
      </c>
    </row>
    <row r="164" spans="1:9" x14ac:dyDescent="0.3">
      <c r="D164" s="332" t="s">
        <v>152</v>
      </c>
      <c r="E164" s="333"/>
      <c r="F164" s="333"/>
      <c r="G164" s="334">
        <f>F149</f>
        <v>1317210</v>
      </c>
    </row>
    <row r="165" spans="1:9" x14ac:dyDescent="0.3">
      <c r="D165" s="332" t="s">
        <v>279</v>
      </c>
      <c r="E165" s="333"/>
      <c r="F165" s="333"/>
      <c r="G165" s="334">
        <f>SUM(B150:H152)</f>
        <v>506353</v>
      </c>
    </row>
    <row r="166" spans="1:9" x14ac:dyDescent="0.3">
      <c r="D166" s="332"/>
      <c r="E166" s="333"/>
      <c r="F166" s="333"/>
      <c r="G166" s="335"/>
    </row>
    <row r="167" spans="1:9" x14ac:dyDescent="0.3">
      <c r="D167" s="332" t="s">
        <v>236</v>
      </c>
      <c r="E167" s="333"/>
      <c r="F167" s="333"/>
      <c r="G167" s="336">
        <f>SUM(G160:G166)</f>
        <v>70230900</v>
      </c>
    </row>
    <row r="168" spans="1:9" ht="16.2" thickBot="1" x14ac:dyDescent="0.35">
      <c r="D168" s="337" t="s">
        <v>20</v>
      </c>
      <c r="E168" s="338"/>
      <c r="F168" s="338"/>
      <c r="G168" s="339">
        <f>G167-B154</f>
        <v>0</v>
      </c>
    </row>
    <row r="169" spans="1:9" s="372" customFormat="1" x14ac:dyDescent="0.3">
      <c r="B169" s="624"/>
    </row>
    <row r="170" spans="1:9" x14ac:dyDescent="0.3">
      <c r="F170" s="278"/>
      <c r="G170" s="340"/>
    </row>
    <row r="171" spans="1:9" x14ac:dyDescent="0.3">
      <c r="A171" s="499" t="s">
        <v>1490</v>
      </c>
      <c r="D171" s="211" t="s">
        <v>176</v>
      </c>
    </row>
    <row r="172" spans="1:9" x14ac:dyDescent="0.3">
      <c r="A172" s="152" t="s">
        <v>1471</v>
      </c>
      <c r="I172" s="220"/>
    </row>
    <row r="173" spans="1:9" ht="9" customHeight="1" thickBot="1" x14ac:dyDescent="0.35">
      <c r="I173" s="220"/>
    </row>
    <row r="174" spans="1:9" x14ac:dyDescent="0.3">
      <c r="A174" s="803"/>
      <c r="B174" s="443">
        <f>B141</f>
        <v>27391</v>
      </c>
      <c r="C174" s="443">
        <f t="shared" ref="C174:H174" si="15">C141</f>
        <v>27027</v>
      </c>
      <c r="D174" s="443">
        <f t="shared" si="15"/>
        <v>26663</v>
      </c>
      <c r="E174" s="443">
        <f>E141</f>
        <v>26298</v>
      </c>
      <c r="F174" s="443">
        <f>F141</f>
        <v>25933</v>
      </c>
      <c r="G174" s="443">
        <f>G141</f>
        <v>25571</v>
      </c>
      <c r="H174" s="444">
        <f t="shared" si="15"/>
        <v>25200</v>
      </c>
      <c r="I174" s="810"/>
    </row>
    <row r="175" spans="1:9" x14ac:dyDescent="0.3">
      <c r="A175" s="214" t="s">
        <v>110</v>
      </c>
      <c r="B175" s="508">
        <f t="shared" ref="B175:H175" si="16">B122/(AVERAGE(B108:C108))</f>
        <v>0.88443693092116504</v>
      </c>
      <c r="C175" s="508">
        <f t="shared" si="16"/>
        <v>0.88930501852214117</v>
      </c>
      <c r="D175" s="508">
        <f t="shared" si="16"/>
        <v>1.4339768347507122</v>
      </c>
      <c r="E175" s="508">
        <f t="shared" si="16"/>
        <v>2.4131883546065382</v>
      </c>
      <c r="F175" s="508">
        <f t="shared" si="16"/>
        <v>2.7183610595206829</v>
      </c>
      <c r="G175" s="508">
        <f t="shared" si="16"/>
        <v>2.1482128415201518</v>
      </c>
      <c r="H175" s="216">
        <f t="shared" si="16"/>
        <v>1.9689086252164618</v>
      </c>
      <c r="I175" s="826"/>
    </row>
    <row r="176" spans="1:9" x14ac:dyDescent="0.3">
      <c r="A176" s="214"/>
      <c r="B176" s="220"/>
      <c r="C176" s="220"/>
      <c r="D176" s="220"/>
      <c r="E176" s="220"/>
      <c r="F176" s="220"/>
      <c r="G176" s="220"/>
      <c r="H176" s="223"/>
      <c r="I176" s="397"/>
    </row>
    <row r="177" spans="1:13" x14ac:dyDescent="0.3">
      <c r="A177" s="214" t="s">
        <v>105</v>
      </c>
      <c r="B177" s="1793">
        <f>B124/B123</f>
        <v>0.77789244244811151</v>
      </c>
      <c r="C177" s="1793">
        <f t="shared" ref="C177:H177" si="17">C124/C123</f>
        <v>0.62037141386662575</v>
      </c>
      <c r="D177" s="1793">
        <f t="shared" si="17"/>
        <v>0.62030622007964509</v>
      </c>
      <c r="E177" s="1793">
        <f t="shared" si="17"/>
        <v>0.67003617678787486</v>
      </c>
      <c r="F177" s="1793">
        <f t="shared" si="17"/>
        <v>0.68562909623973056</v>
      </c>
      <c r="G177" s="1793">
        <f t="shared" si="17"/>
        <v>0.64775376132300633</v>
      </c>
      <c r="H177" s="1762">
        <f t="shared" si="17"/>
        <v>0.65430826794533903</v>
      </c>
      <c r="I177" s="827"/>
    </row>
    <row r="178" spans="1:13" x14ac:dyDescent="0.3">
      <c r="A178" s="214" t="s">
        <v>106</v>
      </c>
      <c r="B178" s="1793">
        <f>B125/B122</f>
        <v>0.33355529100171721</v>
      </c>
      <c r="C178" s="1793">
        <f t="shared" ref="C178:H178" si="18">C125/C122</f>
        <v>0.33300682816020166</v>
      </c>
      <c r="D178" s="1793">
        <f t="shared" si="18"/>
        <v>0.31675264224382538</v>
      </c>
      <c r="E178" s="1793">
        <f t="shared" si="18"/>
        <v>0.28101120310044314</v>
      </c>
      <c r="F178" s="1793">
        <f t="shared" si="18"/>
        <v>0.28046392130434006</v>
      </c>
      <c r="G178" s="1793">
        <f t="shared" si="18"/>
        <v>0.31448762563230775</v>
      </c>
      <c r="H178" s="1762">
        <f t="shared" si="18"/>
        <v>0.3205437448471416</v>
      </c>
      <c r="I178" s="827"/>
    </row>
    <row r="179" spans="1:13" x14ac:dyDescent="0.3">
      <c r="A179" s="214" t="s">
        <v>107</v>
      </c>
      <c r="B179" s="1892">
        <f t="shared" ref="B179:G179" si="19">B177+B178</f>
        <v>1.1114477334498287</v>
      </c>
      <c r="C179" s="1892">
        <f t="shared" si="19"/>
        <v>0.95337824202682742</v>
      </c>
      <c r="D179" s="1892">
        <f t="shared" si="19"/>
        <v>0.93705886232347047</v>
      </c>
      <c r="E179" s="1892">
        <f>E177+E178</f>
        <v>0.951047379888318</v>
      </c>
      <c r="F179" s="1892">
        <f t="shared" si="19"/>
        <v>0.96609301754407062</v>
      </c>
      <c r="G179" s="1892">
        <f t="shared" si="19"/>
        <v>0.96224138695531414</v>
      </c>
      <c r="H179" s="2034">
        <f t="shared" ref="H179" si="20">H177+H178</f>
        <v>0.97485201279248068</v>
      </c>
      <c r="I179" s="827"/>
    </row>
    <row r="180" spans="1:13" x14ac:dyDescent="0.3">
      <c r="A180" s="214"/>
      <c r="B180" s="1792"/>
      <c r="C180" s="1792"/>
      <c r="D180" s="1792"/>
      <c r="E180" s="1792"/>
      <c r="F180" s="1792"/>
      <c r="G180" s="1792"/>
      <c r="H180" s="223"/>
      <c r="I180" s="397"/>
    </row>
    <row r="181" spans="1:13" x14ac:dyDescent="0.3">
      <c r="A181" s="214" t="s">
        <v>22</v>
      </c>
      <c r="B181" s="1793">
        <f>B132/AVERAGE(B154:C154)</f>
        <v>3.666385859278655E-2</v>
      </c>
      <c r="C181" s="1793">
        <f t="shared" ref="C181:D181" si="21">C132/AVERAGE(C154:D154)</f>
        <v>0.17427105451769284</v>
      </c>
      <c r="D181" s="1793">
        <f t="shared" si="21"/>
        <v>0.22231759218039368</v>
      </c>
      <c r="E181" s="1793">
        <f>E132/AVERAGE(E154:F154)</f>
        <v>0.21584025870421228</v>
      </c>
      <c r="F181" s="1793">
        <f>F132/AVERAGE(F154:G154)</f>
        <v>0.10888259353021061</v>
      </c>
      <c r="G181" s="1793">
        <f>G132/AVERAGE(G154:H154)</f>
        <v>0.15791036084107926</v>
      </c>
      <c r="H181" s="1279"/>
      <c r="I181" s="397"/>
    </row>
    <row r="182" spans="1:13" x14ac:dyDescent="0.3">
      <c r="A182" s="214"/>
      <c r="B182" s="1792"/>
      <c r="C182" s="1792"/>
      <c r="D182" s="1792"/>
      <c r="E182" s="1792"/>
      <c r="F182" s="1792"/>
      <c r="G182" s="1792"/>
      <c r="H182" s="260"/>
      <c r="I182" s="397"/>
    </row>
    <row r="183" spans="1:13" x14ac:dyDescent="0.3">
      <c r="A183" s="214" t="s">
        <v>226</v>
      </c>
      <c r="B183" s="1793">
        <f>B122/C122-1</f>
        <v>0.21092687479895766</v>
      </c>
      <c r="C183" s="1793">
        <f t="shared" ref="C183:D183" si="22">C122/D122-1</f>
        <v>-0.13077331703795625</v>
      </c>
      <c r="D183" s="1793">
        <f t="shared" si="22"/>
        <v>-0.12798564309138327</v>
      </c>
      <c r="E183" s="1793">
        <f t="shared" ref="E183:G184" si="23">E122/F122-1</f>
        <v>0.47396956866634832</v>
      </c>
      <c r="F183" s="1793">
        <f t="shared" si="23"/>
        <v>0.5667876129447118</v>
      </c>
      <c r="G183" s="1793">
        <f t="shared" si="23"/>
        <v>0.27216995147642598</v>
      </c>
      <c r="H183" s="1156"/>
      <c r="I183" s="397"/>
    </row>
    <row r="184" spans="1:13" ht="16.2" thickBot="1" x14ac:dyDescent="0.35">
      <c r="A184" s="224" t="s">
        <v>225</v>
      </c>
      <c r="B184" s="1795">
        <f>B123/C123-1</f>
        <v>0.14442809956693714</v>
      </c>
      <c r="C184" s="1795">
        <f t="shared" ref="C184:D184" si="24">C123/D123-1</f>
        <v>-0.11232809605707472</v>
      </c>
      <c r="D184" s="1795">
        <f t="shared" si="24"/>
        <v>-2.0374781125981012E-2</v>
      </c>
      <c r="E184" s="1795">
        <f t="shared" si="23"/>
        <v>0.55382442667960641</v>
      </c>
      <c r="F184" s="1795">
        <f t="shared" si="23"/>
        <v>0.55090334623650739</v>
      </c>
      <c r="G184" s="1795">
        <f t="shared" si="23"/>
        <v>0.11677500504934568</v>
      </c>
      <c r="H184" s="2035"/>
      <c r="I184" s="397"/>
    </row>
    <row r="185" spans="1:13" x14ac:dyDescent="0.3">
      <c r="A185" s="804" t="s">
        <v>3707</v>
      </c>
      <c r="B185" s="397"/>
      <c r="C185" s="397"/>
      <c r="D185" s="397"/>
      <c r="E185" s="397"/>
      <c r="F185" s="397"/>
      <c r="G185" s="397"/>
      <c r="H185" s="397"/>
      <c r="I185" s="220"/>
    </row>
    <row r="186" spans="1:13" x14ac:dyDescent="0.3">
      <c r="H186" s="230"/>
      <c r="M186" s="211" t="s">
        <v>176</v>
      </c>
    </row>
    <row r="187" spans="1:13" x14ac:dyDescent="0.3">
      <c r="A187" s="211" t="s">
        <v>370</v>
      </c>
      <c r="B187" s="227">
        <f>19505744/B122</f>
        <v>0.31978403523238075</v>
      </c>
      <c r="E187" s="211" t="s">
        <v>176</v>
      </c>
      <c r="F187" s="278"/>
      <c r="H187" s="230"/>
    </row>
    <row r="188" spans="1:13" x14ac:dyDescent="0.3">
      <c r="F188" s="278"/>
      <c r="H188" s="230"/>
    </row>
    <row r="189" spans="1:13" x14ac:dyDescent="0.3">
      <c r="F189" s="341">
        <f>($F$125+$F$124)/F122</f>
        <v>0.87616452478308449</v>
      </c>
      <c r="H189" s="230"/>
      <c r="I189" s="211" t="s">
        <v>176</v>
      </c>
    </row>
    <row r="190" spans="1:13" x14ac:dyDescent="0.3">
      <c r="F190" s="341">
        <f>($F$125+$F$124)/F123</f>
        <v>1.008432571288765</v>
      </c>
      <c r="H190" s="230"/>
    </row>
    <row r="191" spans="1:13" x14ac:dyDescent="0.3">
      <c r="H191" s="230"/>
    </row>
    <row r="192" spans="1:13" x14ac:dyDescent="0.3">
      <c r="A192" s="211" t="s">
        <v>2920</v>
      </c>
      <c r="B192" s="824">
        <v>37201793</v>
      </c>
      <c r="C192" s="824">
        <v>41595522</v>
      </c>
      <c r="H192" s="230"/>
    </row>
    <row r="193" spans="1:3" x14ac:dyDescent="0.3">
      <c r="A193" s="211" t="s">
        <v>2921</v>
      </c>
      <c r="B193" s="508">
        <f>B122/B192</f>
        <v>1.639614950817021</v>
      </c>
      <c r="C193" s="508">
        <f>C122/C192</f>
        <v>1.2109919187935663</v>
      </c>
    </row>
  </sheetData>
  <pageMargins left="0.7" right="0.7" top="0.75" bottom="0.75" header="0.3" footer="0.3"/>
  <pageSetup orientation="portrait" r:id="rId1"/>
  <ignoredErrors>
    <ignoredError sqref="B175:H175" formulaRange="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4"/>
  </sheetPr>
  <dimension ref="A1:G146"/>
  <sheetViews>
    <sheetView zoomScale="85" zoomScaleNormal="85" workbookViewId="0">
      <pane xSplit="1" ySplit="1" topLeftCell="B114" activePane="bottomRight" state="frozen"/>
      <selection activeCell="J77" sqref="J77"/>
      <selection pane="topRight" activeCell="J77" sqref="J77"/>
      <selection pane="bottomLeft" activeCell="J77" sqref="J77"/>
      <selection pane="bottomRight" activeCell="G142" sqref="G142"/>
    </sheetView>
  </sheetViews>
  <sheetFormatPr defaultRowHeight="14.4" x14ac:dyDescent="0.3"/>
  <cols>
    <col min="1" max="2" width="38.44140625" customWidth="1"/>
    <col min="3" max="3" width="31.109375" bestFit="1" customWidth="1"/>
    <col min="4" max="4" width="4.33203125" customWidth="1"/>
    <col min="5" max="5" width="25.33203125" customWidth="1"/>
    <col min="6" max="7" width="10.5546875" bestFit="1" customWidth="1"/>
  </cols>
  <sheetData>
    <row r="1" spans="1:3" x14ac:dyDescent="0.3">
      <c r="B1" t="s">
        <v>141</v>
      </c>
      <c r="C1" t="s">
        <v>120</v>
      </c>
    </row>
    <row r="2" spans="1:3" s="41" customFormat="1" x14ac:dyDescent="0.3">
      <c r="A2" s="39" t="s">
        <v>121</v>
      </c>
      <c r="B2" s="40"/>
      <c r="C2" s="40"/>
    </row>
    <row r="3" spans="1:3" s="41" customFormat="1" x14ac:dyDescent="0.3">
      <c r="A3" s="41" t="s">
        <v>64</v>
      </c>
      <c r="B3" s="40"/>
      <c r="C3" s="40">
        <v>45993194</v>
      </c>
    </row>
    <row r="4" spans="1:3" s="41" customFormat="1" x14ac:dyDescent="0.3">
      <c r="A4" s="41" t="s">
        <v>65</v>
      </c>
      <c r="B4" s="40"/>
      <c r="C4" s="40">
        <v>793331</v>
      </c>
    </row>
    <row r="5" spans="1:3" s="41" customFormat="1" x14ac:dyDescent="0.3">
      <c r="A5" s="41" t="s">
        <v>66</v>
      </c>
      <c r="B5" s="40"/>
      <c r="C5" s="40">
        <v>8737469</v>
      </c>
    </row>
    <row r="6" spans="1:3" s="41" customFormat="1" x14ac:dyDescent="0.3">
      <c r="A6" s="41" t="s">
        <v>123</v>
      </c>
      <c r="B6" s="40"/>
      <c r="C6" s="40">
        <v>986490</v>
      </c>
    </row>
    <row r="7" spans="1:3" s="41" customFormat="1" x14ac:dyDescent="0.3">
      <c r="A7" s="41" t="s">
        <v>124</v>
      </c>
      <c r="B7" s="40"/>
      <c r="C7" s="40">
        <v>655457</v>
      </c>
    </row>
    <row r="8" spans="1:3" s="41" customFormat="1" x14ac:dyDescent="0.3">
      <c r="A8" s="41" t="s">
        <v>82</v>
      </c>
      <c r="B8" s="40"/>
      <c r="C8" s="40">
        <v>2980103</v>
      </c>
    </row>
    <row r="9" spans="1:3" s="41" customFormat="1" x14ac:dyDescent="0.3">
      <c r="A9" s="41" t="s">
        <v>125</v>
      </c>
      <c r="B9" s="40"/>
      <c r="C9" s="40">
        <v>207103</v>
      </c>
    </row>
    <row r="10" spans="1:3" s="41" customFormat="1" x14ac:dyDescent="0.3">
      <c r="A10" s="41" t="s">
        <v>126</v>
      </c>
      <c r="B10" s="40"/>
      <c r="C10" s="40">
        <v>800649</v>
      </c>
    </row>
    <row r="11" spans="1:3" s="41" customFormat="1" x14ac:dyDescent="0.3">
      <c r="A11" s="41" t="s">
        <v>84</v>
      </c>
      <c r="B11" s="40"/>
      <c r="C11" s="40">
        <v>98350</v>
      </c>
    </row>
    <row r="12" spans="1:3" s="41" customFormat="1" x14ac:dyDescent="0.3">
      <c r="A12" s="41" t="s">
        <v>127</v>
      </c>
      <c r="B12" s="40"/>
      <c r="C12" s="40">
        <v>250319</v>
      </c>
    </row>
    <row r="13" spans="1:3" s="41" customFormat="1" x14ac:dyDescent="0.3">
      <c r="A13" s="41" t="s">
        <v>15</v>
      </c>
      <c r="B13" s="40"/>
      <c r="C13" s="40">
        <v>45454</v>
      </c>
    </row>
    <row r="14" spans="1:3" s="41" customFormat="1" x14ac:dyDescent="0.3">
      <c r="A14" s="41" t="s">
        <v>6</v>
      </c>
      <c r="B14" s="40"/>
      <c r="C14" s="40">
        <f>SUM(C3:C13)</f>
        <v>61547919</v>
      </c>
    </row>
    <row r="15" spans="1:3" s="41" customFormat="1" x14ac:dyDescent="0.3">
      <c r="B15" s="40"/>
      <c r="C15" s="40"/>
    </row>
    <row r="16" spans="1:3" s="41" customFormat="1" x14ac:dyDescent="0.3">
      <c r="B16" s="40"/>
      <c r="C16" s="40"/>
    </row>
    <row r="17" spans="1:3" s="41" customFormat="1" x14ac:dyDescent="0.3">
      <c r="A17" s="41" t="s">
        <v>128</v>
      </c>
      <c r="B17" s="40"/>
      <c r="C17" s="40">
        <v>26161437</v>
      </c>
    </row>
    <row r="18" spans="1:3" s="41" customFormat="1" x14ac:dyDescent="0.3">
      <c r="A18" s="41" t="s">
        <v>69</v>
      </c>
      <c r="B18" s="40"/>
      <c r="C18" s="40">
        <v>15488334</v>
      </c>
    </row>
    <row r="19" spans="1:3" s="41" customFormat="1" x14ac:dyDescent="0.3">
      <c r="A19" s="41" t="s">
        <v>129</v>
      </c>
      <c r="B19" s="40"/>
      <c r="C19" s="40">
        <v>1042588</v>
      </c>
    </row>
    <row r="20" spans="1:3" s="41" customFormat="1" x14ac:dyDescent="0.3">
      <c r="A20" s="41" t="s">
        <v>130</v>
      </c>
      <c r="B20" s="40"/>
      <c r="C20" s="40">
        <v>331728</v>
      </c>
    </row>
    <row r="21" spans="1:3" s="41" customFormat="1" x14ac:dyDescent="0.3">
      <c r="A21" s="41" t="s">
        <v>131</v>
      </c>
      <c r="B21" s="40"/>
      <c r="C21" s="40">
        <v>127814</v>
      </c>
    </row>
    <row r="22" spans="1:3" s="41" customFormat="1" x14ac:dyDescent="0.3">
      <c r="A22" s="41" t="s">
        <v>132</v>
      </c>
      <c r="B22" s="40"/>
      <c r="C22" s="40">
        <v>769753</v>
      </c>
    </row>
    <row r="23" spans="1:3" s="41" customFormat="1" x14ac:dyDescent="0.3">
      <c r="A23" s="41" t="s">
        <v>71</v>
      </c>
      <c r="B23" s="40"/>
      <c r="C23" s="40">
        <v>940979</v>
      </c>
    </row>
    <row r="24" spans="1:3" s="41" customFormat="1" x14ac:dyDescent="0.3">
      <c r="A24" s="41" t="s">
        <v>133</v>
      </c>
      <c r="B24" s="40"/>
      <c r="C24" s="40">
        <v>5554</v>
      </c>
    </row>
    <row r="25" spans="1:3" s="41" customFormat="1" x14ac:dyDescent="0.3">
      <c r="A25" s="41" t="s">
        <v>72</v>
      </c>
      <c r="B25" s="40"/>
      <c r="C25" s="40">
        <v>1782560</v>
      </c>
    </row>
    <row r="26" spans="1:3" s="41" customFormat="1" x14ac:dyDescent="0.3">
      <c r="A26" s="41" t="s">
        <v>134</v>
      </c>
      <c r="B26" s="40"/>
      <c r="C26" s="40">
        <v>19014</v>
      </c>
    </row>
    <row r="27" spans="1:3" s="41" customFormat="1" x14ac:dyDescent="0.3">
      <c r="A27" s="41" t="s">
        <v>135</v>
      </c>
      <c r="B27" s="40"/>
      <c r="C27" s="40">
        <v>9809</v>
      </c>
    </row>
    <row r="28" spans="1:3" s="41" customFormat="1" x14ac:dyDescent="0.3">
      <c r="A28" s="41" t="s">
        <v>136</v>
      </c>
      <c r="B28" s="40"/>
      <c r="C28" s="40">
        <f>SUM(C17:C27)</f>
        <v>46679570</v>
      </c>
    </row>
    <row r="29" spans="1:3" s="41" customFormat="1" x14ac:dyDescent="0.3">
      <c r="B29" s="40"/>
      <c r="C29" s="40"/>
    </row>
    <row r="30" spans="1:3" s="41" customFormat="1" x14ac:dyDescent="0.3">
      <c r="A30" s="41" t="s">
        <v>66</v>
      </c>
      <c r="B30" s="40"/>
      <c r="C30" s="40">
        <v>2500000</v>
      </c>
    </row>
    <row r="31" spans="1:3" s="41" customFormat="1" x14ac:dyDescent="0.3">
      <c r="A31" s="41" t="s">
        <v>113</v>
      </c>
      <c r="B31" s="40"/>
      <c r="C31" s="40">
        <v>1801250</v>
      </c>
    </row>
    <row r="32" spans="1:3" s="41" customFormat="1" x14ac:dyDescent="0.3">
      <c r="A32" s="41" t="s">
        <v>114</v>
      </c>
      <c r="B32" s="40"/>
      <c r="C32" s="40">
        <v>10567099</v>
      </c>
    </row>
    <row r="33" spans="1:3" s="41" customFormat="1" x14ac:dyDescent="0.3">
      <c r="A33" s="41" t="s">
        <v>57</v>
      </c>
      <c r="B33" s="40"/>
      <c r="C33" s="40">
        <f>SUM(C30:C32)</f>
        <v>14868349</v>
      </c>
    </row>
    <row r="34" spans="1:3" s="41" customFormat="1" x14ac:dyDescent="0.3">
      <c r="B34" s="40"/>
      <c r="C34" s="40"/>
    </row>
    <row r="35" spans="1:3" s="41" customFormat="1" x14ac:dyDescent="0.3">
      <c r="A35" s="41" t="s">
        <v>142</v>
      </c>
      <c r="B35" s="40"/>
      <c r="C35" s="40">
        <v>301250</v>
      </c>
    </row>
    <row r="36" spans="1:3" s="41" customFormat="1" x14ac:dyDescent="0.3">
      <c r="A36" s="41" t="s">
        <v>143</v>
      </c>
      <c r="B36" s="40"/>
      <c r="C36" s="40">
        <v>1500000</v>
      </c>
    </row>
    <row r="37" spans="1:3" s="41" customFormat="1" x14ac:dyDescent="0.3">
      <c r="A37" s="41" t="s">
        <v>144</v>
      </c>
      <c r="B37" s="40"/>
      <c r="C37" s="40">
        <v>1801250</v>
      </c>
    </row>
    <row r="38" spans="1:3" s="41" customFormat="1" x14ac:dyDescent="0.3">
      <c r="B38" s="40"/>
      <c r="C38" s="40"/>
    </row>
    <row r="39" spans="1:3" s="41" customFormat="1" x14ac:dyDescent="0.3">
      <c r="A39" s="41" t="s">
        <v>145</v>
      </c>
      <c r="B39" s="40"/>
      <c r="C39" s="40">
        <v>9113144</v>
      </c>
    </row>
    <row r="40" spans="1:3" s="41" customFormat="1" x14ac:dyDescent="0.3">
      <c r="A40" s="41" t="s">
        <v>146</v>
      </c>
      <c r="B40" s="40"/>
      <c r="C40" s="40">
        <v>656148</v>
      </c>
    </row>
    <row r="41" spans="1:3" s="41" customFormat="1" x14ac:dyDescent="0.3">
      <c r="A41" s="41" t="s">
        <v>147</v>
      </c>
      <c r="B41" s="40"/>
      <c r="C41" s="40">
        <v>735837</v>
      </c>
    </row>
    <row r="42" spans="1:3" s="41" customFormat="1" x14ac:dyDescent="0.3">
      <c r="A42" s="41" t="s">
        <v>148</v>
      </c>
      <c r="B42" s="40"/>
      <c r="C42" s="40"/>
    </row>
    <row r="43" spans="1:3" s="41" customFormat="1" x14ac:dyDescent="0.3">
      <c r="A43" s="41" t="s">
        <v>149</v>
      </c>
      <c r="B43" s="40"/>
      <c r="C43" s="40">
        <v>11493</v>
      </c>
    </row>
    <row r="44" spans="1:3" s="41" customFormat="1" x14ac:dyDescent="0.3">
      <c r="A44" s="41" t="s">
        <v>150</v>
      </c>
      <c r="B44" s="40"/>
      <c r="C44" s="40">
        <v>92153</v>
      </c>
    </row>
    <row r="45" spans="1:3" s="41" customFormat="1" x14ac:dyDescent="0.3">
      <c r="A45" s="41" t="s">
        <v>151</v>
      </c>
      <c r="B45" s="40"/>
      <c r="C45" s="40">
        <v>-41676</v>
      </c>
    </row>
    <row r="46" spans="1:3" s="41" customFormat="1" x14ac:dyDescent="0.3">
      <c r="A46" s="41" t="s">
        <v>144</v>
      </c>
      <c r="B46" s="40"/>
      <c r="C46" s="40">
        <v>10567099</v>
      </c>
    </row>
    <row r="47" spans="1:3" s="41" customFormat="1" x14ac:dyDescent="0.3">
      <c r="B47" s="40"/>
      <c r="C47" s="40"/>
    </row>
    <row r="48" spans="1:3" s="41" customFormat="1" x14ac:dyDescent="0.3">
      <c r="B48" s="40"/>
      <c r="C48" s="40"/>
    </row>
    <row r="49" spans="1:3" s="41" customFormat="1" x14ac:dyDescent="0.3">
      <c r="B49" s="40"/>
      <c r="C49" s="40"/>
    </row>
    <row r="50" spans="1:3" x14ac:dyDescent="0.3">
      <c r="B50" s="37"/>
      <c r="C50" s="37"/>
    </row>
    <row r="51" spans="1:3" x14ac:dyDescent="0.3">
      <c r="B51" s="37"/>
      <c r="C51" s="37"/>
    </row>
    <row r="52" spans="1:3" s="43" customFormat="1" x14ac:dyDescent="0.3">
      <c r="A52" s="42" t="s">
        <v>118</v>
      </c>
      <c r="B52" s="44"/>
      <c r="C52" s="44"/>
    </row>
    <row r="53" spans="1:3" s="43" customFormat="1" x14ac:dyDescent="0.3">
      <c r="A53" s="43" t="s">
        <v>64</v>
      </c>
      <c r="B53" s="44"/>
      <c r="C53" s="44">
        <v>5616100</v>
      </c>
    </row>
    <row r="54" spans="1:3" s="43" customFormat="1" x14ac:dyDescent="0.3">
      <c r="A54" s="43" t="s">
        <v>65</v>
      </c>
      <c r="C54" s="44">
        <v>247734</v>
      </c>
    </row>
    <row r="55" spans="1:3" s="43" customFormat="1" x14ac:dyDescent="0.3">
      <c r="A55" s="43" t="s">
        <v>66</v>
      </c>
      <c r="C55" s="44">
        <v>1516841</v>
      </c>
    </row>
    <row r="56" spans="1:3" s="43" customFormat="1" x14ac:dyDescent="0.3">
      <c r="A56" s="43" t="s">
        <v>123</v>
      </c>
      <c r="C56" s="44">
        <v>0</v>
      </c>
    </row>
    <row r="57" spans="1:3" s="43" customFormat="1" x14ac:dyDescent="0.3">
      <c r="A57" s="43" t="s">
        <v>124</v>
      </c>
      <c r="C57" s="44">
        <v>157017</v>
      </c>
    </row>
    <row r="58" spans="1:3" s="43" customFormat="1" x14ac:dyDescent="0.3">
      <c r="A58" s="43" t="s">
        <v>82</v>
      </c>
      <c r="C58" s="44">
        <v>1091924</v>
      </c>
    </row>
    <row r="59" spans="1:3" s="43" customFormat="1" x14ac:dyDescent="0.3">
      <c r="A59" s="43" t="s">
        <v>125</v>
      </c>
      <c r="C59" s="44">
        <v>97297</v>
      </c>
    </row>
    <row r="60" spans="1:3" s="43" customFormat="1" x14ac:dyDescent="0.3">
      <c r="A60" s="43" t="s">
        <v>126</v>
      </c>
      <c r="C60" s="44">
        <v>97574</v>
      </c>
    </row>
    <row r="61" spans="1:3" s="43" customFormat="1" x14ac:dyDescent="0.3">
      <c r="A61" s="43" t="s">
        <v>84</v>
      </c>
      <c r="C61" s="44">
        <v>0</v>
      </c>
    </row>
    <row r="62" spans="1:3" s="43" customFormat="1" x14ac:dyDescent="0.3">
      <c r="A62" s="43" t="s">
        <v>127</v>
      </c>
      <c r="C62" s="44">
        <v>8160</v>
      </c>
    </row>
    <row r="63" spans="1:3" s="43" customFormat="1" x14ac:dyDescent="0.3">
      <c r="A63" s="43" t="s">
        <v>15</v>
      </c>
      <c r="C63" s="44">
        <v>5490</v>
      </c>
    </row>
    <row r="64" spans="1:3" s="43" customFormat="1" x14ac:dyDescent="0.3">
      <c r="A64" s="43" t="s">
        <v>6</v>
      </c>
      <c r="C64" s="44">
        <f>SUM(C53:C63)</f>
        <v>8838137</v>
      </c>
    </row>
    <row r="65" spans="1:3" s="43" customFormat="1" x14ac:dyDescent="0.3">
      <c r="C65" s="44"/>
    </row>
    <row r="66" spans="1:3" s="43" customFormat="1" x14ac:dyDescent="0.3">
      <c r="C66" s="44"/>
    </row>
    <row r="67" spans="1:3" s="43" customFormat="1" x14ac:dyDescent="0.3">
      <c r="A67" s="43" t="s">
        <v>128</v>
      </c>
      <c r="C67" s="44">
        <v>3597302</v>
      </c>
    </row>
    <row r="68" spans="1:3" s="43" customFormat="1" x14ac:dyDescent="0.3">
      <c r="A68" s="43" t="s">
        <v>69</v>
      </c>
      <c r="C68" s="44">
        <v>1994623</v>
      </c>
    </row>
    <row r="69" spans="1:3" s="43" customFormat="1" x14ac:dyDescent="0.3">
      <c r="A69" s="43" t="s">
        <v>129</v>
      </c>
      <c r="C69" s="44">
        <v>867064</v>
      </c>
    </row>
    <row r="70" spans="1:3" s="43" customFormat="1" x14ac:dyDescent="0.3">
      <c r="A70" s="43" t="s">
        <v>130</v>
      </c>
      <c r="C70" s="44">
        <v>0</v>
      </c>
    </row>
    <row r="71" spans="1:3" s="43" customFormat="1" x14ac:dyDescent="0.3">
      <c r="A71" s="43" t="s">
        <v>131</v>
      </c>
      <c r="C71" s="44">
        <v>6808</v>
      </c>
    </row>
    <row r="72" spans="1:3" s="43" customFormat="1" x14ac:dyDescent="0.3">
      <c r="A72" s="43" t="s">
        <v>132</v>
      </c>
      <c r="C72" s="44">
        <v>11465</v>
      </c>
    </row>
    <row r="73" spans="1:3" s="43" customFormat="1" x14ac:dyDescent="0.3">
      <c r="A73" s="43" t="s">
        <v>71</v>
      </c>
      <c r="C73" s="44">
        <v>0</v>
      </c>
    </row>
    <row r="74" spans="1:3" s="43" customFormat="1" x14ac:dyDescent="0.3">
      <c r="A74" s="43" t="s">
        <v>133</v>
      </c>
      <c r="C74" s="44">
        <v>0</v>
      </c>
    </row>
    <row r="75" spans="1:3" s="43" customFormat="1" x14ac:dyDescent="0.3">
      <c r="A75" s="43" t="s">
        <v>72</v>
      </c>
      <c r="C75" s="44">
        <v>112030</v>
      </c>
    </row>
    <row r="76" spans="1:3" s="43" customFormat="1" x14ac:dyDescent="0.3">
      <c r="A76" s="43" t="s">
        <v>134</v>
      </c>
      <c r="C76" s="44">
        <v>0</v>
      </c>
    </row>
    <row r="77" spans="1:3" s="43" customFormat="1" x14ac:dyDescent="0.3">
      <c r="A77" s="43" t="s">
        <v>135</v>
      </c>
      <c r="C77" s="44">
        <v>15863</v>
      </c>
    </row>
    <row r="78" spans="1:3" s="43" customFormat="1" x14ac:dyDescent="0.3">
      <c r="A78" s="43" t="s">
        <v>136</v>
      </c>
      <c r="C78" s="44">
        <f>SUM(C67:C77)</f>
        <v>6605155</v>
      </c>
    </row>
    <row r="79" spans="1:3" s="43" customFormat="1" x14ac:dyDescent="0.3">
      <c r="C79" s="44"/>
    </row>
    <row r="80" spans="1:3" s="43" customFormat="1" x14ac:dyDescent="0.3">
      <c r="A80" s="43" t="s">
        <v>66</v>
      </c>
      <c r="C80" s="44">
        <v>1000000</v>
      </c>
    </row>
    <row r="81" spans="1:3" s="43" customFormat="1" x14ac:dyDescent="0.3">
      <c r="A81" s="43" t="s">
        <v>113</v>
      </c>
      <c r="C81" s="44">
        <v>50000</v>
      </c>
    </row>
    <row r="82" spans="1:3" s="43" customFormat="1" x14ac:dyDescent="0.3">
      <c r="A82" s="43" t="s">
        <v>114</v>
      </c>
      <c r="C82" s="44">
        <v>1182982</v>
      </c>
    </row>
    <row r="83" spans="1:3" s="43" customFormat="1" x14ac:dyDescent="0.3">
      <c r="A83" s="43" t="s">
        <v>57</v>
      </c>
      <c r="C83" s="44">
        <f>SUM(C80:C82)</f>
        <v>2232982</v>
      </c>
    </row>
    <row r="84" spans="1:3" s="43" customFormat="1" x14ac:dyDescent="0.3"/>
    <row r="85" spans="1:3" s="43" customFormat="1" x14ac:dyDescent="0.3">
      <c r="A85" s="43" t="s">
        <v>142</v>
      </c>
      <c r="C85" s="44">
        <v>50000</v>
      </c>
    </row>
    <row r="86" spans="1:3" s="43" customFormat="1" x14ac:dyDescent="0.3">
      <c r="A86" s="43" t="s">
        <v>143</v>
      </c>
      <c r="C86" s="44">
        <v>0</v>
      </c>
    </row>
    <row r="87" spans="1:3" s="43" customFormat="1" x14ac:dyDescent="0.3">
      <c r="A87" s="43" t="s">
        <v>144</v>
      </c>
      <c r="C87" s="44">
        <v>50000</v>
      </c>
    </row>
    <row r="88" spans="1:3" s="43" customFormat="1" x14ac:dyDescent="0.3">
      <c r="C88" s="44"/>
    </row>
    <row r="89" spans="1:3" s="43" customFormat="1" x14ac:dyDescent="0.3">
      <c r="A89" s="43" t="s">
        <v>145</v>
      </c>
      <c r="C89" s="44">
        <v>873316</v>
      </c>
    </row>
    <row r="90" spans="1:3" s="43" customFormat="1" x14ac:dyDescent="0.3">
      <c r="A90" s="43" t="s">
        <v>146</v>
      </c>
      <c r="C90" s="44">
        <v>208042</v>
      </c>
    </row>
    <row r="91" spans="1:3" s="43" customFormat="1" x14ac:dyDescent="0.3">
      <c r="A91" s="43" t="s">
        <v>147</v>
      </c>
      <c r="C91" s="44">
        <v>101624</v>
      </c>
    </row>
    <row r="92" spans="1:3" s="43" customFormat="1" x14ac:dyDescent="0.3">
      <c r="A92" s="43" t="s">
        <v>148</v>
      </c>
      <c r="C92" s="44">
        <v>0</v>
      </c>
    </row>
    <row r="93" spans="1:3" s="43" customFormat="1" x14ac:dyDescent="0.3">
      <c r="A93" s="43" t="s">
        <v>149</v>
      </c>
      <c r="C93" s="44"/>
    </row>
    <row r="94" spans="1:3" s="43" customFormat="1" x14ac:dyDescent="0.3">
      <c r="A94" s="43" t="s">
        <v>150</v>
      </c>
      <c r="C94" s="44"/>
    </row>
    <row r="95" spans="1:3" s="43" customFormat="1" x14ac:dyDescent="0.3">
      <c r="A95" s="43" t="s">
        <v>151</v>
      </c>
      <c r="C95" s="44"/>
    </row>
    <row r="96" spans="1:3" s="43" customFormat="1" x14ac:dyDescent="0.3">
      <c r="A96" s="43" t="s">
        <v>144</v>
      </c>
      <c r="C96" s="44">
        <v>1182982</v>
      </c>
    </row>
    <row r="98" spans="1:5" x14ac:dyDescent="0.3">
      <c r="A98" s="45" t="s">
        <v>122</v>
      </c>
      <c r="E98" t="s">
        <v>140</v>
      </c>
    </row>
    <row r="99" spans="1:5" x14ac:dyDescent="0.3">
      <c r="A99" t="s">
        <v>64</v>
      </c>
      <c r="B99" s="37">
        <v>51609294</v>
      </c>
      <c r="C99" s="38">
        <f t="shared" ref="C99:C109" si="0">C3+C53</f>
        <v>51609294</v>
      </c>
      <c r="E99" s="38">
        <f>B99-C99</f>
        <v>0</v>
      </c>
    </row>
    <row r="100" spans="1:5" x14ac:dyDescent="0.3">
      <c r="A100" t="s">
        <v>65</v>
      </c>
      <c r="B100" s="37">
        <v>1041065</v>
      </c>
      <c r="C100" s="38">
        <f t="shared" si="0"/>
        <v>1041065</v>
      </c>
      <c r="E100" s="38">
        <f t="shared" ref="E100:E132" si="1">B100-C100</f>
        <v>0</v>
      </c>
    </row>
    <row r="101" spans="1:5" x14ac:dyDescent="0.3">
      <c r="A101" t="s">
        <v>66</v>
      </c>
      <c r="B101" s="37">
        <v>10254310</v>
      </c>
      <c r="C101" s="38">
        <f t="shared" si="0"/>
        <v>10254310</v>
      </c>
      <c r="E101" s="38">
        <f t="shared" si="1"/>
        <v>0</v>
      </c>
    </row>
    <row r="102" spans="1:5" x14ac:dyDescent="0.3">
      <c r="A102" t="s">
        <v>123</v>
      </c>
      <c r="B102" s="37">
        <v>1191235</v>
      </c>
      <c r="C102" s="38">
        <f t="shared" si="0"/>
        <v>986490</v>
      </c>
      <c r="E102" s="38">
        <f t="shared" si="1"/>
        <v>204745</v>
      </c>
    </row>
    <row r="103" spans="1:5" x14ac:dyDescent="0.3">
      <c r="A103" t="s">
        <v>124</v>
      </c>
      <c r="B103" s="37">
        <v>812474</v>
      </c>
      <c r="C103" s="38">
        <f t="shared" si="0"/>
        <v>812474</v>
      </c>
      <c r="E103" s="38">
        <f t="shared" si="1"/>
        <v>0</v>
      </c>
    </row>
    <row r="104" spans="1:5" x14ac:dyDescent="0.3">
      <c r="A104" t="s">
        <v>82</v>
      </c>
      <c r="B104" s="37">
        <v>3036395</v>
      </c>
      <c r="C104" s="38">
        <f t="shared" si="0"/>
        <v>4072027</v>
      </c>
      <c r="E104" s="38">
        <f t="shared" si="1"/>
        <v>-1035632</v>
      </c>
    </row>
    <row r="105" spans="1:5" x14ac:dyDescent="0.3">
      <c r="A105" t="s">
        <v>125</v>
      </c>
      <c r="B105" s="37">
        <v>0</v>
      </c>
      <c r="C105" s="38">
        <f t="shared" si="0"/>
        <v>304400</v>
      </c>
      <c r="E105" s="38">
        <f t="shared" si="1"/>
        <v>-304400</v>
      </c>
    </row>
    <row r="106" spans="1:5" x14ac:dyDescent="0.3">
      <c r="A106" t="s">
        <v>126</v>
      </c>
      <c r="B106" s="37">
        <v>898223</v>
      </c>
      <c r="C106" s="38">
        <f t="shared" si="0"/>
        <v>898223</v>
      </c>
      <c r="E106" s="38">
        <f t="shared" si="1"/>
        <v>0</v>
      </c>
    </row>
    <row r="107" spans="1:5" x14ac:dyDescent="0.3">
      <c r="A107" t="s">
        <v>84</v>
      </c>
      <c r="B107" s="37">
        <v>98350</v>
      </c>
      <c r="C107" s="38">
        <f t="shared" si="0"/>
        <v>98350</v>
      </c>
      <c r="E107" s="38">
        <f t="shared" si="1"/>
        <v>0</v>
      </c>
    </row>
    <row r="108" spans="1:5" x14ac:dyDescent="0.3">
      <c r="A108" t="s">
        <v>127</v>
      </c>
      <c r="B108" s="37">
        <v>258479</v>
      </c>
      <c r="C108" s="38">
        <f t="shared" si="0"/>
        <v>258479</v>
      </c>
      <c r="E108" s="38">
        <f t="shared" si="1"/>
        <v>0</v>
      </c>
    </row>
    <row r="109" spans="1:5" x14ac:dyDescent="0.3">
      <c r="A109" t="s">
        <v>15</v>
      </c>
      <c r="B109" s="37">
        <v>55984</v>
      </c>
      <c r="C109" s="38">
        <f t="shared" si="0"/>
        <v>50944</v>
      </c>
      <c r="E109" s="38">
        <f t="shared" si="1"/>
        <v>5040</v>
      </c>
    </row>
    <row r="110" spans="1:5" x14ac:dyDescent="0.3">
      <c r="A110" s="46" t="s">
        <v>137</v>
      </c>
      <c r="B110" s="47">
        <v>4990146</v>
      </c>
      <c r="C110" s="38"/>
      <c r="E110" s="38">
        <f t="shared" si="1"/>
        <v>4990146</v>
      </c>
    </row>
    <row r="111" spans="1:5" x14ac:dyDescent="0.3">
      <c r="A111" t="s">
        <v>6</v>
      </c>
      <c r="B111" s="37">
        <f>SUM(B99:B110)</f>
        <v>74245955</v>
      </c>
      <c r="C111" s="38">
        <f>C14+C64</f>
        <v>70386056</v>
      </c>
      <c r="E111" s="38">
        <f t="shared" si="1"/>
        <v>3859899</v>
      </c>
    </row>
    <row r="112" spans="1:5" x14ac:dyDescent="0.3">
      <c r="B112" s="37"/>
      <c r="C112" s="38"/>
      <c r="E112" s="38">
        <f t="shared" si="1"/>
        <v>0</v>
      </c>
    </row>
    <row r="113" spans="1:7" x14ac:dyDescent="0.3">
      <c r="B113" s="37"/>
      <c r="C113" s="38"/>
      <c r="E113" s="38">
        <f t="shared" si="1"/>
        <v>0</v>
      </c>
    </row>
    <row r="114" spans="1:7" x14ac:dyDescent="0.3">
      <c r="A114" t="s">
        <v>128</v>
      </c>
      <c r="B114" s="37">
        <v>29758739</v>
      </c>
      <c r="C114" s="38">
        <f t="shared" ref="C114:C120" si="2">C17+C67</f>
        <v>29758739</v>
      </c>
      <c r="E114" s="38">
        <f t="shared" si="1"/>
        <v>0</v>
      </c>
    </row>
    <row r="115" spans="1:7" x14ac:dyDescent="0.3">
      <c r="A115" t="s">
        <v>69</v>
      </c>
      <c r="B115" s="37">
        <v>17482957</v>
      </c>
      <c r="C115" s="38">
        <f t="shared" si="2"/>
        <v>17482957</v>
      </c>
      <c r="E115" s="38">
        <f t="shared" si="1"/>
        <v>0</v>
      </c>
    </row>
    <row r="116" spans="1:7" x14ac:dyDescent="0.3">
      <c r="A116" t="s">
        <v>129</v>
      </c>
      <c r="B116" s="37">
        <v>516720</v>
      </c>
      <c r="C116" s="38">
        <f t="shared" si="2"/>
        <v>1909652</v>
      </c>
      <c r="E116" s="38">
        <f t="shared" si="1"/>
        <v>-1392932</v>
      </c>
    </row>
    <row r="117" spans="1:7" x14ac:dyDescent="0.3">
      <c r="A117" t="s">
        <v>130</v>
      </c>
      <c r="B117" s="37">
        <v>331728</v>
      </c>
      <c r="C117" s="38">
        <f t="shared" si="2"/>
        <v>331728</v>
      </c>
      <c r="E117" s="38">
        <f t="shared" si="1"/>
        <v>0</v>
      </c>
    </row>
    <row r="118" spans="1:7" x14ac:dyDescent="0.3">
      <c r="A118" t="s">
        <v>131</v>
      </c>
      <c r="B118" s="37">
        <v>134622</v>
      </c>
      <c r="C118" s="38">
        <f t="shared" si="2"/>
        <v>134622</v>
      </c>
      <c r="E118" s="38">
        <f t="shared" si="1"/>
        <v>0</v>
      </c>
    </row>
    <row r="119" spans="1:7" x14ac:dyDescent="0.3">
      <c r="A119" t="s">
        <v>132</v>
      </c>
      <c r="B119" s="37">
        <v>781218</v>
      </c>
      <c r="C119" s="38">
        <f t="shared" si="2"/>
        <v>781218</v>
      </c>
      <c r="E119" s="38">
        <f t="shared" si="1"/>
        <v>0</v>
      </c>
    </row>
    <row r="120" spans="1:7" x14ac:dyDescent="0.3">
      <c r="A120" t="s">
        <v>71</v>
      </c>
      <c r="B120" s="37">
        <v>940979</v>
      </c>
      <c r="C120" s="38">
        <f t="shared" si="2"/>
        <v>940979</v>
      </c>
      <c r="E120" s="38">
        <f t="shared" si="1"/>
        <v>0</v>
      </c>
    </row>
    <row r="121" spans="1:7" x14ac:dyDescent="0.3">
      <c r="A121" s="46" t="s">
        <v>138</v>
      </c>
      <c r="B121" s="47">
        <v>0</v>
      </c>
      <c r="C121" s="38"/>
      <c r="E121" s="38">
        <f t="shared" si="1"/>
        <v>0</v>
      </c>
    </row>
    <row r="122" spans="1:7" x14ac:dyDescent="0.3">
      <c r="A122" s="46" t="s">
        <v>139</v>
      </c>
      <c r="B122" s="47">
        <v>2527588</v>
      </c>
      <c r="C122" s="38"/>
      <c r="E122" s="38">
        <f t="shared" si="1"/>
        <v>2527588</v>
      </c>
      <c r="F122" s="38"/>
      <c r="G122" s="38"/>
    </row>
    <row r="123" spans="1:7" x14ac:dyDescent="0.3">
      <c r="A123" t="s">
        <v>133</v>
      </c>
      <c r="B123" s="37">
        <v>0</v>
      </c>
      <c r="C123" s="38">
        <f>C24+C74</f>
        <v>5554</v>
      </c>
      <c r="E123" s="38">
        <f t="shared" si="1"/>
        <v>-5554</v>
      </c>
    </row>
    <row r="124" spans="1:7" x14ac:dyDescent="0.3">
      <c r="A124" t="s">
        <v>72</v>
      </c>
      <c r="B124" s="37">
        <v>1894590</v>
      </c>
      <c r="C124" s="38">
        <f>C25+C75</f>
        <v>1894590</v>
      </c>
      <c r="E124" s="38">
        <f t="shared" si="1"/>
        <v>0</v>
      </c>
    </row>
    <row r="125" spans="1:7" x14ac:dyDescent="0.3">
      <c r="A125" t="s">
        <v>134</v>
      </c>
      <c r="B125" s="37">
        <v>19014</v>
      </c>
      <c r="C125" s="38">
        <f>C26+C76</f>
        <v>19014</v>
      </c>
      <c r="E125" s="38">
        <f t="shared" si="1"/>
        <v>0</v>
      </c>
    </row>
    <row r="126" spans="1:7" x14ac:dyDescent="0.3">
      <c r="A126" t="s">
        <v>135</v>
      </c>
      <c r="B126" s="37">
        <v>23982</v>
      </c>
      <c r="C126" s="38">
        <f>C27+C77</f>
        <v>25672</v>
      </c>
      <c r="E126" s="38">
        <f t="shared" si="1"/>
        <v>-1690</v>
      </c>
    </row>
    <row r="127" spans="1:7" x14ac:dyDescent="0.3">
      <c r="A127" t="s">
        <v>136</v>
      </c>
      <c r="B127" s="37">
        <f>SUM(B114:B126)</f>
        <v>54412137</v>
      </c>
      <c r="C127" s="38">
        <f>C28+C78</f>
        <v>53284725</v>
      </c>
      <c r="E127" s="38">
        <f t="shared" si="1"/>
        <v>1127412</v>
      </c>
    </row>
    <row r="128" spans="1:7" x14ac:dyDescent="0.3">
      <c r="B128" s="37"/>
      <c r="C128" s="38"/>
      <c r="E128" s="38">
        <f t="shared" si="1"/>
        <v>0</v>
      </c>
    </row>
    <row r="129" spans="1:7" x14ac:dyDescent="0.3">
      <c r="A129" t="s">
        <v>66</v>
      </c>
      <c r="B129" s="37">
        <v>3500000</v>
      </c>
      <c r="C129" s="38">
        <f>C30+C80</f>
        <v>3500000</v>
      </c>
      <c r="E129" s="38">
        <f t="shared" si="1"/>
        <v>0</v>
      </c>
    </row>
    <row r="130" spans="1:7" x14ac:dyDescent="0.3">
      <c r="A130" t="s">
        <v>113</v>
      </c>
      <c r="B130" s="37">
        <v>1851250</v>
      </c>
      <c r="C130" s="38">
        <f>C31+C81</f>
        <v>1851250</v>
      </c>
      <c r="E130" s="38">
        <f t="shared" si="1"/>
        <v>0</v>
      </c>
    </row>
    <row r="131" spans="1:7" x14ac:dyDescent="0.3">
      <c r="A131" t="s">
        <v>114</v>
      </c>
      <c r="B131" s="37">
        <v>14482568</v>
      </c>
      <c r="C131" s="38">
        <f>C32+C82</f>
        <v>11750081</v>
      </c>
      <c r="E131" s="38">
        <f t="shared" si="1"/>
        <v>2732487</v>
      </c>
    </row>
    <row r="132" spans="1:7" x14ac:dyDescent="0.3">
      <c r="A132" t="s">
        <v>57</v>
      </c>
      <c r="B132" s="37">
        <f>SUM(B129:B131)</f>
        <v>19833818</v>
      </c>
      <c r="C132" s="38">
        <f>C33+C83</f>
        <v>17101331</v>
      </c>
      <c r="E132" s="38">
        <f t="shared" si="1"/>
        <v>2732487</v>
      </c>
      <c r="F132" s="38"/>
      <c r="G132" s="38"/>
    </row>
    <row r="135" spans="1:7" x14ac:dyDescent="0.3">
      <c r="A135" t="s">
        <v>142</v>
      </c>
      <c r="B135" s="37">
        <v>351250</v>
      </c>
      <c r="C135" s="37">
        <f>C35+C85</f>
        <v>351250</v>
      </c>
      <c r="D135" s="37"/>
      <c r="E135" s="37">
        <f>B135-C135</f>
        <v>0</v>
      </c>
    </row>
    <row r="136" spans="1:7" x14ac:dyDescent="0.3">
      <c r="A136" t="s">
        <v>143</v>
      </c>
      <c r="B136" s="37">
        <v>1500000</v>
      </c>
      <c r="C136" s="37">
        <f t="shared" ref="C136:C146" si="3">C36+C86</f>
        <v>1500000</v>
      </c>
      <c r="D136" s="37"/>
      <c r="E136" s="37">
        <f t="shared" ref="E136:E146" si="4">B136-C136</f>
        <v>0</v>
      </c>
    </row>
    <row r="137" spans="1:7" x14ac:dyDescent="0.3">
      <c r="A137" t="s">
        <v>144</v>
      </c>
      <c r="B137" s="37">
        <v>1851250</v>
      </c>
      <c r="C137" s="37">
        <f t="shared" si="3"/>
        <v>1851250</v>
      </c>
      <c r="D137" s="37"/>
      <c r="E137" s="37">
        <f t="shared" si="4"/>
        <v>0</v>
      </c>
    </row>
    <row r="138" spans="1:7" x14ac:dyDescent="0.3">
      <c r="B138" s="37"/>
      <c r="C138" s="37">
        <f t="shared" si="3"/>
        <v>0</v>
      </c>
      <c r="D138" s="37"/>
      <c r="E138" s="37">
        <f t="shared" si="4"/>
        <v>0</v>
      </c>
    </row>
    <row r="139" spans="1:7" x14ac:dyDescent="0.3">
      <c r="A139" s="48" t="s">
        <v>145</v>
      </c>
      <c r="B139" s="49">
        <v>11303670</v>
      </c>
      <c r="C139" s="49">
        <f t="shared" si="3"/>
        <v>9986460</v>
      </c>
      <c r="D139" s="49"/>
      <c r="E139" s="49">
        <f t="shared" si="4"/>
        <v>1317210</v>
      </c>
    </row>
    <row r="140" spans="1:7" x14ac:dyDescent="0.3">
      <c r="A140" t="s">
        <v>146</v>
      </c>
      <c r="B140" s="37">
        <v>1805901</v>
      </c>
      <c r="C140" s="37">
        <f t="shared" si="3"/>
        <v>864190</v>
      </c>
      <c r="D140" s="37"/>
      <c r="E140" s="37">
        <f t="shared" si="4"/>
        <v>941711</v>
      </c>
    </row>
    <row r="141" spans="1:7" x14ac:dyDescent="0.3">
      <c r="A141" t="s">
        <v>147</v>
      </c>
      <c r="B141" s="37">
        <v>1505757</v>
      </c>
      <c r="C141" s="37">
        <f t="shared" si="3"/>
        <v>837461</v>
      </c>
      <c r="D141" s="37"/>
      <c r="E141" s="37">
        <f t="shared" si="4"/>
        <v>668296</v>
      </c>
    </row>
    <row r="142" spans="1:7" x14ac:dyDescent="0.3">
      <c r="A142" t="s">
        <v>148</v>
      </c>
      <c r="B142" s="37">
        <v>-132760</v>
      </c>
      <c r="C142" s="37">
        <f t="shared" si="3"/>
        <v>0</v>
      </c>
      <c r="D142" s="37"/>
      <c r="E142" s="37">
        <f t="shared" si="4"/>
        <v>-132760</v>
      </c>
    </row>
    <row r="143" spans="1:7" x14ac:dyDescent="0.3">
      <c r="A143" t="s">
        <v>149</v>
      </c>
      <c r="B143" s="37"/>
      <c r="C143" s="37">
        <f t="shared" si="3"/>
        <v>11493</v>
      </c>
      <c r="D143" s="37"/>
      <c r="E143" s="37">
        <f t="shared" si="4"/>
        <v>-11493</v>
      </c>
    </row>
    <row r="144" spans="1:7" x14ac:dyDescent="0.3">
      <c r="A144" t="s">
        <v>150</v>
      </c>
      <c r="B144" s="37"/>
      <c r="C144" s="37">
        <f t="shared" si="3"/>
        <v>92153</v>
      </c>
      <c r="D144" s="37"/>
      <c r="E144" s="37">
        <f t="shared" si="4"/>
        <v>-92153</v>
      </c>
    </row>
    <row r="145" spans="1:5" x14ac:dyDescent="0.3">
      <c r="A145" t="s">
        <v>151</v>
      </c>
      <c r="B145" s="37"/>
      <c r="C145" s="37">
        <f t="shared" si="3"/>
        <v>-41676</v>
      </c>
      <c r="D145" s="37"/>
      <c r="E145" s="37">
        <f t="shared" si="4"/>
        <v>41676</v>
      </c>
    </row>
    <row r="146" spans="1:5" x14ac:dyDescent="0.3">
      <c r="A146" t="s">
        <v>144</v>
      </c>
      <c r="B146" s="37">
        <v>14482568</v>
      </c>
      <c r="C146" s="37">
        <f t="shared" si="3"/>
        <v>11750081</v>
      </c>
      <c r="D146" s="37"/>
      <c r="E146" s="37">
        <f t="shared" si="4"/>
        <v>2732487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4"/>
  </sheetPr>
  <dimension ref="A1:S125"/>
  <sheetViews>
    <sheetView showGridLines="0" topLeftCell="A98" zoomScale="85" zoomScaleNormal="85" workbookViewId="0">
      <selection activeCell="N129" sqref="N129"/>
    </sheetView>
  </sheetViews>
  <sheetFormatPr defaultColWidth="9.109375" defaultRowHeight="15.6" outlineLevelRow="1" x14ac:dyDescent="0.3"/>
  <cols>
    <col min="1" max="1" width="45.33203125" style="211" customWidth="1"/>
    <col min="2" max="5" width="11.5546875" style="211" bestFit="1" customWidth="1"/>
    <col min="6" max="6" width="12.6640625" style="211" bestFit="1" customWidth="1"/>
    <col min="7" max="7" width="11.5546875" style="211" bestFit="1" customWidth="1"/>
    <col min="8" max="8" width="1.109375" style="211" customWidth="1"/>
    <col min="9" max="9" width="9.109375" style="211"/>
    <col min="10" max="10" width="20.109375" style="211" customWidth="1"/>
    <col min="11" max="16384" width="9.109375" style="211"/>
  </cols>
  <sheetData>
    <row r="1" spans="1:19" x14ac:dyDescent="0.3">
      <c r="A1" s="499" t="s">
        <v>1491</v>
      </c>
      <c r="D1" s="211" t="s">
        <v>176</v>
      </c>
    </row>
    <row r="2" spans="1:19" x14ac:dyDescent="0.3">
      <c r="A2" s="152" t="s">
        <v>1472</v>
      </c>
      <c r="I2" s="220"/>
    </row>
    <row r="3" spans="1:19" ht="9" customHeight="1" thickBot="1" x14ac:dyDescent="0.35">
      <c r="I3" s="220"/>
    </row>
    <row r="4" spans="1:19" x14ac:dyDescent="0.3">
      <c r="A4" s="212" t="s">
        <v>1204</v>
      </c>
      <c r="B4" s="501">
        <v>1974</v>
      </c>
      <c r="C4" s="501">
        <v>1973</v>
      </c>
      <c r="D4" s="501">
        <v>1972</v>
      </c>
      <c r="E4" s="501">
        <v>1971</v>
      </c>
      <c r="F4" s="501">
        <v>1970</v>
      </c>
      <c r="G4" s="501">
        <v>1969</v>
      </c>
      <c r="H4" s="502">
        <v>1968</v>
      </c>
    </row>
    <row r="5" spans="1:19" x14ac:dyDescent="0.3">
      <c r="A5" s="214" t="s">
        <v>157</v>
      </c>
      <c r="B5" s="250">
        <v>21543577</v>
      </c>
      <c r="C5" s="250">
        <v>26683653</v>
      </c>
      <c r="D5" s="250">
        <v>22111475</v>
      </c>
      <c r="E5" s="250">
        <v>17832686</v>
      </c>
      <c r="F5" s="250">
        <v>15156585</v>
      </c>
      <c r="G5" s="250">
        <v>19917661</v>
      </c>
      <c r="H5" s="251">
        <v>23244160</v>
      </c>
      <c r="I5" s="230"/>
      <c r="J5" s="230"/>
      <c r="K5" s="230"/>
      <c r="L5" s="230"/>
      <c r="M5" s="230"/>
      <c r="N5" s="230"/>
      <c r="O5" s="230"/>
      <c r="P5" s="230"/>
      <c r="Q5" s="230"/>
      <c r="R5" s="230"/>
      <c r="S5" s="230"/>
    </row>
    <row r="6" spans="1:19" x14ac:dyDescent="0.3">
      <c r="A6" s="214"/>
      <c r="B6" s="230"/>
      <c r="C6" s="230"/>
      <c r="D6" s="230"/>
      <c r="E6" s="230"/>
      <c r="F6" s="230"/>
      <c r="G6" s="230"/>
      <c r="H6" s="260"/>
      <c r="I6" s="230"/>
      <c r="J6" s="230"/>
      <c r="K6" s="230"/>
      <c r="L6" s="230"/>
      <c r="M6" s="230"/>
      <c r="N6" s="230"/>
      <c r="O6" s="230"/>
      <c r="P6" s="230"/>
      <c r="Q6" s="230"/>
      <c r="R6" s="230"/>
      <c r="S6" s="230"/>
    </row>
    <row r="7" spans="1:19" x14ac:dyDescent="0.3">
      <c r="A7" s="214" t="s">
        <v>158</v>
      </c>
      <c r="B7" s="234">
        <f>565107+10050113</f>
        <v>10615220</v>
      </c>
      <c r="C7" s="234">
        <v>11354830</v>
      </c>
      <c r="D7" s="234">
        <v>10614548</v>
      </c>
      <c r="E7" s="234">
        <v>12633150</v>
      </c>
      <c r="F7" s="234">
        <v>15128838</v>
      </c>
      <c r="G7" s="234">
        <v>11227704</v>
      </c>
      <c r="H7" s="237">
        <v>26922462</v>
      </c>
      <c r="I7" s="230"/>
      <c r="J7" s="230"/>
      <c r="K7" s="230"/>
      <c r="L7" s="230"/>
      <c r="M7" s="230"/>
      <c r="N7" s="230"/>
      <c r="O7" s="230"/>
      <c r="P7" s="230"/>
      <c r="Q7" s="230"/>
      <c r="R7" s="230"/>
      <c r="S7" s="230"/>
    </row>
    <row r="8" spans="1:19" x14ac:dyDescent="0.3">
      <c r="A8" s="214" t="s">
        <v>159</v>
      </c>
      <c r="B8" s="234">
        <v>45857638</v>
      </c>
      <c r="C8" s="234">
        <v>47712563</v>
      </c>
      <c r="D8" s="234">
        <v>50162736</v>
      </c>
      <c r="E8" s="234">
        <v>42884431</v>
      </c>
      <c r="F8" s="234">
        <v>36626896</v>
      </c>
      <c r="G8" s="234">
        <v>36005053</v>
      </c>
      <c r="H8" s="237">
        <v>17803334</v>
      </c>
      <c r="I8" s="230" t="s">
        <v>176</v>
      </c>
      <c r="J8" s="230"/>
      <c r="K8" s="230"/>
      <c r="L8" s="230"/>
      <c r="M8" s="230"/>
      <c r="N8" s="230"/>
      <c r="O8" s="230"/>
      <c r="P8" s="230"/>
      <c r="Q8" s="230"/>
      <c r="R8" s="230"/>
      <c r="S8" s="230"/>
    </row>
    <row r="9" spans="1:19" x14ac:dyDescent="0.3">
      <c r="A9" s="214" t="s">
        <v>160</v>
      </c>
      <c r="B9" s="234">
        <v>3845970</v>
      </c>
      <c r="C9" s="234">
        <v>3358350</v>
      </c>
      <c r="D9" s="234">
        <v>7778900</v>
      </c>
      <c r="E9" s="234">
        <v>5864759</v>
      </c>
      <c r="F9" s="234">
        <v>210000</v>
      </c>
      <c r="G9" s="234">
        <v>210000</v>
      </c>
      <c r="H9" s="237">
        <v>210000</v>
      </c>
      <c r="I9" s="230"/>
      <c r="J9" s="230"/>
      <c r="K9" s="230"/>
      <c r="L9" s="230"/>
      <c r="M9" s="230"/>
      <c r="N9" s="230"/>
      <c r="O9" s="230"/>
      <c r="P9" s="230"/>
      <c r="Q9" s="230"/>
      <c r="R9" s="230"/>
      <c r="S9" s="230"/>
    </row>
    <row r="10" spans="1:19" x14ac:dyDescent="0.3">
      <c r="A10" s="214" t="s">
        <v>1473</v>
      </c>
      <c r="B10" s="235">
        <f t="shared" ref="B10:H10" si="0">SUM(B7:B9)</f>
        <v>60318828</v>
      </c>
      <c r="C10" s="235">
        <f t="shared" si="0"/>
        <v>62425743</v>
      </c>
      <c r="D10" s="235">
        <f t="shared" si="0"/>
        <v>68556184</v>
      </c>
      <c r="E10" s="235">
        <f t="shared" si="0"/>
        <v>61382340</v>
      </c>
      <c r="F10" s="235">
        <f t="shared" si="0"/>
        <v>51965734</v>
      </c>
      <c r="G10" s="235">
        <f t="shared" si="0"/>
        <v>47442757</v>
      </c>
      <c r="H10" s="263">
        <f t="shared" si="0"/>
        <v>44935796</v>
      </c>
      <c r="I10" s="230"/>
      <c r="J10" s="230"/>
      <c r="K10" s="230"/>
      <c r="L10" s="230"/>
      <c r="M10" s="230"/>
      <c r="N10" s="230"/>
      <c r="O10" s="230"/>
      <c r="P10" s="230"/>
      <c r="Q10" s="230"/>
      <c r="R10" s="230"/>
      <c r="S10" s="230"/>
    </row>
    <row r="11" spans="1:19" x14ac:dyDescent="0.3">
      <c r="A11" s="214"/>
      <c r="B11" s="230"/>
      <c r="C11" s="230"/>
      <c r="D11" s="230"/>
      <c r="E11" s="230"/>
      <c r="F11" s="230"/>
      <c r="G11" s="230"/>
      <c r="H11" s="260"/>
      <c r="I11" s="230"/>
      <c r="J11" s="230"/>
      <c r="K11" s="230"/>
      <c r="L11" s="230"/>
      <c r="M11" s="230"/>
      <c r="N11" s="230"/>
      <c r="O11" s="230"/>
      <c r="P11" s="230"/>
      <c r="Q11" s="230"/>
      <c r="R11" s="230"/>
      <c r="S11" s="230"/>
    </row>
    <row r="12" spans="1:19" x14ac:dyDescent="0.3">
      <c r="A12" s="214" t="s">
        <v>206</v>
      </c>
      <c r="B12" s="234">
        <v>5000000</v>
      </c>
      <c r="C12" s="603"/>
      <c r="D12" s="603"/>
      <c r="E12" s="603"/>
      <c r="F12" s="603"/>
      <c r="G12" s="603"/>
      <c r="H12" s="1156"/>
      <c r="I12" s="230"/>
      <c r="J12" s="230"/>
      <c r="K12" s="230"/>
      <c r="L12" s="230"/>
      <c r="M12" s="230"/>
      <c r="N12" s="230"/>
      <c r="O12" s="230"/>
      <c r="P12" s="230"/>
      <c r="Q12" s="230"/>
      <c r="R12" s="230"/>
      <c r="S12" s="230"/>
    </row>
    <row r="13" spans="1:19" x14ac:dyDescent="0.3">
      <c r="A13" s="214" t="s">
        <v>161</v>
      </c>
      <c r="B13" s="234">
        <v>70853542</v>
      </c>
      <c r="C13" s="234">
        <v>66022357</v>
      </c>
      <c r="D13" s="234">
        <v>59618025</v>
      </c>
      <c r="E13" s="234">
        <v>54031811</v>
      </c>
      <c r="F13" s="234">
        <v>50840852</v>
      </c>
      <c r="G13" s="234">
        <v>47962992</v>
      </c>
      <c r="H13" s="237">
        <v>46995450</v>
      </c>
      <c r="I13" s="230"/>
      <c r="J13" s="230"/>
      <c r="K13" s="230"/>
      <c r="L13" s="230"/>
      <c r="M13" s="230"/>
      <c r="N13" s="230"/>
      <c r="O13" s="230"/>
      <c r="P13" s="230"/>
      <c r="Q13" s="230"/>
      <c r="R13" s="230"/>
      <c r="S13" s="230"/>
    </row>
    <row r="14" spans="1:19" x14ac:dyDescent="0.3">
      <c r="A14" s="214" t="s">
        <v>162</v>
      </c>
      <c r="B14" s="234">
        <v>1008749</v>
      </c>
      <c r="C14" s="234">
        <v>1116504</v>
      </c>
      <c r="D14" s="234">
        <v>1360892</v>
      </c>
      <c r="E14" s="234">
        <v>1522546</v>
      </c>
      <c r="F14" s="234">
        <v>1624221</v>
      </c>
      <c r="G14" s="234">
        <v>1825164</v>
      </c>
      <c r="H14" s="237">
        <v>1236936</v>
      </c>
      <c r="I14" s="230"/>
      <c r="J14" s="230"/>
      <c r="K14" s="230"/>
      <c r="L14" s="230"/>
      <c r="M14" s="230"/>
      <c r="N14" s="230"/>
      <c r="O14" s="230"/>
      <c r="P14" s="230"/>
      <c r="Q14" s="230"/>
      <c r="R14" s="230"/>
      <c r="S14" s="230"/>
    </row>
    <row r="15" spans="1:19" x14ac:dyDescent="0.3">
      <c r="A15" s="214" t="s">
        <v>163</v>
      </c>
      <c r="B15" s="234">
        <f>1812021+1044645</f>
        <v>2856666</v>
      </c>
      <c r="C15" s="234">
        <f>1549003+607074</f>
        <v>2156077</v>
      </c>
      <c r="D15" s="234">
        <v>1750315</v>
      </c>
      <c r="E15" s="234">
        <v>1252113</v>
      </c>
      <c r="F15" s="234">
        <v>1738877</v>
      </c>
      <c r="G15" s="234">
        <v>1040477</v>
      </c>
      <c r="H15" s="237">
        <v>895831</v>
      </c>
      <c r="I15" s="230"/>
      <c r="J15" s="230"/>
      <c r="K15" s="230"/>
      <c r="L15" s="230"/>
      <c r="M15" s="230"/>
      <c r="N15" s="230"/>
      <c r="O15" s="230"/>
      <c r="P15" s="230"/>
      <c r="Q15" s="230"/>
      <c r="R15" s="230"/>
      <c r="S15" s="230"/>
    </row>
    <row r="16" spans="1:19" ht="16.2" thickBot="1" x14ac:dyDescent="0.35">
      <c r="A16" s="214" t="s">
        <v>282</v>
      </c>
      <c r="B16" s="828">
        <f t="shared" ref="B16:H16" si="1">SUM(B10:B15)+B5</f>
        <v>161581362</v>
      </c>
      <c r="C16" s="828">
        <f t="shared" si="1"/>
        <v>158404334</v>
      </c>
      <c r="D16" s="828">
        <f t="shared" si="1"/>
        <v>153396891</v>
      </c>
      <c r="E16" s="828">
        <f t="shared" si="1"/>
        <v>136021496</v>
      </c>
      <c r="F16" s="828">
        <f t="shared" si="1"/>
        <v>121326269</v>
      </c>
      <c r="G16" s="828">
        <f t="shared" si="1"/>
        <v>118189051</v>
      </c>
      <c r="H16" s="829">
        <f t="shared" si="1"/>
        <v>117308173</v>
      </c>
      <c r="I16" s="230"/>
      <c r="J16" s="230"/>
      <c r="K16" s="230"/>
      <c r="L16" s="230"/>
      <c r="M16" s="230"/>
      <c r="N16" s="230"/>
      <c r="O16" s="230"/>
      <c r="P16" s="230"/>
      <c r="Q16" s="230"/>
      <c r="R16" s="230"/>
      <c r="S16" s="230"/>
    </row>
    <row r="17" spans="1:19" ht="16.2" thickTop="1" x14ac:dyDescent="0.3">
      <c r="A17" s="214"/>
      <c r="B17" s="230"/>
      <c r="C17" s="230"/>
      <c r="D17" s="230"/>
      <c r="E17" s="230"/>
      <c r="F17" s="230"/>
      <c r="G17" s="230"/>
      <c r="H17" s="260"/>
      <c r="I17" s="230"/>
      <c r="J17" s="230"/>
      <c r="K17" s="230"/>
      <c r="L17" s="230"/>
      <c r="M17" s="230"/>
      <c r="N17" s="230"/>
      <c r="O17" s="230"/>
      <c r="P17" s="230"/>
      <c r="Q17" s="230"/>
      <c r="R17" s="230"/>
      <c r="S17" s="230"/>
    </row>
    <row r="18" spans="1:19" x14ac:dyDescent="0.3">
      <c r="A18" s="214" t="s">
        <v>164</v>
      </c>
      <c r="B18" s="234">
        <v>53177813</v>
      </c>
      <c r="C18" s="234">
        <v>55716465</v>
      </c>
      <c r="D18" s="234">
        <v>55129900</v>
      </c>
      <c r="E18" s="234">
        <v>51208396</v>
      </c>
      <c r="F18" s="234">
        <v>52478179</v>
      </c>
      <c r="G18" s="234">
        <v>58237471</v>
      </c>
      <c r="H18" s="237">
        <v>57676992</v>
      </c>
      <c r="I18" s="230"/>
      <c r="J18" s="230"/>
      <c r="K18" s="230"/>
      <c r="L18" s="230"/>
      <c r="M18" s="230" t="s">
        <v>176</v>
      </c>
      <c r="N18" s="230"/>
      <c r="O18" s="230"/>
      <c r="P18" s="230"/>
      <c r="Q18" s="230"/>
      <c r="R18" s="230"/>
      <c r="S18" s="230"/>
    </row>
    <row r="19" spans="1:19" x14ac:dyDescent="0.3">
      <c r="A19" s="214" t="s">
        <v>165</v>
      </c>
      <c r="B19" s="234">
        <v>85519225</v>
      </c>
      <c r="C19" s="234">
        <v>81450028</v>
      </c>
      <c r="D19" s="234">
        <v>77558396</v>
      </c>
      <c r="E19" s="234">
        <v>64639857</v>
      </c>
      <c r="F19" s="234">
        <v>49095130</v>
      </c>
      <c r="G19" s="234">
        <v>41317347</v>
      </c>
      <c r="H19" s="237">
        <v>41408448</v>
      </c>
      <c r="I19" s="230"/>
      <c r="J19" s="230"/>
      <c r="K19" s="230"/>
      <c r="L19" s="230"/>
      <c r="M19" s="230"/>
      <c r="N19" s="230"/>
      <c r="O19" s="230"/>
      <c r="P19" s="230"/>
      <c r="Q19" s="230"/>
      <c r="R19" s="230"/>
      <c r="S19" s="230"/>
    </row>
    <row r="20" spans="1:19" x14ac:dyDescent="0.3">
      <c r="A20" s="214" t="s">
        <v>166</v>
      </c>
      <c r="B20" s="235">
        <f t="shared" ref="B20:H20" si="2">SUM(B18:B19)</f>
        <v>138697038</v>
      </c>
      <c r="C20" s="235">
        <f t="shared" si="2"/>
        <v>137166493</v>
      </c>
      <c r="D20" s="235">
        <f t="shared" si="2"/>
        <v>132688296</v>
      </c>
      <c r="E20" s="235">
        <f t="shared" si="2"/>
        <v>115848253</v>
      </c>
      <c r="F20" s="235">
        <f t="shared" si="2"/>
        <v>101573309</v>
      </c>
      <c r="G20" s="235">
        <f t="shared" si="2"/>
        <v>99554818</v>
      </c>
      <c r="H20" s="263">
        <f t="shared" si="2"/>
        <v>99085440</v>
      </c>
      <c r="I20" s="230"/>
      <c r="J20" s="230"/>
      <c r="K20" s="230"/>
      <c r="L20" s="230"/>
      <c r="M20" s="230"/>
      <c r="N20" s="230"/>
      <c r="O20" s="230"/>
      <c r="P20" s="230"/>
      <c r="Q20" s="230"/>
      <c r="R20" s="230"/>
      <c r="S20" s="230"/>
    </row>
    <row r="21" spans="1:19" x14ac:dyDescent="0.3">
      <c r="A21" s="214"/>
      <c r="B21" s="230"/>
      <c r="C21" s="230"/>
      <c r="D21" s="230"/>
      <c r="E21" s="230"/>
      <c r="F21" s="230"/>
      <c r="G21" s="230"/>
      <c r="H21" s="260"/>
      <c r="I21" s="230"/>
      <c r="J21" s="230"/>
      <c r="K21" s="230"/>
      <c r="L21" s="230"/>
      <c r="M21" s="230"/>
      <c r="N21" s="230"/>
      <c r="O21" s="230"/>
      <c r="P21" s="230"/>
      <c r="Q21" s="230"/>
      <c r="R21" s="230"/>
      <c r="S21" s="230"/>
    </row>
    <row r="22" spans="1:19" x14ac:dyDescent="0.3">
      <c r="A22" s="214" t="s">
        <v>167</v>
      </c>
      <c r="B22" s="234">
        <v>1005234</v>
      </c>
      <c r="C22" s="234">
        <v>835154</v>
      </c>
      <c r="D22" s="234">
        <v>886645</v>
      </c>
      <c r="E22" s="234">
        <v>813769</v>
      </c>
      <c r="F22" s="234">
        <v>679122</v>
      </c>
      <c r="G22" s="234">
        <v>638453</v>
      </c>
      <c r="H22" s="237">
        <v>783194</v>
      </c>
      <c r="I22" s="230"/>
      <c r="J22" s="230"/>
      <c r="K22" s="230"/>
      <c r="L22" s="230"/>
      <c r="M22" s="230"/>
      <c r="N22" s="230"/>
      <c r="O22" s="230"/>
      <c r="P22" s="230"/>
      <c r="Q22" s="230"/>
      <c r="R22" s="230"/>
      <c r="S22" s="230"/>
    </row>
    <row r="23" spans="1:19" x14ac:dyDescent="0.3">
      <c r="A23" s="214" t="s">
        <v>136</v>
      </c>
      <c r="B23" s="235">
        <f t="shared" ref="B23:H23" si="3">SUM(B20:B22)</f>
        <v>139702272</v>
      </c>
      <c r="C23" s="235">
        <f t="shared" si="3"/>
        <v>138001647</v>
      </c>
      <c r="D23" s="235">
        <f t="shared" si="3"/>
        <v>133574941</v>
      </c>
      <c r="E23" s="235">
        <f t="shared" si="3"/>
        <v>116662022</v>
      </c>
      <c r="F23" s="235">
        <f t="shared" si="3"/>
        <v>102252431</v>
      </c>
      <c r="G23" s="235">
        <f t="shared" si="3"/>
        <v>100193271</v>
      </c>
      <c r="H23" s="263">
        <f t="shared" si="3"/>
        <v>99868634</v>
      </c>
      <c r="I23" s="230"/>
      <c r="J23" s="230"/>
      <c r="K23" s="230"/>
      <c r="L23" s="230"/>
      <c r="M23" s="230"/>
      <c r="N23" s="230"/>
      <c r="O23" s="230"/>
      <c r="P23" s="230"/>
      <c r="Q23" s="230"/>
      <c r="R23" s="230"/>
      <c r="S23" s="230"/>
    </row>
    <row r="24" spans="1:19" x14ac:dyDescent="0.3">
      <c r="A24" s="214"/>
      <c r="B24" s="230"/>
      <c r="C24" s="230"/>
      <c r="D24" s="230"/>
      <c r="E24" s="230"/>
      <c r="F24" s="230"/>
      <c r="G24" s="230"/>
      <c r="H24" s="260"/>
      <c r="I24" s="230"/>
      <c r="J24" s="230"/>
      <c r="K24" s="230"/>
      <c r="L24" s="230"/>
      <c r="M24" s="230"/>
      <c r="N24" s="230"/>
      <c r="O24" s="230"/>
      <c r="P24" s="230"/>
      <c r="Q24" s="230"/>
      <c r="R24" s="230"/>
      <c r="S24" s="230"/>
    </row>
    <row r="25" spans="1:19" x14ac:dyDescent="0.3">
      <c r="A25" s="214" t="s">
        <v>168</v>
      </c>
      <c r="B25" s="234">
        <v>1251163</v>
      </c>
      <c r="C25" s="234">
        <v>1163658</v>
      </c>
      <c r="D25" s="234">
        <v>1024601</v>
      </c>
      <c r="E25" s="234">
        <v>854671</v>
      </c>
      <c r="F25" s="234">
        <v>860445</v>
      </c>
      <c r="G25" s="234">
        <v>800271</v>
      </c>
      <c r="H25" s="237">
        <v>599008</v>
      </c>
      <c r="I25" s="230"/>
      <c r="J25" s="230"/>
      <c r="K25" s="230"/>
      <c r="L25" s="230"/>
      <c r="M25" s="230"/>
      <c r="N25" s="230"/>
      <c r="O25" s="230"/>
      <c r="P25" s="230"/>
      <c r="Q25" s="230"/>
      <c r="R25" s="230"/>
      <c r="S25" s="230"/>
    </row>
    <row r="26" spans="1:19" x14ac:dyDescent="0.3">
      <c r="A26" s="214"/>
      <c r="B26" s="230"/>
      <c r="C26" s="230"/>
      <c r="D26" s="230"/>
      <c r="E26" s="230"/>
      <c r="F26" s="230"/>
      <c r="G26" s="230"/>
      <c r="H26" s="260"/>
      <c r="I26" s="230"/>
      <c r="J26" s="230"/>
      <c r="K26" s="230"/>
      <c r="L26" s="230"/>
      <c r="M26" s="230"/>
      <c r="N26" s="230"/>
      <c r="O26" s="230"/>
      <c r="P26" s="230"/>
      <c r="Q26" s="230"/>
      <c r="R26" s="230"/>
      <c r="S26" s="230"/>
    </row>
    <row r="27" spans="1:19" hidden="1" outlineLevel="1" x14ac:dyDescent="0.3">
      <c r="A27" s="214" t="s">
        <v>169</v>
      </c>
      <c r="B27" s="230">
        <v>5000000</v>
      </c>
      <c r="C27" s="230">
        <v>5000000</v>
      </c>
      <c r="D27" s="230">
        <v>5000000</v>
      </c>
      <c r="E27" s="230">
        <v>5000000</v>
      </c>
      <c r="F27" s="230">
        <v>2000000</v>
      </c>
      <c r="G27" s="230">
        <v>2000000</v>
      </c>
      <c r="H27" s="260">
        <v>2000000</v>
      </c>
      <c r="I27" s="230"/>
      <c r="J27" s="230"/>
      <c r="K27" s="230"/>
      <c r="L27" s="230"/>
      <c r="M27" s="230"/>
      <c r="N27" s="230"/>
      <c r="O27" s="230"/>
      <c r="P27" s="230"/>
      <c r="Q27" s="230"/>
      <c r="R27" s="230"/>
      <c r="S27" s="230"/>
    </row>
    <row r="28" spans="1:19" hidden="1" outlineLevel="1" x14ac:dyDescent="0.3">
      <c r="A28" s="214" t="s">
        <v>170</v>
      </c>
      <c r="B28" s="230">
        <v>5000000</v>
      </c>
      <c r="C28" s="230">
        <v>5000000</v>
      </c>
      <c r="D28" s="230">
        <v>5000000</v>
      </c>
      <c r="E28" s="230">
        <v>5000000</v>
      </c>
      <c r="F28" s="230">
        <v>5000000</v>
      </c>
      <c r="G28" s="230">
        <v>5027442</v>
      </c>
      <c r="H28" s="260">
        <v>5027442</v>
      </c>
      <c r="I28" s="230"/>
      <c r="J28" s="230"/>
      <c r="K28" s="230"/>
      <c r="L28" s="230"/>
      <c r="M28" s="230"/>
      <c r="N28" s="230"/>
      <c r="O28" s="230"/>
      <c r="P28" s="230"/>
      <c r="Q28" s="230"/>
      <c r="R28" s="230"/>
      <c r="S28" s="230"/>
    </row>
    <row r="29" spans="1:19" hidden="1" outlineLevel="1" x14ac:dyDescent="0.3">
      <c r="A29" s="214" t="s">
        <v>171</v>
      </c>
      <c r="B29" s="230">
        <v>9626927</v>
      </c>
      <c r="C29" s="230">
        <v>8238029</v>
      </c>
      <c r="D29" s="230">
        <v>7796349</v>
      </c>
      <c r="E29" s="230">
        <v>7503803</v>
      </c>
      <c r="F29" s="230">
        <v>10137393</v>
      </c>
      <c r="G29" s="230">
        <v>9092067</v>
      </c>
      <c r="H29" s="260">
        <v>8737089</v>
      </c>
      <c r="I29" s="230"/>
      <c r="J29" s="230"/>
      <c r="K29" s="230"/>
      <c r="L29" s="230"/>
      <c r="M29" s="230"/>
      <c r="N29" s="230"/>
      <c r="O29" s="230"/>
      <c r="P29" s="230"/>
      <c r="Q29" s="230"/>
      <c r="R29" s="230"/>
      <c r="S29" s="230"/>
    </row>
    <row r="30" spans="1:19" hidden="1" outlineLevel="1" x14ac:dyDescent="0.3">
      <c r="A30" s="214" t="s">
        <v>172</v>
      </c>
      <c r="B30" s="230">
        <v>1001000</v>
      </c>
      <c r="C30" s="230">
        <v>1001000</v>
      </c>
      <c r="D30" s="230">
        <v>1001000</v>
      </c>
      <c r="E30" s="230">
        <v>1001000</v>
      </c>
      <c r="F30" s="230">
        <v>1001000</v>
      </c>
      <c r="G30" s="230">
        <v>1001000</v>
      </c>
      <c r="H30" s="260">
        <v>1001000</v>
      </c>
      <c r="I30" s="230"/>
      <c r="J30" s="230"/>
      <c r="K30" s="230"/>
      <c r="L30" s="230"/>
      <c r="M30" s="230"/>
      <c r="N30" s="230"/>
      <c r="O30" s="230"/>
      <c r="P30" s="230"/>
      <c r="Q30" s="230"/>
      <c r="R30" s="230"/>
      <c r="S30" s="230"/>
    </row>
    <row r="31" spans="1:19" hidden="1" outlineLevel="1" x14ac:dyDescent="0.3">
      <c r="A31" s="214" t="s">
        <v>173</v>
      </c>
      <c r="B31" s="230">
        <v>0</v>
      </c>
      <c r="C31" s="230">
        <v>0</v>
      </c>
      <c r="D31" s="230">
        <v>0</v>
      </c>
      <c r="E31" s="230">
        <v>0</v>
      </c>
      <c r="F31" s="230">
        <v>75000</v>
      </c>
      <c r="G31" s="230">
        <v>75000</v>
      </c>
      <c r="H31" s="260">
        <v>75000</v>
      </c>
      <c r="I31" s="230"/>
      <c r="J31" s="230"/>
      <c r="K31" s="230"/>
      <c r="L31" s="230"/>
      <c r="M31" s="230"/>
      <c r="N31" s="230"/>
      <c r="O31" s="230"/>
      <c r="P31" s="230"/>
      <c r="Q31" s="230"/>
      <c r="R31" s="230"/>
      <c r="S31" s="230"/>
    </row>
    <row r="32" spans="1:19" collapsed="1" x14ac:dyDescent="0.3">
      <c r="A32" s="214" t="s">
        <v>174</v>
      </c>
      <c r="B32" s="234">
        <f t="shared" ref="B32:H32" si="4">SUM(B27:B31)</f>
        <v>20627927</v>
      </c>
      <c r="C32" s="234">
        <f t="shared" si="4"/>
        <v>19239029</v>
      </c>
      <c r="D32" s="234">
        <f t="shared" si="4"/>
        <v>18797349</v>
      </c>
      <c r="E32" s="234">
        <f t="shared" si="4"/>
        <v>18504803</v>
      </c>
      <c r="F32" s="234">
        <f t="shared" si="4"/>
        <v>18213393</v>
      </c>
      <c r="G32" s="234">
        <f t="shared" si="4"/>
        <v>17195509</v>
      </c>
      <c r="H32" s="237">
        <f t="shared" si="4"/>
        <v>16840531</v>
      </c>
      <c r="I32" s="230"/>
      <c r="J32" s="230"/>
      <c r="K32" s="230"/>
      <c r="L32" s="230"/>
      <c r="M32" s="230"/>
      <c r="N32" s="230"/>
      <c r="O32" s="230"/>
      <c r="P32" s="230"/>
      <c r="Q32" s="230"/>
      <c r="R32" s="230"/>
      <c r="S32" s="230"/>
    </row>
    <row r="33" spans="1:19" ht="16.2" thickBot="1" x14ac:dyDescent="0.35">
      <c r="A33" s="214" t="s">
        <v>175</v>
      </c>
      <c r="B33" s="581">
        <f t="shared" ref="B33:H33" si="5">B23+B32+B25</f>
        <v>161581362</v>
      </c>
      <c r="C33" s="581">
        <f t="shared" si="5"/>
        <v>158404334</v>
      </c>
      <c r="D33" s="581">
        <f t="shared" si="5"/>
        <v>153396891</v>
      </c>
      <c r="E33" s="581">
        <f t="shared" si="5"/>
        <v>136021496</v>
      </c>
      <c r="F33" s="581">
        <f t="shared" si="5"/>
        <v>121326269</v>
      </c>
      <c r="G33" s="581">
        <f t="shared" si="5"/>
        <v>118189051</v>
      </c>
      <c r="H33" s="582">
        <f t="shared" si="5"/>
        <v>117308173</v>
      </c>
      <c r="I33" s="230"/>
      <c r="J33" s="230"/>
      <c r="K33" s="230"/>
      <c r="L33" s="230"/>
      <c r="M33" s="230"/>
      <c r="N33" s="230"/>
      <c r="O33" s="230"/>
      <c r="P33" s="230"/>
      <c r="Q33" s="230"/>
      <c r="R33" s="230"/>
      <c r="S33" s="230"/>
    </row>
    <row r="34" spans="1:19" s="345" customFormat="1" ht="16.2" hidden="1" outlineLevel="1" thickTop="1" x14ac:dyDescent="0.3">
      <c r="A34" s="342" t="s">
        <v>20</v>
      </c>
      <c r="B34" s="343">
        <f t="shared" ref="B34:H34" si="6">B16-B33</f>
        <v>0</v>
      </c>
      <c r="C34" s="343">
        <f t="shared" si="6"/>
        <v>0</v>
      </c>
      <c r="D34" s="343">
        <f t="shared" si="6"/>
        <v>0</v>
      </c>
      <c r="E34" s="343">
        <f t="shared" si="6"/>
        <v>0</v>
      </c>
      <c r="F34" s="343">
        <f t="shared" si="6"/>
        <v>0</v>
      </c>
      <c r="G34" s="343">
        <f t="shared" si="6"/>
        <v>0</v>
      </c>
      <c r="H34" s="344">
        <f t="shared" si="6"/>
        <v>0</v>
      </c>
      <c r="I34" s="343"/>
      <c r="J34" s="343"/>
      <c r="K34" s="343"/>
      <c r="L34" s="343"/>
      <c r="M34" s="343"/>
      <c r="N34" s="343"/>
      <c r="O34" s="343"/>
      <c r="P34" s="343"/>
      <c r="Q34" s="343"/>
      <c r="R34" s="343"/>
      <c r="S34" s="343"/>
    </row>
    <row r="35" spans="1:19" ht="9.6" customHeight="1" collapsed="1" thickTop="1" thickBot="1" x14ac:dyDescent="0.35">
      <c r="A35" s="224"/>
      <c r="B35" s="218"/>
      <c r="C35" s="218"/>
      <c r="D35" s="218"/>
      <c r="E35" s="218"/>
      <c r="F35" s="218"/>
      <c r="G35" s="218"/>
      <c r="H35" s="219"/>
    </row>
    <row r="36" spans="1:19" x14ac:dyDescent="0.3">
      <c r="A36" s="804" t="s">
        <v>3707</v>
      </c>
      <c r="B36" s="397"/>
      <c r="C36" s="397"/>
      <c r="D36" s="397"/>
      <c r="E36" s="397"/>
      <c r="F36" s="397"/>
      <c r="G36" s="397"/>
      <c r="H36" s="397"/>
      <c r="I36" s="220"/>
    </row>
    <row r="38" spans="1:19" s="372" customFormat="1" x14ac:dyDescent="0.3">
      <c r="A38" s="372" t="s">
        <v>176</v>
      </c>
    </row>
    <row r="39" spans="1:19" x14ac:dyDescent="0.3">
      <c r="A39" s="220"/>
    </row>
    <row r="40" spans="1:19" x14ac:dyDescent="0.3">
      <c r="A40" s="496" t="s">
        <v>1492</v>
      </c>
      <c r="B40" s="220"/>
      <c r="C40" s="220"/>
      <c r="D40" s="220" t="s">
        <v>176</v>
      </c>
      <c r="E40" s="220"/>
      <c r="F40" s="220"/>
      <c r="G40" s="220"/>
      <c r="H40" s="220"/>
    </row>
    <row r="41" spans="1:19" x14ac:dyDescent="0.3">
      <c r="A41" s="441" t="s">
        <v>1474</v>
      </c>
      <c r="B41" s="220"/>
      <c r="C41" s="220"/>
      <c r="D41" s="220"/>
      <c r="E41" s="220"/>
      <c r="F41" s="220"/>
      <c r="G41" s="220"/>
      <c r="H41" s="220"/>
      <c r="I41" s="220"/>
    </row>
    <row r="42" spans="1:19" ht="9" customHeight="1" thickBot="1" x14ac:dyDescent="0.35">
      <c r="A42" s="218"/>
      <c r="B42" s="220"/>
      <c r="C42" s="220"/>
      <c r="D42" s="220"/>
      <c r="E42" s="220"/>
      <c r="F42" s="220"/>
      <c r="G42" s="220"/>
      <c r="H42" s="218"/>
      <c r="I42" s="220"/>
    </row>
    <row r="43" spans="1:19" x14ac:dyDescent="0.3">
      <c r="A43" s="212" t="s">
        <v>1204</v>
      </c>
      <c r="B43" s="712">
        <v>1974</v>
      </c>
      <c r="C43" s="712">
        <v>1973</v>
      </c>
      <c r="D43" s="712">
        <v>1972</v>
      </c>
      <c r="E43" s="712">
        <v>1971</v>
      </c>
      <c r="F43" s="712">
        <v>1970</v>
      </c>
      <c r="G43" s="712">
        <v>1969</v>
      </c>
      <c r="H43" s="713">
        <v>1968</v>
      </c>
    </row>
    <row r="44" spans="1:19" x14ac:dyDescent="0.3">
      <c r="A44" s="214" t="s">
        <v>177</v>
      </c>
      <c r="B44" s="707">
        <v>6607862</v>
      </c>
      <c r="C44" s="707">
        <v>5316152</v>
      </c>
      <c r="D44" s="707">
        <v>4134013</v>
      </c>
      <c r="E44" s="707">
        <v>4006094</v>
      </c>
      <c r="F44" s="707">
        <v>4129567</v>
      </c>
      <c r="G44" s="707">
        <v>3820358</v>
      </c>
      <c r="H44" s="708">
        <v>3431019</v>
      </c>
    </row>
    <row r="45" spans="1:19" x14ac:dyDescent="0.3">
      <c r="A45" s="214" t="s">
        <v>178</v>
      </c>
      <c r="B45" s="814">
        <v>361452</v>
      </c>
      <c r="C45" s="814">
        <v>236853</v>
      </c>
      <c r="D45" s="814">
        <v>109905</v>
      </c>
      <c r="E45" s="814">
        <v>109271</v>
      </c>
      <c r="F45" s="814">
        <v>316798</v>
      </c>
      <c r="G45" s="814">
        <v>392335</v>
      </c>
      <c r="H45" s="800">
        <v>319556</v>
      </c>
    </row>
    <row r="46" spans="1:19" x14ac:dyDescent="0.3">
      <c r="A46" s="214" t="s">
        <v>179</v>
      </c>
      <c r="B46" s="814"/>
      <c r="C46" s="814"/>
      <c r="D46" s="814"/>
      <c r="E46" s="814"/>
      <c r="F46" s="814"/>
      <c r="G46" s="814"/>
      <c r="H46" s="800"/>
    </row>
    <row r="47" spans="1:19" x14ac:dyDescent="0.3">
      <c r="A47" s="214" t="s">
        <v>180</v>
      </c>
      <c r="B47" s="814">
        <f>42986+898579</f>
        <v>941565</v>
      </c>
      <c r="C47" s="814">
        <v>632176</v>
      </c>
      <c r="D47" s="814">
        <v>598308</v>
      </c>
      <c r="E47" s="814">
        <v>708058</v>
      </c>
      <c r="F47" s="814">
        <v>568926</v>
      </c>
      <c r="G47" s="814">
        <v>1003301</v>
      </c>
      <c r="H47" s="800">
        <v>1419708</v>
      </c>
    </row>
    <row r="48" spans="1:19" x14ac:dyDescent="0.3">
      <c r="A48" s="214" t="s">
        <v>181</v>
      </c>
      <c r="B48" s="814">
        <v>2797632</v>
      </c>
      <c r="C48" s="814">
        <v>2795721</v>
      </c>
      <c r="D48" s="814">
        <v>2677138</v>
      </c>
      <c r="E48" s="814">
        <v>2093649</v>
      </c>
      <c r="F48" s="814">
        <v>1717256</v>
      </c>
      <c r="G48" s="814">
        <v>1154524</v>
      </c>
      <c r="H48" s="800">
        <v>531755</v>
      </c>
    </row>
    <row r="49" spans="1:10" x14ac:dyDescent="0.3">
      <c r="A49" s="214" t="s">
        <v>204</v>
      </c>
      <c r="B49" s="814">
        <v>284283</v>
      </c>
      <c r="C49" s="814">
        <v>342642</v>
      </c>
      <c r="D49" s="814">
        <v>524229</v>
      </c>
      <c r="E49" s="814">
        <v>227684</v>
      </c>
      <c r="F49" s="814">
        <v>12600</v>
      </c>
      <c r="G49" s="814">
        <v>0</v>
      </c>
      <c r="H49" s="800">
        <v>0</v>
      </c>
    </row>
    <row r="50" spans="1:10" x14ac:dyDescent="0.3">
      <c r="A50" s="832" t="s">
        <v>184</v>
      </c>
      <c r="B50" s="814">
        <v>434201</v>
      </c>
      <c r="C50" s="814">
        <v>450529</v>
      </c>
      <c r="D50" s="814">
        <v>385389</v>
      </c>
      <c r="E50" s="814">
        <v>336362</v>
      </c>
      <c r="F50" s="814">
        <v>280038</v>
      </c>
      <c r="G50" s="814">
        <v>342976</v>
      </c>
      <c r="H50" s="800">
        <v>339039</v>
      </c>
    </row>
    <row r="51" spans="1:10" x14ac:dyDescent="0.3">
      <c r="A51" s="214" t="s">
        <v>182</v>
      </c>
      <c r="B51" s="814">
        <v>139060</v>
      </c>
      <c r="C51" s="814">
        <v>129500</v>
      </c>
      <c r="D51" s="814">
        <v>127258</v>
      </c>
      <c r="E51" s="814">
        <v>137345</v>
      </c>
      <c r="F51" s="814">
        <v>151551</v>
      </c>
      <c r="G51" s="814">
        <v>219891</v>
      </c>
      <c r="H51" s="800">
        <v>199012</v>
      </c>
    </row>
    <row r="52" spans="1:10" x14ac:dyDescent="0.3">
      <c r="A52" s="214" t="s">
        <v>15</v>
      </c>
      <c r="B52" s="814">
        <v>559578</v>
      </c>
      <c r="C52" s="814">
        <v>499862</v>
      </c>
      <c r="D52" s="814">
        <v>411413</v>
      </c>
      <c r="E52" s="814">
        <v>306616</v>
      </c>
      <c r="F52" s="814">
        <v>354321</v>
      </c>
      <c r="G52" s="814">
        <v>247796</v>
      </c>
      <c r="H52" s="800">
        <v>250463</v>
      </c>
    </row>
    <row r="53" spans="1:10" s="152" customFormat="1" x14ac:dyDescent="0.3">
      <c r="A53" s="214" t="s">
        <v>183</v>
      </c>
      <c r="B53" s="817">
        <f t="shared" ref="B53:H53" si="7">SUM(B44:B52)</f>
        <v>12125633</v>
      </c>
      <c r="C53" s="817">
        <f t="shared" si="7"/>
        <v>10403435</v>
      </c>
      <c r="D53" s="817">
        <f t="shared" si="7"/>
        <v>8967653</v>
      </c>
      <c r="E53" s="817">
        <f t="shared" si="7"/>
        <v>7925079</v>
      </c>
      <c r="F53" s="817">
        <f t="shared" si="7"/>
        <v>7531057</v>
      </c>
      <c r="G53" s="817">
        <f t="shared" si="7"/>
        <v>7181181</v>
      </c>
      <c r="H53" s="818">
        <f t="shared" si="7"/>
        <v>6490552</v>
      </c>
    </row>
    <row r="54" spans="1:10" x14ac:dyDescent="0.3">
      <c r="A54" s="214"/>
      <c r="B54" s="814"/>
      <c r="C54" s="814"/>
      <c r="D54" s="814"/>
      <c r="E54" s="814"/>
      <c r="F54" s="814"/>
      <c r="G54" s="814"/>
      <c r="H54" s="800"/>
    </row>
    <row r="55" spans="1:10" x14ac:dyDescent="0.3">
      <c r="A55" s="221" t="s">
        <v>185</v>
      </c>
      <c r="B55" s="814"/>
      <c r="C55" s="814"/>
      <c r="D55" s="814"/>
      <c r="E55" s="814"/>
      <c r="F55" s="814"/>
      <c r="G55" s="814"/>
      <c r="H55" s="800"/>
    </row>
    <row r="56" spans="1:10" x14ac:dyDescent="0.3">
      <c r="A56" s="214" t="s">
        <v>186</v>
      </c>
      <c r="B56" s="814">
        <v>1551511</v>
      </c>
      <c r="C56" s="814">
        <v>1503374</v>
      </c>
      <c r="D56" s="814">
        <v>1366702</v>
      </c>
      <c r="E56" s="814">
        <v>1351500</v>
      </c>
      <c r="F56" s="814">
        <v>1298380</v>
      </c>
      <c r="G56" s="814">
        <v>1159126</v>
      </c>
      <c r="H56" s="800">
        <v>1073054</v>
      </c>
    </row>
    <row r="57" spans="1:10" x14ac:dyDescent="0.3">
      <c r="A57" s="214" t="s">
        <v>187</v>
      </c>
      <c r="B57" s="814">
        <v>246573</v>
      </c>
      <c r="C57" s="814">
        <v>262878</v>
      </c>
      <c r="D57" s="814">
        <v>238618</v>
      </c>
      <c r="E57" s="814">
        <v>137717</v>
      </c>
      <c r="F57" s="814">
        <v>151391</v>
      </c>
      <c r="G57" s="814">
        <v>113551</v>
      </c>
      <c r="H57" s="800">
        <v>137037</v>
      </c>
      <c r="J57" s="211" t="s">
        <v>176</v>
      </c>
    </row>
    <row r="58" spans="1:10" x14ac:dyDescent="0.3">
      <c r="A58" s="214" t="s">
        <v>188</v>
      </c>
      <c r="B58" s="814">
        <v>4954302</v>
      </c>
      <c r="C58" s="814">
        <v>4295303</v>
      </c>
      <c r="D58" s="814">
        <v>3418746</v>
      </c>
      <c r="E58" s="814">
        <v>2732651</v>
      </c>
      <c r="F58" s="814">
        <v>2028709</v>
      </c>
      <c r="G58" s="814">
        <v>1694877</v>
      </c>
      <c r="H58" s="800">
        <v>1493180</v>
      </c>
    </row>
    <row r="59" spans="1:10" x14ac:dyDescent="0.3">
      <c r="A59" s="214" t="s">
        <v>189</v>
      </c>
      <c r="B59" s="814">
        <v>14106</v>
      </c>
      <c r="C59" s="814">
        <v>55303</v>
      </c>
      <c r="D59" s="814">
        <v>3137</v>
      </c>
      <c r="E59" s="814">
        <v>1632</v>
      </c>
      <c r="F59" s="814">
        <v>3573</v>
      </c>
      <c r="G59" s="814">
        <v>12538</v>
      </c>
      <c r="H59" s="800">
        <v>2517</v>
      </c>
    </row>
    <row r="60" spans="1:10" x14ac:dyDescent="0.3">
      <c r="A60" s="214" t="s">
        <v>190</v>
      </c>
      <c r="B60" s="814">
        <v>257229</v>
      </c>
      <c r="C60" s="814">
        <v>417739</v>
      </c>
      <c r="D60" s="814">
        <v>314221</v>
      </c>
      <c r="E60" s="814">
        <v>358709</v>
      </c>
      <c r="F60" s="814">
        <v>358468</v>
      </c>
      <c r="G60" s="814">
        <v>301557</v>
      </c>
      <c r="H60" s="800">
        <v>325147</v>
      </c>
    </row>
    <row r="61" spans="1:10" x14ac:dyDescent="0.3">
      <c r="A61" s="214" t="s">
        <v>191</v>
      </c>
      <c r="B61" s="814">
        <v>248078</v>
      </c>
      <c r="C61" s="814">
        <v>252709</v>
      </c>
      <c r="D61" s="814">
        <v>264366</v>
      </c>
      <c r="E61" s="814">
        <v>288761</v>
      </c>
      <c r="F61" s="814">
        <v>271978</v>
      </c>
      <c r="G61" s="814">
        <v>260087</v>
      </c>
      <c r="H61" s="800">
        <v>234865</v>
      </c>
    </row>
    <row r="62" spans="1:10" x14ac:dyDescent="0.3">
      <c r="A62" s="214" t="s">
        <v>192</v>
      </c>
      <c r="B62" s="814">
        <v>19300</v>
      </c>
      <c r="C62" s="814">
        <v>16100</v>
      </c>
      <c r="D62" s="814">
        <v>36900</v>
      </c>
      <c r="E62" s="814">
        <v>35900</v>
      </c>
      <c r="F62" s="814">
        <v>51790</v>
      </c>
      <c r="G62" s="814">
        <v>61600</v>
      </c>
      <c r="H62" s="800">
        <v>65800</v>
      </c>
    </row>
    <row r="63" spans="1:10" x14ac:dyDescent="0.3">
      <c r="A63" s="214" t="s">
        <v>15</v>
      </c>
      <c r="B63" s="830">
        <v>592443</v>
      </c>
      <c r="C63" s="830">
        <v>766862</v>
      </c>
      <c r="D63" s="830">
        <v>644882</v>
      </c>
      <c r="E63" s="830">
        <v>681238</v>
      </c>
      <c r="F63" s="830">
        <v>661286</v>
      </c>
      <c r="G63" s="830">
        <v>558132</v>
      </c>
      <c r="H63" s="831">
        <v>497270</v>
      </c>
    </row>
    <row r="64" spans="1:10" s="152" customFormat="1" x14ac:dyDescent="0.3">
      <c r="A64" s="214" t="s">
        <v>193</v>
      </c>
      <c r="B64" s="814">
        <f t="shared" ref="B64:H64" si="8">SUM(B56:B63)</f>
        <v>7883542</v>
      </c>
      <c r="C64" s="814">
        <f t="shared" si="8"/>
        <v>7570268</v>
      </c>
      <c r="D64" s="814">
        <f t="shared" si="8"/>
        <v>6287572</v>
      </c>
      <c r="E64" s="814">
        <f t="shared" si="8"/>
        <v>5588108</v>
      </c>
      <c r="F64" s="814">
        <f t="shared" si="8"/>
        <v>4825575</v>
      </c>
      <c r="G64" s="814">
        <f t="shared" si="8"/>
        <v>4161468</v>
      </c>
      <c r="H64" s="800">
        <f t="shared" si="8"/>
        <v>3828870</v>
      </c>
    </row>
    <row r="65" spans="1:10" x14ac:dyDescent="0.3">
      <c r="A65" s="214"/>
      <c r="B65" s="814"/>
      <c r="C65" s="814"/>
      <c r="D65" s="814"/>
      <c r="E65" s="814"/>
      <c r="F65" s="814"/>
      <c r="G65" s="814"/>
      <c r="H65" s="800"/>
    </row>
    <row r="66" spans="1:10" x14ac:dyDescent="0.3">
      <c r="A66" s="221" t="s">
        <v>1365</v>
      </c>
      <c r="B66" s="814"/>
      <c r="C66" s="814"/>
      <c r="D66" s="814"/>
      <c r="E66" s="814"/>
      <c r="F66" s="814"/>
      <c r="G66" s="814"/>
      <c r="H66" s="800"/>
    </row>
    <row r="67" spans="1:10" x14ac:dyDescent="0.3">
      <c r="A67" s="221" t="s">
        <v>1366</v>
      </c>
      <c r="B67" s="814"/>
      <c r="C67" s="814"/>
      <c r="D67" s="814"/>
      <c r="E67" s="814"/>
      <c r="F67" s="814"/>
      <c r="G67" s="814"/>
      <c r="H67" s="800"/>
    </row>
    <row r="68" spans="1:10" x14ac:dyDescent="0.3">
      <c r="A68" s="214"/>
      <c r="B68" s="814"/>
      <c r="C68" s="814"/>
      <c r="D68" s="814"/>
      <c r="E68" s="814"/>
      <c r="F68" s="814"/>
      <c r="G68" s="814"/>
      <c r="H68" s="800"/>
    </row>
    <row r="69" spans="1:10" s="152" customFormat="1" ht="31.2" x14ac:dyDescent="0.3">
      <c r="A69" s="282" t="s">
        <v>194</v>
      </c>
      <c r="B69" s="817">
        <f t="shared" ref="B69:H69" si="9">B53-B64</f>
        <v>4242091</v>
      </c>
      <c r="C69" s="817">
        <f t="shared" si="9"/>
        <v>2833167</v>
      </c>
      <c r="D69" s="817">
        <f t="shared" si="9"/>
        <v>2680081</v>
      </c>
      <c r="E69" s="817">
        <f t="shared" si="9"/>
        <v>2336971</v>
      </c>
      <c r="F69" s="817">
        <f t="shared" si="9"/>
        <v>2705482</v>
      </c>
      <c r="G69" s="817">
        <f t="shared" si="9"/>
        <v>3019713</v>
      </c>
      <c r="H69" s="818">
        <f t="shared" si="9"/>
        <v>2661682</v>
      </c>
    </row>
    <row r="70" spans="1:10" x14ac:dyDescent="0.3">
      <c r="A70" s="214"/>
      <c r="B70" s="814"/>
      <c r="C70" s="814"/>
      <c r="D70" s="814"/>
      <c r="E70" s="814"/>
      <c r="F70" s="814"/>
      <c r="G70" s="814"/>
      <c r="H70" s="800"/>
      <c r="J70" s="211" t="s">
        <v>176</v>
      </c>
    </row>
    <row r="71" spans="1:10" x14ac:dyDescent="0.3">
      <c r="A71" s="221" t="s">
        <v>196</v>
      </c>
      <c r="B71" s="814"/>
      <c r="C71" s="814"/>
      <c r="D71" s="814"/>
      <c r="E71" s="814"/>
      <c r="F71" s="814"/>
      <c r="G71" s="814"/>
      <c r="H71" s="800"/>
    </row>
    <row r="72" spans="1:10" x14ac:dyDescent="0.3">
      <c r="A72" s="214" t="s">
        <v>197</v>
      </c>
      <c r="B72" s="2036"/>
      <c r="C72" s="2036"/>
      <c r="D72" s="814">
        <v>1331</v>
      </c>
      <c r="E72" s="814">
        <v>121000</v>
      </c>
      <c r="F72" s="814">
        <v>454407</v>
      </c>
      <c r="G72" s="814">
        <v>1060974</v>
      </c>
      <c r="H72" s="800">
        <v>1003312</v>
      </c>
    </row>
    <row r="73" spans="1:10" x14ac:dyDescent="0.3">
      <c r="A73" s="214" t="s">
        <v>198</v>
      </c>
      <c r="B73" s="2036"/>
      <c r="C73" s="2036"/>
      <c r="D73" s="814">
        <v>-1685</v>
      </c>
      <c r="E73" s="814">
        <v>-12288</v>
      </c>
      <c r="F73" s="814">
        <v>29599</v>
      </c>
      <c r="G73" s="814">
        <v>-21884</v>
      </c>
      <c r="H73" s="800">
        <v>107010</v>
      </c>
    </row>
    <row r="74" spans="1:10" x14ac:dyDescent="0.3">
      <c r="A74" s="214" t="s">
        <v>199</v>
      </c>
      <c r="B74" s="814">
        <v>220256</v>
      </c>
      <c r="C74" s="814">
        <v>61136</v>
      </c>
      <c r="D74" s="814">
        <f>D72+D73</f>
        <v>-354</v>
      </c>
      <c r="E74" s="814">
        <f>E72+E73</f>
        <v>108712</v>
      </c>
      <c r="F74" s="814">
        <f>F72+F73</f>
        <v>484006</v>
      </c>
      <c r="G74" s="814">
        <f>G72+G73</f>
        <v>1039090</v>
      </c>
      <c r="H74" s="800">
        <f>H72+H73</f>
        <v>1110322</v>
      </c>
    </row>
    <row r="75" spans="1:10" s="152" customFormat="1" x14ac:dyDescent="0.3">
      <c r="A75" s="214" t="s">
        <v>200</v>
      </c>
      <c r="B75" s="817">
        <f t="shared" ref="B75:H75" si="10">B69-B74</f>
        <v>4021835</v>
      </c>
      <c r="C75" s="817">
        <f t="shared" si="10"/>
        <v>2772031</v>
      </c>
      <c r="D75" s="817">
        <f t="shared" si="10"/>
        <v>2680435</v>
      </c>
      <c r="E75" s="817">
        <f t="shared" si="10"/>
        <v>2228259</v>
      </c>
      <c r="F75" s="817">
        <f t="shared" si="10"/>
        <v>2221476</v>
      </c>
      <c r="G75" s="817">
        <f t="shared" si="10"/>
        <v>1980623</v>
      </c>
      <c r="H75" s="818">
        <f t="shared" si="10"/>
        <v>1551360</v>
      </c>
    </row>
    <row r="76" spans="1:10" x14ac:dyDescent="0.3">
      <c r="A76" s="214"/>
      <c r="B76" s="814"/>
      <c r="C76" s="814"/>
      <c r="D76" s="814"/>
      <c r="E76" s="814"/>
      <c r="F76" s="814"/>
      <c r="G76" s="814"/>
      <c r="H76" s="800"/>
    </row>
    <row r="77" spans="1:10" x14ac:dyDescent="0.3">
      <c r="A77" s="214" t="s">
        <v>201</v>
      </c>
      <c r="B77" s="814">
        <f>168022+7001</f>
        <v>175023</v>
      </c>
      <c r="C77" s="814">
        <f>33477+33939</f>
        <v>67416</v>
      </c>
      <c r="D77" s="814">
        <f>83715+72351</f>
        <v>156066</v>
      </c>
      <c r="E77" s="814">
        <v>35201</v>
      </c>
      <c r="F77" s="814">
        <v>367296</v>
      </c>
      <c r="G77" s="814">
        <v>-788879</v>
      </c>
      <c r="H77" s="800">
        <v>150985</v>
      </c>
    </row>
    <row r="78" spans="1:10" x14ac:dyDescent="0.3">
      <c r="A78" s="214" t="s">
        <v>195</v>
      </c>
      <c r="B78" s="814">
        <v>-7001</v>
      </c>
      <c r="C78" s="814">
        <v>-33939</v>
      </c>
      <c r="D78" s="814">
        <v>-72351</v>
      </c>
      <c r="E78" s="814">
        <v>-9000</v>
      </c>
      <c r="F78" s="814">
        <v>-178592</v>
      </c>
      <c r="G78" s="814">
        <v>416528</v>
      </c>
      <c r="H78" s="800">
        <v>-41434</v>
      </c>
    </row>
    <row r="79" spans="1:10" x14ac:dyDescent="0.3">
      <c r="A79" s="214" t="s">
        <v>202</v>
      </c>
      <c r="B79" s="814">
        <f t="shared" ref="B79:H79" si="11">B77+B78</f>
        <v>168022</v>
      </c>
      <c r="C79" s="814">
        <f t="shared" si="11"/>
        <v>33477</v>
      </c>
      <c r="D79" s="814">
        <f t="shared" si="11"/>
        <v>83715</v>
      </c>
      <c r="E79" s="814">
        <f t="shared" si="11"/>
        <v>26201</v>
      </c>
      <c r="F79" s="814">
        <f t="shared" si="11"/>
        <v>188704</v>
      </c>
      <c r="G79" s="814">
        <f t="shared" si="11"/>
        <v>-372351</v>
      </c>
      <c r="H79" s="800">
        <f t="shared" si="11"/>
        <v>109551</v>
      </c>
    </row>
    <row r="80" spans="1:10" x14ac:dyDescent="0.3">
      <c r="A80" s="214" t="s">
        <v>205</v>
      </c>
      <c r="B80" s="814">
        <v>0</v>
      </c>
      <c r="C80" s="814">
        <v>42717</v>
      </c>
      <c r="D80" s="2036"/>
      <c r="E80" s="2036"/>
      <c r="F80" s="2036"/>
      <c r="G80" s="2036"/>
      <c r="H80" s="2033"/>
    </row>
    <row r="81" spans="1:9" s="152" customFormat="1" ht="16.2" thickBot="1" x14ac:dyDescent="0.35">
      <c r="A81" s="214" t="s">
        <v>99</v>
      </c>
      <c r="B81" s="710">
        <f>B75+B79+B80</f>
        <v>4189857</v>
      </c>
      <c r="C81" s="710">
        <f>C75+C79+C80</f>
        <v>2848225</v>
      </c>
      <c r="D81" s="710">
        <f>D75+D79</f>
        <v>2764150</v>
      </c>
      <c r="E81" s="710">
        <f>E75+E79</f>
        <v>2254460</v>
      </c>
      <c r="F81" s="710">
        <f>F75+F79</f>
        <v>2410180</v>
      </c>
      <c r="G81" s="710">
        <f>G75+G79</f>
        <v>1608272</v>
      </c>
      <c r="H81" s="711">
        <f>H75+H79</f>
        <v>1660911</v>
      </c>
    </row>
    <row r="82" spans="1:9" ht="5.0999999999999996" customHeight="1" thickTop="1" thickBot="1" x14ac:dyDescent="0.35">
      <c r="A82" s="224"/>
      <c r="B82" s="218"/>
      <c r="C82" s="218"/>
      <c r="D82" s="218"/>
      <c r="E82" s="218"/>
      <c r="F82" s="218"/>
      <c r="G82" s="218"/>
      <c r="H82" s="219"/>
    </row>
    <row r="83" spans="1:9" x14ac:dyDescent="0.3">
      <c r="A83" s="804" t="s">
        <v>3707</v>
      </c>
      <c r="B83" s="397"/>
      <c r="C83" s="397"/>
      <c r="D83" s="397"/>
      <c r="E83" s="397"/>
      <c r="F83" s="397"/>
      <c r="G83" s="397"/>
      <c r="H83" s="397"/>
      <c r="I83" s="220"/>
    </row>
    <row r="85" spans="1:9" s="372" customFormat="1" x14ac:dyDescent="0.3">
      <c r="A85" s="372" t="s">
        <v>176</v>
      </c>
    </row>
    <row r="86" spans="1:9" ht="17.25" customHeight="1" x14ac:dyDescent="0.3">
      <c r="A86" s="220"/>
      <c r="B86" s="220"/>
      <c r="C86" s="220"/>
      <c r="D86" s="220"/>
      <c r="E86" s="220"/>
      <c r="F86" s="220"/>
      <c r="G86" s="220"/>
      <c r="H86" s="220"/>
    </row>
    <row r="87" spans="1:9" x14ac:dyDescent="0.3">
      <c r="A87" s="496" t="s">
        <v>1493</v>
      </c>
      <c r="B87" s="220"/>
      <c r="C87" s="220"/>
      <c r="D87" s="220" t="s">
        <v>176</v>
      </c>
      <c r="E87" s="220"/>
      <c r="F87" s="220"/>
      <c r="G87" s="220"/>
      <c r="H87" s="220"/>
      <c r="I87" s="220"/>
    </row>
    <row r="88" spans="1:9" x14ac:dyDescent="0.3">
      <c r="A88" s="441" t="s">
        <v>1475</v>
      </c>
      <c r="B88" s="220"/>
      <c r="C88" s="220"/>
      <c r="D88" s="220"/>
      <c r="E88" s="220"/>
      <c r="F88" s="220"/>
      <c r="G88" s="220"/>
      <c r="H88" s="220"/>
      <c r="I88" s="220"/>
    </row>
    <row r="89" spans="1:9" ht="9" customHeight="1" thickBot="1" x14ac:dyDescent="0.35">
      <c r="A89" s="218"/>
      <c r="B89" s="220"/>
      <c r="C89" s="220"/>
      <c r="D89" s="220"/>
      <c r="E89" s="220"/>
      <c r="F89" s="220"/>
      <c r="G89" s="220"/>
      <c r="H89" s="218"/>
      <c r="I89" s="220"/>
    </row>
    <row r="90" spans="1:9" x14ac:dyDescent="0.3">
      <c r="A90" s="212"/>
      <c r="B90" s="501">
        <f t="shared" ref="B90:G90" si="12">B4</f>
        <v>1974</v>
      </c>
      <c r="C90" s="501">
        <f t="shared" si="12"/>
        <v>1973</v>
      </c>
      <c r="D90" s="501">
        <f t="shared" si="12"/>
        <v>1972</v>
      </c>
      <c r="E90" s="501">
        <f t="shared" si="12"/>
        <v>1971</v>
      </c>
      <c r="F90" s="501">
        <f t="shared" si="12"/>
        <v>1970</v>
      </c>
      <c r="G90" s="501">
        <f t="shared" si="12"/>
        <v>1969</v>
      </c>
      <c r="H90" s="389"/>
    </row>
    <row r="91" spans="1:9" x14ac:dyDescent="0.3">
      <c r="A91" s="484" t="s">
        <v>1406</v>
      </c>
      <c r="B91" s="442">
        <f t="shared" ref="B91:G91" si="13">AVERAGE(B13:C13)</f>
        <v>68437949.5</v>
      </c>
      <c r="C91" s="442">
        <f t="shared" si="13"/>
        <v>62820191</v>
      </c>
      <c r="D91" s="442">
        <f t="shared" si="13"/>
        <v>56824918</v>
      </c>
      <c r="E91" s="442">
        <f t="shared" si="13"/>
        <v>52436331.5</v>
      </c>
      <c r="F91" s="442">
        <f t="shared" si="13"/>
        <v>49401922</v>
      </c>
      <c r="G91" s="442">
        <f t="shared" si="13"/>
        <v>47479221</v>
      </c>
      <c r="H91" s="237"/>
    </row>
    <row r="92" spans="1:9" x14ac:dyDescent="0.3">
      <c r="A92" s="484" t="s">
        <v>1476</v>
      </c>
      <c r="B92" s="442">
        <f t="shared" ref="B92:G92" si="14">AVERAGE(B16:C16)</f>
        <v>159992848</v>
      </c>
      <c r="C92" s="442">
        <f t="shared" si="14"/>
        <v>155900612.5</v>
      </c>
      <c r="D92" s="442">
        <f t="shared" si="14"/>
        <v>144709193.5</v>
      </c>
      <c r="E92" s="442">
        <f t="shared" si="14"/>
        <v>128673882.5</v>
      </c>
      <c r="F92" s="442">
        <f t="shared" si="14"/>
        <v>119757660</v>
      </c>
      <c r="G92" s="442">
        <f t="shared" si="14"/>
        <v>117748612</v>
      </c>
      <c r="H92" s="237"/>
    </row>
    <row r="93" spans="1:9" x14ac:dyDescent="0.3">
      <c r="A93" s="484" t="s">
        <v>1408</v>
      </c>
      <c r="B93" s="442">
        <f t="shared" ref="B93:G93" si="15">AVERAGE(B20:C20)</f>
        <v>137931765.5</v>
      </c>
      <c r="C93" s="442">
        <f t="shared" si="15"/>
        <v>134927394.5</v>
      </c>
      <c r="D93" s="442">
        <f t="shared" si="15"/>
        <v>124268274.5</v>
      </c>
      <c r="E93" s="442">
        <f t="shared" si="15"/>
        <v>108710781</v>
      </c>
      <c r="F93" s="442">
        <f t="shared" si="15"/>
        <v>100564063.5</v>
      </c>
      <c r="G93" s="442">
        <f t="shared" si="15"/>
        <v>99320129</v>
      </c>
      <c r="H93" s="237"/>
    </row>
    <row r="94" spans="1:9" x14ac:dyDescent="0.3">
      <c r="A94" s="484" t="s">
        <v>1407</v>
      </c>
      <c r="B94" s="442">
        <f t="shared" ref="B94:G94" si="16">AVERAGE(B32:C32)</f>
        <v>19933478</v>
      </c>
      <c r="C94" s="442">
        <f t="shared" si="16"/>
        <v>19018189</v>
      </c>
      <c r="D94" s="442">
        <f t="shared" si="16"/>
        <v>18651076</v>
      </c>
      <c r="E94" s="442">
        <f t="shared" si="16"/>
        <v>18359098</v>
      </c>
      <c r="F94" s="442">
        <f t="shared" si="16"/>
        <v>17704451</v>
      </c>
      <c r="G94" s="442">
        <f t="shared" si="16"/>
        <v>17018020</v>
      </c>
      <c r="H94" s="237"/>
    </row>
    <row r="95" spans="1:9" x14ac:dyDescent="0.3">
      <c r="A95" s="484"/>
      <c r="B95" s="220"/>
      <c r="C95" s="220"/>
      <c r="D95" s="464"/>
      <c r="E95" s="220"/>
      <c r="F95" s="220"/>
      <c r="G95" s="220"/>
      <c r="H95" s="223"/>
    </row>
    <row r="96" spans="1:9" x14ac:dyDescent="0.3">
      <c r="A96" s="484" t="s">
        <v>228</v>
      </c>
      <c r="B96" s="464">
        <f t="shared" ref="B96:G96" si="17">AVERAGE(B13:C13)/AVERAGE(B16:C16)</f>
        <v>0.42775630508183715</v>
      </c>
      <c r="C96" s="464">
        <f t="shared" si="17"/>
        <v>0.40295025139814639</v>
      </c>
      <c r="D96" s="464">
        <f t="shared" si="17"/>
        <v>0.39268353741464257</v>
      </c>
      <c r="E96" s="464">
        <f t="shared" si="17"/>
        <v>0.40751340117525403</v>
      </c>
      <c r="F96" s="464">
        <f t="shared" si="17"/>
        <v>0.41251575890844894</v>
      </c>
      <c r="G96" s="464">
        <f t="shared" si="17"/>
        <v>0.40322531360284741</v>
      </c>
      <c r="H96" s="347"/>
    </row>
    <row r="97" spans="1:10" outlineLevel="1" x14ac:dyDescent="0.3">
      <c r="A97" s="484" t="s">
        <v>229</v>
      </c>
      <c r="B97" s="729">
        <f t="shared" ref="B97:G97" si="18">AVERAGE(B16:C16)/AVERAGE(B32:C32)</f>
        <v>8.026338805500977</v>
      </c>
      <c r="C97" s="729">
        <f t="shared" si="18"/>
        <v>8.1974478484781077</v>
      </c>
      <c r="D97" s="729">
        <f t="shared" si="18"/>
        <v>7.7587584491103891</v>
      </c>
      <c r="E97" s="729">
        <f t="shared" si="18"/>
        <v>7.0087257282465618</v>
      </c>
      <c r="F97" s="729">
        <f t="shared" si="18"/>
        <v>6.7642684881897779</v>
      </c>
      <c r="G97" s="729">
        <f t="shared" si="18"/>
        <v>6.9190547431487328</v>
      </c>
      <c r="H97" s="349"/>
    </row>
    <row r="98" spans="1:10" x14ac:dyDescent="0.3">
      <c r="A98" s="484" t="s">
        <v>231</v>
      </c>
      <c r="B98" s="464">
        <f t="shared" ref="B98:G98" si="19">AVERAGE(B32:C32)/AVERAGE(B16:C16)</f>
        <v>0.1245898066643579</v>
      </c>
      <c r="C98" s="464">
        <f t="shared" si="19"/>
        <v>0.12198918718167319</v>
      </c>
      <c r="D98" s="464">
        <f t="shared" si="19"/>
        <v>0.12888660042183153</v>
      </c>
      <c r="E98" s="464">
        <f t="shared" si="19"/>
        <v>0.14267928847176894</v>
      </c>
      <c r="F98" s="464">
        <f t="shared" si="19"/>
        <v>0.14783564575326538</v>
      </c>
      <c r="G98" s="464">
        <f t="shared" si="19"/>
        <v>0.14452841278502715</v>
      </c>
      <c r="H98" s="347"/>
    </row>
    <row r="99" spans="1:10" x14ac:dyDescent="0.3">
      <c r="A99" s="484"/>
      <c r="B99" s="220"/>
      <c r="C99" s="220"/>
      <c r="D99" s="220"/>
      <c r="E99" s="220"/>
      <c r="F99" s="220"/>
      <c r="G99" s="220"/>
      <c r="H99" s="223"/>
    </row>
    <row r="100" spans="1:10" x14ac:dyDescent="0.3">
      <c r="A100" s="484" t="s">
        <v>203</v>
      </c>
      <c r="B100" s="462">
        <f t="shared" ref="B100:G100" si="20">B75/(AVERAGE(B33:C33))</f>
        <v>2.5137592400380299E-2</v>
      </c>
      <c r="C100" s="462">
        <f t="shared" si="20"/>
        <v>1.7780757596446262E-2</v>
      </c>
      <c r="D100" s="462">
        <f t="shared" si="20"/>
        <v>1.8522907461300999E-2</v>
      </c>
      <c r="E100" s="462">
        <f t="shared" si="20"/>
        <v>1.7317103958528646E-2</v>
      </c>
      <c r="F100" s="462">
        <f t="shared" si="20"/>
        <v>1.8549761242829896E-2</v>
      </c>
      <c r="G100" s="462">
        <f t="shared" si="20"/>
        <v>1.6820775772711443E-2</v>
      </c>
      <c r="H100" s="223"/>
    </row>
    <row r="101" spans="1:10" x14ac:dyDescent="0.3">
      <c r="A101" s="484" t="s">
        <v>227</v>
      </c>
      <c r="B101" s="462">
        <f t="shared" ref="B101:G101" si="21">B75/AVERAGE(B20:C20)</f>
        <v>2.9158149215453927E-2</v>
      </c>
      <c r="C101" s="462">
        <f t="shared" si="21"/>
        <v>2.0544612235879202E-2</v>
      </c>
      <c r="D101" s="462">
        <f t="shared" si="21"/>
        <v>2.1569745059910685E-2</v>
      </c>
      <c r="E101" s="462">
        <f t="shared" si="21"/>
        <v>2.0497129902875041E-2</v>
      </c>
      <c r="F101" s="462">
        <f t="shared" si="21"/>
        <v>2.2090157484537208E-2</v>
      </c>
      <c r="G101" s="462">
        <f t="shared" si="21"/>
        <v>1.9941808573365829E-2</v>
      </c>
      <c r="H101" s="223"/>
      <c r="J101" s="352"/>
    </row>
    <row r="102" spans="1:10" x14ac:dyDescent="0.3">
      <c r="A102" s="484"/>
      <c r="B102" s="220"/>
      <c r="C102" s="220"/>
      <c r="D102" s="220"/>
      <c r="E102" s="220"/>
      <c r="F102" s="220"/>
      <c r="G102" s="220"/>
      <c r="H102" s="223"/>
    </row>
    <row r="103" spans="1:10" x14ac:dyDescent="0.3">
      <c r="A103" s="484" t="s">
        <v>211</v>
      </c>
      <c r="B103" s="464">
        <f t="shared" ref="B103:G103" si="22">B69/(AVERAGE(B32:C32))</f>
        <v>0.21281238527466206</v>
      </c>
      <c r="C103" s="464">
        <f t="shared" si="22"/>
        <v>0.14897143991996295</v>
      </c>
      <c r="D103" s="464">
        <f t="shared" si="22"/>
        <v>0.14369578462926214</v>
      </c>
      <c r="E103" s="464">
        <f t="shared" si="22"/>
        <v>0.12729225586137183</v>
      </c>
      <c r="F103" s="464">
        <f t="shared" si="22"/>
        <v>0.15281366250780665</v>
      </c>
      <c r="G103" s="464">
        <f t="shared" si="22"/>
        <v>0.17744208785745932</v>
      </c>
      <c r="H103" s="223"/>
      <c r="J103" s="211" t="s">
        <v>176</v>
      </c>
    </row>
    <row r="104" spans="1:10" x14ac:dyDescent="0.3">
      <c r="A104" s="484" t="s">
        <v>230</v>
      </c>
      <c r="B104" s="464">
        <f t="shared" ref="B104:G104" si="23">B75/(AVERAGE(B32:C32))</f>
        <v>0.20176283336003883</v>
      </c>
      <c r="C104" s="464">
        <f t="shared" si="23"/>
        <v>0.14575683310329915</v>
      </c>
      <c r="D104" s="464">
        <f t="shared" si="23"/>
        <v>0.14371476476745898</v>
      </c>
      <c r="E104" s="464">
        <f t="shared" si="23"/>
        <v>0.12137083205286012</v>
      </c>
      <c r="F104" s="464">
        <f t="shared" si="23"/>
        <v>0.12547556543831831</v>
      </c>
      <c r="G104" s="464">
        <f t="shared" si="23"/>
        <v>0.11638386839362042</v>
      </c>
      <c r="H104" s="223"/>
    </row>
    <row r="105" spans="1:10" x14ac:dyDescent="0.3">
      <c r="A105" s="484"/>
      <c r="B105" s="464"/>
      <c r="C105" s="464"/>
      <c r="D105" s="464"/>
      <c r="E105" s="464"/>
      <c r="F105" s="464"/>
      <c r="G105" s="464"/>
      <c r="H105" s="223"/>
    </row>
    <row r="106" spans="1:10" hidden="1" outlineLevel="1" x14ac:dyDescent="0.3">
      <c r="A106" s="484" t="s">
        <v>222</v>
      </c>
      <c r="B106" s="446">
        <f t="shared" ref="B106:G106" si="24">B64-B58-B59</f>
        <v>2915134</v>
      </c>
      <c r="C106" s="446">
        <f t="shared" si="24"/>
        <v>3219662</v>
      </c>
      <c r="D106" s="446">
        <f t="shared" si="24"/>
        <v>2865689</v>
      </c>
      <c r="E106" s="446">
        <f t="shared" si="24"/>
        <v>2853825</v>
      </c>
      <c r="F106" s="446">
        <f t="shared" si="24"/>
        <v>2793293</v>
      </c>
      <c r="G106" s="446">
        <f t="shared" si="24"/>
        <v>2454053</v>
      </c>
      <c r="H106" s="223"/>
    </row>
    <row r="107" spans="1:10" hidden="1" outlineLevel="1" x14ac:dyDescent="0.3">
      <c r="A107" s="484" t="s">
        <v>223</v>
      </c>
      <c r="B107" s="446">
        <f t="shared" ref="B107:G107" si="25">B44+B45+B47+B48+B49-B58-B59</f>
        <v>6024386</v>
      </c>
      <c r="C107" s="446">
        <f t="shared" si="25"/>
        <v>4972938</v>
      </c>
      <c r="D107" s="446">
        <f t="shared" si="25"/>
        <v>4621710</v>
      </c>
      <c r="E107" s="446">
        <f t="shared" si="25"/>
        <v>4410473</v>
      </c>
      <c r="F107" s="446">
        <f t="shared" si="25"/>
        <v>4712865</v>
      </c>
      <c r="G107" s="446">
        <f t="shared" si="25"/>
        <v>4663103</v>
      </c>
      <c r="H107" s="223"/>
    </row>
    <row r="108" spans="1:10" hidden="1" outlineLevel="1" x14ac:dyDescent="0.3">
      <c r="A108" s="484" t="s">
        <v>224</v>
      </c>
      <c r="B108" s="446">
        <f t="shared" ref="B108:G108" si="26">B50+B51+B52</f>
        <v>1132839</v>
      </c>
      <c r="C108" s="446">
        <f t="shared" si="26"/>
        <v>1079891</v>
      </c>
      <c r="D108" s="446">
        <f t="shared" si="26"/>
        <v>924060</v>
      </c>
      <c r="E108" s="446">
        <f t="shared" si="26"/>
        <v>780323</v>
      </c>
      <c r="F108" s="446">
        <f t="shared" si="26"/>
        <v>785910</v>
      </c>
      <c r="G108" s="446">
        <f t="shared" si="26"/>
        <v>810663</v>
      </c>
      <c r="H108" s="223"/>
    </row>
    <row r="109" spans="1:10" hidden="1" outlineLevel="1" x14ac:dyDescent="0.3">
      <c r="A109" s="484"/>
      <c r="B109" s="398"/>
      <c r="C109" s="220"/>
      <c r="D109" s="220"/>
      <c r="E109" s="220"/>
      <c r="F109" s="220"/>
      <c r="G109" s="220"/>
      <c r="H109" s="223"/>
    </row>
    <row r="110" spans="1:10" collapsed="1" x14ac:dyDescent="0.3">
      <c r="A110" s="484" t="s">
        <v>208</v>
      </c>
      <c r="B110" s="508">
        <f t="shared" ref="B110:G110" si="27">B106/(B107+B108)</f>
        <v>0.40729947710180969</v>
      </c>
      <c r="C110" s="508">
        <f t="shared" si="27"/>
        <v>0.53192680645694768</v>
      </c>
      <c r="D110" s="508">
        <f t="shared" si="27"/>
        <v>0.51673419561215128</v>
      </c>
      <c r="E110" s="508">
        <f t="shared" si="27"/>
        <v>0.54978562054837066</v>
      </c>
      <c r="F110" s="508">
        <f t="shared" si="27"/>
        <v>0.50798459656923589</v>
      </c>
      <c r="G110" s="508">
        <f t="shared" si="27"/>
        <v>0.4483299066858174</v>
      </c>
      <c r="H110" s="223"/>
    </row>
    <row r="111" spans="1:10" x14ac:dyDescent="0.3">
      <c r="A111" s="484"/>
      <c r="B111" s="220"/>
      <c r="C111" s="220"/>
      <c r="D111" s="220"/>
      <c r="E111" s="220"/>
      <c r="F111" s="220"/>
      <c r="G111" s="220"/>
      <c r="H111" s="223"/>
    </row>
    <row r="112" spans="1:10" x14ac:dyDescent="0.3">
      <c r="A112" s="484" t="s">
        <v>209</v>
      </c>
      <c r="B112" s="462">
        <f t="shared" ref="B112:G112" si="28">(B44+B45+B47+B48+B49)/B92</f>
        <v>6.8708033749108582E-2</v>
      </c>
      <c r="C112" s="462">
        <f t="shared" si="28"/>
        <v>5.9804409042972809E-2</v>
      </c>
      <c r="D112" s="462">
        <f t="shared" si="28"/>
        <v>5.5584533404230467E-2</v>
      </c>
      <c r="E112" s="462">
        <f t="shared" si="28"/>
        <v>5.5526077718219158E-2</v>
      </c>
      <c r="F112" s="462">
        <f t="shared" si="28"/>
        <v>5.6323303244235068E-2</v>
      </c>
      <c r="G112" s="462">
        <f t="shared" si="28"/>
        <v>5.4102701439911666E-2</v>
      </c>
      <c r="H112" s="223"/>
    </row>
    <row r="113" spans="1:9" x14ac:dyDescent="0.3">
      <c r="A113" s="484" t="s">
        <v>210</v>
      </c>
      <c r="B113" s="462">
        <f t="shared" ref="B113:G113" si="29">(B58+B59)/B93</f>
        <v>3.6020767094436995E-2</v>
      </c>
      <c r="C113" s="462">
        <f t="shared" si="29"/>
        <v>3.2244052559689797E-2</v>
      </c>
      <c r="D113" s="462">
        <f t="shared" si="29"/>
        <v>2.7536255844608191E-2</v>
      </c>
      <c r="E113" s="462">
        <f t="shared" si="29"/>
        <v>2.5151902827374593E-2</v>
      </c>
      <c r="F113" s="462">
        <f t="shared" si="29"/>
        <v>2.0208829369747973E-2</v>
      </c>
      <c r="G113" s="462">
        <f t="shared" si="29"/>
        <v>1.7191026805855235E-2</v>
      </c>
      <c r="H113" s="223"/>
    </row>
    <row r="114" spans="1:9" x14ac:dyDescent="0.3">
      <c r="A114" s="484" t="s">
        <v>207</v>
      </c>
      <c r="B114" s="353">
        <f>B112-B113</f>
        <v>3.2687266654671587E-2</v>
      </c>
      <c r="C114" s="353">
        <f t="shared" ref="C114:G114" si="30">C112-C113</f>
        <v>2.7560356483283012E-2</v>
      </c>
      <c r="D114" s="353">
        <f t="shared" si="30"/>
        <v>2.8048277559622276E-2</v>
      </c>
      <c r="E114" s="353">
        <f t="shared" si="30"/>
        <v>3.0374174890844565E-2</v>
      </c>
      <c r="F114" s="353">
        <f t="shared" si="30"/>
        <v>3.6114473874487095E-2</v>
      </c>
      <c r="G114" s="353">
        <f t="shared" si="30"/>
        <v>3.6911674634056431E-2</v>
      </c>
      <c r="H114" s="223"/>
    </row>
    <row r="115" spans="1:9" x14ac:dyDescent="0.3">
      <c r="A115" s="484"/>
      <c r="B115" s="220"/>
      <c r="C115" s="220"/>
      <c r="D115" s="220"/>
      <c r="E115" s="220"/>
      <c r="F115" s="220"/>
      <c r="G115" s="220"/>
      <c r="H115" s="223"/>
    </row>
    <row r="116" spans="1:9" x14ac:dyDescent="0.3">
      <c r="A116" s="484" t="s">
        <v>232</v>
      </c>
      <c r="B116" s="464">
        <f t="shared" ref="B116:G116" si="31">AVERAGE(B13:C13)/AVERAGE(B20:C20)</f>
        <v>0.49617250422274917</v>
      </c>
      <c r="C116" s="464">
        <f t="shared" si="31"/>
        <v>0.46558514846293869</v>
      </c>
      <c r="D116" s="464">
        <f t="shared" si="31"/>
        <v>0.4572761489498271</v>
      </c>
      <c r="E116" s="464">
        <f t="shared" si="31"/>
        <v>0.4823471142204378</v>
      </c>
      <c r="F116" s="464">
        <f t="shared" si="31"/>
        <v>0.49124826782680675</v>
      </c>
      <c r="G116" s="464">
        <f t="shared" si="31"/>
        <v>0.47804228083513667</v>
      </c>
      <c r="H116" s="223"/>
    </row>
    <row r="117" spans="1:9" x14ac:dyDescent="0.3">
      <c r="A117" s="484"/>
      <c r="B117" s="462"/>
      <c r="C117" s="462"/>
      <c r="D117" s="462"/>
      <c r="E117" s="462"/>
      <c r="F117" s="462"/>
      <c r="G117" s="462"/>
      <c r="H117" s="223"/>
    </row>
    <row r="118" spans="1:9" ht="16.2" thickBot="1" x14ac:dyDescent="0.35">
      <c r="A118" s="486" t="s">
        <v>260</v>
      </c>
      <c r="B118" s="355">
        <f t="shared" ref="B118:G118" si="32">B62/AVERAGE(B13:C13)</f>
        <v>2.8200728018597341E-4</v>
      </c>
      <c r="C118" s="355">
        <f t="shared" si="32"/>
        <v>2.5628702720754222E-4</v>
      </c>
      <c r="D118" s="355">
        <f t="shared" si="32"/>
        <v>6.4936301359906938E-4</v>
      </c>
      <c r="E118" s="355">
        <f t="shared" si="32"/>
        <v>6.8463980932762241E-4</v>
      </c>
      <c r="F118" s="355">
        <f t="shared" si="32"/>
        <v>1.0483397791689157E-3</v>
      </c>
      <c r="G118" s="355">
        <f t="shared" si="32"/>
        <v>1.2974096605333943E-3</v>
      </c>
      <c r="H118" s="219"/>
    </row>
    <row r="119" spans="1:9" x14ac:dyDescent="0.3">
      <c r="A119" s="833" t="s">
        <v>3707</v>
      </c>
      <c r="B119" s="397"/>
      <c r="C119" s="397"/>
      <c r="D119" s="397"/>
      <c r="E119" s="397"/>
      <c r="F119" s="397"/>
      <c r="G119" s="397"/>
      <c r="H119" s="397"/>
      <c r="I119" s="220"/>
    </row>
    <row r="120" spans="1:9" x14ac:dyDescent="0.3">
      <c r="G120" s="220"/>
    </row>
    <row r="121" spans="1:9" x14ac:dyDescent="0.3">
      <c r="A121" s="356" t="s">
        <v>214</v>
      </c>
      <c r="B121" s="357">
        <f>B25</f>
        <v>1251163</v>
      </c>
    </row>
    <row r="122" spans="1:9" x14ac:dyDescent="0.3">
      <c r="A122" s="356" t="s">
        <v>213</v>
      </c>
      <c r="B122" s="357">
        <f>H25</f>
        <v>599008</v>
      </c>
    </row>
    <row r="123" spans="1:9" x14ac:dyDescent="0.3">
      <c r="A123" s="356" t="s">
        <v>215</v>
      </c>
      <c r="B123" s="358">
        <f>B121-B122</f>
        <v>652155</v>
      </c>
    </row>
    <row r="124" spans="1:9" x14ac:dyDescent="0.3">
      <c r="A124" s="356"/>
      <c r="B124" s="356"/>
    </row>
    <row r="125" spans="1:9" x14ac:dyDescent="0.3">
      <c r="A125" s="356" t="s">
        <v>212</v>
      </c>
      <c r="B125" s="357">
        <f>SUM(B62:H62)</f>
        <v>287390</v>
      </c>
    </row>
  </sheetData>
  <pageMargins left="0.7" right="0.7" top="0.75" bottom="0.75" header="0.3" footer="0.3"/>
  <pageSetup orientation="portrait" r:id="rId1"/>
  <ignoredErrors>
    <ignoredError sqref="B91:G91 B96:G96 B116:G116 B118:G118 A53:H53"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311D-3007-45D1-A632-6B17A5C29F62}">
  <sheetPr codeName="Sheet14">
    <tabColor theme="9" tint="0.59999389629810485"/>
  </sheetPr>
  <dimension ref="A1:C23"/>
  <sheetViews>
    <sheetView showGridLines="0" zoomScale="85" zoomScaleNormal="85" workbookViewId="0">
      <selection activeCell="L7" sqref="L7"/>
    </sheetView>
  </sheetViews>
  <sheetFormatPr defaultColWidth="9.109375" defaultRowHeight="13.8" x14ac:dyDescent="0.25"/>
  <cols>
    <col min="1" max="1" width="21.6640625" style="1" customWidth="1"/>
    <col min="2" max="3" width="28.44140625" style="1" customWidth="1"/>
    <col min="4" max="16384" width="9.109375" style="1"/>
  </cols>
  <sheetData>
    <row r="1" spans="1:3" ht="15.6" x14ac:dyDescent="0.3">
      <c r="A1" s="499" t="s">
        <v>1296</v>
      </c>
      <c r="B1" s="211"/>
      <c r="C1" s="211"/>
    </row>
    <row r="2" spans="1:3" ht="15.6" x14ac:dyDescent="0.3">
      <c r="A2" s="152" t="s">
        <v>1297</v>
      </c>
      <c r="B2" s="211"/>
      <c r="C2" s="211"/>
    </row>
    <row r="3" spans="1:3" ht="7.5" customHeight="1" thickBot="1" x14ac:dyDescent="0.35">
      <c r="A3" s="152"/>
      <c r="B3" s="211"/>
      <c r="C3" s="211"/>
    </row>
    <row r="4" spans="1:3" ht="15.6" x14ac:dyDescent="0.3">
      <c r="A4" s="453"/>
      <c r="B4" s="455">
        <v>1974</v>
      </c>
      <c r="C4" s="456">
        <v>1984</v>
      </c>
    </row>
    <row r="5" spans="1:3" ht="46.8" x14ac:dyDescent="0.25">
      <c r="A5" s="454" t="s">
        <v>45</v>
      </c>
      <c r="B5" s="408" t="s">
        <v>217</v>
      </c>
      <c r="C5" s="406" t="s">
        <v>466</v>
      </c>
    </row>
    <row r="6" spans="1:3" ht="4.5" customHeight="1" x14ac:dyDescent="0.3">
      <c r="A6" s="214"/>
      <c r="B6" s="220"/>
      <c r="C6" s="223"/>
    </row>
    <row r="7" spans="1:3" ht="62.25" customHeight="1" x14ac:dyDescent="0.25">
      <c r="A7" s="454" t="s">
        <v>1241</v>
      </c>
      <c r="B7" s="408" t="s">
        <v>1047</v>
      </c>
      <c r="C7" s="406" t="s">
        <v>1302</v>
      </c>
    </row>
    <row r="8" spans="1:3" ht="15.6" x14ac:dyDescent="0.3">
      <c r="A8" s="214" t="s">
        <v>1242</v>
      </c>
      <c r="B8" s="220" t="s">
        <v>219</v>
      </c>
      <c r="C8" s="223" t="s">
        <v>468</v>
      </c>
    </row>
    <row r="9" spans="1:3" ht="15.6" x14ac:dyDescent="0.3">
      <c r="A9" s="214" t="s">
        <v>1418</v>
      </c>
      <c r="B9" s="220" t="s">
        <v>221</v>
      </c>
      <c r="C9" s="223" t="s">
        <v>469</v>
      </c>
    </row>
    <row r="10" spans="1:3" ht="15.6" x14ac:dyDescent="0.3">
      <c r="A10" s="214" t="s">
        <v>1244</v>
      </c>
      <c r="B10" s="409">
        <v>90.02</v>
      </c>
      <c r="C10" s="407">
        <v>1108.77</v>
      </c>
    </row>
    <row r="11" spans="1:3" ht="15.6" x14ac:dyDescent="0.3">
      <c r="A11" s="214" t="s">
        <v>499</v>
      </c>
      <c r="B11" s="409" t="s">
        <v>500</v>
      </c>
      <c r="C11" s="407" t="s">
        <v>501</v>
      </c>
    </row>
    <row r="12" spans="1:3" ht="15.6" x14ac:dyDescent="0.3">
      <c r="A12" s="214"/>
      <c r="B12" s="220"/>
      <c r="C12" s="223"/>
    </row>
    <row r="13" spans="1:3" ht="15.6" x14ac:dyDescent="0.3">
      <c r="A13" s="221" t="s">
        <v>502</v>
      </c>
      <c r="B13" s="220"/>
      <c r="C13" s="223"/>
    </row>
    <row r="14" spans="1:3" ht="15.6" x14ac:dyDescent="0.25">
      <c r="A14" s="2806" t="s">
        <v>1424</v>
      </c>
      <c r="B14" s="2807"/>
      <c r="C14" s="2808"/>
    </row>
    <row r="15" spans="1:3" ht="15.6" x14ac:dyDescent="0.25">
      <c r="A15" s="2806" t="s">
        <v>1423</v>
      </c>
      <c r="B15" s="2807"/>
      <c r="C15" s="2808"/>
    </row>
    <row r="16" spans="1:3" ht="15.6" x14ac:dyDescent="0.25">
      <c r="A16" s="2806" t="s">
        <v>1298</v>
      </c>
      <c r="B16" s="2807"/>
      <c r="C16" s="2808"/>
    </row>
    <row r="17" spans="1:3" ht="15.6" x14ac:dyDescent="0.25">
      <c r="A17" s="2806" t="s">
        <v>1299</v>
      </c>
      <c r="B17" s="2807"/>
      <c r="C17" s="2808"/>
    </row>
    <row r="18" spans="1:3" ht="15.6" x14ac:dyDescent="0.25">
      <c r="A18" s="2806" t="s">
        <v>1300</v>
      </c>
      <c r="B18" s="2807"/>
      <c r="C18" s="2808"/>
    </row>
    <row r="19" spans="1:3" ht="15.6" x14ac:dyDescent="0.25">
      <c r="A19" s="2806" t="s">
        <v>1301</v>
      </c>
      <c r="B19" s="2807"/>
      <c r="C19" s="2808"/>
    </row>
    <row r="20" spans="1:3" ht="31.5" customHeight="1" x14ac:dyDescent="0.25">
      <c r="A20" s="2806" t="s">
        <v>2723</v>
      </c>
      <c r="B20" s="2807"/>
      <c r="C20" s="2808"/>
    </row>
    <row r="21" spans="1:3" ht="15.6" x14ac:dyDescent="0.3">
      <c r="A21" s="214"/>
      <c r="B21" s="220"/>
      <c r="C21" s="223"/>
    </row>
    <row r="22" spans="1:3" ht="15.6" x14ac:dyDescent="0.3">
      <c r="A22" s="221" t="s">
        <v>49</v>
      </c>
      <c r="B22" s="220"/>
      <c r="C22" s="223"/>
    </row>
    <row r="23" spans="1:3" ht="16.2" thickBot="1" x14ac:dyDescent="0.35">
      <c r="A23" s="224" t="s">
        <v>503</v>
      </c>
      <c r="B23" s="218"/>
      <c r="C23" s="219"/>
    </row>
  </sheetData>
  <mergeCells count="7">
    <mergeCell ref="A14:C14"/>
    <mergeCell ref="A20:C20"/>
    <mergeCell ref="A15:C15"/>
    <mergeCell ref="A16:C16"/>
    <mergeCell ref="A19:C19"/>
    <mergeCell ref="A18:C18"/>
    <mergeCell ref="A17:C17"/>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95F81-9483-4245-B490-4F00220374A2}">
  <sheetPr codeName="Sheet15">
    <tabColor theme="9" tint="0.59999389629810485"/>
  </sheetPr>
  <dimension ref="A1:R64"/>
  <sheetViews>
    <sheetView showGridLines="0" zoomScale="70" zoomScaleNormal="70" workbookViewId="0">
      <selection activeCell="O22" sqref="O22"/>
    </sheetView>
  </sheetViews>
  <sheetFormatPr defaultColWidth="8.6640625" defaultRowHeight="15.6" x14ac:dyDescent="0.3"/>
  <cols>
    <col min="1" max="1" width="43.6640625" style="211" customWidth="1"/>
    <col min="2" max="12" width="11.44140625" style="211" customWidth="1"/>
    <col min="13" max="15" width="8.6640625" style="211"/>
    <col min="16" max="16" width="11.6640625" style="211" customWidth="1"/>
    <col min="17" max="16384" width="8.6640625" style="211"/>
  </cols>
  <sheetData>
    <row r="1" spans="1:18" x14ac:dyDescent="0.3">
      <c r="A1" s="320" t="s">
        <v>383</v>
      </c>
      <c r="M1" s="211" t="s">
        <v>176</v>
      </c>
    </row>
    <row r="2" spans="1:18" x14ac:dyDescent="0.3">
      <c r="A2" s="320"/>
    </row>
    <row r="3" spans="1:18" ht="15.75" customHeight="1" x14ac:dyDescent="0.3">
      <c r="A3" s="499" t="s">
        <v>1303</v>
      </c>
    </row>
    <row r="4" spans="1:18" ht="15.75" customHeight="1" x14ac:dyDescent="0.3">
      <c r="A4" s="152" t="s">
        <v>1329</v>
      </c>
    </row>
    <row r="5" spans="1:18" ht="8.25" customHeight="1" thickBot="1" x14ac:dyDescent="0.35">
      <c r="A5" s="152"/>
    </row>
    <row r="6" spans="1:18" ht="15.75" customHeight="1" x14ac:dyDescent="0.3">
      <c r="A6" s="212" t="s">
        <v>1204</v>
      </c>
      <c r="B6" s="470">
        <v>1984</v>
      </c>
      <c r="C6" s="470">
        <v>1983</v>
      </c>
      <c r="D6" s="470">
        <v>1982</v>
      </c>
      <c r="E6" s="470">
        <v>1981</v>
      </c>
      <c r="F6" s="470">
        <v>1980</v>
      </c>
      <c r="G6" s="470">
        <v>1979</v>
      </c>
      <c r="H6" s="470">
        <v>1978</v>
      </c>
      <c r="I6" s="470">
        <v>1977</v>
      </c>
      <c r="J6" s="470">
        <v>1976</v>
      </c>
      <c r="K6" s="470">
        <v>1975</v>
      </c>
      <c r="L6" s="471">
        <v>1974</v>
      </c>
    </row>
    <row r="7" spans="1:18" ht="15.75" customHeight="1" x14ac:dyDescent="0.3">
      <c r="A7" s="214" t="s">
        <v>372</v>
      </c>
      <c r="L7" s="223"/>
    </row>
    <row r="8" spans="1:18" ht="15.75" customHeight="1" x14ac:dyDescent="0.3">
      <c r="A8" s="214" t="s">
        <v>373</v>
      </c>
      <c r="B8" s="746">
        <v>-48060</v>
      </c>
      <c r="C8" s="746">
        <v>-33872</v>
      </c>
      <c r="D8" s="746">
        <v>-21558</v>
      </c>
      <c r="E8" s="746">
        <v>1478</v>
      </c>
      <c r="F8" s="746">
        <v>6737</v>
      </c>
      <c r="G8" s="746">
        <v>3741</v>
      </c>
      <c r="H8" s="746">
        <v>3000</v>
      </c>
      <c r="I8" s="746">
        <v>5802</v>
      </c>
      <c r="J8" s="2820" t="s">
        <v>1317</v>
      </c>
      <c r="K8" s="2820"/>
      <c r="L8" s="2821"/>
    </row>
    <row r="9" spans="1:18" ht="15.75" customHeight="1" x14ac:dyDescent="0.3">
      <c r="A9" s="214" t="s">
        <v>1304</v>
      </c>
      <c r="B9" s="230">
        <v>68903</v>
      </c>
      <c r="C9" s="230">
        <v>43810</v>
      </c>
      <c r="D9" s="230">
        <v>41620</v>
      </c>
      <c r="E9" s="230">
        <v>38823</v>
      </c>
      <c r="F9" s="230">
        <v>30927</v>
      </c>
      <c r="G9" s="230">
        <v>24216</v>
      </c>
      <c r="H9" s="230">
        <v>19691</v>
      </c>
      <c r="I9" s="230">
        <v>12804</v>
      </c>
      <c r="J9" s="2820"/>
      <c r="K9" s="2820"/>
      <c r="L9" s="2821"/>
    </row>
    <row r="10" spans="1:18" ht="15.75" customHeight="1" x14ac:dyDescent="0.3">
      <c r="A10" s="214" t="s">
        <v>374</v>
      </c>
      <c r="B10" s="230">
        <v>27328</v>
      </c>
      <c r="C10" s="230">
        <v>16547</v>
      </c>
      <c r="D10" s="230">
        <v>-724</v>
      </c>
      <c r="E10" s="230">
        <v>-725</v>
      </c>
      <c r="F10" s="230">
        <v>-1655</v>
      </c>
      <c r="G10" s="230">
        <v>-2744</v>
      </c>
      <c r="H10" s="230">
        <v>-1637</v>
      </c>
      <c r="I10" s="230">
        <v>389</v>
      </c>
      <c r="J10" s="2820"/>
      <c r="K10" s="2820"/>
      <c r="L10" s="2821"/>
    </row>
    <row r="11" spans="1:18" ht="15.75" customHeight="1" x14ac:dyDescent="0.3">
      <c r="A11" s="214" t="s">
        <v>1311</v>
      </c>
      <c r="B11" s="230">
        <v>11609</v>
      </c>
      <c r="C11" s="230">
        <v>3049</v>
      </c>
      <c r="D11" s="2037"/>
      <c r="E11" s="2037"/>
      <c r="F11" s="2037"/>
      <c r="G11" s="2037"/>
      <c r="H11" s="2037"/>
      <c r="I11" s="2037"/>
      <c r="J11" s="2820"/>
      <c r="K11" s="2820"/>
      <c r="L11" s="2821"/>
    </row>
    <row r="12" spans="1:18" ht="15.75" customHeight="1" x14ac:dyDescent="0.3">
      <c r="A12" s="214" t="s">
        <v>375</v>
      </c>
      <c r="B12" s="230">
        <v>26644</v>
      </c>
      <c r="C12" s="230">
        <v>24526</v>
      </c>
      <c r="D12" s="230">
        <v>14235</v>
      </c>
      <c r="E12" s="230">
        <v>12493</v>
      </c>
      <c r="F12" s="230">
        <v>9223</v>
      </c>
      <c r="G12" s="230">
        <v>7598</v>
      </c>
      <c r="H12" s="230">
        <v>7013</v>
      </c>
      <c r="I12" s="230">
        <v>6598</v>
      </c>
      <c r="J12" s="2820"/>
      <c r="K12" s="2820"/>
      <c r="L12" s="2821"/>
    </row>
    <row r="13" spans="1:18" ht="15.75" customHeight="1" x14ac:dyDescent="0.3">
      <c r="A13" s="214" t="s">
        <v>376</v>
      </c>
      <c r="B13" s="230">
        <v>-1072</v>
      </c>
      <c r="C13" s="230">
        <v>697</v>
      </c>
      <c r="D13" s="230">
        <v>914</v>
      </c>
      <c r="E13" s="230">
        <v>1763</v>
      </c>
      <c r="F13" s="230">
        <v>2440</v>
      </c>
      <c r="G13" s="230">
        <v>2775</v>
      </c>
      <c r="H13" s="230">
        <v>2757</v>
      </c>
      <c r="I13" s="230">
        <v>2775</v>
      </c>
      <c r="J13" s="2820"/>
      <c r="K13" s="2820"/>
      <c r="L13" s="2821"/>
    </row>
    <row r="14" spans="1:18" ht="15.75" customHeight="1" x14ac:dyDescent="0.3">
      <c r="A14" s="214" t="s">
        <v>1313</v>
      </c>
      <c r="B14" s="230">
        <v>-1843</v>
      </c>
      <c r="C14" s="230">
        <v>-1876</v>
      </c>
      <c r="D14" s="230">
        <v>2492</v>
      </c>
      <c r="E14" s="230">
        <v>2171</v>
      </c>
      <c r="F14" s="230">
        <v>4588</v>
      </c>
      <c r="G14" s="230">
        <v>1425</v>
      </c>
      <c r="H14" s="230">
        <v>1198</v>
      </c>
      <c r="I14" s="230">
        <v>566</v>
      </c>
      <c r="J14" s="2820"/>
      <c r="K14" s="2820"/>
      <c r="L14" s="2821"/>
      <c r="R14" s="278"/>
    </row>
    <row r="15" spans="1:18" ht="15.75" customHeight="1" x14ac:dyDescent="0.3">
      <c r="A15" s="214" t="s">
        <v>377</v>
      </c>
      <c r="B15" s="230">
        <v>1166</v>
      </c>
      <c r="C15" s="230">
        <v>-467</v>
      </c>
      <c r="D15" s="230">
        <v>-2</v>
      </c>
      <c r="E15" s="230">
        <v>766</v>
      </c>
      <c r="F15" s="230">
        <v>2775</v>
      </c>
      <c r="G15" s="230">
        <v>4751</v>
      </c>
      <c r="H15" s="230">
        <v>4638</v>
      </c>
      <c r="I15" s="230">
        <v>2747</v>
      </c>
      <c r="J15" s="2820"/>
      <c r="K15" s="2820"/>
      <c r="L15" s="2821"/>
      <c r="R15" s="226"/>
    </row>
    <row r="16" spans="1:18" ht="15.75" customHeight="1" x14ac:dyDescent="0.3">
      <c r="A16" s="214" t="s">
        <v>378</v>
      </c>
      <c r="B16" s="230">
        <v>3278</v>
      </c>
      <c r="C16" s="230">
        <v>2102</v>
      </c>
      <c r="D16" s="230">
        <v>493</v>
      </c>
      <c r="E16" s="230">
        <v>1648</v>
      </c>
      <c r="F16" s="230">
        <v>1352</v>
      </c>
      <c r="G16" s="230">
        <v>1480</v>
      </c>
      <c r="H16" s="2037"/>
      <c r="I16" s="2037"/>
      <c r="J16" s="2820"/>
      <c r="K16" s="2820"/>
      <c r="L16" s="2821"/>
    </row>
    <row r="17" spans="1:16" ht="15.75" customHeight="1" x14ac:dyDescent="0.3">
      <c r="A17" s="214" t="s">
        <v>379</v>
      </c>
      <c r="B17" s="230">
        <v>418</v>
      </c>
      <c r="C17" s="230">
        <v>-100</v>
      </c>
      <c r="D17" s="230">
        <v>-1545</v>
      </c>
      <c r="E17" s="230">
        <v>-2669</v>
      </c>
      <c r="F17" s="230">
        <v>-508</v>
      </c>
      <c r="G17" s="230">
        <v>1723</v>
      </c>
      <c r="H17" s="230">
        <v>2916</v>
      </c>
      <c r="I17" s="230">
        <v>-620</v>
      </c>
      <c r="J17" s="2820"/>
      <c r="K17" s="2820"/>
      <c r="L17" s="2821"/>
    </row>
    <row r="18" spans="1:16" ht="15.75" customHeight="1" x14ac:dyDescent="0.3">
      <c r="A18" s="214" t="s">
        <v>1305</v>
      </c>
      <c r="B18" s="230">
        <v>7831</v>
      </c>
      <c r="C18" s="230">
        <v>4844</v>
      </c>
      <c r="D18" s="230">
        <v>2937</v>
      </c>
      <c r="E18" s="230">
        <v>2145</v>
      </c>
      <c r="F18" s="230">
        <v>1392</v>
      </c>
      <c r="G18" s="230">
        <v>1098</v>
      </c>
      <c r="H18" s="230">
        <v>777</v>
      </c>
      <c r="I18" s="230">
        <v>813</v>
      </c>
      <c r="J18" s="2820"/>
      <c r="K18" s="2820"/>
      <c r="L18" s="2821"/>
    </row>
    <row r="19" spans="1:16" ht="15.75" customHeight="1" x14ac:dyDescent="0.3">
      <c r="A19" s="214" t="s">
        <v>1314</v>
      </c>
      <c r="B19" s="2037"/>
      <c r="C19" s="2037"/>
      <c r="D19" s="2037"/>
      <c r="E19" s="2037"/>
      <c r="F19" s="230">
        <v>5200</v>
      </c>
      <c r="G19" s="230">
        <v>5614</v>
      </c>
      <c r="H19" s="230">
        <v>4710</v>
      </c>
      <c r="I19" s="230">
        <v>3706</v>
      </c>
      <c r="J19" s="2820"/>
      <c r="K19" s="2820"/>
      <c r="L19" s="2821"/>
    </row>
    <row r="20" spans="1:16" ht="15.75" customHeight="1" x14ac:dyDescent="0.3">
      <c r="A20" s="214" t="s">
        <v>1316</v>
      </c>
      <c r="B20" s="230">
        <v>-1434</v>
      </c>
      <c r="C20" s="230">
        <v>-563</v>
      </c>
      <c r="D20" s="230">
        <v>90</v>
      </c>
      <c r="E20" s="2037"/>
      <c r="F20" s="2037"/>
      <c r="G20" s="2037"/>
      <c r="H20" s="2037"/>
      <c r="I20" s="2037"/>
      <c r="J20" s="2820"/>
      <c r="K20" s="2820"/>
      <c r="L20" s="2821"/>
      <c r="O20" s="278"/>
    </row>
    <row r="21" spans="1:16" ht="15.75" customHeight="1" x14ac:dyDescent="0.3">
      <c r="A21" s="214" t="s">
        <v>1306</v>
      </c>
      <c r="B21" s="230">
        <v>-14097</v>
      </c>
      <c r="C21" s="230">
        <v>-13844</v>
      </c>
      <c r="D21" s="230">
        <v>-12977</v>
      </c>
      <c r="E21" s="230">
        <v>-12649</v>
      </c>
      <c r="F21" s="230">
        <v>-9390</v>
      </c>
      <c r="G21" s="230">
        <v>-5860</v>
      </c>
      <c r="H21" s="230">
        <v>-4546</v>
      </c>
      <c r="I21" s="230">
        <v>-4255</v>
      </c>
      <c r="J21" s="2820"/>
      <c r="K21" s="2820"/>
      <c r="L21" s="2821"/>
    </row>
    <row r="22" spans="1:16" ht="15.75" customHeight="1" x14ac:dyDescent="0.3">
      <c r="A22" s="214" t="s">
        <v>1307</v>
      </c>
      <c r="B22" s="230">
        <v>-3179</v>
      </c>
      <c r="C22" s="230">
        <v>-3066</v>
      </c>
      <c r="D22" s="230">
        <v>-891</v>
      </c>
      <c r="E22" s="2037"/>
      <c r="F22" s="2037"/>
      <c r="G22" s="2037"/>
      <c r="H22" s="2037"/>
      <c r="I22" s="2037"/>
      <c r="J22" s="2820"/>
      <c r="K22" s="2820"/>
      <c r="L22" s="2821"/>
    </row>
    <row r="23" spans="1:16" ht="15.75" customHeight="1" x14ac:dyDescent="0.3">
      <c r="A23" s="214" t="s">
        <v>380</v>
      </c>
      <c r="B23" s="230">
        <v>4529</v>
      </c>
      <c r="C23" s="230">
        <v>9623</v>
      </c>
      <c r="D23" s="230">
        <v>2658</v>
      </c>
      <c r="E23" s="230">
        <v>1992</v>
      </c>
      <c r="F23" s="230">
        <v>1308</v>
      </c>
      <c r="G23" s="230">
        <v>996</v>
      </c>
      <c r="H23" s="230">
        <v>438</v>
      </c>
      <c r="I23" s="230">
        <v>102</v>
      </c>
      <c r="J23" s="2822"/>
      <c r="K23" s="2822"/>
      <c r="L23" s="2823"/>
    </row>
    <row r="24" spans="1:16" ht="15.75" customHeight="1" x14ac:dyDescent="0.3">
      <c r="A24" s="213" t="s">
        <v>1324</v>
      </c>
      <c r="B24" s="466">
        <f t="shared" ref="B24:I24" si="0">SUM(B8:B23)</f>
        <v>82021</v>
      </c>
      <c r="C24" s="466">
        <f t="shared" si="0"/>
        <v>51410</v>
      </c>
      <c r="D24" s="466">
        <f t="shared" si="0"/>
        <v>27742</v>
      </c>
      <c r="E24" s="466">
        <f t="shared" si="0"/>
        <v>47236</v>
      </c>
      <c r="F24" s="466">
        <f t="shared" si="0"/>
        <v>54389</v>
      </c>
      <c r="G24" s="466">
        <f t="shared" si="0"/>
        <v>46813</v>
      </c>
      <c r="H24" s="466">
        <f t="shared" si="0"/>
        <v>40955</v>
      </c>
      <c r="I24" s="466">
        <f t="shared" si="0"/>
        <v>31427</v>
      </c>
      <c r="J24" s="466"/>
      <c r="K24" s="466"/>
      <c r="L24" s="467"/>
    </row>
    <row r="25" spans="1:16" ht="15.75" customHeight="1" x14ac:dyDescent="0.3">
      <c r="A25" s="214" t="s">
        <v>1308</v>
      </c>
      <c r="B25" s="2037"/>
      <c r="C25" s="230">
        <v>19575</v>
      </c>
      <c r="D25" s="2037"/>
      <c r="E25" s="2037"/>
      <c r="F25" s="2037"/>
      <c r="G25" s="2037"/>
      <c r="H25" s="2037"/>
      <c r="I25" s="2037"/>
      <c r="J25" s="230"/>
      <c r="K25" s="230"/>
      <c r="L25" s="260"/>
    </row>
    <row r="26" spans="1:16" ht="15.75" customHeight="1" x14ac:dyDescent="0.3">
      <c r="A26" s="214" t="s">
        <v>1309</v>
      </c>
      <c r="B26" s="230">
        <v>7896</v>
      </c>
      <c r="C26" s="2037"/>
      <c r="D26" s="2037"/>
      <c r="E26" s="2037"/>
      <c r="F26" s="2037"/>
      <c r="G26" s="2037"/>
      <c r="H26" s="2037"/>
      <c r="I26" s="2037"/>
      <c r="J26" s="230"/>
      <c r="K26" s="230"/>
      <c r="L26" s="260"/>
    </row>
    <row r="27" spans="1:16" ht="15.75" customHeight="1" x14ac:dyDescent="0.3">
      <c r="A27" s="214" t="s">
        <v>381</v>
      </c>
      <c r="B27" s="230">
        <v>101376</v>
      </c>
      <c r="C27" s="230">
        <v>65089</v>
      </c>
      <c r="D27" s="230">
        <v>21875</v>
      </c>
      <c r="E27" s="230">
        <v>33150</v>
      </c>
      <c r="F27" s="230">
        <v>15757</v>
      </c>
      <c r="G27" s="230">
        <v>9614</v>
      </c>
      <c r="H27" s="230">
        <v>13395</v>
      </c>
      <c r="I27" s="230">
        <v>10807</v>
      </c>
      <c r="J27" s="230"/>
      <c r="K27" s="230"/>
      <c r="L27" s="260"/>
      <c r="P27" s="278"/>
    </row>
    <row r="28" spans="1:16" ht="15.75" customHeight="1" x14ac:dyDescent="0.3">
      <c r="A28" s="214" t="s">
        <v>1310</v>
      </c>
      <c r="B28" s="472">
        <f>SUM(B24:B27)</f>
        <v>191293</v>
      </c>
      <c r="C28" s="472">
        <f>SUM(C24:C27)</f>
        <v>136074</v>
      </c>
      <c r="D28" s="472">
        <f t="shared" ref="D28:I28" si="1">SUM(D24:D27)</f>
        <v>49617</v>
      </c>
      <c r="E28" s="472">
        <f t="shared" si="1"/>
        <v>80386</v>
      </c>
      <c r="F28" s="472">
        <f t="shared" si="1"/>
        <v>70146</v>
      </c>
      <c r="G28" s="472">
        <f t="shared" si="1"/>
        <v>56427</v>
      </c>
      <c r="H28" s="472">
        <f t="shared" si="1"/>
        <v>54350</v>
      </c>
      <c r="I28" s="472">
        <f t="shared" si="1"/>
        <v>42234</v>
      </c>
      <c r="J28" s="472"/>
      <c r="K28" s="472"/>
      <c r="L28" s="404"/>
    </row>
    <row r="29" spans="1:16" ht="15.75" customHeight="1" x14ac:dyDescent="0.3">
      <c r="A29" s="214" t="s">
        <v>727</v>
      </c>
      <c r="B29" s="230">
        <f>B30-B28</f>
        <v>-42397</v>
      </c>
      <c r="C29" s="230">
        <f>C30-C28</f>
        <v>-23908</v>
      </c>
      <c r="D29" s="230">
        <f>D30-D28</f>
        <v>-3243</v>
      </c>
      <c r="E29" s="230">
        <f t="shared" ref="E29:I29" si="2">E30-E28</f>
        <v>-17782</v>
      </c>
      <c r="F29" s="230">
        <f t="shared" si="2"/>
        <v>-17024</v>
      </c>
      <c r="G29" s="230">
        <f t="shared" si="2"/>
        <v>-13610</v>
      </c>
      <c r="H29" s="230">
        <f t="shared" si="2"/>
        <v>-15108</v>
      </c>
      <c r="I29" s="230">
        <f t="shared" si="2"/>
        <v>-11841</v>
      </c>
      <c r="J29" s="230"/>
      <c r="K29" s="230"/>
      <c r="L29" s="260"/>
    </row>
    <row r="30" spans="1:16" ht="18" customHeight="1" thickBot="1" x14ac:dyDescent="0.35">
      <c r="A30" s="214" t="s">
        <v>1319</v>
      </c>
      <c r="B30" s="747">
        <v>148896</v>
      </c>
      <c r="C30" s="747">
        <v>112166</v>
      </c>
      <c r="D30" s="747">
        <v>46374</v>
      </c>
      <c r="E30" s="747">
        <v>62604</v>
      </c>
      <c r="F30" s="747">
        <v>53122</v>
      </c>
      <c r="G30" s="747">
        <v>42817</v>
      </c>
      <c r="H30" s="747">
        <v>39242</v>
      </c>
      <c r="I30" s="747">
        <v>30393</v>
      </c>
      <c r="J30" s="747">
        <v>24966</v>
      </c>
      <c r="K30" s="747">
        <v>6121</v>
      </c>
      <c r="L30" s="748">
        <v>8163</v>
      </c>
    </row>
    <row r="31" spans="1:16" ht="15.75" customHeight="1" thickTop="1" x14ac:dyDescent="0.3">
      <c r="A31" s="214"/>
      <c r="L31" s="223"/>
    </row>
    <row r="32" spans="1:16" ht="15.75" customHeight="1" x14ac:dyDescent="0.3">
      <c r="A32" s="6" t="s">
        <v>998</v>
      </c>
      <c r="L32" s="223"/>
    </row>
    <row r="33" spans="1:12" ht="15.75" customHeight="1" x14ac:dyDescent="0.3">
      <c r="A33" s="6" t="s">
        <v>1330</v>
      </c>
      <c r="B33" s="1"/>
      <c r="C33" s="1"/>
      <c r="D33" s="1"/>
      <c r="E33" s="1"/>
      <c r="F33" s="1"/>
      <c r="G33" s="1"/>
      <c r="H33" s="1"/>
      <c r="I33" s="1"/>
      <c r="J33" s="1"/>
      <c r="K33" s="1"/>
      <c r="L33" s="8"/>
    </row>
    <row r="34" spans="1:12" ht="15.75" customHeight="1" x14ac:dyDescent="0.3">
      <c r="A34" s="6" t="s">
        <v>1312</v>
      </c>
      <c r="B34" s="1"/>
      <c r="C34" s="1"/>
      <c r="D34" s="1"/>
      <c r="E34" s="1"/>
      <c r="F34" s="1"/>
      <c r="G34" s="1"/>
      <c r="H34" s="1"/>
      <c r="I34" s="1"/>
      <c r="J34" s="1"/>
      <c r="K34" s="1"/>
      <c r="L34" s="8"/>
    </row>
    <row r="35" spans="1:12" ht="15.75" customHeight="1" x14ac:dyDescent="0.3">
      <c r="A35" s="6" t="s">
        <v>1341</v>
      </c>
      <c r="B35" s="1"/>
      <c r="C35" s="1"/>
      <c r="D35" s="1"/>
      <c r="E35" s="1"/>
      <c r="F35" s="1"/>
      <c r="G35" s="1"/>
      <c r="H35" s="1"/>
      <c r="I35" s="1"/>
      <c r="J35" s="1"/>
      <c r="K35" s="1"/>
      <c r="L35" s="8"/>
    </row>
    <row r="36" spans="1:12" ht="15.75" customHeight="1" x14ac:dyDescent="0.3">
      <c r="A36" s="6" t="s">
        <v>1315</v>
      </c>
      <c r="B36" s="1"/>
      <c r="C36" s="1"/>
      <c r="D36" s="1"/>
      <c r="E36" s="1"/>
      <c r="F36" s="1"/>
      <c r="G36" s="1"/>
      <c r="H36" s="1"/>
      <c r="I36" s="1"/>
      <c r="J36" s="1"/>
      <c r="K36" s="1"/>
      <c r="L36" s="8"/>
    </row>
    <row r="37" spans="1:12" ht="15.75" customHeight="1" x14ac:dyDescent="0.3">
      <c r="A37" s="6" t="s">
        <v>1425</v>
      </c>
      <c r="B37" s="1"/>
      <c r="C37" s="1"/>
      <c r="D37" s="1"/>
      <c r="E37" s="1"/>
      <c r="F37" s="1"/>
      <c r="G37" s="1"/>
      <c r="H37" s="1"/>
      <c r="I37" s="1"/>
      <c r="J37" s="1"/>
      <c r="K37" s="1"/>
      <c r="L37" s="8"/>
    </row>
    <row r="38" spans="1:12" ht="15.75" customHeight="1" x14ac:dyDescent="0.3">
      <c r="A38" s="2824" t="s">
        <v>1426</v>
      </c>
      <c r="B38" s="2825"/>
      <c r="C38" s="2825"/>
      <c r="D38" s="2825"/>
      <c r="E38" s="2825"/>
      <c r="F38" s="2825"/>
      <c r="G38" s="2825"/>
      <c r="H38" s="2825"/>
      <c r="I38" s="2825"/>
      <c r="J38" s="2825"/>
      <c r="K38" s="2825"/>
      <c r="L38" s="2826"/>
    </row>
    <row r="39" spans="1:12" ht="15.75" customHeight="1" x14ac:dyDescent="0.3">
      <c r="A39" s="2824"/>
      <c r="B39" s="2825"/>
      <c r="C39" s="2825"/>
      <c r="D39" s="2825"/>
      <c r="E39" s="2825"/>
      <c r="F39" s="2825"/>
      <c r="G39" s="2825"/>
      <c r="H39" s="2825"/>
      <c r="I39" s="2825"/>
      <c r="J39" s="2825"/>
      <c r="K39" s="2825"/>
      <c r="L39" s="2826"/>
    </row>
    <row r="40" spans="1:12" ht="16.2" thickBot="1" x14ac:dyDescent="0.35">
      <c r="A40" s="9" t="s">
        <v>1318</v>
      </c>
      <c r="B40" s="25"/>
      <c r="C40" s="25"/>
      <c r="D40" s="25"/>
      <c r="E40" s="25"/>
      <c r="F40" s="25"/>
      <c r="G40" s="25"/>
      <c r="H40" s="25"/>
      <c r="I40" s="25"/>
      <c r="J40" s="25"/>
      <c r="K40" s="25"/>
      <c r="L40" s="26"/>
    </row>
    <row r="41" spans="1:12" x14ac:dyDescent="0.3">
      <c r="A41" s="12" t="s">
        <v>3708</v>
      </c>
    </row>
    <row r="42" spans="1:12" x14ac:dyDescent="0.3">
      <c r="E42" s="278"/>
    </row>
    <row r="45" spans="1:12" ht="16.2" thickBot="1" x14ac:dyDescent="0.35"/>
    <row r="46" spans="1:12" x14ac:dyDescent="0.3">
      <c r="A46" s="453" t="s">
        <v>382</v>
      </c>
      <c r="B46" s="359">
        <v>1984</v>
      </c>
      <c r="C46" s="359">
        <v>1983</v>
      </c>
      <c r="D46" s="359">
        <v>1982</v>
      </c>
      <c r="E46" s="359">
        <v>1981</v>
      </c>
      <c r="F46" s="359">
        <v>1980</v>
      </c>
      <c r="G46" s="359">
        <v>1979</v>
      </c>
      <c r="H46" s="359">
        <v>1978</v>
      </c>
      <c r="I46" s="359">
        <v>1977</v>
      </c>
      <c r="J46" s="359">
        <v>1976</v>
      </c>
      <c r="K46" s="359">
        <v>1975</v>
      </c>
      <c r="L46" s="360">
        <v>1974</v>
      </c>
    </row>
    <row r="47" spans="1:12" x14ac:dyDescent="0.3">
      <c r="A47" s="214" t="s">
        <v>372</v>
      </c>
      <c r="L47" s="223"/>
    </row>
    <row r="48" spans="1:12" x14ac:dyDescent="0.3">
      <c r="A48" s="214" t="str">
        <f>A8</f>
        <v xml:space="preserve">  Underwriting</v>
      </c>
      <c r="B48" s="227">
        <f>B8/B$24</f>
        <v>-0.58594750124967998</v>
      </c>
      <c r="C48" s="227">
        <f t="shared" ref="B48:I57" si="3">C8/C$24</f>
        <v>-0.65886014394086756</v>
      </c>
      <c r="D48" s="227">
        <f t="shared" si="3"/>
        <v>-0.77708889049095231</v>
      </c>
      <c r="E48" s="227">
        <f t="shared" si="3"/>
        <v>3.1289694300956898E-2</v>
      </c>
      <c r="F48" s="227">
        <f t="shared" si="3"/>
        <v>0.12386695839232198</v>
      </c>
      <c r="G48" s="227">
        <f t="shared" si="3"/>
        <v>7.991369918612351E-2</v>
      </c>
      <c r="H48" s="227">
        <f t="shared" si="3"/>
        <v>7.3251129288243191E-2</v>
      </c>
      <c r="I48" s="227">
        <f t="shared" si="3"/>
        <v>0.18461832182518217</v>
      </c>
      <c r="J48" s="2820" t="s">
        <v>385</v>
      </c>
      <c r="K48" s="2820"/>
      <c r="L48" s="2821"/>
    </row>
    <row r="49" spans="1:12" x14ac:dyDescent="0.3">
      <c r="A49" s="214" t="str">
        <f t="shared" ref="A49:A63" si="4">A9</f>
        <v xml:space="preserve">  Net investment income</v>
      </c>
      <c r="B49" s="227">
        <f t="shared" si="3"/>
        <v>0.84006534911790887</v>
      </c>
      <c r="C49" s="227">
        <f t="shared" si="3"/>
        <v>0.85216883874732541</v>
      </c>
      <c r="D49" s="227">
        <f t="shared" si="3"/>
        <v>1.5002523249945929</v>
      </c>
      <c r="E49" s="227">
        <f t="shared" si="3"/>
        <v>0.82189431789313239</v>
      </c>
      <c r="F49" s="227">
        <f t="shared" si="3"/>
        <v>0.56862600893563031</v>
      </c>
      <c r="G49" s="227">
        <f t="shared" si="3"/>
        <v>0.51729220515668728</v>
      </c>
      <c r="H49" s="227">
        <f t="shared" si="3"/>
        <v>0.48079599560493225</v>
      </c>
      <c r="I49" s="227">
        <f t="shared" si="3"/>
        <v>0.40742037101855094</v>
      </c>
      <c r="J49" s="2820"/>
      <c r="K49" s="2820"/>
      <c r="L49" s="2821"/>
    </row>
    <row r="50" spans="1:12" x14ac:dyDescent="0.3">
      <c r="A50" s="214" t="str">
        <f t="shared" si="4"/>
        <v xml:space="preserve"> Buffalo News</v>
      </c>
      <c r="B50" s="227">
        <f t="shared" si="3"/>
        <v>0.33318296533814512</v>
      </c>
      <c r="C50" s="227">
        <f t="shared" si="3"/>
        <v>0.32186345069052713</v>
      </c>
      <c r="D50" s="227">
        <f t="shared" si="3"/>
        <v>-2.6097613726479705E-2</v>
      </c>
      <c r="E50" s="227">
        <f t="shared" si="3"/>
        <v>-1.5348463036666949E-2</v>
      </c>
      <c r="F50" s="227">
        <f t="shared" si="3"/>
        <v>-3.0428947029730275E-2</v>
      </c>
      <c r="G50" s="227">
        <f t="shared" si="3"/>
        <v>-5.8616196355713156E-2</v>
      </c>
      <c r="H50" s="227">
        <f t="shared" si="3"/>
        <v>-3.9970699548284701E-2</v>
      </c>
      <c r="I50" s="227">
        <f t="shared" si="3"/>
        <v>1.237789162185382E-2</v>
      </c>
      <c r="J50" s="2820"/>
      <c r="K50" s="2820"/>
      <c r="L50" s="2821"/>
    </row>
    <row r="51" spans="1:12" x14ac:dyDescent="0.3">
      <c r="A51" s="214" t="str">
        <f t="shared" si="4"/>
        <v xml:space="preserve"> Nebraska Furniture Mart2</v>
      </c>
      <c r="B51" s="227">
        <f t="shared" si="3"/>
        <v>0.14153692347081845</v>
      </c>
      <c r="C51" s="227">
        <f t="shared" si="3"/>
        <v>5.9307527718342738E-2</v>
      </c>
      <c r="D51" s="227">
        <f t="shared" si="3"/>
        <v>0</v>
      </c>
      <c r="E51" s="227">
        <f t="shared" si="3"/>
        <v>0</v>
      </c>
      <c r="F51" s="227">
        <f t="shared" si="3"/>
        <v>0</v>
      </c>
      <c r="G51" s="227">
        <f t="shared" si="3"/>
        <v>0</v>
      </c>
      <c r="H51" s="227">
        <f t="shared" si="3"/>
        <v>0</v>
      </c>
      <c r="I51" s="227">
        <f t="shared" si="3"/>
        <v>0</v>
      </c>
      <c r="J51" s="2820"/>
      <c r="K51" s="2820"/>
      <c r="L51" s="2821"/>
    </row>
    <row r="52" spans="1:12" x14ac:dyDescent="0.3">
      <c r="A52" s="214" t="str">
        <f t="shared" si="4"/>
        <v xml:space="preserve"> See's Candies</v>
      </c>
      <c r="B52" s="227">
        <f t="shared" si="3"/>
        <v>0.32484363760500362</v>
      </c>
      <c r="C52" s="227">
        <f t="shared" si="3"/>
        <v>0.47706671853724958</v>
      </c>
      <c r="D52" s="227">
        <f t="shared" si="3"/>
        <v>0.5131208997188379</v>
      </c>
      <c r="E52" s="227">
        <f t="shared" si="3"/>
        <v>0.26448048098907612</v>
      </c>
      <c r="F52" s="227">
        <f t="shared" si="3"/>
        <v>0.1695747301844123</v>
      </c>
      <c r="G52" s="227">
        <f t="shared" si="3"/>
        <v>0.16230534253305706</v>
      </c>
      <c r="H52" s="227">
        <f t="shared" si="3"/>
        <v>0.1712367232328165</v>
      </c>
      <c r="I52" s="227">
        <f t="shared" si="3"/>
        <v>0.20994686097941262</v>
      </c>
      <c r="J52" s="2820"/>
      <c r="K52" s="2820"/>
      <c r="L52" s="2821"/>
    </row>
    <row r="53" spans="1:12" x14ac:dyDescent="0.3">
      <c r="A53" s="214" t="str">
        <f t="shared" si="4"/>
        <v xml:space="preserve"> Associated Retail Stores</v>
      </c>
      <c r="B53" s="227">
        <f t="shared" si="3"/>
        <v>-1.3069823581765646E-2</v>
      </c>
      <c r="C53" s="227">
        <f t="shared" si="3"/>
        <v>1.355767360435713E-2</v>
      </c>
      <c r="D53" s="227">
        <f t="shared" si="3"/>
        <v>3.2946435008290677E-2</v>
      </c>
      <c r="E53" s="227">
        <f t="shared" si="3"/>
        <v>3.7323228046405282E-2</v>
      </c>
      <c r="F53" s="227">
        <f t="shared" si="3"/>
        <v>4.4862012539300229E-2</v>
      </c>
      <c r="G53" s="227">
        <f t="shared" si="3"/>
        <v>5.9278405571102047E-2</v>
      </c>
      <c r="H53" s="227">
        <f t="shared" si="3"/>
        <v>6.7317787815895494E-2</v>
      </c>
      <c r="I53" s="227">
        <f t="shared" si="3"/>
        <v>8.8299869538931486E-2</v>
      </c>
      <c r="J53" s="2820"/>
      <c r="K53" s="2820"/>
      <c r="L53" s="2821"/>
    </row>
    <row r="54" spans="1:12" x14ac:dyDescent="0.3">
      <c r="A54" s="214" t="str">
        <f t="shared" si="4"/>
        <v xml:space="preserve"> Blue Chip Stamps - parent3</v>
      </c>
      <c r="B54" s="227">
        <f t="shared" si="3"/>
        <v>-2.246985528096463E-2</v>
      </c>
      <c r="C54" s="227">
        <f t="shared" si="3"/>
        <v>-3.6490955067107568E-2</v>
      </c>
      <c r="D54" s="227">
        <f t="shared" si="3"/>
        <v>8.9827698075120754E-2</v>
      </c>
      <c r="E54" s="227">
        <f t="shared" si="3"/>
        <v>4.596070793462613E-2</v>
      </c>
      <c r="F54" s="227">
        <f t="shared" si="3"/>
        <v>8.4355292430454684E-2</v>
      </c>
      <c r="G54" s="227">
        <f t="shared" si="3"/>
        <v>3.0440262320295643E-2</v>
      </c>
      <c r="H54" s="227">
        <f t="shared" si="3"/>
        <v>2.9251617629105116E-2</v>
      </c>
      <c r="I54" s="227">
        <f t="shared" si="3"/>
        <v>1.8009991408661344E-2</v>
      </c>
      <c r="J54" s="2820"/>
      <c r="K54" s="2820"/>
      <c r="L54" s="2821"/>
    </row>
    <row r="55" spans="1:12" x14ac:dyDescent="0.3">
      <c r="A55" s="214" t="str">
        <f t="shared" si="4"/>
        <v xml:space="preserve"> Mutual Savings and Loan</v>
      </c>
      <c r="B55" s="227">
        <f t="shared" si="3"/>
        <v>1.421587154509211E-2</v>
      </c>
      <c r="C55" s="227">
        <f t="shared" si="3"/>
        <v>-9.0838358296051348E-3</v>
      </c>
      <c r="D55" s="227">
        <f t="shared" si="3"/>
        <v>-7.2092855598010234E-5</v>
      </c>
      <c r="E55" s="227">
        <f t="shared" si="3"/>
        <v>1.621644508425777E-2</v>
      </c>
      <c r="F55" s="227">
        <f t="shared" si="3"/>
        <v>5.1021346228097592E-2</v>
      </c>
      <c r="G55" s="227">
        <f t="shared" si="3"/>
        <v>0.10148890265524534</v>
      </c>
      <c r="H55" s="227">
        <f t="shared" si="3"/>
        <v>0.11324624587962398</v>
      </c>
      <c r="I55" s="227">
        <f t="shared" si="3"/>
        <v>8.7408915900340473E-2</v>
      </c>
      <c r="J55" s="2820"/>
      <c r="K55" s="2820"/>
      <c r="L55" s="2821"/>
    </row>
    <row r="56" spans="1:12" x14ac:dyDescent="0.3">
      <c r="A56" s="214" t="str">
        <f t="shared" si="4"/>
        <v xml:space="preserve"> Precision Steel</v>
      </c>
      <c r="B56" s="227">
        <f t="shared" si="3"/>
        <v>3.9965374721108012E-2</v>
      </c>
      <c r="C56" s="227">
        <f t="shared" si="3"/>
        <v>4.0886986967516047E-2</v>
      </c>
      <c r="D56" s="227">
        <f t="shared" si="3"/>
        <v>1.7770888904909524E-2</v>
      </c>
      <c r="E56" s="227">
        <f t="shared" si="3"/>
        <v>3.4888644254382248E-2</v>
      </c>
      <c r="F56" s="227">
        <f t="shared" si="3"/>
        <v>2.4857967603743404E-2</v>
      </c>
      <c r="G56" s="227">
        <f t="shared" si="3"/>
        <v>3.1615149637921093E-2</v>
      </c>
      <c r="H56" s="227">
        <f t="shared" si="3"/>
        <v>0</v>
      </c>
      <c r="I56" s="227">
        <f t="shared" si="3"/>
        <v>0</v>
      </c>
      <c r="J56" s="2820"/>
      <c r="K56" s="2820"/>
      <c r="L56" s="2821"/>
    </row>
    <row r="57" spans="1:12" x14ac:dyDescent="0.3">
      <c r="A57" s="214" t="str">
        <f t="shared" si="4"/>
        <v xml:space="preserve"> Textiles</v>
      </c>
      <c r="B57" s="227">
        <f t="shared" si="3"/>
        <v>5.096255836919813E-3</v>
      </c>
      <c r="C57" s="227">
        <f t="shared" si="3"/>
        <v>-1.9451468585878235E-3</v>
      </c>
      <c r="D57" s="227">
        <f t="shared" si="3"/>
        <v>-5.5691730949462906E-2</v>
      </c>
      <c r="E57" s="227">
        <f t="shared" si="3"/>
        <v>-5.6503514268778053E-2</v>
      </c>
      <c r="F57" s="227">
        <f t="shared" si="3"/>
        <v>-9.3401239221166041E-3</v>
      </c>
      <c r="G57" s="227">
        <f t="shared" si="3"/>
        <v>3.6806015423066239E-2</v>
      </c>
      <c r="H57" s="227">
        <f t="shared" si="3"/>
        <v>7.1200097668172382E-2</v>
      </c>
      <c r="I57" s="227">
        <f t="shared" si="3"/>
        <v>-1.9728259140229739E-2</v>
      </c>
      <c r="J57" s="2820"/>
      <c r="K57" s="2820"/>
      <c r="L57" s="2821"/>
    </row>
    <row r="58" spans="1:12" x14ac:dyDescent="0.3">
      <c r="A58" s="214" t="str">
        <f t="shared" si="4"/>
        <v xml:space="preserve"> Wesco Financial - parent</v>
      </c>
      <c r="B58" s="227">
        <f t="shared" ref="B58:I63" si="5">B18/B$24</f>
        <v>9.547554894478244E-2</v>
      </c>
      <c r="C58" s="227">
        <f t="shared" si="5"/>
        <v>9.4222913829994162E-2</v>
      </c>
      <c r="D58" s="227">
        <f t="shared" si="5"/>
        <v>0.10586835844567803</v>
      </c>
      <c r="E58" s="227">
        <f t="shared" si="5"/>
        <v>4.5410280294690492E-2</v>
      </c>
      <c r="F58" s="227">
        <f t="shared" si="5"/>
        <v>2.5593410432256523E-2</v>
      </c>
      <c r="G58" s="227">
        <f t="shared" si="5"/>
        <v>2.3455023177322537E-2</v>
      </c>
      <c r="H58" s="227">
        <f t="shared" si="5"/>
        <v>1.8972042485654986E-2</v>
      </c>
      <c r="I58" s="227">
        <f t="shared" si="5"/>
        <v>2.5869475291946414E-2</v>
      </c>
      <c r="J58" s="2820"/>
      <c r="K58" s="2820"/>
      <c r="L58" s="2821"/>
    </row>
    <row r="59" spans="1:12" x14ac:dyDescent="0.3">
      <c r="A59" s="214" t="str">
        <f t="shared" si="4"/>
        <v xml:space="preserve"> Illinois National Bank4</v>
      </c>
      <c r="B59" s="227">
        <f t="shared" si="5"/>
        <v>0</v>
      </c>
      <c r="C59" s="227">
        <f t="shared" si="5"/>
        <v>0</v>
      </c>
      <c r="D59" s="227">
        <f t="shared" si="5"/>
        <v>0</v>
      </c>
      <c r="E59" s="227">
        <f t="shared" si="5"/>
        <v>0</v>
      </c>
      <c r="F59" s="227">
        <f t="shared" si="5"/>
        <v>9.5607567706705393E-2</v>
      </c>
      <c r="G59" s="227">
        <f t="shared" si="5"/>
        <v>0.11992395274816825</v>
      </c>
      <c r="H59" s="227">
        <f t="shared" si="5"/>
        <v>0.11500427298254182</v>
      </c>
      <c r="I59" s="227">
        <f t="shared" si="5"/>
        <v>0.11792407802208292</v>
      </c>
      <c r="J59" s="2820"/>
      <c r="K59" s="2820"/>
      <c r="L59" s="2821"/>
    </row>
    <row r="60" spans="1:12" x14ac:dyDescent="0.3">
      <c r="A60" s="214" t="str">
        <f t="shared" si="4"/>
        <v xml:space="preserve"> Amortization of goodwill5</v>
      </c>
      <c r="B60" s="227">
        <f t="shared" si="5"/>
        <v>-1.7483327440533523E-2</v>
      </c>
      <c r="C60" s="227">
        <f t="shared" si="5"/>
        <v>-1.0951176813849446E-2</v>
      </c>
      <c r="D60" s="227">
        <f t="shared" si="5"/>
        <v>3.2441785019104606E-3</v>
      </c>
      <c r="E60" s="227">
        <f t="shared" si="5"/>
        <v>0</v>
      </c>
      <c r="F60" s="227">
        <f t="shared" si="5"/>
        <v>0</v>
      </c>
      <c r="G60" s="227">
        <f t="shared" si="5"/>
        <v>0</v>
      </c>
      <c r="H60" s="227">
        <f t="shared" si="5"/>
        <v>0</v>
      </c>
      <c r="I60" s="227">
        <f t="shared" si="5"/>
        <v>0</v>
      </c>
      <c r="J60" s="2820"/>
      <c r="K60" s="2820"/>
      <c r="L60" s="2821"/>
    </row>
    <row r="61" spans="1:12" x14ac:dyDescent="0.3">
      <c r="A61" s="214" t="str">
        <f t="shared" si="4"/>
        <v xml:space="preserve"> Interest on debt</v>
      </c>
      <c r="B61" s="227">
        <f t="shared" si="5"/>
        <v>-0.17187061850014021</v>
      </c>
      <c r="C61" s="227">
        <f t="shared" si="5"/>
        <v>-0.26928613110289829</v>
      </c>
      <c r="D61" s="227">
        <f t="shared" si="5"/>
        <v>-0.46777449354768941</v>
      </c>
      <c r="E61" s="227">
        <f t="shared" si="5"/>
        <v>-0.26778304682868997</v>
      </c>
      <c r="F61" s="227">
        <f t="shared" si="5"/>
        <v>-0.17264520399345457</v>
      </c>
      <c r="G61" s="227">
        <f t="shared" si="5"/>
        <v>-0.12517890329609296</v>
      </c>
      <c r="H61" s="227">
        <f t="shared" si="5"/>
        <v>-0.11099987791478452</v>
      </c>
      <c r="I61" s="227">
        <f t="shared" si="5"/>
        <v>-0.13539313329302829</v>
      </c>
      <c r="J61" s="2820"/>
      <c r="K61" s="2820"/>
      <c r="L61" s="2821"/>
    </row>
    <row r="62" spans="1:12" x14ac:dyDescent="0.3">
      <c r="A62" s="214" t="str">
        <f t="shared" si="4"/>
        <v xml:space="preserve"> Shareholder-designated contributions</v>
      </c>
      <c r="B62" s="227">
        <f t="shared" si="5"/>
        <v>-3.8758366759732266E-2</v>
      </c>
      <c r="C62" s="227">
        <f t="shared" si="5"/>
        <v>-5.9638202684302664E-2</v>
      </c>
      <c r="D62" s="227">
        <f t="shared" si="5"/>
        <v>-3.2117367168913558E-2</v>
      </c>
      <c r="E62" s="227">
        <f t="shared" si="5"/>
        <v>0</v>
      </c>
      <c r="F62" s="227">
        <f t="shared" si="5"/>
        <v>0</v>
      </c>
      <c r="G62" s="227">
        <f t="shared" si="5"/>
        <v>0</v>
      </c>
      <c r="H62" s="227">
        <f t="shared" si="5"/>
        <v>0</v>
      </c>
      <c r="I62" s="227">
        <f t="shared" si="5"/>
        <v>0</v>
      </c>
      <c r="J62" s="2820"/>
      <c r="K62" s="2820"/>
      <c r="L62" s="2821"/>
    </row>
    <row r="63" spans="1:12" x14ac:dyDescent="0.3">
      <c r="A63" s="214" t="str">
        <f t="shared" si="4"/>
        <v xml:space="preserve"> Other</v>
      </c>
      <c r="B63" s="227">
        <f t="shared" si="5"/>
        <v>5.5217566233037883E-2</v>
      </c>
      <c r="C63" s="227">
        <f t="shared" si="5"/>
        <v>0.18718148220190625</v>
      </c>
      <c r="D63" s="227">
        <f t="shared" si="5"/>
        <v>9.5811405089755608E-2</v>
      </c>
      <c r="E63" s="227">
        <f t="shared" si="5"/>
        <v>4.2171225336607672E-2</v>
      </c>
      <c r="F63" s="227">
        <f t="shared" si="5"/>
        <v>2.4048980492378972E-2</v>
      </c>
      <c r="G63" s="227">
        <f t="shared" si="5"/>
        <v>2.1276141242817168E-2</v>
      </c>
      <c r="H63" s="227">
        <f t="shared" si="5"/>
        <v>1.0694664876083506E-2</v>
      </c>
      <c r="I63" s="227">
        <f t="shared" si="5"/>
        <v>3.2456168262958601E-3</v>
      </c>
      <c r="J63" s="2822"/>
      <c r="K63" s="2822"/>
      <c r="L63" s="2823"/>
    </row>
    <row r="64" spans="1:12" ht="16.2" thickBot="1" x14ac:dyDescent="0.35">
      <c r="A64" s="271" t="s">
        <v>216</v>
      </c>
      <c r="B64" s="500">
        <f>B24/B$24</f>
        <v>1</v>
      </c>
      <c r="C64" s="500">
        <f t="shared" ref="C64:H64" si="6">C24/C$24</f>
        <v>1</v>
      </c>
      <c r="D64" s="500">
        <f t="shared" si="6"/>
        <v>1</v>
      </c>
      <c r="E64" s="500">
        <f t="shared" si="6"/>
        <v>1</v>
      </c>
      <c r="F64" s="500">
        <f t="shared" si="6"/>
        <v>1</v>
      </c>
      <c r="G64" s="500">
        <f t="shared" si="6"/>
        <v>1</v>
      </c>
      <c r="H64" s="500">
        <f t="shared" si="6"/>
        <v>1</v>
      </c>
      <c r="I64" s="500">
        <f>I24/I$24</f>
        <v>1</v>
      </c>
      <c r="J64" s="468"/>
      <c r="K64" s="468"/>
      <c r="L64" s="469"/>
    </row>
  </sheetData>
  <mergeCells count="3">
    <mergeCell ref="J8:L23"/>
    <mergeCell ref="J48:L63"/>
    <mergeCell ref="A38:L39"/>
  </mergeCells>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37CD-CE9B-4276-A457-8E068453975F}">
  <sheetPr>
    <tabColor theme="9" tint="0.59999389629810485"/>
  </sheetPr>
  <dimension ref="A1:D7"/>
  <sheetViews>
    <sheetView showGridLines="0" zoomScale="130" zoomScaleNormal="130" workbookViewId="0">
      <selection activeCell="F18" sqref="F18"/>
    </sheetView>
  </sheetViews>
  <sheetFormatPr defaultColWidth="9.109375" defaultRowHeight="15.6" x14ac:dyDescent="0.3"/>
  <cols>
    <col min="1" max="1" width="27.6640625" style="211" customWidth="1"/>
    <col min="2" max="4" width="11.5546875" style="211" customWidth="1"/>
    <col min="5" max="16384" width="9.109375" style="211"/>
  </cols>
  <sheetData>
    <row r="1" spans="1:4" x14ac:dyDescent="0.3">
      <c r="A1" s="152" t="s">
        <v>2727</v>
      </c>
    </row>
    <row r="2" spans="1:4" x14ac:dyDescent="0.3">
      <c r="A2" s="152" t="s">
        <v>2726</v>
      </c>
    </row>
    <row r="3" spans="1:4" ht="6.6" customHeight="1" thickBot="1" x14ac:dyDescent="0.35">
      <c r="A3" s="152"/>
    </row>
    <row r="4" spans="1:4" x14ac:dyDescent="0.3">
      <c r="A4" s="212" t="s">
        <v>1250</v>
      </c>
      <c r="B4" s="1989">
        <v>1975</v>
      </c>
      <c r="C4" s="1989">
        <v>1974</v>
      </c>
      <c r="D4" s="471" t="s">
        <v>1290</v>
      </c>
    </row>
    <row r="5" spans="1:4" x14ac:dyDescent="0.3">
      <c r="A5" s="214" t="s">
        <v>975</v>
      </c>
      <c r="B5" s="2041">
        <v>32.799999999999997</v>
      </c>
      <c r="C5" s="2042">
        <v>32.6</v>
      </c>
      <c r="D5" s="2043">
        <f>B5/C5-1</f>
        <v>6.1349693251533388E-3</v>
      </c>
    </row>
    <row r="6" spans="1:4" ht="16.2" thickBot="1" x14ac:dyDescent="0.35">
      <c r="A6" s="2040" t="s">
        <v>2725</v>
      </c>
      <c r="B6" s="2039">
        <v>36</v>
      </c>
      <c r="C6" s="2039">
        <v>45.9</v>
      </c>
      <c r="D6" s="2044">
        <f>B6/C6-1</f>
        <v>-0.21568627450980393</v>
      </c>
    </row>
    <row r="7" spans="1:4" x14ac:dyDescent="0.3">
      <c r="A7" s="12" t="s">
        <v>2724</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3B4F4-CB06-47FE-B245-E5D7A1FF1183}">
  <sheetPr>
    <tabColor theme="9" tint="0.59999389629810485"/>
  </sheetPr>
  <dimension ref="A1:F29"/>
  <sheetViews>
    <sheetView showGridLines="0" zoomScale="115" zoomScaleNormal="115" workbookViewId="0">
      <selection activeCell="F10" sqref="F10"/>
    </sheetView>
  </sheetViews>
  <sheetFormatPr defaultColWidth="9.109375" defaultRowHeight="15.6" x14ac:dyDescent="0.3"/>
  <cols>
    <col min="1" max="1" width="32.44140625" style="211" customWidth="1"/>
    <col min="2" max="2" width="13.6640625" style="211" bestFit="1" customWidth="1"/>
    <col min="3" max="3" width="9.109375" style="211"/>
    <col min="4" max="4" width="35.88671875" style="211" customWidth="1"/>
    <col min="5" max="16384" width="9.109375" style="211"/>
  </cols>
  <sheetData>
    <row r="1" spans="1:6" x14ac:dyDescent="0.3">
      <c r="A1" s="459" t="s">
        <v>1332</v>
      </c>
    </row>
    <row r="2" spans="1:6" x14ac:dyDescent="0.3">
      <c r="A2" s="152" t="s">
        <v>2739</v>
      </c>
    </row>
    <row r="3" spans="1:6" ht="8.25" customHeight="1" thickBot="1" x14ac:dyDescent="0.35">
      <c r="A3" s="1413"/>
    </row>
    <row r="4" spans="1:6" x14ac:dyDescent="0.3">
      <c r="A4" s="453"/>
      <c r="B4" s="389"/>
    </row>
    <row r="5" spans="1:6" x14ac:dyDescent="0.3">
      <c r="A5" s="214" t="s">
        <v>1017</v>
      </c>
      <c r="B5" s="2056">
        <v>432055</v>
      </c>
      <c r="F5" s="211" t="s">
        <v>2738</v>
      </c>
    </row>
    <row r="6" spans="1:6" x14ac:dyDescent="0.3">
      <c r="A6" s="214" t="s">
        <v>2737</v>
      </c>
      <c r="B6" s="2058">
        <v>6647</v>
      </c>
      <c r="F6" s="350">
        <f>B6/B9</f>
        <v>6.8087346836760406E-3</v>
      </c>
    </row>
    <row r="7" spans="1:6" x14ac:dyDescent="0.3">
      <c r="A7" s="214" t="s">
        <v>2736</v>
      </c>
      <c r="B7" s="2059">
        <f>B5/B6</f>
        <v>65</v>
      </c>
      <c r="D7" s="211" t="s">
        <v>176</v>
      </c>
    </row>
    <row r="8" spans="1:6" x14ac:dyDescent="0.3">
      <c r="A8" s="214"/>
      <c r="B8" s="2057"/>
    </row>
    <row r="9" spans="1:6" x14ac:dyDescent="0.3">
      <c r="A9" s="214" t="s">
        <v>2735</v>
      </c>
      <c r="B9" s="2058">
        <v>976246</v>
      </c>
    </row>
    <row r="10" spans="1:6" x14ac:dyDescent="0.3">
      <c r="A10" s="214" t="s">
        <v>1556</v>
      </c>
      <c r="B10" s="2056">
        <f>B7*B9</f>
        <v>63455990</v>
      </c>
    </row>
    <row r="11" spans="1:6" x14ac:dyDescent="0.3">
      <c r="A11" s="214"/>
      <c r="B11" s="2057"/>
    </row>
    <row r="12" spans="1:6" x14ac:dyDescent="0.3">
      <c r="A12" s="214" t="s">
        <v>2734</v>
      </c>
      <c r="B12" s="2056">
        <v>104091662.5</v>
      </c>
    </row>
    <row r="13" spans="1:6" ht="16.2" thickBot="1" x14ac:dyDescent="0.35">
      <c r="A13" s="224" t="s">
        <v>2733</v>
      </c>
      <c r="B13" s="1207">
        <f>B10/B12</f>
        <v>0.60961645223026384</v>
      </c>
    </row>
    <row r="14" spans="1:6" ht="30" customHeight="1" x14ac:dyDescent="0.3">
      <c r="A14" s="2811" t="s">
        <v>3709</v>
      </c>
      <c r="B14" s="2811"/>
    </row>
    <row r="16" spans="1:6" x14ac:dyDescent="0.3">
      <c r="D16" s="459" t="s">
        <v>1332</v>
      </c>
    </row>
    <row r="17" spans="4:6" x14ac:dyDescent="0.3">
      <c r="D17" s="152" t="s">
        <v>2732</v>
      </c>
    </row>
    <row r="18" spans="4:6" ht="8.25" customHeight="1" thickBot="1" x14ac:dyDescent="0.35"/>
    <row r="19" spans="4:6" x14ac:dyDescent="0.3">
      <c r="D19" s="453"/>
      <c r="E19" s="2038">
        <v>1976</v>
      </c>
      <c r="F19" s="1954">
        <v>1975</v>
      </c>
    </row>
    <row r="20" spans="4:6" x14ac:dyDescent="0.3">
      <c r="D20" s="214" t="s">
        <v>2731</v>
      </c>
      <c r="E20" s="2055">
        <v>103</v>
      </c>
      <c r="F20" s="2054">
        <v>108.3</v>
      </c>
    </row>
    <row r="21" spans="4:6" x14ac:dyDescent="0.3">
      <c r="D21" s="214" t="s">
        <v>2730</v>
      </c>
      <c r="E21" s="2055">
        <v>107.4</v>
      </c>
      <c r="F21" s="2054">
        <v>113.5</v>
      </c>
    </row>
    <row r="22" spans="4:6" x14ac:dyDescent="0.3">
      <c r="D22" s="214" t="s">
        <v>1020</v>
      </c>
      <c r="E22" s="2055">
        <v>94.6</v>
      </c>
      <c r="F22" s="2054">
        <v>117.8</v>
      </c>
    </row>
    <row r="23" spans="4:6" x14ac:dyDescent="0.3">
      <c r="D23" s="214"/>
      <c r="E23" s="2053"/>
      <c r="F23" s="2052"/>
    </row>
    <row r="24" spans="4:6" ht="15.75" customHeight="1" x14ac:dyDescent="0.3">
      <c r="D24" s="2799" t="s">
        <v>2729</v>
      </c>
      <c r="E24" s="2827"/>
      <c r="F24" s="2801"/>
    </row>
    <row r="25" spans="4:6" x14ac:dyDescent="0.3">
      <c r="D25" s="2799"/>
      <c r="E25" s="2827"/>
      <c r="F25" s="2801"/>
    </row>
    <row r="26" spans="4:6" x14ac:dyDescent="0.3">
      <c r="D26" s="2799"/>
      <c r="E26" s="2827"/>
      <c r="F26" s="2801"/>
    </row>
    <row r="27" spans="4:6" ht="16.2" thickBot="1" x14ac:dyDescent="0.35">
      <c r="D27" s="2802"/>
      <c r="E27" s="2803"/>
      <c r="F27" s="2804"/>
    </row>
    <row r="28" spans="4:6" x14ac:dyDescent="0.3">
      <c r="D28" s="2811" t="s">
        <v>3710</v>
      </c>
      <c r="E28" s="2811"/>
      <c r="F28" s="2811"/>
    </row>
    <row r="29" spans="4:6" x14ac:dyDescent="0.3">
      <c r="D29" s="2805"/>
      <c r="E29" s="2805"/>
      <c r="F29" s="2805"/>
    </row>
  </sheetData>
  <mergeCells count="3">
    <mergeCell ref="A14:B14"/>
    <mergeCell ref="D24:F27"/>
    <mergeCell ref="D28:F29"/>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C452-AB16-4A50-BF49-B8E0BF2693FA}">
  <sheetPr>
    <tabColor theme="9" tint="0.59999389629810485"/>
  </sheetPr>
  <dimension ref="A1:I32"/>
  <sheetViews>
    <sheetView showGridLines="0" topLeftCell="A5" zoomScale="115" zoomScaleNormal="115" workbookViewId="0">
      <selection activeCell="B21" sqref="B21"/>
    </sheetView>
  </sheetViews>
  <sheetFormatPr defaultColWidth="9.109375" defaultRowHeight="15.6" x14ac:dyDescent="0.3"/>
  <cols>
    <col min="1" max="1" width="29.88671875" style="211" customWidth="1"/>
    <col min="2" max="2" width="15" style="211" customWidth="1"/>
    <col min="3" max="3" width="9.109375" style="211"/>
    <col min="4" max="4" width="13" style="211" customWidth="1"/>
    <col min="5" max="5" width="41.6640625" style="211" customWidth="1"/>
    <col min="6" max="6" width="21.109375" style="211" customWidth="1"/>
    <col min="7" max="7" width="8.109375" style="211" bestFit="1" customWidth="1"/>
    <col min="8" max="16384" width="9.109375" style="211"/>
  </cols>
  <sheetData>
    <row r="1" spans="1:5" x14ac:dyDescent="0.3">
      <c r="A1" s="459" t="s">
        <v>1332</v>
      </c>
    </row>
    <row r="2" spans="1:5" x14ac:dyDescent="0.3">
      <c r="A2" s="152" t="s">
        <v>2752</v>
      </c>
    </row>
    <row r="3" spans="1:5" ht="8.25" customHeight="1" thickBot="1" x14ac:dyDescent="0.35"/>
    <row r="4" spans="1:5" x14ac:dyDescent="0.3">
      <c r="A4" s="453" t="s">
        <v>1017</v>
      </c>
      <c r="B4" s="2078">
        <v>229162</v>
      </c>
      <c r="E4" s="211" t="s">
        <v>2738</v>
      </c>
    </row>
    <row r="5" spans="1:5" x14ac:dyDescent="0.3">
      <c r="A5" s="214" t="s">
        <v>2737</v>
      </c>
      <c r="B5" s="2058">
        <v>2244</v>
      </c>
      <c r="E5" s="350">
        <f>B5/B8</f>
        <v>2.3091171022844208E-3</v>
      </c>
    </row>
    <row r="6" spans="1:5" x14ac:dyDescent="0.3">
      <c r="A6" s="214" t="s">
        <v>2736</v>
      </c>
      <c r="B6" s="2059">
        <f>B4/B5</f>
        <v>102.12210338680927</v>
      </c>
    </row>
    <row r="7" spans="1:5" x14ac:dyDescent="0.3">
      <c r="A7" s="214"/>
      <c r="B7" s="2057"/>
    </row>
    <row r="8" spans="1:5" x14ac:dyDescent="0.3">
      <c r="A8" s="214" t="s">
        <v>2735</v>
      </c>
      <c r="B8" s="2058">
        <v>971800</v>
      </c>
    </row>
    <row r="9" spans="1:5" x14ac:dyDescent="0.3">
      <c r="A9" s="214" t="s">
        <v>1556</v>
      </c>
      <c r="B9" s="2056">
        <f>B6*B8</f>
        <v>99242260.071301252</v>
      </c>
    </row>
    <row r="10" spans="1:5" x14ac:dyDescent="0.3">
      <c r="A10" s="214"/>
      <c r="B10" s="2057"/>
      <c r="E10" s="211" t="s">
        <v>176</v>
      </c>
    </row>
    <row r="11" spans="1:5" x14ac:dyDescent="0.3">
      <c r="A11" s="214" t="s">
        <v>2734</v>
      </c>
      <c r="B11" s="2056">
        <v>128540768</v>
      </c>
    </row>
    <row r="12" spans="1:5" ht="16.2" thickBot="1" x14ac:dyDescent="0.35">
      <c r="A12" s="224" t="s">
        <v>2733</v>
      </c>
      <c r="B12" s="2077">
        <f>B9/B11</f>
        <v>0.77206836099891085</v>
      </c>
    </row>
    <row r="13" spans="1:5" ht="30" customHeight="1" x14ac:dyDescent="0.3">
      <c r="A13" s="2811" t="s">
        <v>3711</v>
      </c>
      <c r="B13" s="2811"/>
    </row>
    <row r="16" spans="1:5" x14ac:dyDescent="0.3">
      <c r="D16" s="459" t="s">
        <v>1320</v>
      </c>
    </row>
    <row r="17" spans="1:9" x14ac:dyDescent="0.3">
      <c r="D17" s="152" t="s">
        <v>3713</v>
      </c>
    </row>
    <row r="18" spans="1:9" ht="8.25" customHeight="1" thickBot="1" x14ac:dyDescent="0.35"/>
    <row r="19" spans="1:9" ht="31.2" x14ac:dyDescent="0.3">
      <c r="D19" s="2076" t="s">
        <v>495</v>
      </c>
      <c r="E19" s="455" t="s">
        <v>1161</v>
      </c>
      <c r="F19" s="2075" t="s">
        <v>2751</v>
      </c>
      <c r="G19" s="471" t="s">
        <v>1331</v>
      </c>
    </row>
    <row r="20" spans="1:9" x14ac:dyDescent="0.3">
      <c r="D20" s="2073">
        <v>934300</v>
      </c>
      <c r="E20" s="2070" t="s">
        <v>2750</v>
      </c>
      <c r="F20" s="2074">
        <v>33401</v>
      </c>
      <c r="G20" s="2683">
        <f t="shared" ref="G20:G30" si="0">F20/$F$30</f>
        <v>0.18446151552136431</v>
      </c>
    </row>
    <row r="21" spans="1:9" x14ac:dyDescent="0.3">
      <c r="D21" s="2073">
        <v>1986953</v>
      </c>
      <c r="E21" s="2070" t="s">
        <v>2749</v>
      </c>
      <c r="F21" s="2072">
        <v>33033</v>
      </c>
      <c r="G21" s="2683">
        <f t="shared" si="0"/>
        <v>0.18242918601889846</v>
      </c>
    </row>
    <row r="22" spans="1:9" x14ac:dyDescent="0.3">
      <c r="D22" s="2073">
        <v>592650</v>
      </c>
      <c r="E22" s="2070" t="s">
        <v>2748</v>
      </c>
      <c r="F22" s="2072">
        <v>17187</v>
      </c>
      <c r="G22" s="2683">
        <f t="shared" si="0"/>
        <v>9.4917519453480093E-2</v>
      </c>
    </row>
    <row r="23" spans="1:9" x14ac:dyDescent="0.3">
      <c r="B23" s="211" t="s">
        <v>176</v>
      </c>
      <c r="D23" s="2073">
        <v>220000</v>
      </c>
      <c r="E23" s="2070" t="s">
        <v>2747</v>
      </c>
      <c r="F23" s="2072">
        <v>13228</v>
      </c>
      <c r="G23" s="2683">
        <f t="shared" si="0"/>
        <v>7.3053409398419422E-2</v>
      </c>
    </row>
    <row r="24" spans="1:9" x14ac:dyDescent="0.3">
      <c r="D24" s="2073">
        <v>1294308</v>
      </c>
      <c r="E24" s="2070" t="s">
        <v>2746</v>
      </c>
      <c r="F24" s="2072">
        <v>10516</v>
      </c>
      <c r="G24" s="2683">
        <f t="shared" si="0"/>
        <v>5.8076024586768873E-2</v>
      </c>
    </row>
    <row r="25" spans="1:9" x14ac:dyDescent="0.3">
      <c r="A25" s="211" t="s">
        <v>176</v>
      </c>
      <c r="D25" s="2073">
        <v>324580</v>
      </c>
      <c r="E25" s="2070" t="s">
        <v>2745</v>
      </c>
      <c r="F25" s="2072">
        <v>9981</v>
      </c>
      <c r="G25" s="2683">
        <f t="shared" si="0"/>
        <v>5.5121415119868782E-2</v>
      </c>
    </row>
    <row r="26" spans="1:9" x14ac:dyDescent="0.3">
      <c r="D26" s="2073">
        <v>226900</v>
      </c>
      <c r="E26" s="2070" t="s">
        <v>2744</v>
      </c>
      <c r="F26" s="2072">
        <v>8736</v>
      </c>
      <c r="G26" s="2683">
        <f t="shared" si="0"/>
        <v>4.8245735145493809E-2</v>
      </c>
    </row>
    <row r="27" spans="1:9" x14ac:dyDescent="0.3">
      <c r="D27" s="2073">
        <v>170800</v>
      </c>
      <c r="E27" s="2070" t="s">
        <v>2743</v>
      </c>
      <c r="F27" s="2072">
        <v>6960</v>
      </c>
      <c r="G27" s="2683">
        <f t="shared" si="0"/>
        <v>3.8437536242289023E-2</v>
      </c>
    </row>
    <row r="28" spans="1:9" x14ac:dyDescent="0.3">
      <c r="B28" s="211" t="s">
        <v>176</v>
      </c>
      <c r="C28" s="211" t="s">
        <v>176</v>
      </c>
      <c r="D28" s="2073">
        <v>1305800</v>
      </c>
      <c r="E28" s="2070" t="s">
        <v>2742</v>
      </c>
      <c r="F28" s="2072">
        <v>6039</v>
      </c>
      <c r="G28" s="2683">
        <f t="shared" si="0"/>
        <v>3.3351189851606809E-2</v>
      </c>
      <c r="I28" s="211" t="s">
        <v>176</v>
      </c>
    </row>
    <row r="29" spans="1:9" x14ac:dyDescent="0.3">
      <c r="D29" s="2071"/>
      <c r="E29" s="2070" t="s">
        <v>1162</v>
      </c>
      <c r="F29" s="2072">
        <v>41992</v>
      </c>
      <c r="G29" s="2683">
        <f t="shared" si="0"/>
        <v>0.23190646866181042</v>
      </c>
    </row>
    <row r="30" spans="1:9" ht="16.2" thickBot="1" x14ac:dyDescent="0.35">
      <c r="D30" s="2071"/>
      <c r="E30" s="2070" t="s">
        <v>2741</v>
      </c>
      <c r="F30" s="2069">
        <f>SUM(F20:F29)</f>
        <v>181073</v>
      </c>
      <c r="G30" s="2068">
        <f t="shared" si="0"/>
        <v>1</v>
      </c>
    </row>
    <row r="31" spans="1:9" ht="16.8" thickTop="1" thickBot="1" x14ac:dyDescent="0.35">
      <c r="D31" s="9" t="s">
        <v>2740</v>
      </c>
      <c r="E31" s="218"/>
      <c r="F31" s="218"/>
      <c r="G31" s="219"/>
    </row>
    <row r="32" spans="1:9" x14ac:dyDescent="0.3">
      <c r="D32" s="12" t="s">
        <v>3712</v>
      </c>
    </row>
  </sheetData>
  <mergeCells count="1">
    <mergeCell ref="A13:B13"/>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A079-4FE9-4F78-AB7A-4BB37B10606E}">
  <sheetPr codeName="Sheet20">
    <tabColor theme="9" tint="0.59999389629810485"/>
  </sheetPr>
  <dimension ref="A1:S67"/>
  <sheetViews>
    <sheetView showGridLines="0" zoomScale="85" zoomScaleNormal="85" workbookViewId="0">
      <selection activeCell="O22" sqref="O22"/>
    </sheetView>
  </sheetViews>
  <sheetFormatPr defaultColWidth="8.6640625" defaultRowHeight="13.8" x14ac:dyDescent="0.25"/>
  <cols>
    <col min="1" max="1" width="26.44140625" style="1" customWidth="1"/>
    <col min="2" max="2" width="14.5546875" style="1" bestFit="1" customWidth="1"/>
    <col min="3" max="3" width="8.88671875" style="1" bestFit="1" customWidth="1"/>
    <col min="4" max="4" width="12.109375" style="1" bestFit="1" customWidth="1"/>
    <col min="5" max="5" width="9.6640625" style="1" bestFit="1" customWidth="1"/>
    <col min="6" max="6" width="12.109375" style="1" bestFit="1" customWidth="1"/>
    <col min="7" max="8" width="8.6640625" style="1"/>
    <col min="9" max="9" width="16.88671875" style="1" customWidth="1"/>
    <col min="10" max="10" width="8.6640625" style="1"/>
    <col min="11" max="11" width="11.109375" style="1" bestFit="1" customWidth="1"/>
    <col min="12" max="13" width="8.6640625" style="1"/>
    <col min="14" max="14" width="18" style="1" customWidth="1"/>
    <col min="15" max="16" width="10.5546875" style="1" customWidth="1"/>
    <col min="17" max="17" width="10.109375" style="1" customWidth="1"/>
    <col min="18" max="16384" width="8.6640625" style="1"/>
  </cols>
  <sheetData>
    <row r="1" spans="1:11" x14ac:dyDescent="0.25">
      <c r="B1" s="1" t="s">
        <v>396</v>
      </c>
      <c r="C1" s="1" t="s">
        <v>397</v>
      </c>
      <c r="D1" s="1" t="s">
        <v>398</v>
      </c>
      <c r="E1" s="1" t="s">
        <v>399</v>
      </c>
      <c r="F1" s="1" t="s">
        <v>3</v>
      </c>
    </row>
    <row r="2" spans="1:11" x14ac:dyDescent="0.25">
      <c r="A2" s="90">
        <v>1976</v>
      </c>
      <c r="B2" s="13">
        <v>4898</v>
      </c>
      <c r="C2" s="13">
        <v>0</v>
      </c>
      <c r="D2" s="13">
        <v>110827</v>
      </c>
      <c r="E2" s="13">
        <v>-432</v>
      </c>
      <c r="F2" s="13">
        <f>SUM(B2:E2)</f>
        <v>115293</v>
      </c>
    </row>
    <row r="3" spans="1:11" x14ac:dyDescent="0.25">
      <c r="B3" s="13"/>
      <c r="C3" s="13"/>
      <c r="D3" s="13"/>
      <c r="E3" s="13"/>
      <c r="F3" s="13"/>
      <c r="H3" s="14"/>
    </row>
    <row r="4" spans="1:11" x14ac:dyDescent="0.25">
      <c r="A4" s="1" t="s">
        <v>400</v>
      </c>
      <c r="B4" s="13">
        <v>1173</v>
      </c>
      <c r="C4" s="13">
        <v>3517</v>
      </c>
      <c r="D4" s="13">
        <v>15053</v>
      </c>
      <c r="E4" s="13">
        <v>-9389</v>
      </c>
      <c r="F4" s="13">
        <f>SUM(B4:E4)</f>
        <v>10354</v>
      </c>
      <c r="H4" s="14"/>
      <c r="I4" s="14"/>
    </row>
    <row r="5" spans="1:11" x14ac:dyDescent="0.25">
      <c r="A5" s="1" t="s">
        <v>401</v>
      </c>
      <c r="B5" s="13">
        <f>B2+B4</f>
        <v>6071</v>
      </c>
      <c r="C5" s="13">
        <f t="shared" ref="C5:F5" si="0">C2+C4</f>
        <v>3517</v>
      </c>
      <c r="D5" s="13">
        <f t="shared" si="0"/>
        <v>125880</v>
      </c>
      <c r="E5" s="13">
        <f t="shared" si="0"/>
        <v>-9821</v>
      </c>
      <c r="F5" s="13">
        <f t="shared" si="0"/>
        <v>125647</v>
      </c>
      <c r="H5" s="92"/>
      <c r="I5" s="14"/>
    </row>
    <row r="6" spans="1:11" x14ac:dyDescent="0.25">
      <c r="B6" s="13"/>
      <c r="C6" s="13"/>
      <c r="D6" s="13"/>
      <c r="E6" s="13"/>
      <c r="F6" s="13"/>
      <c r="K6" s="14"/>
    </row>
    <row r="7" spans="1:11" x14ac:dyDescent="0.25">
      <c r="A7" s="1" t="s">
        <v>402</v>
      </c>
      <c r="B7" s="13"/>
      <c r="C7" s="13"/>
      <c r="D7" s="13">
        <v>30393</v>
      </c>
      <c r="E7" s="13"/>
      <c r="F7" s="13">
        <f>SUM(B7:E7)</f>
        <v>30393</v>
      </c>
    </row>
    <row r="8" spans="1:11" x14ac:dyDescent="0.25">
      <c r="A8" s="1" t="s">
        <v>403</v>
      </c>
      <c r="B8" s="13"/>
      <c r="C8" s="13"/>
      <c r="D8" s="13"/>
      <c r="E8" s="13">
        <v>-1476</v>
      </c>
      <c r="F8" s="13">
        <f>SUM(B8:E8)</f>
        <v>-1476</v>
      </c>
    </row>
    <row r="9" spans="1:11" x14ac:dyDescent="0.25">
      <c r="A9" s="1" t="s">
        <v>404</v>
      </c>
      <c r="B9" s="13">
        <f>B5</f>
        <v>6071</v>
      </c>
      <c r="C9" s="13">
        <f>C5</f>
        <v>3517</v>
      </c>
      <c r="D9" s="13">
        <f>D5+D7</f>
        <v>156273</v>
      </c>
      <c r="E9" s="13">
        <f>E5+E8</f>
        <v>-11297</v>
      </c>
      <c r="F9" s="13">
        <f>SUM(F5:F8)</f>
        <v>154564</v>
      </c>
    </row>
    <row r="10" spans="1:11" x14ac:dyDescent="0.25">
      <c r="B10" s="13"/>
      <c r="C10" s="13"/>
      <c r="D10" s="13"/>
      <c r="E10" s="13"/>
      <c r="F10" s="13"/>
    </row>
    <row r="11" spans="1:11" x14ac:dyDescent="0.25">
      <c r="B11" s="13"/>
      <c r="C11" s="13"/>
      <c r="D11" s="13"/>
      <c r="E11" s="13"/>
      <c r="F11" s="13"/>
      <c r="I11" s="1" t="s">
        <v>429</v>
      </c>
      <c r="K11" s="2">
        <v>115293</v>
      </c>
    </row>
    <row r="12" spans="1:11" x14ac:dyDescent="0.25">
      <c r="A12" s="1" t="s">
        <v>405</v>
      </c>
      <c r="B12" s="13"/>
      <c r="C12" s="13"/>
      <c r="D12" s="13"/>
      <c r="E12" s="13"/>
      <c r="F12" s="13">
        <v>27120</v>
      </c>
      <c r="I12" s="1" t="s">
        <v>405</v>
      </c>
      <c r="K12" s="2">
        <v>27120</v>
      </c>
    </row>
    <row r="13" spans="1:11" x14ac:dyDescent="0.25">
      <c r="A13" s="1" t="s">
        <v>406</v>
      </c>
      <c r="B13" s="13"/>
      <c r="C13" s="13"/>
      <c r="D13" s="13"/>
      <c r="E13" s="13"/>
      <c r="F13" s="13">
        <v>-16761</v>
      </c>
      <c r="I13" s="1" t="s">
        <v>430</v>
      </c>
      <c r="K13" s="80">
        <f>K11+K12</f>
        <v>142413</v>
      </c>
    </row>
    <row r="14" spans="1:11" x14ac:dyDescent="0.25">
      <c r="A14" s="1" t="s">
        <v>407</v>
      </c>
      <c r="F14" s="13">
        <v>-5</v>
      </c>
    </row>
    <row r="15" spans="1:11" x14ac:dyDescent="0.25">
      <c r="A15" s="1" t="s">
        <v>408</v>
      </c>
      <c r="F15" s="14">
        <f>SUM(F12:F14)</f>
        <v>10354</v>
      </c>
      <c r="I15" s="1" t="s">
        <v>431</v>
      </c>
      <c r="K15" s="14">
        <f>F13</f>
        <v>-16761</v>
      </c>
    </row>
    <row r="16" spans="1:11" ht="14.4" thickBot="1" x14ac:dyDescent="0.3">
      <c r="I16" s="1" t="s">
        <v>432</v>
      </c>
      <c r="K16" s="4">
        <v>-5</v>
      </c>
    </row>
    <row r="17" spans="1:11" x14ac:dyDescent="0.25">
      <c r="A17" s="85" t="s">
        <v>424</v>
      </c>
      <c r="B17" s="62"/>
      <c r="C17" s="62"/>
      <c r="D17" s="62"/>
      <c r="E17" s="62"/>
      <c r="F17" s="93">
        <v>141788</v>
      </c>
      <c r="I17" s="1" t="s">
        <v>427</v>
      </c>
      <c r="K17" s="4">
        <f>K13+K15+K16</f>
        <v>125647</v>
      </c>
    </row>
    <row r="18" spans="1:11" x14ac:dyDescent="0.25">
      <c r="A18" s="6" t="s">
        <v>425</v>
      </c>
      <c r="F18" s="94">
        <v>154564</v>
      </c>
      <c r="K18" s="4"/>
    </row>
    <row r="19" spans="1:11" x14ac:dyDescent="0.25">
      <c r="A19" s="6" t="s">
        <v>32</v>
      </c>
      <c r="F19" s="95">
        <f>F18-F17</f>
        <v>12776</v>
      </c>
    </row>
    <row r="20" spans="1:11" x14ac:dyDescent="0.25">
      <c r="A20" s="6"/>
      <c r="F20" s="94"/>
    </row>
    <row r="21" spans="1:11" x14ac:dyDescent="0.25">
      <c r="A21" s="6" t="s">
        <v>426</v>
      </c>
      <c r="F21" s="94"/>
    </row>
    <row r="22" spans="1:11" x14ac:dyDescent="0.25">
      <c r="A22" s="6" t="s">
        <v>32</v>
      </c>
      <c r="F22" s="94">
        <f>F19</f>
        <v>12776</v>
      </c>
      <c r="I22" s="1" t="s">
        <v>441</v>
      </c>
      <c r="K22" s="2">
        <f>F12</f>
        <v>27120</v>
      </c>
    </row>
    <row r="23" spans="1:11" x14ac:dyDescent="0.25">
      <c r="A23" s="6" t="s">
        <v>433</v>
      </c>
      <c r="F23" s="94">
        <f>F15</f>
        <v>10354</v>
      </c>
      <c r="I23" s="1" t="s">
        <v>436</v>
      </c>
      <c r="K23" s="2">
        <f>F25</f>
        <v>3669</v>
      </c>
    </row>
    <row r="24" spans="1:11" x14ac:dyDescent="0.25">
      <c r="A24" s="6" t="s">
        <v>435</v>
      </c>
      <c r="F24" s="94">
        <f>229-1476</f>
        <v>-1247</v>
      </c>
      <c r="I24" s="1" t="s">
        <v>442</v>
      </c>
      <c r="K24" s="4">
        <f>K22+K23</f>
        <v>30789</v>
      </c>
    </row>
    <row r="25" spans="1:11" x14ac:dyDescent="0.25">
      <c r="A25" s="6" t="s">
        <v>434</v>
      </c>
      <c r="F25" s="94">
        <v>3669</v>
      </c>
    </row>
    <row r="26" spans="1:11" x14ac:dyDescent="0.25">
      <c r="A26" s="6" t="s">
        <v>407</v>
      </c>
      <c r="F26" s="94"/>
      <c r="I26" s="1" t="s">
        <v>437</v>
      </c>
      <c r="K26" s="2">
        <f>F24</f>
        <v>-1247</v>
      </c>
    </row>
    <row r="27" spans="1:11" ht="14.4" thickBot="1" x14ac:dyDescent="0.3">
      <c r="A27" s="96" t="s">
        <v>428</v>
      </c>
      <c r="B27" s="97"/>
      <c r="C27" s="97"/>
      <c r="D27" s="97"/>
      <c r="E27" s="97"/>
      <c r="F27" s="98">
        <f>F22-F23-F24-F25-F26</f>
        <v>0</v>
      </c>
      <c r="I27" s="1" t="s">
        <v>438</v>
      </c>
      <c r="K27" s="2">
        <f>K24+K26</f>
        <v>29542</v>
      </c>
    </row>
    <row r="28" spans="1:11" x14ac:dyDescent="0.25">
      <c r="F28" s="14"/>
      <c r="K28" s="2"/>
    </row>
    <row r="29" spans="1:11" x14ac:dyDescent="0.25">
      <c r="F29" s="14"/>
      <c r="I29" s="1" t="s">
        <v>439</v>
      </c>
      <c r="K29" s="2">
        <f>F13</f>
        <v>-16761</v>
      </c>
    </row>
    <row r="30" spans="1:11" x14ac:dyDescent="0.25">
      <c r="I30" s="1" t="s">
        <v>416</v>
      </c>
      <c r="K30" s="2">
        <v>-5</v>
      </c>
    </row>
    <row r="31" spans="1:11" x14ac:dyDescent="0.25">
      <c r="A31" s="1" t="s">
        <v>409</v>
      </c>
      <c r="B31" s="2">
        <v>970678</v>
      </c>
      <c r="I31" s="10" t="s">
        <v>440</v>
      </c>
      <c r="J31" s="10"/>
      <c r="K31" s="100">
        <f>K27+K29+K30</f>
        <v>12776</v>
      </c>
    </row>
    <row r="32" spans="1:11" x14ac:dyDescent="0.25">
      <c r="A32" s="1" t="s">
        <v>410</v>
      </c>
      <c r="B32" s="76">
        <v>1030680</v>
      </c>
    </row>
    <row r="33" spans="1:4" x14ac:dyDescent="0.25">
      <c r="A33" s="1" t="s">
        <v>411</v>
      </c>
      <c r="B33" s="4">
        <f>B32-B31</f>
        <v>60002</v>
      </c>
    </row>
    <row r="34" spans="1:4" x14ac:dyDescent="0.25">
      <c r="B34" s="4"/>
    </row>
    <row r="35" spans="1:4" x14ac:dyDescent="0.25">
      <c r="A35" s="1" t="s">
        <v>421</v>
      </c>
      <c r="B35" s="4">
        <v>8891</v>
      </c>
    </row>
    <row r="36" spans="1:4" x14ac:dyDescent="0.25">
      <c r="A36" s="1" t="s">
        <v>422</v>
      </c>
      <c r="B36" s="4">
        <v>183606</v>
      </c>
    </row>
    <row r="37" spans="1:4" x14ac:dyDescent="0.25">
      <c r="A37" s="1" t="s">
        <v>32</v>
      </c>
      <c r="B37" s="4">
        <f>B36-B35</f>
        <v>174715</v>
      </c>
    </row>
    <row r="38" spans="1:4" x14ac:dyDescent="0.25">
      <c r="B38" s="4"/>
    </row>
    <row r="40" spans="1:4" x14ac:dyDescent="0.25">
      <c r="A40" s="1" t="s">
        <v>412</v>
      </c>
      <c r="B40" s="74">
        <v>971600</v>
      </c>
    </row>
    <row r="41" spans="1:4" x14ac:dyDescent="0.25">
      <c r="A41" s="1" t="s">
        <v>413</v>
      </c>
      <c r="B41" s="74">
        <v>66105</v>
      </c>
    </row>
    <row r="42" spans="1:4" x14ac:dyDescent="0.25">
      <c r="A42" s="1" t="s">
        <v>414</v>
      </c>
      <c r="B42" s="74">
        <f>B40+B41</f>
        <v>1037705</v>
      </c>
    </row>
    <row r="44" spans="1:4" x14ac:dyDescent="0.25">
      <c r="A44" s="1" t="s">
        <v>415</v>
      </c>
      <c r="B44" s="74">
        <v>782490</v>
      </c>
    </row>
    <row r="45" spans="1:4" x14ac:dyDescent="0.25">
      <c r="A45" s="91">
        <v>0.3</v>
      </c>
      <c r="B45" s="74">
        <v>234747</v>
      </c>
      <c r="D45" s="1" t="s">
        <v>419</v>
      </c>
    </row>
    <row r="46" spans="1:4" x14ac:dyDescent="0.25">
      <c r="A46" s="1" t="s">
        <v>418</v>
      </c>
      <c r="B46" s="74">
        <v>168612</v>
      </c>
      <c r="D46" s="1" t="s">
        <v>420</v>
      </c>
    </row>
    <row r="47" spans="1:4" x14ac:dyDescent="0.25">
      <c r="A47" s="1" t="s">
        <v>423</v>
      </c>
      <c r="B47" s="74">
        <f>B45-B46</f>
        <v>66135</v>
      </c>
    </row>
    <row r="48" spans="1:4" x14ac:dyDescent="0.25">
      <c r="A48" s="1" t="s">
        <v>416</v>
      </c>
      <c r="B48" s="1">
        <v>30</v>
      </c>
    </row>
    <row r="49" spans="1:19" x14ac:dyDescent="0.25">
      <c r="A49" s="1" t="s">
        <v>417</v>
      </c>
      <c r="B49" s="74">
        <v>66105</v>
      </c>
    </row>
    <row r="52" spans="1:19" ht="15.6" x14ac:dyDescent="0.3">
      <c r="N52" s="459" t="s">
        <v>1320</v>
      </c>
    </row>
    <row r="53" spans="1:19" ht="15.6" x14ac:dyDescent="0.3">
      <c r="N53" s="152" t="s">
        <v>1836</v>
      </c>
      <c r="O53" s="211"/>
      <c r="P53" s="211"/>
      <c r="Q53" s="211"/>
    </row>
    <row r="54" spans="1:19" ht="8.25" customHeight="1" thickBot="1" x14ac:dyDescent="0.35">
      <c r="N54" s="211"/>
      <c r="O54" s="211"/>
      <c r="P54" s="211"/>
      <c r="Q54" s="211"/>
    </row>
    <row r="55" spans="1:19" ht="31.2" x14ac:dyDescent="0.3">
      <c r="N55" s="483" t="s">
        <v>1250</v>
      </c>
      <c r="O55" s="2075" t="s">
        <v>1427</v>
      </c>
      <c r="P55" s="2075" t="s">
        <v>2753</v>
      </c>
      <c r="Q55" s="2081" t="s">
        <v>32</v>
      </c>
    </row>
    <row r="56" spans="1:19" ht="15.6" x14ac:dyDescent="0.25">
      <c r="N56" s="386" t="s">
        <v>282</v>
      </c>
      <c r="O56" s="388">
        <v>379</v>
      </c>
      <c r="P56" s="388">
        <v>572</v>
      </c>
      <c r="Q56" s="477">
        <v>193</v>
      </c>
    </row>
    <row r="57" spans="1:19" ht="15.6" x14ac:dyDescent="0.25">
      <c r="N57" s="386" t="s">
        <v>136</v>
      </c>
      <c r="O57" s="473">
        <v>237</v>
      </c>
      <c r="P57" s="473">
        <v>370</v>
      </c>
      <c r="Q57" s="474">
        <v>133</v>
      </c>
    </row>
    <row r="58" spans="1:19" ht="15.6" x14ac:dyDescent="0.25">
      <c r="N58" s="386" t="s">
        <v>534</v>
      </c>
      <c r="O58" s="475">
        <v>0</v>
      </c>
      <c r="P58" s="473">
        <v>48</v>
      </c>
      <c r="Q58" s="474">
        <v>48</v>
      </c>
    </row>
    <row r="59" spans="1:19" ht="15.6" x14ac:dyDescent="0.25">
      <c r="N59" s="386" t="s">
        <v>95</v>
      </c>
      <c r="O59" s="481">
        <v>141.80000000000001</v>
      </c>
      <c r="P59" s="481">
        <v>154.6</v>
      </c>
      <c r="Q59" s="482">
        <v>12.8</v>
      </c>
    </row>
    <row r="60" spans="1:19" ht="4.5" customHeight="1" x14ac:dyDescent="0.25">
      <c r="N60" s="2828"/>
      <c r="O60" s="2829"/>
      <c r="P60" s="2829"/>
      <c r="Q60" s="2830"/>
    </row>
    <row r="61" spans="1:19" ht="4.5" customHeight="1" x14ac:dyDescent="0.25">
      <c r="N61" s="1537"/>
      <c r="O61" s="1538"/>
      <c r="P61" s="1538"/>
      <c r="Q61" s="1539"/>
    </row>
    <row r="62" spans="1:19" ht="4.5" customHeight="1" x14ac:dyDescent="0.25">
      <c r="N62" s="1383"/>
      <c r="O62" s="1384"/>
      <c r="P62" s="1384"/>
      <c r="Q62" s="1385"/>
      <c r="S62" s="1" t="s">
        <v>176</v>
      </c>
    </row>
    <row r="63" spans="1:19" ht="15.6" x14ac:dyDescent="0.25">
      <c r="N63" s="386" t="s">
        <v>975</v>
      </c>
      <c r="O63" s="388">
        <v>198</v>
      </c>
      <c r="P63" s="388">
        <v>363</v>
      </c>
      <c r="Q63" s="477">
        <v>165</v>
      </c>
    </row>
    <row r="64" spans="1:19" ht="15.6" x14ac:dyDescent="0.25">
      <c r="N64" s="386" t="s">
        <v>294</v>
      </c>
      <c r="O64" s="473">
        <v>182</v>
      </c>
      <c r="P64" s="473">
        <v>333</v>
      </c>
      <c r="Q64" s="474">
        <v>151</v>
      </c>
    </row>
    <row r="65" spans="14:17" ht="15.6" x14ac:dyDescent="0.25">
      <c r="N65" s="386" t="s">
        <v>1157</v>
      </c>
      <c r="O65" s="476">
        <v>0</v>
      </c>
      <c r="P65" s="476">
        <v>1.9</v>
      </c>
      <c r="Q65" s="478">
        <v>1.9</v>
      </c>
    </row>
    <row r="66" spans="14:17" ht="16.2" thickBot="1" x14ac:dyDescent="0.3">
      <c r="N66" s="387" t="s">
        <v>301</v>
      </c>
      <c r="O66" s="479">
        <v>26.7</v>
      </c>
      <c r="P66" s="479">
        <v>30.4</v>
      </c>
      <c r="Q66" s="480">
        <v>3.7</v>
      </c>
    </row>
    <row r="67" spans="14:17" ht="30" customHeight="1" x14ac:dyDescent="0.25">
      <c r="N67" s="2805" t="s">
        <v>1881</v>
      </c>
      <c r="O67" s="2805"/>
      <c r="P67" s="2805"/>
      <c r="Q67" s="2805"/>
    </row>
  </sheetData>
  <mergeCells count="2">
    <mergeCell ref="N60:Q60"/>
    <mergeCell ref="N67:Q67"/>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26D3-C0E3-4A90-842D-B26CF2FA9B15}">
  <sheetPr>
    <tabColor theme="9" tint="0.59999389629810485"/>
  </sheetPr>
  <dimension ref="A1:AD83"/>
  <sheetViews>
    <sheetView showGridLines="0" zoomScale="70" zoomScaleNormal="70" workbookViewId="0">
      <selection activeCell="G33" sqref="G33"/>
    </sheetView>
  </sheetViews>
  <sheetFormatPr defaultColWidth="9.109375" defaultRowHeight="15.6" x14ac:dyDescent="0.3"/>
  <cols>
    <col min="1" max="1" width="22.33203125" style="211" customWidth="1"/>
    <col min="2" max="3" width="13.88671875" style="211" customWidth="1"/>
    <col min="4" max="4" width="0.88671875" style="211" customWidth="1"/>
    <col min="5" max="7" width="9.109375" style="211"/>
    <col min="8" max="8" width="35.109375" style="211" customWidth="1"/>
    <col min="9" max="11" width="10.88671875" style="211" customWidth="1"/>
    <col min="12" max="12" width="9.109375" style="211"/>
    <col min="13" max="13" width="35" style="211" bestFit="1" customWidth="1"/>
    <col min="14" max="14" width="12.109375" style="211" bestFit="1" customWidth="1"/>
    <col min="15" max="15" width="1.44140625" style="211" customWidth="1"/>
    <col min="16" max="16" width="12.44140625" style="211" bestFit="1" customWidth="1"/>
    <col min="17" max="19" width="9.109375" style="211"/>
    <col min="20" max="20" width="10.88671875" style="211" bestFit="1" customWidth="1"/>
    <col min="21" max="16384" width="9.109375" style="211"/>
  </cols>
  <sheetData>
    <row r="1" spans="1:4" x14ac:dyDescent="0.3">
      <c r="A1" s="459" t="s">
        <v>1320</v>
      </c>
    </row>
    <row r="2" spans="1:4" x14ac:dyDescent="0.3">
      <c r="A2" s="152" t="s">
        <v>2766</v>
      </c>
    </row>
    <row r="3" spans="1:4" ht="8.25" customHeight="1" thickBot="1" x14ac:dyDescent="0.35"/>
    <row r="4" spans="1:4" x14ac:dyDescent="0.3">
      <c r="A4" s="212" t="s">
        <v>1250</v>
      </c>
      <c r="B4" s="2086" t="s">
        <v>2765</v>
      </c>
      <c r="C4" s="2086" t="s">
        <v>2764</v>
      </c>
      <c r="D4" s="389"/>
    </row>
    <row r="5" spans="1:4" x14ac:dyDescent="0.3">
      <c r="A5" s="214" t="s">
        <v>5</v>
      </c>
      <c r="B5" s="2101">
        <v>4921</v>
      </c>
      <c r="C5" s="2101">
        <v>13996</v>
      </c>
      <c r="D5" s="223"/>
    </row>
    <row r="6" spans="1:4" x14ac:dyDescent="0.3">
      <c r="A6" s="214" t="s">
        <v>394</v>
      </c>
      <c r="B6" s="2102">
        <v>252849</v>
      </c>
      <c r="C6" s="2102">
        <v>331953</v>
      </c>
      <c r="D6" s="223"/>
    </row>
    <row r="7" spans="1:4" x14ac:dyDescent="0.3">
      <c r="A7" s="214" t="s">
        <v>282</v>
      </c>
      <c r="B7" s="2102">
        <v>379241</v>
      </c>
      <c r="C7" s="2102">
        <v>572143</v>
      </c>
      <c r="D7" s="223"/>
    </row>
    <row r="8" spans="1:4" x14ac:dyDescent="0.3">
      <c r="A8" s="214"/>
      <c r="B8" s="2102"/>
      <c r="C8" s="2102"/>
      <c r="D8" s="223"/>
    </row>
    <row r="9" spans="1:4" x14ac:dyDescent="0.3">
      <c r="A9" s="214" t="s">
        <v>136</v>
      </c>
      <c r="B9" s="2102">
        <v>237452</v>
      </c>
      <c r="C9" s="2102">
        <v>417579</v>
      </c>
      <c r="D9" s="223"/>
    </row>
    <row r="10" spans="1:4" x14ac:dyDescent="0.3">
      <c r="A10" s="214" t="s">
        <v>746</v>
      </c>
      <c r="B10" s="2102">
        <v>141788</v>
      </c>
      <c r="C10" s="2102">
        <v>154564</v>
      </c>
      <c r="D10" s="223"/>
    </row>
    <row r="11" spans="1:4" ht="4.5" customHeight="1" x14ac:dyDescent="0.3">
      <c r="A11" s="214"/>
      <c r="B11" s="2102"/>
      <c r="C11" s="2102"/>
      <c r="D11" s="223"/>
    </row>
    <row r="12" spans="1:4" ht="4.5" customHeight="1" x14ac:dyDescent="0.3">
      <c r="A12" s="1155"/>
      <c r="B12" s="2103"/>
      <c r="C12" s="2103"/>
      <c r="D12" s="223"/>
    </row>
    <row r="13" spans="1:4" ht="4.5" customHeight="1" x14ac:dyDescent="0.3">
      <c r="A13" s="214"/>
      <c r="B13" s="2102"/>
      <c r="C13" s="2102"/>
      <c r="D13" s="223"/>
    </row>
    <row r="14" spans="1:4" x14ac:dyDescent="0.3">
      <c r="A14" s="214" t="s">
        <v>289</v>
      </c>
      <c r="B14" s="2101">
        <v>197917</v>
      </c>
      <c r="C14" s="2101">
        <v>363635</v>
      </c>
      <c r="D14" s="223"/>
    </row>
    <row r="15" spans="1:4" ht="16.2" thickBot="1" x14ac:dyDescent="0.35">
      <c r="A15" s="224" t="s">
        <v>99</v>
      </c>
      <c r="B15" s="2100">
        <v>26724</v>
      </c>
      <c r="C15" s="2100">
        <v>30393</v>
      </c>
      <c r="D15" s="219"/>
    </row>
    <row r="16" spans="1:4" ht="33" customHeight="1" x14ac:dyDescent="0.3">
      <c r="A16" s="2805" t="s">
        <v>2763</v>
      </c>
      <c r="B16" s="2805"/>
      <c r="C16" s="2805"/>
    </row>
    <row r="17" spans="1:11" x14ac:dyDescent="0.3">
      <c r="A17" s="1920"/>
    </row>
    <row r="21" spans="1:11" x14ac:dyDescent="0.3">
      <c r="C21" s="211" t="s">
        <v>176</v>
      </c>
    </row>
    <row r="22" spans="1:11" x14ac:dyDescent="0.3">
      <c r="H22" s="459" t="s">
        <v>1320</v>
      </c>
    </row>
    <row r="23" spans="1:11" x14ac:dyDescent="0.3">
      <c r="H23" s="152" t="s">
        <v>1333</v>
      </c>
    </row>
    <row r="24" spans="1:11" ht="16.2" thickBot="1" x14ac:dyDescent="0.35"/>
    <row r="25" spans="1:11" x14ac:dyDescent="0.3">
      <c r="H25" s="212" t="s">
        <v>1204</v>
      </c>
      <c r="I25" s="470">
        <v>1976</v>
      </c>
      <c r="J25" s="470">
        <v>1977</v>
      </c>
      <c r="K25" s="471">
        <v>1978</v>
      </c>
    </row>
    <row r="26" spans="1:11" x14ac:dyDescent="0.3">
      <c r="H26" s="214" t="s">
        <v>526</v>
      </c>
      <c r="I26" s="2099">
        <v>101111</v>
      </c>
      <c r="J26" s="2099">
        <v>158704</v>
      </c>
      <c r="K26" s="2098">
        <v>198313</v>
      </c>
    </row>
    <row r="27" spans="1:11" x14ac:dyDescent="0.3">
      <c r="H27" s="214" t="s">
        <v>101</v>
      </c>
      <c r="I27" s="2099">
        <v>84875</v>
      </c>
      <c r="J27" s="2099">
        <v>143088</v>
      </c>
      <c r="K27" s="2098">
        <v>186073</v>
      </c>
    </row>
    <row r="28" spans="1:11" x14ac:dyDescent="0.3">
      <c r="H28" s="214"/>
      <c r="K28" s="223"/>
    </row>
    <row r="29" spans="1:11" x14ac:dyDescent="0.3">
      <c r="H29" s="221" t="s">
        <v>2762</v>
      </c>
      <c r="K29" s="223"/>
    </row>
    <row r="30" spans="1:11" x14ac:dyDescent="0.3">
      <c r="H30" s="214" t="s">
        <v>1336</v>
      </c>
      <c r="I30" s="2099">
        <v>4768</v>
      </c>
      <c r="J30" s="2099">
        <v>7800</v>
      </c>
      <c r="K30" s="2098">
        <v>11543</v>
      </c>
    </row>
    <row r="31" spans="1:11" x14ac:dyDescent="0.3">
      <c r="D31" s="1018"/>
      <c r="H31" s="214" t="s">
        <v>2728</v>
      </c>
      <c r="I31" s="2097">
        <v>-1093</v>
      </c>
      <c r="J31" s="2097">
        <v>-1644</v>
      </c>
      <c r="K31" s="2096">
        <v>-3944</v>
      </c>
    </row>
    <row r="32" spans="1:11" x14ac:dyDescent="0.3">
      <c r="D32" s="226"/>
      <c r="H32" s="214" t="s">
        <v>1338</v>
      </c>
      <c r="I32" s="2097">
        <v>-2879</v>
      </c>
      <c r="J32" s="2097">
        <v>-1251</v>
      </c>
      <c r="K32" s="2096">
        <v>-2443</v>
      </c>
    </row>
    <row r="33" spans="8:16" x14ac:dyDescent="0.3">
      <c r="H33" s="214" t="s">
        <v>2761</v>
      </c>
      <c r="I33" s="2097">
        <v>-548</v>
      </c>
      <c r="J33" s="2097">
        <v>896</v>
      </c>
      <c r="K33" s="2096">
        <v>-2155</v>
      </c>
    </row>
    <row r="34" spans="8:16" ht="16.2" thickBot="1" x14ac:dyDescent="0.35">
      <c r="H34" s="214"/>
      <c r="I34" s="2095">
        <f>SUM(I30:I33)</f>
        <v>248</v>
      </c>
      <c r="J34" s="2095">
        <f>SUM(J30:J33)</f>
        <v>5801</v>
      </c>
      <c r="K34" s="2094">
        <f>SUM(K30:K33)</f>
        <v>3001</v>
      </c>
    </row>
    <row r="35" spans="8:16" ht="16.2" thickTop="1" x14ac:dyDescent="0.3">
      <c r="H35" s="214"/>
      <c r="I35" s="2062"/>
      <c r="J35" s="2062"/>
      <c r="K35" s="2047"/>
    </row>
    <row r="36" spans="8:16" ht="16.2" thickBot="1" x14ac:dyDescent="0.35">
      <c r="H36" s="224" t="s">
        <v>552</v>
      </c>
      <c r="I36" s="2039">
        <v>94.6</v>
      </c>
      <c r="J36" s="2039">
        <v>93.2</v>
      </c>
      <c r="K36" s="2093">
        <v>96.7</v>
      </c>
    </row>
    <row r="37" spans="8:16" x14ac:dyDescent="0.3">
      <c r="H37" s="2092" t="s">
        <v>2760</v>
      </c>
      <c r="I37" s="2092"/>
      <c r="J37" s="2092"/>
      <c r="K37" s="2092"/>
    </row>
    <row r="40" spans="8:16" ht="16.2" thickBot="1" x14ac:dyDescent="0.35">
      <c r="M40" s="356" t="s">
        <v>2759</v>
      </c>
      <c r="N40" s="356"/>
      <c r="O40" s="356"/>
      <c r="P40" s="356"/>
    </row>
    <row r="41" spans="8:16" x14ac:dyDescent="0.3">
      <c r="M41" s="212" t="s">
        <v>446</v>
      </c>
      <c r="N41" s="2091">
        <v>26999</v>
      </c>
      <c r="O41" s="2091"/>
      <c r="P41" s="2090">
        <v>28490</v>
      </c>
    </row>
    <row r="42" spans="8:16" x14ac:dyDescent="0.3">
      <c r="M42" s="214" t="s">
        <v>449</v>
      </c>
      <c r="N42" s="392">
        <v>117918</v>
      </c>
      <c r="O42" s="392"/>
      <c r="P42" s="253">
        <v>53010</v>
      </c>
    </row>
    <row r="43" spans="8:16" x14ac:dyDescent="0.3">
      <c r="M43" s="214" t="s">
        <v>448</v>
      </c>
      <c r="N43" s="215">
        <v>16826</v>
      </c>
      <c r="O43" s="215"/>
      <c r="P43" s="260">
        <v>43892</v>
      </c>
    </row>
    <row r="44" spans="8:16" x14ac:dyDescent="0.3">
      <c r="M44" s="214" t="s">
        <v>451</v>
      </c>
      <c r="N44" s="215">
        <v>10579</v>
      </c>
      <c r="O44" s="215"/>
      <c r="P44" s="260">
        <v>40414</v>
      </c>
    </row>
    <row r="45" spans="8:16" x14ac:dyDescent="0.3">
      <c r="M45" s="214" t="s">
        <v>282</v>
      </c>
      <c r="N45" s="472">
        <v>195250</v>
      </c>
      <c r="O45" s="215"/>
      <c r="P45" s="404">
        <v>200106</v>
      </c>
    </row>
    <row r="46" spans="8:16" x14ac:dyDescent="0.3">
      <c r="M46" s="214"/>
      <c r="P46" s="223"/>
    </row>
    <row r="47" spans="8:16" x14ac:dyDescent="0.3">
      <c r="M47" s="214" t="s">
        <v>318</v>
      </c>
      <c r="N47" s="215">
        <v>84528</v>
      </c>
      <c r="O47" s="215"/>
      <c r="P47" s="260">
        <v>66209</v>
      </c>
    </row>
    <row r="48" spans="8:16" x14ac:dyDescent="0.3">
      <c r="M48" s="214" t="s">
        <v>333</v>
      </c>
      <c r="N48" s="215">
        <f>7648+23004+8672</f>
        <v>39324</v>
      </c>
      <c r="O48" s="215"/>
      <c r="P48" s="260">
        <f>2168+13500</f>
        <v>15668</v>
      </c>
    </row>
    <row r="49" spans="13:20" x14ac:dyDescent="0.3">
      <c r="M49" s="214" t="s">
        <v>78</v>
      </c>
      <c r="N49" s="215">
        <f>N45-N50</f>
        <v>137879</v>
      </c>
      <c r="O49" s="215"/>
      <c r="P49" s="260">
        <f>P45-P50</f>
        <v>100855</v>
      </c>
    </row>
    <row r="50" spans="13:20" x14ac:dyDescent="0.3">
      <c r="M50" s="214" t="s">
        <v>445</v>
      </c>
      <c r="N50" s="505">
        <v>57371</v>
      </c>
      <c r="O50" s="392"/>
      <c r="P50" s="405">
        <v>99251</v>
      </c>
    </row>
    <row r="51" spans="13:20" x14ac:dyDescent="0.3">
      <c r="M51" s="214"/>
      <c r="P51" s="223"/>
    </row>
    <row r="52" spans="13:20" x14ac:dyDescent="0.3">
      <c r="M52" s="214"/>
      <c r="P52" s="223"/>
    </row>
    <row r="53" spans="13:20" x14ac:dyDescent="0.3">
      <c r="M53" s="214" t="s">
        <v>443</v>
      </c>
      <c r="N53" s="392">
        <v>63760</v>
      </c>
      <c r="O53" s="392"/>
      <c r="P53" s="253">
        <v>15723</v>
      </c>
    </row>
    <row r="54" spans="13:20" x14ac:dyDescent="0.3">
      <c r="M54" s="214" t="s">
        <v>447</v>
      </c>
      <c r="N54" s="393">
        <v>0</v>
      </c>
      <c r="O54" s="393"/>
      <c r="P54" s="260">
        <v>62886</v>
      </c>
    </row>
    <row r="55" spans="13:20" x14ac:dyDescent="0.3">
      <c r="M55" s="214" t="s">
        <v>450</v>
      </c>
      <c r="N55" s="393">
        <v>0</v>
      </c>
      <c r="O55" s="393"/>
      <c r="P55" s="260">
        <v>31786</v>
      </c>
    </row>
    <row r="56" spans="13:20" x14ac:dyDescent="0.3">
      <c r="M56" s="214" t="s">
        <v>289</v>
      </c>
      <c r="N56" s="472">
        <v>111845</v>
      </c>
      <c r="O56" s="215"/>
      <c r="P56" s="404">
        <v>117173</v>
      </c>
    </row>
    <row r="57" spans="13:20" ht="31.2" x14ac:dyDescent="0.3">
      <c r="M57" s="282" t="s">
        <v>444</v>
      </c>
      <c r="N57" s="215">
        <v>8537</v>
      </c>
      <c r="O57" s="215"/>
      <c r="P57" s="260">
        <v>12893</v>
      </c>
    </row>
    <row r="58" spans="13:20" ht="16.2" thickBot="1" x14ac:dyDescent="0.35">
      <c r="M58" s="224" t="s">
        <v>301</v>
      </c>
      <c r="N58" s="1220">
        <v>9021</v>
      </c>
      <c r="O58" s="1220"/>
      <c r="P58" s="2089">
        <v>16993</v>
      </c>
    </row>
    <row r="59" spans="13:20" x14ac:dyDescent="0.3">
      <c r="M59" s="1" t="s">
        <v>2758</v>
      </c>
    </row>
    <row r="62" spans="13:20" x14ac:dyDescent="0.3">
      <c r="R62" s="211" t="s">
        <v>2757</v>
      </c>
    </row>
    <row r="63" spans="13:20" x14ac:dyDescent="0.3">
      <c r="T63" s="211" t="s">
        <v>2756</v>
      </c>
    </row>
    <row r="64" spans="13:20" x14ac:dyDescent="0.3">
      <c r="R64" s="211">
        <v>1967</v>
      </c>
      <c r="S64" s="252">
        <v>92</v>
      </c>
      <c r="T64" s="2088">
        <v>24535</v>
      </c>
    </row>
    <row r="65" spans="18:20" x14ac:dyDescent="0.3">
      <c r="R65" s="211">
        <v>1968</v>
      </c>
      <c r="S65" s="252">
        <v>92</v>
      </c>
      <c r="T65" s="2088">
        <v>24899</v>
      </c>
    </row>
    <row r="66" spans="18:20" x14ac:dyDescent="0.3">
      <c r="R66" s="211">
        <v>1969</v>
      </c>
      <c r="S66" s="252">
        <v>108</v>
      </c>
      <c r="T66" s="2088">
        <v>25263</v>
      </c>
    </row>
    <row r="67" spans="18:20" x14ac:dyDescent="0.3">
      <c r="R67" s="211">
        <v>1970</v>
      </c>
      <c r="S67" s="252">
        <v>126</v>
      </c>
      <c r="T67" s="2088">
        <v>25627</v>
      </c>
    </row>
    <row r="68" spans="18:20" x14ac:dyDescent="0.3">
      <c r="R68" s="211">
        <v>1971</v>
      </c>
      <c r="S68" s="252">
        <v>118</v>
      </c>
      <c r="T68" s="2088">
        <v>27454</v>
      </c>
    </row>
    <row r="69" spans="18:20" x14ac:dyDescent="0.3">
      <c r="R69" s="211">
        <v>1972</v>
      </c>
      <c r="S69" s="252">
        <v>101</v>
      </c>
      <c r="T69" s="2088">
        <v>27454</v>
      </c>
    </row>
    <row r="70" spans="18:20" x14ac:dyDescent="0.3">
      <c r="R70" s="211">
        <v>1973</v>
      </c>
      <c r="S70" s="252">
        <v>89</v>
      </c>
      <c r="T70" s="2088">
        <v>27454</v>
      </c>
    </row>
    <row r="71" spans="18:20" x14ac:dyDescent="0.3">
      <c r="R71" s="211">
        <v>1974</v>
      </c>
      <c r="S71" s="252">
        <v>51</v>
      </c>
      <c r="T71" s="2088">
        <v>27454</v>
      </c>
    </row>
    <row r="72" spans="18:20" x14ac:dyDescent="0.3">
      <c r="R72" s="211">
        <v>1975</v>
      </c>
      <c r="S72" s="252">
        <v>26</v>
      </c>
      <c r="T72" s="2088">
        <v>27454</v>
      </c>
    </row>
    <row r="73" spans="18:20" x14ac:dyDescent="0.3">
      <c r="R73" s="211">
        <v>1976</v>
      </c>
      <c r="S73" s="252">
        <v>20</v>
      </c>
      <c r="T73" s="2088">
        <v>27818</v>
      </c>
    </row>
    <row r="74" spans="18:20" x14ac:dyDescent="0.3">
      <c r="R74" s="211">
        <v>1977</v>
      </c>
      <c r="S74" s="252">
        <v>17</v>
      </c>
      <c r="T74" s="2088">
        <v>28126</v>
      </c>
    </row>
    <row r="75" spans="18:20" x14ac:dyDescent="0.3">
      <c r="R75" s="211">
        <v>1978</v>
      </c>
      <c r="S75" s="252">
        <v>17</v>
      </c>
      <c r="T75" s="2087">
        <v>28855</v>
      </c>
    </row>
    <row r="76" spans="18:20" x14ac:dyDescent="0.3">
      <c r="S76" s="252"/>
    </row>
    <row r="77" spans="18:20" x14ac:dyDescent="0.3">
      <c r="S77" s="252"/>
    </row>
    <row r="78" spans="18:20" x14ac:dyDescent="0.3">
      <c r="S78" s="252"/>
    </row>
    <row r="79" spans="18:20" x14ac:dyDescent="0.3">
      <c r="S79" s="252"/>
    </row>
    <row r="80" spans="18:20" x14ac:dyDescent="0.3">
      <c r="S80" s="252"/>
    </row>
    <row r="82" spans="22:30" x14ac:dyDescent="0.3">
      <c r="V82" s="2831" t="s">
        <v>2755</v>
      </c>
      <c r="W82" s="2831"/>
      <c r="X82" s="2831"/>
      <c r="Y82" s="2831"/>
      <c r="Z82" s="2831"/>
      <c r="AA82" s="2831"/>
      <c r="AB82" s="2831"/>
      <c r="AC82" s="2831"/>
      <c r="AD82" s="2831"/>
    </row>
    <row r="83" spans="22:30" x14ac:dyDescent="0.3">
      <c r="V83" s="12" t="s">
        <v>2754</v>
      </c>
    </row>
  </sheetData>
  <mergeCells count="2">
    <mergeCell ref="A16:C16"/>
    <mergeCell ref="V82:AD8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FCCB3-5CD5-4A42-B167-D1BCFE8E7C73}">
  <sheetPr>
    <tabColor theme="4"/>
  </sheetPr>
  <dimension ref="A1:G60"/>
  <sheetViews>
    <sheetView zoomScaleNormal="100" workbookViewId="0">
      <selection activeCell="D15" sqref="D15"/>
    </sheetView>
  </sheetViews>
  <sheetFormatPr defaultColWidth="9.109375" defaultRowHeight="15.6" x14ac:dyDescent="0.3"/>
  <cols>
    <col min="1" max="1" width="16.33203125" style="211" customWidth="1"/>
    <col min="2" max="2" width="23.5546875" style="211" bestFit="1" customWidth="1"/>
    <col min="3" max="3" width="25.109375" style="211" bestFit="1" customWidth="1"/>
    <col min="4" max="6" width="1.44140625" style="211" customWidth="1"/>
    <col min="7" max="16384" width="9.109375" style="211"/>
  </cols>
  <sheetData>
    <row r="1" spans="1:3" x14ac:dyDescent="0.3">
      <c r="A1" s="211" t="s">
        <v>975</v>
      </c>
      <c r="B1" s="211" t="s">
        <v>2613</v>
      </c>
      <c r="C1" s="211" t="s">
        <v>643</v>
      </c>
    </row>
    <row r="2" spans="1:3" x14ac:dyDescent="0.3">
      <c r="A2" s="211">
        <v>1940</v>
      </c>
      <c r="B2" s="252">
        <v>18.100000000000001</v>
      </c>
      <c r="C2" s="252">
        <v>7.3</v>
      </c>
    </row>
    <row r="3" spans="1:3" x14ac:dyDescent="0.3">
      <c r="A3" s="211">
        <v>1941</v>
      </c>
      <c r="B3" s="252">
        <v>28.7</v>
      </c>
      <c r="C3" s="252">
        <v>7.8</v>
      </c>
    </row>
    <row r="4" spans="1:3" x14ac:dyDescent="0.3">
      <c r="A4" s="211">
        <v>1942</v>
      </c>
      <c r="B4" s="252">
        <v>37.799999999999997</v>
      </c>
      <c r="C4" s="252">
        <v>11.9</v>
      </c>
    </row>
    <row r="5" spans="1:3" x14ac:dyDescent="0.3">
      <c r="A5" s="211">
        <v>1943</v>
      </c>
      <c r="B5" s="252">
        <v>38.700000000000003</v>
      </c>
      <c r="C5" s="252">
        <v>12.4</v>
      </c>
    </row>
    <row r="6" spans="1:3" x14ac:dyDescent="0.3">
      <c r="A6" s="211">
        <v>1944</v>
      </c>
      <c r="B6" s="252">
        <v>31.7</v>
      </c>
      <c r="C6" s="252">
        <v>12</v>
      </c>
    </row>
    <row r="7" spans="1:3" x14ac:dyDescent="0.3">
      <c r="A7" s="211">
        <v>1945</v>
      </c>
      <c r="B7" s="252">
        <v>36</v>
      </c>
      <c r="C7" s="252">
        <v>11.6</v>
      </c>
    </row>
    <row r="8" spans="1:3" x14ac:dyDescent="0.3">
      <c r="A8" s="211">
        <v>1946</v>
      </c>
      <c r="B8" s="252">
        <v>42.8</v>
      </c>
      <c r="C8" s="252">
        <v>15</v>
      </c>
    </row>
    <row r="9" spans="1:3" x14ac:dyDescent="0.3">
      <c r="A9" s="211">
        <v>1947</v>
      </c>
      <c r="B9" s="252">
        <v>68.400000000000006</v>
      </c>
      <c r="C9" s="252">
        <v>20.5</v>
      </c>
    </row>
    <row r="10" spans="1:3" x14ac:dyDescent="0.3">
      <c r="A10" s="211">
        <v>1948</v>
      </c>
      <c r="B10" s="252">
        <v>69.8</v>
      </c>
      <c r="C10" s="252">
        <v>27.3</v>
      </c>
    </row>
    <row r="11" spans="1:3" x14ac:dyDescent="0.3">
      <c r="A11" s="211">
        <v>1949</v>
      </c>
      <c r="B11" s="252">
        <v>50.9</v>
      </c>
      <c r="C11" s="252">
        <v>22.4</v>
      </c>
    </row>
    <row r="18" spans="1:7" x14ac:dyDescent="0.3">
      <c r="G18" s="211" t="s">
        <v>2614</v>
      </c>
    </row>
    <row r="20" spans="1:7" s="372" customFormat="1" x14ac:dyDescent="0.3"/>
    <row r="22" spans="1:7" x14ac:dyDescent="0.3">
      <c r="A22" s="211" t="s">
        <v>2615</v>
      </c>
      <c r="B22" s="1937" t="s">
        <v>2613</v>
      </c>
      <c r="C22" s="211" t="s">
        <v>643</v>
      </c>
    </row>
    <row r="23" spans="1:7" x14ac:dyDescent="0.3">
      <c r="A23" s="211">
        <v>1940</v>
      </c>
      <c r="B23" s="227">
        <v>3.2618597490711096E-2</v>
      </c>
      <c r="C23" s="227">
        <v>3.3563721963940502E-2</v>
      </c>
    </row>
    <row r="24" spans="1:7" x14ac:dyDescent="0.3">
      <c r="A24" s="211">
        <v>1941</v>
      </c>
      <c r="B24" s="227">
        <v>6.4413208867209484E-2</v>
      </c>
      <c r="C24" s="227">
        <v>3.3257848469748011E-2</v>
      </c>
    </row>
    <row r="25" spans="1:7" x14ac:dyDescent="0.3">
      <c r="A25" s="211">
        <v>1942</v>
      </c>
      <c r="B25" s="227">
        <v>5.0498958378781593E-2</v>
      </c>
      <c r="C25" s="227">
        <v>3.1675997421042872E-2</v>
      </c>
    </row>
    <row r="26" spans="1:7" x14ac:dyDescent="0.3">
      <c r="A26" s="211">
        <v>1943</v>
      </c>
      <c r="B26" s="227">
        <v>4.4583247596119854E-2</v>
      </c>
      <c r="C26" s="227">
        <v>2.0134719837892629E-2</v>
      </c>
    </row>
    <row r="27" spans="1:7" x14ac:dyDescent="0.3">
      <c r="A27" s="211">
        <v>1944</v>
      </c>
      <c r="B27" s="227">
        <v>5.0544313474081337E-2</v>
      </c>
      <c r="C27" s="227">
        <v>2.3108872525137599E-2</v>
      </c>
    </row>
    <row r="28" spans="1:7" x14ac:dyDescent="0.3">
      <c r="A28" s="211">
        <v>1945</v>
      </c>
      <c r="B28" s="227">
        <v>5.0316973941089187E-2</v>
      </c>
      <c r="C28" s="227">
        <v>2.8224514359685152E-2</v>
      </c>
    </row>
    <row r="29" spans="1:7" x14ac:dyDescent="0.3">
      <c r="A29" s="211">
        <v>1946</v>
      </c>
      <c r="B29" s="227">
        <v>0.13274939452045237</v>
      </c>
      <c r="C29" s="227">
        <v>6.3445034000687059E-2</v>
      </c>
    </row>
    <row r="30" spans="1:7" x14ac:dyDescent="0.3">
      <c r="A30" s="211">
        <v>1947</v>
      </c>
      <c r="B30" s="227">
        <v>0.18762794875403616</v>
      </c>
      <c r="C30" s="227">
        <v>9.4879111163351376E-2</v>
      </c>
    </row>
    <row r="31" spans="1:7" x14ac:dyDescent="0.3">
      <c r="A31" s="211">
        <v>1948</v>
      </c>
      <c r="B31" s="227">
        <v>0.20543313664690521</v>
      </c>
      <c r="C31" s="227">
        <v>0.10473673901256814</v>
      </c>
    </row>
    <row r="32" spans="1:7" x14ac:dyDescent="0.3">
      <c r="A32" s="211">
        <v>1949</v>
      </c>
      <c r="B32" s="227">
        <v>7.0122617963344056E-2</v>
      </c>
      <c r="C32" s="227">
        <v>5.8450904200403608E-2</v>
      </c>
    </row>
    <row r="34" spans="1:7" x14ac:dyDescent="0.3">
      <c r="A34" s="211" t="s">
        <v>2611</v>
      </c>
      <c r="B34" s="365">
        <f>AVERAGE(B23:B27)</f>
        <v>4.8531665161380674E-2</v>
      </c>
      <c r="C34" s="365">
        <f>AVERAGE(C23:C27)</f>
        <v>2.8348232043552319E-2</v>
      </c>
    </row>
    <row r="35" spans="1:7" x14ac:dyDescent="0.3">
      <c r="A35" s="211" t="s">
        <v>2610</v>
      </c>
      <c r="B35" s="365">
        <f>AVERAGE(B28:B32)</f>
        <v>0.12925001436516542</v>
      </c>
      <c r="C35" s="365">
        <f>AVERAGE(C28:C32)</f>
        <v>6.994726054733906E-2</v>
      </c>
    </row>
    <row r="40" spans="1:7" x14ac:dyDescent="0.3">
      <c r="G40" s="211" t="s">
        <v>2612</v>
      </c>
    </row>
    <row r="42" spans="1:7" s="372" customFormat="1" x14ac:dyDescent="0.3"/>
    <row r="43" spans="1:7" x14ac:dyDescent="0.3">
      <c r="A43" s="211" t="s">
        <v>2616</v>
      </c>
    </row>
    <row r="44" spans="1:7" x14ac:dyDescent="0.3">
      <c r="A44" s="211">
        <v>1940</v>
      </c>
      <c r="B44" s="227">
        <v>4.5103379643572653E-2</v>
      </c>
      <c r="C44" s="227">
        <v>0.10768293942848338</v>
      </c>
    </row>
    <row r="45" spans="1:7" x14ac:dyDescent="0.3">
      <c r="A45" s="211">
        <v>1941</v>
      </c>
      <c r="B45" s="227">
        <v>0.13611659584205754</v>
      </c>
      <c r="C45" s="227">
        <v>0.1101961402642375</v>
      </c>
    </row>
    <row r="46" spans="1:7" x14ac:dyDescent="0.3">
      <c r="A46" s="211">
        <v>1942</v>
      </c>
      <c r="B46" s="227">
        <v>0.13458368679548199</v>
      </c>
      <c r="C46" s="227">
        <v>0.15361057725770275</v>
      </c>
    </row>
    <row r="47" spans="1:7" x14ac:dyDescent="0.3">
      <c r="A47" s="211">
        <v>1943</v>
      </c>
      <c r="B47" s="227">
        <v>0.11913516834872208</v>
      </c>
      <c r="C47" s="227">
        <v>9.3608620701928838E-2</v>
      </c>
    </row>
    <row r="48" spans="1:7" x14ac:dyDescent="0.3">
      <c r="A48" s="211">
        <v>1944</v>
      </c>
      <c r="B48" s="227">
        <v>0.10896904937870588</v>
      </c>
      <c r="C48" s="227">
        <v>9.6738450801493542E-2</v>
      </c>
    </row>
    <row r="49" spans="1:7" x14ac:dyDescent="0.3">
      <c r="A49" s="211">
        <v>1945</v>
      </c>
      <c r="B49" s="227">
        <v>0.12066600719541136</v>
      </c>
      <c r="C49" s="227">
        <v>0.10660038205622688</v>
      </c>
    </row>
    <row r="50" spans="1:7" x14ac:dyDescent="0.3">
      <c r="A50" s="211">
        <v>1946</v>
      </c>
      <c r="B50" s="227">
        <v>0.33002674882504962</v>
      </c>
      <c r="C50" s="227">
        <v>0.27059457708568513</v>
      </c>
    </row>
    <row r="51" spans="1:7" x14ac:dyDescent="0.3">
      <c r="A51" s="211">
        <v>1947</v>
      </c>
      <c r="B51" s="227">
        <v>0.49745961812063472</v>
      </c>
      <c r="C51" s="227">
        <v>0.41178890901894272</v>
      </c>
    </row>
    <row r="52" spans="1:7" x14ac:dyDescent="0.3">
      <c r="A52" s="211">
        <v>1948</v>
      </c>
      <c r="B52" s="227">
        <v>0.38299971143654915</v>
      </c>
      <c r="C52" s="227">
        <v>0.42374393531856519</v>
      </c>
    </row>
    <row r="53" spans="1:7" x14ac:dyDescent="0.3">
      <c r="A53" s="211">
        <v>1949</v>
      </c>
      <c r="B53" s="227">
        <v>8.4777905294458625E-2</v>
      </c>
      <c r="C53" s="227">
        <v>0.15882134692659625</v>
      </c>
    </row>
    <row r="55" spans="1:7" x14ac:dyDescent="0.3">
      <c r="A55" s="211" t="s">
        <v>2611</v>
      </c>
      <c r="B55" s="365">
        <f>AVERAGE(B44:B48)</f>
        <v>0.10878157600170804</v>
      </c>
      <c r="C55" s="365">
        <f>AVERAGE(C44:C48)</f>
        <v>0.1123673456907692</v>
      </c>
    </row>
    <row r="56" spans="1:7" x14ac:dyDescent="0.3">
      <c r="A56" s="211" t="s">
        <v>2610</v>
      </c>
      <c r="B56" s="365">
        <f>AVERAGE(B49:B53)</f>
        <v>0.28318599817442069</v>
      </c>
      <c r="C56" s="365">
        <f>AVERAGE(C49:C53)</f>
        <v>0.27430983008120324</v>
      </c>
    </row>
    <row r="60" spans="1:7" x14ac:dyDescent="0.3">
      <c r="G60" s="211" t="s">
        <v>2609</v>
      </c>
    </row>
  </sheetData>
  <pageMargins left="0.7" right="0.7" top="0.75" bottom="0.75" header="0.3" footer="0.3"/>
  <drawing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CCEE1-C782-4631-9BF2-659ED364D8DD}">
  <sheetPr codeName="Sheet24">
    <tabColor theme="9" tint="0.59999389629810485"/>
  </sheetPr>
  <dimension ref="A1:N34"/>
  <sheetViews>
    <sheetView showGridLines="0" zoomScale="115" zoomScaleNormal="115" workbookViewId="0">
      <selection activeCell="D22" sqref="D22"/>
    </sheetView>
  </sheetViews>
  <sheetFormatPr defaultColWidth="8.6640625" defaultRowHeight="13.8" x14ac:dyDescent="0.25"/>
  <cols>
    <col min="1" max="1" width="33" style="1" customWidth="1"/>
    <col min="2" max="2" width="11.33203125" style="1" bestFit="1" customWidth="1"/>
    <col min="3" max="3" width="10.109375" style="1" bestFit="1" customWidth="1"/>
    <col min="4" max="5" width="11.33203125" style="1" bestFit="1" customWidth="1"/>
    <col min="6" max="6" width="11" style="1" bestFit="1" customWidth="1"/>
    <col min="7" max="8" width="8.6640625" style="1"/>
    <col min="9" max="9" width="11.44140625" style="1" customWidth="1"/>
    <col min="10" max="16384" width="8.6640625" style="1"/>
  </cols>
  <sheetData>
    <row r="1" spans="1:6" x14ac:dyDescent="0.25">
      <c r="A1" s="23" t="s">
        <v>446</v>
      </c>
      <c r="B1" s="108">
        <v>28490</v>
      </c>
      <c r="C1" s="108">
        <v>28126</v>
      </c>
      <c r="D1" s="108">
        <v>27727</v>
      </c>
      <c r="E1" s="108">
        <v>27363</v>
      </c>
      <c r="F1" s="109">
        <v>26999</v>
      </c>
    </row>
    <row r="2" spans="1:6" x14ac:dyDescent="0.25">
      <c r="A2" s="6" t="s">
        <v>449</v>
      </c>
      <c r="B2" s="13">
        <v>53010</v>
      </c>
      <c r="C2" s="13">
        <v>63143</v>
      </c>
      <c r="D2" s="13">
        <v>76095</v>
      </c>
      <c r="E2" s="13">
        <v>97072</v>
      </c>
      <c r="F2" s="65">
        <v>117918</v>
      </c>
    </row>
    <row r="3" spans="1:6" x14ac:dyDescent="0.25">
      <c r="A3" s="6" t="s">
        <v>448</v>
      </c>
      <c r="B3" s="2">
        <v>43892</v>
      </c>
      <c r="C3" s="2">
        <v>38661</v>
      </c>
      <c r="D3" s="2">
        <v>27911</v>
      </c>
      <c r="E3" s="2">
        <v>26053</v>
      </c>
      <c r="F3" s="7">
        <v>16826</v>
      </c>
    </row>
    <row r="4" spans="1:6" x14ac:dyDescent="0.25">
      <c r="A4" s="6" t="s">
        <v>451</v>
      </c>
      <c r="B4" s="2">
        <v>40414</v>
      </c>
      <c r="C4" s="2">
        <v>8417</v>
      </c>
      <c r="D4" s="2">
        <v>8339</v>
      </c>
      <c r="E4" s="2">
        <v>8736</v>
      </c>
      <c r="F4" s="7">
        <v>10579</v>
      </c>
    </row>
    <row r="5" spans="1:6" x14ac:dyDescent="0.25">
      <c r="A5" s="24" t="s">
        <v>282</v>
      </c>
      <c r="B5" s="100">
        <v>200106</v>
      </c>
      <c r="C5" s="100">
        <v>167137</v>
      </c>
      <c r="D5" s="100">
        <v>157454</v>
      </c>
      <c r="E5" s="100">
        <v>182106</v>
      </c>
      <c r="F5" s="110">
        <v>195250</v>
      </c>
    </row>
    <row r="6" spans="1:6" x14ac:dyDescent="0.25">
      <c r="A6" s="6"/>
      <c r="F6" s="8"/>
    </row>
    <row r="7" spans="1:6" x14ac:dyDescent="0.25">
      <c r="A7" s="6" t="s">
        <v>318</v>
      </c>
      <c r="B7" s="2">
        <v>66209</v>
      </c>
      <c r="C7" s="2">
        <v>66867</v>
      </c>
      <c r="D7" s="2">
        <v>70962</v>
      </c>
      <c r="E7" s="2">
        <v>71705</v>
      </c>
      <c r="F7" s="7">
        <v>84528</v>
      </c>
    </row>
    <row r="8" spans="1:6" x14ac:dyDescent="0.25">
      <c r="A8" s="6" t="s">
        <v>333</v>
      </c>
      <c r="B8" s="2">
        <f>2168+13500</f>
        <v>15668</v>
      </c>
      <c r="C8" s="2">
        <v>4287</v>
      </c>
      <c r="D8" s="2">
        <v>6392</v>
      </c>
      <c r="E8" s="2">
        <f>1805+27200+6504</f>
        <v>35509</v>
      </c>
      <c r="F8" s="7">
        <f>7648+23004+8672</f>
        <v>39324</v>
      </c>
    </row>
    <row r="9" spans="1:6" x14ac:dyDescent="0.25">
      <c r="A9" s="6" t="s">
        <v>78</v>
      </c>
      <c r="B9" s="2">
        <f>B5-B11</f>
        <v>100855</v>
      </c>
      <c r="C9" s="2">
        <f>C5-C11</f>
        <v>81149</v>
      </c>
      <c r="D9" s="2">
        <f>D5-D11</f>
        <v>86207</v>
      </c>
      <c r="E9" s="2">
        <f>E5-E11</f>
        <v>118799</v>
      </c>
      <c r="F9" s="7">
        <f>F5-F11</f>
        <v>137879</v>
      </c>
    </row>
    <row r="10" spans="1:6" x14ac:dyDescent="0.25">
      <c r="A10" s="6"/>
      <c r="F10" s="8"/>
    </row>
    <row r="11" spans="1:6" x14ac:dyDescent="0.25">
      <c r="A11" s="24" t="s">
        <v>445</v>
      </c>
      <c r="B11" s="101">
        <v>99251</v>
      </c>
      <c r="C11" s="101">
        <v>85988</v>
      </c>
      <c r="D11" s="101">
        <v>71247</v>
      </c>
      <c r="E11" s="101">
        <v>63307</v>
      </c>
      <c r="F11" s="111">
        <v>57371</v>
      </c>
    </row>
    <row r="12" spans="1:6" x14ac:dyDescent="0.25">
      <c r="A12" s="6"/>
      <c r="F12" s="8"/>
    </row>
    <row r="13" spans="1:6" x14ac:dyDescent="0.25">
      <c r="A13" s="6"/>
      <c r="F13" s="8"/>
    </row>
    <row r="14" spans="1:6" x14ac:dyDescent="0.25">
      <c r="A14" s="6" t="s">
        <v>443</v>
      </c>
      <c r="B14" s="13">
        <v>15723</v>
      </c>
      <c r="C14" s="13">
        <v>17208</v>
      </c>
      <c r="D14" s="13">
        <v>21502</v>
      </c>
      <c r="E14" s="13">
        <v>28476</v>
      </c>
      <c r="F14" s="65">
        <v>63760</v>
      </c>
    </row>
    <row r="15" spans="1:6" x14ac:dyDescent="0.25">
      <c r="A15" s="6" t="s">
        <v>447</v>
      </c>
      <c r="B15" s="2">
        <v>62886</v>
      </c>
      <c r="C15" s="2">
        <v>56333</v>
      </c>
      <c r="D15" s="2">
        <v>47582</v>
      </c>
      <c r="E15" s="2">
        <v>39259</v>
      </c>
      <c r="F15" s="7">
        <v>0</v>
      </c>
    </row>
    <row r="16" spans="1:6" x14ac:dyDescent="0.25">
      <c r="A16" s="6" t="s">
        <v>450</v>
      </c>
      <c r="B16" s="2">
        <v>31786</v>
      </c>
      <c r="C16" s="2">
        <v>0</v>
      </c>
      <c r="D16" s="2">
        <v>0</v>
      </c>
      <c r="E16" s="2">
        <v>0</v>
      </c>
      <c r="F16" s="7">
        <v>0</v>
      </c>
    </row>
    <row r="17" spans="1:14" x14ac:dyDescent="0.25">
      <c r="A17" s="24" t="s">
        <v>289</v>
      </c>
      <c r="B17" s="83">
        <v>117173</v>
      </c>
      <c r="C17" s="83">
        <v>88322</v>
      </c>
      <c r="D17" s="83">
        <v>88545</v>
      </c>
      <c r="E17" s="83">
        <v>87102</v>
      </c>
      <c r="F17" s="84">
        <v>111845</v>
      </c>
    </row>
    <row r="18" spans="1:14" ht="27.6" x14ac:dyDescent="0.25">
      <c r="A18" s="67" t="s">
        <v>444</v>
      </c>
      <c r="B18" s="2">
        <v>12893</v>
      </c>
      <c r="C18" s="2">
        <v>11780</v>
      </c>
      <c r="D18" s="2">
        <v>7568</v>
      </c>
      <c r="E18" s="2">
        <v>8035</v>
      </c>
      <c r="F18" s="7">
        <v>8537</v>
      </c>
    </row>
    <row r="19" spans="1:14" ht="14.4" thickBot="1" x14ac:dyDescent="0.3">
      <c r="A19" s="58" t="s">
        <v>301</v>
      </c>
      <c r="B19" s="112">
        <v>16993</v>
      </c>
      <c r="C19" s="112">
        <v>11703</v>
      </c>
      <c r="D19" s="112">
        <v>9183</v>
      </c>
      <c r="E19" s="112">
        <v>7178</v>
      </c>
      <c r="F19" s="113">
        <v>9021</v>
      </c>
    </row>
    <row r="23" spans="1:14" ht="15.6" x14ac:dyDescent="0.3">
      <c r="I23" s="459" t="s">
        <v>1320</v>
      </c>
    </row>
    <row r="24" spans="1:14" ht="15.6" x14ac:dyDescent="0.3">
      <c r="I24" s="152" t="s">
        <v>1321</v>
      </c>
    </row>
    <row r="25" spans="1:14" ht="8.25" customHeight="1" thickBot="1" x14ac:dyDescent="0.3"/>
    <row r="26" spans="1:14" ht="18" customHeight="1" x14ac:dyDescent="0.25">
      <c r="I26" s="2838" t="s">
        <v>1617</v>
      </c>
      <c r="J26" s="2839"/>
      <c r="K26" s="2839"/>
      <c r="L26" s="2839"/>
      <c r="M26" s="2839"/>
      <c r="N26" s="2840"/>
    </row>
    <row r="27" spans="1:14" ht="18" customHeight="1" x14ac:dyDescent="0.25">
      <c r="I27" s="2832" t="s">
        <v>1618</v>
      </c>
      <c r="J27" s="2833"/>
      <c r="K27" s="2833"/>
      <c r="L27" s="2833"/>
      <c r="M27" s="2833"/>
      <c r="N27" s="2834"/>
    </row>
    <row r="28" spans="1:14" ht="36" customHeight="1" x14ac:dyDescent="0.25">
      <c r="I28" s="2832" t="s">
        <v>1619</v>
      </c>
      <c r="J28" s="2833"/>
      <c r="K28" s="2833"/>
      <c r="L28" s="2833"/>
      <c r="M28" s="2833"/>
      <c r="N28" s="2834"/>
    </row>
    <row r="29" spans="1:14" ht="36" customHeight="1" x14ac:dyDescent="0.25">
      <c r="I29" s="2832" t="s">
        <v>1620</v>
      </c>
      <c r="J29" s="2833"/>
      <c r="K29" s="2833"/>
      <c r="L29" s="2833"/>
      <c r="M29" s="2833"/>
      <c r="N29" s="2834"/>
    </row>
    <row r="30" spans="1:14" ht="36" customHeight="1" x14ac:dyDescent="0.25">
      <c r="I30" s="2832" t="s">
        <v>1621</v>
      </c>
      <c r="J30" s="2833"/>
      <c r="K30" s="2833"/>
      <c r="L30" s="2833"/>
      <c r="M30" s="2833"/>
      <c r="N30" s="2834"/>
    </row>
    <row r="31" spans="1:14" ht="18" customHeight="1" x14ac:dyDescent="0.25">
      <c r="I31" s="2832" t="s">
        <v>1622</v>
      </c>
      <c r="J31" s="2833"/>
      <c r="K31" s="2833"/>
      <c r="L31" s="2833"/>
      <c r="M31" s="2833"/>
      <c r="N31" s="2834"/>
    </row>
    <row r="32" spans="1:14" ht="18" customHeight="1" x14ac:dyDescent="0.25">
      <c r="I32" s="2832" t="s">
        <v>1623</v>
      </c>
      <c r="J32" s="2833"/>
      <c r="K32" s="2833"/>
      <c r="L32" s="2833"/>
      <c r="M32" s="2833"/>
      <c r="N32" s="2834"/>
    </row>
    <row r="33" spans="9:14" ht="51.75" customHeight="1" thickBot="1" x14ac:dyDescent="0.3">
      <c r="I33" s="2835" t="s">
        <v>3714</v>
      </c>
      <c r="J33" s="2836"/>
      <c r="K33" s="2836"/>
      <c r="L33" s="2836"/>
      <c r="M33" s="2836"/>
      <c r="N33" s="2837"/>
    </row>
    <row r="34" spans="9:14" ht="17.25" customHeight="1" x14ac:dyDescent="0.25">
      <c r="I34" s="12" t="s">
        <v>3715</v>
      </c>
    </row>
  </sheetData>
  <mergeCells count="8">
    <mergeCell ref="I32:N32"/>
    <mergeCell ref="I33:N33"/>
    <mergeCell ref="I26:N26"/>
    <mergeCell ref="I27:N27"/>
    <mergeCell ref="I28:N28"/>
    <mergeCell ref="I29:N29"/>
    <mergeCell ref="I30:N30"/>
    <mergeCell ref="I31:N31"/>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FA4AE-5E5C-483C-A3E7-073EECB769B4}">
  <sheetPr codeName="Sheet25">
    <tabColor theme="9" tint="0.59999389629810485"/>
  </sheetPr>
  <dimension ref="A1:N52"/>
  <sheetViews>
    <sheetView showGridLines="0" topLeftCell="A27" zoomScale="85" zoomScaleNormal="85" workbookViewId="0">
      <selection activeCell="K51" sqref="K51"/>
    </sheetView>
  </sheetViews>
  <sheetFormatPr defaultColWidth="9.109375" defaultRowHeight="15.6" outlineLevelCol="1" x14ac:dyDescent="0.3"/>
  <cols>
    <col min="1" max="1" width="31" style="211" customWidth="1" outlineLevel="1"/>
    <col min="2" max="3" width="11.6640625" style="211" customWidth="1" outlineLevel="1"/>
    <col min="4" max="4" width="9.109375" style="211"/>
    <col min="5" max="5" width="32.88671875" style="211" customWidth="1"/>
    <col min="6" max="7" width="12.44140625" style="211" customWidth="1"/>
    <col min="8" max="16384" width="9.109375" style="211"/>
  </cols>
  <sheetData>
    <row r="1" spans="1:3" x14ac:dyDescent="0.3">
      <c r="A1" s="459" t="s">
        <v>1320</v>
      </c>
    </row>
    <row r="2" spans="1:3" x14ac:dyDescent="0.3">
      <c r="A2" s="1623" t="s">
        <v>1322</v>
      </c>
      <c r="B2" s="658"/>
      <c r="C2" s="658"/>
    </row>
    <row r="3" spans="1:3" ht="8.25" customHeight="1" thickBot="1" x14ac:dyDescent="0.35">
      <c r="A3" s="658"/>
      <c r="B3" s="658"/>
      <c r="C3" s="658"/>
    </row>
    <row r="4" spans="1:3" x14ac:dyDescent="0.3">
      <c r="A4" s="2109"/>
      <c r="B4" s="2841" t="s">
        <v>1221</v>
      </c>
      <c r="C4" s="2842"/>
    </row>
    <row r="5" spans="1:3" x14ac:dyDescent="0.3">
      <c r="A5" s="1778" t="s">
        <v>1204</v>
      </c>
      <c r="B5" s="2110">
        <v>25991</v>
      </c>
      <c r="C5" s="2111">
        <v>28490</v>
      </c>
    </row>
    <row r="6" spans="1:3" x14ac:dyDescent="0.3">
      <c r="A6" s="1778" t="s">
        <v>1212</v>
      </c>
      <c r="B6" s="2110"/>
      <c r="C6" s="2111"/>
    </row>
    <row r="7" spans="1:3" x14ac:dyDescent="0.3">
      <c r="A7" s="2112" t="s">
        <v>5</v>
      </c>
      <c r="B7" s="2113">
        <v>531</v>
      </c>
      <c r="C7" s="2114">
        <v>5335</v>
      </c>
    </row>
    <row r="8" spans="1:3" ht="31.2" x14ac:dyDescent="0.3">
      <c r="A8" s="2115" t="s">
        <v>1207</v>
      </c>
      <c r="B8" s="2116">
        <v>113168</v>
      </c>
      <c r="C8" s="2117">
        <f>11224+53010</f>
        <v>64234</v>
      </c>
    </row>
    <row r="9" spans="1:3" x14ac:dyDescent="0.3">
      <c r="A9" s="2112" t="s">
        <v>1205</v>
      </c>
      <c r="B9" s="2116">
        <v>4213</v>
      </c>
      <c r="C9" s="2117">
        <v>40414</v>
      </c>
    </row>
    <row r="10" spans="1:3" x14ac:dyDescent="0.3">
      <c r="A10" s="2112" t="s">
        <v>1208</v>
      </c>
      <c r="B10" s="2116">
        <v>0</v>
      </c>
      <c r="C10" s="2117">
        <v>43892</v>
      </c>
    </row>
    <row r="11" spans="1:3" x14ac:dyDescent="0.3">
      <c r="A11" s="2112" t="s">
        <v>282</v>
      </c>
      <c r="B11" s="2116">
        <v>142138</v>
      </c>
      <c r="C11" s="2117">
        <v>200106</v>
      </c>
    </row>
    <row r="12" spans="1:3" x14ac:dyDescent="0.3">
      <c r="A12" s="2112"/>
      <c r="B12" s="2116"/>
      <c r="C12" s="2117"/>
    </row>
    <row r="13" spans="1:3" ht="31.2" x14ac:dyDescent="0.3">
      <c r="A13" s="2115" t="s">
        <v>318</v>
      </c>
      <c r="B13" s="2116">
        <v>87429</v>
      </c>
      <c r="C13" s="2117">
        <v>66209</v>
      </c>
    </row>
    <row r="14" spans="1:3" x14ac:dyDescent="0.3">
      <c r="A14" s="2112" t="s">
        <v>333</v>
      </c>
      <c r="B14" s="2116">
        <v>10840</v>
      </c>
      <c r="C14" s="2117">
        <f>2168+13500</f>
        <v>15668</v>
      </c>
    </row>
    <row r="15" spans="1:3" x14ac:dyDescent="0.3">
      <c r="A15" s="2112" t="s">
        <v>746</v>
      </c>
      <c r="B15" s="2113">
        <v>43296</v>
      </c>
      <c r="C15" s="2114">
        <v>99251</v>
      </c>
    </row>
    <row r="16" spans="1:3" x14ac:dyDescent="0.3">
      <c r="A16" s="2112"/>
      <c r="B16" s="2118"/>
      <c r="C16" s="2119"/>
    </row>
    <row r="17" spans="1:14" x14ac:dyDescent="0.3">
      <c r="A17" s="2120" t="s">
        <v>1213</v>
      </c>
      <c r="B17" s="2118"/>
      <c r="C17" s="2119"/>
    </row>
    <row r="18" spans="1:14" x14ac:dyDescent="0.3">
      <c r="A18" s="2112" t="s">
        <v>1206</v>
      </c>
      <c r="B18" s="2113">
        <v>118374</v>
      </c>
      <c r="C18" s="2114">
        <v>15723</v>
      </c>
    </row>
    <row r="19" spans="1:14" ht="31.2" x14ac:dyDescent="0.3">
      <c r="A19" s="2115" t="s">
        <v>1211</v>
      </c>
      <c r="B19" s="2116">
        <v>1719</v>
      </c>
      <c r="C19" s="2117">
        <v>2485</v>
      </c>
      <c r="F19" s="278"/>
    </row>
    <row r="20" spans="1:14" x14ac:dyDescent="0.3">
      <c r="A20" s="2112" t="s">
        <v>1209</v>
      </c>
      <c r="B20" s="2121">
        <v>0</v>
      </c>
      <c r="C20" s="2117">
        <v>62886</v>
      </c>
    </row>
    <row r="21" spans="1:14" x14ac:dyDescent="0.3">
      <c r="A21" s="2112" t="s">
        <v>1210</v>
      </c>
      <c r="B21" s="2121">
        <v>0</v>
      </c>
      <c r="C21" s="2117">
        <v>31786</v>
      </c>
    </row>
    <row r="22" spans="1:14" x14ac:dyDescent="0.3">
      <c r="A22" s="2112" t="s">
        <v>289</v>
      </c>
      <c r="B22" s="2116">
        <v>127567</v>
      </c>
      <c r="C22" s="2117">
        <v>117173</v>
      </c>
    </row>
    <row r="23" spans="1:14" ht="16.2" thickBot="1" x14ac:dyDescent="0.35">
      <c r="A23" s="2122" t="s">
        <v>99</v>
      </c>
      <c r="B23" s="2123">
        <v>8584</v>
      </c>
      <c r="C23" s="2124">
        <v>16993</v>
      </c>
    </row>
    <row r="24" spans="1:14" x14ac:dyDescent="0.3">
      <c r="A24" s="2125" t="s">
        <v>1214</v>
      </c>
      <c r="B24" s="2118"/>
      <c r="C24" s="2118"/>
    </row>
    <row r="25" spans="1:14" x14ac:dyDescent="0.3">
      <c r="B25" s="230"/>
      <c r="C25" s="230"/>
      <c r="E25" s="2845" t="str">
        <f>"vvvvvvvv THRU 1978 vvvvvvvvvvv"</f>
        <v>vvvvvvvv THRU 1978 vvvvvvvvvvv</v>
      </c>
      <c r="F25" s="2845"/>
      <c r="G25" s="2845"/>
    </row>
    <row r="27" spans="1:14" x14ac:dyDescent="0.3">
      <c r="E27" s="459" t="s">
        <v>1320</v>
      </c>
    </row>
    <row r="28" spans="1:14" x14ac:dyDescent="0.3">
      <c r="E28" s="152" t="s">
        <v>1322</v>
      </c>
    </row>
    <row r="29" spans="1:14" ht="9" customHeight="1" thickBot="1" x14ac:dyDescent="0.35"/>
    <row r="30" spans="1:14" x14ac:dyDescent="0.3">
      <c r="E30" s="453"/>
      <c r="F30" s="2843" t="s">
        <v>1221</v>
      </c>
      <c r="G30" s="2844"/>
      <c r="N30" s="211" t="s">
        <v>176</v>
      </c>
    </row>
    <row r="31" spans="1:14" x14ac:dyDescent="0.3">
      <c r="E31" s="221" t="s">
        <v>1204</v>
      </c>
      <c r="F31" s="390">
        <v>28854</v>
      </c>
      <c r="G31" s="391">
        <v>25991</v>
      </c>
      <c r="I31" s="211" t="s">
        <v>176</v>
      </c>
    </row>
    <row r="32" spans="1:14" x14ac:dyDescent="0.3">
      <c r="E32" s="221" t="s">
        <v>1212</v>
      </c>
      <c r="F32" s="390"/>
      <c r="G32" s="391"/>
    </row>
    <row r="33" spans="5:10" x14ac:dyDescent="0.3">
      <c r="E33" s="484" t="s">
        <v>5</v>
      </c>
      <c r="F33" s="488">
        <v>3357</v>
      </c>
      <c r="G33" s="489">
        <v>531</v>
      </c>
    </row>
    <row r="34" spans="5:10" ht="31.2" x14ac:dyDescent="0.3">
      <c r="E34" s="487" t="s">
        <v>1207</v>
      </c>
      <c r="F34" s="490">
        <f>14238+62256</f>
        <v>76494</v>
      </c>
      <c r="G34" s="491">
        <v>113168</v>
      </c>
    </row>
    <row r="35" spans="5:10" x14ac:dyDescent="0.3">
      <c r="E35" s="484" t="s">
        <v>1205</v>
      </c>
      <c r="F35" s="490">
        <v>40603</v>
      </c>
      <c r="G35" s="491">
        <v>4213</v>
      </c>
    </row>
    <row r="36" spans="5:10" x14ac:dyDescent="0.3">
      <c r="E36" s="484" t="s">
        <v>1208</v>
      </c>
      <c r="F36" s="490">
        <v>49370</v>
      </c>
      <c r="G36" s="531">
        <v>0</v>
      </c>
    </row>
    <row r="37" spans="5:10" x14ac:dyDescent="0.3">
      <c r="E37" s="484" t="s">
        <v>282</v>
      </c>
      <c r="F37" s="490">
        <v>216872</v>
      </c>
      <c r="G37" s="491">
        <v>142138</v>
      </c>
    </row>
    <row r="38" spans="5:10" x14ac:dyDescent="0.3">
      <c r="E38" s="1149"/>
      <c r="F38" s="1150"/>
      <c r="G38" s="1151"/>
    </row>
    <row r="39" spans="5:10" ht="31.2" x14ac:dyDescent="0.3">
      <c r="E39" s="487" t="s">
        <v>318</v>
      </c>
      <c r="F39" s="490">
        <v>66832</v>
      </c>
      <c r="G39" s="491">
        <v>87429</v>
      </c>
      <c r="J39" s="211" t="s">
        <v>176</v>
      </c>
    </row>
    <row r="40" spans="5:10" x14ac:dyDescent="0.3">
      <c r="E40" s="484" t="s">
        <v>333</v>
      </c>
      <c r="F40" s="490">
        <v>18247</v>
      </c>
      <c r="G40" s="491">
        <v>10840</v>
      </c>
    </row>
    <row r="41" spans="5:10" x14ac:dyDescent="0.3">
      <c r="E41" s="484" t="s">
        <v>746</v>
      </c>
      <c r="F41" s="488">
        <v>114325</v>
      </c>
      <c r="G41" s="489">
        <v>43296</v>
      </c>
    </row>
    <row r="42" spans="5:10" ht="4.5" customHeight="1" x14ac:dyDescent="0.3">
      <c r="E42" s="1149"/>
      <c r="F42" s="1150"/>
      <c r="G42" s="1151"/>
    </row>
    <row r="43" spans="5:10" ht="4.5" customHeight="1" x14ac:dyDescent="0.3">
      <c r="E43" s="1146"/>
      <c r="F43" s="1147"/>
      <c r="G43" s="1148"/>
    </row>
    <row r="44" spans="5:10" ht="4.5" customHeight="1" x14ac:dyDescent="0.3">
      <c r="E44" s="1149"/>
      <c r="F44" s="1150"/>
      <c r="G44" s="1151"/>
    </row>
    <row r="45" spans="5:10" x14ac:dyDescent="0.3">
      <c r="E45" s="485" t="s">
        <v>1213</v>
      </c>
      <c r="F45" s="215"/>
      <c r="G45" s="260"/>
    </row>
    <row r="46" spans="5:10" x14ac:dyDescent="0.3">
      <c r="E46" s="484" t="s">
        <v>1206</v>
      </c>
      <c r="F46" s="488">
        <v>16531</v>
      </c>
      <c r="G46" s="489">
        <v>118374</v>
      </c>
    </row>
    <row r="47" spans="5:10" ht="31.2" x14ac:dyDescent="0.3">
      <c r="E47" s="487" t="s">
        <v>1211</v>
      </c>
      <c r="F47" s="490">
        <v>3791</v>
      </c>
      <c r="G47" s="491">
        <v>1719</v>
      </c>
    </row>
    <row r="48" spans="5:10" x14ac:dyDescent="0.3">
      <c r="E48" s="484" t="s">
        <v>1209</v>
      </c>
      <c r="F48" s="490">
        <v>73653</v>
      </c>
      <c r="G48" s="531">
        <v>0</v>
      </c>
    </row>
    <row r="49" spans="5:7" x14ac:dyDescent="0.3">
      <c r="E49" s="484" t="s">
        <v>1210</v>
      </c>
      <c r="F49" s="490">
        <v>44674</v>
      </c>
      <c r="G49" s="531">
        <v>0</v>
      </c>
    </row>
    <row r="50" spans="5:7" x14ac:dyDescent="0.3">
      <c r="E50" s="484" t="s">
        <v>289</v>
      </c>
      <c r="F50" s="490">
        <v>143586</v>
      </c>
      <c r="G50" s="491">
        <v>127567</v>
      </c>
    </row>
    <row r="51" spans="5:7" ht="16.2" thickBot="1" x14ac:dyDescent="0.35">
      <c r="E51" s="486" t="s">
        <v>99</v>
      </c>
      <c r="F51" s="493">
        <v>14280</v>
      </c>
      <c r="G51" s="494">
        <v>8584</v>
      </c>
    </row>
    <row r="52" spans="5:7" x14ac:dyDescent="0.3">
      <c r="E52" s="495" t="s">
        <v>3716</v>
      </c>
      <c r="F52" s="215"/>
      <c r="G52" s="215"/>
    </row>
  </sheetData>
  <mergeCells count="3">
    <mergeCell ref="B4:C4"/>
    <mergeCell ref="F30:G30"/>
    <mergeCell ref="E25:G25"/>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4BFCF-5B36-42DB-8CC3-572EAE241943}">
  <sheetPr>
    <tabColor theme="9" tint="0.59999389629810485"/>
  </sheetPr>
  <dimension ref="A1:M58"/>
  <sheetViews>
    <sheetView showGridLines="0" zoomScale="85" zoomScaleNormal="85" workbookViewId="0">
      <selection activeCell="H22" sqref="H22"/>
    </sheetView>
  </sheetViews>
  <sheetFormatPr defaultColWidth="9.109375" defaultRowHeight="15.6" x14ac:dyDescent="0.3"/>
  <cols>
    <col min="1" max="1" width="34" style="1" customWidth="1"/>
    <col min="2" max="3" width="9.109375" style="1"/>
    <col min="4" max="4" width="9.109375" style="211"/>
    <col min="5" max="5" width="30.109375" style="211" customWidth="1"/>
    <col min="6" max="6" width="12.109375" style="211" customWidth="1"/>
    <col min="7" max="7" width="11.5546875" style="211" customWidth="1"/>
    <col min="8" max="8" width="26.88671875" style="211" customWidth="1"/>
    <col min="9" max="11" width="12.88671875" style="211" bestFit="1" customWidth="1"/>
    <col min="12" max="13" width="12.5546875" style="1" bestFit="1" customWidth="1"/>
    <col min="14" max="16384" width="9.109375" style="1"/>
  </cols>
  <sheetData>
    <row r="1" spans="1:13" x14ac:dyDescent="0.3">
      <c r="A1" s="459" t="s">
        <v>1320</v>
      </c>
      <c r="B1" s="211"/>
    </row>
    <row r="2" spans="1:13" x14ac:dyDescent="0.3">
      <c r="A2" s="152" t="s">
        <v>2786</v>
      </c>
      <c r="B2" s="211"/>
    </row>
    <row r="3" spans="1:13" ht="7.5" customHeight="1" thickBot="1" x14ac:dyDescent="0.35">
      <c r="A3" s="152"/>
      <c r="B3" s="211"/>
    </row>
    <row r="4" spans="1:13" x14ac:dyDescent="0.3">
      <c r="A4" s="212" t="s">
        <v>1250</v>
      </c>
      <c r="B4" s="713">
        <v>1972</v>
      </c>
      <c r="H4" s="2847" t="s">
        <v>2785</v>
      </c>
      <c r="I4" s="2847"/>
      <c r="J4" s="2846"/>
      <c r="K4" s="2846"/>
      <c r="L4" s="2846"/>
      <c r="M4" s="2846"/>
    </row>
    <row r="5" spans="1:13" x14ac:dyDescent="0.3">
      <c r="A5" s="214" t="s">
        <v>975</v>
      </c>
      <c r="B5" s="1071">
        <v>29</v>
      </c>
      <c r="H5" s="2847"/>
      <c r="I5" s="2847"/>
      <c r="J5" s="2846"/>
      <c r="K5" s="2846"/>
      <c r="L5" s="2846"/>
      <c r="M5" s="2846"/>
    </row>
    <row r="6" spans="1:13" x14ac:dyDescent="0.3">
      <c r="A6" s="214" t="s">
        <v>2127</v>
      </c>
      <c r="B6" s="2108">
        <v>4.2</v>
      </c>
      <c r="H6" s="2847"/>
      <c r="I6" s="2847"/>
      <c r="J6" s="2846"/>
      <c r="K6" s="2846"/>
      <c r="L6" s="2846"/>
      <c r="M6" s="2846"/>
    </row>
    <row r="7" spans="1:13" x14ac:dyDescent="0.3">
      <c r="A7" s="214" t="s">
        <v>2784</v>
      </c>
      <c r="B7" s="2108">
        <v>8</v>
      </c>
      <c r="H7" s="2847"/>
      <c r="I7" s="2847"/>
      <c r="J7" s="2846"/>
      <c r="K7" s="2846"/>
      <c r="L7" s="2846"/>
      <c r="M7" s="2846"/>
    </row>
    <row r="8" spans="1:13" ht="9" customHeight="1" x14ac:dyDescent="0.3">
      <c r="A8" s="214"/>
      <c r="B8" s="2105"/>
      <c r="H8" s="2847"/>
      <c r="I8" s="2847"/>
      <c r="J8" s="2846"/>
      <c r="K8" s="2846"/>
      <c r="L8" s="2846"/>
      <c r="M8" s="2846"/>
    </row>
    <row r="9" spans="1:13" x14ac:dyDescent="0.3">
      <c r="A9" s="214" t="s">
        <v>2783</v>
      </c>
      <c r="B9" s="1362">
        <f>B5/B7</f>
        <v>3.625</v>
      </c>
      <c r="H9" s="2847"/>
      <c r="I9" s="2847"/>
      <c r="J9" s="2846"/>
      <c r="K9" s="2846"/>
      <c r="L9" s="2846"/>
      <c r="M9" s="2846"/>
    </row>
    <row r="10" spans="1:13" x14ac:dyDescent="0.3">
      <c r="A10" s="214" t="s">
        <v>570</v>
      </c>
      <c r="B10" s="347">
        <f>B6/B5</f>
        <v>0.14482758620689656</v>
      </c>
    </row>
    <row r="11" spans="1:13" x14ac:dyDescent="0.3">
      <c r="A11" s="214" t="s">
        <v>1121</v>
      </c>
      <c r="B11" s="347">
        <f>B9*B10</f>
        <v>0.52500000000000002</v>
      </c>
    </row>
    <row r="12" spans="1:13" ht="4.5" customHeight="1" x14ac:dyDescent="0.3">
      <c r="A12" s="214"/>
      <c r="B12" s="2105"/>
    </row>
    <row r="13" spans="1:13" ht="4.5" customHeight="1" x14ac:dyDescent="0.3">
      <c r="A13" s="1155"/>
      <c r="B13" s="1483"/>
    </row>
    <row r="14" spans="1:13" ht="4.5" customHeight="1" x14ac:dyDescent="0.3">
      <c r="A14" s="214"/>
      <c r="B14" s="2105"/>
    </row>
    <row r="15" spans="1:13" x14ac:dyDescent="0.3">
      <c r="A15" s="214" t="s">
        <v>2782</v>
      </c>
      <c r="B15" s="1071">
        <v>34.700000000000003</v>
      </c>
    </row>
    <row r="16" spans="1:13" x14ac:dyDescent="0.3">
      <c r="A16" s="214" t="s">
        <v>1545</v>
      </c>
      <c r="B16" s="2107">
        <v>-10</v>
      </c>
    </row>
    <row r="17" spans="1:8" x14ac:dyDescent="0.3">
      <c r="A17" s="214" t="s">
        <v>1708</v>
      </c>
      <c r="B17" s="2106">
        <f>B15+B16</f>
        <v>24.700000000000003</v>
      </c>
    </row>
    <row r="18" spans="1:8" ht="9" customHeight="1" x14ac:dyDescent="0.3">
      <c r="A18" s="214"/>
      <c r="B18" s="2105"/>
    </row>
    <row r="19" spans="1:8" x14ac:dyDescent="0.3">
      <c r="A19" s="214" t="s">
        <v>2781</v>
      </c>
      <c r="B19" s="2320">
        <f>B17/B7</f>
        <v>3.0875000000000004</v>
      </c>
    </row>
    <row r="20" spans="1:8" ht="18.600000000000001" x14ac:dyDescent="0.3">
      <c r="A20" s="214" t="s">
        <v>2780</v>
      </c>
      <c r="B20" s="347">
        <f>B11/B19</f>
        <v>0.17004048582995951</v>
      </c>
    </row>
    <row r="21" spans="1:8" ht="4.5" customHeight="1" x14ac:dyDescent="0.3">
      <c r="A21" s="214"/>
      <c r="B21" s="347"/>
      <c r="H21" s="211" t="s">
        <v>176</v>
      </c>
    </row>
    <row r="22" spans="1:8" ht="105" customHeight="1" thickBot="1" x14ac:dyDescent="0.35">
      <c r="A22" s="2802" t="s">
        <v>2779</v>
      </c>
      <c r="B22" s="2804"/>
      <c r="D22" s="1329"/>
      <c r="E22" s="211" t="s">
        <v>176</v>
      </c>
      <c r="F22" s="211" t="s">
        <v>176</v>
      </c>
    </row>
    <row r="23" spans="1:8" ht="48.75" customHeight="1" x14ac:dyDescent="0.3">
      <c r="A23" s="2805" t="s">
        <v>3717</v>
      </c>
      <c r="B23" s="2805"/>
    </row>
    <row r="24" spans="1:8" x14ac:dyDescent="0.3">
      <c r="A24" s="2084"/>
      <c r="B24" s="2084"/>
    </row>
    <row r="25" spans="1:8" x14ac:dyDescent="0.3">
      <c r="A25" s="2084"/>
      <c r="B25" s="2084"/>
    </row>
    <row r="26" spans="1:8" x14ac:dyDescent="0.3">
      <c r="A26" s="2084"/>
      <c r="B26" s="2084"/>
      <c r="E26" s="459" t="s">
        <v>1320</v>
      </c>
    </row>
    <row r="27" spans="1:8" x14ac:dyDescent="0.3">
      <c r="E27" s="152" t="s">
        <v>2778</v>
      </c>
    </row>
    <row r="28" spans="1:8" ht="8.25" customHeight="1" thickBot="1" x14ac:dyDescent="0.35"/>
    <row r="29" spans="1:8" x14ac:dyDescent="0.3">
      <c r="E29" s="212" t="s">
        <v>1204</v>
      </c>
      <c r="F29" s="389"/>
    </row>
    <row r="30" spans="1:8" x14ac:dyDescent="0.3">
      <c r="E30" s="214" t="s">
        <v>2777</v>
      </c>
      <c r="F30" s="489">
        <v>8099</v>
      </c>
    </row>
    <row r="31" spans="1:8" x14ac:dyDescent="0.3">
      <c r="E31" s="214" t="s">
        <v>2776</v>
      </c>
      <c r="F31" s="1154">
        <v>0.219</v>
      </c>
    </row>
    <row r="32" spans="1:8" x14ac:dyDescent="0.3">
      <c r="E32" s="214" t="s">
        <v>2775</v>
      </c>
      <c r="F32" s="489">
        <f>F30/F31</f>
        <v>36981.735159817348</v>
      </c>
    </row>
    <row r="33" spans="5:11" ht="4.5" customHeight="1" x14ac:dyDescent="0.3">
      <c r="E33" s="214"/>
      <c r="F33" s="223"/>
      <c r="G33" s="1"/>
      <c r="H33" s="1"/>
      <c r="I33" s="1"/>
      <c r="J33" s="1"/>
      <c r="K33" s="1"/>
    </row>
    <row r="34" spans="5:11" ht="4.5" customHeight="1" x14ac:dyDescent="0.3">
      <c r="E34" s="1155"/>
      <c r="F34" s="1279"/>
      <c r="G34" s="1"/>
      <c r="H34" s="1"/>
      <c r="I34" s="1"/>
      <c r="J34" s="1"/>
      <c r="K34" s="1"/>
    </row>
    <row r="35" spans="5:11" ht="4.5" customHeight="1" x14ac:dyDescent="0.3">
      <c r="E35" s="214"/>
      <c r="F35" s="223"/>
      <c r="G35" s="1"/>
      <c r="H35" s="1"/>
      <c r="I35" s="1"/>
      <c r="J35" s="1"/>
      <c r="K35" s="1"/>
    </row>
    <row r="36" spans="5:11" ht="31.2" x14ac:dyDescent="0.3">
      <c r="E36" s="282" t="s">
        <v>2774</v>
      </c>
      <c r="F36" s="489">
        <f>AVERAGE(67551,64018)</f>
        <v>65784.5</v>
      </c>
    </row>
    <row r="37" spans="5:11" ht="4.5" customHeight="1" x14ac:dyDescent="0.3">
      <c r="E37" s="214"/>
      <c r="F37" s="223"/>
      <c r="G37" s="1"/>
      <c r="H37" s="1"/>
      <c r="I37" s="1"/>
      <c r="J37" s="1"/>
      <c r="K37" s="1"/>
    </row>
    <row r="38" spans="5:11" ht="4.5" customHeight="1" x14ac:dyDescent="0.3">
      <c r="E38" s="1155"/>
      <c r="F38" s="1279"/>
      <c r="G38" s="1"/>
      <c r="H38" s="1"/>
      <c r="I38" s="1"/>
      <c r="J38" s="1"/>
      <c r="K38" s="1"/>
    </row>
    <row r="39" spans="5:11" ht="4.5" customHeight="1" x14ac:dyDescent="0.3">
      <c r="E39" s="214"/>
      <c r="F39" s="223"/>
      <c r="G39" s="1"/>
      <c r="H39" s="1"/>
      <c r="I39" s="1"/>
      <c r="J39" s="1"/>
      <c r="K39" s="1"/>
    </row>
    <row r="40" spans="5:11" x14ac:dyDescent="0.3">
      <c r="E40" s="214" t="s">
        <v>929</v>
      </c>
      <c r="F40" s="2684">
        <f>F32/F36</f>
        <v>0.56216487409370519</v>
      </c>
    </row>
    <row r="41" spans="5:11" ht="4.5" customHeight="1" x14ac:dyDescent="0.3">
      <c r="E41" s="214"/>
      <c r="F41" s="223"/>
      <c r="G41" s="1"/>
      <c r="H41" s="1"/>
      <c r="I41" s="1"/>
      <c r="J41" s="1"/>
      <c r="K41" s="1"/>
    </row>
    <row r="42" spans="5:11" ht="4.5" customHeight="1" x14ac:dyDescent="0.3">
      <c r="E42" s="1155"/>
      <c r="F42" s="1279"/>
      <c r="G42" s="1"/>
      <c r="H42" s="1"/>
      <c r="I42" s="1"/>
      <c r="J42" s="1"/>
      <c r="K42" s="1"/>
    </row>
    <row r="43" spans="5:11" ht="4.5" customHeight="1" x14ac:dyDescent="0.3">
      <c r="E43" s="214"/>
      <c r="F43" s="223"/>
      <c r="G43" s="1"/>
      <c r="H43" s="1"/>
      <c r="I43" s="1"/>
      <c r="J43" s="1"/>
      <c r="K43" s="1"/>
    </row>
    <row r="44" spans="5:11" x14ac:dyDescent="0.3">
      <c r="E44" s="214" t="s">
        <v>2773</v>
      </c>
      <c r="F44" s="489">
        <v>8436</v>
      </c>
    </row>
    <row r="45" spans="5:11" x14ac:dyDescent="0.3">
      <c r="E45" s="214" t="s">
        <v>2772</v>
      </c>
      <c r="F45" s="347">
        <f>F44/F32</f>
        <v>0.228112606494629</v>
      </c>
    </row>
    <row r="46" spans="5:11" ht="4.5" customHeight="1" x14ac:dyDescent="0.3">
      <c r="E46" s="214"/>
      <c r="F46" s="223"/>
      <c r="G46" s="1"/>
      <c r="H46" s="1"/>
      <c r="I46" s="1"/>
      <c r="J46" s="1"/>
      <c r="K46" s="1"/>
    </row>
    <row r="47" spans="5:11" ht="4.5" customHeight="1" x14ac:dyDescent="0.3">
      <c r="E47" s="1155"/>
      <c r="F47" s="1279"/>
      <c r="G47" s="1"/>
      <c r="H47" s="1"/>
      <c r="I47" s="1"/>
      <c r="J47" s="1"/>
      <c r="K47" s="1"/>
    </row>
    <row r="48" spans="5:11" ht="4.5" customHeight="1" x14ac:dyDescent="0.3">
      <c r="E48" s="214"/>
      <c r="F48" s="223"/>
      <c r="G48" s="1"/>
      <c r="H48" s="1"/>
      <c r="I48" s="1"/>
      <c r="J48" s="1"/>
      <c r="K48" s="1"/>
    </row>
    <row r="49" spans="5:13" ht="31.8" thickBot="1" x14ac:dyDescent="0.35">
      <c r="E49" s="2040" t="s">
        <v>2771</v>
      </c>
      <c r="F49" s="2104">
        <v>1.6400000000000001E-2</v>
      </c>
    </row>
    <row r="50" spans="5:13" ht="36" customHeight="1" x14ac:dyDescent="0.3">
      <c r="E50" s="2805" t="s">
        <v>2770</v>
      </c>
      <c r="F50" s="2805"/>
    </row>
    <row r="52" spans="5:13" x14ac:dyDescent="0.3">
      <c r="H52" s="211">
        <v>1973</v>
      </c>
      <c r="I52" s="211">
        <v>1972</v>
      </c>
      <c r="J52" s="211">
        <v>1971</v>
      </c>
      <c r="K52" s="211">
        <v>1970</v>
      </c>
      <c r="L52" s="1">
        <v>1969</v>
      </c>
      <c r="M52" s="1">
        <v>1968</v>
      </c>
    </row>
    <row r="53" spans="5:13" x14ac:dyDescent="0.3">
      <c r="G53" s="211" t="s">
        <v>282</v>
      </c>
      <c r="H53" s="230">
        <v>451980</v>
      </c>
      <c r="I53" s="230">
        <v>448240</v>
      </c>
      <c r="J53" s="230">
        <v>423969</v>
      </c>
      <c r="K53" s="230">
        <v>434445</v>
      </c>
      <c r="L53" s="2">
        <v>444833</v>
      </c>
      <c r="M53" s="2">
        <v>452549</v>
      </c>
    </row>
    <row r="54" spans="5:13" x14ac:dyDescent="0.3">
      <c r="G54" s="211" t="s">
        <v>1097</v>
      </c>
      <c r="H54" s="230">
        <v>9273</v>
      </c>
      <c r="I54" s="230">
        <v>8436</v>
      </c>
      <c r="J54" s="230">
        <v>6119</v>
      </c>
      <c r="K54" s="230">
        <v>5080</v>
      </c>
      <c r="L54" s="2">
        <v>7340</v>
      </c>
      <c r="M54" s="2"/>
    </row>
    <row r="55" spans="5:13" x14ac:dyDescent="0.3">
      <c r="E55" s="211" t="s">
        <v>176</v>
      </c>
      <c r="G55" s="211" t="s">
        <v>2769</v>
      </c>
      <c r="H55" s="350">
        <f>H54/AVERAGE(H53:I53)</f>
        <v>2.0601630712492502E-2</v>
      </c>
      <c r="I55" s="350">
        <f>I54/AVERAGE(I53:J53)</f>
        <v>1.9343987507581324E-2</v>
      </c>
      <c r="J55" s="350">
        <f>J54/AVERAGE(J53:K53)</f>
        <v>1.4256524241216942E-2</v>
      </c>
      <c r="K55" s="350">
        <f>K54/AVERAGE(K53:L53)</f>
        <v>1.1554934844269957E-2</v>
      </c>
      <c r="L55" s="350">
        <f>L54/AVERAGE(L53:M53)</f>
        <v>1.6358696742301494E-2</v>
      </c>
    </row>
    <row r="57" spans="5:13" x14ac:dyDescent="0.3">
      <c r="G57" s="211" t="s">
        <v>2768</v>
      </c>
      <c r="H57" s="230">
        <f>AVERAGE(H54:L54)</f>
        <v>7249.6</v>
      </c>
    </row>
    <row r="58" spans="5:13" x14ac:dyDescent="0.3">
      <c r="G58" s="211" t="s">
        <v>2767</v>
      </c>
      <c r="H58" s="1619">
        <f>AVERAGE(H55:L55)</f>
        <v>1.6423154809572443E-2</v>
      </c>
    </row>
  </sheetData>
  <mergeCells count="6">
    <mergeCell ref="L4:M9"/>
    <mergeCell ref="A23:B23"/>
    <mergeCell ref="E50:F50"/>
    <mergeCell ref="A22:B22"/>
    <mergeCell ref="H4:I9"/>
    <mergeCell ref="J4:K9"/>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2061-8FB7-496D-9FDF-5EFA4254FAA1}">
  <sheetPr codeName="Sheet26">
    <tabColor theme="9" tint="0.59999389629810485"/>
  </sheetPr>
  <dimension ref="A1:N36"/>
  <sheetViews>
    <sheetView showGridLines="0" zoomScale="85" zoomScaleNormal="85" workbookViewId="0">
      <pane xSplit="1" ySplit="5" topLeftCell="B6" activePane="bottomRight" state="frozen"/>
      <selection activeCell="F22" sqref="F22"/>
      <selection pane="topRight" activeCell="F22" sqref="F22"/>
      <selection pane="bottomLeft" activeCell="F22" sqref="F22"/>
      <selection pane="bottomRight" activeCell="M26" sqref="M26"/>
    </sheetView>
  </sheetViews>
  <sheetFormatPr defaultColWidth="9.109375" defaultRowHeight="15.6" x14ac:dyDescent="0.3"/>
  <cols>
    <col min="1" max="1" width="28.109375" style="211" customWidth="1"/>
    <col min="2" max="2" width="12.6640625" style="211" customWidth="1"/>
    <col min="3" max="3" width="13.44140625" style="211" customWidth="1"/>
    <col min="4" max="4" width="13.109375" style="211" customWidth="1"/>
    <col min="5" max="5" width="13.5546875" style="211" customWidth="1"/>
    <col min="6" max="6" width="13.109375" style="211" customWidth="1"/>
    <col min="7" max="7" width="11.88671875" style="211" bestFit="1" customWidth="1"/>
    <col min="8" max="8" width="13.33203125" style="211" bestFit="1" customWidth="1"/>
    <col min="9" max="10" width="9.109375" style="211"/>
    <col min="11" max="11" width="13.33203125" style="211" bestFit="1" customWidth="1"/>
    <col min="12" max="12" width="9.109375" style="211"/>
    <col min="13" max="13" width="23.5546875" style="211" customWidth="1"/>
    <col min="14" max="14" width="10.88671875" style="211" bestFit="1" customWidth="1"/>
    <col min="15" max="16384" width="9.109375" style="211"/>
  </cols>
  <sheetData>
    <row r="1" spans="1:12" x14ac:dyDescent="0.3">
      <c r="A1" s="459" t="s">
        <v>1320</v>
      </c>
    </row>
    <row r="2" spans="1:12" x14ac:dyDescent="0.3">
      <c r="A2" s="496" t="s">
        <v>1323</v>
      </c>
      <c r="B2" s="220"/>
      <c r="C2" s="220"/>
      <c r="D2" s="220"/>
      <c r="E2" s="220"/>
      <c r="F2" s="220"/>
      <c r="G2" s="220"/>
      <c r="H2" s="220"/>
    </row>
    <row r="3" spans="1:12" ht="8.25" customHeight="1" thickBot="1" x14ac:dyDescent="0.35">
      <c r="B3" s="397"/>
      <c r="C3" s="397"/>
      <c r="D3" s="397"/>
      <c r="E3" s="397"/>
      <c r="F3" s="397"/>
      <c r="G3" s="220"/>
      <c r="H3" s="220"/>
      <c r="I3" s="220"/>
    </row>
    <row r="4" spans="1:12" x14ac:dyDescent="0.3">
      <c r="A4" s="453"/>
      <c r="B4" s="2843" t="s">
        <v>1221</v>
      </c>
      <c r="C4" s="2843"/>
      <c r="D4" s="2843"/>
      <c r="E4" s="2843"/>
      <c r="F4" s="2843"/>
      <c r="G4" s="2843"/>
      <c r="H4" s="2844"/>
    </row>
    <row r="5" spans="1:12" x14ac:dyDescent="0.3">
      <c r="A5" s="214"/>
      <c r="B5" s="396">
        <v>28854</v>
      </c>
      <c r="C5" s="396">
        <v>28490</v>
      </c>
      <c r="D5" s="396">
        <v>28126</v>
      </c>
      <c r="E5" s="390">
        <v>27818</v>
      </c>
      <c r="F5" s="390">
        <v>27454</v>
      </c>
      <c r="G5" s="390">
        <v>27090</v>
      </c>
      <c r="H5" s="391">
        <v>26726</v>
      </c>
      <c r="L5" s="211" t="s">
        <v>176</v>
      </c>
    </row>
    <row r="6" spans="1:12" x14ac:dyDescent="0.3">
      <c r="A6" s="221" t="s">
        <v>1218</v>
      </c>
      <c r="B6" s="397"/>
      <c r="C6" s="397"/>
      <c r="D6" s="397"/>
      <c r="E6" s="220"/>
      <c r="F6" s="220"/>
      <c r="G6" s="220"/>
      <c r="H6" s="223"/>
    </row>
    <row r="7" spans="1:12" x14ac:dyDescent="0.3">
      <c r="A7" s="214" t="s">
        <v>1216</v>
      </c>
      <c r="B7" s="399">
        <f t="shared" ref="B7:G7" si="0">C10</f>
        <v>5703087</v>
      </c>
      <c r="C7" s="399">
        <f t="shared" si="0"/>
        <v>1840863</v>
      </c>
      <c r="D7" s="399">
        <f t="shared" si="0"/>
        <v>1527299</v>
      </c>
      <c r="E7" s="398">
        <f t="shared" si="0"/>
        <v>1527299</v>
      </c>
      <c r="F7" s="398">
        <f t="shared" si="0"/>
        <v>1058042</v>
      </c>
      <c r="G7" s="398">
        <f t="shared" si="0"/>
        <v>518860</v>
      </c>
      <c r="H7" s="262">
        <v>0</v>
      </c>
      <c r="J7" s="211" t="s">
        <v>176</v>
      </c>
    </row>
    <row r="8" spans="1:12" x14ac:dyDescent="0.3">
      <c r="A8" s="214" t="s">
        <v>1215</v>
      </c>
      <c r="B8" s="393">
        <v>0</v>
      </c>
      <c r="C8" s="399">
        <f>5703087-5522589</f>
        <v>180498</v>
      </c>
      <c r="D8" s="399">
        <f>1840863-D7</f>
        <v>313564</v>
      </c>
      <c r="E8" s="393">
        <f>1527299-E7</f>
        <v>0</v>
      </c>
      <c r="F8" s="398">
        <f>1527299-F7</f>
        <v>469257</v>
      </c>
      <c r="G8" s="398">
        <f>1058042-H8</f>
        <v>539182</v>
      </c>
      <c r="H8" s="1152">
        <v>518860</v>
      </c>
    </row>
    <row r="9" spans="1:12" x14ac:dyDescent="0.3">
      <c r="A9" s="214" t="s">
        <v>1229</v>
      </c>
      <c r="B9" s="393">
        <v>0</v>
      </c>
      <c r="C9" s="399">
        <f>(C7*3)-C7</f>
        <v>3681726</v>
      </c>
      <c r="D9" s="393">
        <v>0</v>
      </c>
      <c r="E9" s="393">
        <v>0</v>
      </c>
      <c r="F9" s="393">
        <v>0</v>
      </c>
      <c r="G9" s="393">
        <v>0</v>
      </c>
      <c r="H9" s="262">
        <v>0</v>
      </c>
    </row>
    <row r="10" spans="1:12" ht="16.2" thickBot="1" x14ac:dyDescent="0.35">
      <c r="A10" s="214" t="s">
        <v>1217</v>
      </c>
      <c r="B10" s="395">
        <f>SUM(B7:B9)</f>
        <v>5703087</v>
      </c>
      <c r="C10" s="395">
        <f>SUM(C7:C9)</f>
        <v>5703087</v>
      </c>
      <c r="D10" s="394">
        <f>SUM(D7:D9)</f>
        <v>1840863</v>
      </c>
      <c r="E10" s="394">
        <f t="shared" ref="E10" si="1">SUM(E7:E9)</f>
        <v>1527299</v>
      </c>
      <c r="F10" s="394">
        <f>SUM(F7:F9)</f>
        <v>1527299</v>
      </c>
      <c r="G10" s="394">
        <f>SUM(G7:G9)</f>
        <v>1058042</v>
      </c>
      <c r="H10" s="1153">
        <f>SUM(H7:H9)</f>
        <v>518860</v>
      </c>
    </row>
    <row r="11" spans="1:12" ht="4.5" customHeight="1" thickTop="1" x14ac:dyDescent="0.3">
      <c r="A11" s="734"/>
      <c r="B11" s="397"/>
      <c r="C11" s="397"/>
      <c r="D11" s="397"/>
      <c r="E11" s="397"/>
      <c r="F11" s="397"/>
      <c r="G11" s="397"/>
      <c r="H11" s="1205"/>
    </row>
    <row r="12" spans="1:12" ht="4.5" customHeight="1" x14ac:dyDescent="0.3">
      <c r="A12" s="1155"/>
      <c r="B12" s="684"/>
      <c r="C12" s="684"/>
      <c r="D12" s="684"/>
      <c r="E12" s="684"/>
      <c r="F12" s="684"/>
      <c r="G12" s="684"/>
      <c r="H12" s="1156"/>
    </row>
    <row r="13" spans="1:12" ht="4.5" customHeight="1" x14ac:dyDescent="0.3">
      <c r="A13" s="734"/>
      <c r="B13" s="397"/>
      <c r="C13" s="397"/>
      <c r="D13" s="397"/>
      <c r="E13" s="397"/>
      <c r="F13" s="397"/>
      <c r="G13" s="397"/>
      <c r="H13" s="1205"/>
    </row>
    <row r="14" spans="1:12" x14ac:dyDescent="0.3">
      <c r="A14" s="214" t="s">
        <v>1222</v>
      </c>
      <c r="B14" s="401">
        <v>0.80100000000000005</v>
      </c>
      <c r="C14" s="401">
        <v>0.80100000000000005</v>
      </c>
      <c r="D14" s="401">
        <v>0.77600000000000002</v>
      </c>
      <c r="E14" s="400">
        <v>0.64400000000000002</v>
      </c>
      <c r="F14" s="400">
        <v>0.64400000000000002</v>
      </c>
      <c r="G14" s="400">
        <v>0.44600000000000001</v>
      </c>
      <c r="H14" s="1154">
        <v>0.219</v>
      </c>
    </row>
    <row r="15" spans="1:12" ht="4.5" customHeight="1" x14ac:dyDescent="0.3">
      <c r="A15" s="734"/>
      <c r="B15" s="397"/>
      <c r="C15" s="397"/>
      <c r="D15" s="397"/>
      <c r="E15" s="397"/>
      <c r="F15" s="397"/>
      <c r="G15" s="397"/>
      <c r="H15" s="1205"/>
    </row>
    <row r="16" spans="1:12" ht="4.5" customHeight="1" x14ac:dyDescent="0.3">
      <c r="A16" s="1155"/>
      <c r="B16" s="684"/>
      <c r="C16" s="684"/>
      <c r="D16" s="684"/>
      <c r="E16" s="684"/>
      <c r="F16" s="684"/>
      <c r="G16" s="684"/>
      <c r="H16" s="1156"/>
    </row>
    <row r="17" spans="1:14" ht="4.5" customHeight="1" x14ac:dyDescent="0.3">
      <c r="A17" s="734"/>
      <c r="B17" s="397"/>
      <c r="C17" s="397"/>
      <c r="D17" s="397"/>
      <c r="E17" s="397"/>
      <c r="F17" s="397"/>
      <c r="G17" s="397"/>
      <c r="H17" s="1205"/>
    </row>
    <row r="18" spans="1:14" x14ac:dyDescent="0.3">
      <c r="A18" s="221" t="s">
        <v>1219</v>
      </c>
      <c r="B18" s="397"/>
      <c r="C18" s="397"/>
      <c r="D18" s="397"/>
      <c r="E18" s="220"/>
      <c r="F18" s="220"/>
      <c r="G18" s="220"/>
      <c r="H18" s="223"/>
      <c r="M18" s="211" t="s">
        <v>1231</v>
      </c>
      <c r="N18" s="230">
        <v>11667</v>
      </c>
    </row>
    <row r="19" spans="1:14" x14ac:dyDescent="0.3">
      <c r="A19" s="214" t="s">
        <v>1216</v>
      </c>
      <c r="B19" s="1159">
        <f t="shared" ref="B19:G19" si="2">C25</f>
        <v>43892</v>
      </c>
      <c r="C19" s="1159">
        <f t="shared" si="2"/>
        <v>38661</v>
      </c>
      <c r="D19" s="1159">
        <f t="shared" si="2"/>
        <v>28588</v>
      </c>
      <c r="E19" s="1160">
        <f t="shared" si="2"/>
        <v>26307</v>
      </c>
      <c r="F19" s="1160">
        <f t="shared" si="2"/>
        <v>17446</v>
      </c>
      <c r="G19" s="1160">
        <f t="shared" si="2"/>
        <v>8099</v>
      </c>
      <c r="H19" s="1161">
        <v>0</v>
      </c>
      <c r="N19" s="230">
        <f>N18*B14</f>
        <v>9345.2669999999998</v>
      </c>
    </row>
    <row r="20" spans="1:14" x14ac:dyDescent="0.3">
      <c r="A20" s="214" t="s">
        <v>1215</v>
      </c>
      <c r="B20" s="1157">
        <v>0</v>
      </c>
      <c r="C20" s="1157">
        <v>1208</v>
      </c>
      <c r="D20" s="1157">
        <v>6306</v>
      </c>
      <c r="E20" s="922">
        <v>0</v>
      </c>
      <c r="F20" s="922">
        <v>7025</v>
      </c>
      <c r="G20" s="922">
        <v>8125</v>
      </c>
      <c r="H20" s="923">
        <v>8099</v>
      </c>
      <c r="K20" s="230">
        <f>SUM(B20:H20)</f>
        <v>30763</v>
      </c>
      <c r="N20" s="403">
        <f>N19/K20</f>
        <v>0.3037826934954328</v>
      </c>
    </row>
    <row r="21" spans="1:14" ht="18.600000000000001" x14ac:dyDescent="0.3">
      <c r="A21" s="214" t="s">
        <v>1226</v>
      </c>
      <c r="B21" s="1157">
        <v>0</v>
      </c>
      <c r="C21" s="1157">
        <v>0</v>
      </c>
      <c r="D21" s="1157">
        <f>28773-D19</f>
        <v>185</v>
      </c>
      <c r="E21" s="922">
        <v>0</v>
      </c>
      <c r="F21" s="922">
        <v>0</v>
      </c>
      <c r="G21" s="922">
        <v>0</v>
      </c>
      <c r="H21" s="923">
        <v>0</v>
      </c>
      <c r="K21" s="230">
        <f t="shared" ref="K21:K23" si="3">SUM(B21:H21)</f>
        <v>185</v>
      </c>
    </row>
    <row r="22" spans="1:14" ht="18.600000000000001" x14ac:dyDescent="0.3">
      <c r="A22" s="214" t="s">
        <v>1227</v>
      </c>
      <c r="B22" s="1157">
        <v>7417</v>
      </c>
      <c r="C22" s="1157">
        <v>5715</v>
      </c>
      <c r="D22" s="1157">
        <v>4459</v>
      </c>
      <c r="E22" s="922">
        <v>3092</v>
      </c>
      <c r="F22" s="922">
        <v>2189</v>
      </c>
      <c r="G22" s="922">
        <v>1455</v>
      </c>
      <c r="H22" s="923">
        <v>0</v>
      </c>
      <c r="K22" s="230">
        <f t="shared" si="3"/>
        <v>24327</v>
      </c>
    </row>
    <row r="23" spans="1:14" ht="18.600000000000001" x14ac:dyDescent="0.3">
      <c r="A23" s="214" t="s">
        <v>1228</v>
      </c>
      <c r="B23" s="1157">
        <v>0</v>
      </c>
      <c r="C23" s="1157">
        <v>0</v>
      </c>
      <c r="D23" s="1157">
        <v>116</v>
      </c>
      <c r="E23" s="922">
        <v>76</v>
      </c>
      <c r="F23" s="922">
        <v>457</v>
      </c>
      <c r="G23" s="922">
        <v>218</v>
      </c>
      <c r="H23" s="923">
        <v>0</v>
      </c>
      <c r="K23" s="230">
        <f t="shared" si="3"/>
        <v>867</v>
      </c>
    </row>
    <row r="24" spans="1:14" x14ac:dyDescent="0.3">
      <c r="A24" s="214" t="s">
        <v>1220</v>
      </c>
      <c r="B24" s="1157">
        <v>-1939</v>
      </c>
      <c r="C24" s="1157">
        <v>-1692</v>
      </c>
      <c r="D24" s="1157">
        <v>-993</v>
      </c>
      <c r="E24" s="922">
        <v>-887</v>
      </c>
      <c r="F24" s="922">
        <v>-810</v>
      </c>
      <c r="G24" s="922">
        <v>-451</v>
      </c>
      <c r="H24" s="923">
        <v>0</v>
      </c>
      <c r="K24" s="230">
        <f>SUM(B24:H24)</f>
        <v>-6772</v>
      </c>
    </row>
    <row r="25" spans="1:14" ht="16.2" thickBot="1" x14ac:dyDescent="0.35">
      <c r="A25" s="214" t="s">
        <v>1217</v>
      </c>
      <c r="B25" s="1158">
        <f>SUM(B19:B24)</f>
        <v>49370</v>
      </c>
      <c r="C25" s="1158">
        <f>SUM(C19:C24)</f>
        <v>43892</v>
      </c>
      <c r="D25" s="1158">
        <f>SUM(D19:D24)</f>
        <v>38661</v>
      </c>
      <c r="E25" s="747">
        <f t="shared" ref="E25" si="4">SUM(E19:E24)</f>
        <v>28588</v>
      </c>
      <c r="F25" s="747">
        <f>SUM(F19:F24)</f>
        <v>26307</v>
      </c>
      <c r="G25" s="747">
        <f>SUM(G19:G24)</f>
        <v>17446</v>
      </c>
      <c r="H25" s="748">
        <f>SUM(H19:H24)</f>
        <v>8099</v>
      </c>
    </row>
    <row r="26" spans="1:14" ht="16.2" thickTop="1" x14ac:dyDescent="0.3">
      <c r="A26" s="734"/>
      <c r="B26" s="397"/>
      <c r="C26" s="397"/>
      <c r="D26" s="397"/>
      <c r="E26" s="397"/>
      <c r="F26" s="397"/>
      <c r="G26" s="397"/>
      <c r="H26" s="1205"/>
    </row>
    <row r="27" spans="1:14" x14ac:dyDescent="0.3">
      <c r="A27" s="6" t="s">
        <v>1398</v>
      </c>
      <c r="B27" s="220"/>
      <c r="C27" s="215"/>
      <c r="D27" s="220"/>
      <c r="E27" s="220"/>
      <c r="F27" s="220"/>
      <c r="G27" s="220"/>
      <c r="H27" s="223"/>
    </row>
    <row r="28" spans="1:14" x14ac:dyDescent="0.3">
      <c r="A28" s="6" t="s">
        <v>1223</v>
      </c>
      <c r="B28" s="215"/>
      <c r="C28" s="215"/>
      <c r="D28" s="220"/>
      <c r="E28" s="220"/>
      <c r="F28" s="220"/>
      <c r="G28" s="220"/>
      <c r="H28" s="223"/>
    </row>
    <row r="29" spans="1:14" x14ac:dyDescent="0.3">
      <c r="A29" s="6" t="s">
        <v>1224</v>
      </c>
      <c r="B29" s="215"/>
      <c r="C29" s="215"/>
      <c r="D29" s="220"/>
      <c r="E29" s="220"/>
      <c r="F29" s="220"/>
      <c r="G29" s="220"/>
      <c r="H29" s="223"/>
    </row>
    <row r="30" spans="1:14" ht="16.2" thickBot="1" x14ac:dyDescent="0.35">
      <c r="A30" s="9" t="s">
        <v>1225</v>
      </c>
      <c r="B30" s="323"/>
      <c r="C30" s="323"/>
      <c r="D30" s="218"/>
      <c r="E30" s="218"/>
      <c r="F30" s="218"/>
      <c r="G30" s="218"/>
      <c r="H30" s="219"/>
    </row>
    <row r="31" spans="1:14" x14ac:dyDescent="0.3">
      <c r="A31" s="495" t="s">
        <v>1882</v>
      </c>
    </row>
    <row r="36" spans="1:2" x14ac:dyDescent="0.3">
      <c r="A36" s="211" t="s">
        <v>1230</v>
      </c>
      <c r="B36" s="252">
        <f>H20/H14</f>
        <v>36981.735159817348</v>
      </c>
    </row>
  </sheetData>
  <mergeCells count="1">
    <mergeCell ref="B4:H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15E5D-55C7-4B0F-8EC2-A175919D68FA}">
  <sheetPr codeName="Sheet27">
    <tabColor theme="9" tint="0.59999389629810485"/>
  </sheetPr>
  <dimension ref="A1:E30"/>
  <sheetViews>
    <sheetView showGridLines="0" zoomScale="70" zoomScaleNormal="70" workbookViewId="0">
      <selection activeCell="Q37" sqref="Q37"/>
    </sheetView>
  </sheetViews>
  <sheetFormatPr defaultColWidth="9.109375" defaultRowHeight="15.6" x14ac:dyDescent="0.3"/>
  <cols>
    <col min="1" max="1" width="9.109375" style="211"/>
    <col min="2" max="2" width="35.109375" style="211" customWidth="1"/>
    <col min="3" max="3" width="12.6640625" style="211" bestFit="1" customWidth="1"/>
    <col min="4" max="16384" width="9.109375" style="211"/>
  </cols>
  <sheetData>
    <row r="1" spans="1:3" x14ac:dyDescent="0.3">
      <c r="A1" s="211" t="s">
        <v>1232</v>
      </c>
    </row>
    <row r="13" spans="1:3" x14ac:dyDescent="0.3">
      <c r="B13" s="459" t="s">
        <v>1320</v>
      </c>
    </row>
    <row r="14" spans="1:3" x14ac:dyDescent="0.3">
      <c r="B14" s="152" t="s">
        <v>1883</v>
      </c>
    </row>
    <row r="15" spans="1:3" ht="8.25" customHeight="1" thickBot="1" x14ac:dyDescent="0.35">
      <c r="A15" s="220"/>
      <c r="B15" s="397"/>
      <c r="C15" s="220"/>
    </row>
    <row r="16" spans="1:3" x14ac:dyDescent="0.3">
      <c r="B16" s="212" t="s">
        <v>1204</v>
      </c>
      <c r="C16" s="389"/>
    </row>
    <row r="17" spans="1:5" x14ac:dyDescent="0.3">
      <c r="B17" s="214" t="s">
        <v>1237</v>
      </c>
      <c r="C17" s="489">
        <v>34000</v>
      </c>
      <c r="E17" s="211" t="s">
        <v>1233</v>
      </c>
    </row>
    <row r="18" spans="1:5" x14ac:dyDescent="0.3">
      <c r="B18" s="214" t="s">
        <v>1234</v>
      </c>
      <c r="C18" s="498">
        <v>1433</v>
      </c>
      <c r="E18" s="211" t="s">
        <v>1236</v>
      </c>
    </row>
    <row r="19" spans="1:5" x14ac:dyDescent="0.3">
      <c r="B19" s="214" t="s">
        <v>1235</v>
      </c>
      <c r="C19" s="497">
        <f>C17+C18</f>
        <v>35433</v>
      </c>
    </row>
    <row r="20" spans="1:5" ht="4.5" customHeight="1" x14ac:dyDescent="0.3">
      <c r="B20" s="734"/>
      <c r="C20" s="1206"/>
    </row>
    <row r="21" spans="1:5" ht="4.5" customHeight="1" x14ac:dyDescent="0.3">
      <c r="B21" s="1155"/>
      <c r="C21" s="1162"/>
    </row>
    <row r="22" spans="1:5" ht="4.5" customHeight="1" x14ac:dyDescent="0.3">
      <c r="B22" s="734"/>
      <c r="C22" s="1206"/>
    </row>
    <row r="23" spans="1:5" x14ac:dyDescent="0.3">
      <c r="B23" s="214" t="s">
        <v>1238</v>
      </c>
      <c r="C23" s="489">
        <f>C19-C24</f>
        <v>34679</v>
      </c>
    </row>
    <row r="24" spans="1:5" x14ac:dyDescent="0.3">
      <c r="B24" s="214" t="s">
        <v>1239</v>
      </c>
      <c r="C24" s="497">
        <v>754</v>
      </c>
    </row>
    <row r="25" spans="1:5" ht="4.5" customHeight="1" x14ac:dyDescent="0.3">
      <c r="B25" s="734"/>
      <c r="C25" s="1206"/>
    </row>
    <row r="26" spans="1:5" ht="4.5" customHeight="1" x14ac:dyDescent="0.3">
      <c r="B26" s="1155"/>
      <c r="C26" s="1162"/>
    </row>
    <row r="27" spans="1:5" ht="4.5" customHeight="1" x14ac:dyDescent="0.3">
      <c r="B27" s="734"/>
      <c r="C27" s="1206"/>
    </row>
    <row r="28" spans="1:5" ht="16.2" thickBot="1" x14ac:dyDescent="0.35">
      <c r="B28" s="224" t="s">
        <v>1695</v>
      </c>
      <c r="C28" s="2685">
        <f>C19/C23</f>
        <v>1.0217422647711871</v>
      </c>
    </row>
    <row r="29" spans="1:5" x14ac:dyDescent="0.3">
      <c r="A29" s="220"/>
      <c r="B29" s="410" t="s">
        <v>1884</v>
      </c>
      <c r="C29" s="220"/>
      <c r="D29" s="220"/>
    </row>
    <row r="30" spans="1:5" x14ac:dyDescent="0.3">
      <c r="A30" s="220"/>
      <c r="C30" s="220"/>
      <c r="D30" s="220"/>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1EADC-D6D0-4BB9-BD7A-A3A6D7D905D5}">
  <sheetPr>
    <tabColor theme="9" tint="0.59999389629810485"/>
  </sheetPr>
  <dimension ref="A1:B16"/>
  <sheetViews>
    <sheetView showGridLines="0" zoomScaleNormal="100" workbookViewId="0">
      <selection activeCell="M21" sqref="M21"/>
    </sheetView>
  </sheetViews>
  <sheetFormatPr defaultColWidth="9.109375" defaultRowHeight="15.6" x14ac:dyDescent="0.3"/>
  <cols>
    <col min="1" max="1" width="35.6640625" style="211" customWidth="1"/>
    <col min="2" max="2" width="10.44140625" style="211" customWidth="1"/>
    <col min="3" max="16384" width="9.109375" style="211"/>
  </cols>
  <sheetData>
    <row r="1" spans="1:2" x14ac:dyDescent="0.3">
      <c r="A1" s="459" t="s">
        <v>1320</v>
      </c>
    </row>
    <row r="2" spans="1:2" ht="33" customHeight="1" x14ac:dyDescent="0.3">
      <c r="A2" s="2794" t="s">
        <v>2795</v>
      </c>
      <c r="B2" s="2794"/>
    </row>
    <row r="3" spans="1:2" ht="6.6" customHeight="1" thickBot="1" x14ac:dyDescent="0.35"/>
    <row r="4" spans="1:2" x14ac:dyDescent="0.3">
      <c r="A4" s="453" t="s">
        <v>2794</v>
      </c>
      <c r="B4" s="2128">
        <v>7.991369918612351E-2</v>
      </c>
    </row>
    <row r="5" spans="1:2" x14ac:dyDescent="0.3">
      <c r="A5" s="214" t="s">
        <v>2793</v>
      </c>
      <c r="B5" s="1762">
        <v>0.51729220515668728</v>
      </c>
    </row>
    <row r="6" spans="1:2" x14ac:dyDescent="0.3">
      <c r="A6" s="214" t="s">
        <v>2792</v>
      </c>
      <c r="B6" s="2127">
        <f>B4+B5</f>
        <v>0.59720590434281084</v>
      </c>
    </row>
    <row r="7" spans="1:2" x14ac:dyDescent="0.3">
      <c r="A7" s="214"/>
      <c r="B7" s="2126"/>
    </row>
    <row r="8" spans="1:2" x14ac:dyDescent="0.3">
      <c r="A8" s="214" t="s">
        <v>2791</v>
      </c>
      <c r="B8" s="1762">
        <v>0.16230534253305706</v>
      </c>
    </row>
    <row r="9" spans="1:2" x14ac:dyDescent="0.3">
      <c r="A9" s="214" t="s">
        <v>2790</v>
      </c>
      <c r="B9" s="1762">
        <v>0.11992395274816825</v>
      </c>
    </row>
    <row r="10" spans="1:2" x14ac:dyDescent="0.3">
      <c r="A10" s="214" t="s">
        <v>2789</v>
      </c>
      <c r="B10" s="1762">
        <v>0.10148890265524534</v>
      </c>
    </row>
    <row r="11" spans="1:2" x14ac:dyDescent="0.3">
      <c r="A11" s="214" t="s">
        <v>2788</v>
      </c>
      <c r="B11" s="1762">
        <f>1-SUM(B6:B10)-B12</f>
        <v>0.14425480101681146</v>
      </c>
    </row>
    <row r="12" spans="1:2" x14ac:dyDescent="0.3">
      <c r="A12" s="214" t="s">
        <v>566</v>
      </c>
      <c r="B12" s="1762">
        <v>-0.12517890329609296</v>
      </c>
    </row>
    <row r="13" spans="1:2" x14ac:dyDescent="0.3">
      <c r="A13" s="214" t="s">
        <v>3</v>
      </c>
      <c r="B13" s="2034">
        <f>SUM(B6:B12)</f>
        <v>1</v>
      </c>
    </row>
    <row r="14" spans="1:2" ht="9.75" customHeight="1" x14ac:dyDescent="0.3">
      <c r="A14" s="214"/>
      <c r="B14" s="347"/>
    </row>
    <row r="15" spans="1:2" ht="16.2" thickBot="1" x14ac:dyDescent="0.35">
      <c r="A15" s="9" t="s">
        <v>2787</v>
      </c>
      <c r="B15" s="366"/>
    </row>
    <row r="16" spans="1:2" ht="31.5" customHeight="1" x14ac:dyDescent="0.3">
      <c r="A16" s="2805" t="s">
        <v>3718</v>
      </c>
      <c r="B16" s="2805"/>
    </row>
  </sheetData>
  <mergeCells count="2">
    <mergeCell ref="A2:B2"/>
    <mergeCell ref="A16:B16"/>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B0121-0BF7-459F-9367-079500FE0D7D}">
  <sheetPr>
    <tabColor theme="9" tint="0.59999389629810485"/>
  </sheetPr>
  <dimension ref="A1:P35"/>
  <sheetViews>
    <sheetView showGridLines="0" zoomScaleNormal="100" workbookViewId="0">
      <selection activeCell="K20" sqref="K20"/>
    </sheetView>
  </sheetViews>
  <sheetFormatPr defaultColWidth="9.109375" defaultRowHeight="15.6" x14ac:dyDescent="0.3"/>
  <cols>
    <col min="1" max="1" width="35.88671875" style="211" customWidth="1"/>
    <col min="2" max="3" width="9.109375" style="211"/>
    <col min="4" max="4" width="26.33203125" style="211" customWidth="1"/>
    <col min="5" max="6" width="7.88671875" style="211" customWidth="1"/>
    <col min="7" max="7" width="10.44140625" style="211" customWidth="1"/>
    <col min="8" max="8" width="9.6640625" style="211" customWidth="1"/>
    <col min="9" max="9" width="5.6640625" style="211" customWidth="1"/>
    <col min="10" max="16384" width="9.109375" style="211"/>
  </cols>
  <sheetData>
    <row r="1" spans="1:6" x14ac:dyDescent="0.3">
      <c r="A1" s="459" t="s">
        <v>1320</v>
      </c>
    </row>
    <row r="2" spans="1:6" ht="33" customHeight="1" x14ac:dyDescent="0.3">
      <c r="A2" s="2794" t="s">
        <v>2803</v>
      </c>
      <c r="B2" s="2794"/>
    </row>
    <row r="3" spans="1:6" ht="6.6" customHeight="1" thickBot="1" x14ac:dyDescent="0.35"/>
    <row r="4" spans="1:6" x14ac:dyDescent="0.3">
      <c r="A4" s="453" t="s">
        <v>2794</v>
      </c>
      <c r="B4" s="2128">
        <v>3.1289694300956898E-2</v>
      </c>
    </row>
    <row r="5" spans="1:6" x14ac:dyDescent="0.3">
      <c r="A5" s="214" t="s">
        <v>2793</v>
      </c>
      <c r="B5" s="1762">
        <v>0.82189431789313239</v>
      </c>
    </row>
    <row r="6" spans="1:6" x14ac:dyDescent="0.3">
      <c r="A6" s="214" t="s">
        <v>2792</v>
      </c>
      <c r="B6" s="2127">
        <f>B4+B5</f>
        <v>0.85318401219408924</v>
      </c>
    </row>
    <row r="7" spans="1:6" x14ac:dyDescent="0.3">
      <c r="A7" s="214"/>
      <c r="B7" s="2126"/>
    </row>
    <row r="8" spans="1:6" x14ac:dyDescent="0.3">
      <c r="A8" s="214" t="s">
        <v>2791</v>
      </c>
      <c r="B8" s="2136">
        <v>0.26448048098907612</v>
      </c>
      <c r="F8" s="211" t="s">
        <v>176</v>
      </c>
    </row>
    <row r="9" spans="1:6" x14ac:dyDescent="0.3">
      <c r="A9" s="214" t="s">
        <v>2788</v>
      </c>
      <c r="B9" s="2136">
        <f>1-SUM(B6:B8)-B10</f>
        <v>0.15011855364552457</v>
      </c>
    </row>
    <row r="10" spans="1:6" x14ac:dyDescent="0.3">
      <c r="A10" s="214" t="s">
        <v>566</v>
      </c>
      <c r="B10" s="2136">
        <v>-0.26778304682868997</v>
      </c>
      <c r="D10" s="1793"/>
      <c r="E10" s="220"/>
    </row>
    <row r="11" spans="1:6" x14ac:dyDescent="0.3">
      <c r="A11" s="214" t="s">
        <v>3</v>
      </c>
      <c r="B11" s="2135">
        <f>SUM(B6:B10)</f>
        <v>1</v>
      </c>
    </row>
    <row r="12" spans="1:6" ht="4.5" customHeight="1" x14ac:dyDescent="0.3">
      <c r="A12" s="214"/>
      <c r="B12" s="890"/>
    </row>
    <row r="13" spans="1:6" ht="16.2" thickBot="1" x14ac:dyDescent="0.35">
      <c r="A13" s="9" t="s">
        <v>2787</v>
      </c>
      <c r="B13" s="366"/>
    </row>
    <row r="14" spans="1:6" ht="31.5" customHeight="1" x14ac:dyDescent="0.3">
      <c r="A14" s="2811" t="s">
        <v>3719</v>
      </c>
      <c r="B14" s="2811"/>
    </row>
    <row r="17" spans="4:16" x14ac:dyDescent="0.3">
      <c r="D17" s="459" t="s">
        <v>1320</v>
      </c>
    </row>
    <row r="18" spans="4:16" x14ac:dyDescent="0.3">
      <c r="D18" s="152" t="s">
        <v>1342</v>
      </c>
    </row>
    <row r="19" spans="4:16" ht="8.25" customHeight="1" thickBot="1" x14ac:dyDescent="0.35">
      <c r="D19" s="152"/>
    </row>
    <row r="20" spans="4:16" x14ac:dyDescent="0.3">
      <c r="D20" s="212" t="s">
        <v>2802</v>
      </c>
      <c r="E20" s="470">
        <v>1981</v>
      </c>
      <c r="F20" s="470">
        <v>1972</v>
      </c>
      <c r="G20" s="470" t="s">
        <v>1290</v>
      </c>
      <c r="H20" s="471" t="s">
        <v>2801</v>
      </c>
    </row>
    <row r="21" spans="4:16" x14ac:dyDescent="0.3">
      <c r="D21" s="214" t="s">
        <v>1343</v>
      </c>
      <c r="E21" s="2134">
        <v>24</v>
      </c>
      <c r="F21" s="2134">
        <v>17</v>
      </c>
      <c r="G21" s="2132">
        <f>E21/F21-1</f>
        <v>0.41176470588235303</v>
      </c>
      <c r="H21" s="770">
        <f>(G21+1)^(1/9)-1</f>
        <v>3.9059118154064709E-2</v>
      </c>
    </row>
    <row r="22" spans="4:16" x14ac:dyDescent="0.3">
      <c r="D22" s="214" t="s">
        <v>975</v>
      </c>
      <c r="E22" s="2133">
        <v>112.6</v>
      </c>
      <c r="F22" s="2133">
        <v>31.3</v>
      </c>
      <c r="G22" s="2132">
        <f>E22/F22-1</f>
        <v>2.5974440894568689</v>
      </c>
      <c r="H22" s="770">
        <f>(G22+1)^(1/9)-1</f>
        <v>0.15286144931444201</v>
      </c>
    </row>
    <row r="23" spans="4:16" ht="16.2" thickBot="1" x14ac:dyDescent="0.35">
      <c r="D23" s="224" t="s">
        <v>2800</v>
      </c>
      <c r="E23" s="2131">
        <v>11</v>
      </c>
      <c r="F23" s="2131">
        <v>2</v>
      </c>
      <c r="G23" s="2130">
        <f>E23/F23-1</f>
        <v>4.5</v>
      </c>
      <c r="H23" s="2129">
        <f>(G23+1)^(1/9)-1</f>
        <v>0.20854415157963091</v>
      </c>
    </row>
    <row r="24" spans="4:16" x14ac:dyDescent="0.3">
      <c r="D24" s="2811" t="s">
        <v>3720</v>
      </c>
      <c r="E24" s="2811"/>
      <c r="F24" s="2811"/>
      <c r="G24" s="2811"/>
      <c r="H24" s="2811"/>
    </row>
    <row r="25" spans="4:16" x14ac:dyDescent="0.3">
      <c r="D25" s="2805"/>
      <c r="E25" s="2805"/>
      <c r="F25" s="2805"/>
      <c r="G25" s="2805"/>
      <c r="H25" s="2805"/>
    </row>
    <row r="28" spans="4:16" x14ac:dyDescent="0.3">
      <c r="K28" s="459" t="s">
        <v>1320</v>
      </c>
    </row>
    <row r="29" spans="4:16" x14ac:dyDescent="0.3">
      <c r="K29" s="152" t="s">
        <v>2799</v>
      </c>
    </row>
    <row r="30" spans="4:16" ht="8.25" customHeight="1" thickBot="1" x14ac:dyDescent="0.35">
      <c r="K30" s="152"/>
    </row>
    <row r="31" spans="4:16" x14ac:dyDescent="0.3">
      <c r="K31" s="453"/>
      <c r="L31" s="522"/>
      <c r="M31" s="522"/>
      <c r="N31" s="501">
        <v>1981</v>
      </c>
      <c r="O31" s="501">
        <v>1980</v>
      </c>
      <c r="P31" s="502">
        <v>1979</v>
      </c>
    </row>
    <row r="32" spans="4:16" x14ac:dyDescent="0.3">
      <c r="K32" s="214" t="s">
        <v>2798</v>
      </c>
      <c r="N32" s="464">
        <v>3.5999999999999997E-2</v>
      </c>
      <c r="O32" s="464">
        <v>0.06</v>
      </c>
      <c r="P32" s="347">
        <v>0.10299999999999999</v>
      </c>
    </row>
    <row r="33" spans="9:16" x14ac:dyDescent="0.3">
      <c r="K33" s="214" t="s">
        <v>2797</v>
      </c>
      <c r="N33" s="464">
        <v>4.1000000000000002E-2</v>
      </c>
      <c r="O33" s="464">
        <v>7.8E-2</v>
      </c>
      <c r="P33" s="347">
        <v>0.104</v>
      </c>
    </row>
    <row r="34" spans="9:16" ht="16.2" thickBot="1" x14ac:dyDescent="0.35">
      <c r="I34" s="211" t="s">
        <v>176</v>
      </c>
      <c r="K34" s="224" t="s">
        <v>552</v>
      </c>
      <c r="L34" s="218"/>
      <c r="M34" s="218"/>
      <c r="N34" s="232">
        <v>1.0569999999999999</v>
      </c>
      <c r="O34" s="232">
        <v>1.0309999999999999</v>
      </c>
      <c r="P34" s="366">
        <v>1.006</v>
      </c>
    </row>
    <row r="35" spans="9:16" ht="30" customHeight="1" x14ac:dyDescent="0.3">
      <c r="I35" s="211" t="s">
        <v>176</v>
      </c>
      <c r="K35" s="2810" t="s">
        <v>2796</v>
      </c>
      <c r="L35" s="2810"/>
      <c r="M35" s="2810"/>
      <c r="N35" s="2810"/>
      <c r="O35" s="2810"/>
      <c r="P35" s="2810"/>
    </row>
  </sheetData>
  <mergeCells count="4">
    <mergeCell ref="A2:B2"/>
    <mergeCell ref="A14:B14"/>
    <mergeCell ref="K35:P35"/>
    <mergeCell ref="D24:H25"/>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B5DFB-D13C-415E-8396-394683C5BE58}">
  <sheetPr>
    <tabColor theme="9" tint="0.59999389629810485"/>
  </sheetPr>
  <dimension ref="A1:E36"/>
  <sheetViews>
    <sheetView showGridLines="0" zoomScale="115" zoomScaleNormal="115" workbookViewId="0">
      <selection activeCell="L17" sqref="L17"/>
    </sheetView>
  </sheetViews>
  <sheetFormatPr defaultColWidth="9.109375" defaultRowHeight="13.8" x14ac:dyDescent="0.25"/>
  <cols>
    <col min="1" max="1" width="34.6640625" style="1" customWidth="1"/>
    <col min="2" max="2" width="8.6640625" style="1" bestFit="1" customWidth="1"/>
    <col min="3" max="16384" width="9.109375" style="1"/>
  </cols>
  <sheetData>
    <row r="1" spans="1:5" ht="15.6" x14ac:dyDescent="0.3">
      <c r="A1" s="459" t="s">
        <v>1320</v>
      </c>
      <c r="B1" s="211"/>
    </row>
    <row r="2" spans="1:5" ht="31.5" customHeight="1" x14ac:dyDescent="0.25">
      <c r="A2" s="2794" t="s">
        <v>2811</v>
      </c>
      <c r="B2" s="2794"/>
    </row>
    <row r="3" spans="1:5" ht="6" customHeight="1" thickBot="1" x14ac:dyDescent="0.35">
      <c r="A3" s="211"/>
      <c r="B3" s="211"/>
    </row>
    <row r="4" spans="1:5" ht="15.6" x14ac:dyDescent="0.3">
      <c r="A4" s="453" t="s">
        <v>2794</v>
      </c>
      <c r="B4" s="2139">
        <v>-0.77708889049095231</v>
      </c>
      <c r="E4" s="1" t="s">
        <v>176</v>
      </c>
    </row>
    <row r="5" spans="1:5" ht="15.6" x14ac:dyDescent="0.3">
      <c r="A5" s="214" t="s">
        <v>2793</v>
      </c>
      <c r="B5" s="2126">
        <v>1.5002523249945929</v>
      </c>
    </row>
    <row r="6" spans="1:5" ht="15.6" x14ac:dyDescent="0.3">
      <c r="A6" s="214" t="s">
        <v>2792</v>
      </c>
      <c r="B6" s="2127">
        <f>SUM(B4:B5)</f>
        <v>0.72316343450364062</v>
      </c>
    </row>
    <row r="7" spans="1:5" ht="15.6" x14ac:dyDescent="0.3">
      <c r="A7" s="214"/>
      <c r="B7" s="2126"/>
    </row>
    <row r="8" spans="1:5" ht="15.6" x14ac:dyDescent="0.3">
      <c r="A8" s="214" t="s">
        <v>2791</v>
      </c>
      <c r="B8" s="2126">
        <v>0.5131208997188379</v>
      </c>
    </row>
    <row r="9" spans="1:5" ht="15.6" x14ac:dyDescent="0.3">
      <c r="A9" s="214" t="s">
        <v>2810</v>
      </c>
      <c r="B9" s="2126">
        <v>0.10586835844567803</v>
      </c>
    </row>
    <row r="10" spans="1:5" ht="18.600000000000001" x14ac:dyDescent="0.3">
      <c r="A10" s="214" t="s">
        <v>2809</v>
      </c>
      <c r="B10" s="2136">
        <f>1-SUM(B6:B9)-B11</f>
        <v>0.12562180087953279</v>
      </c>
    </row>
    <row r="11" spans="1:5" ht="15.6" x14ac:dyDescent="0.3">
      <c r="A11" s="214" t="s">
        <v>566</v>
      </c>
      <c r="B11" s="2126">
        <v>-0.46777449354768941</v>
      </c>
    </row>
    <row r="12" spans="1:5" ht="15.6" x14ac:dyDescent="0.3">
      <c r="A12" s="214" t="s">
        <v>3</v>
      </c>
      <c r="B12" s="2135">
        <f>SUM(B6:B11)</f>
        <v>0.99999999999999989</v>
      </c>
    </row>
    <row r="13" spans="1:5" ht="4.5" customHeight="1" x14ac:dyDescent="0.3">
      <c r="A13" s="214"/>
      <c r="B13" s="2136"/>
    </row>
    <row r="14" spans="1:5" ht="15.6" x14ac:dyDescent="0.3">
      <c r="A14" s="6" t="s">
        <v>1405</v>
      </c>
      <c r="B14" s="890"/>
      <c r="E14" s="1" t="s">
        <v>176</v>
      </c>
    </row>
    <row r="15" spans="1:5" ht="16.2" thickBot="1" x14ac:dyDescent="0.35">
      <c r="A15" s="9" t="s">
        <v>2808</v>
      </c>
      <c r="B15" s="2138"/>
    </row>
    <row r="16" spans="1:5" ht="30" customHeight="1" x14ac:dyDescent="0.25">
      <c r="A16" s="2805" t="s">
        <v>3721</v>
      </c>
      <c r="B16" s="2805"/>
    </row>
    <row r="17" spans="1:2" ht="30" customHeight="1" x14ac:dyDescent="0.25">
      <c r="A17" s="2084"/>
      <c r="B17" s="2084"/>
    </row>
    <row r="18" spans="1:2" x14ac:dyDescent="0.25">
      <c r="A18" s="1" t="s">
        <v>382</v>
      </c>
      <c r="B18" s="1">
        <v>1982</v>
      </c>
    </row>
    <row r="19" spans="1:2" x14ac:dyDescent="0.25">
      <c r="A19" s="1" t="s">
        <v>372</v>
      </c>
    </row>
    <row r="20" spans="1:2" x14ac:dyDescent="0.25">
      <c r="A20" s="1" t="s">
        <v>373</v>
      </c>
    </row>
    <row r="21" spans="1:2" x14ac:dyDescent="0.25">
      <c r="A21" s="1" t="s">
        <v>1304</v>
      </c>
    </row>
    <row r="22" spans="1:2" x14ac:dyDescent="0.25">
      <c r="A22" s="1" t="s">
        <v>374</v>
      </c>
      <c r="B22" s="2137">
        <v>-2.6097613726479705E-2</v>
      </c>
    </row>
    <row r="23" spans="1:2" x14ac:dyDescent="0.25">
      <c r="A23" s="1" t="s">
        <v>2807</v>
      </c>
      <c r="B23" s="2137">
        <v>0</v>
      </c>
    </row>
    <row r="24" spans="1:2" x14ac:dyDescent="0.25">
      <c r="A24" s="1" t="s">
        <v>375</v>
      </c>
    </row>
    <row r="25" spans="1:2" x14ac:dyDescent="0.25">
      <c r="A25" s="1" t="s">
        <v>376</v>
      </c>
      <c r="B25" s="2137">
        <v>3.2946435008290677E-2</v>
      </c>
    </row>
    <row r="26" spans="1:2" x14ac:dyDescent="0.25">
      <c r="A26" s="1" t="s">
        <v>2806</v>
      </c>
      <c r="B26" s="2137">
        <v>8.9827698075120754E-2</v>
      </c>
    </row>
    <row r="27" spans="1:2" x14ac:dyDescent="0.25">
      <c r="A27" s="1" t="s">
        <v>377</v>
      </c>
      <c r="B27" s="2137">
        <v>-7.2092855598010234E-5</v>
      </c>
    </row>
    <row r="28" spans="1:2" x14ac:dyDescent="0.25">
      <c r="A28" s="1" t="s">
        <v>378</v>
      </c>
      <c r="B28" s="2137">
        <v>1.7770888904909524E-2</v>
      </c>
    </row>
    <row r="29" spans="1:2" x14ac:dyDescent="0.25">
      <c r="A29" s="1" t="s">
        <v>379</v>
      </c>
      <c r="B29" s="2137">
        <v>-5.5691730949462906E-2</v>
      </c>
    </row>
    <row r="31" spans="1:2" x14ac:dyDescent="0.25">
      <c r="A31" s="1" t="s">
        <v>2805</v>
      </c>
      <c r="B31" s="2137">
        <v>0</v>
      </c>
    </row>
    <row r="32" spans="1:2" x14ac:dyDescent="0.25">
      <c r="A32" s="1" t="s">
        <v>2804</v>
      </c>
      <c r="B32" s="2137">
        <v>3.2441785019104606E-3</v>
      </c>
    </row>
    <row r="33" spans="1:2" x14ac:dyDescent="0.25">
      <c r="A33" s="1" t="s">
        <v>1306</v>
      </c>
    </row>
    <row r="34" spans="1:2" x14ac:dyDescent="0.25">
      <c r="A34" s="1" t="s">
        <v>1307</v>
      </c>
      <c r="B34" s="2137">
        <v>-3.2117367168913558E-2</v>
      </c>
    </row>
    <row r="35" spans="1:2" x14ac:dyDescent="0.25">
      <c r="A35" s="1" t="s">
        <v>380</v>
      </c>
      <c r="B35" s="2137">
        <v>9.5811405089755608E-2</v>
      </c>
    </row>
    <row r="36" spans="1:2" x14ac:dyDescent="0.25">
      <c r="A36" s="1" t="s">
        <v>216</v>
      </c>
      <c r="B36" s="2137">
        <v>1</v>
      </c>
    </row>
  </sheetData>
  <mergeCells count="2">
    <mergeCell ref="A2:B2"/>
    <mergeCell ref="A16:B1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05E9C-D8A3-438F-B284-5FAA8CF3ED75}">
  <sheetPr>
    <tabColor theme="9" tint="0.59999389629810485"/>
  </sheetPr>
  <dimension ref="A1:G44"/>
  <sheetViews>
    <sheetView showGridLines="0" topLeftCell="A17" zoomScale="115" zoomScaleNormal="115" workbookViewId="0">
      <selection activeCell="I32" sqref="I32"/>
    </sheetView>
  </sheetViews>
  <sheetFormatPr defaultColWidth="9.109375" defaultRowHeight="15.6" x14ac:dyDescent="0.3"/>
  <cols>
    <col min="1" max="1" width="31.5546875" style="211" customWidth="1"/>
    <col min="2" max="2" width="9.109375" style="211"/>
    <col min="3" max="3" width="0.6640625" style="211" customWidth="1"/>
    <col min="4" max="4" width="34.33203125" style="211" customWidth="1"/>
    <col min="5" max="5" width="15.88671875" style="211" customWidth="1"/>
    <col min="6" max="6" width="18.88671875" style="211" customWidth="1"/>
    <col min="7" max="16384" width="9.109375" style="211"/>
  </cols>
  <sheetData>
    <row r="1" spans="1:4" x14ac:dyDescent="0.3">
      <c r="A1" s="459" t="s">
        <v>1320</v>
      </c>
    </row>
    <row r="2" spans="1:4" ht="31.5" customHeight="1" x14ac:dyDescent="0.3">
      <c r="A2" s="2794" t="s">
        <v>2832</v>
      </c>
      <c r="B2" s="2794"/>
    </row>
    <row r="3" spans="1:4" ht="8.25" customHeight="1" thickBot="1" x14ac:dyDescent="0.35"/>
    <row r="4" spans="1:4" x14ac:dyDescent="0.3">
      <c r="A4" s="212" t="s">
        <v>1250</v>
      </c>
      <c r="B4" s="522"/>
      <c r="C4" s="389"/>
      <c r="D4" s="211" t="s">
        <v>176</v>
      </c>
    </row>
    <row r="5" spans="1:4" x14ac:dyDescent="0.3">
      <c r="A5" s="214" t="s">
        <v>2782</v>
      </c>
      <c r="B5" s="2144">
        <v>55.35</v>
      </c>
      <c r="C5" s="223"/>
    </row>
    <row r="6" spans="1:4" x14ac:dyDescent="0.3">
      <c r="A6" s="214" t="s">
        <v>2831</v>
      </c>
      <c r="B6" s="1620">
        <v>0.9</v>
      </c>
      <c r="C6" s="223"/>
    </row>
    <row r="7" spans="1:4" x14ac:dyDescent="0.3">
      <c r="A7" s="214" t="s">
        <v>2830</v>
      </c>
      <c r="B7" s="2144">
        <f>B5/B6</f>
        <v>61.5</v>
      </c>
      <c r="C7" s="223"/>
    </row>
    <row r="8" spans="1:4" ht="4.5" customHeight="1" x14ac:dyDescent="0.3">
      <c r="A8" s="1155"/>
      <c r="B8" s="597"/>
      <c r="C8" s="1279"/>
    </row>
    <row r="9" spans="1:4" ht="18.600000000000001" x14ac:dyDescent="0.3">
      <c r="A9" s="214" t="s">
        <v>2829</v>
      </c>
      <c r="B9" s="2145">
        <v>100</v>
      </c>
      <c r="C9" s="223"/>
    </row>
    <row r="10" spans="1:4" ht="18.600000000000001" x14ac:dyDescent="0.3">
      <c r="A10" s="214" t="s">
        <v>2828</v>
      </c>
      <c r="B10" s="1620">
        <v>7.0000000000000007E-2</v>
      </c>
      <c r="C10" s="223"/>
    </row>
    <row r="11" spans="1:4" x14ac:dyDescent="0.3">
      <c r="A11" s="214" t="s">
        <v>2827</v>
      </c>
      <c r="B11" s="2144">
        <v>35.045000000000002</v>
      </c>
      <c r="C11" s="223"/>
    </row>
    <row r="12" spans="1:4" x14ac:dyDescent="0.3">
      <c r="A12" s="214" t="s">
        <v>1563</v>
      </c>
      <c r="B12" s="464">
        <f>(B9*B10)/B11</f>
        <v>0.199743187330575</v>
      </c>
      <c r="C12" s="223"/>
    </row>
    <row r="13" spans="1:4" ht="4.5" customHeight="1" x14ac:dyDescent="0.3">
      <c r="A13" s="1155"/>
      <c r="B13" s="597"/>
      <c r="C13" s="1279"/>
    </row>
    <row r="14" spans="1:4" x14ac:dyDescent="0.3">
      <c r="A14" s="214" t="s">
        <v>2826</v>
      </c>
      <c r="B14" s="2686">
        <f>B7/B11</f>
        <v>1.7548865744043372</v>
      </c>
      <c r="C14" s="223"/>
    </row>
    <row r="15" spans="1:4" x14ac:dyDescent="0.3">
      <c r="A15" s="214" t="s">
        <v>2825</v>
      </c>
      <c r="B15" s="464">
        <f>B12/B14</f>
        <v>0.11382113821138214</v>
      </c>
      <c r="C15" s="223"/>
      <c r="D15" s="348">
        <f>1/(B15*0.65)</f>
        <v>13.516483516483513</v>
      </c>
    </row>
    <row r="16" spans="1:4" ht="4.5" customHeight="1" x14ac:dyDescent="0.3">
      <c r="A16" s="1155"/>
      <c r="B16" s="597"/>
      <c r="C16" s="1279"/>
    </row>
    <row r="17" spans="1:7" x14ac:dyDescent="0.3">
      <c r="A17" s="6" t="s">
        <v>1398</v>
      </c>
      <c r="C17" s="223"/>
    </row>
    <row r="18" spans="1:7" ht="47.25" customHeight="1" thickBot="1" x14ac:dyDescent="0.35">
      <c r="A18" s="2802" t="s">
        <v>2824</v>
      </c>
      <c r="B18" s="2803"/>
      <c r="C18" s="219"/>
    </row>
    <row r="19" spans="1:7" ht="47.25" customHeight="1" x14ac:dyDescent="0.3">
      <c r="A19" s="2805" t="s">
        <v>2823</v>
      </c>
      <c r="B19" s="2805"/>
    </row>
    <row r="20" spans="1:7" x14ac:dyDescent="0.3">
      <c r="A20" s="1"/>
    </row>
    <row r="22" spans="1:7" x14ac:dyDescent="0.3">
      <c r="D22" s="459" t="s">
        <v>1320</v>
      </c>
    </row>
    <row r="23" spans="1:7" ht="32.25" customHeight="1" x14ac:dyDescent="0.3">
      <c r="D23" s="2794" t="s">
        <v>2822</v>
      </c>
      <c r="E23" s="2794"/>
    </row>
    <row r="24" spans="1:7" ht="6" customHeight="1" thickBot="1" x14ac:dyDescent="0.35"/>
    <row r="25" spans="1:7" x14ac:dyDescent="0.3">
      <c r="D25" s="453" t="s">
        <v>2821</v>
      </c>
      <c r="E25" s="2143">
        <v>986509</v>
      </c>
    </row>
    <row r="26" spans="1:7" x14ac:dyDescent="0.3">
      <c r="D26" s="214" t="s">
        <v>2820</v>
      </c>
      <c r="E26" s="1325">
        <v>1245</v>
      </c>
      <c r="G26" s="211" t="s">
        <v>176</v>
      </c>
    </row>
    <row r="27" spans="1:7" x14ac:dyDescent="0.3">
      <c r="D27" s="214" t="s">
        <v>2819</v>
      </c>
      <c r="E27" s="1325">
        <v>905</v>
      </c>
    </row>
    <row r="28" spans="1:7" ht="4.5" customHeight="1" x14ac:dyDescent="0.3">
      <c r="D28" s="214"/>
      <c r="E28" s="1325"/>
    </row>
    <row r="29" spans="1:7" ht="4.5" customHeight="1" x14ac:dyDescent="0.3">
      <c r="D29" s="1155"/>
      <c r="E29" s="2142"/>
    </row>
    <row r="30" spans="1:7" ht="4.5" customHeight="1" x14ac:dyDescent="0.3">
      <c r="D30" s="214"/>
      <c r="E30" s="1325"/>
    </row>
    <row r="31" spans="1:7" x14ac:dyDescent="0.3">
      <c r="B31" s="211" t="s">
        <v>176</v>
      </c>
      <c r="D31" s="214" t="s">
        <v>2818</v>
      </c>
      <c r="E31" s="1325">
        <f>E25*E26</f>
        <v>1228203705</v>
      </c>
    </row>
    <row r="32" spans="1:7" x14ac:dyDescent="0.3">
      <c r="D32" s="214" t="s">
        <v>2817</v>
      </c>
      <c r="E32" s="1325">
        <f>E27*E25</f>
        <v>892790645</v>
      </c>
    </row>
    <row r="33" spans="4:7" ht="4.5" customHeight="1" x14ac:dyDescent="0.3">
      <c r="D33" s="214"/>
      <c r="E33" s="1325"/>
    </row>
    <row r="34" spans="4:7" ht="4.5" customHeight="1" x14ac:dyDescent="0.3">
      <c r="D34" s="1155"/>
      <c r="E34" s="2142"/>
    </row>
    <row r="35" spans="4:7" ht="4.5" customHeight="1" x14ac:dyDescent="0.3">
      <c r="D35" s="214"/>
      <c r="E35" s="1325"/>
    </row>
    <row r="36" spans="4:7" x14ac:dyDescent="0.3">
      <c r="D36" s="214" t="s">
        <v>2816</v>
      </c>
      <c r="E36" s="1325">
        <f>727000000+57000000</f>
        <v>784000000</v>
      </c>
      <c r="G36" s="211" t="s">
        <v>2815</v>
      </c>
    </row>
    <row r="37" spans="4:7" ht="4.5" customHeight="1" x14ac:dyDescent="0.3">
      <c r="D37" s="214"/>
      <c r="E37" s="1325"/>
    </row>
    <row r="38" spans="4:7" ht="4.5" customHeight="1" x14ac:dyDescent="0.3">
      <c r="D38" s="1155"/>
      <c r="E38" s="2142"/>
    </row>
    <row r="39" spans="4:7" ht="4.5" customHeight="1" x14ac:dyDescent="0.3">
      <c r="D39" s="214"/>
      <c r="E39" s="1325"/>
    </row>
    <row r="40" spans="4:7" x14ac:dyDescent="0.3">
      <c r="D40" s="214" t="s">
        <v>2814</v>
      </c>
      <c r="E40" s="2684">
        <f>E31/E36</f>
        <v>1.5665863584183672</v>
      </c>
    </row>
    <row r="41" spans="4:7" x14ac:dyDescent="0.3">
      <c r="D41" s="214" t="s">
        <v>2813</v>
      </c>
      <c r="E41" s="2684">
        <f>E32/E36</f>
        <v>1.1387635778061225</v>
      </c>
    </row>
    <row r="42" spans="4:7" ht="16.2" thickBot="1" x14ac:dyDescent="0.35">
      <c r="D42" s="224" t="s">
        <v>2812</v>
      </c>
      <c r="E42" s="2512">
        <f>AVERAGE(E40,E41)</f>
        <v>1.352674968112245</v>
      </c>
    </row>
    <row r="43" spans="4:7" ht="15.75" customHeight="1" x14ac:dyDescent="0.3">
      <c r="D43" s="2811" t="s">
        <v>3722</v>
      </c>
      <c r="E43" s="2811"/>
      <c r="F43" s="904"/>
    </row>
    <row r="44" spans="4:7" x14ac:dyDescent="0.3">
      <c r="D44" s="2805"/>
      <c r="E44" s="2805"/>
      <c r="F44" s="904"/>
    </row>
  </sheetData>
  <mergeCells count="5">
    <mergeCell ref="A18:B18"/>
    <mergeCell ref="A19:B19"/>
    <mergeCell ref="A2:B2"/>
    <mergeCell ref="D23:E23"/>
    <mergeCell ref="D43:E4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6B60F-1499-4637-B3BA-8215489C68A3}">
  <sheetPr>
    <tabColor theme="9" tint="0.59999389629810485"/>
  </sheetPr>
  <dimension ref="A1:K62"/>
  <sheetViews>
    <sheetView showGridLines="0" zoomScale="85" zoomScaleNormal="85" workbookViewId="0">
      <selection activeCell="K35" sqref="K35"/>
    </sheetView>
  </sheetViews>
  <sheetFormatPr defaultColWidth="8.6640625" defaultRowHeight="15.6" x14ac:dyDescent="0.3"/>
  <cols>
    <col min="1" max="1" width="43.6640625" style="211" customWidth="1"/>
    <col min="2" max="3" width="11.44140625" style="211" customWidth="1"/>
    <col min="4" max="16384" width="8.6640625" style="211"/>
  </cols>
  <sheetData>
    <row r="1" spans="1:9" x14ac:dyDescent="0.3">
      <c r="A1" s="320" t="s">
        <v>383</v>
      </c>
      <c r="D1" s="211" t="s">
        <v>176</v>
      </c>
    </row>
    <row r="2" spans="1:9" x14ac:dyDescent="0.3">
      <c r="A2" s="320"/>
    </row>
    <row r="3" spans="1:9" s="1623" customFormat="1" x14ac:dyDescent="0.3">
      <c r="A3" s="1623" t="s">
        <v>556</v>
      </c>
      <c r="B3" s="1623">
        <v>1983</v>
      </c>
      <c r="C3" s="1623">
        <v>1983</v>
      </c>
    </row>
    <row r="4" spans="1:9" s="152" customFormat="1" x14ac:dyDescent="0.3"/>
    <row r="5" spans="1:9" ht="15.75" customHeight="1" x14ac:dyDescent="0.3">
      <c r="A5" s="459" t="s">
        <v>1320</v>
      </c>
    </row>
    <row r="6" spans="1:9" ht="15.75" customHeight="1" x14ac:dyDescent="0.3">
      <c r="A6" s="152" t="s">
        <v>2842</v>
      </c>
    </row>
    <row r="7" spans="1:9" ht="8.25" customHeight="1" thickBot="1" x14ac:dyDescent="0.35">
      <c r="A7" s="152"/>
    </row>
    <row r="8" spans="1:9" ht="15.75" customHeight="1" x14ac:dyDescent="0.3">
      <c r="A8" s="212" t="s">
        <v>1204</v>
      </c>
      <c r="B8" s="1989">
        <v>1983</v>
      </c>
      <c r="C8" s="2019">
        <v>1982</v>
      </c>
    </row>
    <row r="9" spans="1:9" ht="15.75" customHeight="1" x14ac:dyDescent="0.3">
      <c r="A9" s="214" t="s">
        <v>372</v>
      </c>
      <c r="C9" s="223"/>
    </row>
    <row r="10" spans="1:9" ht="15.75" customHeight="1" x14ac:dyDescent="0.3">
      <c r="A10" s="214" t="s">
        <v>373</v>
      </c>
      <c r="B10" s="2154">
        <v>-33872</v>
      </c>
      <c r="C10" s="2153">
        <v>-21558</v>
      </c>
    </row>
    <row r="11" spans="1:9" ht="15.75" customHeight="1" x14ac:dyDescent="0.3">
      <c r="A11" s="214" t="s">
        <v>1304</v>
      </c>
      <c r="B11" s="813">
        <v>43810</v>
      </c>
      <c r="C11" s="1205">
        <v>41620</v>
      </c>
    </row>
    <row r="12" spans="1:9" ht="15.75" customHeight="1" x14ac:dyDescent="0.3">
      <c r="A12" s="214" t="s">
        <v>2841</v>
      </c>
      <c r="B12" s="813">
        <v>19352</v>
      </c>
      <c r="C12" s="1205">
        <v>-1215</v>
      </c>
    </row>
    <row r="13" spans="1:9" ht="15.75" customHeight="1" x14ac:dyDescent="0.3">
      <c r="A13" s="214" t="s">
        <v>2840</v>
      </c>
      <c r="B13" s="813">
        <v>3812</v>
      </c>
      <c r="C13" s="2150"/>
    </row>
    <row r="14" spans="1:9" ht="15.75" customHeight="1" x14ac:dyDescent="0.3">
      <c r="A14" s="214" t="s">
        <v>375</v>
      </c>
      <c r="B14" s="813">
        <v>27411</v>
      </c>
      <c r="C14" s="1205">
        <v>23884</v>
      </c>
    </row>
    <row r="15" spans="1:9" ht="15.75" customHeight="1" x14ac:dyDescent="0.3">
      <c r="A15" s="214" t="s">
        <v>376</v>
      </c>
      <c r="B15" s="813">
        <v>697</v>
      </c>
      <c r="C15" s="1205">
        <v>914</v>
      </c>
    </row>
    <row r="16" spans="1:9" ht="15.75" customHeight="1" x14ac:dyDescent="0.3">
      <c r="A16" s="214" t="s">
        <v>2839</v>
      </c>
      <c r="B16" s="813">
        <v>-1422</v>
      </c>
      <c r="C16" s="1205">
        <v>4182</v>
      </c>
      <c r="I16" s="278"/>
    </row>
    <row r="17" spans="1:9" ht="15.75" customHeight="1" x14ac:dyDescent="0.3">
      <c r="A17" s="214" t="s">
        <v>377</v>
      </c>
      <c r="B17" s="813">
        <v>-798</v>
      </c>
      <c r="C17" s="1205">
        <v>-6</v>
      </c>
      <c r="G17" s="211" t="s">
        <v>176</v>
      </c>
      <c r="I17" s="226"/>
    </row>
    <row r="18" spans="1:9" ht="15.75" customHeight="1" x14ac:dyDescent="0.3">
      <c r="A18" s="214" t="s">
        <v>378</v>
      </c>
      <c r="B18" s="813">
        <v>3241</v>
      </c>
      <c r="C18" s="1205">
        <v>1035</v>
      </c>
    </row>
    <row r="19" spans="1:9" ht="15.75" customHeight="1" x14ac:dyDescent="0.3">
      <c r="A19" s="214" t="s">
        <v>379</v>
      </c>
      <c r="B19" s="813">
        <v>-100</v>
      </c>
      <c r="C19" s="1205">
        <v>-1545</v>
      </c>
    </row>
    <row r="20" spans="1:9" ht="15.75" customHeight="1" x14ac:dyDescent="0.3">
      <c r="A20" s="214" t="s">
        <v>1305</v>
      </c>
      <c r="B20" s="813">
        <v>7493</v>
      </c>
      <c r="C20" s="1205">
        <v>6156</v>
      </c>
    </row>
    <row r="21" spans="1:9" ht="15.75" customHeight="1" x14ac:dyDescent="0.3">
      <c r="A21" s="214" t="s">
        <v>2838</v>
      </c>
      <c r="B21" s="813">
        <v>-532</v>
      </c>
      <c r="C21" s="1205">
        <v>151</v>
      </c>
      <c r="F21" s="278"/>
    </row>
    <row r="22" spans="1:9" ht="15.75" customHeight="1" x14ac:dyDescent="0.3">
      <c r="A22" s="214" t="s">
        <v>1306</v>
      </c>
      <c r="B22" s="813">
        <v>-15104</v>
      </c>
      <c r="C22" s="1205">
        <v>-14996</v>
      </c>
    </row>
    <row r="23" spans="1:9" ht="15.75" customHeight="1" x14ac:dyDescent="0.3">
      <c r="A23" s="214" t="s">
        <v>1307</v>
      </c>
      <c r="B23" s="813">
        <v>-3066</v>
      </c>
      <c r="C23" s="1205">
        <v>-891</v>
      </c>
    </row>
    <row r="24" spans="1:9" ht="15.75" customHeight="1" x14ac:dyDescent="0.3">
      <c r="A24" s="214" t="s">
        <v>380</v>
      </c>
      <c r="B24" s="813">
        <v>10121</v>
      </c>
      <c r="C24" s="1205">
        <v>3371</v>
      </c>
    </row>
    <row r="25" spans="1:9" ht="15.75" customHeight="1" x14ac:dyDescent="0.3">
      <c r="A25" s="214" t="s">
        <v>1324</v>
      </c>
      <c r="B25" s="2152">
        <f>SUM(B10:B24)</f>
        <v>61043</v>
      </c>
      <c r="C25" s="2151">
        <f>SUM(C10:C24)</f>
        <v>41102</v>
      </c>
    </row>
    <row r="26" spans="1:9" ht="15.75" customHeight="1" x14ac:dyDescent="0.3">
      <c r="A26" s="214" t="s">
        <v>1308</v>
      </c>
      <c r="B26" s="813">
        <v>21000</v>
      </c>
      <c r="C26" s="2150"/>
    </row>
    <row r="27" spans="1:9" ht="15.75" customHeight="1" x14ac:dyDescent="0.3">
      <c r="A27" s="214" t="s">
        <v>381</v>
      </c>
      <c r="B27" s="2149">
        <v>67260</v>
      </c>
      <c r="C27" s="2148">
        <v>36651</v>
      </c>
    </row>
    <row r="28" spans="1:9" ht="15.75" customHeight="1" x14ac:dyDescent="0.3">
      <c r="A28" s="214" t="s">
        <v>1310</v>
      </c>
      <c r="B28" s="2147">
        <f>SUM(B25:B27)</f>
        <v>149303</v>
      </c>
      <c r="C28" s="2146">
        <f>SUM(C25:C27)</f>
        <v>77753</v>
      </c>
    </row>
    <row r="29" spans="1:9" ht="4.5" customHeight="1" x14ac:dyDescent="0.3">
      <c r="A29" s="214"/>
      <c r="B29" s="2147"/>
      <c r="C29" s="2146"/>
    </row>
    <row r="30" spans="1:9" ht="15.75" customHeight="1" x14ac:dyDescent="0.3">
      <c r="A30" s="6" t="s">
        <v>1591</v>
      </c>
      <c r="C30" s="223"/>
    </row>
    <row r="31" spans="1:9" ht="15.75" customHeight="1" x14ac:dyDescent="0.3">
      <c r="A31" s="2799" t="s">
        <v>2837</v>
      </c>
      <c r="B31" s="2827"/>
      <c r="C31" s="2801"/>
    </row>
    <row r="32" spans="1:9" ht="15.75" customHeight="1" x14ac:dyDescent="0.3">
      <c r="A32" s="2799"/>
      <c r="B32" s="2827"/>
      <c r="C32" s="2801"/>
    </row>
    <row r="33" spans="1:11" ht="15.75" customHeight="1" x14ac:dyDescent="0.3">
      <c r="A33" s="2799"/>
      <c r="B33" s="2827"/>
      <c r="C33" s="2801"/>
    </row>
    <row r="34" spans="1:11" ht="9" customHeight="1" x14ac:dyDescent="0.3">
      <c r="A34" s="2082"/>
      <c r="B34" s="2085"/>
      <c r="C34" s="2083"/>
    </row>
    <row r="35" spans="1:11" x14ac:dyDescent="0.3">
      <c r="A35" s="2082" t="s">
        <v>1398</v>
      </c>
      <c r="B35" s="2085"/>
      <c r="C35" s="2083"/>
      <c r="K35" s="211" t="s">
        <v>176</v>
      </c>
    </row>
    <row r="36" spans="1:11" ht="15.75" customHeight="1" x14ac:dyDescent="0.3">
      <c r="A36" s="6" t="s">
        <v>2836</v>
      </c>
      <c r="B36" s="1"/>
      <c r="C36" s="8"/>
    </row>
    <row r="37" spans="1:11" ht="15.75" customHeight="1" x14ac:dyDescent="0.3">
      <c r="A37" s="2799" t="s">
        <v>2835</v>
      </c>
      <c r="B37" s="2827"/>
      <c r="C37" s="2801"/>
    </row>
    <row r="38" spans="1:11" ht="15.75" customHeight="1" x14ac:dyDescent="0.3">
      <c r="A38" s="2799"/>
      <c r="B38" s="2827"/>
      <c r="C38" s="2801"/>
    </row>
    <row r="39" spans="1:11" ht="15.75" customHeight="1" thickBot="1" x14ac:dyDescent="0.35">
      <c r="A39" s="9" t="s">
        <v>2834</v>
      </c>
      <c r="B39" s="25"/>
      <c r="C39" s="26"/>
    </row>
    <row r="40" spans="1:11" x14ac:dyDescent="0.3">
      <c r="A40" s="12" t="s">
        <v>2833</v>
      </c>
      <c r="G40" s="211" t="s">
        <v>176</v>
      </c>
    </row>
    <row r="44" spans="1:11" ht="16.2" thickBot="1" x14ac:dyDescent="0.35"/>
    <row r="45" spans="1:11" x14ac:dyDescent="0.3">
      <c r="A45" s="453" t="s">
        <v>382</v>
      </c>
      <c r="B45" s="359">
        <v>1983</v>
      </c>
      <c r="C45" s="359">
        <v>1982</v>
      </c>
    </row>
    <row r="46" spans="1:11" x14ac:dyDescent="0.3">
      <c r="A46" s="214" t="s">
        <v>372</v>
      </c>
    </row>
    <row r="47" spans="1:11" x14ac:dyDescent="0.3">
      <c r="A47" s="214" t="str">
        <f t="shared" ref="A47:A61" si="0">A10</f>
        <v xml:space="preserve">  Underwriting</v>
      </c>
      <c r="B47" s="227">
        <f t="shared" ref="B47:C62" si="1">B10/B$25</f>
        <v>-0.55488753829267889</v>
      </c>
      <c r="C47" s="227">
        <f t="shared" si="1"/>
        <v>-0.52450002432971632</v>
      </c>
    </row>
    <row r="48" spans="1:11" x14ac:dyDescent="0.3">
      <c r="A48" s="214" t="str">
        <f t="shared" si="0"/>
        <v xml:space="preserve">  Net investment income</v>
      </c>
      <c r="B48" s="227">
        <f t="shared" si="1"/>
        <v>0.71769080811886699</v>
      </c>
      <c r="C48" s="227">
        <f t="shared" si="1"/>
        <v>1.012602793051433</v>
      </c>
    </row>
    <row r="49" spans="1:3" x14ac:dyDescent="0.3">
      <c r="A49" s="214" t="str">
        <f t="shared" si="0"/>
        <v xml:space="preserve"> Buffalo Evening News</v>
      </c>
      <c r="B49" s="227">
        <f t="shared" si="1"/>
        <v>0.31702242681388532</v>
      </c>
      <c r="C49" s="227">
        <f t="shared" si="1"/>
        <v>-2.956060532334193E-2</v>
      </c>
    </row>
    <row r="50" spans="1:3" x14ac:dyDescent="0.3">
      <c r="A50" s="214" t="str">
        <f t="shared" si="0"/>
        <v xml:space="preserve"> Nebraska Furniture Mart1</v>
      </c>
      <c r="B50" s="227">
        <f t="shared" si="1"/>
        <v>6.2447782710548301E-2</v>
      </c>
      <c r="C50" s="227">
        <f t="shared" si="1"/>
        <v>0</v>
      </c>
    </row>
    <row r="51" spans="1:3" x14ac:dyDescent="0.3">
      <c r="A51" s="214" t="str">
        <f t="shared" si="0"/>
        <v xml:space="preserve"> See's Candies</v>
      </c>
      <c r="B51" s="227">
        <f t="shared" si="1"/>
        <v>0.44904411644250775</v>
      </c>
      <c r="C51" s="227">
        <f t="shared" si="1"/>
        <v>0.58109094447958742</v>
      </c>
    </row>
    <row r="52" spans="1:3" x14ac:dyDescent="0.3">
      <c r="A52" s="214" t="str">
        <f t="shared" si="0"/>
        <v xml:space="preserve"> Associated Retail Stores</v>
      </c>
      <c r="B52" s="227">
        <f t="shared" si="1"/>
        <v>1.1418180626771293E-2</v>
      </c>
      <c r="C52" s="227">
        <f t="shared" si="1"/>
        <v>2.2237360712374095E-2</v>
      </c>
    </row>
    <row r="53" spans="1:3" x14ac:dyDescent="0.3">
      <c r="A53" s="214" t="str">
        <f t="shared" si="0"/>
        <v xml:space="preserve"> Blue Chip Stamps - parent2</v>
      </c>
      <c r="B53" s="227">
        <f t="shared" si="1"/>
        <v>-2.3295054305981031E-2</v>
      </c>
      <c r="C53" s="227">
        <f t="shared" si="1"/>
        <v>0.10174687363145346</v>
      </c>
    </row>
    <row r="54" spans="1:3" x14ac:dyDescent="0.3">
      <c r="A54" s="214" t="str">
        <f t="shared" si="0"/>
        <v xml:space="preserve"> Mutual Savings and Loan</v>
      </c>
      <c r="B54" s="227">
        <f t="shared" si="1"/>
        <v>-1.3072751994495684E-2</v>
      </c>
      <c r="C54" s="227">
        <f t="shared" si="1"/>
        <v>-1.4597829789304658E-4</v>
      </c>
    </row>
    <row r="55" spans="1:3" x14ac:dyDescent="0.3">
      <c r="A55" s="214" t="str">
        <f t="shared" si="0"/>
        <v xml:space="preserve"> Precision Steel</v>
      </c>
      <c r="B55" s="227">
        <f t="shared" si="1"/>
        <v>5.3093720819750015E-2</v>
      </c>
      <c r="C55" s="227">
        <f t="shared" si="1"/>
        <v>2.5181256386550534E-2</v>
      </c>
    </row>
    <row r="56" spans="1:3" x14ac:dyDescent="0.3">
      <c r="A56" s="214" t="str">
        <f t="shared" si="0"/>
        <v xml:space="preserve"> Textiles</v>
      </c>
      <c r="B56" s="227">
        <f t="shared" si="1"/>
        <v>-1.6381894729944465E-3</v>
      </c>
      <c r="C56" s="227">
        <f t="shared" si="1"/>
        <v>-3.758941170745949E-2</v>
      </c>
    </row>
    <row r="57" spans="1:3" x14ac:dyDescent="0.3">
      <c r="A57" s="214" t="str">
        <f t="shared" si="0"/>
        <v xml:space="preserve"> Wesco Financial - parent</v>
      </c>
      <c r="B57" s="227">
        <f t="shared" si="1"/>
        <v>0.12274953721147389</v>
      </c>
      <c r="C57" s="227">
        <f t="shared" si="1"/>
        <v>0.14977373363826577</v>
      </c>
    </row>
    <row r="58" spans="1:3" x14ac:dyDescent="0.3">
      <c r="A58" s="214" t="str">
        <f t="shared" si="0"/>
        <v xml:space="preserve"> Amortization of goodwill3</v>
      </c>
      <c r="B58" s="227">
        <f t="shared" si="1"/>
        <v>-8.715167996330455E-3</v>
      </c>
      <c r="C58" s="227">
        <f t="shared" si="1"/>
        <v>3.6737871636416718E-3</v>
      </c>
    </row>
    <row r="59" spans="1:3" x14ac:dyDescent="0.3">
      <c r="A59" s="214" t="str">
        <f t="shared" si="0"/>
        <v xml:space="preserve"> Interest on debt</v>
      </c>
      <c r="B59" s="227">
        <f t="shared" si="1"/>
        <v>-0.24743213800108121</v>
      </c>
      <c r="C59" s="227">
        <f t="shared" si="1"/>
        <v>-0.36484842586735439</v>
      </c>
    </row>
    <row r="60" spans="1:3" x14ac:dyDescent="0.3">
      <c r="A60" s="214" t="str">
        <f t="shared" si="0"/>
        <v xml:space="preserve"> Shareholder-designated contributions</v>
      </c>
      <c r="B60" s="227">
        <f t="shared" si="1"/>
        <v>-5.0226889242009728E-2</v>
      </c>
      <c r="C60" s="227">
        <f t="shared" si="1"/>
        <v>-2.1677777237117415E-2</v>
      </c>
    </row>
    <row r="61" spans="1:3" x14ac:dyDescent="0.3">
      <c r="A61" s="214" t="str">
        <f t="shared" si="0"/>
        <v xml:space="preserve"> Other</v>
      </c>
      <c r="B61" s="227">
        <f t="shared" si="1"/>
        <v>0.16580115656176794</v>
      </c>
      <c r="C61" s="227">
        <f t="shared" si="1"/>
        <v>8.2015473699576666E-2</v>
      </c>
    </row>
    <row r="62" spans="1:3" ht="16.2" thickBot="1" x14ac:dyDescent="0.35">
      <c r="A62" s="271" t="s">
        <v>216</v>
      </c>
      <c r="B62" s="500">
        <f t="shared" si="1"/>
        <v>1</v>
      </c>
      <c r="C62" s="500">
        <f t="shared" si="1"/>
        <v>1</v>
      </c>
    </row>
  </sheetData>
  <mergeCells count="2">
    <mergeCell ref="A31:C33"/>
    <mergeCell ref="A37:C38"/>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4EEE-3468-466F-99B8-BC7954C7F3E7}">
  <sheetPr>
    <tabColor theme="4"/>
  </sheetPr>
  <dimension ref="A1:F19"/>
  <sheetViews>
    <sheetView zoomScale="115" zoomScaleNormal="115" workbookViewId="0">
      <selection activeCell="F21" sqref="F21"/>
    </sheetView>
  </sheetViews>
  <sheetFormatPr defaultColWidth="9.109375" defaultRowHeight="15.6" x14ac:dyDescent="0.3"/>
  <cols>
    <col min="1" max="1" width="16.33203125" style="211" customWidth="1"/>
    <col min="2" max="2" width="23.5546875" style="211" bestFit="1" customWidth="1"/>
    <col min="3" max="3" width="17.6640625" style="211" customWidth="1"/>
    <col min="4" max="5" width="1.44140625" style="211" customWidth="1"/>
    <col min="6" max="16384" width="9.109375" style="211"/>
  </cols>
  <sheetData>
    <row r="1" spans="1:3" x14ac:dyDescent="0.3">
      <c r="A1" s="1937" t="s">
        <v>2620</v>
      </c>
      <c r="B1" s="211" t="s">
        <v>2619</v>
      </c>
      <c r="C1" s="211" t="s">
        <v>2616</v>
      </c>
    </row>
    <row r="2" spans="1:3" x14ac:dyDescent="0.3">
      <c r="A2" s="211">
        <v>1950</v>
      </c>
      <c r="B2" s="227">
        <v>7.8E-2</v>
      </c>
      <c r="C2" s="227">
        <v>0.13100000000000001</v>
      </c>
    </row>
    <row r="3" spans="1:3" x14ac:dyDescent="0.3">
      <c r="A3" s="211">
        <v>1951</v>
      </c>
      <c r="B3" s="227">
        <v>6.7000000000000004E-2</v>
      </c>
      <c r="C3" s="227">
        <v>0.109</v>
      </c>
    </row>
    <row r="4" spans="1:3" x14ac:dyDescent="0.3">
      <c r="A4" s="211">
        <v>1952</v>
      </c>
      <c r="B4" s="227">
        <v>1E-3</v>
      </c>
      <c r="C4" s="227">
        <v>2E-3</v>
      </c>
    </row>
    <row r="5" spans="1:3" x14ac:dyDescent="0.3">
      <c r="A5" s="211">
        <v>1953</v>
      </c>
      <c r="B5" s="227">
        <v>3.4000000000000002E-2</v>
      </c>
      <c r="C5" s="227">
        <v>5.2999999999999999E-2</v>
      </c>
    </row>
    <row r="6" spans="1:3" x14ac:dyDescent="0.3">
      <c r="A6" s="211">
        <v>1954</v>
      </c>
      <c r="B6" s="227">
        <v>0.01</v>
      </c>
      <c r="C6" s="227">
        <v>1.2E-2</v>
      </c>
    </row>
    <row r="7" spans="1:3" x14ac:dyDescent="0.3">
      <c r="A7" s="211">
        <v>1955</v>
      </c>
      <c r="B7" s="227">
        <v>5.0000000000000001E-3</v>
      </c>
      <c r="C7" s="227">
        <v>6.0000000000000001E-3</v>
      </c>
    </row>
    <row r="8" spans="1:3" x14ac:dyDescent="0.3">
      <c r="B8" s="227"/>
    </row>
    <row r="9" spans="1:3" x14ac:dyDescent="0.3">
      <c r="B9" s="227"/>
    </row>
    <row r="10" spans="1:3" x14ac:dyDescent="0.3">
      <c r="B10" s="227"/>
    </row>
    <row r="11" spans="1:3" x14ac:dyDescent="0.3">
      <c r="B11" s="227"/>
    </row>
    <row r="13" spans="1:3" x14ac:dyDescent="0.3">
      <c r="A13" s="211" t="s">
        <v>2618</v>
      </c>
      <c r="B13" s="365">
        <f>AVERAGE(C2:C7)</f>
        <v>5.2166666666666667E-2</v>
      </c>
    </row>
    <row r="14" spans="1:3" x14ac:dyDescent="0.3">
      <c r="B14" s="365"/>
    </row>
    <row r="19" spans="6:6" x14ac:dyDescent="0.3">
      <c r="F19" s="211" t="s">
        <v>2617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A36-A4BA-43CC-93F5-9F3C9665D0A7}">
  <sheetPr>
    <tabColor theme="9" tint="0.59999389629810485"/>
  </sheetPr>
  <dimension ref="A1:K42"/>
  <sheetViews>
    <sheetView showGridLines="0" topLeftCell="A5" zoomScale="115" zoomScaleNormal="115" workbookViewId="0">
      <selection activeCell="E38" sqref="E38"/>
    </sheetView>
  </sheetViews>
  <sheetFormatPr defaultColWidth="8.6640625" defaultRowHeight="15.6" x14ac:dyDescent="0.3"/>
  <cols>
    <col min="1" max="1" width="43.6640625" style="211" customWidth="1"/>
    <col min="2" max="2" width="17.88671875" style="211" customWidth="1"/>
    <col min="3" max="3" width="11.44140625" style="211" customWidth="1"/>
    <col min="4" max="16384" width="8.6640625" style="211"/>
  </cols>
  <sheetData>
    <row r="1" spans="1:5" x14ac:dyDescent="0.3">
      <c r="A1" s="320" t="s">
        <v>383</v>
      </c>
      <c r="B1" s="320"/>
      <c r="D1" s="211" t="s">
        <v>176</v>
      </c>
    </row>
    <row r="2" spans="1:5" x14ac:dyDescent="0.3">
      <c r="A2" s="320"/>
      <c r="B2" s="320"/>
    </row>
    <row r="3" spans="1:5" s="1623" customFormat="1" x14ac:dyDescent="0.3">
      <c r="A3" s="1623" t="s">
        <v>556</v>
      </c>
      <c r="B3" s="1623">
        <v>1984</v>
      </c>
      <c r="C3" s="1623">
        <v>1984</v>
      </c>
    </row>
    <row r="4" spans="1:5" s="152" customFormat="1" x14ac:dyDescent="0.3"/>
    <row r="5" spans="1:5" ht="15.75" customHeight="1" x14ac:dyDescent="0.3">
      <c r="A5" s="459" t="s">
        <v>1320</v>
      </c>
      <c r="B5" s="459"/>
    </row>
    <row r="6" spans="1:5" ht="15.75" customHeight="1" x14ac:dyDescent="0.3">
      <c r="A6" s="152" t="s">
        <v>2842</v>
      </c>
      <c r="B6" s="152"/>
    </row>
    <row r="7" spans="1:5" ht="8.25" customHeight="1" thickBot="1" x14ac:dyDescent="0.35">
      <c r="A7" s="152"/>
      <c r="B7" s="152"/>
    </row>
    <row r="8" spans="1:5" ht="15.75" customHeight="1" x14ac:dyDescent="0.3">
      <c r="A8" s="212" t="s">
        <v>1204</v>
      </c>
      <c r="B8" s="1989">
        <v>1984</v>
      </c>
      <c r="C8" s="2019">
        <v>1983</v>
      </c>
    </row>
    <row r="9" spans="1:5" ht="15.75" customHeight="1" x14ac:dyDescent="0.3">
      <c r="A9" s="214" t="s">
        <v>372</v>
      </c>
      <c r="C9" s="223"/>
      <c r="E9" s="211" t="s">
        <v>176</v>
      </c>
    </row>
    <row r="10" spans="1:5" ht="15.75" customHeight="1" x14ac:dyDescent="0.3">
      <c r="A10" s="214" t="s">
        <v>373</v>
      </c>
      <c r="B10" s="2154">
        <v>-48060</v>
      </c>
      <c r="C10" s="2153">
        <v>-33872</v>
      </c>
    </row>
    <row r="11" spans="1:5" ht="15.75" customHeight="1" x14ac:dyDescent="0.3">
      <c r="A11" s="214" t="s">
        <v>1304</v>
      </c>
      <c r="B11" s="813">
        <v>68903</v>
      </c>
      <c r="C11" s="1205">
        <v>43810</v>
      </c>
    </row>
    <row r="12" spans="1:5" ht="15.75" customHeight="1" x14ac:dyDescent="0.3">
      <c r="A12" s="214" t="s">
        <v>374</v>
      </c>
      <c r="B12" s="813">
        <v>27328</v>
      </c>
      <c r="C12" s="1205">
        <v>19352</v>
      </c>
    </row>
    <row r="13" spans="1:5" ht="15.75" customHeight="1" x14ac:dyDescent="0.3">
      <c r="A13" s="214" t="s">
        <v>2840</v>
      </c>
      <c r="B13" s="813">
        <v>14511</v>
      </c>
      <c r="C13" s="1205">
        <v>3812</v>
      </c>
    </row>
    <row r="14" spans="1:5" ht="15.75" customHeight="1" x14ac:dyDescent="0.3">
      <c r="A14" s="214" t="s">
        <v>375</v>
      </c>
      <c r="B14" s="813">
        <v>26644</v>
      </c>
      <c r="C14" s="1205">
        <v>27411</v>
      </c>
    </row>
    <row r="15" spans="1:5" ht="15.75" customHeight="1" x14ac:dyDescent="0.3">
      <c r="A15" s="214" t="s">
        <v>376</v>
      </c>
      <c r="B15" s="813">
        <v>-1072</v>
      </c>
      <c r="C15" s="1205">
        <v>697</v>
      </c>
    </row>
    <row r="16" spans="1:5" ht="15.75" customHeight="1" x14ac:dyDescent="0.3">
      <c r="A16" s="214" t="s">
        <v>2839</v>
      </c>
      <c r="B16" s="813">
        <v>-1843</v>
      </c>
      <c r="C16" s="1205">
        <v>-1422</v>
      </c>
    </row>
    <row r="17" spans="1:6" ht="15.75" customHeight="1" x14ac:dyDescent="0.3">
      <c r="A17" s="214" t="s">
        <v>377</v>
      </c>
      <c r="B17" s="813">
        <v>1456</v>
      </c>
      <c r="C17" s="1205">
        <v>-798</v>
      </c>
    </row>
    <row r="18" spans="1:6" ht="15.75" customHeight="1" x14ac:dyDescent="0.3">
      <c r="A18" s="214" t="s">
        <v>378</v>
      </c>
      <c r="B18" s="813">
        <v>4092</v>
      </c>
      <c r="C18" s="1205">
        <v>3241</v>
      </c>
    </row>
    <row r="19" spans="1:6" ht="15.75" customHeight="1" x14ac:dyDescent="0.3">
      <c r="A19" s="214" t="s">
        <v>379</v>
      </c>
      <c r="B19" s="813">
        <v>418</v>
      </c>
      <c r="C19" s="1205">
        <v>-100</v>
      </c>
    </row>
    <row r="20" spans="1:6" ht="15.75" customHeight="1" x14ac:dyDescent="0.3">
      <c r="A20" s="214" t="s">
        <v>1305</v>
      </c>
      <c r="B20" s="813">
        <v>9777</v>
      </c>
      <c r="C20" s="1205">
        <v>7493</v>
      </c>
    </row>
    <row r="21" spans="1:6" ht="15.75" customHeight="1" x14ac:dyDescent="0.3">
      <c r="A21" s="214" t="s">
        <v>2838</v>
      </c>
      <c r="B21" s="813">
        <v>-1434</v>
      </c>
      <c r="C21" s="1205">
        <v>-532</v>
      </c>
      <c r="F21" s="278"/>
    </row>
    <row r="22" spans="1:6" ht="15.75" customHeight="1" x14ac:dyDescent="0.3">
      <c r="A22" s="214" t="s">
        <v>1306</v>
      </c>
      <c r="B22" s="813">
        <v>-14734</v>
      </c>
      <c r="C22" s="1205">
        <v>-15104</v>
      </c>
    </row>
    <row r="23" spans="1:6" ht="15.75" customHeight="1" x14ac:dyDescent="0.3">
      <c r="A23" s="214" t="s">
        <v>1307</v>
      </c>
      <c r="B23" s="813">
        <v>-3179</v>
      </c>
      <c r="C23" s="1205">
        <v>-3066</v>
      </c>
    </row>
    <row r="24" spans="1:6" ht="15.75" customHeight="1" x14ac:dyDescent="0.3">
      <c r="A24" s="214" t="s">
        <v>380</v>
      </c>
      <c r="B24" s="813">
        <v>4932</v>
      </c>
      <c r="C24" s="1205">
        <v>10121</v>
      </c>
    </row>
    <row r="25" spans="1:6" ht="15.75" customHeight="1" x14ac:dyDescent="0.3">
      <c r="A25" s="214" t="s">
        <v>1324</v>
      </c>
      <c r="B25" s="2152">
        <f>SUM(B10:B24)</f>
        <v>87739</v>
      </c>
      <c r="C25" s="2151">
        <f>SUM(C10:C24)</f>
        <v>61043</v>
      </c>
    </row>
    <row r="26" spans="1:6" ht="15.75" customHeight="1" x14ac:dyDescent="0.3">
      <c r="A26" s="214" t="s">
        <v>2845</v>
      </c>
      <c r="B26" s="2156">
        <v>0</v>
      </c>
      <c r="C26" s="1205">
        <v>19575</v>
      </c>
    </row>
    <row r="27" spans="1:6" ht="15.75" customHeight="1" x14ac:dyDescent="0.3">
      <c r="A27" s="214" t="s">
        <v>1309</v>
      </c>
      <c r="B27" s="813">
        <v>8111</v>
      </c>
      <c r="C27" s="2155">
        <v>0</v>
      </c>
    </row>
    <row r="28" spans="1:6" ht="15.75" customHeight="1" x14ac:dyDescent="0.3">
      <c r="A28" s="214" t="s">
        <v>381</v>
      </c>
      <c r="B28" s="813">
        <v>104699</v>
      </c>
      <c r="C28" s="1205">
        <v>67260</v>
      </c>
    </row>
    <row r="29" spans="1:6" ht="15.75" customHeight="1" x14ac:dyDescent="0.3">
      <c r="A29" s="214" t="s">
        <v>1310</v>
      </c>
      <c r="B29" s="2152">
        <f>SUM(B25:B28)</f>
        <v>200549</v>
      </c>
      <c r="C29" s="2151">
        <f>SUM(C25:C28)</f>
        <v>147878</v>
      </c>
    </row>
    <row r="30" spans="1:6" ht="4.5" customHeight="1" x14ac:dyDescent="0.3">
      <c r="A30" s="214"/>
      <c r="C30" s="223"/>
    </row>
    <row r="31" spans="1:6" ht="15.75" customHeight="1" x14ac:dyDescent="0.3">
      <c r="A31" s="6" t="s">
        <v>1591</v>
      </c>
      <c r="B31" s="1"/>
      <c r="C31" s="223"/>
    </row>
    <row r="32" spans="1:6" ht="15.75" customHeight="1" x14ac:dyDescent="0.3">
      <c r="A32" s="2799" t="s">
        <v>2837</v>
      </c>
      <c r="B32" s="2827"/>
      <c r="C32" s="2801"/>
    </row>
    <row r="33" spans="1:11" ht="15.75" customHeight="1" x14ac:dyDescent="0.3">
      <c r="A33" s="2799"/>
      <c r="B33" s="2827"/>
      <c r="C33" s="2801"/>
      <c r="G33" s="211" t="s">
        <v>176</v>
      </c>
    </row>
    <row r="34" spans="1:11" ht="15.75" customHeight="1" x14ac:dyDescent="0.3">
      <c r="A34" s="2799"/>
      <c r="B34" s="2827"/>
      <c r="C34" s="2801"/>
    </row>
    <row r="35" spans="1:11" ht="9" customHeight="1" x14ac:dyDescent="0.3">
      <c r="A35" s="2082"/>
      <c r="B35" s="2085"/>
      <c r="C35" s="2083"/>
    </row>
    <row r="36" spans="1:11" x14ac:dyDescent="0.3">
      <c r="A36" s="2082" t="s">
        <v>1398</v>
      </c>
      <c r="B36" s="2085"/>
      <c r="C36" s="2083"/>
      <c r="K36" s="211" t="s">
        <v>176</v>
      </c>
    </row>
    <row r="37" spans="1:11" ht="15.75" customHeight="1" x14ac:dyDescent="0.3">
      <c r="A37" s="6" t="s">
        <v>3723</v>
      </c>
      <c r="B37" s="1"/>
      <c r="C37" s="8"/>
    </row>
    <row r="38" spans="1:11" ht="15.75" customHeight="1" x14ac:dyDescent="0.3">
      <c r="A38" s="2799" t="s">
        <v>2835</v>
      </c>
      <c r="B38" s="2827"/>
      <c r="C38" s="2801"/>
    </row>
    <row r="39" spans="1:11" ht="15.75" customHeight="1" x14ac:dyDescent="0.3">
      <c r="A39" s="2799"/>
      <c r="B39" s="2827"/>
      <c r="C39" s="2801"/>
    </row>
    <row r="40" spans="1:11" ht="15.75" customHeight="1" x14ac:dyDescent="0.3">
      <c r="A40" s="2799" t="s">
        <v>2834</v>
      </c>
      <c r="B40" s="2800"/>
      <c r="C40" s="2801"/>
    </row>
    <row r="41" spans="1:11" ht="15.75" customHeight="1" thickBot="1" x14ac:dyDescent="0.35">
      <c r="A41" s="9" t="s">
        <v>2844</v>
      </c>
      <c r="B41" s="25"/>
      <c r="C41" s="26"/>
    </row>
    <row r="42" spans="1:11" x14ac:dyDescent="0.3">
      <c r="A42" s="12" t="s">
        <v>2843</v>
      </c>
      <c r="B42" s="12"/>
    </row>
  </sheetData>
  <mergeCells count="3">
    <mergeCell ref="A32:C34"/>
    <mergeCell ref="A38:C39"/>
    <mergeCell ref="A40:C40"/>
  </mergeCells>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7CD10-A85B-479F-A82F-A18D79905B0A}">
  <sheetPr codeName="Sheet28">
    <tabColor theme="9" tint="0.59999389629810485"/>
  </sheetPr>
  <dimension ref="A1:O35"/>
  <sheetViews>
    <sheetView showGridLines="0" zoomScaleNormal="100" workbookViewId="0">
      <selection activeCell="M16" sqref="M16"/>
    </sheetView>
  </sheetViews>
  <sheetFormatPr defaultColWidth="8.6640625" defaultRowHeight="13.8" x14ac:dyDescent="0.25"/>
  <cols>
    <col min="1" max="2" width="14.5546875" style="1" customWidth="1"/>
    <col min="3" max="3" width="9.109375" style="1" bestFit="1" customWidth="1"/>
    <col min="4" max="4" width="12" style="1" bestFit="1" customWidth="1"/>
    <col min="5" max="5" width="9.33203125" style="1" customWidth="1"/>
    <col min="6" max="6" width="4.5546875" style="1" customWidth="1"/>
    <col min="7" max="8" width="10.6640625" style="1" customWidth="1"/>
    <col min="9" max="16384" width="8.6640625" style="1"/>
  </cols>
  <sheetData>
    <row r="1" spans="1:15" ht="15.6" x14ac:dyDescent="0.3">
      <c r="A1" s="459" t="s">
        <v>1320</v>
      </c>
      <c r="B1" s="211"/>
      <c r="C1" s="211"/>
      <c r="D1" s="211"/>
      <c r="E1" s="211"/>
      <c r="F1" s="211"/>
    </row>
    <row r="2" spans="1:15" ht="15.6" x14ac:dyDescent="0.3">
      <c r="A2" s="152" t="s">
        <v>1342</v>
      </c>
      <c r="B2" s="211"/>
      <c r="C2" s="211"/>
      <c r="D2" s="211"/>
      <c r="E2" s="211"/>
      <c r="F2" s="211"/>
    </row>
    <row r="3" spans="1:15" ht="8.25" customHeight="1" thickBot="1" x14ac:dyDescent="0.35">
      <c r="A3" s="211"/>
      <c r="B3" s="211"/>
      <c r="C3" s="211"/>
      <c r="D3" s="211"/>
      <c r="E3" s="211"/>
      <c r="F3" s="211"/>
    </row>
    <row r="4" spans="1:15" ht="16.5" customHeight="1" x14ac:dyDescent="0.3">
      <c r="A4" s="2848" t="s">
        <v>1624</v>
      </c>
      <c r="B4" s="2849"/>
      <c r="C4" s="1168"/>
      <c r="D4" s="1168"/>
      <c r="E4" s="512"/>
      <c r="F4" s="513"/>
      <c r="G4" s="1191"/>
      <c r="H4" s="1192"/>
      <c r="O4" s="1" t="s">
        <v>176</v>
      </c>
    </row>
    <row r="5" spans="1:15" ht="18.600000000000001" x14ac:dyDescent="0.3">
      <c r="A5" s="1169" t="s">
        <v>156</v>
      </c>
      <c r="B5" s="1170" t="s">
        <v>975</v>
      </c>
      <c r="C5" s="1170" t="s">
        <v>1348</v>
      </c>
      <c r="D5" s="1170" t="s">
        <v>1343</v>
      </c>
      <c r="E5" s="510" t="s">
        <v>458</v>
      </c>
      <c r="F5" s="514"/>
      <c r="G5" s="1193" t="s">
        <v>1346</v>
      </c>
      <c r="H5" s="1194" t="s">
        <v>1347</v>
      </c>
    </row>
    <row r="6" spans="1:15" ht="15.6" x14ac:dyDescent="0.3">
      <c r="A6" s="1171">
        <v>1984</v>
      </c>
      <c r="B6" s="1172">
        <v>135946</v>
      </c>
      <c r="C6" s="1172">
        <v>13380</v>
      </c>
      <c r="D6" s="1173">
        <v>24759</v>
      </c>
      <c r="E6" s="511">
        <v>214</v>
      </c>
      <c r="F6" s="515"/>
      <c r="G6" s="1188">
        <f>B6/D6</f>
        <v>5.4907710327557657</v>
      </c>
      <c r="H6" s="1189">
        <f>C6/D6</f>
        <v>0.54040954804313579</v>
      </c>
    </row>
    <row r="7" spans="1:15" ht="15.6" x14ac:dyDescent="0.3">
      <c r="A7" s="1171">
        <v>1983</v>
      </c>
      <c r="B7" s="1173">
        <v>133531</v>
      </c>
      <c r="C7" s="1173">
        <v>13699</v>
      </c>
      <c r="D7" s="1173">
        <v>24651</v>
      </c>
      <c r="E7" s="511">
        <v>207</v>
      </c>
      <c r="F7" s="515"/>
      <c r="G7" s="1186">
        <f t="shared" ref="G7:G18" si="0">B7/D7</f>
        <v>5.4168593566183931</v>
      </c>
      <c r="H7" s="1187">
        <f t="shared" ref="H7:H18" si="1">C7/D7</f>
        <v>0.55571782077806176</v>
      </c>
    </row>
    <row r="8" spans="1:15" ht="15.6" x14ac:dyDescent="0.3">
      <c r="A8" s="1171">
        <v>1982</v>
      </c>
      <c r="B8" s="1173">
        <v>123662</v>
      </c>
      <c r="C8" s="1173">
        <v>11875</v>
      </c>
      <c r="D8" s="1173">
        <v>24216</v>
      </c>
      <c r="E8" s="511">
        <v>202</v>
      </c>
      <c r="F8" s="515"/>
      <c r="G8" s="1186">
        <f t="shared" si="0"/>
        <v>5.1066237198546416</v>
      </c>
      <c r="H8" s="1187">
        <f t="shared" si="1"/>
        <v>0.49037826230591347</v>
      </c>
      <c r="L8" s="1" t="s">
        <v>176</v>
      </c>
    </row>
    <row r="9" spans="1:15" ht="15.6" x14ac:dyDescent="0.3">
      <c r="A9" s="1171">
        <v>1981</v>
      </c>
      <c r="B9" s="1173">
        <v>112578</v>
      </c>
      <c r="C9" s="1173">
        <v>10779</v>
      </c>
      <c r="D9" s="1173">
        <v>24052</v>
      </c>
      <c r="E9" s="511">
        <v>199</v>
      </c>
      <c r="F9" s="515"/>
      <c r="G9" s="1186">
        <f t="shared" si="0"/>
        <v>4.680608681190753</v>
      </c>
      <c r="H9" s="1187">
        <f t="shared" si="1"/>
        <v>0.44815399966738734</v>
      </c>
    </row>
    <row r="10" spans="1:15" ht="15.6" x14ac:dyDescent="0.3">
      <c r="A10" s="1171">
        <v>1980</v>
      </c>
      <c r="B10" s="1173">
        <v>97715</v>
      </c>
      <c r="C10" s="1173">
        <v>7547</v>
      </c>
      <c r="D10" s="1173">
        <v>24065</v>
      </c>
      <c r="E10" s="511">
        <v>191</v>
      </c>
      <c r="F10" s="515"/>
      <c r="G10" s="1186">
        <f t="shared" si="0"/>
        <v>4.0604612507791398</v>
      </c>
      <c r="H10" s="1187">
        <f t="shared" si="1"/>
        <v>0.31360897569083729</v>
      </c>
    </row>
    <row r="11" spans="1:15" ht="15.6" x14ac:dyDescent="0.3">
      <c r="A11" s="1171">
        <v>1979</v>
      </c>
      <c r="B11" s="1173">
        <v>87314</v>
      </c>
      <c r="C11" s="1173">
        <v>6330</v>
      </c>
      <c r="D11" s="1173">
        <v>23985</v>
      </c>
      <c r="E11" s="511">
        <v>188</v>
      </c>
      <c r="F11" s="515"/>
      <c r="G11" s="1186">
        <f t="shared" si="0"/>
        <v>3.6403585574317283</v>
      </c>
      <c r="H11" s="1187">
        <f t="shared" si="1"/>
        <v>0.26391494684177613</v>
      </c>
    </row>
    <row r="12" spans="1:15" ht="15.6" x14ac:dyDescent="0.3">
      <c r="A12" s="1171">
        <v>1978</v>
      </c>
      <c r="B12" s="1173">
        <v>73653</v>
      </c>
      <c r="C12" s="1173">
        <v>6178</v>
      </c>
      <c r="D12" s="1173">
        <v>22407</v>
      </c>
      <c r="E12" s="511">
        <v>182</v>
      </c>
      <c r="F12" s="515"/>
      <c r="G12" s="1186">
        <f t="shared" si="0"/>
        <v>3.2870531530325344</v>
      </c>
      <c r="H12" s="1187">
        <f t="shared" si="1"/>
        <v>0.27571740973802827</v>
      </c>
    </row>
    <row r="13" spans="1:15" ht="15.6" x14ac:dyDescent="0.3">
      <c r="A13" s="1171">
        <v>1977</v>
      </c>
      <c r="B13" s="1173">
        <v>62886</v>
      </c>
      <c r="C13" s="1173">
        <v>6154</v>
      </c>
      <c r="D13" s="1173">
        <v>20921</v>
      </c>
      <c r="E13" s="511">
        <v>179</v>
      </c>
      <c r="F13" s="515"/>
      <c r="G13" s="1186">
        <f t="shared" si="0"/>
        <v>3.0058792600736104</v>
      </c>
      <c r="H13" s="1187">
        <f t="shared" si="1"/>
        <v>0.29415419913006069</v>
      </c>
    </row>
    <row r="14" spans="1:15" ht="15.6" x14ac:dyDescent="0.3">
      <c r="A14" s="1171">
        <v>1976</v>
      </c>
      <c r="B14" s="1173">
        <v>56333</v>
      </c>
      <c r="C14" s="1173">
        <v>5569</v>
      </c>
      <c r="D14" s="1173">
        <v>20553</v>
      </c>
      <c r="E14" s="511">
        <v>173</v>
      </c>
      <c r="F14" s="515"/>
      <c r="G14" s="1186">
        <f t="shared" si="0"/>
        <v>2.7408650805235246</v>
      </c>
      <c r="H14" s="1187">
        <f t="shared" si="1"/>
        <v>0.27095801099596167</v>
      </c>
    </row>
    <row r="15" spans="1:15" ht="15.6" x14ac:dyDescent="0.3">
      <c r="A15" s="1171">
        <v>1975</v>
      </c>
      <c r="B15" s="1173">
        <v>50492</v>
      </c>
      <c r="C15" s="1173">
        <v>5132</v>
      </c>
      <c r="D15" s="1173">
        <v>19134</v>
      </c>
      <c r="E15" s="511">
        <v>172</v>
      </c>
      <c r="F15" s="515"/>
      <c r="G15" s="1186">
        <f t="shared" si="0"/>
        <v>2.6388627573952128</v>
      </c>
      <c r="H15" s="1187">
        <f t="shared" si="1"/>
        <v>0.26821365109229645</v>
      </c>
    </row>
    <row r="16" spans="1:15" ht="15.6" x14ac:dyDescent="0.3">
      <c r="A16" s="1171">
        <v>1974</v>
      </c>
      <c r="B16" s="1173">
        <v>41248</v>
      </c>
      <c r="C16" s="1173">
        <v>3021</v>
      </c>
      <c r="D16" s="1173">
        <v>17883</v>
      </c>
      <c r="E16" s="511">
        <v>170</v>
      </c>
      <c r="F16" s="515"/>
      <c r="G16" s="1186">
        <f t="shared" si="0"/>
        <v>2.3065481183246659</v>
      </c>
      <c r="H16" s="1187">
        <f t="shared" si="1"/>
        <v>0.1689313873511156</v>
      </c>
    </row>
    <row r="17" spans="1:10" ht="15.6" x14ac:dyDescent="0.3">
      <c r="A17" s="1171">
        <v>1973</v>
      </c>
      <c r="B17" s="1173">
        <v>35050</v>
      </c>
      <c r="C17" s="1173">
        <v>1940</v>
      </c>
      <c r="D17" s="1173">
        <v>17813</v>
      </c>
      <c r="E17" s="511">
        <v>169</v>
      </c>
      <c r="F17" s="515"/>
      <c r="G17" s="1186">
        <f t="shared" si="0"/>
        <v>1.9676640655700892</v>
      </c>
      <c r="H17" s="1187">
        <f t="shared" si="1"/>
        <v>0.10890922360074103</v>
      </c>
    </row>
    <row r="18" spans="1:10" ht="15.6" x14ac:dyDescent="0.3">
      <c r="A18" s="1171">
        <v>1972</v>
      </c>
      <c r="B18" s="1174">
        <v>31337</v>
      </c>
      <c r="C18" s="1174">
        <v>2083</v>
      </c>
      <c r="D18" s="1173">
        <v>16954</v>
      </c>
      <c r="E18" s="511">
        <v>167</v>
      </c>
      <c r="F18" s="515"/>
      <c r="G18" s="1188">
        <f t="shared" si="0"/>
        <v>1.8483543706499941</v>
      </c>
      <c r="H18" s="1189">
        <f t="shared" si="1"/>
        <v>0.12286186150760882</v>
      </c>
      <c r="J18" s="77" t="s">
        <v>460</v>
      </c>
    </row>
    <row r="19" spans="1:10" ht="8.4" customHeight="1" x14ac:dyDescent="0.3">
      <c r="A19" s="734"/>
      <c r="B19" s="402"/>
      <c r="C19" s="402"/>
      <c r="D19" s="813"/>
      <c r="E19" s="503"/>
      <c r="F19" s="516"/>
      <c r="G19" s="1180"/>
      <c r="H19" s="1190"/>
    </row>
    <row r="20" spans="1:10" ht="15.6" x14ac:dyDescent="0.3">
      <c r="A20" s="1175" t="s">
        <v>1349</v>
      </c>
      <c r="B20" s="402"/>
      <c r="C20" s="402"/>
      <c r="D20" s="1176"/>
      <c r="E20" s="1180"/>
      <c r="F20" s="1181" t="s">
        <v>1344</v>
      </c>
      <c r="G20" s="1182">
        <f>G6/G18-1</f>
        <v>1.9706268018425903</v>
      </c>
      <c r="H20" s="140">
        <f>H6/H18-1</f>
        <v>3.3985134313602137</v>
      </c>
      <c r="J20" s="69">
        <f>2.49/1</f>
        <v>2.4900000000000002</v>
      </c>
    </row>
    <row r="21" spans="1:10" ht="14.4" thickBot="1" x14ac:dyDescent="0.3">
      <c r="A21" s="1177"/>
      <c r="B21" s="1178"/>
      <c r="C21" s="1178"/>
      <c r="D21" s="1179"/>
      <c r="E21" s="81"/>
      <c r="F21" s="1183" t="s">
        <v>1345</v>
      </c>
      <c r="G21" s="1184">
        <f>(G6/G18)^(1/12)-1</f>
        <v>9.497450648101613E-2</v>
      </c>
      <c r="H21" s="1185">
        <f>(H6/H18)^(1/12)-1</f>
        <v>0.13138085877898775</v>
      </c>
      <c r="J21" s="5">
        <f>(J20)^(1/12)-1</f>
        <v>7.8987993958683722E-2</v>
      </c>
    </row>
    <row r="22" spans="1:10" x14ac:dyDescent="0.25">
      <c r="A22" s="12" t="s">
        <v>2939</v>
      </c>
      <c r="B22" s="13"/>
      <c r="C22" s="13"/>
      <c r="D22" s="2"/>
      <c r="E22" s="2"/>
      <c r="F22" s="2"/>
    </row>
    <row r="23" spans="1:10" x14ac:dyDescent="0.25">
      <c r="B23" s="13"/>
      <c r="C23" s="13"/>
      <c r="D23" s="2"/>
      <c r="E23" s="2"/>
      <c r="F23" s="2"/>
      <c r="J23" s="1" t="s">
        <v>459</v>
      </c>
    </row>
    <row r="24" spans="1:10" x14ac:dyDescent="0.25">
      <c r="A24" s="12"/>
      <c r="B24" s="13"/>
      <c r="C24" s="13"/>
      <c r="D24" s="2"/>
      <c r="E24" s="2"/>
      <c r="F24" s="2"/>
    </row>
    <row r="25" spans="1:10" x14ac:dyDescent="0.25">
      <c r="B25" s="13"/>
      <c r="C25" s="13"/>
      <c r="D25" s="2"/>
      <c r="E25" s="2"/>
      <c r="F25" s="2"/>
    </row>
    <row r="26" spans="1:10" x14ac:dyDescent="0.25">
      <c r="B26" s="104">
        <v>1984</v>
      </c>
      <c r="C26" s="104">
        <v>1983</v>
      </c>
      <c r="D26" s="2" t="s">
        <v>463</v>
      </c>
      <c r="E26" s="1" t="s">
        <v>464</v>
      </c>
    </row>
    <row r="27" spans="1:10" x14ac:dyDescent="0.25">
      <c r="A27" s="1" t="s">
        <v>461</v>
      </c>
      <c r="B27" s="3"/>
      <c r="C27" s="3"/>
      <c r="D27" s="2"/>
      <c r="E27" s="2"/>
      <c r="F27" s="2"/>
    </row>
    <row r="28" spans="1:10" x14ac:dyDescent="0.25">
      <c r="A28" s="1" t="s">
        <v>462</v>
      </c>
      <c r="B28" s="2">
        <v>28631</v>
      </c>
      <c r="C28" s="2">
        <v>27791</v>
      </c>
      <c r="D28" s="2">
        <f>AVERAGE(B28:C28)</f>
        <v>28211</v>
      </c>
      <c r="E28" s="69">
        <f>$C$6/D28</f>
        <v>0.47428308106766864</v>
      </c>
      <c r="F28" s="69"/>
    </row>
    <row r="29" spans="1:10" x14ac:dyDescent="0.25">
      <c r="A29" s="1" t="s">
        <v>346</v>
      </c>
      <c r="B29" s="2">
        <v>34497</v>
      </c>
      <c r="C29" s="2">
        <v>35472</v>
      </c>
      <c r="D29" s="2">
        <f t="shared" ref="D29:D30" si="2">AVERAGE(B29:C29)</f>
        <v>34984.5</v>
      </c>
      <c r="E29" s="69">
        <f t="shared" ref="E29:E30" si="3">$C$6/D29</f>
        <v>0.38245508725292632</v>
      </c>
      <c r="F29" s="69"/>
    </row>
    <row r="30" spans="1:10" x14ac:dyDescent="0.25">
      <c r="A30" s="1" t="s">
        <v>3</v>
      </c>
      <c r="B30" s="2">
        <f>B28+B29</f>
        <v>63128</v>
      </c>
      <c r="C30" s="2">
        <f>C28+C29</f>
        <v>63263</v>
      </c>
      <c r="D30" s="2">
        <f t="shared" si="2"/>
        <v>63195.5</v>
      </c>
      <c r="E30" s="69">
        <f t="shared" si="3"/>
        <v>0.21172393603974968</v>
      </c>
      <c r="F30" s="69"/>
    </row>
    <row r="31" spans="1:10" x14ac:dyDescent="0.25">
      <c r="B31" s="13"/>
      <c r="C31" s="13"/>
    </row>
    <row r="32" spans="1:10" x14ac:dyDescent="0.25">
      <c r="B32" s="13"/>
      <c r="C32" s="13"/>
    </row>
    <row r="33" spans="2:3" x14ac:dyDescent="0.25">
      <c r="B33" s="13"/>
      <c r="C33" s="13"/>
    </row>
    <row r="34" spans="2:3" x14ac:dyDescent="0.25">
      <c r="B34" s="13"/>
      <c r="C34" s="13"/>
    </row>
    <row r="35" spans="2:3" x14ac:dyDescent="0.25">
      <c r="B35" s="13"/>
      <c r="C35" s="13"/>
    </row>
  </sheetData>
  <mergeCells count="1">
    <mergeCell ref="A4:B4"/>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363B-ADE5-4F44-BB58-ECCC1962A13C}">
  <sheetPr>
    <tabColor theme="9" tint="0.59999389629810485"/>
  </sheetPr>
  <dimension ref="A1:K34"/>
  <sheetViews>
    <sheetView showGridLines="0" zoomScale="115" zoomScaleNormal="115" workbookViewId="0">
      <selection activeCell="I19" sqref="I19"/>
    </sheetView>
  </sheetViews>
  <sheetFormatPr defaultColWidth="9.109375" defaultRowHeight="15.6" x14ac:dyDescent="0.3"/>
  <cols>
    <col min="1" max="1" width="16.6640625" style="211" customWidth="1"/>
    <col min="2" max="2" width="17.33203125" style="211" customWidth="1"/>
    <col min="3" max="3" width="17.6640625" style="211" customWidth="1"/>
    <col min="4" max="4" width="9.109375" style="211"/>
    <col min="5" max="5" width="33.88671875" style="211" customWidth="1"/>
    <col min="6" max="16384" width="9.109375" style="211"/>
  </cols>
  <sheetData>
    <row r="1" spans="1:11" x14ac:dyDescent="0.3">
      <c r="A1" s="459" t="s">
        <v>1332</v>
      </c>
    </row>
    <row r="2" spans="1:11" x14ac:dyDescent="0.3">
      <c r="A2" s="152" t="s">
        <v>2853</v>
      </c>
    </row>
    <row r="3" spans="1:11" ht="8.25" customHeight="1" thickBot="1" x14ac:dyDescent="0.35"/>
    <row r="4" spans="1:11" x14ac:dyDescent="0.3">
      <c r="A4" s="2160" t="s">
        <v>1204</v>
      </c>
      <c r="B4" s="470" t="s">
        <v>2852</v>
      </c>
      <c r="C4" s="471" t="s">
        <v>2851</v>
      </c>
    </row>
    <row r="5" spans="1:11" x14ac:dyDescent="0.3">
      <c r="A5" s="1371">
        <v>1984</v>
      </c>
      <c r="B5" s="2159">
        <v>-45413</v>
      </c>
      <c r="C5" s="2158" t="s">
        <v>2850</v>
      </c>
      <c r="K5" s="211" t="s">
        <v>176</v>
      </c>
    </row>
    <row r="6" spans="1:11" x14ac:dyDescent="0.3">
      <c r="A6" s="1371">
        <v>1983</v>
      </c>
      <c r="B6" s="511">
        <v>-33192</v>
      </c>
      <c r="C6" s="2157">
        <v>-50974</v>
      </c>
    </row>
    <row r="7" spans="1:11" x14ac:dyDescent="0.3">
      <c r="A7" s="1371">
        <v>1982</v>
      </c>
      <c r="B7" s="511">
        <v>-21462</v>
      </c>
      <c r="C7" s="2157">
        <v>-25066</v>
      </c>
    </row>
    <row r="8" spans="1:11" x14ac:dyDescent="0.3">
      <c r="A8" s="1371">
        <v>1981</v>
      </c>
      <c r="B8" s="511">
        <v>1478</v>
      </c>
      <c r="C8" s="2157">
        <v>-1118</v>
      </c>
    </row>
    <row r="9" spans="1:11" x14ac:dyDescent="0.3">
      <c r="A9" s="1371">
        <v>1980</v>
      </c>
      <c r="B9" s="511">
        <v>6738</v>
      </c>
      <c r="C9" s="2157">
        <v>14887</v>
      </c>
    </row>
    <row r="10" spans="1:11" x14ac:dyDescent="0.3">
      <c r="A10" s="214"/>
      <c r="C10" s="223"/>
    </row>
    <row r="11" spans="1:11" x14ac:dyDescent="0.3">
      <c r="A11" s="2799" t="s">
        <v>2849</v>
      </c>
      <c r="B11" s="2827"/>
      <c r="C11" s="2801"/>
    </row>
    <row r="12" spans="1:11" ht="16.2" thickBot="1" x14ac:dyDescent="0.35">
      <c r="A12" s="2802"/>
      <c r="B12" s="2803"/>
      <c r="C12" s="2804"/>
    </row>
    <row r="13" spans="1:11" ht="15.6" customHeight="1" x14ac:dyDescent="0.3">
      <c r="A13" s="2811" t="s">
        <v>3724</v>
      </c>
      <c r="B13" s="2811"/>
      <c r="C13" s="2811"/>
    </row>
    <row r="14" spans="1:11" x14ac:dyDescent="0.3">
      <c r="A14" s="904"/>
      <c r="B14" s="904"/>
      <c r="C14" s="904"/>
    </row>
    <row r="16" spans="1:11" x14ac:dyDescent="0.3">
      <c r="E16" s="211" t="s">
        <v>176</v>
      </c>
    </row>
    <row r="18" spans="5:9" x14ac:dyDescent="0.3">
      <c r="E18" s="459" t="s">
        <v>1320</v>
      </c>
    </row>
    <row r="19" spans="5:9" x14ac:dyDescent="0.3">
      <c r="E19" s="152" t="s">
        <v>2848</v>
      </c>
    </row>
    <row r="20" spans="5:9" ht="6.6" customHeight="1" thickBot="1" x14ac:dyDescent="0.35"/>
    <row r="21" spans="5:9" x14ac:dyDescent="0.3">
      <c r="E21" s="212" t="s">
        <v>1250</v>
      </c>
      <c r="F21" s="389"/>
      <c r="H21" s="211" t="s">
        <v>176</v>
      </c>
    </row>
    <row r="22" spans="5:9" x14ac:dyDescent="0.3">
      <c r="E22" s="214" t="s">
        <v>740</v>
      </c>
      <c r="F22" s="1381">
        <v>188.9</v>
      </c>
    </row>
    <row r="23" spans="5:9" x14ac:dyDescent="0.3">
      <c r="E23" s="214" t="s">
        <v>2847</v>
      </c>
      <c r="F23" s="1381">
        <v>95.1</v>
      </c>
    </row>
    <row r="24" spans="5:9" x14ac:dyDescent="0.3">
      <c r="E24" s="214" t="s">
        <v>282</v>
      </c>
      <c r="F24" s="1381">
        <v>295</v>
      </c>
    </row>
    <row r="25" spans="5:9" x14ac:dyDescent="0.3">
      <c r="E25" s="214" t="s">
        <v>2846</v>
      </c>
      <c r="F25" s="1381">
        <v>227.6</v>
      </c>
    </row>
    <row r="26" spans="5:9" x14ac:dyDescent="0.3">
      <c r="E26" s="214" t="s">
        <v>746</v>
      </c>
      <c r="F26" s="1381">
        <v>61.6</v>
      </c>
      <c r="I26" s="211" t="s">
        <v>176</v>
      </c>
    </row>
    <row r="27" spans="5:9" ht="4.5" customHeight="1" x14ac:dyDescent="0.3">
      <c r="E27" s="214"/>
      <c r="F27" s="223"/>
    </row>
    <row r="28" spans="5:9" ht="4.5" customHeight="1" x14ac:dyDescent="0.3">
      <c r="E28" s="1155"/>
      <c r="F28" s="1279"/>
    </row>
    <row r="29" spans="5:9" ht="4.5" customHeight="1" x14ac:dyDescent="0.3">
      <c r="E29" s="214"/>
      <c r="F29" s="223"/>
    </row>
    <row r="30" spans="5:9" x14ac:dyDescent="0.3">
      <c r="E30" s="214" t="s">
        <v>3725</v>
      </c>
      <c r="F30" s="216">
        <f>F23/F24</f>
        <v>0.32237288135593217</v>
      </c>
      <c r="H30" s="211" t="s">
        <v>176</v>
      </c>
    </row>
    <row r="31" spans="5:9" x14ac:dyDescent="0.3">
      <c r="E31" s="214" t="s">
        <v>3726</v>
      </c>
      <c r="F31" s="216">
        <f>F23/F25</f>
        <v>0.41783831282952549</v>
      </c>
    </row>
    <row r="32" spans="5:9" ht="16.2" thickBot="1" x14ac:dyDescent="0.35">
      <c r="E32" s="224" t="s">
        <v>3727</v>
      </c>
      <c r="F32" s="2002">
        <f>F26/F24</f>
        <v>0.20881355932203391</v>
      </c>
    </row>
    <row r="33" spans="5:6" x14ac:dyDescent="0.3">
      <c r="E33" s="2811" t="s">
        <v>2939</v>
      </c>
      <c r="F33" s="2811"/>
    </row>
    <row r="34" spans="5:6" x14ac:dyDescent="0.3">
      <c r="E34" s="2805"/>
      <c r="F34" s="2805"/>
    </row>
  </sheetData>
  <mergeCells count="3">
    <mergeCell ref="A11:C12"/>
    <mergeCell ref="E33:F34"/>
    <mergeCell ref="A13:C13"/>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B4-2663-4F5C-BFB1-D519ADEABB9A}">
  <sheetPr codeName="Sheet19">
    <tabColor theme="9" tint="0.59999389629810485"/>
  </sheetPr>
  <dimension ref="A1:F34"/>
  <sheetViews>
    <sheetView showGridLines="0" zoomScale="115" zoomScaleNormal="115" workbookViewId="0">
      <selection activeCell="J21" sqref="J21"/>
    </sheetView>
  </sheetViews>
  <sheetFormatPr defaultColWidth="9.109375" defaultRowHeight="15.6" x14ac:dyDescent="0.3"/>
  <cols>
    <col min="1" max="1" width="42.109375" style="211" customWidth="1"/>
    <col min="2" max="3" width="9.33203125" style="211" bestFit="1" customWidth="1"/>
    <col min="4" max="4" width="9.88671875" style="211" bestFit="1" customWidth="1"/>
    <col min="5" max="5" width="9.33203125" style="211" bestFit="1" customWidth="1"/>
    <col min="6" max="16384" width="9.109375" style="211"/>
  </cols>
  <sheetData>
    <row r="1" spans="1:5" x14ac:dyDescent="0.3">
      <c r="A1" s="459" t="s">
        <v>1320</v>
      </c>
    </row>
    <row r="2" spans="1:5" x14ac:dyDescent="0.3">
      <c r="A2" s="152" t="s">
        <v>1350</v>
      </c>
    </row>
    <row r="3" spans="1:5" ht="6.6" customHeight="1" thickBot="1" x14ac:dyDescent="0.35"/>
    <row r="4" spans="1:5" x14ac:dyDescent="0.3">
      <c r="A4" s="212" t="s">
        <v>1250</v>
      </c>
      <c r="B4" s="501" t="s">
        <v>792</v>
      </c>
      <c r="C4" s="501" t="s">
        <v>794</v>
      </c>
      <c r="D4" s="1591" t="s">
        <v>1625</v>
      </c>
    </row>
    <row r="5" spans="1:5" x14ac:dyDescent="0.3">
      <c r="A5" s="214" t="s">
        <v>798</v>
      </c>
      <c r="B5" s="518">
        <v>22.138999999999999</v>
      </c>
      <c r="C5" s="518">
        <v>88.498019999999997</v>
      </c>
      <c r="D5" s="1592">
        <v>22.138999999999999</v>
      </c>
    </row>
    <row r="6" spans="1:5" x14ac:dyDescent="0.3">
      <c r="A6" s="214" t="s">
        <v>799</v>
      </c>
      <c r="B6" s="398">
        <v>57.125</v>
      </c>
      <c r="C6" s="398">
        <v>365.53</v>
      </c>
      <c r="D6" s="1593">
        <f>B6+C6</f>
        <v>422.65499999999997</v>
      </c>
      <c r="E6" s="278"/>
    </row>
    <row r="7" spans="1:5" x14ac:dyDescent="0.3">
      <c r="A7" s="214" t="s">
        <v>800</v>
      </c>
      <c r="B7" s="398">
        <v>7.3129999999999997</v>
      </c>
      <c r="C7" s="398">
        <v>199.47</v>
      </c>
      <c r="D7" s="1593">
        <f t="shared" ref="D7:D10" si="0">B7+C7</f>
        <v>206.78299999999999</v>
      </c>
      <c r="E7" s="278"/>
    </row>
    <row r="8" spans="1:5" x14ac:dyDescent="0.3">
      <c r="A8" s="214" t="s">
        <v>784</v>
      </c>
      <c r="B8" s="398">
        <v>1.0000000000000001E-5</v>
      </c>
      <c r="C8" s="398">
        <v>486</v>
      </c>
      <c r="D8" s="1593">
        <f t="shared" si="0"/>
        <v>486.00000999999997</v>
      </c>
      <c r="E8" s="278"/>
    </row>
    <row r="9" spans="1:5" x14ac:dyDescent="0.3">
      <c r="A9" s="214" t="s">
        <v>790</v>
      </c>
      <c r="B9" s="398">
        <v>1.0000000000000001E-5</v>
      </c>
      <c r="C9" s="398">
        <v>133</v>
      </c>
      <c r="D9" s="1593">
        <f t="shared" si="0"/>
        <v>133.00001</v>
      </c>
      <c r="E9" s="278"/>
    </row>
    <row r="10" spans="1:5" x14ac:dyDescent="0.3">
      <c r="A10" s="214" t="s">
        <v>791</v>
      </c>
      <c r="B10" s="398">
        <v>-2.5569999999999999</v>
      </c>
      <c r="C10" s="521">
        <v>0</v>
      </c>
      <c r="D10" s="1593">
        <f t="shared" si="0"/>
        <v>-2.5569999999999999</v>
      </c>
      <c r="E10" s="278"/>
    </row>
    <row r="11" spans="1:5" x14ac:dyDescent="0.3">
      <c r="A11" s="214" t="s">
        <v>279</v>
      </c>
      <c r="B11" s="398">
        <v>4.4779999999999998</v>
      </c>
      <c r="C11" s="521">
        <v>0</v>
      </c>
      <c r="D11" s="1593">
        <f>B11+C11</f>
        <v>4.4779999999999998</v>
      </c>
      <c r="E11" s="278"/>
    </row>
    <row r="12" spans="1:5" ht="16.2" thickBot="1" x14ac:dyDescent="0.35">
      <c r="A12" s="214" t="s">
        <v>801</v>
      </c>
      <c r="B12" s="519">
        <v>88.498019999999997</v>
      </c>
      <c r="C12" s="519">
        <v>1272.49802</v>
      </c>
      <c r="D12" s="1594">
        <f>C12</f>
        <v>1272.49802</v>
      </c>
    </row>
    <row r="13" spans="1:5" ht="9.75" customHeight="1" thickTop="1" x14ac:dyDescent="0.3">
      <c r="A13" s="214"/>
      <c r="B13" s="220"/>
      <c r="C13" s="220"/>
      <c r="D13" s="1196"/>
    </row>
    <row r="14" spans="1:5" ht="16.2" thickBot="1" x14ac:dyDescent="0.35">
      <c r="A14" s="224" t="s">
        <v>803</v>
      </c>
      <c r="B14" s="520">
        <v>66.359020000000001</v>
      </c>
      <c r="C14" s="520">
        <v>1184</v>
      </c>
      <c r="D14" s="1195">
        <f>D12-D5</f>
        <v>1250.3590200000001</v>
      </c>
    </row>
    <row r="15" spans="1:5" x14ac:dyDescent="0.3">
      <c r="A15" s="12" t="s">
        <v>1893</v>
      </c>
      <c r="B15" s="277"/>
      <c r="C15" s="277"/>
      <c r="D15" s="277"/>
    </row>
    <row r="17" spans="1:6" x14ac:dyDescent="0.3">
      <c r="A17" s="459" t="s">
        <v>1320</v>
      </c>
    </row>
    <row r="18" spans="1:6" x14ac:dyDescent="0.3">
      <c r="A18" s="152" t="s">
        <v>1352</v>
      </c>
    </row>
    <row r="19" spans="1:6" ht="6.6" customHeight="1" thickBot="1" x14ac:dyDescent="0.35">
      <c r="A19" s="152"/>
    </row>
    <row r="20" spans="1:6" x14ac:dyDescent="0.3">
      <c r="A20" s="453"/>
      <c r="B20" s="470" t="s">
        <v>792</v>
      </c>
      <c r="C20" s="470" t="s">
        <v>794</v>
      </c>
      <c r="D20" s="1591" t="s">
        <v>1351</v>
      </c>
    </row>
    <row r="21" spans="1:6" x14ac:dyDescent="0.3">
      <c r="A21" s="214" t="s">
        <v>799</v>
      </c>
      <c r="B21" s="1877">
        <v>0.86084755320376938</v>
      </c>
      <c r="C21" s="1877">
        <v>0.30872466216216216</v>
      </c>
      <c r="D21" s="1878">
        <f>D6/$D$14</f>
        <v>0.33802691326208045</v>
      </c>
    </row>
    <row r="22" spans="1:6" x14ac:dyDescent="0.3">
      <c r="A22" s="214" t="s">
        <v>800</v>
      </c>
      <c r="B22" s="1877">
        <v>0.11020355635149524</v>
      </c>
      <c r="C22" s="1877">
        <v>0.16847128378378379</v>
      </c>
      <c r="D22" s="1878">
        <f t="shared" ref="D22:D26" si="1">D7/$D$14</f>
        <v>0.1653789005337043</v>
      </c>
    </row>
    <row r="23" spans="1:6" x14ac:dyDescent="0.3">
      <c r="A23" s="214" t="s">
        <v>784</v>
      </c>
      <c r="B23" s="1877">
        <v>1.5069541412757452E-7</v>
      </c>
      <c r="C23" s="1877">
        <v>0.41047297297297297</v>
      </c>
      <c r="D23" s="1878">
        <f t="shared" si="1"/>
        <v>0.38868837048098387</v>
      </c>
    </row>
    <row r="24" spans="1:6" x14ac:dyDescent="0.3">
      <c r="A24" s="214" t="s">
        <v>790</v>
      </c>
      <c r="B24" s="1877">
        <v>1.5069541412757452E-7</v>
      </c>
      <c r="C24" s="1877">
        <v>0.11233108108108109</v>
      </c>
      <c r="D24" s="1878">
        <f>D9/$D$14</f>
        <v>0.10636945699004115</v>
      </c>
    </row>
    <row r="25" spans="1:6" x14ac:dyDescent="0.3">
      <c r="A25" s="214" t="s">
        <v>791</v>
      </c>
      <c r="B25" s="1877">
        <v>-3.8532817392420801E-2</v>
      </c>
      <c r="C25" s="1877">
        <v>0</v>
      </c>
      <c r="D25" s="1878">
        <f t="shared" si="1"/>
        <v>-2.0450126396496901E-3</v>
      </c>
    </row>
    <row r="26" spans="1:6" x14ac:dyDescent="0.3">
      <c r="A26" s="214" t="s">
        <v>279</v>
      </c>
      <c r="B26" s="1877">
        <v>6.7481406446327871E-2</v>
      </c>
      <c r="C26" s="1877">
        <v>0</v>
      </c>
      <c r="D26" s="1878">
        <f t="shared" si="1"/>
        <v>3.581371372839778E-3</v>
      </c>
    </row>
    <row r="27" spans="1:6" ht="16.2" thickBot="1" x14ac:dyDescent="0.35">
      <c r="A27" s="214" t="s">
        <v>3</v>
      </c>
      <c r="B27" s="1879">
        <v>1</v>
      </c>
      <c r="C27" s="1879">
        <v>1</v>
      </c>
      <c r="D27" s="1880">
        <v>1.0000843687564316</v>
      </c>
    </row>
    <row r="28" spans="1:6" ht="16.2" thickTop="1" x14ac:dyDescent="0.3">
      <c r="A28" s="214"/>
      <c r="B28" s="517"/>
      <c r="C28" s="517"/>
      <c r="D28" s="1197"/>
    </row>
    <row r="29" spans="1:6" x14ac:dyDescent="0.3">
      <c r="A29" s="6" t="s">
        <v>1626</v>
      </c>
      <c r="B29" s="517"/>
      <c r="C29" s="517"/>
      <c r="D29" s="1197"/>
    </row>
    <row r="30" spans="1:6" ht="3.75" customHeight="1" thickBot="1" x14ac:dyDescent="0.35">
      <c r="A30" s="224"/>
      <c r="B30" s="218"/>
      <c r="C30" s="218"/>
      <c r="D30" s="1198"/>
    </row>
    <row r="31" spans="1:6" x14ac:dyDescent="0.3">
      <c r="A31" s="12" t="s">
        <v>1893</v>
      </c>
      <c r="F31" s="211" t="s">
        <v>176</v>
      </c>
    </row>
    <row r="34" spans="1:1" x14ac:dyDescent="0.3">
      <c r="A34" s="211" t="s">
        <v>176</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6214-2B7E-4B90-9592-98697005E87A}">
  <sheetPr>
    <tabColor theme="9" tint="0.59999389629810485"/>
  </sheetPr>
  <dimension ref="A1:W180"/>
  <sheetViews>
    <sheetView zoomScale="55" zoomScaleNormal="55" workbookViewId="0">
      <pane xSplit="3" ySplit="1" topLeftCell="D6" activePane="bottomRight" state="frozen"/>
      <selection pane="topRight" activeCell="D1" sqref="D1"/>
      <selection pane="bottomLeft" activeCell="A2" sqref="A2"/>
      <selection pane="bottomRight" activeCell="Q48" sqref="Q48"/>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7" width="16.88671875" style="211" bestFit="1" customWidth="1"/>
    <col min="18" max="18" width="14.109375" style="211" customWidth="1"/>
    <col min="19" max="19" width="28.88671875" style="211" customWidth="1"/>
    <col min="20" max="20" width="27.88671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2938</v>
      </c>
    </row>
    <row r="2" spans="1:22" x14ac:dyDescent="0.3">
      <c r="I2" s="2230">
        <v>23653</v>
      </c>
      <c r="J2" s="230">
        <v>1137778</v>
      </c>
      <c r="P2" s="252">
        <f>'3. Financials'!M58</f>
        <v>22138753</v>
      </c>
      <c r="V2" s="2088">
        <f>Table2[[#This Row],[Column3]]</f>
        <v>0</v>
      </c>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Table2[[#This Row],[Column3]]</f>
        <v>1965-Q1</v>
      </c>
    </row>
    <row r="4" spans="1:22" x14ac:dyDescent="0.3">
      <c r="A4" s="211">
        <v>1965</v>
      </c>
      <c r="B4" s="211" t="s">
        <v>2907</v>
      </c>
      <c r="C4" s="2088" t="str">
        <f t="shared" ref="C4:C42" si="0">CONCATENATE(A4,"-",B4)</f>
        <v>1965-Q2</v>
      </c>
      <c r="D4" s="2228"/>
      <c r="E4" s="252">
        <v>21</v>
      </c>
      <c r="F4" s="252">
        <v>16</v>
      </c>
      <c r="G4" s="252">
        <f t="shared" ref="G4:G82" si="1">AVERAGE(E4:F4)</f>
        <v>18.5</v>
      </c>
      <c r="I4" s="460"/>
      <c r="J4" s="230"/>
      <c r="L4" s="252">
        <f>K3*E4</f>
        <v>22630912.5</v>
      </c>
      <c r="M4" s="252">
        <f>K3*F4</f>
        <v>17242600</v>
      </c>
      <c r="N4" s="252">
        <f t="shared" ref="N4:N42" si="2">AVERAGE(L4:M4)</f>
        <v>19936756.25</v>
      </c>
      <c r="P4" s="252"/>
      <c r="S4" s="348">
        <f>L4/Q3</f>
        <v>0.97005838140047418</v>
      </c>
      <c r="T4" s="348">
        <f>M4/Q3</f>
        <v>0.73909210011464699</v>
      </c>
      <c r="U4" s="1043">
        <f t="shared" ref="U4:U38" si="3">AVERAGE(S4:T4)</f>
        <v>0.85457524075756064</v>
      </c>
      <c r="V4" s="2088" t="str">
        <f>Table2[[#This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29" t="str">
        <f>Table2[[#This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ref="U39:U70" si="8">AVERAGE(S39:T39)</f>
        <v>0.85605378312291514</v>
      </c>
      <c r="V39" s="2088" t="str">
        <f>Table2[[#This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8"/>
        <v>0.80978060565681165</v>
      </c>
      <c r="V40" s="2088" t="str">
        <f>Table2[[#This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8"/>
        <v>0.6536086317087122</v>
      </c>
      <c r="V41" s="2088" t="str">
        <f>Table2[[#This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8"/>
        <v>0.51478909931040162</v>
      </c>
      <c r="V42" s="2088" t="str">
        <f>Table2[[#This Row],[Column3]]</f>
        <v>1974-Q4</v>
      </c>
    </row>
    <row r="43" spans="1:22" x14ac:dyDescent="0.3">
      <c r="A43" s="211">
        <f t="shared" si="6"/>
        <v>1975</v>
      </c>
      <c r="B43" s="211" t="str">
        <f t="shared" si="7"/>
        <v>Q1</v>
      </c>
      <c r="C43" s="2088" t="str">
        <f t="shared" ref="C43:C55" si="9">CONCATENATE(A43,"-",B43)</f>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ref="N43:N50" si="10">AVERAGE(L43:M43)</f>
        <v>43590820.5</v>
      </c>
      <c r="P43" s="252">
        <f>'4. Financials'!O84</f>
        <v>92890192</v>
      </c>
      <c r="Q43" s="252">
        <f>AVERAGE(P39,P43)</f>
        <v>90544409.5</v>
      </c>
      <c r="S43" s="348">
        <f>L43/Q43</f>
        <v>0.55175155789160013</v>
      </c>
      <c r="T43" s="348">
        <f>M43/Q43</f>
        <v>0.4111090039192315</v>
      </c>
      <c r="U43" s="1043">
        <f t="shared" si="8"/>
        <v>0.48143028090541584</v>
      </c>
      <c r="V43" s="2088" t="str">
        <f>Table2[[#This Row],[Column3]]</f>
        <v>1975-Q1</v>
      </c>
    </row>
    <row r="44" spans="1:22" x14ac:dyDescent="0.3">
      <c r="A44" s="211">
        <f t="shared" si="6"/>
        <v>1975</v>
      </c>
      <c r="B44" s="211" t="str">
        <f t="shared" si="7"/>
        <v>Q2</v>
      </c>
      <c r="C44" s="2088" t="str">
        <f t="shared" si="9"/>
        <v>1975-Q2</v>
      </c>
      <c r="E44" s="252">
        <v>51</v>
      </c>
      <c r="F44" s="252">
        <v>45</v>
      </c>
      <c r="G44" s="252">
        <f t="shared" si="1"/>
        <v>48</v>
      </c>
      <c r="J44" s="230"/>
      <c r="L44" s="252">
        <f>K43*E44</f>
        <v>49958019</v>
      </c>
      <c r="M44" s="252">
        <f>K43*F44</f>
        <v>44080605</v>
      </c>
      <c r="N44" s="252">
        <f t="shared" si="10"/>
        <v>47019312</v>
      </c>
      <c r="P44" s="252"/>
      <c r="Q44" s="252"/>
      <c r="S44" s="348">
        <f>L44/Q43</f>
        <v>0.55175155789160013</v>
      </c>
      <c r="T44" s="348">
        <f>M44/Q43</f>
        <v>0.48683960990435304</v>
      </c>
      <c r="U44" s="1043">
        <f t="shared" si="8"/>
        <v>0.51929558389797659</v>
      </c>
      <c r="V44" s="2088" t="str">
        <f>Table2[[#This Row],[Column3]]</f>
        <v>1975-Q2</v>
      </c>
    </row>
    <row r="45" spans="1:22" x14ac:dyDescent="0.3">
      <c r="A45" s="211">
        <f t="shared" si="6"/>
        <v>1975</v>
      </c>
      <c r="B45" s="211" t="str">
        <f t="shared" si="7"/>
        <v>Q3</v>
      </c>
      <c r="C45" s="2088" t="str">
        <f t="shared" si="9"/>
        <v>1975-Q3</v>
      </c>
      <c r="E45" s="252">
        <v>60</v>
      </c>
      <c r="F45" s="252">
        <v>41</v>
      </c>
      <c r="G45" s="252">
        <f t="shared" si="1"/>
        <v>50.5</v>
      </c>
      <c r="J45" s="230"/>
      <c r="L45" s="252">
        <f>K43*E45</f>
        <v>58774140</v>
      </c>
      <c r="M45" s="252">
        <f>K43*F45</f>
        <v>40162329</v>
      </c>
      <c r="N45" s="252">
        <f t="shared" si="10"/>
        <v>49468234.5</v>
      </c>
      <c r="P45" s="252"/>
      <c r="Q45" s="252"/>
      <c r="S45" s="348">
        <f>L45/Q43</f>
        <v>0.64911947987247076</v>
      </c>
      <c r="T45" s="348">
        <f>M45/Q43</f>
        <v>0.44356497791285504</v>
      </c>
      <c r="U45" s="1043">
        <f t="shared" si="8"/>
        <v>0.54634222889266293</v>
      </c>
      <c r="V45" s="2088" t="str">
        <f>Table2[[#This Row],[Column3]]</f>
        <v>1975-Q3</v>
      </c>
    </row>
    <row r="46" spans="1:22" x14ac:dyDescent="0.3">
      <c r="A46" s="211">
        <f t="shared" si="6"/>
        <v>1975</v>
      </c>
      <c r="B46" s="211" t="str">
        <f t="shared" si="7"/>
        <v>Q4</v>
      </c>
      <c r="C46" s="2088" t="str">
        <f t="shared" si="9"/>
        <v>1975-Q4</v>
      </c>
      <c r="E46" s="252">
        <v>43</v>
      </c>
      <c r="F46" s="252">
        <v>38</v>
      </c>
      <c r="G46" s="252">
        <f t="shared" si="1"/>
        <v>40.5</v>
      </c>
      <c r="J46" s="230"/>
      <c r="L46" s="252">
        <f>K43*E46</f>
        <v>42121467</v>
      </c>
      <c r="M46" s="252">
        <f>K43*F46</f>
        <v>37223622</v>
      </c>
      <c r="N46" s="252">
        <f t="shared" si="10"/>
        <v>39672544.5</v>
      </c>
      <c r="P46" s="252"/>
      <c r="Q46" s="252"/>
      <c r="S46" s="348">
        <f>L46/Q43</f>
        <v>0.46520229390860407</v>
      </c>
      <c r="T46" s="348">
        <f>M46/Q43</f>
        <v>0.4111090039192315</v>
      </c>
      <c r="U46" s="1043">
        <f t="shared" si="8"/>
        <v>0.43815564891391778</v>
      </c>
      <c r="V46" s="2088" t="str">
        <f>Table2[[#This Row],[Column3]]</f>
        <v>1975-Q4</v>
      </c>
    </row>
    <row r="47" spans="1:22" x14ac:dyDescent="0.3">
      <c r="A47" s="211">
        <f t="shared" si="6"/>
        <v>1976</v>
      </c>
      <c r="B47" s="211" t="str">
        <f t="shared" si="7"/>
        <v>Q1</v>
      </c>
      <c r="C47" s="2088" t="str">
        <f t="shared" si="9"/>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10"/>
        <v>45883538.5</v>
      </c>
      <c r="P47" s="252">
        <f>'4. Financials'!N84</f>
        <v>115293133</v>
      </c>
      <c r="Q47" s="252">
        <f>AVERAGE(P43,P47)</f>
        <v>104091662.5</v>
      </c>
      <c r="S47" s="348">
        <f>L47/Q47</f>
        <v>0.52520775138931031</v>
      </c>
      <c r="T47" s="348">
        <f>M47/Q47</f>
        <v>0.35639097415703203</v>
      </c>
      <c r="U47" s="1043">
        <f t="shared" si="8"/>
        <v>0.44079936277317117</v>
      </c>
      <c r="V47" s="2088" t="str">
        <f>Table2[[#This Row],[Column3]]</f>
        <v>1976-Q1</v>
      </c>
    </row>
    <row r="48" spans="1:22" x14ac:dyDescent="0.3">
      <c r="A48" s="211">
        <f t="shared" si="6"/>
        <v>1976</v>
      </c>
      <c r="B48" s="211" t="str">
        <f t="shared" si="7"/>
        <v>Q2</v>
      </c>
      <c r="C48" s="2088" t="str">
        <f t="shared" si="9"/>
        <v>1976-Q2</v>
      </c>
      <c r="E48" s="252">
        <v>60</v>
      </c>
      <c r="F48" s="252">
        <v>55</v>
      </c>
      <c r="G48" s="252">
        <f t="shared" si="1"/>
        <v>57.5</v>
      </c>
      <c r="J48" s="230"/>
      <c r="L48" s="252">
        <f>K47*E48</f>
        <v>58574730</v>
      </c>
      <c r="M48" s="252">
        <f>K47*F48</f>
        <v>53693502.5</v>
      </c>
      <c r="N48" s="252">
        <f t="shared" si="10"/>
        <v>56134116.25</v>
      </c>
      <c r="P48" s="252"/>
      <c r="Q48" s="252"/>
      <c r="S48" s="348">
        <f>L48/Q47</f>
        <v>0.56272259077426112</v>
      </c>
      <c r="T48" s="348">
        <f>M48/Q47</f>
        <v>0.51582904154307263</v>
      </c>
      <c r="U48" s="1043">
        <f t="shared" si="8"/>
        <v>0.53927581615866682</v>
      </c>
      <c r="V48" s="2088" t="str">
        <f>Table2[[#This Row],[Column3]]</f>
        <v>1976-Q2</v>
      </c>
    </row>
    <row r="49" spans="1:22" x14ac:dyDescent="0.3">
      <c r="A49" s="211">
        <f t="shared" si="6"/>
        <v>1976</v>
      </c>
      <c r="B49" s="211" t="str">
        <f t="shared" si="7"/>
        <v>Q3</v>
      </c>
      <c r="C49" s="2088" t="str">
        <f t="shared" si="9"/>
        <v>1976-Q3</v>
      </c>
      <c r="E49" s="252">
        <v>73</v>
      </c>
      <c r="F49" s="252">
        <v>61</v>
      </c>
      <c r="G49" s="252">
        <f t="shared" si="1"/>
        <v>67</v>
      </c>
      <c r="J49" s="230"/>
      <c r="L49" s="252">
        <f>K47*E49</f>
        <v>71265921.5</v>
      </c>
      <c r="M49" s="252">
        <f>K47*F49</f>
        <v>59550975.5</v>
      </c>
      <c r="N49" s="252">
        <f t="shared" si="10"/>
        <v>65408448.5</v>
      </c>
      <c r="P49" s="252"/>
      <c r="Q49" s="252"/>
      <c r="S49" s="348">
        <f>L49/Q47</f>
        <v>0.68464581877535102</v>
      </c>
      <c r="T49" s="348">
        <f>M49/Q47</f>
        <v>0.5721013006204988</v>
      </c>
      <c r="U49" s="1043">
        <f t="shared" si="8"/>
        <v>0.62837355969792497</v>
      </c>
      <c r="V49" s="2088" t="str">
        <f>Table2[[#This Row],[Column3]]</f>
        <v>1976-Q3</v>
      </c>
    </row>
    <row r="50" spans="1:22" x14ac:dyDescent="0.3">
      <c r="A50" s="211">
        <f t="shared" si="6"/>
        <v>1976</v>
      </c>
      <c r="B50" s="211" t="str">
        <f t="shared" si="7"/>
        <v>Q4</v>
      </c>
      <c r="C50" s="2088" t="str">
        <f t="shared" si="9"/>
        <v>1976-Q4</v>
      </c>
      <c r="E50" s="252">
        <v>95</v>
      </c>
      <c r="F50" s="252">
        <v>66</v>
      </c>
      <c r="G50" s="252">
        <f t="shared" si="1"/>
        <v>80.5</v>
      </c>
      <c r="J50" s="230"/>
      <c r="L50" s="252">
        <f>K47*E50</f>
        <v>92743322.5</v>
      </c>
      <c r="M50" s="252">
        <f>K47*F50</f>
        <v>64432203</v>
      </c>
      <c r="N50" s="252">
        <f t="shared" si="10"/>
        <v>78587762.75</v>
      </c>
      <c r="P50" s="252"/>
      <c r="Q50" s="252"/>
      <c r="S50" s="348">
        <f>L50/Q47</f>
        <v>0.89097743539258012</v>
      </c>
      <c r="T50" s="348">
        <f>M50/Q47</f>
        <v>0.61899484985168718</v>
      </c>
      <c r="U50" s="1043">
        <f t="shared" si="8"/>
        <v>0.75498614262213359</v>
      </c>
      <c r="V50" s="2088" t="str">
        <f>Table2[[#This Row],[Column3]]</f>
        <v>1976-Q4</v>
      </c>
    </row>
    <row r="51" spans="1:22" x14ac:dyDescent="0.3">
      <c r="A51" s="211">
        <f t="shared" si="6"/>
        <v>1977</v>
      </c>
      <c r="B51" s="211" t="str">
        <f t="shared" si="7"/>
        <v>Q1</v>
      </c>
      <c r="C51" s="2088" t="str">
        <f t="shared" si="9"/>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ref="N51:N58" si="11">AVERAGE(L51:M51)</f>
        <v>91163891</v>
      </c>
      <c r="P51" s="252">
        <f>'4. Financials'!M84</f>
        <v>141788403</v>
      </c>
      <c r="Q51" s="252">
        <f>AVERAGE(P47,P51)</f>
        <v>128540768</v>
      </c>
      <c r="S51" s="348">
        <f>L51/Q51</f>
        <v>0.75598347910913366</v>
      </c>
      <c r="T51" s="348">
        <f>M51/Q51</f>
        <v>0.66245974973480792</v>
      </c>
      <c r="U51" s="1043">
        <f t="shared" si="8"/>
        <v>0.70922161442197074</v>
      </c>
      <c r="V51" s="2088" t="str">
        <f>Table2[[#This Row],[Column3]]</f>
        <v>1977-Q1</v>
      </c>
    </row>
    <row r="52" spans="1:22" x14ac:dyDescent="0.3">
      <c r="A52" s="211">
        <f t="shared" si="6"/>
        <v>1977</v>
      </c>
      <c r="B52" s="211" t="str">
        <f t="shared" si="7"/>
        <v>Q2</v>
      </c>
      <c r="C52" s="2088" t="str">
        <f t="shared" si="9"/>
        <v>1977-Q2</v>
      </c>
      <c r="E52" s="252">
        <v>100</v>
      </c>
      <c r="F52" s="252">
        <v>95</v>
      </c>
      <c r="G52" s="252">
        <f t="shared" si="1"/>
        <v>97.5</v>
      </c>
      <c r="J52" s="230"/>
      <c r="L52" s="252">
        <f>K51*E52</f>
        <v>100180100</v>
      </c>
      <c r="M52" s="252">
        <f>K51*F52</f>
        <v>95171095</v>
      </c>
      <c r="N52" s="252">
        <f t="shared" si="11"/>
        <v>97675597.5</v>
      </c>
      <c r="P52" s="252"/>
      <c r="Q52" s="252"/>
      <c r="S52" s="348">
        <f>L52/Q51</f>
        <v>0.77936441145271518</v>
      </c>
      <c r="T52" s="348">
        <f>M52/Q51</f>
        <v>0.74039619088007935</v>
      </c>
      <c r="U52" s="1043">
        <f t="shared" si="8"/>
        <v>0.75988030116639727</v>
      </c>
      <c r="V52" s="2088" t="str">
        <f>Table2[[#This Row],[Column3]]</f>
        <v>1977-Q2</v>
      </c>
    </row>
    <row r="53" spans="1:22" x14ac:dyDescent="0.3">
      <c r="A53" s="211">
        <f t="shared" si="6"/>
        <v>1977</v>
      </c>
      <c r="B53" s="211" t="str">
        <f t="shared" si="7"/>
        <v>Q3</v>
      </c>
      <c r="C53" s="2088" t="str">
        <f t="shared" si="9"/>
        <v>1977-Q3</v>
      </c>
      <c r="E53" s="252">
        <v>107</v>
      </c>
      <c r="F53" s="252">
        <v>100</v>
      </c>
      <c r="G53" s="252">
        <f t="shared" si="1"/>
        <v>103.5</v>
      </c>
      <c r="J53" s="230"/>
      <c r="L53" s="252">
        <f>K51*E53</f>
        <v>107192707</v>
      </c>
      <c r="M53" s="252">
        <f>K51*F53</f>
        <v>100180100</v>
      </c>
      <c r="N53" s="252">
        <f t="shared" si="11"/>
        <v>103686403.5</v>
      </c>
      <c r="P53" s="252"/>
      <c r="Q53" s="252"/>
      <c r="S53" s="348">
        <f>L53/Q51</f>
        <v>0.8339199202544052</v>
      </c>
      <c r="T53" s="348">
        <f>M53/Q51</f>
        <v>0.77936441145271518</v>
      </c>
      <c r="U53" s="1043">
        <f t="shared" si="8"/>
        <v>0.80664216585356019</v>
      </c>
      <c r="V53" s="2088" t="str">
        <f>Table2[[#This Row],[Column3]]</f>
        <v>1977-Q3</v>
      </c>
    </row>
    <row r="54" spans="1:22" x14ac:dyDescent="0.3">
      <c r="A54" s="211">
        <f t="shared" si="6"/>
        <v>1977</v>
      </c>
      <c r="B54" s="211" t="str">
        <f t="shared" si="7"/>
        <v>Q4</v>
      </c>
      <c r="C54" s="2088" t="str">
        <f t="shared" si="9"/>
        <v>1977-Q4</v>
      </c>
      <c r="E54" s="252">
        <v>139</v>
      </c>
      <c r="F54" s="252">
        <v>107</v>
      </c>
      <c r="G54" s="252">
        <f t="shared" si="1"/>
        <v>123</v>
      </c>
      <c r="J54" s="230"/>
      <c r="L54" s="252">
        <f>K51*E54</f>
        <v>139250339</v>
      </c>
      <c r="M54" s="252">
        <f>K51*F54</f>
        <v>107192707</v>
      </c>
      <c r="N54" s="252">
        <f t="shared" si="11"/>
        <v>123221523</v>
      </c>
      <c r="P54" s="252"/>
      <c r="Q54" s="252"/>
      <c r="S54" s="348">
        <f>L54/Q51</f>
        <v>1.0833165319192741</v>
      </c>
      <c r="T54" s="348">
        <f>M54/Q51</f>
        <v>0.8339199202544052</v>
      </c>
      <c r="U54" s="1043">
        <f t="shared" si="8"/>
        <v>0.95861822608683966</v>
      </c>
      <c r="V54" s="2088" t="str">
        <f>Table2[[#This Row],[Column3]]</f>
        <v>1977-Q4</v>
      </c>
    </row>
    <row r="55" spans="1:22" x14ac:dyDescent="0.3">
      <c r="A55" s="211">
        <f t="shared" si="6"/>
        <v>1978</v>
      </c>
      <c r="B55" s="211" t="str">
        <f t="shared" si="7"/>
        <v>Q1</v>
      </c>
      <c r="C55" s="2088" t="str">
        <f t="shared" si="9"/>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11"/>
        <v>141989925</v>
      </c>
      <c r="P55" s="252">
        <f>'4. Financials'!J84</f>
        <v>254166000</v>
      </c>
      <c r="Q55" s="252">
        <f>AVERAGE(P51,P55)</f>
        <v>197977201.5</v>
      </c>
      <c r="S55" s="348">
        <f>L55/Q55</f>
        <v>0.73799191974132439</v>
      </c>
      <c r="T55" s="348">
        <f>M55/Q55</f>
        <v>0.69641491017843282</v>
      </c>
      <c r="U55" s="1043">
        <f t="shared" si="8"/>
        <v>0.7172034149598786</v>
      </c>
      <c r="V55" s="2088" t="str">
        <f>Table2[[#This Row],[Column3]]</f>
        <v>1978-Q1</v>
      </c>
    </row>
    <row r="56" spans="1:22" x14ac:dyDescent="0.3">
      <c r="A56" s="211">
        <f t="shared" si="6"/>
        <v>1978</v>
      </c>
      <c r="B56" s="211" t="str">
        <f t="shared" si="7"/>
        <v>Q2</v>
      </c>
      <c r="C56" s="2088" t="str">
        <f t="shared" ref="C56:C82" si="12">CONCATENATE(A56,"-",B56)</f>
        <v>1978-Q2</v>
      </c>
      <c r="E56" s="252">
        <v>180</v>
      </c>
      <c r="F56" s="252">
        <v>142</v>
      </c>
      <c r="G56" s="252">
        <f t="shared" si="1"/>
        <v>161</v>
      </c>
      <c r="J56" s="230"/>
      <c r="L56" s="252">
        <f>K55*E56</f>
        <v>185204250</v>
      </c>
      <c r="M56" s="252">
        <f>K55*F56</f>
        <v>146105575</v>
      </c>
      <c r="N56" s="252">
        <f t="shared" si="11"/>
        <v>165654912.5</v>
      </c>
      <c r="P56" s="252"/>
      <c r="Q56" s="252"/>
      <c r="S56" s="348">
        <f>L56/Q55</f>
        <v>0.9354827151650591</v>
      </c>
      <c r="T56" s="348">
        <f>M56/Q55</f>
        <v>0.73799191974132439</v>
      </c>
      <c r="U56" s="1043">
        <f t="shared" si="8"/>
        <v>0.8367373174531918</v>
      </c>
      <c r="V56" s="2088" t="str">
        <f>Table2[[#This Row],[Column3]]</f>
        <v>1978-Q2</v>
      </c>
    </row>
    <row r="57" spans="1:22" x14ac:dyDescent="0.3">
      <c r="A57" s="211">
        <f t="shared" si="6"/>
        <v>1978</v>
      </c>
      <c r="B57" s="211" t="str">
        <f t="shared" si="7"/>
        <v>Q3</v>
      </c>
      <c r="C57" s="2088" t="str">
        <f t="shared" si="12"/>
        <v>1978-Q3</v>
      </c>
      <c r="E57" s="252">
        <v>180</v>
      </c>
      <c r="F57" s="252">
        <v>165</v>
      </c>
      <c r="G57" s="252">
        <f t="shared" si="1"/>
        <v>172.5</v>
      </c>
      <c r="J57" s="230"/>
      <c r="L57" s="252">
        <f>K55*E57</f>
        <v>185204250</v>
      </c>
      <c r="M57" s="252">
        <f>K55*F57</f>
        <v>169770562.5</v>
      </c>
      <c r="N57" s="252">
        <f t="shared" si="11"/>
        <v>177487406.25</v>
      </c>
      <c r="P57" s="252"/>
      <c r="Q57" s="252"/>
      <c r="S57" s="348">
        <f>L57/Q55</f>
        <v>0.9354827151650591</v>
      </c>
      <c r="T57" s="348">
        <f>M57/Q55</f>
        <v>0.85752582223463747</v>
      </c>
      <c r="U57" s="1043">
        <f t="shared" si="8"/>
        <v>0.89650426869984834</v>
      </c>
      <c r="V57" s="2088" t="str">
        <f>Table2[[#This Row],[Column3]]</f>
        <v>1978-Q3</v>
      </c>
    </row>
    <row r="58" spans="1:22" x14ac:dyDescent="0.3">
      <c r="A58" s="211">
        <f t="shared" si="6"/>
        <v>1978</v>
      </c>
      <c r="B58" s="211" t="str">
        <f t="shared" si="7"/>
        <v>Q4</v>
      </c>
      <c r="C58" s="2088" t="str">
        <f t="shared" si="12"/>
        <v>1978-Q4</v>
      </c>
      <c r="E58" s="252">
        <v>189</v>
      </c>
      <c r="F58" s="252">
        <v>152</v>
      </c>
      <c r="G58" s="252">
        <f t="shared" si="1"/>
        <v>170.5</v>
      </c>
      <c r="J58" s="230"/>
      <c r="L58" s="252">
        <f>K55*E58</f>
        <v>194464462.5</v>
      </c>
      <c r="M58" s="252">
        <f>K55*F58</f>
        <v>156394700</v>
      </c>
      <c r="N58" s="252">
        <f t="shared" si="11"/>
        <v>175429581.25</v>
      </c>
      <c r="P58" s="252"/>
      <c r="Q58" s="252"/>
      <c r="S58" s="348">
        <f>L58/Q55</f>
        <v>0.98225685092331194</v>
      </c>
      <c r="T58" s="348">
        <f>M58/Q55</f>
        <v>0.78996318169493873</v>
      </c>
      <c r="U58" s="1043">
        <f t="shared" si="8"/>
        <v>0.88611001630912534</v>
      </c>
      <c r="V58" s="2088" t="str">
        <f>Table2[[#This Row],[Column3]]</f>
        <v>1978-Q4</v>
      </c>
    </row>
    <row r="59" spans="1:22" x14ac:dyDescent="0.3">
      <c r="A59" s="211">
        <f t="shared" si="6"/>
        <v>1979</v>
      </c>
      <c r="B59" s="211" t="str">
        <f t="shared" si="7"/>
        <v>Q1</v>
      </c>
      <c r="C59" s="2088" t="str">
        <f t="shared" si="12"/>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ref="N59:N74" si="13">AVERAGE(L59:M59)</f>
        <v>174101077.5</v>
      </c>
      <c r="P59" s="252">
        <f>'4. Financials'!I84</f>
        <v>344962000</v>
      </c>
      <c r="Q59" s="252">
        <f>AVERAGE(P55,P59)</f>
        <v>299564000</v>
      </c>
      <c r="S59" s="348">
        <f>L59/Q59</f>
        <v>0.63432797332122681</v>
      </c>
      <c r="T59" s="348">
        <f>M59/Q59</f>
        <v>0.52803517779172393</v>
      </c>
      <c r="U59" s="1043">
        <f t="shared" si="8"/>
        <v>0.58118157555647532</v>
      </c>
      <c r="V59" s="2088" t="str">
        <f>Table2[[#This Row],[Column3]]</f>
        <v>1979-Q1</v>
      </c>
    </row>
    <row r="60" spans="1:22" x14ac:dyDescent="0.3">
      <c r="A60" s="211">
        <f t="shared" si="6"/>
        <v>1979</v>
      </c>
      <c r="B60" s="211" t="str">
        <f t="shared" si="7"/>
        <v>Q2</v>
      </c>
      <c r="C60" s="2088" t="str">
        <f t="shared" si="12"/>
        <v>1979-Q2</v>
      </c>
      <c r="E60" s="252">
        <v>215</v>
      </c>
      <c r="F60" s="252">
        <v>185</v>
      </c>
      <c r="G60" s="252">
        <f t="shared" si="1"/>
        <v>200</v>
      </c>
      <c r="J60" s="230"/>
      <c r="L60" s="252">
        <f>K59*E60</f>
        <v>220836175</v>
      </c>
      <c r="M60" s="252">
        <f>K59*F60</f>
        <v>190021825</v>
      </c>
      <c r="N60" s="252">
        <f t="shared" si="13"/>
        <v>205429000</v>
      </c>
      <c r="P60" s="252"/>
      <c r="Q60" s="252"/>
      <c r="S60" s="348">
        <f>L60/Q59</f>
        <v>0.73719196899493933</v>
      </c>
      <c r="T60" s="348">
        <f>M60/Q59</f>
        <v>0.63432797332122681</v>
      </c>
      <c r="U60" s="1043">
        <f t="shared" si="8"/>
        <v>0.68575997115808307</v>
      </c>
      <c r="V60" s="2088" t="str">
        <f>Table2[[#This Row],[Column3]]</f>
        <v>1979-Q2</v>
      </c>
    </row>
    <row r="61" spans="1:22" x14ac:dyDescent="0.3">
      <c r="A61" s="211">
        <f t="shared" si="6"/>
        <v>1979</v>
      </c>
      <c r="B61" s="211" t="str">
        <f t="shared" si="7"/>
        <v>Q3</v>
      </c>
      <c r="C61" s="2088" t="str">
        <f t="shared" si="12"/>
        <v>1979-Q3</v>
      </c>
      <c r="E61" s="252">
        <v>350</v>
      </c>
      <c r="F61" s="252">
        <v>215</v>
      </c>
      <c r="G61" s="252">
        <f t="shared" si="1"/>
        <v>282.5</v>
      </c>
      <c r="J61" s="230"/>
      <c r="L61" s="252">
        <f>K59*E61</f>
        <v>359500750</v>
      </c>
      <c r="M61" s="252">
        <f>K59*F61</f>
        <v>220836175</v>
      </c>
      <c r="N61" s="252">
        <f t="shared" si="13"/>
        <v>290168462.5</v>
      </c>
      <c r="P61" s="252"/>
      <c r="Q61" s="252"/>
      <c r="S61" s="348">
        <f>L61/Q59</f>
        <v>1.2000799495266454</v>
      </c>
      <c r="T61" s="348">
        <f>M61/Q59</f>
        <v>0.73719196899493933</v>
      </c>
      <c r="U61" s="1043">
        <f t="shared" si="8"/>
        <v>0.96863595926079238</v>
      </c>
      <c r="V61" s="2088" t="str">
        <f>Table2[[#This Row],[Column3]]</f>
        <v>1979-Q3</v>
      </c>
    </row>
    <row r="62" spans="1:22" x14ac:dyDescent="0.3">
      <c r="A62" s="211">
        <f t="shared" si="6"/>
        <v>1979</v>
      </c>
      <c r="B62" s="211" t="str">
        <f t="shared" si="7"/>
        <v>Q4</v>
      </c>
      <c r="C62" s="2088" t="str">
        <f t="shared" si="12"/>
        <v>1979-Q4</v>
      </c>
      <c r="E62" s="252">
        <v>335</v>
      </c>
      <c r="F62" s="252">
        <v>240</v>
      </c>
      <c r="G62" s="252">
        <f t="shared" si="1"/>
        <v>287.5</v>
      </c>
      <c r="J62" s="230"/>
      <c r="L62" s="252">
        <f>K59*E62</f>
        <v>344093575</v>
      </c>
      <c r="M62" s="252">
        <f>K59*F62</f>
        <v>246514800</v>
      </c>
      <c r="N62" s="252">
        <f t="shared" si="13"/>
        <v>295304187.5</v>
      </c>
      <c r="P62" s="252"/>
      <c r="Q62" s="252"/>
      <c r="S62" s="348">
        <f>L62/Q59</f>
        <v>1.1486479516897892</v>
      </c>
      <c r="T62" s="348">
        <f>M62/Q59</f>
        <v>0.82291196538969968</v>
      </c>
      <c r="U62" s="1043">
        <f t="shared" si="8"/>
        <v>0.98577995853974443</v>
      </c>
      <c r="V62" s="2088" t="str">
        <f>Table2[[#This Row],[Column3]]</f>
        <v>1979-Q4</v>
      </c>
    </row>
    <row r="63" spans="1:22" x14ac:dyDescent="0.3">
      <c r="A63" s="211">
        <f t="shared" si="6"/>
        <v>1980</v>
      </c>
      <c r="B63" s="211" t="str">
        <f t="shared" si="7"/>
        <v>Q1</v>
      </c>
      <c r="C63" s="2088" t="str">
        <f t="shared" si="12"/>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13"/>
        <v>312046620</v>
      </c>
      <c r="P63" s="252">
        <f>'4. Financials'!H84</f>
        <v>395214000</v>
      </c>
      <c r="Q63" s="252">
        <f>AVERAGE(P59,P63)</f>
        <v>370088000</v>
      </c>
      <c r="S63" s="348">
        <f>L63/Q63</f>
        <v>0.97916365837314367</v>
      </c>
      <c r="T63" s="348">
        <f>M63/Q63</f>
        <v>0.70717375326949261</v>
      </c>
      <c r="U63" s="1043">
        <f t="shared" si="8"/>
        <v>0.8431687058213182</v>
      </c>
      <c r="V63" s="2088" t="str">
        <f>Table2[[#This Row],[Column3]]</f>
        <v>1980-Q1</v>
      </c>
    </row>
    <row r="64" spans="1:22" x14ac:dyDescent="0.3">
      <c r="A64" s="211">
        <f t="shared" si="6"/>
        <v>1980</v>
      </c>
      <c r="B64" s="211" t="str">
        <f t="shared" si="7"/>
        <v>Q2</v>
      </c>
      <c r="C64" s="2088" t="str">
        <f t="shared" si="12"/>
        <v>1980-Q2</v>
      </c>
      <c r="E64" s="252">
        <v>340</v>
      </c>
      <c r="F64" s="252">
        <v>250</v>
      </c>
      <c r="G64" s="252">
        <f t="shared" si="1"/>
        <v>295</v>
      </c>
      <c r="J64" s="230"/>
      <c r="L64" s="252">
        <f>K63*E64</f>
        <v>342244680</v>
      </c>
      <c r="M64" s="252">
        <f>K63*F64</f>
        <v>251650500</v>
      </c>
      <c r="N64" s="252">
        <f t="shared" si="13"/>
        <v>296947590</v>
      </c>
      <c r="P64" s="252"/>
      <c r="Q64" s="252"/>
      <c r="S64" s="348">
        <f>L64/Q63</f>
        <v>0.92476567735241344</v>
      </c>
      <c r="T64" s="348">
        <f>M64/Q63</f>
        <v>0.6799747627591276</v>
      </c>
      <c r="U64" s="1043">
        <f t="shared" si="8"/>
        <v>0.80237022005577052</v>
      </c>
      <c r="V64" s="2088" t="str">
        <f>Table2[[#This Row],[Column3]]</f>
        <v>1980-Q2</v>
      </c>
    </row>
    <row r="65" spans="1:22" x14ac:dyDescent="0.3">
      <c r="A65" s="211">
        <f t="shared" si="6"/>
        <v>1980</v>
      </c>
      <c r="B65" s="211" t="str">
        <f t="shared" si="7"/>
        <v>Q3</v>
      </c>
      <c r="C65" s="2088" t="str">
        <f t="shared" si="12"/>
        <v>1980-Q3</v>
      </c>
      <c r="E65" s="252">
        <v>415</v>
      </c>
      <c r="F65" s="252">
        <v>305</v>
      </c>
      <c r="G65" s="252">
        <f t="shared" si="1"/>
        <v>360</v>
      </c>
      <c r="J65" s="230"/>
      <c r="L65" s="252">
        <f>K63*E65</f>
        <v>417739830</v>
      </c>
      <c r="M65" s="252">
        <f>K63*F65</f>
        <v>307013610</v>
      </c>
      <c r="N65" s="252">
        <f t="shared" si="13"/>
        <v>362376720</v>
      </c>
      <c r="P65" s="252"/>
      <c r="Q65" s="252"/>
      <c r="S65" s="348">
        <f>L65/Q63</f>
        <v>1.1287581061801517</v>
      </c>
      <c r="T65" s="348">
        <f>M65/Q63</f>
        <v>0.82956921056613564</v>
      </c>
      <c r="U65" s="1043">
        <f t="shared" si="8"/>
        <v>0.97916365837314367</v>
      </c>
      <c r="V65" s="2088" t="str">
        <f>Table2[[#This Row],[Column3]]</f>
        <v>1980-Q3</v>
      </c>
    </row>
    <row r="66" spans="1:22" x14ac:dyDescent="0.3">
      <c r="A66" s="211">
        <f t="shared" si="6"/>
        <v>1980</v>
      </c>
      <c r="B66" s="211" t="str">
        <f t="shared" si="7"/>
        <v>Q4</v>
      </c>
      <c r="C66" s="2088" t="str">
        <f t="shared" si="12"/>
        <v>1980-Q4</v>
      </c>
      <c r="E66" s="252">
        <v>490</v>
      </c>
      <c r="F66" s="252">
        <v>385</v>
      </c>
      <c r="G66" s="252">
        <f t="shared" si="1"/>
        <v>437.5</v>
      </c>
      <c r="J66" s="230"/>
      <c r="L66" s="252">
        <f>K63*E66</f>
        <v>493234980</v>
      </c>
      <c r="M66" s="252">
        <f>K63*F66</f>
        <v>387541770</v>
      </c>
      <c r="N66" s="252">
        <f t="shared" si="13"/>
        <v>440388375</v>
      </c>
      <c r="P66" s="252"/>
      <c r="Q66" s="252"/>
      <c r="S66" s="348">
        <f>L66/Q63</f>
        <v>1.3327505350078901</v>
      </c>
      <c r="T66" s="348">
        <f>M66/Q63</f>
        <v>1.0471611346490564</v>
      </c>
      <c r="U66" s="1043">
        <f t="shared" si="8"/>
        <v>1.1899558348284733</v>
      </c>
      <c r="V66" s="2088" t="str">
        <f>Table2[[#This Row],[Column3]]</f>
        <v>1980-Q4</v>
      </c>
    </row>
    <row r="67" spans="1:22" x14ac:dyDescent="0.3">
      <c r="A67" s="211">
        <f t="shared" si="6"/>
        <v>1981</v>
      </c>
      <c r="B67" s="211" t="str">
        <f t="shared" si="7"/>
        <v>Q1</v>
      </c>
      <c r="C67" s="2088" t="str">
        <f t="shared" si="12"/>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13"/>
        <v>458622060</v>
      </c>
      <c r="P67" s="252">
        <f>'4. Financials'!G84</f>
        <v>519463000</v>
      </c>
      <c r="Q67" s="252">
        <f>AVERAGE(P63,P67)</f>
        <v>457338500</v>
      </c>
      <c r="S67" s="348">
        <f>L67/Q67</f>
        <v>1.0890695185294919</v>
      </c>
      <c r="T67" s="348">
        <f>M67/Q67</f>
        <v>0.91654365420798822</v>
      </c>
      <c r="U67" s="1043">
        <f t="shared" si="8"/>
        <v>1.0028065863687401</v>
      </c>
      <c r="V67" s="2088" t="str">
        <f>Table2[[#This Row],[Column3]]</f>
        <v>1981-Q1</v>
      </c>
    </row>
    <row r="68" spans="1:22" x14ac:dyDescent="0.3">
      <c r="A68" s="211">
        <f t="shared" si="6"/>
        <v>1981</v>
      </c>
      <c r="B68" s="211" t="str">
        <f t="shared" si="7"/>
        <v>Q2</v>
      </c>
      <c r="C68" s="2088" t="str">
        <f t="shared" si="12"/>
        <v>1981-Q2</v>
      </c>
      <c r="E68" s="252">
        <v>525</v>
      </c>
      <c r="F68" s="252">
        <v>485</v>
      </c>
      <c r="G68" s="252">
        <f t="shared" si="1"/>
        <v>505</v>
      </c>
      <c r="J68" s="230"/>
      <c r="L68" s="252">
        <f>K67*E68</f>
        <v>517799100</v>
      </c>
      <c r="M68" s="252">
        <f>K67*F68</f>
        <v>478347740</v>
      </c>
      <c r="N68" s="252">
        <f t="shared" si="13"/>
        <v>498073420</v>
      </c>
      <c r="P68" s="252"/>
      <c r="Q68" s="252"/>
      <c r="S68" s="348">
        <f>L68/Q67</f>
        <v>1.1322009846098677</v>
      </c>
      <c r="T68" s="348">
        <f>M68/Q67</f>
        <v>1.045938052449116</v>
      </c>
      <c r="U68" s="1043">
        <f t="shared" si="8"/>
        <v>1.0890695185294919</v>
      </c>
      <c r="V68" s="2088" t="str">
        <f>Table2[[#This Row],[Column3]]</f>
        <v>1981-Q2</v>
      </c>
    </row>
    <row r="69" spans="1:22" x14ac:dyDescent="0.3">
      <c r="A69" s="211">
        <f t="shared" si="6"/>
        <v>1981</v>
      </c>
      <c r="B69" s="211" t="str">
        <f t="shared" si="7"/>
        <v>Q3</v>
      </c>
      <c r="C69" s="2088" t="str">
        <f t="shared" si="12"/>
        <v>1981-Q3</v>
      </c>
      <c r="E69" s="252">
        <v>520</v>
      </c>
      <c r="F69" s="252">
        <v>460</v>
      </c>
      <c r="G69" s="252">
        <f t="shared" si="1"/>
        <v>490</v>
      </c>
      <c r="J69" s="230"/>
      <c r="L69" s="252">
        <f>K67*E69</f>
        <v>512867680</v>
      </c>
      <c r="M69" s="252">
        <f>K67*F69</f>
        <v>453690640</v>
      </c>
      <c r="N69" s="252">
        <f t="shared" si="13"/>
        <v>483279160</v>
      </c>
      <c r="P69" s="252"/>
      <c r="Q69" s="252"/>
      <c r="S69" s="348">
        <f>L69/Q67</f>
        <v>1.1214181180897738</v>
      </c>
      <c r="T69" s="348">
        <f>M69/Q67</f>
        <v>0.99202371984864601</v>
      </c>
      <c r="U69" s="1043">
        <f t="shared" si="8"/>
        <v>1.0567209189692099</v>
      </c>
      <c r="V69" s="2088" t="str">
        <f>Table2[[#This Row],[Column3]]</f>
        <v>1981-Q3</v>
      </c>
    </row>
    <row r="70" spans="1:22" x14ac:dyDescent="0.3">
      <c r="A70" s="211">
        <f t="shared" si="6"/>
        <v>1981</v>
      </c>
      <c r="B70" s="211" t="str">
        <f t="shared" si="7"/>
        <v>Q4</v>
      </c>
      <c r="C70" s="2088" t="str">
        <f t="shared" si="12"/>
        <v>1981-Q4</v>
      </c>
      <c r="E70" s="252">
        <v>590</v>
      </c>
      <c r="F70" s="252">
        <v>460</v>
      </c>
      <c r="G70" s="252">
        <f t="shared" si="1"/>
        <v>525</v>
      </c>
      <c r="J70" s="230"/>
      <c r="L70" s="252">
        <f>K67*E70</f>
        <v>581907560</v>
      </c>
      <c r="M70" s="252">
        <f>K67*F70</f>
        <v>453690640</v>
      </c>
      <c r="N70" s="252">
        <f t="shared" si="13"/>
        <v>517799100</v>
      </c>
      <c r="P70" s="252"/>
      <c r="Q70" s="252"/>
      <c r="S70" s="348">
        <f>L70/Q67</f>
        <v>1.2723782493710896</v>
      </c>
      <c r="T70" s="348">
        <f>M70/Q67</f>
        <v>0.99202371984864601</v>
      </c>
      <c r="U70" s="1043">
        <f t="shared" si="8"/>
        <v>1.1322009846098677</v>
      </c>
      <c r="V70" s="2088" t="str">
        <f>Table2[[#This Row],[Column3]]</f>
        <v>1981-Q4</v>
      </c>
    </row>
    <row r="71" spans="1:22" x14ac:dyDescent="0.3">
      <c r="A71" s="211">
        <f t="shared" si="6"/>
        <v>1982</v>
      </c>
      <c r="B71" s="211" t="str">
        <f t="shared" si="7"/>
        <v>Q1</v>
      </c>
      <c r="C71" s="2088" t="str">
        <f t="shared" si="12"/>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13"/>
        <v>505585862.5</v>
      </c>
      <c r="P71" s="252">
        <f>'4. Financials'!D84</f>
        <v>727483000</v>
      </c>
      <c r="Q71" s="252">
        <f>AVERAGE(P67,P71)</f>
        <v>623473000</v>
      </c>
      <c r="S71" s="348">
        <f>L71/Q71</f>
        <v>0.88607692714840902</v>
      </c>
      <c r="T71" s="348">
        <f>M71/Q71</f>
        <v>0.73576030557858962</v>
      </c>
      <c r="U71" s="1043">
        <f t="shared" ref="U71:U82" si="14">AVERAGE(S71:T71)</f>
        <v>0.81091861636349938</v>
      </c>
      <c r="V71" s="2088" t="str">
        <f>Table2[[#This Row],[Column3]]</f>
        <v>1982-Q1</v>
      </c>
    </row>
    <row r="72" spans="1:22" x14ac:dyDescent="0.3">
      <c r="A72" s="211">
        <f t="shared" si="6"/>
        <v>1982</v>
      </c>
      <c r="B72" s="211" t="str">
        <f t="shared" si="7"/>
        <v>Q2</v>
      </c>
      <c r="C72" s="2088" t="str">
        <f t="shared" si="12"/>
        <v>1982-Q2</v>
      </c>
      <c r="E72" s="252">
        <v>520</v>
      </c>
      <c r="F72" s="252">
        <v>470</v>
      </c>
      <c r="G72" s="252">
        <f t="shared" si="1"/>
        <v>495</v>
      </c>
      <c r="J72" s="230"/>
      <c r="L72" s="252">
        <f>K71*E72</f>
        <v>512984680</v>
      </c>
      <c r="M72" s="252">
        <f>K71*F72</f>
        <v>463659230</v>
      </c>
      <c r="N72" s="252">
        <f t="shared" si="13"/>
        <v>488321955</v>
      </c>
      <c r="P72" s="252"/>
      <c r="Q72" s="252"/>
      <c r="S72" s="348">
        <f>L72/Q71</f>
        <v>0.82278571806637979</v>
      </c>
      <c r="T72" s="348">
        <f>M72/Q71</f>
        <v>0.74367170671384331</v>
      </c>
      <c r="U72" s="1043">
        <f t="shared" si="14"/>
        <v>0.7832287123901116</v>
      </c>
      <c r="V72" s="2088" t="str">
        <f>Table2[[#This Row],[Column3]]</f>
        <v>1982-Q2</v>
      </c>
    </row>
    <row r="73" spans="1:22" x14ac:dyDescent="0.3">
      <c r="A73" s="211">
        <f t="shared" si="6"/>
        <v>1982</v>
      </c>
      <c r="B73" s="211" t="str">
        <f t="shared" si="7"/>
        <v>Q3</v>
      </c>
      <c r="C73" s="2088" t="str">
        <f t="shared" si="12"/>
        <v>1982-Q3</v>
      </c>
      <c r="E73" s="252">
        <v>550</v>
      </c>
      <c r="F73" s="252">
        <v>430</v>
      </c>
      <c r="G73" s="252">
        <f t="shared" si="1"/>
        <v>490</v>
      </c>
      <c r="J73" s="230"/>
      <c r="L73" s="252">
        <f>K71*E73</f>
        <v>542579950</v>
      </c>
      <c r="M73" s="252">
        <f>K71*F73</f>
        <v>424198870</v>
      </c>
      <c r="N73" s="252">
        <f t="shared" si="13"/>
        <v>483389410</v>
      </c>
      <c r="P73" s="252"/>
      <c r="Q73" s="252"/>
      <c r="S73" s="348">
        <f>L73/Q71</f>
        <v>0.87025412487790166</v>
      </c>
      <c r="T73" s="348">
        <f>M73/Q71</f>
        <v>0.68038049763181407</v>
      </c>
      <c r="U73" s="1043">
        <f t="shared" si="14"/>
        <v>0.77531731125485792</v>
      </c>
      <c r="V73" s="2088" t="str">
        <f>Table2[[#This Row],[Column3]]</f>
        <v>1982-Q3</v>
      </c>
    </row>
    <row r="74" spans="1:22" x14ac:dyDescent="0.3">
      <c r="A74" s="211">
        <f t="shared" si="6"/>
        <v>1982</v>
      </c>
      <c r="B74" s="211" t="str">
        <f t="shared" si="7"/>
        <v>Q4</v>
      </c>
      <c r="C74" s="2088" t="str">
        <f t="shared" si="12"/>
        <v>1982-Q4</v>
      </c>
      <c r="E74" s="252">
        <v>775</v>
      </c>
      <c r="F74" s="252">
        <v>540</v>
      </c>
      <c r="G74" s="252">
        <f t="shared" si="1"/>
        <v>657.5</v>
      </c>
      <c r="J74" s="230"/>
      <c r="L74" s="252">
        <f>K71*E74</f>
        <v>764544475</v>
      </c>
      <c r="M74" s="252">
        <f>K71*F74</f>
        <v>532714860</v>
      </c>
      <c r="N74" s="252">
        <f t="shared" si="13"/>
        <v>648629667.5</v>
      </c>
      <c r="P74" s="252"/>
      <c r="Q74" s="252"/>
      <c r="S74" s="348">
        <f>L74/Q71</f>
        <v>1.226267175964316</v>
      </c>
      <c r="T74" s="348">
        <f>M74/Q71</f>
        <v>0.85443132260739441</v>
      </c>
      <c r="U74" s="1043">
        <f t="shared" si="14"/>
        <v>1.0403492492858553</v>
      </c>
      <c r="V74" s="2088" t="str">
        <f>Table2[[#This Row],[Column3]]</f>
        <v>1982-Q4</v>
      </c>
    </row>
    <row r="75" spans="1:22" x14ac:dyDescent="0.3">
      <c r="A75" s="211">
        <f t="shared" si="6"/>
        <v>1983</v>
      </c>
      <c r="B75" s="211" t="str">
        <f t="shared" si="7"/>
        <v>Q1</v>
      </c>
      <c r="C75" s="2088" t="str">
        <f t="shared" si="12"/>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ref="N75:N78" si="15">AVERAGE(L75:M75)</f>
        <v>928036830</v>
      </c>
      <c r="P75" s="252">
        <f>'4. Financials'!C84</f>
        <v>1119193000</v>
      </c>
      <c r="Q75" s="252">
        <f>AVERAGE(P71,P75)</f>
        <v>923338000</v>
      </c>
      <c r="S75" s="348">
        <f>L75/Q75</f>
        <v>1.114840053154966</v>
      </c>
      <c r="T75" s="348">
        <f>M75/Q75</f>
        <v>0.89533786652341829</v>
      </c>
      <c r="U75" s="1043">
        <f t="shared" si="14"/>
        <v>1.0050889598391921</v>
      </c>
      <c r="V75" s="2088" t="str">
        <f>Table2[[#This Row],[Column3]]</f>
        <v>1983-Q1</v>
      </c>
    </row>
    <row r="76" spans="1:22" x14ac:dyDescent="0.3">
      <c r="A76" s="211">
        <f t="shared" ref="A76:A82" si="16">A72+1</f>
        <v>1983</v>
      </c>
      <c r="B76" s="211" t="str">
        <f t="shared" ref="B76:B82" si="17">B72</f>
        <v>Q2</v>
      </c>
      <c r="C76" s="2088" t="str">
        <f t="shared" si="12"/>
        <v>1983-Q2</v>
      </c>
      <c r="E76" s="252">
        <v>985</v>
      </c>
      <c r="F76" s="252">
        <v>890</v>
      </c>
      <c r="G76" s="252">
        <f t="shared" si="1"/>
        <v>937.5</v>
      </c>
      <c r="J76" s="230"/>
      <c r="L76" s="252">
        <f>K75*E76</f>
        <v>1050708365</v>
      </c>
      <c r="M76" s="252">
        <f>K75*F76</f>
        <v>949371010</v>
      </c>
      <c r="N76" s="252">
        <f t="shared" si="15"/>
        <v>1000039687.5</v>
      </c>
      <c r="P76" s="252"/>
      <c r="Q76" s="252"/>
      <c r="S76" s="348">
        <f>L76/Q75</f>
        <v>1.1379455464846027</v>
      </c>
      <c r="T76" s="348">
        <f>M76/Q75</f>
        <v>1.0281944531688287</v>
      </c>
      <c r="U76" s="1043">
        <f t="shared" si="14"/>
        <v>1.0830699998267157</v>
      </c>
      <c r="V76" s="2088" t="str">
        <f>Table2[[#This Row],[Column3]]</f>
        <v>1983-Q2</v>
      </c>
    </row>
    <row r="77" spans="1:22" x14ac:dyDescent="0.3">
      <c r="A77" s="211">
        <f t="shared" si="16"/>
        <v>1983</v>
      </c>
      <c r="B77" s="211" t="str">
        <f t="shared" si="17"/>
        <v>Q3</v>
      </c>
      <c r="C77" s="2088" t="str">
        <f t="shared" si="12"/>
        <v>1983-Q3</v>
      </c>
      <c r="E77" s="252">
        <v>1245</v>
      </c>
      <c r="F77" s="252">
        <v>905</v>
      </c>
      <c r="G77" s="252">
        <f t="shared" si="1"/>
        <v>1075</v>
      </c>
      <c r="J77" s="230"/>
      <c r="L77" s="252">
        <f>K75*E77</f>
        <v>1328052705</v>
      </c>
      <c r="M77" s="252">
        <f>K75*F77</f>
        <v>965371645</v>
      </c>
      <c r="N77" s="252">
        <f t="shared" si="15"/>
        <v>1146712175</v>
      </c>
      <c r="P77" s="252"/>
      <c r="Q77" s="252"/>
      <c r="S77" s="348">
        <f>L77/Q75</f>
        <v>1.4383169597698784</v>
      </c>
      <c r="T77" s="348">
        <f>M77/Q75</f>
        <v>1.0455235731660562</v>
      </c>
      <c r="U77" s="1043">
        <f t="shared" si="14"/>
        <v>1.2419202664679672</v>
      </c>
      <c r="V77" s="2088" t="str">
        <f>Table2[[#This Row],[Column3]]</f>
        <v>1983-Q3</v>
      </c>
    </row>
    <row r="78" spans="1:22" x14ac:dyDescent="0.3">
      <c r="A78" s="211">
        <f t="shared" si="16"/>
        <v>1983</v>
      </c>
      <c r="B78" s="211" t="str">
        <f t="shared" si="17"/>
        <v>Q4</v>
      </c>
      <c r="C78" s="2088" t="str">
        <f t="shared" si="12"/>
        <v>1983-Q4</v>
      </c>
      <c r="E78" s="252">
        <v>1385</v>
      </c>
      <c r="F78" s="252">
        <v>1240</v>
      </c>
      <c r="G78" s="252">
        <f t="shared" si="1"/>
        <v>1312.5</v>
      </c>
      <c r="J78" s="230"/>
      <c r="L78" s="252">
        <f>K75*E78</f>
        <v>1477391965</v>
      </c>
      <c r="M78" s="252">
        <f>K75*F78</f>
        <v>1322719160</v>
      </c>
      <c r="N78" s="252">
        <f t="shared" si="15"/>
        <v>1400055562.5</v>
      </c>
      <c r="P78" s="252"/>
      <c r="Q78" s="252"/>
      <c r="S78" s="348">
        <f>L78/Q75</f>
        <v>1.6000554130773346</v>
      </c>
      <c r="T78" s="348">
        <f>M78/Q75</f>
        <v>1.4325405864374692</v>
      </c>
      <c r="U78" s="1043">
        <f t="shared" si="14"/>
        <v>1.516297999757402</v>
      </c>
      <c r="V78" s="2088" t="str">
        <f>Table2[[#This Row],[Column3]]</f>
        <v>1983-Q4</v>
      </c>
    </row>
    <row r="79" spans="1:22" x14ac:dyDescent="0.3">
      <c r="A79" s="211">
        <f t="shared" si="16"/>
        <v>1984</v>
      </c>
      <c r="B79" s="211" t="str">
        <f t="shared" si="17"/>
        <v>Q1</v>
      </c>
      <c r="C79" s="2088" t="str">
        <f t="shared" si="12"/>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ref="N79:N82" si="18">AVERAGE(L79:M79)</f>
        <v>1490981700</v>
      </c>
      <c r="P79" s="252">
        <f>'4. Financials'!B84</f>
        <v>1271761000</v>
      </c>
      <c r="Q79" s="252">
        <f>AVERAGE(P75,P79)</f>
        <v>1195477000</v>
      </c>
      <c r="S79" s="348">
        <f>L79/Q79</f>
        <v>1.3047480127179361</v>
      </c>
      <c r="T79" s="348">
        <f>M79/Q79</f>
        <v>1.1896231880663535</v>
      </c>
      <c r="U79" s="1043">
        <f t="shared" si="14"/>
        <v>1.2471856003921449</v>
      </c>
      <c r="V79" s="2088" t="str">
        <f>Table2[[#This Row],[Column3]]</f>
        <v>1984-Q1</v>
      </c>
    </row>
    <row r="80" spans="1:22" x14ac:dyDescent="0.3">
      <c r="A80" s="211">
        <f t="shared" si="16"/>
        <v>1984</v>
      </c>
      <c r="B80" s="211" t="str">
        <f t="shared" si="17"/>
        <v>Q2</v>
      </c>
      <c r="C80" s="2088" t="str">
        <f t="shared" si="12"/>
        <v>1984-Q2</v>
      </c>
      <c r="E80" s="252">
        <v>1345</v>
      </c>
      <c r="F80" s="252">
        <v>1220</v>
      </c>
      <c r="G80" s="252">
        <f t="shared" si="1"/>
        <v>1282.5</v>
      </c>
      <c r="J80" s="230"/>
      <c r="L80" s="252">
        <f>K79*E80</f>
        <v>1542592605</v>
      </c>
      <c r="M80" s="252">
        <f>K79*F80</f>
        <v>1399228980</v>
      </c>
      <c r="N80" s="252">
        <f t="shared" si="18"/>
        <v>1470910792.5</v>
      </c>
      <c r="P80" s="252"/>
      <c r="Q80" s="252"/>
      <c r="S80" s="348">
        <f>L80/Q79</f>
        <v>1.2903574096364883</v>
      </c>
      <c r="T80" s="348">
        <f>M80/Q79</f>
        <v>1.1704357172910897</v>
      </c>
      <c r="U80" s="1043">
        <f t="shared" si="14"/>
        <v>1.230396563463789</v>
      </c>
      <c r="V80" s="2088" t="str">
        <f>Table2[[#This Row],[Column3]]</f>
        <v>1984-Q2</v>
      </c>
    </row>
    <row r="81" spans="1:22" x14ac:dyDescent="0.3">
      <c r="A81" s="211">
        <f t="shared" si="16"/>
        <v>1984</v>
      </c>
      <c r="B81" s="211" t="str">
        <f t="shared" si="17"/>
        <v>Q3</v>
      </c>
      <c r="C81" s="2088" t="str">
        <f t="shared" si="12"/>
        <v>1984-Q3</v>
      </c>
      <c r="E81" s="252">
        <v>1305</v>
      </c>
      <c r="F81" s="252">
        <v>1230</v>
      </c>
      <c r="G81" s="252">
        <f t="shared" si="1"/>
        <v>1267.5</v>
      </c>
      <c r="J81" s="230"/>
      <c r="L81" s="252">
        <f>K79*E81</f>
        <v>1496716245</v>
      </c>
      <c r="M81" s="252">
        <f>K79*F81</f>
        <v>1410698070</v>
      </c>
      <c r="N81" s="252">
        <f t="shared" si="18"/>
        <v>1453707157.5</v>
      </c>
      <c r="P81" s="252"/>
      <c r="Q81" s="252"/>
      <c r="S81" s="348">
        <f>L81/Q79</f>
        <v>1.2519824680859606</v>
      </c>
      <c r="T81" s="348">
        <f>M81/Q79</f>
        <v>1.1800294526787216</v>
      </c>
      <c r="U81" s="1043">
        <f t="shared" si="14"/>
        <v>1.2160059603823412</v>
      </c>
      <c r="V81" s="2088" t="str">
        <f>Table2[[#This Row],[Column3]]</f>
        <v>1984-Q3</v>
      </c>
    </row>
    <row r="82" spans="1:22" x14ac:dyDescent="0.3">
      <c r="A82" s="211">
        <f t="shared" si="16"/>
        <v>1984</v>
      </c>
      <c r="B82" s="211" t="str">
        <f t="shared" si="17"/>
        <v>Q4</v>
      </c>
      <c r="C82" s="2088" t="str">
        <f t="shared" si="12"/>
        <v>1984-Q4</v>
      </c>
      <c r="E82" s="252">
        <v>1305</v>
      </c>
      <c r="F82" s="252">
        <v>1265</v>
      </c>
      <c r="G82" s="252">
        <f t="shared" si="1"/>
        <v>1285</v>
      </c>
      <c r="J82" s="230"/>
      <c r="L82" s="252">
        <f>K79*E82</f>
        <v>1496716245</v>
      </c>
      <c r="M82" s="252">
        <f>K79*F82</f>
        <v>1450839885</v>
      </c>
      <c r="N82" s="252">
        <f t="shared" si="18"/>
        <v>1473778065</v>
      </c>
      <c r="P82" s="252"/>
      <c r="Q82" s="252"/>
      <c r="S82" s="348">
        <f>L82/Q79</f>
        <v>1.2519824680859606</v>
      </c>
      <c r="T82" s="348">
        <f>M82/Q79</f>
        <v>1.2136075265354331</v>
      </c>
      <c r="U82" s="1043">
        <f t="shared" si="14"/>
        <v>1.2327949973106969</v>
      </c>
      <c r="V82" s="2088" t="str">
        <f>Table2[[#This Row],[Column3]]</f>
        <v>1984-Q4</v>
      </c>
    </row>
    <row r="83" spans="1:22" x14ac:dyDescent="0.3">
      <c r="C83" s="2088"/>
      <c r="D83" s="211">
        <v>1985</v>
      </c>
      <c r="E83" s="252"/>
      <c r="F83" s="252"/>
      <c r="G83" s="252"/>
      <c r="J83" s="230"/>
      <c r="P83" s="252"/>
      <c r="Q83" s="252"/>
    </row>
    <row r="84" spans="1:22" x14ac:dyDescent="0.3">
      <c r="C84" s="2088"/>
      <c r="G84" s="211" t="s">
        <v>2940</v>
      </c>
      <c r="J84" s="230"/>
      <c r="P84" s="252"/>
      <c r="Q84" s="252"/>
    </row>
    <row r="85" spans="1:22" x14ac:dyDescent="0.3">
      <c r="C85" s="2088"/>
      <c r="G85" s="2232">
        <f>(G82/G42)^(1/10)-1</f>
        <v>0.39976236204308147</v>
      </c>
      <c r="J85" s="230"/>
    </row>
    <row r="86" spans="1:22" x14ac:dyDescent="0.3">
      <c r="C86" s="2088"/>
      <c r="J86" s="230"/>
    </row>
    <row r="87" spans="1:22" x14ac:dyDescent="0.3">
      <c r="C87" s="2088"/>
      <c r="J87" s="230"/>
    </row>
    <row r="88" spans="1:22" x14ac:dyDescent="0.3">
      <c r="C88" s="2088"/>
      <c r="J88" s="230"/>
    </row>
    <row r="89" spans="1:22" x14ac:dyDescent="0.3">
      <c r="C89" s="2088"/>
      <c r="J89" s="230"/>
    </row>
    <row r="90" spans="1:22" x14ac:dyDescent="0.3">
      <c r="C90" s="2088"/>
      <c r="J90" s="230"/>
    </row>
    <row r="91" spans="1:22" x14ac:dyDescent="0.3">
      <c r="C91" s="2088"/>
      <c r="J91" s="230"/>
    </row>
    <row r="92" spans="1:22" x14ac:dyDescent="0.3">
      <c r="C92" s="2088"/>
      <c r="J92" s="230"/>
    </row>
    <row r="93" spans="1:22" x14ac:dyDescent="0.3">
      <c r="C93" s="2088"/>
      <c r="J93" s="230"/>
    </row>
    <row r="94" spans="1:22" x14ac:dyDescent="0.3">
      <c r="C94" s="2088"/>
      <c r="J94" s="230"/>
    </row>
    <row r="95" spans="1:22" x14ac:dyDescent="0.3">
      <c r="C95" s="2088"/>
      <c r="J95" s="230"/>
    </row>
    <row r="96" spans="1:22" x14ac:dyDescent="0.3">
      <c r="C96" s="2088"/>
      <c r="J96" s="230"/>
    </row>
    <row r="97" spans="3:10" x14ac:dyDescent="0.3">
      <c r="C97" s="2088"/>
      <c r="J97" s="230"/>
    </row>
    <row r="98" spans="3:10" x14ac:dyDescent="0.3">
      <c r="C98" s="2088"/>
      <c r="J98" s="230"/>
    </row>
    <row r="99" spans="3:10" x14ac:dyDescent="0.3">
      <c r="C99" s="2088"/>
      <c r="J99" s="230"/>
    </row>
    <row r="100" spans="3:10" x14ac:dyDescent="0.3">
      <c r="C100" s="2088"/>
      <c r="J100" s="230"/>
    </row>
    <row r="101" spans="3:10" x14ac:dyDescent="0.3">
      <c r="C101" s="2088"/>
      <c r="J101" s="230"/>
    </row>
    <row r="102" spans="3:10" x14ac:dyDescent="0.3">
      <c r="C102" s="2088"/>
      <c r="J102" s="230"/>
    </row>
    <row r="103" spans="3:10" x14ac:dyDescent="0.3">
      <c r="C103" s="2088"/>
      <c r="J103" s="230"/>
    </row>
    <row r="104" spans="3:10" x14ac:dyDescent="0.3">
      <c r="C104" s="2088"/>
      <c r="J104" s="230"/>
    </row>
    <row r="105" spans="3:10" x14ac:dyDescent="0.3">
      <c r="C105" s="2088"/>
      <c r="J105" s="230"/>
    </row>
    <row r="106" spans="3:10" x14ac:dyDescent="0.3">
      <c r="C106" s="2088"/>
      <c r="J106" s="230"/>
    </row>
    <row r="107" spans="3:10" x14ac:dyDescent="0.3">
      <c r="C107" s="2088"/>
      <c r="J107" s="230"/>
    </row>
    <row r="108" spans="3:10" x14ac:dyDescent="0.3">
      <c r="C108" s="2088"/>
      <c r="J108" s="230"/>
    </row>
    <row r="109" spans="3:10" x14ac:dyDescent="0.3">
      <c r="C109" s="2088"/>
      <c r="J109" s="230"/>
    </row>
    <row r="110" spans="3:10" x14ac:dyDescent="0.3">
      <c r="C110" s="2088"/>
      <c r="J110" s="230"/>
    </row>
    <row r="111" spans="3:10" x14ac:dyDescent="0.3">
      <c r="C111" s="2088"/>
      <c r="J111" s="230"/>
    </row>
    <row r="112" spans="3:10" x14ac:dyDescent="0.3">
      <c r="C112" s="2088"/>
      <c r="J112" s="230"/>
    </row>
    <row r="113" spans="3:10" x14ac:dyDescent="0.3">
      <c r="C113" s="2088"/>
      <c r="J113" s="230"/>
    </row>
    <row r="114" spans="3:10" x14ac:dyDescent="0.3">
      <c r="C114" s="2088"/>
      <c r="J114" s="230"/>
    </row>
    <row r="115" spans="3:10" x14ac:dyDescent="0.3">
      <c r="C115" s="2088"/>
      <c r="J115" s="230"/>
    </row>
    <row r="116" spans="3:10" x14ac:dyDescent="0.3">
      <c r="C116" s="2088"/>
      <c r="J116" s="230"/>
    </row>
    <row r="117" spans="3:10" x14ac:dyDescent="0.3">
      <c r="C117" s="2088"/>
      <c r="J117" s="230"/>
    </row>
    <row r="118" spans="3:10" x14ac:dyDescent="0.3">
      <c r="C118" s="2088"/>
      <c r="J118" s="230"/>
    </row>
    <row r="119" spans="3:10" x14ac:dyDescent="0.3">
      <c r="C119" s="2088"/>
      <c r="J119" s="230"/>
    </row>
    <row r="120" spans="3:10" x14ac:dyDescent="0.3">
      <c r="C120" s="2088"/>
      <c r="J120" s="230"/>
    </row>
    <row r="121" spans="3:10" x14ac:dyDescent="0.3">
      <c r="C121" s="2088"/>
      <c r="J121" s="230"/>
    </row>
    <row r="122" spans="3:10" x14ac:dyDescent="0.3">
      <c r="C122" s="2088"/>
      <c r="J122" s="230"/>
    </row>
    <row r="123" spans="3:10" x14ac:dyDescent="0.3">
      <c r="C123" s="2088"/>
      <c r="J123" s="230"/>
    </row>
    <row r="124" spans="3:10" x14ac:dyDescent="0.3">
      <c r="C124" s="2088"/>
      <c r="J124" s="230"/>
    </row>
    <row r="125" spans="3:10" x14ac:dyDescent="0.3">
      <c r="C125" s="2088"/>
      <c r="J125" s="230"/>
    </row>
    <row r="126" spans="3:10" x14ac:dyDescent="0.3">
      <c r="C126" s="2088"/>
      <c r="J126" s="230"/>
    </row>
    <row r="127" spans="3:10" x14ac:dyDescent="0.3">
      <c r="C127" s="2088"/>
      <c r="J127" s="230"/>
    </row>
    <row r="128" spans="3:10" x14ac:dyDescent="0.3">
      <c r="C128" s="2088"/>
      <c r="J128" s="230"/>
    </row>
    <row r="129" spans="3:10" x14ac:dyDescent="0.3">
      <c r="C129" s="2088"/>
      <c r="J129" s="230"/>
    </row>
    <row r="130" spans="3:10" x14ac:dyDescent="0.3">
      <c r="C130" s="2088"/>
      <c r="J130" s="230"/>
    </row>
    <row r="131" spans="3:10" x14ac:dyDescent="0.3">
      <c r="C131" s="2088"/>
      <c r="J131" s="230"/>
    </row>
    <row r="132" spans="3:10" x14ac:dyDescent="0.3">
      <c r="C132" s="2088"/>
      <c r="J132" s="230"/>
    </row>
    <row r="133" spans="3:10" x14ac:dyDescent="0.3">
      <c r="C133" s="2088"/>
      <c r="J133" s="230"/>
    </row>
    <row r="134" spans="3:10" x14ac:dyDescent="0.3">
      <c r="C134" s="2088"/>
      <c r="J134" s="230"/>
    </row>
    <row r="135" spans="3:10" x14ac:dyDescent="0.3">
      <c r="C135" s="2088"/>
      <c r="J135" s="230"/>
    </row>
    <row r="136" spans="3:10" x14ac:dyDescent="0.3">
      <c r="C136" s="2088"/>
      <c r="J136" s="230"/>
    </row>
    <row r="137" spans="3:10" x14ac:dyDescent="0.3">
      <c r="C137" s="2088"/>
      <c r="J137" s="230"/>
    </row>
    <row r="138" spans="3:10" x14ac:dyDescent="0.3">
      <c r="C138" s="2088"/>
      <c r="J138" s="230"/>
    </row>
    <row r="139" spans="3:10" x14ac:dyDescent="0.3">
      <c r="C139" s="2088"/>
      <c r="J139" s="230"/>
    </row>
    <row r="140" spans="3:10" x14ac:dyDescent="0.3">
      <c r="C140" s="2088"/>
      <c r="J140" s="230"/>
    </row>
    <row r="141" spans="3:10" x14ac:dyDescent="0.3">
      <c r="C141" s="2088"/>
      <c r="J141" s="230"/>
    </row>
    <row r="142" spans="3:10" x14ac:dyDescent="0.3">
      <c r="C142" s="2088"/>
      <c r="J142" s="230"/>
    </row>
    <row r="143" spans="3:10" x14ac:dyDescent="0.3">
      <c r="C143" s="2088"/>
      <c r="J143" s="230"/>
    </row>
    <row r="144" spans="3:10" x14ac:dyDescent="0.3">
      <c r="C144" s="2088"/>
      <c r="J144" s="230"/>
    </row>
    <row r="145" spans="3:10" x14ac:dyDescent="0.3">
      <c r="C145" s="2088"/>
      <c r="J145" s="230"/>
    </row>
    <row r="146" spans="3:10" x14ac:dyDescent="0.3">
      <c r="C146" s="2088"/>
      <c r="J146" s="230"/>
    </row>
    <row r="147" spans="3:10" x14ac:dyDescent="0.3">
      <c r="C147" s="2088"/>
      <c r="J147" s="230"/>
    </row>
    <row r="148" spans="3:10" x14ac:dyDescent="0.3">
      <c r="C148" s="2088"/>
      <c r="J148" s="230"/>
    </row>
    <row r="149" spans="3:10" x14ac:dyDescent="0.3">
      <c r="C149" s="2088"/>
    </row>
    <row r="150" spans="3:10" x14ac:dyDescent="0.3">
      <c r="C150" s="2088"/>
    </row>
    <row r="151" spans="3:10" x14ac:dyDescent="0.3">
      <c r="C151" s="2088"/>
    </row>
    <row r="152" spans="3:10" x14ac:dyDescent="0.3">
      <c r="C152" s="2088"/>
    </row>
    <row r="153" spans="3:10" x14ac:dyDescent="0.3">
      <c r="C153" s="2088"/>
    </row>
    <row r="154" spans="3:10" x14ac:dyDescent="0.3">
      <c r="C154" s="2088"/>
    </row>
    <row r="155" spans="3:10" x14ac:dyDescent="0.3">
      <c r="C155" s="2088"/>
    </row>
    <row r="156" spans="3:10" x14ac:dyDescent="0.3">
      <c r="C156" s="2088"/>
    </row>
    <row r="157" spans="3:10" x14ac:dyDescent="0.3">
      <c r="C157" s="2088"/>
    </row>
    <row r="158" spans="3:10" x14ac:dyDescent="0.3">
      <c r="C158" s="2088"/>
    </row>
    <row r="159" spans="3:10" x14ac:dyDescent="0.3">
      <c r="C159" s="2088"/>
    </row>
    <row r="160" spans="3:10" x14ac:dyDescent="0.3">
      <c r="C160" s="2088"/>
    </row>
    <row r="161" spans="3:3" x14ac:dyDescent="0.3">
      <c r="C161" s="2088"/>
    </row>
    <row r="162" spans="3:3" x14ac:dyDescent="0.3">
      <c r="C162" s="2088"/>
    </row>
    <row r="163" spans="3:3" x14ac:dyDescent="0.3">
      <c r="C163" s="2088"/>
    </row>
    <row r="164" spans="3:3" x14ac:dyDescent="0.3">
      <c r="C164" s="2088"/>
    </row>
    <row r="165" spans="3:3" x14ac:dyDescent="0.3">
      <c r="C165" s="2088"/>
    </row>
    <row r="166" spans="3:3" x14ac:dyDescent="0.3">
      <c r="C166" s="2088"/>
    </row>
    <row r="167" spans="3:3" x14ac:dyDescent="0.3">
      <c r="C167" s="2088"/>
    </row>
    <row r="168" spans="3:3" x14ac:dyDescent="0.3">
      <c r="C168" s="2088"/>
    </row>
    <row r="169" spans="3:3" x14ac:dyDescent="0.3">
      <c r="C169" s="2088"/>
    </row>
    <row r="170" spans="3:3" x14ac:dyDescent="0.3">
      <c r="C170" s="2088"/>
    </row>
    <row r="171" spans="3:3" x14ac:dyDescent="0.3">
      <c r="C171" s="2088"/>
    </row>
    <row r="172" spans="3:3" x14ac:dyDescent="0.3">
      <c r="C172" s="2088"/>
    </row>
    <row r="173" spans="3:3" x14ac:dyDescent="0.3">
      <c r="C173" s="2088"/>
    </row>
    <row r="174" spans="3:3" x14ac:dyDescent="0.3">
      <c r="C174" s="2088"/>
    </row>
    <row r="175" spans="3:3" x14ac:dyDescent="0.3">
      <c r="C175" s="2088"/>
    </row>
    <row r="176" spans="3:3" x14ac:dyDescent="0.3">
      <c r="C176" s="2088"/>
    </row>
    <row r="177" spans="3:3" x14ac:dyDescent="0.3">
      <c r="C177" s="2088"/>
    </row>
    <row r="178" spans="3:3" x14ac:dyDescent="0.3">
      <c r="C178" s="2088"/>
    </row>
    <row r="179" spans="3:3" x14ac:dyDescent="0.3">
      <c r="C179" s="2088"/>
    </row>
    <row r="180" spans="3:3" x14ac:dyDescent="0.3">
      <c r="C180" s="2088"/>
    </row>
  </sheetData>
  <pageMargins left="0.7" right="0.7" top="0.75" bottom="0.75"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2E5ED-339C-4EFF-B3CA-4AB76BA597FC}">
  <sheetPr>
    <tabColor theme="9" tint="0.59999389629810485"/>
  </sheetPr>
  <dimension ref="A1:N51"/>
  <sheetViews>
    <sheetView showGridLines="0" zoomScale="85" zoomScaleNormal="85" workbookViewId="0">
      <selection activeCell="N31" sqref="N31"/>
    </sheetView>
  </sheetViews>
  <sheetFormatPr defaultColWidth="9.109375" defaultRowHeight="15.6" x14ac:dyDescent="0.3"/>
  <cols>
    <col min="1" max="1" width="35.33203125" style="211" customWidth="1"/>
    <col min="2" max="2" width="8.33203125" style="211" customWidth="1"/>
    <col min="3" max="3" width="9.109375" style="211"/>
    <col min="4" max="4" width="1.33203125" style="211" customWidth="1"/>
    <col min="5" max="5" width="40.109375" style="211" customWidth="1"/>
    <col min="6" max="6" width="11.6640625" style="211" bestFit="1" customWidth="1"/>
    <col min="7" max="7" width="11" style="211" customWidth="1"/>
    <col min="8" max="8" width="11.88671875" style="211" customWidth="1"/>
    <col min="9" max="9" width="10.33203125" style="211" bestFit="1" customWidth="1"/>
    <col min="10" max="16384" width="9.109375" style="211"/>
  </cols>
  <sheetData>
    <row r="1" spans="1:8" x14ac:dyDescent="0.3">
      <c r="A1" s="459" t="s">
        <v>1320</v>
      </c>
    </row>
    <row r="2" spans="1:8" x14ac:dyDescent="0.3">
      <c r="A2" s="152" t="s">
        <v>2882</v>
      </c>
    </row>
    <row r="3" spans="1:8" ht="8.25" customHeight="1" thickBot="1" x14ac:dyDescent="0.35"/>
    <row r="4" spans="1:8" x14ac:dyDescent="0.3">
      <c r="A4" s="453"/>
      <c r="B4" s="712">
        <v>1984</v>
      </c>
      <c r="C4" s="713">
        <v>1974</v>
      </c>
      <c r="D4" s="1332"/>
    </row>
    <row r="5" spans="1:8" x14ac:dyDescent="0.3">
      <c r="A5" s="214" t="s">
        <v>2881</v>
      </c>
      <c r="B5" s="2168">
        <v>134</v>
      </c>
      <c r="C5" s="1325">
        <v>61</v>
      </c>
      <c r="D5" s="2168"/>
    </row>
    <row r="6" spans="1:8" x14ac:dyDescent="0.3">
      <c r="A6" s="214" t="s">
        <v>2880</v>
      </c>
      <c r="B6" s="215">
        <v>140</v>
      </c>
      <c r="C6" s="260">
        <v>61</v>
      </c>
      <c r="D6" s="215"/>
    </row>
    <row r="7" spans="1:8" x14ac:dyDescent="0.3">
      <c r="A7" s="214" t="s">
        <v>2879</v>
      </c>
      <c r="B7" s="215">
        <v>253</v>
      </c>
      <c r="C7" s="260">
        <v>79</v>
      </c>
      <c r="D7" s="215"/>
    </row>
    <row r="8" spans="1:8" ht="4.5" customHeight="1" x14ac:dyDescent="0.3">
      <c r="A8" s="214"/>
      <c r="B8" s="215"/>
      <c r="C8" s="260"/>
      <c r="D8" s="813"/>
    </row>
    <row r="9" spans="1:8" ht="4.5" customHeight="1" x14ac:dyDescent="0.3">
      <c r="A9" s="1155"/>
      <c r="B9" s="686"/>
      <c r="C9" s="1156"/>
      <c r="D9" s="813"/>
    </row>
    <row r="10" spans="1:8" ht="4.5" customHeight="1" x14ac:dyDescent="0.3">
      <c r="A10" s="214"/>
      <c r="B10" s="215"/>
      <c r="C10" s="260"/>
      <c r="D10" s="813"/>
    </row>
    <row r="11" spans="1:8" x14ac:dyDescent="0.3">
      <c r="A11" s="214" t="s">
        <v>2878</v>
      </c>
      <c r="B11" s="2168">
        <v>1714</v>
      </c>
      <c r="C11" s="1325">
        <v>140</v>
      </c>
      <c r="D11" s="2168"/>
    </row>
    <row r="12" spans="1:8" ht="16.2" thickBot="1" x14ac:dyDescent="0.35">
      <c r="A12" s="224" t="s">
        <v>453</v>
      </c>
      <c r="B12" s="323">
        <v>84</v>
      </c>
      <c r="C12" s="324">
        <v>8</v>
      </c>
      <c r="D12" s="813"/>
    </row>
    <row r="13" spans="1:8" x14ac:dyDescent="0.3">
      <c r="A13" s="12" t="s">
        <v>3295</v>
      </c>
    </row>
    <row r="14" spans="1:8" x14ac:dyDescent="0.3">
      <c r="H14" s="211" t="s">
        <v>176</v>
      </c>
    </row>
    <row r="17" spans="5:13" x14ac:dyDescent="0.3">
      <c r="E17" s="459" t="s">
        <v>1320</v>
      </c>
    </row>
    <row r="18" spans="5:13" x14ac:dyDescent="0.3">
      <c r="E18" s="152" t="s">
        <v>2877</v>
      </c>
    </row>
    <row r="19" spans="5:13" ht="6.6" customHeight="1" thickBot="1" x14ac:dyDescent="0.35"/>
    <row r="20" spans="5:13" x14ac:dyDescent="0.3">
      <c r="E20" s="212" t="s">
        <v>1204</v>
      </c>
      <c r="F20" s="501">
        <v>1984</v>
      </c>
      <c r="G20" s="1424" t="s">
        <v>2876</v>
      </c>
      <c r="H20" s="501">
        <v>1974</v>
      </c>
      <c r="I20" s="471" t="s">
        <v>2876</v>
      </c>
      <c r="M20" s="220"/>
    </row>
    <row r="21" spans="5:13" x14ac:dyDescent="0.3">
      <c r="E21" s="214" t="s">
        <v>2875</v>
      </c>
      <c r="F21" s="2162">
        <v>32908000</v>
      </c>
      <c r="G21" s="2167">
        <f t="shared" ref="G21:G38" si="0">F21/$F$38</f>
        <v>2.593455992106462E-2</v>
      </c>
      <c r="H21" s="2162">
        <v>1023000</v>
      </c>
      <c r="I21" s="347">
        <f>H21/$H$38</f>
        <v>2.9394559989297277E-2</v>
      </c>
      <c r="L21" s="211" t="s">
        <v>176</v>
      </c>
      <c r="M21" s="220"/>
    </row>
    <row r="22" spans="5:13" x14ac:dyDescent="0.3">
      <c r="E22" s="214" t="s">
        <v>2874</v>
      </c>
      <c r="F22" s="2166">
        <v>46738000</v>
      </c>
      <c r="G22" s="2167">
        <f t="shared" si="0"/>
        <v>3.6833884210244264E-2</v>
      </c>
      <c r="H22" s="2170"/>
      <c r="I22" s="2172"/>
      <c r="M22" s="220"/>
    </row>
    <row r="23" spans="5:13" x14ac:dyDescent="0.3">
      <c r="E23" s="214" t="s">
        <v>2873</v>
      </c>
      <c r="F23" s="2170"/>
      <c r="G23" s="2171">
        <f t="shared" si="0"/>
        <v>0</v>
      </c>
      <c r="H23" s="2166">
        <v>3150594</v>
      </c>
      <c r="I23" s="347">
        <f>H23/$H$38</f>
        <v>9.0528176280469275E-2</v>
      </c>
      <c r="M23" s="220"/>
    </row>
    <row r="24" spans="5:13" x14ac:dyDescent="0.3">
      <c r="E24" s="214" t="s">
        <v>2872</v>
      </c>
      <c r="F24" s="2166">
        <v>175307000</v>
      </c>
      <c r="G24" s="2167">
        <f t="shared" si="0"/>
        <v>0.13815819545648703</v>
      </c>
      <c r="H24" s="2170"/>
      <c r="I24" s="2172"/>
      <c r="M24" s="220"/>
    </row>
    <row r="25" spans="5:13" x14ac:dyDescent="0.3">
      <c r="E25" s="214" t="s">
        <v>1676</v>
      </c>
      <c r="F25" s="2166">
        <v>397300000</v>
      </c>
      <c r="G25" s="2167">
        <f t="shared" si="0"/>
        <v>0.31310929429436529</v>
      </c>
      <c r="H25" s="2170"/>
      <c r="I25" s="2172"/>
      <c r="M25" s="220"/>
    </row>
    <row r="26" spans="5:13" x14ac:dyDescent="0.3">
      <c r="E26" s="214" t="s">
        <v>2871</v>
      </c>
      <c r="F26" s="2166">
        <v>226137000</v>
      </c>
      <c r="G26" s="2167">
        <f t="shared" si="0"/>
        <v>0.17821695566031936</v>
      </c>
      <c r="H26" s="2170"/>
      <c r="I26" s="2172"/>
      <c r="M26" s="220"/>
    </row>
    <row r="27" spans="5:13" x14ac:dyDescent="0.3">
      <c r="E27" s="214" t="s">
        <v>2870</v>
      </c>
      <c r="F27" s="2166">
        <v>38662000</v>
      </c>
      <c r="G27" s="2167">
        <f t="shared" si="0"/>
        <v>3.0469246252224393E-2</v>
      </c>
      <c r="H27" s="2166">
        <v>1337262</v>
      </c>
      <c r="I27" s="347">
        <f>H27/$H$38</f>
        <v>3.8424465376742573E-2</v>
      </c>
      <c r="M27" s="220"/>
    </row>
    <row r="28" spans="5:13" x14ac:dyDescent="0.3">
      <c r="E28" s="214" t="s">
        <v>2869</v>
      </c>
      <c r="F28" s="2166">
        <v>28149000</v>
      </c>
      <c r="G28" s="2167">
        <f t="shared" si="0"/>
        <v>2.2184025988150235E-2</v>
      </c>
      <c r="H28" s="2166">
        <v>2771850</v>
      </c>
      <c r="I28" s="347">
        <f>H28/$H$38</f>
        <v>7.9645465402085683E-2</v>
      </c>
      <c r="M28" s="220"/>
    </row>
    <row r="29" spans="5:13" x14ac:dyDescent="0.3">
      <c r="E29" s="214" t="s">
        <v>2868</v>
      </c>
      <c r="F29" s="2170"/>
      <c r="G29" s="2171">
        <f t="shared" si="0"/>
        <v>0</v>
      </c>
      <c r="H29" s="2166">
        <v>2094150</v>
      </c>
      <c r="I29" s="347">
        <f>H29/$H$38</f>
        <v>6.0172646922372328E-2</v>
      </c>
      <c r="M29" s="220"/>
    </row>
    <row r="30" spans="5:13" x14ac:dyDescent="0.3">
      <c r="E30" s="214" t="s">
        <v>2867</v>
      </c>
      <c r="F30" s="2170"/>
      <c r="G30" s="2171">
        <f t="shared" si="0"/>
        <v>0</v>
      </c>
      <c r="H30" s="2166">
        <v>2592200</v>
      </c>
      <c r="I30" s="347">
        <f>H30/$H$38</f>
        <v>7.448345885069052E-2</v>
      </c>
      <c r="M30" s="220"/>
    </row>
    <row r="31" spans="5:13" x14ac:dyDescent="0.3">
      <c r="E31" s="214" t="s">
        <v>2866</v>
      </c>
      <c r="F31" s="2166">
        <v>27242000</v>
      </c>
      <c r="G31" s="2167">
        <f t="shared" si="0"/>
        <v>2.1469225761809967E-2</v>
      </c>
      <c r="H31" s="2170"/>
      <c r="I31" s="2172"/>
      <c r="M31" s="220"/>
    </row>
    <row r="32" spans="5:13" x14ac:dyDescent="0.3">
      <c r="E32" s="214" t="s">
        <v>2865</v>
      </c>
      <c r="F32" s="2170"/>
      <c r="G32" s="2171">
        <f t="shared" si="0"/>
        <v>0</v>
      </c>
      <c r="H32" s="2166">
        <v>1550462</v>
      </c>
      <c r="I32" s="347">
        <f>H32/$H$38</f>
        <v>4.4550487067571684E-2</v>
      </c>
      <c r="M32" s="220"/>
    </row>
    <row r="33" spans="2:14" x14ac:dyDescent="0.3">
      <c r="E33" s="214" t="s">
        <v>2864</v>
      </c>
      <c r="F33" s="2170"/>
      <c r="G33" s="2171">
        <f t="shared" si="0"/>
        <v>0</v>
      </c>
      <c r="H33" s="2166">
        <v>1066346</v>
      </c>
      <c r="I33" s="347">
        <f>H33/$H$38</f>
        <v>3.0640050309234793E-2</v>
      </c>
      <c r="M33" s="220"/>
    </row>
    <row r="34" spans="2:14" x14ac:dyDescent="0.3">
      <c r="E34" s="214" t="s">
        <v>2863</v>
      </c>
      <c r="F34" s="2170"/>
      <c r="G34" s="2171">
        <f t="shared" si="0"/>
        <v>0</v>
      </c>
      <c r="H34" s="2166">
        <v>1758458</v>
      </c>
      <c r="I34" s="347">
        <f>H34/$H$38</f>
        <v>5.0526978660468923E-2</v>
      </c>
      <c r="M34" s="220"/>
    </row>
    <row r="35" spans="2:14" x14ac:dyDescent="0.3">
      <c r="E35" s="214" t="s">
        <v>2862</v>
      </c>
      <c r="F35" s="2166">
        <v>109162000</v>
      </c>
      <c r="G35" s="2167">
        <f t="shared" si="0"/>
        <v>8.6029793062576146E-2</v>
      </c>
      <c r="H35" s="2170"/>
      <c r="I35" s="2172"/>
      <c r="M35" s="220"/>
    </row>
    <row r="36" spans="2:14" x14ac:dyDescent="0.3">
      <c r="E36" s="214" t="s">
        <v>2861</v>
      </c>
      <c r="F36" s="2166">
        <v>149955000</v>
      </c>
      <c r="G36" s="2167">
        <f t="shared" si="0"/>
        <v>0.11817846520491203</v>
      </c>
      <c r="H36" s="2166">
        <v>7999944</v>
      </c>
      <c r="I36" s="347">
        <f>H36/$H$38</f>
        <v>0.22986787274586395</v>
      </c>
      <c r="M36" s="220"/>
    </row>
    <row r="37" spans="2:14" x14ac:dyDescent="0.3">
      <c r="E37" s="214" t="s">
        <v>2469</v>
      </c>
      <c r="F37" s="2166">
        <f>F38-SUM(F21:F36)</f>
        <v>37326000</v>
      </c>
      <c r="G37" s="2167">
        <f t="shared" si="0"/>
        <v>2.9416354187846664E-2</v>
      </c>
      <c r="H37" s="2166">
        <f>H38-SUM(H21:H36)</f>
        <v>9458092</v>
      </c>
      <c r="I37" s="347">
        <f>H37/$H$38</f>
        <v>0.27176583839520302</v>
      </c>
      <c r="M37" s="220"/>
    </row>
    <row r="38" spans="2:14" ht="16.2" thickBot="1" x14ac:dyDescent="0.35">
      <c r="B38" s="211" t="s">
        <v>2860</v>
      </c>
      <c r="E38" s="214" t="s">
        <v>2859</v>
      </c>
      <c r="F38" s="2164">
        <v>1268886000</v>
      </c>
      <c r="G38" s="2165">
        <f t="shared" si="0"/>
        <v>1</v>
      </c>
      <c r="H38" s="2164">
        <v>34802358</v>
      </c>
      <c r="I38" s="2163">
        <f>H38/$H$38</f>
        <v>1</v>
      </c>
      <c r="M38" s="220"/>
    </row>
    <row r="39" spans="2:14" ht="5.25" customHeight="1" thickTop="1" x14ac:dyDescent="0.3">
      <c r="E39" s="214"/>
      <c r="F39" s="2162"/>
      <c r="G39" s="464"/>
      <c r="H39" s="2162"/>
      <c r="I39" s="347"/>
    </row>
    <row r="40" spans="2:14" x14ac:dyDescent="0.3">
      <c r="E40" s="214"/>
      <c r="F40" s="220"/>
      <c r="G40" s="220"/>
      <c r="H40" s="220"/>
      <c r="I40" s="223"/>
    </row>
    <row r="41" spans="2:14" x14ac:dyDescent="0.3">
      <c r="E41" s="6" t="s">
        <v>1681</v>
      </c>
      <c r="F41" s="220"/>
      <c r="G41" s="220"/>
      <c r="H41" s="220"/>
      <c r="I41" s="223"/>
    </row>
    <row r="42" spans="2:14" x14ac:dyDescent="0.3">
      <c r="E42" s="6" t="s">
        <v>2858</v>
      </c>
      <c r="F42" s="220"/>
      <c r="G42" s="220"/>
      <c r="H42" s="220"/>
      <c r="I42" s="223"/>
      <c r="N42" s="211" t="s">
        <v>176</v>
      </c>
    </row>
    <row r="43" spans="2:14" x14ac:dyDescent="0.3">
      <c r="E43" s="6" t="s">
        <v>2857</v>
      </c>
      <c r="F43" s="220"/>
      <c r="G43" s="220"/>
      <c r="H43" s="220"/>
      <c r="I43" s="223"/>
    </row>
    <row r="44" spans="2:14" x14ac:dyDescent="0.3">
      <c r="E44" s="6" t="s">
        <v>2856</v>
      </c>
      <c r="F44" s="220"/>
      <c r="G44" s="220"/>
      <c r="H44" s="220"/>
      <c r="I44" s="223"/>
    </row>
    <row r="45" spans="2:14" ht="16.2" thickBot="1" x14ac:dyDescent="0.35">
      <c r="E45" s="9" t="s">
        <v>2855</v>
      </c>
      <c r="F45" s="218"/>
      <c r="G45" s="218"/>
      <c r="H45" s="218"/>
      <c r="I45" s="219"/>
    </row>
    <row r="46" spans="2:14" x14ac:dyDescent="0.3">
      <c r="E46" s="2805" t="s">
        <v>3728</v>
      </c>
      <c r="F46" s="2805"/>
      <c r="G46" s="2805"/>
      <c r="H46" s="2805"/>
      <c r="I46" s="2805"/>
    </row>
    <row r="47" spans="2:14" x14ac:dyDescent="0.3">
      <c r="E47" s="2805"/>
      <c r="F47" s="2805"/>
      <c r="G47" s="2805"/>
      <c r="H47" s="2805"/>
      <c r="I47" s="2805"/>
    </row>
    <row r="51" spans="5:9" x14ac:dyDescent="0.3">
      <c r="E51" s="211" t="s">
        <v>2854</v>
      </c>
      <c r="F51" s="2161">
        <f>H36+H23+H28+H30</f>
        <v>16514588</v>
      </c>
      <c r="G51" s="226">
        <f>I36+I23+I28+I30</f>
        <v>0.47452497327910942</v>
      </c>
      <c r="H51" s="2161">
        <f>F36+F25+F26+F24</f>
        <v>948699000</v>
      </c>
      <c r="I51" s="226">
        <f>G36+G25+G26+G24</f>
        <v>0.7476629106160837</v>
      </c>
    </row>
  </sheetData>
  <mergeCells count="1">
    <mergeCell ref="E46:I47"/>
  </mergeCells>
  <pageMargins left="0.7" right="0.7" top="0.75" bottom="0.75" header="0.3" footer="0.3"/>
  <ignoredErrors>
    <ignoredError sqref="F37 H37" formulaRange="1"/>
    <ignoredError sqref="G37" formula="1" formulaRange="1"/>
  </ignoredError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2A0A-DDED-430C-A5D6-1C79EDA8E8E9}">
  <sheetPr codeName="Sheet16">
    <tabColor theme="9" tint="0.59999389629810485"/>
  </sheetPr>
  <dimension ref="A1:AF310"/>
  <sheetViews>
    <sheetView showGridLines="0" zoomScale="70" zoomScaleNormal="70" workbookViewId="0">
      <pane xSplit="1" ySplit="5" topLeftCell="B62" activePane="bottomRight" state="frozen"/>
      <selection pane="topRight" activeCell="C1" sqref="C1"/>
      <selection pane="bottomLeft" activeCell="A6" sqref="A6"/>
      <selection pane="bottomRight" activeCell="B84" sqref="B84"/>
    </sheetView>
  </sheetViews>
  <sheetFormatPr defaultColWidth="9.109375" defaultRowHeight="13.8" outlineLevelRow="2" x14ac:dyDescent="0.25"/>
  <cols>
    <col min="1" max="1" width="44.88671875" style="1" customWidth="1"/>
    <col min="2" max="2" width="12.33203125" style="50" bestFit="1" customWidth="1"/>
    <col min="3" max="3" width="12" style="50" bestFit="1" customWidth="1"/>
    <col min="4" max="4" width="11.33203125" style="33" bestFit="1" customWidth="1"/>
    <col min="5" max="5" width="3.109375" style="78" customWidth="1"/>
    <col min="6" max="8" width="11.44140625" style="50" bestFit="1" customWidth="1"/>
    <col min="9" max="11" width="10.33203125" style="50" bestFit="1" customWidth="1"/>
    <col min="12" max="12" width="3.109375" style="78" customWidth="1"/>
    <col min="13" max="13" width="10.33203125" style="50" bestFit="1" customWidth="1"/>
    <col min="14" max="14" width="10.33203125" style="1" bestFit="1" customWidth="1"/>
    <col min="15" max="16" width="9.6640625" style="1" bestFit="1" customWidth="1"/>
    <col min="17" max="17" width="11" style="1" bestFit="1" customWidth="1"/>
    <col min="18" max="18" width="9.44140625" style="1" bestFit="1" customWidth="1"/>
    <col min="19" max="19" width="12" style="1" bestFit="1" customWidth="1"/>
    <col min="20" max="16384" width="9.109375" style="1"/>
  </cols>
  <sheetData>
    <row r="1" spans="1:32" ht="15.6" x14ac:dyDescent="0.3">
      <c r="A1" s="459" t="s">
        <v>1320</v>
      </c>
      <c r="B1" s="211"/>
      <c r="C1" s="211"/>
      <c r="D1" s="211"/>
      <c r="E1" s="211"/>
      <c r="F1" s="211"/>
      <c r="G1" s="211"/>
      <c r="H1" s="211"/>
      <c r="I1" s="211"/>
      <c r="J1" s="211"/>
      <c r="K1" s="211"/>
      <c r="L1" s="211"/>
      <c r="M1" s="211"/>
      <c r="N1" s="211"/>
      <c r="O1" s="211"/>
      <c r="P1" s="211"/>
    </row>
    <row r="2" spans="1:32" ht="15.6" x14ac:dyDescent="0.3">
      <c r="A2" s="152" t="s">
        <v>1353</v>
      </c>
      <c r="B2" s="211"/>
      <c r="C2" s="211"/>
      <c r="D2" s="211"/>
      <c r="E2" s="211"/>
      <c r="F2" s="211"/>
      <c r="G2" s="211"/>
      <c r="H2" s="211"/>
      <c r="I2" s="211"/>
      <c r="J2" s="211"/>
      <c r="K2" s="211"/>
      <c r="L2" s="211"/>
      <c r="M2" s="211"/>
      <c r="N2" s="211"/>
      <c r="O2" s="211"/>
      <c r="P2" s="211"/>
    </row>
    <row r="3" spans="1:32" ht="8.25" customHeight="1" thickBot="1" x14ac:dyDescent="0.35">
      <c r="A3" s="152"/>
      <c r="B3" s="211"/>
      <c r="C3" s="211"/>
      <c r="D3" s="211"/>
      <c r="E3" s="211"/>
      <c r="F3" s="211"/>
      <c r="G3" s="211"/>
      <c r="H3" s="211"/>
      <c r="I3" s="211"/>
      <c r="J3" s="211"/>
      <c r="K3" s="211"/>
      <c r="L3" s="211"/>
      <c r="M3" s="211"/>
      <c r="N3" s="211"/>
      <c r="O3" s="211"/>
      <c r="P3" s="211"/>
    </row>
    <row r="4" spans="1:32" ht="15.6" x14ac:dyDescent="0.3">
      <c r="A4" s="453"/>
      <c r="B4" s="522"/>
      <c r="C4" s="522"/>
      <c r="D4" s="523" t="s">
        <v>310</v>
      </c>
      <c r="E4" s="564"/>
      <c r="F4" s="523" t="s">
        <v>1354</v>
      </c>
      <c r="G4" s="522"/>
      <c r="H4" s="522"/>
      <c r="I4" s="522"/>
      <c r="J4" s="522"/>
      <c r="K4" s="523" t="s">
        <v>310</v>
      </c>
      <c r="L4" s="564"/>
      <c r="M4" s="523" t="s">
        <v>1354</v>
      </c>
      <c r="N4" s="522"/>
      <c r="O4" s="522"/>
      <c r="P4" s="389"/>
      <c r="R4" s="198"/>
      <c r="S4" s="198"/>
      <c r="T4" s="198"/>
      <c r="U4" s="198"/>
      <c r="V4" s="198"/>
      <c r="W4" s="198"/>
      <c r="X4" s="198"/>
      <c r="Y4" s="198"/>
      <c r="Z4" s="198"/>
      <c r="AA4" s="198"/>
      <c r="AB4" s="198"/>
      <c r="AC4" s="198"/>
      <c r="AD4" s="198"/>
      <c r="AE4" s="198"/>
      <c r="AF4" s="198"/>
    </row>
    <row r="5" spans="1:32" ht="15.6" x14ac:dyDescent="0.3">
      <c r="A5" s="221" t="s">
        <v>1204</v>
      </c>
      <c r="B5" s="567">
        <v>31047</v>
      </c>
      <c r="C5" s="567">
        <v>30681</v>
      </c>
      <c r="D5" s="567">
        <v>30316</v>
      </c>
      <c r="E5" s="568"/>
      <c r="F5" s="567">
        <v>30316</v>
      </c>
      <c r="G5" s="567">
        <v>29951</v>
      </c>
      <c r="H5" s="567">
        <v>29586</v>
      </c>
      <c r="I5" s="567">
        <v>29220</v>
      </c>
      <c r="J5" s="567">
        <v>28855</v>
      </c>
      <c r="K5" s="567">
        <v>28490</v>
      </c>
      <c r="L5" s="568"/>
      <c r="M5" s="567">
        <v>28490</v>
      </c>
      <c r="N5" s="567">
        <v>28125</v>
      </c>
      <c r="O5" s="567">
        <v>27759</v>
      </c>
      <c r="P5" s="569">
        <v>27394</v>
      </c>
      <c r="R5" s="198"/>
      <c r="S5" s="198"/>
      <c r="T5" s="198"/>
      <c r="U5" s="198"/>
      <c r="V5" s="198"/>
      <c r="W5" s="198"/>
      <c r="X5" s="198"/>
      <c r="Y5" s="198"/>
      <c r="Z5" s="198"/>
      <c r="AA5" s="198"/>
      <c r="AB5" s="198"/>
      <c r="AC5" s="198"/>
      <c r="AD5" s="198"/>
      <c r="AE5" s="198"/>
      <c r="AF5" s="198"/>
    </row>
    <row r="6" spans="1:32" ht="15.6" x14ac:dyDescent="0.3">
      <c r="A6" s="221" t="s">
        <v>1253</v>
      </c>
      <c r="B6" s="220"/>
      <c r="C6" s="220"/>
      <c r="D6" s="220"/>
      <c r="E6" s="524"/>
      <c r="F6" s="220"/>
      <c r="G6" s="220"/>
      <c r="H6" s="220"/>
      <c r="I6" s="220"/>
      <c r="J6" s="220"/>
      <c r="K6" s="220"/>
      <c r="L6" s="524"/>
      <c r="M6" s="220"/>
      <c r="N6" s="220"/>
      <c r="O6" s="220"/>
      <c r="P6" s="223"/>
      <c r="R6" s="198"/>
      <c r="S6" s="198"/>
      <c r="T6" s="198"/>
      <c r="U6" s="198"/>
      <c r="V6" s="198"/>
      <c r="W6" s="198"/>
      <c r="X6" s="198"/>
      <c r="Y6" s="198"/>
      <c r="Z6" s="198"/>
      <c r="AA6" s="198"/>
      <c r="AB6" s="198"/>
      <c r="AC6" s="198"/>
      <c r="AD6" s="198"/>
      <c r="AE6" s="198"/>
      <c r="AF6" s="198"/>
    </row>
    <row r="7" spans="1:32" ht="15.6" x14ac:dyDescent="0.3">
      <c r="A7" s="214" t="s">
        <v>5</v>
      </c>
      <c r="B7" s="442">
        <v>3682000</v>
      </c>
      <c r="C7" s="442">
        <v>6161000</v>
      </c>
      <c r="D7" s="442">
        <v>7762000</v>
      </c>
      <c r="E7" s="525"/>
      <c r="F7" s="442">
        <v>7392000</v>
      </c>
      <c r="G7" s="442">
        <v>7232000</v>
      </c>
      <c r="H7" s="442">
        <v>9993000</v>
      </c>
      <c r="I7" s="442">
        <v>14924000</v>
      </c>
      <c r="J7" s="442">
        <v>13001000</v>
      </c>
      <c r="K7" s="442">
        <v>13996000</v>
      </c>
      <c r="L7" s="525"/>
      <c r="M7" s="442">
        <v>4920576</v>
      </c>
      <c r="N7" s="442">
        <v>3436996</v>
      </c>
      <c r="O7" s="442">
        <v>6044526</v>
      </c>
      <c r="P7" s="251">
        <v>4230559</v>
      </c>
      <c r="R7" s="198"/>
      <c r="S7" s="198"/>
      <c r="T7" s="198"/>
      <c r="U7" s="198"/>
      <c r="V7" s="198"/>
      <c r="W7" s="198"/>
      <c r="X7" s="198"/>
      <c r="Y7" s="198"/>
      <c r="Z7" s="198"/>
      <c r="AA7" s="198"/>
      <c r="AB7" s="198"/>
      <c r="AC7" s="198"/>
      <c r="AD7" s="198"/>
      <c r="AE7" s="198"/>
      <c r="AF7" s="198"/>
    </row>
    <row r="8" spans="1:32" ht="15.6" x14ac:dyDescent="0.3">
      <c r="A8" s="214"/>
      <c r="B8" s="526"/>
      <c r="C8" s="526"/>
      <c r="D8" s="526"/>
      <c r="E8" s="525"/>
      <c r="F8" s="526"/>
      <c r="G8" s="526"/>
      <c r="H8" s="526"/>
      <c r="I8" s="526"/>
      <c r="J8" s="526"/>
      <c r="K8" s="526"/>
      <c r="L8" s="525"/>
      <c r="M8" s="526"/>
      <c r="N8" s="526"/>
      <c r="O8" s="526"/>
      <c r="P8" s="527"/>
      <c r="R8" s="198"/>
      <c r="S8" s="198"/>
      <c r="T8" s="198"/>
      <c r="U8" s="198"/>
      <c r="V8" s="198"/>
      <c r="W8" s="198"/>
      <c r="X8" s="198"/>
      <c r="Y8" s="198"/>
      <c r="Z8" s="198"/>
      <c r="AA8" s="198"/>
      <c r="AB8" s="198"/>
      <c r="AC8" s="198"/>
      <c r="AD8" s="198"/>
      <c r="AE8" s="198"/>
      <c r="AF8" s="198"/>
    </row>
    <row r="9" spans="1:32" ht="15.6" x14ac:dyDescent="0.3">
      <c r="A9" s="214" t="s">
        <v>86</v>
      </c>
      <c r="B9" s="446">
        <v>303928000</v>
      </c>
      <c r="C9" s="446">
        <v>208245000</v>
      </c>
      <c r="D9" s="446">
        <v>189330000</v>
      </c>
      <c r="E9" s="528"/>
      <c r="F9" s="446">
        <v>189330000</v>
      </c>
      <c r="G9" s="446">
        <v>206078000</v>
      </c>
      <c r="H9" s="446">
        <v>187802000</v>
      </c>
      <c r="I9" s="446">
        <v>185564000</v>
      </c>
      <c r="J9" s="446">
        <v>157651000</v>
      </c>
      <c r="K9" s="446">
        <v>132929000</v>
      </c>
      <c r="L9" s="528"/>
      <c r="M9" s="446">
        <f>18635379+127324424</f>
        <v>145959803</v>
      </c>
      <c r="N9" s="446">
        <f>15489052+89215773</f>
        <v>104704825</v>
      </c>
      <c r="O9" s="446">
        <f>16175265+78760945</f>
        <v>94936210</v>
      </c>
      <c r="P9" s="237">
        <f>11108163+71530651</f>
        <v>82638814</v>
      </c>
    </row>
    <row r="10" spans="1:32" ht="31.2" x14ac:dyDescent="0.3">
      <c r="A10" s="282" t="s">
        <v>1355</v>
      </c>
      <c r="B10" s="446">
        <v>1235903000</v>
      </c>
      <c r="C10" s="446">
        <v>1232150000</v>
      </c>
      <c r="D10" s="446">
        <v>979024000</v>
      </c>
      <c r="E10" s="528"/>
      <c r="F10" s="446">
        <v>920909000</v>
      </c>
      <c r="G10" s="446">
        <v>641269000</v>
      </c>
      <c r="H10" s="446">
        <v>525947000</v>
      </c>
      <c r="I10" s="446">
        <v>411358000</v>
      </c>
      <c r="J10" s="446">
        <v>283185000</v>
      </c>
      <c r="K10" s="446">
        <v>163294000</v>
      </c>
      <c r="L10" s="528"/>
      <c r="M10" s="617"/>
      <c r="N10" s="617"/>
      <c r="O10" s="617"/>
      <c r="P10" s="2173"/>
    </row>
    <row r="11" spans="1:32" ht="15.6" x14ac:dyDescent="0.3">
      <c r="A11" s="214" t="s">
        <v>631</v>
      </c>
      <c r="B11" s="617"/>
      <c r="C11" s="617"/>
      <c r="D11" s="617"/>
      <c r="E11" s="528"/>
      <c r="F11" s="617"/>
      <c r="G11" s="617"/>
      <c r="H11" s="617"/>
      <c r="I11" s="617"/>
      <c r="J11" s="617"/>
      <c r="K11" s="617"/>
      <c r="L11" s="528"/>
      <c r="M11" s="446">
        <v>23231882</v>
      </c>
      <c r="N11" s="446">
        <v>22286948</v>
      </c>
      <c r="O11" s="446">
        <v>2558275</v>
      </c>
      <c r="P11" s="237">
        <v>2855185</v>
      </c>
    </row>
    <row r="12" spans="1:32" ht="15.6" x14ac:dyDescent="0.3">
      <c r="A12" s="214" t="s">
        <v>169</v>
      </c>
      <c r="B12" s="617"/>
      <c r="C12" s="617"/>
      <c r="D12" s="617"/>
      <c r="E12" s="528"/>
      <c r="F12" s="617"/>
      <c r="G12" s="617"/>
      <c r="H12" s="617"/>
      <c r="I12" s="617"/>
      <c r="J12" s="617"/>
      <c r="K12" s="617"/>
      <c r="L12" s="528"/>
      <c r="M12" s="446">
        <v>83656835</v>
      </c>
      <c r="N12" s="446">
        <v>53108266</v>
      </c>
      <c r="O12" s="446">
        <v>39341135</v>
      </c>
      <c r="P12" s="237">
        <v>50669865</v>
      </c>
    </row>
    <row r="13" spans="1:32" ht="46.8" x14ac:dyDescent="0.3">
      <c r="A13" s="282" t="s">
        <v>336</v>
      </c>
      <c r="B13" s="446">
        <v>170039000</v>
      </c>
      <c r="C13" s="446">
        <v>75343000</v>
      </c>
      <c r="D13" s="446">
        <v>58765000</v>
      </c>
      <c r="E13" s="528"/>
      <c r="F13" s="446">
        <v>51814000</v>
      </c>
      <c r="G13" s="446">
        <v>63529000</v>
      </c>
      <c r="H13" s="446">
        <v>50546000</v>
      </c>
      <c r="I13" s="446">
        <f>18172000</f>
        <v>18172000</v>
      </c>
      <c r="J13" s="446">
        <v>61056000</v>
      </c>
      <c r="K13" s="446">
        <v>35730000</v>
      </c>
      <c r="L13" s="528"/>
      <c r="M13" s="617"/>
      <c r="N13" s="617"/>
      <c r="O13" s="617"/>
      <c r="P13" s="2173"/>
    </row>
    <row r="14" spans="1:32" s="12" customFormat="1" ht="15.6" x14ac:dyDescent="0.3">
      <c r="A14" s="221" t="s">
        <v>311</v>
      </c>
      <c r="B14" s="255">
        <f>SUM(B9:B13)</f>
        <v>1709870000</v>
      </c>
      <c r="C14" s="255">
        <f t="shared" ref="C14:K14" si="0">SUM(C9:C13)</f>
        <v>1515738000</v>
      </c>
      <c r="D14" s="255">
        <f t="shared" ref="D14" si="1">SUM(D9:D13)</f>
        <v>1227119000</v>
      </c>
      <c r="E14" s="1199"/>
      <c r="F14" s="255">
        <f t="shared" si="0"/>
        <v>1162053000</v>
      </c>
      <c r="G14" s="255">
        <f t="shared" si="0"/>
        <v>910876000</v>
      </c>
      <c r="H14" s="255">
        <f t="shared" si="0"/>
        <v>764295000</v>
      </c>
      <c r="I14" s="255">
        <f t="shared" si="0"/>
        <v>615094000</v>
      </c>
      <c r="J14" s="255">
        <f t="shared" si="0"/>
        <v>501892000</v>
      </c>
      <c r="K14" s="255">
        <f t="shared" si="0"/>
        <v>331953000</v>
      </c>
      <c r="L14" s="1199"/>
      <c r="M14" s="255">
        <f>SUM(M9:M12)</f>
        <v>252848520</v>
      </c>
      <c r="N14" s="255">
        <f>SUM(N9:N12)</f>
        <v>180100039</v>
      </c>
      <c r="O14" s="255">
        <f>SUM(O9:O12)</f>
        <v>136835620</v>
      </c>
      <c r="P14" s="256">
        <f>SUM(P9:P12)</f>
        <v>136163864</v>
      </c>
    </row>
    <row r="15" spans="1:32" s="12" customFormat="1" ht="15.6" x14ac:dyDescent="0.3">
      <c r="A15" s="221"/>
      <c r="B15" s="492"/>
      <c r="C15" s="492"/>
      <c r="D15" s="492"/>
      <c r="E15" s="528"/>
      <c r="F15" s="492"/>
      <c r="G15" s="492"/>
      <c r="H15" s="492"/>
      <c r="I15" s="492"/>
      <c r="J15" s="492"/>
      <c r="K15" s="492"/>
      <c r="L15" s="528"/>
      <c r="M15" s="529"/>
      <c r="N15" s="529"/>
      <c r="O15" s="529"/>
      <c r="P15" s="530"/>
    </row>
    <row r="16" spans="1:32" s="12" customFormat="1" ht="15.6" x14ac:dyDescent="0.3">
      <c r="A16" s="221" t="s">
        <v>312</v>
      </c>
      <c r="B16" s="492"/>
      <c r="C16" s="492"/>
      <c r="D16" s="492"/>
      <c r="E16" s="528"/>
      <c r="F16" s="492"/>
      <c r="G16" s="492"/>
      <c r="H16" s="492"/>
      <c r="I16" s="492"/>
      <c r="J16" s="492"/>
      <c r="K16" s="492"/>
      <c r="L16" s="528"/>
      <c r="M16" s="529"/>
      <c r="N16" s="529"/>
      <c r="O16" s="529"/>
      <c r="P16" s="530"/>
    </row>
    <row r="17" spans="1:16" s="12" customFormat="1" ht="31.2" x14ac:dyDescent="0.3">
      <c r="A17" s="282" t="s">
        <v>313</v>
      </c>
      <c r="B17" s="618"/>
      <c r="C17" s="618"/>
      <c r="D17" s="618"/>
      <c r="E17" s="528"/>
      <c r="F17" s="618"/>
      <c r="G17" s="618"/>
      <c r="H17" s="618"/>
      <c r="I17" s="446">
        <v>28785000</v>
      </c>
      <c r="J17" s="446">
        <v>27146000</v>
      </c>
      <c r="K17" s="446">
        <v>25839000</v>
      </c>
      <c r="L17" s="528"/>
      <c r="M17" s="618"/>
      <c r="N17" s="618"/>
      <c r="O17" s="618"/>
      <c r="P17" s="2174"/>
    </row>
    <row r="18" spans="1:16" s="12" customFormat="1" ht="15.6" x14ac:dyDescent="0.3">
      <c r="A18" s="214" t="s">
        <v>314</v>
      </c>
      <c r="B18" s="618"/>
      <c r="C18" s="618"/>
      <c r="D18" s="618"/>
      <c r="E18" s="528"/>
      <c r="F18" s="446">
        <v>75858000</v>
      </c>
      <c r="G18" s="446">
        <v>68874000</v>
      </c>
      <c r="H18" s="446">
        <v>63040000</v>
      </c>
      <c r="I18" s="446">
        <v>56750000</v>
      </c>
      <c r="J18" s="446">
        <v>49370000</v>
      </c>
      <c r="K18" s="446">
        <v>43892000</v>
      </c>
      <c r="L18" s="528"/>
      <c r="M18" s="618"/>
      <c r="N18" s="618"/>
      <c r="O18" s="618"/>
      <c r="P18" s="2174"/>
    </row>
    <row r="19" spans="1:16" s="12" customFormat="1" ht="31.2" x14ac:dyDescent="0.3">
      <c r="A19" s="282" t="s">
        <v>345</v>
      </c>
      <c r="B19" s="446">
        <v>32927000</v>
      </c>
      <c r="C19" s="446">
        <v>27004000</v>
      </c>
      <c r="D19" s="446">
        <v>23758000</v>
      </c>
      <c r="E19" s="528"/>
      <c r="F19" s="618"/>
      <c r="G19" s="618"/>
      <c r="H19" s="618"/>
      <c r="I19" s="618"/>
      <c r="J19" s="618"/>
      <c r="K19" s="618"/>
      <c r="L19" s="528"/>
      <c r="M19" s="618"/>
      <c r="N19" s="618"/>
      <c r="O19" s="618"/>
      <c r="P19" s="2174"/>
    </row>
    <row r="20" spans="1:16" s="12" customFormat="1" ht="15.6" x14ac:dyDescent="0.3">
      <c r="A20" s="214" t="s">
        <v>315</v>
      </c>
      <c r="B20" s="618"/>
      <c r="C20" s="618"/>
      <c r="D20" s="618"/>
      <c r="E20" s="528"/>
      <c r="F20" s="618"/>
      <c r="G20" s="618"/>
      <c r="H20" s="446">
        <v>1187000</v>
      </c>
      <c r="I20" s="446">
        <v>1377000</v>
      </c>
      <c r="J20" s="446">
        <v>1477000</v>
      </c>
      <c r="K20" s="446">
        <v>1627000</v>
      </c>
      <c r="L20" s="528"/>
      <c r="M20" s="618"/>
      <c r="N20" s="618"/>
      <c r="O20" s="618"/>
      <c r="P20" s="2174"/>
    </row>
    <row r="21" spans="1:16" s="12" customFormat="1" ht="15.6" x14ac:dyDescent="0.3">
      <c r="A21" s="214" t="s">
        <v>337</v>
      </c>
      <c r="B21" s="235">
        <f t="shared" ref="B21" si="2">SUM(B17:B20)</f>
        <v>32927000</v>
      </c>
      <c r="C21" s="235">
        <f t="shared" ref="C21:K21" si="3">SUM(C17:C20)</f>
        <v>27004000</v>
      </c>
      <c r="D21" s="235">
        <f t="shared" ref="D21" si="4">SUM(D17:D20)</f>
        <v>23758000</v>
      </c>
      <c r="E21" s="528"/>
      <c r="F21" s="235">
        <f t="shared" si="3"/>
        <v>75858000</v>
      </c>
      <c r="G21" s="235">
        <f t="shared" si="3"/>
        <v>68874000</v>
      </c>
      <c r="H21" s="235">
        <f t="shared" si="3"/>
        <v>64227000</v>
      </c>
      <c r="I21" s="235">
        <f t="shared" si="3"/>
        <v>86912000</v>
      </c>
      <c r="J21" s="235">
        <f t="shared" si="3"/>
        <v>77993000</v>
      </c>
      <c r="K21" s="235">
        <f t="shared" si="3"/>
        <v>71358000</v>
      </c>
      <c r="L21" s="528"/>
      <c r="M21" s="618"/>
      <c r="N21" s="618"/>
      <c r="O21" s="618"/>
      <c r="P21" s="2174"/>
    </row>
    <row r="22" spans="1:16" s="12" customFormat="1" ht="15.6" x14ac:dyDescent="0.3">
      <c r="A22" s="221"/>
      <c r="B22" s="492"/>
      <c r="C22" s="492"/>
      <c r="D22" s="492"/>
      <c r="E22" s="528"/>
      <c r="F22" s="492"/>
      <c r="G22" s="492"/>
      <c r="H22" s="492"/>
      <c r="I22" s="492"/>
      <c r="J22" s="492"/>
      <c r="K22" s="492"/>
      <c r="L22" s="528"/>
      <c r="M22" s="529"/>
      <c r="N22" s="529"/>
      <c r="O22" s="529"/>
      <c r="P22" s="530"/>
    </row>
    <row r="23" spans="1:16" s="12" customFormat="1" ht="31.2" x14ac:dyDescent="0.3">
      <c r="A23" s="282" t="s">
        <v>316</v>
      </c>
      <c r="B23" s="446">
        <v>88489000</v>
      </c>
      <c r="C23" s="446">
        <v>72813000</v>
      </c>
      <c r="D23" s="446">
        <v>113770000</v>
      </c>
      <c r="E23" s="528"/>
      <c r="F23" s="446">
        <v>109768000</v>
      </c>
      <c r="G23" s="446">
        <v>49901000</v>
      </c>
      <c r="H23" s="446">
        <v>49861000</v>
      </c>
      <c r="I23" s="446">
        <v>52231000</v>
      </c>
      <c r="J23" s="446">
        <v>45283000</v>
      </c>
      <c r="K23" s="446">
        <v>38009000</v>
      </c>
      <c r="L23" s="528"/>
      <c r="M23" s="618"/>
      <c r="N23" s="618"/>
      <c r="O23" s="618"/>
      <c r="P23" s="2174"/>
    </row>
    <row r="24" spans="1:16" s="12" customFormat="1" ht="15.6" x14ac:dyDescent="0.3">
      <c r="A24" s="214" t="s">
        <v>10</v>
      </c>
      <c r="B24" s="446">
        <v>41332000</v>
      </c>
      <c r="C24" s="446">
        <v>37516000</v>
      </c>
      <c r="D24" s="446">
        <v>26039000</v>
      </c>
      <c r="E24" s="528"/>
      <c r="F24" s="446">
        <v>20670000</v>
      </c>
      <c r="G24" s="446">
        <v>22120000</v>
      </c>
      <c r="H24" s="446">
        <v>23802000</v>
      </c>
      <c r="I24" s="446">
        <v>25704000</v>
      </c>
      <c r="J24" s="446">
        <v>23029000</v>
      </c>
      <c r="K24" s="446">
        <v>23776000</v>
      </c>
      <c r="L24" s="528"/>
      <c r="M24" s="618"/>
      <c r="N24" s="618"/>
      <c r="O24" s="618"/>
      <c r="P24" s="2174"/>
    </row>
    <row r="25" spans="1:16" ht="15.6" x14ac:dyDescent="0.3">
      <c r="A25" s="214" t="s">
        <v>1356</v>
      </c>
      <c r="B25" s="617"/>
      <c r="C25" s="617"/>
      <c r="D25" s="617"/>
      <c r="E25" s="528"/>
      <c r="F25" s="617"/>
      <c r="G25" s="617"/>
      <c r="H25" s="617"/>
      <c r="I25" s="617"/>
      <c r="J25" s="617"/>
      <c r="K25" s="617"/>
      <c r="L25" s="528"/>
      <c r="M25" s="446">
        <v>9168579</v>
      </c>
      <c r="N25" s="446">
        <v>8101575</v>
      </c>
      <c r="O25" s="446">
        <v>6566859</v>
      </c>
      <c r="P25" s="237">
        <v>4377918</v>
      </c>
    </row>
    <row r="26" spans="1:16" ht="15.6" x14ac:dyDescent="0.3">
      <c r="A26" s="214" t="s">
        <v>1357</v>
      </c>
      <c r="B26" s="617"/>
      <c r="C26" s="617"/>
      <c r="D26" s="617"/>
      <c r="E26" s="528"/>
      <c r="F26" s="617"/>
      <c r="G26" s="617"/>
      <c r="H26" s="617"/>
      <c r="I26" s="617"/>
      <c r="J26" s="617"/>
      <c r="K26" s="617"/>
      <c r="L26" s="528"/>
      <c r="M26" s="446">
        <f>31203596-M25</f>
        <v>22035017</v>
      </c>
      <c r="N26" s="446">
        <f>23730027-N25</f>
        <v>15628452</v>
      </c>
      <c r="O26" s="446">
        <f>19710105-O25</f>
        <v>13143246</v>
      </c>
      <c r="P26" s="237">
        <f>17891227-P25</f>
        <v>13513309</v>
      </c>
    </row>
    <row r="27" spans="1:16" ht="15.6" x14ac:dyDescent="0.3">
      <c r="A27" s="214" t="s">
        <v>1358</v>
      </c>
      <c r="B27" s="617"/>
      <c r="C27" s="617"/>
      <c r="D27" s="617"/>
      <c r="E27" s="528"/>
      <c r="F27" s="617"/>
      <c r="G27" s="617"/>
      <c r="H27" s="617"/>
      <c r="I27" s="617"/>
      <c r="J27" s="617"/>
      <c r="K27" s="617"/>
      <c r="L27" s="528"/>
      <c r="M27" s="446">
        <v>9765848</v>
      </c>
      <c r="N27" s="446">
        <v>8975726</v>
      </c>
      <c r="O27" s="446">
        <v>8135615</v>
      </c>
      <c r="P27" s="237">
        <v>5999552</v>
      </c>
    </row>
    <row r="28" spans="1:16" ht="15.6" x14ac:dyDescent="0.3">
      <c r="A28" s="214" t="s">
        <v>1359</v>
      </c>
      <c r="B28" s="617"/>
      <c r="C28" s="617"/>
      <c r="D28" s="617"/>
      <c r="E28" s="528"/>
      <c r="F28" s="617"/>
      <c r="G28" s="617"/>
      <c r="H28" s="617"/>
      <c r="I28" s="617"/>
      <c r="J28" s="617"/>
      <c r="K28" s="617"/>
      <c r="L28" s="528"/>
      <c r="M28" s="446">
        <v>242200</v>
      </c>
      <c r="N28" s="446">
        <v>325595</v>
      </c>
      <c r="O28" s="446">
        <v>0</v>
      </c>
      <c r="P28" s="237"/>
    </row>
    <row r="29" spans="1:16" ht="15.6" x14ac:dyDescent="0.3">
      <c r="A29" s="214"/>
      <c r="B29" s="492"/>
      <c r="C29" s="492"/>
      <c r="D29" s="492"/>
      <c r="E29" s="528"/>
      <c r="F29" s="492"/>
      <c r="G29" s="492"/>
      <c r="H29" s="492"/>
      <c r="I29" s="492"/>
      <c r="J29" s="492"/>
      <c r="K29" s="492"/>
      <c r="L29" s="528"/>
      <c r="M29" s="492"/>
      <c r="N29" s="492"/>
      <c r="O29" s="492"/>
      <c r="P29" s="531"/>
    </row>
    <row r="30" spans="1:16" ht="15.6" x14ac:dyDescent="0.3">
      <c r="A30" s="214" t="s">
        <v>1837</v>
      </c>
      <c r="B30" s="492"/>
      <c r="C30" s="492"/>
      <c r="D30" s="492"/>
      <c r="E30" s="528"/>
      <c r="F30" s="492"/>
      <c r="G30" s="492"/>
      <c r="H30" s="492"/>
      <c r="I30" s="492"/>
      <c r="J30" s="492"/>
      <c r="K30" s="492"/>
      <c r="L30" s="528"/>
      <c r="M30" s="492"/>
      <c r="N30" s="492"/>
      <c r="O30" s="492"/>
      <c r="P30" s="531"/>
    </row>
    <row r="31" spans="1:16" ht="15.6" x14ac:dyDescent="0.3">
      <c r="A31" s="214" t="s">
        <v>1838</v>
      </c>
      <c r="B31" s="617"/>
      <c r="C31" s="617"/>
      <c r="D31" s="617"/>
      <c r="E31" s="528"/>
      <c r="F31" s="617"/>
      <c r="G31" s="617"/>
      <c r="H31" s="617"/>
      <c r="I31" s="617"/>
      <c r="J31" s="617"/>
      <c r="K31" s="617"/>
      <c r="L31" s="528"/>
      <c r="M31" s="617"/>
      <c r="N31" s="617"/>
      <c r="O31" s="446">
        <v>2195996</v>
      </c>
      <c r="P31" s="237">
        <v>2332879</v>
      </c>
    </row>
    <row r="32" spans="1:16" ht="15.6" x14ac:dyDescent="0.3">
      <c r="A32" s="214" t="s">
        <v>1839</v>
      </c>
      <c r="B32" s="617"/>
      <c r="C32" s="617"/>
      <c r="D32" s="617"/>
      <c r="E32" s="528"/>
      <c r="F32" s="617"/>
      <c r="G32" s="617"/>
      <c r="H32" s="617"/>
      <c r="I32" s="617"/>
      <c r="J32" s="617"/>
      <c r="K32" s="617"/>
      <c r="L32" s="528"/>
      <c r="M32" s="446">
        <v>3416774</v>
      </c>
      <c r="N32" s="446">
        <v>3415424</v>
      </c>
      <c r="O32" s="617"/>
      <c r="P32" s="2173"/>
    </row>
    <row r="33" spans="1:16" ht="15.6" x14ac:dyDescent="0.3">
      <c r="A33" s="214" t="s">
        <v>262</v>
      </c>
      <c r="B33" s="617"/>
      <c r="C33" s="617"/>
      <c r="D33" s="617"/>
      <c r="E33" s="528"/>
      <c r="F33" s="617"/>
      <c r="G33" s="617"/>
      <c r="H33" s="617"/>
      <c r="I33" s="617"/>
      <c r="J33" s="617"/>
      <c r="K33" s="617"/>
      <c r="L33" s="528"/>
      <c r="M33" s="446">
        <v>2163733</v>
      </c>
      <c r="N33" s="446">
        <v>1636275</v>
      </c>
      <c r="O33" s="446">
        <f>3722242-O31</f>
        <v>1526246</v>
      </c>
      <c r="P33" s="237">
        <f>3913473-P31</f>
        <v>1580594</v>
      </c>
    </row>
    <row r="34" spans="1:16" ht="15.6" x14ac:dyDescent="0.3">
      <c r="A34" s="214" t="s">
        <v>1254</v>
      </c>
      <c r="B34" s="446">
        <v>67919000</v>
      </c>
      <c r="C34" s="446">
        <v>69749000</v>
      </c>
      <c r="D34" s="446">
        <v>63020000</v>
      </c>
      <c r="E34" s="528"/>
      <c r="F34" s="446">
        <v>54070000</v>
      </c>
      <c r="G34" s="446">
        <v>51472000</v>
      </c>
      <c r="H34" s="446">
        <v>51484000</v>
      </c>
      <c r="I34" s="446">
        <v>49793000</v>
      </c>
      <c r="J34" s="446">
        <v>47877000</v>
      </c>
      <c r="K34" s="446">
        <v>47106000</v>
      </c>
      <c r="L34" s="528"/>
      <c r="M34" s="617"/>
      <c r="N34" s="617"/>
      <c r="O34" s="617"/>
      <c r="P34" s="2173"/>
    </row>
    <row r="35" spans="1:16" ht="15.6" x14ac:dyDescent="0.3">
      <c r="A35" s="214"/>
      <c r="B35" s="492"/>
      <c r="C35" s="492"/>
      <c r="D35" s="492"/>
      <c r="E35" s="528"/>
      <c r="F35" s="492"/>
      <c r="G35" s="492"/>
      <c r="H35" s="492"/>
      <c r="I35" s="492"/>
      <c r="J35" s="492"/>
      <c r="K35" s="492"/>
      <c r="L35" s="528"/>
      <c r="M35" s="492"/>
      <c r="N35" s="492"/>
      <c r="O35" s="492"/>
      <c r="P35" s="531"/>
    </row>
    <row r="36" spans="1:16" ht="15.6" x14ac:dyDescent="0.3">
      <c r="A36" s="214" t="s">
        <v>1360</v>
      </c>
      <c r="B36" s="617"/>
      <c r="C36" s="617"/>
      <c r="D36" s="617"/>
      <c r="E36" s="528"/>
      <c r="F36" s="617"/>
      <c r="G36" s="617"/>
      <c r="H36" s="617"/>
      <c r="I36" s="617"/>
      <c r="J36" s="617"/>
      <c r="K36" s="617"/>
      <c r="L36" s="528"/>
      <c r="M36" s="446">
        <v>25839229</v>
      </c>
      <c r="N36" s="446">
        <v>24731779</v>
      </c>
      <c r="O36" s="446">
        <v>23424329</v>
      </c>
      <c r="P36" s="237">
        <v>22416879</v>
      </c>
    </row>
    <row r="37" spans="1:16" s="50" customFormat="1" ht="15.6" hidden="1" outlineLevel="1" x14ac:dyDescent="0.3">
      <c r="A37" s="532" t="s">
        <v>59</v>
      </c>
      <c r="B37" s="617"/>
      <c r="C37" s="617"/>
      <c r="D37" s="617"/>
      <c r="E37" s="534"/>
      <c r="F37" s="617"/>
      <c r="G37" s="617"/>
      <c r="H37" s="617"/>
      <c r="I37" s="617"/>
      <c r="J37" s="617"/>
      <c r="K37" s="617"/>
      <c r="L37" s="534"/>
      <c r="M37" s="533"/>
      <c r="N37" s="533"/>
      <c r="O37" s="533"/>
      <c r="P37" s="535"/>
    </row>
    <row r="38" spans="1:16" ht="15.6" collapsed="1" x14ac:dyDescent="0.3">
      <c r="A38" s="214" t="s">
        <v>67</v>
      </c>
      <c r="B38" s="617"/>
      <c r="C38" s="617"/>
      <c r="D38" s="617"/>
      <c r="E38" s="528"/>
      <c r="F38" s="617"/>
      <c r="G38" s="617"/>
      <c r="H38" s="617"/>
      <c r="I38" s="617"/>
      <c r="J38" s="617"/>
      <c r="K38" s="617"/>
      <c r="L38" s="528"/>
      <c r="M38" s="446">
        <v>35773558</v>
      </c>
      <c r="N38" s="446">
        <v>27304491</v>
      </c>
      <c r="O38" s="446">
        <v>18777479</v>
      </c>
      <c r="P38" s="237">
        <v>16923998</v>
      </c>
    </row>
    <row r="39" spans="1:16" ht="15.6" x14ac:dyDescent="0.3">
      <c r="A39" s="214" t="s">
        <v>1361</v>
      </c>
      <c r="B39" s="617"/>
      <c r="C39" s="617"/>
      <c r="D39" s="617"/>
      <c r="E39" s="528"/>
      <c r="F39" s="617"/>
      <c r="G39" s="617"/>
      <c r="H39" s="617"/>
      <c r="I39" s="617"/>
      <c r="J39" s="617"/>
      <c r="K39" s="617"/>
      <c r="L39" s="528"/>
      <c r="M39" s="446">
        <v>1612102</v>
      </c>
      <c r="N39" s="446">
        <v>879602</v>
      </c>
      <c r="O39" s="446">
        <v>1120333</v>
      </c>
      <c r="P39" s="237">
        <v>1187333</v>
      </c>
    </row>
    <row r="40" spans="1:16" ht="15.6" x14ac:dyDescent="0.3">
      <c r="A40" s="214" t="s">
        <v>346</v>
      </c>
      <c r="B40" s="446">
        <v>77269000</v>
      </c>
      <c r="C40" s="446">
        <v>79327000</v>
      </c>
      <c r="D40" s="446">
        <v>13823000</v>
      </c>
      <c r="E40" s="528"/>
      <c r="F40" s="617"/>
      <c r="G40" s="617"/>
      <c r="H40" s="617"/>
      <c r="I40" s="617"/>
      <c r="J40" s="617"/>
      <c r="K40" s="617"/>
      <c r="L40" s="528"/>
      <c r="M40" s="617"/>
      <c r="N40" s="2020"/>
      <c r="O40" s="2020"/>
      <c r="P40" s="2021"/>
    </row>
    <row r="41" spans="1:16" ht="15.6" x14ac:dyDescent="0.3">
      <c r="A41" s="214" t="s">
        <v>1362</v>
      </c>
      <c r="B41" s="617"/>
      <c r="C41" s="617"/>
      <c r="D41" s="617"/>
      <c r="E41" s="528"/>
      <c r="F41" s="446">
        <v>10264000</v>
      </c>
      <c r="G41" s="446">
        <v>12313000</v>
      </c>
      <c r="H41" s="446">
        <v>14163000</v>
      </c>
      <c r="I41" s="446">
        <v>13652000</v>
      </c>
      <c r="J41" s="446">
        <v>13846000</v>
      </c>
      <c r="K41" s="446">
        <v>10852000</v>
      </c>
      <c r="L41" s="528"/>
      <c r="M41" s="446">
        <v>9810000</v>
      </c>
      <c r="N41" s="446">
        <v>6820000</v>
      </c>
      <c r="O41" s="446">
        <v>2950000</v>
      </c>
      <c r="P41" s="237">
        <v>4400000</v>
      </c>
    </row>
    <row r="42" spans="1:16" ht="15.6" x14ac:dyDescent="0.3">
      <c r="A42" s="214" t="s">
        <v>348</v>
      </c>
      <c r="B42" s="446">
        <f t="shared" ref="B42" si="5">B43-(SUM(B14:B41)+B7-B21)</f>
        <v>13715000</v>
      </c>
      <c r="C42" s="446">
        <f t="shared" ref="C42:K42" si="6">C43-(SUM(C14:C41)+C7-C21)</f>
        <v>48084000</v>
      </c>
      <c r="D42" s="446">
        <f t="shared" ref="D42" si="7">D43-(SUM(D14:D41)+D7-D21)</f>
        <v>57993000</v>
      </c>
      <c r="E42" s="528"/>
      <c r="F42" s="446">
        <f t="shared" si="6"/>
        <v>45549000</v>
      </c>
      <c r="G42" s="446">
        <f t="shared" si="6"/>
        <v>35123000</v>
      </c>
      <c r="H42" s="446">
        <f t="shared" si="6"/>
        <v>32756000</v>
      </c>
      <c r="I42" s="446">
        <f t="shared" si="6"/>
        <v>33955000</v>
      </c>
      <c r="J42" s="446">
        <f t="shared" si="6"/>
        <v>34691000</v>
      </c>
      <c r="K42" s="446">
        <f t="shared" si="6"/>
        <v>35093000</v>
      </c>
      <c r="L42" s="528"/>
      <c r="M42" s="446">
        <f>M43-(SUM(M14:M41)+M7)</f>
        <v>1644746</v>
      </c>
      <c r="N42" s="446">
        <f>N43-(SUM(N14:N41)+N7)</f>
        <v>1685315</v>
      </c>
      <c r="O42" s="446">
        <f>O43-(SUM(O14:O41)+O7)</f>
        <v>5021168</v>
      </c>
      <c r="P42" s="237">
        <f>P43-(SUM(P14:P41)+P7)</f>
        <v>3086688</v>
      </c>
    </row>
    <row r="43" spans="1:16" ht="16.2" thickBot="1" x14ac:dyDescent="0.35">
      <c r="A43" s="214" t="s">
        <v>282</v>
      </c>
      <c r="B43" s="828">
        <v>2035203000</v>
      </c>
      <c r="C43" s="828">
        <v>1856392000</v>
      </c>
      <c r="D43" s="828">
        <v>1533284000</v>
      </c>
      <c r="E43" s="525"/>
      <c r="F43" s="828">
        <v>1485624000</v>
      </c>
      <c r="G43" s="828">
        <v>1157911000</v>
      </c>
      <c r="H43" s="828">
        <v>1010581000</v>
      </c>
      <c r="I43" s="828">
        <v>892265000</v>
      </c>
      <c r="J43" s="828">
        <v>757612000</v>
      </c>
      <c r="K43" s="828">
        <v>572143000</v>
      </c>
      <c r="L43" s="525"/>
      <c r="M43" s="828">
        <v>379240882</v>
      </c>
      <c r="N43" s="828">
        <v>283041269</v>
      </c>
      <c r="O43" s="828">
        <v>225741417</v>
      </c>
      <c r="P43" s="829">
        <v>216213573</v>
      </c>
    </row>
    <row r="44" spans="1:16" ht="7.5" customHeight="1" thickTop="1" x14ac:dyDescent="0.3">
      <c r="A44" s="213"/>
      <c r="B44" s="526"/>
      <c r="C44" s="526"/>
      <c r="D44" s="526"/>
      <c r="E44" s="525"/>
      <c r="F44" s="526"/>
      <c r="G44" s="526"/>
      <c r="H44" s="526"/>
      <c r="I44" s="526"/>
      <c r="J44" s="526"/>
      <c r="K44" s="526"/>
      <c r="L44" s="525"/>
      <c r="M44" s="526"/>
      <c r="N44" s="526"/>
      <c r="O44" s="526"/>
      <c r="P44" s="527"/>
    </row>
    <row r="45" spans="1:16" ht="15.6" x14ac:dyDescent="0.3">
      <c r="A45" s="221" t="s">
        <v>1365</v>
      </c>
      <c r="B45" s="526"/>
      <c r="C45" s="526"/>
      <c r="D45" s="526"/>
      <c r="E45" s="525"/>
      <c r="F45" s="526"/>
      <c r="G45" s="526"/>
      <c r="H45" s="526"/>
      <c r="I45" s="526"/>
      <c r="J45" s="526"/>
      <c r="K45" s="526"/>
      <c r="L45" s="525"/>
      <c r="M45" s="526"/>
      <c r="N45" s="526"/>
      <c r="O45" s="526"/>
      <c r="P45" s="527"/>
    </row>
    <row r="46" spans="1:16" ht="15.6" x14ac:dyDescent="0.3">
      <c r="A46" s="221" t="s">
        <v>1366</v>
      </c>
      <c r="B46" s="526"/>
      <c r="C46" s="526"/>
      <c r="D46" s="526"/>
      <c r="E46" s="525"/>
      <c r="F46" s="526"/>
      <c r="G46" s="526"/>
      <c r="H46" s="526"/>
      <c r="I46" s="526"/>
      <c r="J46" s="526"/>
      <c r="K46" s="526"/>
      <c r="L46" s="525"/>
      <c r="M46" s="526"/>
      <c r="N46" s="526"/>
      <c r="O46" s="526"/>
      <c r="P46" s="527"/>
    </row>
    <row r="47" spans="1:16" ht="15.6" x14ac:dyDescent="0.3">
      <c r="A47" s="214"/>
      <c r="B47" s="220"/>
      <c r="C47" s="220"/>
      <c r="D47" s="509" t="s">
        <v>310</v>
      </c>
      <c r="E47" s="565"/>
      <c r="F47" s="509" t="s">
        <v>1354</v>
      </c>
      <c r="G47" s="220"/>
      <c r="H47" s="220"/>
      <c r="I47" s="220"/>
      <c r="J47" s="220"/>
      <c r="K47" s="509" t="s">
        <v>310</v>
      </c>
      <c r="L47" s="565"/>
      <c r="M47" s="509" t="s">
        <v>1354</v>
      </c>
      <c r="N47" s="220"/>
      <c r="O47" s="220"/>
      <c r="P47" s="223"/>
    </row>
    <row r="48" spans="1:16" ht="15.6" x14ac:dyDescent="0.3">
      <c r="A48" s="221" t="s">
        <v>1204</v>
      </c>
      <c r="B48" s="567">
        <v>31047</v>
      </c>
      <c r="C48" s="567">
        <v>30681</v>
      </c>
      <c r="D48" s="567">
        <v>30316</v>
      </c>
      <c r="E48" s="568"/>
      <c r="F48" s="567">
        <v>30316</v>
      </c>
      <c r="G48" s="567">
        <v>29951</v>
      </c>
      <c r="H48" s="567">
        <v>29586</v>
      </c>
      <c r="I48" s="567">
        <v>29220</v>
      </c>
      <c r="J48" s="567">
        <v>28855</v>
      </c>
      <c r="K48" s="567">
        <v>28490</v>
      </c>
      <c r="L48" s="568"/>
      <c r="M48" s="567">
        <v>28490</v>
      </c>
      <c r="N48" s="567">
        <v>28125</v>
      </c>
      <c r="O48" s="567">
        <v>27759</v>
      </c>
      <c r="P48" s="569">
        <v>27394</v>
      </c>
    </row>
    <row r="49" spans="1:21" ht="15.6" x14ac:dyDescent="0.3">
      <c r="A49" s="221" t="s">
        <v>1292</v>
      </c>
      <c r="B49" s="492"/>
      <c r="C49" s="492"/>
      <c r="D49" s="492"/>
      <c r="E49" s="528"/>
      <c r="F49" s="492"/>
      <c r="G49" s="492"/>
      <c r="H49" s="492"/>
      <c r="I49" s="492"/>
      <c r="J49" s="492"/>
      <c r="K49" s="492"/>
      <c r="L49" s="528"/>
      <c r="M49" s="492"/>
      <c r="N49" s="492"/>
      <c r="O49" s="492"/>
      <c r="P49" s="531"/>
    </row>
    <row r="50" spans="1:21" ht="15.6" x14ac:dyDescent="0.3">
      <c r="A50" s="214" t="s">
        <v>68</v>
      </c>
      <c r="B50" s="446">
        <v>243298000</v>
      </c>
      <c r="C50" s="446">
        <v>212706000</v>
      </c>
      <c r="D50" s="446">
        <v>193477000</v>
      </c>
      <c r="E50" s="528"/>
      <c r="F50" s="446">
        <v>193477000</v>
      </c>
      <c r="G50" s="446">
        <v>190970000</v>
      </c>
      <c r="H50" s="446">
        <v>199128000</v>
      </c>
      <c r="I50" s="446">
        <v>197697000</v>
      </c>
      <c r="J50" s="446">
        <v>180870000</v>
      </c>
      <c r="K50" s="446">
        <v>139461000</v>
      </c>
      <c r="L50" s="528"/>
      <c r="M50" s="446">
        <v>133591629</v>
      </c>
      <c r="N50" s="446">
        <v>85152259</v>
      </c>
      <c r="O50" s="446">
        <v>73033492</v>
      </c>
      <c r="P50" s="237">
        <v>72761097</v>
      </c>
    </row>
    <row r="51" spans="1:21" ht="15.6" x14ac:dyDescent="0.3">
      <c r="A51" s="214" t="s">
        <v>69</v>
      </c>
      <c r="B51" s="446">
        <v>49099000</v>
      </c>
      <c r="C51" s="446">
        <v>55783000</v>
      </c>
      <c r="D51" s="446">
        <v>58414000</v>
      </c>
      <c r="E51" s="528"/>
      <c r="F51" s="446">
        <v>58414000</v>
      </c>
      <c r="G51" s="446">
        <v>62269000</v>
      </c>
      <c r="H51" s="446">
        <v>73281000</v>
      </c>
      <c r="I51" s="446">
        <v>73604000</v>
      </c>
      <c r="J51" s="446">
        <v>69368000</v>
      </c>
      <c r="K51" s="446">
        <v>57128000</v>
      </c>
      <c r="L51" s="528"/>
      <c r="M51" s="446">
        <v>52190714</v>
      </c>
      <c r="N51" s="446">
        <v>36736618</v>
      </c>
      <c r="O51" s="446">
        <v>22344290</v>
      </c>
      <c r="P51" s="237">
        <v>21704867</v>
      </c>
    </row>
    <row r="52" spans="1:21" ht="15.6" x14ac:dyDescent="0.3">
      <c r="A52" s="214" t="s">
        <v>70</v>
      </c>
      <c r="B52" s="617"/>
      <c r="C52" s="617"/>
      <c r="D52" s="617"/>
      <c r="E52" s="528"/>
      <c r="F52" s="617"/>
      <c r="G52" s="617"/>
      <c r="H52" s="617"/>
      <c r="I52" s="617"/>
      <c r="J52" s="617"/>
      <c r="K52" s="617"/>
      <c r="L52" s="528"/>
      <c r="M52" s="617"/>
      <c r="N52" s="446">
        <v>3783169</v>
      </c>
      <c r="O52" s="446">
        <v>2939462</v>
      </c>
      <c r="P52" s="237">
        <v>2857284</v>
      </c>
    </row>
    <row r="53" spans="1:21" ht="15.6" x14ac:dyDescent="0.3">
      <c r="A53" s="214" t="s">
        <v>72</v>
      </c>
      <c r="B53" s="617"/>
      <c r="C53" s="617"/>
      <c r="D53" s="617"/>
      <c r="E53" s="528"/>
      <c r="F53" s="617"/>
      <c r="G53" s="617"/>
      <c r="H53" s="617"/>
      <c r="I53" s="617"/>
      <c r="J53" s="617"/>
      <c r="K53" s="617"/>
      <c r="L53" s="528"/>
      <c r="M53" s="617"/>
      <c r="N53" s="446">
        <v>839495</v>
      </c>
      <c r="O53" s="446">
        <v>679990</v>
      </c>
      <c r="P53" s="237">
        <v>294101</v>
      </c>
    </row>
    <row r="54" spans="1:21" ht="15.6" x14ac:dyDescent="0.3">
      <c r="A54" s="214" t="s">
        <v>1363</v>
      </c>
      <c r="B54" s="617"/>
      <c r="C54" s="617"/>
      <c r="D54" s="617"/>
      <c r="E54" s="528"/>
      <c r="F54" s="617"/>
      <c r="G54" s="617"/>
      <c r="H54" s="617"/>
      <c r="I54" s="617"/>
      <c r="J54" s="617"/>
      <c r="K54" s="617"/>
      <c r="L54" s="528"/>
      <c r="M54" s="617"/>
      <c r="N54" s="446">
        <v>7259034</v>
      </c>
      <c r="O54" s="446">
        <v>5790070</v>
      </c>
      <c r="P54" s="237">
        <v>4435325</v>
      </c>
    </row>
    <row r="55" spans="1:21" ht="15.6" x14ac:dyDescent="0.3">
      <c r="A55" s="214" t="s">
        <v>318</v>
      </c>
      <c r="B55" s="446">
        <v>58957000</v>
      </c>
      <c r="C55" s="446">
        <v>60669000</v>
      </c>
      <c r="D55" s="446">
        <v>60240000</v>
      </c>
      <c r="E55" s="528"/>
      <c r="F55" s="446">
        <v>60240000</v>
      </c>
      <c r="G55" s="446">
        <v>64262000</v>
      </c>
      <c r="H55" s="446">
        <v>64053000</v>
      </c>
      <c r="I55" s="446">
        <v>67524000</v>
      </c>
      <c r="J55" s="446">
        <v>66832000</v>
      </c>
      <c r="K55" s="446">
        <v>66209000</v>
      </c>
      <c r="L55" s="528"/>
      <c r="M55" s="617"/>
      <c r="N55" s="617"/>
      <c r="O55" s="617"/>
      <c r="P55" s="2021"/>
    </row>
    <row r="56" spans="1:21" ht="15.6" x14ac:dyDescent="0.3">
      <c r="A56" s="214" t="s">
        <v>308</v>
      </c>
      <c r="B56" s="446">
        <v>73346000</v>
      </c>
      <c r="C56" s="446">
        <v>58094000</v>
      </c>
      <c r="D56" s="446">
        <v>50552000</v>
      </c>
      <c r="E56" s="528"/>
      <c r="F56" s="446">
        <v>48340000</v>
      </c>
      <c r="G56" s="446">
        <v>51915000</v>
      </c>
      <c r="H56" s="446">
        <v>43462000</v>
      </c>
      <c r="I56" s="446">
        <v>38792000</v>
      </c>
      <c r="J56" s="446">
        <v>33983000</v>
      </c>
      <c r="K56" s="446">
        <v>35466000</v>
      </c>
      <c r="L56" s="528"/>
      <c r="M56" s="446">
        <v>17215634</v>
      </c>
      <c r="N56" s="617"/>
      <c r="O56" s="617"/>
      <c r="P56" s="2021"/>
    </row>
    <row r="57" spans="1:21" ht="15.6" x14ac:dyDescent="0.3">
      <c r="A57" s="214" t="s">
        <v>73</v>
      </c>
      <c r="B57" s="446">
        <v>11432000</v>
      </c>
      <c r="C57" s="446">
        <v>8511000</v>
      </c>
      <c r="D57" s="446">
        <v>22007000</v>
      </c>
      <c r="E57" s="528"/>
      <c r="F57" s="446">
        <v>21868000</v>
      </c>
      <c r="G57" s="446">
        <v>13759000</v>
      </c>
      <c r="H57" s="446">
        <v>7919000</v>
      </c>
      <c r="I57" s="446">
        <v>10411000</v>
      </c>
      <c r="J57" s="446">
        <v>10768000</v>
      </c>
      <c r="K57" s="446">
        <v>6492000</v>
      </c>
      <c r="L57" s="528"/>
      <c r="M57" s="446">
        <v>1524036</v>
      </c>
      <c r="N57" s="446">
        <v>3346111</v>
      </c>
      <c r="O57" s="446">
        <v>178546</v>
      </c>
      <c r="P57" s="237">
        <v>163809</v>
      </c>
    </row>
    <row r="58" spans="1:21" ht="15.6" x14ac:dyDescent="0.3">
      <c r="A58" s="214" t="s">
        <v>74</v>
      </c>
      <c r="B58" s="446">
        <v>177907000</v>
      </c>
      <c r="C58" s="446">
        <v>194462000</v>
      </c>
      <c r="D58" s="446">
        <v>149987000</v>
      </c>
      <c r="E58" s="528"/>
      <c r="F58" s="446">
        <v>149987000</v>
      </c>
      <c r="G58" s="446">
        <v>87089000</v>
      </c>
      <c r="H58" s="446">
        <v>63329000</v>
      </c>
      <c r="I58" s="446">
        <v>52079000</v>
      </c>
      <c r="J58" s="446">
        <v>36034000</v>
      </c>
      <c r="K58" s="446">
        <v>7793000</v>
      </c>
      <c r="L58" s="528"/>
      <c r="M58" s="446">
        <v>6587819</v>
      </c>
      <c r="N58" s="446">
        <v>4677301</v>
      </c>
      <c r="O58" s="446">
        <v>2518786</v>
      </c>
      <c r="P58" s="237">
        <v>3043800</v>
      </c>
    </row>
    <row r="59" spans="1:21" ht="15.6" x14ac:dyDescent="0.3">
      <c r="A59" s="214"/>
      <c r="B59" s="446"/>
      <c r="C59" s="446"/>
      <c r="D59" s="446"/>
      <c r="E59" s="528"/>
      <c r="F59" s="446"/>
      <c r="G59" s="446"/>
      <c r="H59" s="446"/>
      <c r="I59" s="446"/>
      <c r="J59" s="446"/>
      <c r="K59" s="446"/>
      <c r="L59" s="528"/>
      <c r="M59" s="446"/>
      <c r="N59" s="446"/>
      <c r="O59" s="446"/>
      <c r="P59" s="237"/>
    </row>
    <row r="60" spans="1:21" ht="15.6" x14ac:dyDescent="0.3">
      <c r="A60" s="214" t="s">
        <v>1443</v>
      </c>
      <c r="B60" s="446">
        <v>0</v>
      </c>
      <c r="C60" s="446">
        <v>0</v>
      </c>
      <c r="D60" s="446">
        <v>0</v>
      </c>
      <c r="E60" s="528"/>
      <c r="F60" s="446">
        <v>0</v>
      </c>
      <c r="G60" s="446">
        <v>0</v>
      </c>
      <c r="H60" s="446">
        <v>0</v>
      </c>
      <c r="I60" s="446">
        <v>0</v>
      </c>
      <c r="J60" s="446">
        <v>0</v>
      </c>
      <c r="K60" s="446">
        <v>0</v>
      </c>
      <c r="L60" s="528"/>
      <c r="M60" s="446">
        <v>0</v>
      </c>
      <c r="N60" s="446">
        <v>0</v>
      </c>
      <c r="O60" s="446">
        <v>0</v>
      </c>
      <c r="P60" s="237">
        <v>0</v>
      </c>
      <c r="U60" s="1" t="s">
        <v>176</v>
      </c>
    </row>
    <row r="61" spans="1:21" ht="15.6" x14ac:dyDescent="0.3">
      <c r="A61" s="214" t="s">
        <v>309</v>
      </c>
      <c r="B61" s="446">
        <v>0</v>
      </c>
      <c r="C61" s="446">
        <v>0</v>
      </c>
      <c r="D61" s="446">
        <v>0</v>
      </c>
      <c r="E61" s="528"/>
      <c r="F61" s="446">
        <v>0</v>
      </c>
      <c r="G61" s="446">
        <v>0</v>
      </c>
      <c r="H61" s="446">
        <v>0</v>
      </c>
      <c r="I61" s="446">
        <v>0</v>
      </c>
      <c r="J61" s="446">
        <v>0</v>
      </c>
      <c r="K61" s="446">
        <v>2000000</v>
      </c>
      <c r="L61" s="528"/>
      <c r="M61" s="446">
        <v>2000000</v>
      </c>
      <c r="N61" s="617"/>
      <c r="O61" s="617"/>
      <c r="P61" s="2173"/>
    </row>
    <row r="62" spans="1:21" ht="15.6" x14ac:dyDescent="0.3">
      <c r="A62" s="214" t="s">
        <v>75</v>
      </c>
      <c r="B62" s="617"/>
      <c r="C62" s="617"/>
      <c r="D62" s="617"/>
      <c r="E62" s="528"/>
      <c r="F62" s="617"/>
      <c r="G62" s="617"/>
      <c r="H62" s="617"/>
      <c r="I62" s="617"/>
      <c r="J62" s="617"/>
      <c r="K62" s="617"/>
      <c r="L62" s="528"/>
      <c r="M62" s="617"/>
      <c r="N62" s="446">
        <v>464260</v>
      </c>
      <c r="O62" s="446">
        <v>505820</v>
      </c>
      <c r="P62" s="237">
        <v>555780</v>
      </c>
    </row>
    <row r="63" spans="1:21" ht="15.6" x14ac:dyDescent="0.3">
      <c r="A63" s="214" t="s">
        <v>307</v>
      </c>
      <c r="B63" s="617"/>
      <c r="C63" s="617"/>
      <c r="D63" s="617"/>
      <c r="E63" s="528"/>
      <c r="F63" s="617"/>
      <c r="G63" s="617"/>
      <c r="H63" s="617"/>
      <c r="I63" s="617"/>
      <c r="J63" s="617"/>
      <c r="K63" s="617"/>
      <c r="L63" s="528"/>
      <c r="M63" s="446">
        <v>4342647</v>
      </c>
      <c r="N63" s="617"/>
      <c r="O63" s="617"/>
      <c r="P63" s="2173"/>
    </row>
    <row r="64" spans="1:21" ht="15.6" x14ac:dyDescent="0.3">
      <c r="A64" s="214" t="s">
        <v>77</v>
      </c>
      <c r="B64" s="617"/>
      <c r="C64" s="617"/>
      <c r="D64" s="617"/>
      <c r="E64" s="528"/>
      <c r="F64" s="617"/>
      <c r="G64" s="617"/>
      <c r="H64" s="617"/>
      <c r="I64" s="617"/>
      <c r="J64" s="617"/>
      <c r="K64" s="617"/>
      <c r="L64" s="528"/>
      <c r="M64" s="446">
        <v>20000000</v>
      </c>
      <c r="N64" s="446">
        <v>20000000</v>
      </c>
      <c r="O64" s="446">
        <v>20000000</v>
      </c>
      <c r="P64" s="237">
        <v>20000000</v>
      </c>
    </row>
    <row r="65" spans="1:19" ht="15.6" x14ac:dyDescent="0.3">
      <c r="A65" s="214" t="s">
        <v>284</v>
      </c>
      <c r="B65" s="617"/>
      <c r="C65" s="617"/>
      <c r="D65" s="617"/>
      <c r="E65" s="528"/>
      <c r="F65" s="617"/>
      <c r="G65" s="617"/>
      <c r="H65" s="617"/>
      <c r="I65" s="617"/>
      <c r="J65" s="617"/>
      <c r="K65" s="617"/>
      <c r="L65" s="528"/>
      <c r="M65" s="617"/>
      <c r="N65" s="446">
        <v>4522326</v>
      </c>
      <c r="O65" s="446">
        <v>3602480</v>
      </c>
      <c r="P65" s="237">
        <v>1274437</v>
      </c>
    </row>
    <row r="66" spans="1:19" ht="15.6" x14ac:dyDescent="0.3">
      <c r="A66" s="214" t="s">
        <v>319</v>
      </c>
      <c r="B66" s="617"/>
      <c r="C66" s="617"/>
      <c r="D66" s="617"/>
      <c r="E66" s="528"/>
      <c r="F66" s="617"/>
      <c r="G66" s="617"/>
      <c r="H66" s="617"/>
      <c r="I66" s="617"/>
      <c r="J66" s="446">
        <v>13500000</v>
      </c>
      <c r="K66" s="446">
        <v>13500000</v>
      </c>
      <c r="L66" s="528"/>
      <c r="M66" s="617"/>
      <c r="N66" s="617"/>
      <c r="O66" s="617"/>
      <c r="P66" s="2173"/>
    </row>
    <row r="67" spans="1:19" ht="15.6" x14ac:dyDescent="0.3">
      <c r="A67" s="214" t="s">
        <v>320</v>
      </c>
      <c r="B67" s="617"/>
      <c r="C67" s="617"/>
      <c r="D67" s="617"/>
      <c r="E67" s="528"/>
      <c r="F67" s="617"/>
      <c r="G67" s="617"/>
      <c r="H67" s="617"/>
      <c r="I67" s="617"/>
      <c r="J67" s="446">
        <v>27000000</v>
      </c>
      <c r="K67" s="446">
        <v>27000000</v>
      </c>
      <c r="L67" s="528"/>
      <c r="M67" s="617"/>
      <c r="N67" s="617"/>
      <c r="O67" s="617"/>
      <c r="P67" s="2173"/>
    </row>
    <row r="68" spans="1:19" ht="15.6" x14ac:dyDescent="0.3">
      <c r="A68" s="214" t="s">
        <v>321</v>
      </c>
      <c r="B68" s="617"/>
      <c r="C68" s="617"/>
      <c r="D68" s="617"/>
      <c r="E68" s="528"/>
      <c r="F68" s="617"/>
      <c r="G68" s="617"/>
      <c r="H68" s="617"/>
      <c r="I68" s="617"/>
      <c r="J68" s="446">
        <v>16571000</v>
      </c>
      <c r="K68" s="446">
        <v>14604000</v>
      </c>
      <c r="L68" s="528"/>
      <c r="M68" s="617"/>
      <c r="N68" s="617"/>
      <c r="O68" s="617"/>
      <c r="P68" s="2173"/>
    </row>
    <row r="69" spans="1:19" ht="15.6" x14ac:dyDescent="0.3">
      <c r="A69" s="214" t="s">
        <v>333</v>
      </c>
      <c r="B69" s="446">
        <v>127104000</v>
      </c>
      <c r="C69" s="446">
        <v>128984000</v>
      </c>
      <c r="D69" s="446">
        <v>169947000</v>
      </c>
      <c r="E69" s="528"/>
      <c r="F69" s="446">
        <v>137581000</v>
      </c>
      <c r="G69" s="446">
        <v>97768000</v>
      </c>
      <c r="H69" s="446">
        <v>104344000</v>
      </c>
      <c r="I69" s="446">
        <v>55099000</v>
      </c>
      <c r="J69" s="617"/>
      <c r="K69" s="617"/>
      <c r="L69" s="528"/>
      <c r="M69" s="617"/>
      <c r="N69" s="617"/>
      <c r="O69" s="617"/>
      <c r="P69" s="2173"/>
    </row>
    <row r="70" spans="1:19" s="12" customFormat="1" ht="15.6" x14ac:dyDescent="0.3">
      <c r="A70" s="221" t="s">
        <v>255</v>
      </c>
      <c r="B70" s="255">
        <f t="shared" ref="B70" si="8">SUM(B66:B69)</f>
        <v>127104000</v>
      </c>
      <c r="C70" s="255">
        <f t="shared" ref="C70:K70" si="9">SUM(C66:C69)</f>
        <v>128984000</v>
      </c>
      <c r="D70" s="255">
        <f t="shared" ref="D70" si="10">SUM(D66:D69)</f>
        <v>169947000</v>
      </c>
      <c r="E70" s="1199"/>
      <c r="F70" s="255">
        <f t="shared" si="9"/>
        <v>137581000</v>
      </c>
      <c r="G70" s="255">
        <f t="shared" si="9"/>
        <v>97768000</v>
      </c>
      <c r="H70" s="255">
        <f t="shared" si="9"/>
        <v>104344000</v>
      </c>
      <c r="I70" s="255">
        <f t="shared" si="9"/>
        <v>55099000</v>
      </c>
      <c r="J70" s="255">
        <f t="shared" si="9"/>
        <v>57071000</v>
      </c>
      <c r="K70" s="255">
        <f t="shared" si="9"/>
        <v>55104000</v>
      </c>
      <c r="L70" s="1199"/>
      <c r="M70" s="255">
        <f>SUM(M60:M65)</f>
        <v>26342647</v>
      </c>
      <c r="N70" s="255">
        <f>SUM(N60:N65)</f>
        <v>24986586</v>
      </c>
      <c r="O70" s="255">
        <f>SUM(O60:O65)</f>
        <v>24108300</v>
      </c>
      <c r="P70" s="256">
        <f>SUM(P60:P65)</f>
        <v>21830217</v>
      </c>
    </row>
    <row r="71" spans="1:19" ht="15.6" x14ac:dyDescent="0.3">
      <c r="A71" s="214"/>
      <c r="B71" s="492"/>
      <c r="C71" s="492"/>
      <c r="D71" s="492"/>
      <c r="E71" s="528"/>
      <c r="F71" s="492"/>
      <c r="G71" s="492"/>
      <c r="H71" s="492"/>
      <c r="I71" s="492"/>
      <c r="J71" s="492"/>
      <c r="K71" s="492"/>
      <c r="L71" s="528"/>
      <c r="M71" s="492"/>
      <c r="N71" s="492"/>
      <c r="O71" s="492"/>
      <c r="P71" s="531"/>
    </row>
    <row r="72" spans="1:19" ht="15.6" x14ac:dyDescent="0.3">
      <c r="A72" s="214" t="s">
        <v>322</v>
      </c>
      <c r="B72" s="446">
        <v>22299000</v>
      </c>
      <c r="C72" s="446">
        <v>17990000</v>
      </c>
      <c r="D72" s="446">
        <v>101177000</v>
      </c>
      <c r="E72" s="536"/>
      <c r="F72" s="446">
        <v>88234000</v>
      </c>
      <c r="G72" s="446">
        <v>70416000</v>
      </c>
      <c r="H72" s="446">
        <v>59851000</v>
      </c>
      <c r="I72" s="446">
        <v>52097000</v>
      </c>
      <c r="J72" s="446">
        <v>48520000</v>
      </c>
      <c r="K72" s="446">
        <v>47926000</v>
      </c>
      <c r="L72" s="536"/>
      <c r="M72" s="2020"/>
      <c r="N72" s="2020"/>
      <c r="O72" s="2020"/>
      <c r="P72" s="2021"/>
    </row>
    <row r="73" spans="1:19" ht="15.6" x14ac:dyDescent="0.3">
      <c r="A73" s="214" t="s">
        <v>15</v>
      </c>
      <c r="B73" s="446">
        <f t="shared" ref="B73" si="11">B74-B72-SUM(B50:B69)</f>
        <v>0</v>
      </c>
      <c r="C73" s="446">
        <f t="shared" ref="C73:K73" si="12">C74-C72-SUM(C50:C69)</f>
        <v>0</v>
      </c>
      <c r="D73" s="446">
        <f t="shared" ref="D73" si="13">D74-D72-SUM(D50:D69)</f>
        <v>0</v>
      </c>
      <c r="E73" s="537"/>
      <c r="F73" s="446">
        <f t="shared" si="12"/>
        <v>0</v>
      </c>
      <c r="G73" s="446">
        <f t="shared" si="12"/>
        <v>0</v>
      </c>
      <c r="H73" s="446">
        <f t="shared" si="12"/>
        <v>0</v>
      </c>
      <c r="I73" s="446">
        <f t="shared" si="12"/>
        <v>0</v>
      </c>
      <c r="J73" s="446">
        <f t="shared" si="12"/>
        <v>0</v>
      </c>
      <c r="K73" s="446">
        <f t="shared" si="12"/>
        <v>0</v>
      </c>
      <c r="L73" s="537"/>
      <c r="M73" s="423">
        <f>M74-SUM(M50:M65)</f>
        <v>0</v>
      </c>
      <c r="N73" s="446">
        <f>N74-SUM(N50:N65)</f>
        <v>967563</v>
      </c>
      <c r="O73" s="446">
        <f>O74-SUM(O50:O65)</f>
        <v>1258289</v>
      </c>
      <c r="P73" s="237">
        <f>P74-SUM(P50:P65)</f>
        <v>924446</v>
      </c>
    </row>
    <row r="74" spans="1:19" ht="15.6" x14ac:dyDescent="0.3">
      <c r="A74" s="214" t="s">
        <v>136</v>
      </c>
      <c r="B74" s="235">
        <v>763442000</v>
      </c>
      <c r="C74" s="235">
        <v>737199000</v>
      </c>
      <c r="D74" s="235">
        <v>805801000</v>
      </c>
      <c r="E74" s="536"/>
      <c r="F74" s="235">
        <v>758141000</v>
      </c>
      <c r="G74" s="235">
        <v>638448000</v>
      </c>
      <c r="H74" s="235">
        <v>615367000</v>
      </c>
      <c r="I74" s="235">
        <v>547303000</v>
      </c>
      <c r="J74" s="235">
        <v>503446000</v>
      </c>
      <c r="K74" s="235">
        <v>417579000</v>
      </c>
      <c r="L74" s="536"/>
      <c r="M74" s="235">
        <v>237452479</v>
      </c>
      <c r="N74" s="235">
        <v>167748136</v>
      </c>
      <c r="O74" s="235">
        <v>132851225</v>
      </c>
      <c r="P74" s="263">
        <f>P43-P84</f>
        <v>128014946</v>
      </c>
    </row>
    <row r="75" spans="1:19" ht="15.6" x14ac:dyDescent="0.3">
      <c r="A75" s="214"/>
      <c r="B75" s="423"/>
      <c r="C75" s="423"/>
      <c r="D75" s="423"/>
      <c r="E75" s="537"/>
      <c r="F75" s="423"/>
      <c r="G75" s="423"/>
      <c r="H75" s="423"/>
      <c r="I75" s="423"/>
      <c r="J75" s="423"/>
      <c r="K75" s="423"/>
      <c r="L75" s="537"/>
      <c r="M75" s="423"/>
      <c r="N75" s="423"/>
      <c r="O75" s="423"/>
      <c r="P75" s="240"/>
    </row>
    <row r="76" spans="1:19" s="12" customFormat="1" ht="15.6" outlineLevel="1" x14ac:dyDescent="0.3">
      <c r="A76" s="221" t="s">
        <v>16</v>
      </c>
      <c r="B76" s="538">
        <v>1375183</v>
      </c>
      <c r="C76" s="538">
        <v>1375183</v>
      </c>
      <c r="D76" s="538">
        <v>1214283</v>
      </c>
      <c r="E76" s="539"/>
      <c r="F76" s="538">
        <v>1214283</v>
      </c>
      <c r="G76" s="538">
        <v>1214283</v>
      </c>
      <c r="H76" s="538">
        <v>1214283</v>
      </c>
      <c r="I76" s="538">
        <v>1214283</v>
      </c>
      <c r="J76" s="538">
        <v>1214283</v>
      </c>
      <c r="K76" s="538">
        <v>1214286</v>
      </c>
      <c r="L76" s="539"/>
      <c r="M76" s="538">
        <v>979569</v>
      </c>
      <c r="N76" s="538">
        <v>979569</v>
      </c>
      <c r="O76" s="538">
        <v>979569</v>
      </c>
      <c r="P76" s="264">
        <v>979569</v>
      </c>
      <c r="S76" s="99"/>
    </row>
    <row r="77" spans="1:19" s="12" customFormat="1" ht="15.6" outlineLevel="1" x14ac:dyDescent="0.3">
      <c r="A77" s="221" t="s">
        <v>26</v>
      </c>
      <c r="B77" s="265">
        <v>-228274</v>
      </c>
      <c r="C77" s="265">
        <v>-228274</v>
      </c>
      <c r="D77" s="265">
        <v>-227774</v>
      </c>
      <c r="E77" s="540"/>
      <c r="F77" s="265">
        <v>-227774</v>
      </c>
      <c r="G77" s="265">
        <v>-227774</v>
      </c>
      <c r="H77" s="265">
        <v>-228224</v>
      </c>
      <c r="I77" s="265">
        <v>-187138</v>
      </c>
      <c r="J77" s="265">
        <v>-187138</v>
      </c>
      <c r="K77" s="265">
        <v>-183606</v>
      </c>
      <c r="L77" s="540"/>
      <c r="M77" s="265">
        <v>-8891</v>
      </c>
      <c r="N77" s="265">
        <v>-6647</v>
      </c>
      <c r="O77" s="265">
        <v>0</v>
      </c>
      <c r="P77" s="266">
        <v>0</v>
      </c>
    </row>
    <row r="78" spans="1:19" s="12" customFormat="1" ht="15.6" x14ac:dyDescent="0.3">
      <c r="A78" s="221" t="s">
        <v>2627</v>
      </c>
      <c r="B78" s="538">
        <f t="shared" ref="B78" si="14">B76+B77</f>
        <v>1146909</v>
      </c>
      <c r="C78" s="538">
        <f t="shared" ref="C78:F78" si="15">C76+C77</f>
        <v>1146909</v>
      </c>
      <c r="D78" s="538">
        <f t="shared" ref="D78" si="16">D76+D77</f>
        <v>986509</v>
      </c>
      <c r="E78" s="539"/>
      <c r="F78" s="538">
        <f t="shared" si="15"/>
        <v>986509</v>
      </c>
      <c r="G78" s="538">
        <f t="shared" ref="G78:H78" si="17">G76+G77</f>
        <v>986509</v>
      </c>
      <c r="H78" s="538">
        <f t="shared" si="17"/>
        <v>986059</v>
      </c>
      <c r="I78" s="538">
        <f t="shared" ref="I78:J78" si="18">I76+I77</f>
        <v>1027145</v>
      </c>
      <c r="J78" s="538">
        <f t="shared" si="18"/>
        <v>1027145</v>
      </c>
      <c r="K78" s="538">
        <f t="shared" ref="K78:M78" si="19">K76+K77</f>
        <v>1030680</v>
      </c>
      <c r="L78" s="539"/>
      <c r="M78" s="538">
        <f t="shared" si="19"/>
        <v>970678</v>
      </c>
      <c r="N78" s="538">
        <f t="shared" ref="N78:O78" si="20">N76+N77</f>
        <v>972922</v>
      </c>
      <c r="O78" s="538">
        <f t="shared" si="20"/>
        <v>979569</v>
      </c>
      <c r="P78" s="264">
        <f t="shared" ref="P78" si="21">P76+P77</f>
        <v>979569</v>
      </c>
      <c r="S78" s="1905"/>
    </row>
    <row r="79" spans="1:19" s="16" customFormat="1" ht="15.6" hidden="1" outlineLevel="1" x14ac:dyDescent="0.3">
      <c r="A79" s="267" t="s">
        <v>17</v>
      </c>
      <c r="B79" s="541">
        <v>6876000</v>
      </c>
      <c r="C79" s="541">
        <v>6876000</v>
      </c>
      <c r="D79" s="541">
        <v>6071000</v>
      </c>
      <c r="E79" s="539"/>
      <c r="F79" s="541">
        <v>6071000</v>
      </c>
      <c r="G79" s="541">
        <v>6071000</v>
      </c>
      <c r="H79" s="541">
        <v>6071000</v>
      </c>
      <c r="I79" s="541">
        <v>6071000</v>
      </c>
      <c r="J79" s="541">
        <v>6071000</v>
      </c>
      <c r="K79" s="541">
        <v>6071000</v>
      </c>
      <c r="L79" s="539"/>
      <c r="M79" s="541">
        <v>4897845</v>
      </c>
      <c r="N79" s="541">
        <v>4897845</v>
      </c>
      <c r="O79" s="541">
        <v>4897845</v>
      </c>
      <c r="P79" s="268">
        <v>4897845</v>
      </c>
    </row>
    <row r="80" spans="1:19" s="16" customFormat="1" ht="15.6" hidden="1" outlineLevel="1" x14ac:dyDescent="0.3">
      <c r="A80" s="267" t="s">
        <v>18</v>
      </c>
      <c r="B80" s="541">
        <v>157377000</v>
      </c>
      <c r="C80" s="541">
        <v>157377000</v>
      </c>
      <c r="D80" s="541">
        <v>3517000</v>
      </c>
      <c r="E80" s="542"/>
      <c r="F80" s="541">
        <v>3517000</v>
      </c>
      <c r="G80" s="541">
        <v>3517000</v>
      </c>
      <c r="H80" s="541">
        <v>3517000</v>
      </c>
      <c r="I80" s="541">
        <v>3517000</v>
      </c>
      <c r="J80" s="541">
        <v>3517000</v>
      </c>
      <c r="K80" s="541">
        <v>3517000</v>
      </c>
      <c r="L80" s="539"/>
      <c r="M80" s="541">
        <v>0</v>
      </c>
      <c r="N80" s="541">
        <v>0</v>
      </c>
      <c r="O80" s="541">
        <v>0</v>
      </c>
      <c r="P80" s="268">
        <v>0</v>
      </c>
    </row>
    <row r="81" spans="1:19" s="16" customFormat="1" ht="46.8" hidden="1" outlineLevel="1" x14ac:dyDescent="0.3">
      <c r="A81" s="543" t="s">
        <v>334</v>
      </c>
      <c r="B81" s="541">
        <v>486953000</v>
      </c>
      <c r="C81" s="541">
        <v>481953000</v>
      </c>
      <c r="D81" s="541">
        <v>358121000</v>
      </c>
      <c r="E81" s="539"/>
      <c r="F81" s="541">
        <v>358121000</v>
      </c>
      <c r="G81" s="541">
        <v>196475000</v>
      </c>
      <c r="H81" s="541">
        <v>135010000</v>
      </c>
      <c r="I81" s="541">
        <v>108913000</v>
      </c>
      <c r="J81" s="541">
        <v>60934000</v>
      </c>
      <c r="K81" s="541"/>
      <c r="L81" s="539"/>
      <c r="M81" s="541"/>
      <c r="N81" s="541"/>
      <c r="O81" s="541"/>
      <c r="P81" s="268"/>
    </row>
    <row r="82" spans="1:19" s="16" customFormat="1" ht="15.6" hidden="1" outlineLevel="1" x14ac:dyDescent="0.3">
      <c r="A82" s="267" t="s">
        <v>19</v>
      </c>
      <c r="B82" s="541">
        <v>661493000</v>
      </c>
      <c r="C82" s="541">
        <v>513925000</v>
      </c>
      <c r="D82" s="541">
        <v>400432000</v>
      </c>
      <c r="E82" s="539"/>
      <c r="F82" s="541">
        <v>400432000</v>
      </c>
      <c r="G82" s="541">
        <v>354058000</v>
      </c>
      <c r="H82" s="541">
        <v>291454000</v>
      </c>
      <c r="I82" s="541">
        <v>238332000</v>
      </c>
      <c r="J82" s="541">
        <v>195515000</v>
      </c>
      <c r="K82" s="541">
        <v>156273000</v>
      </c>
      <c r="L82" s="539"/>
      <c r="M82" s="541">
        <v>137551775</v>
      </c>
      <c r="N82" s="541">
        <v>110827343</v>
      </c>
      <c r="O82" s="541">
        <v>87992347</v>
      </c>
      <c r="P82" s="268">
        <v>83300782</v>
      </c>
    </row>
    <row r="83" spans="1:19" s="16" customFormat="1" ht="15.6" hidden="1" outlineLevel="1" x14ac:dyDescent="0.3">
      <c r="A83" s="267" t="s">
        <v>21</v>
      </c>
      <c r="B83" s="541">
        <v>40938000</v>
      </c>
      <c r="C83" s="541">
        <v>40938000</v>
      </c>
      <c r="D83" s="541">
        <v>40658000</v>
      </c>
      <c r="E83" s="539"/>
      <c r="F83" s="541">
        <v>40658000</v>
      </c>
      <c r="G83" s="541">
        <v>40658000</v>
      </c>
      <c r="H83" s="541">
        <v>40838000</v>
      </c>
      <c r="I83" s="541">
        <v>11871000</v>
      </c>
      <c r="J83" s="541">
        <v>11871000</v>
      </c>
      <c r="K83" s="541">
        <v>11297000</v>
      </c>
      <c r="L83" s="539"/>
      <c r="M83" s="544">
        <v>661217</v>
      </c>
      <c r="N83" s="544">
        <v>432055</v>
      </c>
      <c r="O83" s="541">
        <v>0</v>
      </c>
      <c r="P83" s="268">
        <v>0</v>
      </c>
    </row>
    <row r="84" spans="1:19" ht="15.6" collapsed="1" x14ac:dyDescent="0.3">
      <c r="A84" s="214" t="s">
        <v>642</v>
      </c>
      <c r="B84" s="269">
        <v>1271761000</v>
      </c>
      <c r="C84" s="269">
        <v>1119193000</v>
      </c>
      <c r="D84" s="269">
        <v>727483000</v>
      </c>
      <c r="E84" s="536"/>
      <c r="F84" s="269">
        <v>727483000</v>
      </c>
      <c r="G84" s="269">
        <v>519463000</v>
      </c>
      <c r="H84" s="269">
        <v>395214000</v>
      </c>
      <c r="I84" s="269">
        <v>344962000</v>
      </c>
      <c r="J84" s="269">
        <v>254166000</v>
      </c>
      <c r="K84" s="269">
        <v>154564000</v>
      </c>
      <c r="L84" s="536"/>
      <c r="M84" s="269">
        <v>141788403</v>
      </c>
      <c r="N84" s="269">
        <v>115293133</v>
      </c>
      <c r="O84" s="269">
        <v>92890192</v>
      </c>
      <c r="P84" s="270">
        <v>88198627</v>
      </c>
      <c r="Q84" s="74"/>
      <c r="S84" s="385"/>
    </row>
    <row r="85" spans="1:19" ht="16.2" thickBot="1" x14ac:dyDescent="0.35">
      <c r="A85" s="214" t="s">
        <v>1259</v>
      </c>
      <c r="B85" s="258">
        <v>2035203000</v>
      </c>
      <c r="C85" s="258">
        <v>1856392000</v>
      </c>
      <c r="D85" s="258">
        <v>1533284000</v>
      </c>
      <c r="E85" s="1200"/>
      <c r="F85" s="258">
        <v>1485624000</v>
      </c>
      <c r="G85" s="258">
        <v>1157911000</v>
      </c>
      <c r="H85" s="258">
        <v>1010581000</v>
      </c>
      <c r="I85" s="258">
        <v>892265000</v>
      </c>
      <c r="J85" s="258">
        <v>757612000</v>
      </c>
      <c r="K85" s="258">
        <v>572143000</v>
      </c>
      <c r="L85" s="1200"/>
      <c r="M85" s="258">
        <v>379240882</v>
      </c>
      <c r="N85" s="258">
        <v>283041269</v>
      </c>
      <c r="O85" s="258">
        <v>225741417</v>
      </c>
      <c r="P85" s="259">
        <v>216213573</v>
      </c>
      <c r="S85" s="57"/>
    </row>
    <row r="86" spans="1:19" ht="16.2" thickTop="1" x14ac:dyDescent="0.3">
      <c r="A86" s="214"/>
      <c r="B86" s="442"/>
      <c r="C86" s="442"/>
      <c r="D86" s="442"/>
      <c r="E86" s="566"/>
      <c r="F86" s="442"/>
      <c r="G86" s="442"/>
      <c r="H86" s="442"/>
      <c r="I86" s="442"/>
      <c r="J86" s="442"/>
      <c r="K86" s="442"/>
      <c r="L86" s="566"/>
      <c r="M86" s="442"/>
      <c r="N86" s="442"/>
      <c r="O86" s="442"/>
      <c r="P86" s="251"/>
      <c r="S86" s="57"/>
    </row>
    <row r="87" spans="1:19" x14ac:dyDescent="0.25">
      <c r="A87" s="2799" t="s">
        <v>1367</v>
      </c>
      <c r="B87" s="2800"/>
      <c r="C87" s="2800"/>
      <c r="D87" s="2800"/>
      <c r="E87" s="2800"/>
      <c r="F87" s="2800"/>
      <c r="G87" s="2800"/>
      <c r="H87" s="2800"/>
      <c r="I87" s="2800"/>
      <c r="J87" s="2800"/>
      <c r="K87" s="2800"/>
      <c r="L87" s="2800"/>
      <c r="M87" s="2800"/>
      <c r="N87" s="2800"/>
      <c r="O87" s="2800"/>
      <c r="P87" s="2801"/>
      <c r="S87" s="57"/>
    </row>
    <row r="88" spans="1:19" ht="14.4" thickBot="1" x14ac:dyDescent="0.3">
      <c r="A88" s="2802"/>
      <c r="B88" s="2803"/>
      <c r="C88" s="2803"/>
      <c r="D88" s="2803"/>
      <c r="E88" s="2803"/>
      <c r="F88" s="2803"/>
      <c r="G88" s="2803"/>
      <c r="H88" s="2803"/>
      <c r="I88" s="2803"/>
      <c r="J88" s="2803"/>
      <c r="K88" s="2803"/>
      <c r="L88" s="2803"/>
      <c r="M88" s="2803"/>
      <c r="N88" s="2803"/>
      <c r="O88" s="2803"/>
      <c r="P88" s="2804"/>
    </row>
    <row r="89" spans="1:19" ht="15.6" x14ac:dyDescent="0.3">
      <c r="A89" s="12" t="s">
        <v>1364</v>
      </c>
      <c r="B89" s="545"/>
      <c r="C89" s="545"/>
      <c r="D89" s="545"/>
      <c r="E89" s="545"/>
      <c r="F89" s="545"/>
      <c r="G89" s="545"/>
      <c r="H89" s="545"/>
      <c r="I89" s="545"/>
      <c r="J89" s="545"/>
      <c r="K89" s="545"/>
      <c r="L89" s="545"/>
      <c r="M89" s="545"/>
      <c r="N89" s="545"/>
      <c r="O89" s="545"/>
      <c r="P89" s="545"/>
    </row>
    <row r="90" spans="1:19" s="15" customFormat="1" ht="15.6" hidden="1" outlineLevel="1" x14ac:dyDescent="0.3">
      <c r="A90" s="274" t="s">
        <v>27</v>
      </c>
      <c r="B90" s="546"/>
      <c r="C90" s="546"/>
      <c r="D90" s="546"/>
      <c r="E90" s="546"/>
      <c r="F90" s="546"/>
      <c r="G90" s="546"/>
      <c r="H90" s="546"/>
      <c r="I90" s="546"/>
      <c r="J90" s="546"/>
      <c r="K90" s="546"/>
      <c r="L90" s="546"/>
      <c r="M90" s="547"/>
      <c r="N90" s="546"/>
      <c r="O90" s="546"/>
      <c r="P90" s="548"/>
    </row>
    <row r="91" spans="1:19" s="15" customFormat="1" ht="15.6" hidden="1" outlineLevel="1" x14ac:dyDescent="0.3">
      <c r="A91" s="274" t="s">
        <v>28</v>
      </c>
      <c r="B91" s="546"/>
      <c r="C91" s="546"/>
      <c r="D91" s="546"/>
      <c r="E91" s="546"/>
      <c r="F91" s="546"/>
      <c r="G91" s="546"/>
      <c r="H91" s="546"/>
      <c r="I91" s="546"/>
      <c r="J91" s="546"/>
      <c r="K91" s="546"/>
      <c r="L91" s="546"/>
      <c r="M91" s="547"/>
      <c r="N91" s="546"/>
      <c r="O91" s="546"/>
      <c r="P91" s="548"/>
    </row>
    <row r="92" spans="1:19" s="15" customFormat="1" ht="15.6" hidden="1" outlineLevel="1" x14ac:dyDescent="0.3">
      <c r="A92" s="274" t="s">
        <v>29</v>
      </c>
      <c r="B92" s="546"/>
      <c r="C92" s="546"/>
      <c r="D92" s="546"/>
      <c r="E92" s="546"/>
      <c r="F92" s="546"/>
      <c r="G92" s="546"/>
      <c r="H92" s="546"/>
      <c r="I92" s="546"/>
      <c r="J92" s="546"/>
      <c r="K92" s="546"/>
      <c r="L92" s="546"/>
      <c r="M92" s="547"/>
      <c r="N92" s="546"/>
      <c r="O92" s="546"/>
      <c r="P92" s="548"/>
    </row>
    <row r="93" spans="1:19" ht="15.6" collapsed="1" x14ac:dyDescent="0.3">
      <c r="A93" s="211"/>
      <c r="B93" s="545"/>
      <c r="C93" s="545"/>
      <c r="D93" s="545"/>
      <c r="E93" s="545"/>
      <c r="F93" s="545"/>
      <c r="G93" s="545"/>
      <c r="H93" s="545"/>
      <c r="I93" s="545"/>
      <c r="J93" s="545"/>
      <c r="K93" s="545"/>
      <c r="L93" s="545"/>
      <c r="M93" s="545"/>
      <c r="N93" s="545"/>
      <c r="O93" s="545"/>
      <c r="P93" s="545"/>
    </row>
    <row r="94" spans="1:19" s="445" customFormat="1" ht="15.6" x14ac:dyDescent="0.3">
      <c r="A94" s="372"/>
      <c r="B94" s="570"/>
      <c r="C94" s="570"/>
      <c r="D94" s="570"/>
      <c r="E94" s="570"/>
      <c r="F94" s="570"/>
      <c r="G94" s="570"/>
      <c r="H94" s="570"/>
      <c r="I94" s="570"/>
      <c r="J94" s="570"/>
      <c r="K94" s="570"/>
      <c r="L94" s="570"/>
      <c r="M94" s="570"/>
      <c r="N94" s="570"/>
      <c r="O94" s="570"/>
      <c r="P94" s="570"/>
    </row>
    <row r="95" spans="1:19" ht="15.6" x14ac:dyDescent="0.3">
      <c r="A95" s="459" t="s">
        <v>1320</v>
      </c>
      <c r="B95" s="545"/>
      <c r="C95" s="545"/>
      <c r="D95" s="545"/>
      <c r="E95" s="545"/>
      <c r="F95" s="545"/>
      <c r="G95" s="545"/>
      <c r="H95" s="545"/>
      <c r="I95" s="545"/>
      <c r="J95" s="545"/>
      <c r="K95" s="545"/>
      <c r="L95" s="545"/>
      <c r="M95" s="545"/>
      <c r="N95" s="545"/>
      <c r="O95" s="545"/>
      <c r="P95" s="545"/>
    </row>
    <row r="96" spans="1:19" ht="15.6" x14ac:dyDescent="0.3">
      <c r="A96" s="152" t="s">
        <v>1368</v>
      </c>
      <c r="B96" s="545"/>
      <c r="C96" s="545"/>
      <c r="D96" s="545"/>
      <c r="E96" s="545"/>
      <c r="F96" s="545"/>
      <c r="G96" s="545"/>
      <c r="H96" s="545"/>
      <c r="I96" s="545"/>
      <c r="J96" s="545"/>
      <c r="K96" s="545"/>
      <c r="L96" s="545"/>
      <c r="M96" s="545"/>
      <c r="N96" s="545"/>
      <c r="O96" s="545"/>
      <c r="P96" s="545"/>
    </row>
    <row r="97" spans="1:18" ht="8.25" customHeight="1" thickBot="1" x14ac:dyDescent="0.35">
      <c r="A97" s="211"/>
      <c r="B97" s="545"/>
      <c r="C97" s="545"/>
      <c r="D97" s="545"/>
      <c r="E97" s="545"/>
      <c r="F97" s="545"/>
      <c r="G97" s="545"/>
      <c r="H97" s="545"/>
      <c r="I97" s="545"/>
      <c r="J97" s="545"/>
      <c r="K97" s="545"/>
      <c r="L97" s="545"/>
      <c r="M97" s="545"/>
      <c r="N97" s="545"/>
      <c r="O97" s="545"/>
      <c r="P97" s="545"/>
    </row>
    <row r="98" spans="1:18" ht="15.6" x14ac:dyDescent="0.3">
      <c r="A98" s="453"/>
      <c r="B98" s="571"/>
      <c r="C98" s="571"/>
      <c r="D98" s="572" t="str">
        <f>D4</f>
        <v>Restated</v>
      </c>
      <c r="E98" s="573"/>
      <c r="F98" s="572" t="s">
        <v>1354</v>
      </c>
      <c r="G98" s="571"/>
      <c r="H98" s="571"/>
      <c r="I98" s="571"/>
      <c r="J98" s="571"/>
      <c r="K98" s="572" t="str">
        <f>K4</f>
        <v>Restated</v>
      </c>
      <c r="L98" s="573"/>
      <c r="M98" s="572" t="s">
        <v>1354</v>
      </c>
      <c r="N98" s="571"/>
      <c r="O98" s="571"/>
      <c r="P98" s="574"/>
    </row>
    <row r="99" spans="1:18" ht="15.6" x14ac:dyDescent="0.3">
      <c r="A99" s="221" t="s">
        <v>1204</v>
      </c>
      <c r="B99" s="567">
        <f>B5</f>
        <v>31047</v>
      </c>
      <c r="C99" s="567">
        <f>C5</f>
        <v>30681</v>
      </c>
      <c r="D99" s="567">
        <f>D5</f>
        <v>30316</v>
      </c>
      <c r="E99" s="568"/>
      <c r="F99" s="567">
        <f>F5</f>
        <v>30316</v>
      </c>
      <c r="G99" s="567">
        <f>G5</f>
        <v>29951</v>
      </c>
      <c r="H99" s="567">
        <f>H5</f>
        <v>29586</v>
      </c>
      <c r="I99" s="567">
        <f>I5</f>
        <v>29220</v>
      </c>
      <c r="J99" s="567">
        <f>J5</f>
        <v>28855</v>
      </c>
      <c r="K99" s="567">
        <f>K5</f>
        <v>28490</v>
      </c>
      <c r="L99" s="568"/>
      <c r="M99" s="567">
        <f>M5</f>
        <v>28490</v>
      </c>
      <c r="N99" s="567">
        <f>N5</f>
        <v>28125</v>
      </c>
      <c r="O99" s="567">
        <f>O5</f>
        <v>27759</v>
      </c>
      <c r="P99" s="569">
        <f>P5</f>
        <v>27394</v>
      </c>
    </row>
    <row r="100" spans="1:18" ht="15.6" x14ac:dyDescent="0.3">
      <c r="A100" s="214" t="s">
        <v>285</v>
      </c>
      <c r="B100" s="575">
        <v>140242000</v>
      </c>
      <c r="C100" s="575">
        <v>152480000</v>
      </c>
      <c r="D100" s="575">
        <v>152945000</v>
      </c>
      <c r="E100" s="576"/>
      <c r="F100" s="575">
        <v>152945000</v>
      </c>
      <c r="G100" s="575">
        <v>159013000</v>
      </c>
      <c r="H100" s="575">
        <v>185187000</v>
      </c>
      <c r="I100" s="575">
        <v>181949000</v>
      </c>
      <c r="J100" s="575">
        <v>186073000</v>
      </c>
      <c r="K100" s="575">
        <v>143087000</v>
      </c>
      <c r="L100" s="576"/>
      <c r="M100" s="575">
        <v>136890470</v>
      </c>
      <c r="N100" s="575">
        <v>80780074</v>
      </c>
      <c r="O100" s="575">
        <v>58335706</v>
      </c>
      <c r="P100" s="247">
        <v>60573729</v>
      </c>
    </row>
    <row r="101" spans="1:18" ht="46.8" x14ac:dyDescent="0.3">
      <c r="A101" s="282" t="s">
        <v>323</v>
      </c>
      <c r="B101" s="446">
        <v>500219000</v>
      </c>
      <c r="C101" s="446">
        <v>381674000</v>
      </c>
      <c r="D101" s="446">
        <v>306564000</v>
      </c>
      <c r="E101" s="536"/>
      <c r="F101" s="446">
        <v>267622000</v>
      </c>
      <c r="G101" s="446">
        <v>263374000</v>
      </c>
      <c r="H101" s="446">
        <v>259200000</v>
      </c>
      <c r="I101" s="446">
        <v>247952000</v>
      </c>
      <c r="J101" s="446">
        <v>235576000</v>
      </c>
      <c r="K101" s="446">
        <v>203752000</v>
      </c>
      <c r="L101" s="536"/>
      <c r="M101" s="2027"/>
      <c r="N101" s="2027"/>
      <c r="O101" s="2027"/>
      <c r="P101" s="2028"/>
    </row>
    <row r="102" spans="1:18" ht="15.6" x14ac:dyDescent="0.3">
      <c r="A102" s="214" t="s">
        <v>286</v>
      </c>
      <c r="B102" s="614"/>
      <c r="C102" s="2027"/>
      <c r="D102" s="2027"/>
      <c r="E102" s="577"/>
      <c r="F102" s="2027"/>
      <c r="G102" s="2027"/>
      <c r="H102" s="2027"/>
      <c r="I102" s="2027"/>
      <c r="J102" s="2027"/>
      <c r="K102" s="2027"/>
      <c r="L102" s="577"/>
      <c r="M102" s="2027"/>
      <c r="N102" s="2027"/>
      <c r="O102" s="578">
        <v>32833372</v>
      </c>
      <c r="P102" s="280">
        <v>32591874</v>
      </c>
    </row>
    <row r="103" spans="1:18" ht="15.6" x14ac:dyDescent="0.3">
      <c r="A103" s="214" t="s">
        <v>305</v>
      </c>
      <c r="B103" s="614"/>
      <c r="C103" s="2027"/>
      <c r="D103" s="2027"/>
      <c r="E103" s="577"/>
      <c r="F103" s="2027"/>
      <c r="G103" s="2027"/>
      <c r="H103" s="2027"/>
      <c r="I103" s="2027"/>
      <c r="J103" s="2027"/>
      <c r="K103" s="2027"/>
      <c r="L103" s="577"/>
      <c r="M103" s="578">
        <v>48189227</v>
      </c>
      <c r="N103" s="578">
        <v>47173989</v>
      </c>
      <c r="O103" s="2027"/>
      <c r="P103" s="2028"/>
      <c r="R103" s="1" t="s">
        <v>176</v>
      </c>
    </row>
    <row r="104" spans="1:18" ht="15.6" x14ac:dyDescent="0.3">
      <c r="A104" s="214" t="s">
        <v>287</v>
      </c>
      <c r="B104" s="578">
        <v>84161000</v>
      </c>
      <c r="C104" s="578">
        <v>85903000</v>
      </c>
      <c r="D104" s="578">
        <v>58003000</v>
      </c>
      <c r="E104" s="577"/>
      <c r="F104" s="578">
        <v>52416000</v>
      </c>
      <c r="G104" s="578">
        <v>49189000</v>
      </c>
      <c r="H104" s="578">
        <v>38966000</v>
      </c>
      <c r="I104" s="578">
        <v>30440000</v>
      </c>
      <c r="J104" s="578">
        <v>24293000</v>
      </c>
      <c r="K104" s="578">
        <v>16796000</v>
      </c>
      <c r="L104" s="577"/>
      <c r="M104" s="578">
        <v>12548889</v>
      </c>
      <c r="N104" s="578">
        <v>10820148</v>
      </c>
      <c r="O104" s="578">
        <v>8918240</v>
      </c>
      <c r="P104" s="280">
        <v>8029876</v>
      </c>
    </row>
    <row r="105" spans="1:18" ht="15.6" x14ac:dyDescent="0.3">
      <c r="A105" s="214" t="s">
        <v>288</v>
      </c>
      <c r="B105" s="614"/>
      <c r="C105" s="2027"/>
      <c r="D105" s="2027"/>
      <c r="E105" s="577"/>
      <c r="F105" s="2027"/>
      <c r="G105" s="2027"/>
      <c r="H105" s="2027"/>
      <c r="I105" s="2027"/>
      <c r="J105" s="2027"/>
      <c r="K105" s="2027"/>
      <c r="L105" s="577"/>
      <c r="M105" s="578">
        <v>287927</v>
      </c>
      <c r="N105" s="578">
        <v>293693</v>
      </c>
      <c r="O105" s="578">
        <v>287314</v>
      </c>
      <c r="P105" s="280">
        <v>286307</v>
      </c>
    </row>
    <row r="106" spans="1:18" ht="31.2" x14ac:dyDescent="0.3">
      <c r="A106" s="282" t="s">
        <v>339</v>
      </c>
      <c r="B106" s="614"/>
      <c r="C106" s="2027"/>
      <c r="D106" s="2027"/>
      <c r="E106" s="577"/>
      <c r="F106" s="578">
        <v>6408000</v>
      </c>
      <c r="G106" s="578">
        <v>7120000</v>
      </c>
      <c r="H106" s="578">
        <v>8804000</v>
      </c>
      <c r="I106" s="578">
        <v>8784000</v>
      </c>
      <c r="J106" s="578">
        <v>7417000</v>
      </c>
      <c r="K106" s="2027"/>
      <c r="L106" s="577"/>
      <c r="M106" s="2027"/>
      <c r="N106" s="2027"/>
      <c r="O106" s="2027"/>
      <c r="P106" s="2028"/>
    </row>
    <row r="107" spans="1:18" ht="31.2" x14ac:dyDescent="0.3">
      <c r="A107" s="282" t="s">
        <v>347</v>
      </c>
      <c r="B107" s="578">
        <v>4557000</v>
      </c>
      <c r="C107" s="578">
        <v>3669000</v>
      </c>
      <c r="D107" s="578">
        <v>3960000</v>
      </c>
      <c r="E107" s="577"/>
      <c r="F107" s="2027"/>
      <c r="G107" s="2027"/>
      <c r="H107" s="2027"/>
      <c r="I107" s="2027"/>
      <c r="J107" s="2027"/>
      <c r="K107" s="2027"/>
      <c r="L107" s="577"/>
      <c r="M107" s="2027"/>
      <c r="N107" s="2027"/>
      <c r="O107" s="2027"/>
      <c r="P107" s="2028"/>
    </row>
    <row r="108" spans="1:18" ht="15.6" x14ac:dyDescent="0.3">
      <c r="A108" s="214" t="s">
        <v>289</v>
      </c>
      <c r="B108" s="579">
        <f>SUM(B100:B107)</f>
        <v>729179000</v>
      </c>
      <c r="C108" s="579">
        <f>SUM(C100:C107)</f>
        <v>623726000</v>
      </c>
      <c r="D108" s="579">
        <f>SUM(D100:D107)</f>
        <v>521472000</v>
      </c>
      <c r="E108" s="577"/>
      <c r="F108" s="579">
        <f t="shared" ref="F108:J108" si="22">SUM(F100:F106)</f>
        <v>479391000</v>
      </c>
      <c r="G108" s="579">
        <f t="shared" si="22"/>
        <v>478696000</v>
      </c>
      <c r="H108" s="579">
        <f t="shared" si="22"/>
        <v>492157000</v>
      </c>
      <c r="I108" s="579">
        <f t="shared" si="22"/>
        <v>469125000</v>
      </c>
      <c r="J108" s="579">
        <f t="shared" si="22"/>
        <v>453359000</v>
      </c>
      <c r="K108" s="579">
        <f>SUM(K100:K105)</f>
        <v>363635000</v>
      </c>
      <c r="L108" s="577"/>
      <c r="M108" s="579">
        <f>SUM(M100:M105)</f>
        <v>197916513</v>
      </c>
      <c r="N108" s="579">
        <f>SUM(N100:N105)</f>
        <v>139067904</v>
      </c>
      <c r="O108" s="579">
        <f>SUM(O100:O105)</f>
        <v>100374632</v>
      </c>
      <c r="P108" s="580">
        <f>SUM(P100:P105)</f>
        <v>101481786</v>
      </c>
    </row>
    <row r="109" spans="1:18" ht="15.6" x14ac:dyDescent="0.3">
      <c r="A109" s="346"/>
      <c r="B109" s="578"/>
      <c r="C109" s="578"/>
      <c r="D109" s="578"/>
      <c r="E109" s="577"/>
      <c r="F109" s="578"/>
      <c r="G109" s="578"/>
      <c r="H109" s="578"/>
      <c r="I109" s="578"/>
      <c r="J109" s="578"/>
      <c r="K109" s="578"/>
      <c r="L109" s="577"/>
      <c r="M109" s="578"/>
      <c r="N109" s="578"/>
      <c r="O109" s="578"/>
      <c r="P109" s="280"/>
    </row>
    <row r="110" spans="1:18" ht="15.6" x14ac:dyDescent="0.3">
      <c r="A110" s="214" t="s">
        <v>1369</v>
      </c>
      <c r="B110" s="446">
        <v>141550000</v>
      </c>
      <c r="C110" s="446">
        <v>134109000</v>
      </c>
      <c r="D110" s="446">
        <v>121996000</v>
      </c>
      <c r="E110" s="536"/>
      <c r="F110" s="446">
        <v>121996000</v>
      </c>
      <c r="G110" s="446">
        <v>103417000</v>
      </c>
      <c r="H110" s="446">
        <v>118230000</v>
      </c>
      <c r="I110" s="446">
        <v>120337000</v>
      </c>
      <c r="J110" s="446">
        <v>132263000</v>
      </c>
      <c r="K110" s="446">
        <v>96869000</v>
      </c>
      <c r="L110" s="536"/>
      <c r="M110" s="446">
        <v>91585058</v>
      </c>
      <c r="N110" s="446">
        <v>55376421</v>
      </c>
      <c r="O110" s="446">
        <v>47237737</v>
      </c>
      <c r="P110" s="237">
        <v>47119846</v>
      </c>
    </row>
    <row r="111" spans="1:18" ht="15.6" x14ac:dyDescent="0.3">
      <c r="A111" s="214" t="s">
        <v>325</v>
      </c>
      <c r="B111" s="446">
        <v>296770000</v>
      </c>
      <c r="C111" s="446">
        <v>214362000</v>
      </c>
      <c r="D111" s="446">
        <v>177508000</v>
      </c>
      <c r="E111" s="536"/>
      <c r="F111" s="446">
        <v>146081000</v>
      </c>
      <c r="G111" s="446">
        <v>155661000</v>
      </c>
      <c r="H111" s="446">
        <v>160261000</v>
      </c>
      <c r="I111" s="446">
        <v>158710000</v>
      </c>
      <c r="J111" s="446">
        <v>151521000</v>
      </c>
      <c r="K111" s="446">
        <v>130647000</v>
      </c>
      <c r="L111" s="536"/>
      <c r="M111" s="2020"/>
      <c r="N111" s="2020"/>
      <c r="O111" s="2020"/>
      <c r="P111" s="2021"/>
    </row>
    <row r="112" spans="1:18" ht="15.6" x14ac:dyDescent="0.3">
      <c r="A112" s="214" t="s">
        <v>290</v>
      </c>
      <c r="B112" s="2027"/>
      <c r="C112" s="2027"/>
      <c r="D112" s="2027"/>
      <c r="E112" s="577"/>
      <c r="F112" s="2027"/>
      <c r="G112" s="2027"/>
      <c r="H112" s="2027"/>
      <c r="I112" s="2027"/>
      <c r="J112" s="2027"/>
      <c r="K112" s="2027"/>
      <c r="L112" s="577"/>
      <c r="M112" s="2027"/>
      <c r="N112" s="2027"/>
      <c r="O112" s="446">
        <v>28234179</v>
      </c>
      <c r="P112" s="237">
        <v>27429277</v>
      </c>
    </row>
    <row r="113" spans="1:16" ht="15.6" x14ac:dyDescent="0.3">
      <c r="A113" s="214" t="s">
        <v>306</v>
      </c>
      <c r="B113" s="2020"/>
      <c r="C113" s="2020"/>
      <c r="D113" s="2020"/>
      <c r="E113" s="536"/>
      <c r="F113" s="2020"/>
      <c r="G113" s="2020"/>
      <c r="H113" s="2020"/>
      <c r="I113" s="2020"/>
      <c r="J113" s="2020"/>
      <c r="K113" s="2020"/>
      <c r="L113" s="536"/>
      <c r="M113" s="446">
        <v>43736247</v>
      </c>
      <c r="N113" s="446">
        <v>41573438</v>
      </c>
      <c r="O113" s="2027"/>
      <c r="P113" s="2028"/>
    </row>
    <row r="114" spans="1:16" ht="15.6" x14ac:dyDescent="0.3">
      <c r="A114" s="214" t="s">
        <v>292</v>
      </c>
      <c r="B114" s="446">
        <v>46752000</v>
      </c>
      <c r="C114" s="446">
        <v>52243000</v>
      </c>
      <c r="D114" s="446">
        <v>52508000</v>
      </c>
      <c r="E114" s="536"/>
      <c r="F114" s="446">
        <v>52508000</v>
      </c>
      <c r="G114" s="446">
        <v>54119000</v>
      </c>
      <c r="H114" s="446">
        <v>60219000</v>
      </c>
      <c r="I114" s="446">
        <v>57870000</v>
      </c>
      <c r="J114" s="446">
        <v>50810000</v>
      </c>
      <c r="K114" s="446">
        <v>40417000</v>
      </c>
      <c r="L114" s="536"/>
      <c r="M114" s="446">
        <v>39121500</v>
      </c>
      <c r="N114" s="446">
        <v>24694390</v>
      </c>
      <c r="O114" s="446">
        <v>21744891</v>
      </c>
      <c r="P114" s="237">
        <v>20345744</v>
      </c>
    </row>
    <row r="115" spans="1:16" ht="15.6" x14ac:dyDescent="0.3">
      <c r="A115" s="214" t="s">
        <v>291</v>
      </c>
      <c r="B115" s="446">
        <v>138875000</v>
      </c>
      <c r="C115" s="446">
        <v>122023000</v>
      </c>
      <c r="D115" s="446">
        <v>110021000</v>
      </c>
      <c r="E115" s="536"/>
      <c r="F115" s="446">
        <v>104109000</v>
      </c>
      <c r="G115" s="446">
        <v>93756000</v>
      </c>
      <c r="H115" s="446">
        <v>84188000</v>
      </c>
      <c r="I115" s="446">
        <v>79839000</v>
      </c>
      <c r="J115" s="446">
        <v>71172000</v>
      </c>
      <c r="K115" s="446">
        <v>60698000</v>
      </c>
      <c r="L115" s="536"/>
      <c r="M115" s="446">
        <v>5868864</v>
      </c>
      <c r="N115" s="446">
        <v>4949424</v>
      </c>
      <c r="O115" s="446">
        <v>4192399</v>
      </c>
      <c r="P115" s="237">
        <v>3640720</v>
      </c>
    </row>
    <row r="116" spans="1:16" ht="15.6" x14ac:dyDescent="0.3">
      <c r="A116" s="214" t="s">
        <v>293</v>
      </c>
      <c r="B116" s="2020"/>
      <c r="C116" s="2020"/>
      <c r="D116" s="2020"/>
      <c r="E116" s="536"/>
      <c r="F116" s="2020"/>
      <c r="G116" s="2020"/>
      <c r="H116" s="2020"/>
      <c r="I116" s="2020"/>
      <c r="J116" s="2020"/>
      <c r="K116" s="2020"/>
      <c r="L116" s="536"/>
      <c r="M116" s="446">
        <v>2075158</v>
      </c>
      <c r="N116" s="446">
        <v>2028106</v>
      </c>
      <c r="O116" s="446">
        <v>1845396</v>
      </c>
      <c r="P116" s="237">
        <v>1717944</v>
      </c>
    </row>
    <row r="117" spans="1:16" ht="15.6" x14ac:dyDescent="0.3">
      <c r="A117" s="214" t="s">
        <v>324</v>
      </c>
      <c r="B117" s="446">
        <v>14734000</v>
      </c>
      <c r="C117" s="446">
        <v>15104000</v>
      </c>
      <c r="D117" s="446">
        <v>14995000</v>
      </c>
      <c r="E117" s="536"/>
      <c r="F117" s="446">
        <v>11828000</v>
      </c>
      <c r="G117" s="446">
        <v>11486000</v>
      </c>
      <c r="H117" s="446">
        <v>9185000</v>
      </c>
      <c r="I117" s="446">
        <v>5729000</v>
      </c>
      <c r="J117" s="446">
        <v>5058000</v>
      </c>
      <c r="K117" s="446">
        <v>4789000</v>
      </c>
      <c r="L117" s="536"/>
      <c r="M117" s="2020"/>
      <c r="N117" s="2020"/>
      <c r="O117" s="2020"/>
      <c r="P117" s="2021"/>
    </row>
    <row r="118" spans="1:16" ht="15.6" x14ac:dyDescent="0.3">
      <c r="A118" s="214" t="s">
        <v>294</v>
      </c>
      <c r="B118" s="579">
        <f t="shared" ref="B118" si="23">SUM(B110:B117)</f>
        <v>638681000</v>
      </c>
      <c r="C118" s="579">
        <f t="shared" ref="C118:K118" si="24">SUM(C110:C117)</f>
        <v>537841000</v>
      </c>
      <c r="D118" s="579">
        <f t="shared" ref="D118" si="25">SUM(D110:D117)</f>
        <v>477028000</v>
      </c>
      <c r="E118" s="577"/>
      <c r="F118" s="579">
        <f t="shared" si="24"/>
        <v>436522000</v>
      </c>
      <c r="G118" s="579">
        <f t="shared" si="24"/>
        <v>418439000</v>
      </c>
      <c r="H118" s="579">
        <f t="shared" si="24"/>
        <v>432083000</v>
      </c>
      <c r="I118" s="579">
        <f t="shared" si="24"/>
        <v>422485000</v>
      </c>
      <c r="J118" s="579">
        <f t="shared" si="24"/>
        <v>410824000</v>
      </c>
      <c r="K118" s="579">
        <f t="shared" si="24"/>
        <v>333420000</v>
      </c>
      <c r="L118" s="577"/>
      <c r="M118" s="579">
        <f>SUM(M110:M116)</f>
        <v>182386827</v>
      </c>
      <c r="N118" s="579">
        <f>SUM(N110:N116)</f>
        <v>128621779</v>
      </c>
      <c r="O118" s="579">
        <f>SUM(O110:O116)</f>
        <v>103254602</v>
      </c>
      <c r="P118" s="580">
        <f>SUM(P110:P116)</f>
        <v>100253531</v>
      </c>
    </row>
    <row r="119" spans="1:16" ht="15.6" x14ac:dyDescent="0.3">
      <c r="A119" s="214"/>
      <c r="B119" s="492"/>
      <c r="C119" s="446"/>
      <c r="D119" s="446"/>
      <c r="E119" s="536"/>
      <c r="F119" s="446"/>
      <c r="G119" s="446"/>
      <c r="H119" s="446"/>
      <c r="I119" s="446"/>
      <c r="J119" s="446"/>
      <c r="K119" s="446"/>
      <c r="L119" s="536"/>
      <c r="M119" s="446"/>
      <c r="N119" s="446"/>
      <c r="O119" s="446"/>
      <c r="P119" s="237"/>
    </row>
    <row r="120" spans="1:16" ht="78" x14ac:dyDescent="0.3">
      <c r="A120" s="465" t="s">
        <v>344</v>
      </c>
      <c r="B120" s="446">
        <f t="shared" ref="B120:C120" si="26">B108-B118</f>
        <v>90498000</v>
      </c>
      <c r="C120" s="446">
        <f t="shared" si="26"/>
        <v>85885000</v>
      </c>
      <c r="D120" s="446">
        <f>D108-D118</f>
        <v>44444000</v>
      </c>
      <c r="E120" s="536"/>
      <c r="F120" s="446">
        <f t="shared" ref="F120:K120" si="27">F108-F118</f>
        <v>42869000</v>
      </c>
      <c r="G120" s="446">
        <f t="shared" si="27"/>
        <v>60257000</v>
      </c>
      <c r="H120" s="446">
        <f t="shared" si="27"/>
        <v>60074000</v>
      </c>
      <c r="I120" s="446">
        <f t="shared" si="27"/>
        <v>46640000</v>
      </c>
      <c r="J120" s="446">
        <f t="shared" si="27"/>
        <v>42535000</v>
      </c>
      <c r="K120" s="446">
        <f t="shared" si="27"/>
        <v>30215000</v>
      </c>
      <c r="L120" s="536"/>
      <c r="M120" s="2020"/>
      <c r="N120" s="2020"/>
      <c r="O120" s="2020"/>
      <c r="P120" s="2021"/>
    </row>
    <row r="121" spans="1:16" ht="45.9" customHeight="1" x14ac:dyDescent="0.3">
      <c r="A121" s="465" t="s">
        <v>302</v>
      </c>
      <c r="B121" s="2020"/>
      <c r="C121" s="2020"/>
      <c r="D121" s="2020"/>
      <c r="E121" s="536"/>
      <c r="F121" s="2020"/>
      <c r="G121" s="2020"/>
      <c r="H121" s="2020"/>
      <c r="I121" s="2020"/>
      <c r="J121" s="2020"/>
      <c r="K121" s="2020"/>
      <c r="L121" s="536"/>
      <c r="M121" s="446">
        <f>M108-M118</f>
        <v>15529686</v>
      </c>
      <c r="N121" s="446">
        <f>N108-N118</f>
        <v>10446125</v>
      </c>
      <c r="O121" s="446">
        <f>O108-O118</f>
        <v>-2879970</v>
      </c>
      <c r="P121" s="237">
        <f>P108-P118</f>
        <v>1228255</v>
      </c>
    </row>
    <row r="122" spans="1:16" ht="15.6" x14ac:dyDescent="0.3">
      <c r="A122" s="214"/>
      <c r="B122" s="215"/>
      <c r="C122" s="446"/>
      <c r="D122" s="446"/>
      <c r="E122" s="536"/>
      <c r="F122" s="446"/>
      <c r="G122" s="446"/>
      <c r="H122" s="446"/>
      <c r="I122" s="446"/>
      <c r="J122" s="446"/>
      <c r="K122" s="446"/>
      <c r="L122" s="536"/>
      <c r="M122" s="446"/>
      <c r="N122" s="446"/>
      <c r="O122" s="446"/>
      <c r="P122" s="237"/>
    </row>
    <row r="123" spans="1:16" ht="15.6" x14ac:dyDescent="0.3">
      <c r="A123" s="221" t="s">
        <v>1365</v>
      </c>
      <c r="B123" s="215"/>
      <c r="C123" s="446"/>
      <c r="D123" s="446"/>
      <c r="E123" s="536"/>
      <c r="F123" s="446"/>
      <c r="G123" s="446"/>
      <c r="H123" s="446"/>
      <c r="I123" s="446"/>
      <c r="J123" s="446"/>
      <c r="K123" s="446"/>
      <c r="L123" s="536"/>
      <c r="M123" s="446"/>
      <c r="N123" s="446"/>
      <c r="O123" s="446"/>
      <c r="P123" s="237"/>
    </row>
    <row r="124" spans="1:16" ht="15.6" x14ac:dyDescent="0.3">
      <c r="A124" s="221" t="s">
        <v>1366</v>
      </c>
      <c r="B124" s="215"/>
      <c r="C124" s="446"/>
      <c r="D124" s="446"/>
      <c r="E124" s="536"/>
      <c r="F124" s="446"/>
      <c r="G124" s="446"/>
      <c r="H124" s="446"/>
      <c r="I124" s="446"/>
      <c r="J124" s="446"/>
      <c r="K124" s="446"/>
      <c r="L124" s="536"/>
      <c r="M124" s="446"/>
      <c r="N124" s="446"/>
      <c r="O124" s="446"/>
      <c r="P124" s="237"/>
    </row>
    <row r="125" spans="1:16" ht="15.6" x14ac:dyDescent="0.3">
      <c r="A125" s="214"/>
      <c r="B125" s="220"/>
      <c r="C125" s="220"/>
      <c r="D125" s="509" t="s">
        <v>310</v>
      </c>
      <c r="E125" s="565"/>
      <c r="F125" s="509" t="s">
        <v>1354</v>
      </c>
      <c r="G125" s="220"/>
      <c r="H125" s="220"/>
      <c r="I125" s="220"/>
      <c r="J125" s="220"/>
      <c r="K125" s="509" t="s">
        <v>310</v>
      </c>
      <c r="L125" s="565"/>
      <c r="M125" s="509" t="s">
        <v>1354</v>
      </c>
      <c r="N125" s="220"/>
      <c r="O125" s="220"/>
      <c r="P125" s="223"/>
    </row>
    <row r="126" spans="1:16" ht="15.6" x14ac:dyDescent="0.3">
      <c r="A126" s="221" t="s">
        <v>1204</v>
      </c>
      <c r="B126" s="567">
        <v>31047</v>
      </c>
      <c r="C126" s="567">
        <v>30681</v>
      </c>
      <c r="D126" s="567">
        <v>30316</v>
      </c>
      <c r="E126" s="568"/>
      <c r="F126" s="567">
        <v>30316</v>
      </c>
      <c r="G126" s="567">
        <v>29951</v>
      </c>
      <c r="H126" s="567">
        <v>29586</v>
      </c>
      <c r="I126" s="567">
        <v>29220</v>
      </c>
      <c r="J126" s="567">
        <v>28855</v>
      </c>
      <c r="K126" s="567">
        <v>28490</v>
      </c>
      <c r="L126" s="568"/>
      <c r="M126" s="567">
        <v>28490</v>
      </c>
      <c r="N126" s="567">
        <v>28125</v>
      </c>
      <c r="O126" s="567">
        <v>27759</v>
      </c>
      <c r="P126" s="569">
        <v>27394</v>
      </c>
    </row>
    <row r="127" spans="1:16" ht="15.6" x14ac:dyDescent="0.3">
      <c r="A127" s="214" t="s">
        <v>326</v>
      </c>
      <c r="B127" s="552">
        <v>16420000</v>
      </c>
      <c r="C127" s="552">
        <v>10353000</v>
      </c>
      <c r="D127" s="552">
        <v>2524000</v>
      </c>
      <c r="E127" s="536"/>
      <c r="F127" s="552">
        <v>2386000</v>
      </c>
      <c r="G127" s="552">
        <v>12091000</v>
      </c>
      <c r="H127" s="552">
        <v>13943000</v>
      </c>
      <c r="I127" s="552">
        <v>9796000</v>
      </c>
      <c r="J127" s="552">
        <v>10735000</v>
      </c>
      <c r="K127" s="552">
        <v>9487000</v>
      </c>
      <c r="L127" s="536"/>
      <c r="M127" s="2020"/>
      <c r="N127" s="2020"/>
      <c r="O127" s="2020"/>
      <c r="P127" s="2021"/>
    </row>
    <row r="128" spans="1:16" ht="46.8" x14ac:dyDescent="0.3">
      <c r="A128" s="282" t="s">
        <v>303</v>
      </c>
      <c r="B128" s="2020"/>
      <c r="C128" s="2020"/>
      <c r="D128" s="2020"/>
      <c r="E128" s="536"/>
      <c r="F128" s="2020"/>
      <c r="G128" s="2020"/>
      <c r="H128" s="2020"/>
      <c r="I128" s="2020"/>
      <c r="J128" s="2020"/>
      <c r="K128" s="2020"/>
      <c r="L128" s="536"/>
      <c r="M128" s="552">
        <v>-2914432</v>
      </c>
      <c r="N128" s="552">
        <v>-1488659</v>
      </c>
      <c r="O128" s="552">
        <v>4140910</v>
      </c>
      <c r="P128" s="553">
        <v>2010321</v>
      </c>
    </row>
    <row r="129" spans="1:18" ht="62.4" x14ac:dyDescent="0.3">
      <c r="A129" s="282" t="s">
        <v>488</v>
      </c>
      <c r="B129" s="446">
        <f t="shared" ref="B129" si="28">B120-B127</f>
        <v>74078000</v>
      </c>
      <c r="C129" s="446">
        <f t="shared" ref="C129:D129" si="29">C120-C127</f>
        <v>75532000</v>
      </c>
      <c r="D129" s="446">
        <f t="shared" si="29"/>
        <v>41920000</v>
      </c>
      <c r="E129" s="536"/>
      <c r="F129" s="446">
        <f t="shared" ref="F129:K129" si="30">F120-F127</f>
        <v>40483000</v>
      </c>
      <c r="G129" s="446">
        <f t="shared" si="30"/>
        <v>48166000</v>
      </c>
      <c r="H129" s="446">
        <f t="shared" si="30"/>
        <v>46131000</v>
      </c>
      <c r="I129" s="446">
        <f t="shared" si="30"/>
        <v>36844000</v>
      </c>
      <c r="J129" s="446">
        <f t="shared" si="30"/>
        <v>31800000</v>
      </c>
      <c r="K129" s="446">
        <f t="shared" si="30"/>
        <v>20728000</v>
      </c>
      <c r="L129" s="536"/>
      <c r="M129" s="2020"/>
      <c r="N129" s="2020"/>
      <c r="O129" s="2020"/>
      <c r="P129" s="2021"/>
    </row>
    <row r="130" spans="1:18" ht="15.6" x14ac:dyDescent="0.3">
      <c r="A130" s="282" t="s">
        <v>327</v>
      </c>
      <c r="B130" s="446">
        <v>3877000</v>
      </c>
      <c r="C130" s="446">
        <v>7337000</v>
      </c>
      <c r="D130" s="446">
        <v>10423000</v>
      </c>
      <c r="E130" s="536"/>
      <c r="F130" s="446">
        <v>8986000</v>
      </c>
      <c r="G130" s="446">
        <v>8443000</v>
      </c>
      <c r="H130" s="446">
        <v>7647000</v>
      </c>
      <c r="I130" s="446">
        <v>5883000</v>
      </c>
      <c r="J130" s="446">
        <v>6058000</v>
      </c>
      <c r="K130" s="446">
        <v>3489000</v>
      </c>
      <c r="L130" s="536"/>
      <c r="M130" s="2020"/>
      <c r="N130" s="2020"/>
      <c r="O130" s="2020"/>
      <c r="P130" s="2021"/>
    </row>
    <row r="131" spans="1:18" ht="46.8" x14ac:dyDescent="0.3">
      <c r="A131" s="282" t="s">
        <v>328</v>
      </c>
      <c r="B131" s="235">
        <f t="shared" ref="B131" si="31">B129-B130</f>
        <v>70201000</v>
      </c>
      <c r="C131" s="235">
        <f t="shared" ref="C131:K131" si="32">C129-C130</f>
        <v>68195000</v>
      </c>
      <c r="D131" s="235">
        <f t="shared" ref="D131" si="33">D129-D130</f>
        <v>31497000</v>
      </c>
      <c r="E131" s="536"/>
      <c r="F131" s="235">
        <f t="shared" si="32"/>
        <v>31497000</v>
      </c>
      <c r="G131" s="235">
        <f t="shared" si="32"/>
        <v>39723000</v>
      </c>
      <c r="H131" s="235">
        <f t="shared" si="32"/>
        <v>38484000</v>
      </c>
      <c r="I131" s="235">
        <f t="shared" si="32"/>
        <v>30961000</v>
      </c>
      <c r="J131" s="235">
        <f t="shared" si="32"/>
        <v>25742000</v>
      </c>
      <c r="K131" s="235">
        <f t="shared" si="32"/>
        <v>17239000</v>
      </c>
      <c r="L131" s="536"/>
      <c r="M131" s="2020"/>
      <c r="N131" s="2020"/>
      <c r="O131" s="2020"/>
      <c r="P131" s="2021"/>
    </row>
    <row r="132" spans="1:18" ht="46.8" x14ac:dyDescent="0.3">
      <c r="A132" s="282" t="s">
        <v>304</v>
      </c>
      <c r="B132" s="2020"/>
      <c r="C132" s="2020"/>
      <c r="D132" s="2020"/>
      <c r="E132" s="536"/>
      <c r="F132" s="2020"/>
      <c r="G132" s="2020"/>
      <c r="H132" s="2020"/>
      <c r="I132" s="2020"/>
      <c r="J132" s="2020"/>
      <c r="K132" s="2020"/>
      <c r="L132" s="536"/>
      <c r="M132" s="446">
        <f>M121+M128</f>
        <v>12615254</v>
      </c>
      <c r="N132" s="446">
        <f>N121+N128</f>
        <v>8957466</v>
      </c>
      <c r="O132" s="446">
        <f>O121+O128</f>
        <v>1260940</v>
      </c>
      <c r="P132" s="237">
        <f>P121+P128</f>
        <v>3238576</v>
      </c>
    </row>
    <row r="133" spans="1:18" ht="15.6" x14ac:dyDescent="0.3">
      <c r="A133" s="214" t="s">
        <v>295</v>
      </c>
      <c r="B133" s="2020"/>
      <c r="C133" s="2020"/>
      <c r="D133" s="2020"/>
      <c r="E133" s="536"/>
      <c r="F133" s="2020"/>
      <c r="G133" s="2020"/>
      <c r="H133" s="2020"/>
      <c r="I133" s="2020"/>
      <c r="J133" s="2020"/>
      <c r="K133" s="446">
        <v>3550000</v>
      </c>
      <c r="L133" s="536"/>
      <c r="M133" s="446">
        <v>3550000</v>
      </c>
      <c r="N133" s="446">
        <v>3750000</v>
      </c>
      <c r="O133" s="446">
        <v>3450000</v>
      </c>
      <c r="P133" s="237">
        <v>4093000</v>
      </c>
    </row>
    <row r="134" spans="1:18" ht="15.6" x14ac:dyDescent="0.3">
      <c r="A134" s="214" t="s">
        <v>296</v>
      </c>
      <c r="B134" s="2020"/>
      <c r="C134" s="2020"/>
      <c r="D134" s="2020"/>
      <c r="E134" s="536"/>
      <c r="F134" s="2020"/>
      <c r="G134" s="2020"/>
      <c r="H134" s="2020"/>
      <c r="I134" s="2020"/>
      <c r="J134" s="2020"/>
      <c r="K134" s="2020"/>
      <c r="L134" s="536"/>
      <c r="M134" s="446">
        <v>5738694</v>
      </c>
      <c r="N134" s="446">
        <v>3365946</v>
      </c>
      <c r="O134" s="446">
        <v>2002652</v>
      </c>
      <c r="P134" s="237">
        <v>1052000</v>
      </c>
    </row>
    <row r="135" spans="1:18" ht="15.6" x14ac:dyDescent="0.3">
      <c r="A135" s="214" t="s">
        <v>329</v>
      </c>
      <c r="B135" s="2020"/>
      <c r="C135" s="2020"/>
      <c r="D135" s="2020"/>
      <c r="E135" s="536"/>
      <c r="F135" s="2020"/>
      <c r="G135" s="2020"/>
      <c r="H135" s="2020"/>
      <c r="I135" s="2020"/>
      <c r="J135" s="2020"/>
      <c r="K135" s="446">
        <v>2683000</v>
      </c>
      <c r="L135" s="536"/>
      <c r="M135" s="2020"/>
      <c r="N135" s="2020"/>
      <c r="O135" s="2020"/>
      <c r="P135" s="2021"/>
    </row>
    <row r="136" spans="1:18" ht="15.6" x14ac:dyDescent="0.3">
      <c r="A136" s="214" t="s">
        <v>297</v>
      </c>
      <c r="B136" s="550">
        <f t="shared" ref="B136" si="34">SUM(B131:B135)</f>
        <v>70201000</v>
      </c>
      <c r="C136" s="550">
        <f t="shared" ref="C136:K136" si="35">SUM(C131:C135)</f>
        <v>68195000</v>
      </c>
      <c r="D136" s="550">
        <f t="shared" ref="D136" si="36">SUM(D131:D135)</f>
        <v>31497000</v>
      </c>
      <c r="E136" s="577"/>
      <c r="F136" s="550">
        <f t="shared" si="35"/>
        <v>31497000</v>
      </c>
      <c r="G136" s="550">
        <f t="shared" si="35"/>
        <v>39723000</v>
      </c>
      <c r="H136" s="550">
        <f t="shared" si="35"/>
        <v>38484000</v>
      </c>
      <c r="I136" s="550">
        <f t="shared" si="35"/>
        <v>30961000</v>
      </c>
      <c r="J136" s="550">
        <f t="shared" si="35"/>
        <v>25742000</v>
      </c>
      <c r="K136" s="550">
        <f t="shared" si="35"/>
        <v>23472000</v>
      </c>
      <c r="L136" s="577"/>
      <c r="M136" s="550">
        <f>SUM(M132:M134)</f>
        <v>21903948</v>
      </c>
      <c r="N136" s="550">
        <f>SUM(N132:N134)</f>
        <v>16073412</v>
      </c>
      <c r="O136" s="550">
        <f>SUM(O132:O134)</f>
        <v>6713592</v>
      </c>
      <c r="P136" s="551">
        <f>SUM(P132:P134)</f>
        <v>8383576</v>
      </c>
    </row>
    <row r="137" spans="1:18" ht="15.6" x14ac:dyDescent="0.3">
      <c r="A137" s="214"/>
      <c r="B137" s="492"/>
      <c r="C137" s="446"/>
      <c r="D137" s="446"/>
      <c r="E137" s="536"/>
      <c r="F137" s="446"/>
      <c r="G137" s="446"/>
      <c r="H137" s="446"/>
      <c r="I137" s="446"/>
      <c r="J137" s="446"/>
      <c r="K137" s="446"/>
      <c r="L137" s="536"/>
      <c r="M137" s="446"/>
      <c r="N137" s="446"/>
      <c r="O137" s="446"/>
      <c r="P137" s="237"/>
    </row>
    <row r="138" spans="1:18" ht="15.6" x14ac:dyDescent="0.3">
      <c r="A138" s="214" t="s">
        <v>298</v>
      </c>
      <c r="B138" s="686"/>
      <c r="C138" s="2020"/>
      <c r="D138" s="2020"/>
      <c r="E138" s="536"/>
      <c r="F138" s="2020"/>
      <c r="G138" s="2020"/>
      <c r="H138" s="2020"/>
      <c r="I138" s="2020"/>
      <c r="J138" s="2020"/>
      <c r="K138" s="584">
        <v>13310000</v>
      </c>
      <c r="L138" s="585"/>
      <c r="M138" s="584">
        <v>6870484</v>
      </c>
      <c r="N138" s="584">
        <v>9961584</v>
      </c>
      <c r="O138" s="584">
        <v>-2888062</v>
      </c>
      <c r="P138" s="586">
        <v>-1908093</v>
      </c>
    </row>
    <row r="139" spans="1:18" ht="15.6" x14ac:dyDescent="0.3">
      <c r="A139" s="214" t="s">
        <v>299</v>
      </c>
      <c r="B139" s="686"/>
      <c r="C139" s="2020"/>
      <c r="D139" s="2020"/>
      <c r="E139" s="536"/>
      <c r="F139" s="2020"/>
      <c r="G139" s="2020"/>
      <c r="H139" s="2020"/>
      <c r="I139" s="2020"/>
      <c r="J139" s="2020"/>
      <c r="K139" s="584">
        <v>-4448000</v>
      </c>
      <c r="L139" s="585"/>
      <c r="M139" s="584">
        <v>-2050000</v>
      </c>
      <c r="N139" s="584">
        <v>-3200000</v>
      </c>
      <c r="O139" s="584">
        <v>866035</v>
      </c>
      <c r="P139" s="586">
        <v>567678</v>
      </c>
    </row>
    <row r="140" spans="1:18" ht="15.6" x14ac:dyDescent="0.3">
      <c r="A140" s="214" t="s">
        <v>330</v>
      </c>
      <c r="B140" s="686"/>
      <c r="C140" s="2020"/>
      <c r="D140" s="2020"/>
      <c r="E140" s="536"/>
      <c r="F140" s="2020"/>
      <c r="G140" s="2020"/>
      <c r="H140" s="2020"/>
      <c r="I140" s="2020"/>
      <c r="J140" s="2020"/>
      <c r="K140" s="584">
        <v>-1941000</v>
      </c>
      <c r="L140" s="585"/>
      <c r="M140" s="691"/>
      <c r="N140" s="691"/>
      <c r="O140" s="691"/>
      <c r="P140" s="2175"/>
      <c r="R140" s="74"/>
    </row>
    <row r="141" spans="1:18" ht="15.6" x14ac:dyDescent="0.3">
      <c r="A141" s="214" t="s">
        <v>300</v>
      </c>
      <c r="B141" s="686"/>
      <c r="C141" s="2020"/>
      <c r="D141" s="2020"/>
      <c r="E141" s="536"/>
      <c r="F141" s="2020"/>
      <c r="G141" s="2020"/>
      <c r="H141" s="2020"/>
      <c r="I141" s="2020"/>
      <c r="J141" s="2020"/>
      <c r="K141" s="584">
        <f>K138+K139+K140</f>
        <v>6921000</v>
      </c>
      <c r="L141" s="585"/>
      <c r="M141" s="584">
        <f>M138+M139</f>
        <v>4820484</v>
      </c>
      <c r="N141" s="584">
        <f>N138+N139</f>
        <v>6761584</v>
      </c>
      <c r="O141" s="584">
        <f>O138+O139</f>
        <v>-2022027</v>
      </c>
      <c r="P141" s="586">
        <f>P138+P139</f>
        <v>-1340415</v>
      </c>
    </row>
    <row r="142" spans="1:18" ht="46.8" x14ac:dyDescent="0.3">
      <c r="A142" s="282" t="s">
        <v>340</v>
      </c>
      <c r="B142" s="686"/>
      <c r="C142" s="2020"/>
      <c r="D142" s="2020"/>
      <c r="E142" s="536"/>
      <c r="F142" s="2020"/>
      <c r="G142" s="2020"/>
      <c r="H142" s="584">
        <v>4731000</v>
      </c>
      <c r="I142" s="584">
        <v>4960000</v>
      </c>
      <c r="J142" s="584">
        <v>4242000</v>
      </c>
      <c r="K142" s="2020"/>
      <c r="L142" s="536"/>
      <c r="M142" s="2020"/>
      <c r="N142" s="2020"/>
      <c r="O142" s="2020"/>
      <c r="P142" s="2021"/>
    </row>
    <row r="143" spans="1:18" ht="15.6" x14ac:dyDescent="0.3">
      <c r="A143" s="214" t="s">
        <v>341</v>
      </c>
      <c r="B143" s="446">
        <f t="shared" ref="B143" si="37">B136+B142</f>
        <v>70201000</v>
      </c>
      <c r="C143" s="446">
        <f t="shared" ref="C143:F143" si="38">C136+C142</f>
        <v>68195000</v>
      </c>
      <c r="D143" s="446">
        <f t="shared" ref="D143" si="39">D136+D142</f>
        <v>31497000</v>
      </c>
      <c r="E143" s="536"/>
      <c r="F143" s="446">
        <f t="shared" si="38"/>
        <v>31497000</v>
      </c>
      <c r="G143" s="446">
        <f t="shared" ref="G143:I143" si="40">G136+G142</f>
        <v>39723000</v>
      </c>
      <c r="H143" s="584">
        <f t="shared" si="40"/>
        <v>43215000</v>
      </c>
      <c r="I143" s="584">
        <f t="shared" si="40"/>
        <v>35921000</v>
      </c>
      <c r="J143" s="584">
        <f>J136+J142</f>
        <v>29984000</v>
      </c>
      <c r="K143" s="2020"/>
      <c r="L143" s="536"/>
      <c r="M143" s="2020"/>
      <c r="N143" s="2020"/>
      <c r="O143" s="2020"/>
      <c r="P143" s="2021"/>
    </row>
    <row r="144" spans="1:18" ht="15.6" x14ac:dyDescent="0.3">
      <c r="A144" s="214" t="s">
        <v>342</v>
      </c>
      <c r="B144" s="446">
        <v>78694000</v>
      </c>
      <c r="C144" s="446">
        <v>45298000</v>
      </c>
      <c r="D144" s="446">
        <v>14877000</v>
      </c>
      <c r="E144" s="536"/>
      <c r="F144" s="446">
        <v>14877000</v>
      </c>
      <c r="G144" s="446">
        <v>22881000</v>
      </c>
      <c r="H144" s="584">
        <v>10790000</v>
      </c>
      <c r="I144" s="584">
        <v>6896000</v>
      </c>
      <c r="J144" s="584">
        <v>9258000</v>
      </c>
      <c r="K144" s="2020"/>
      <c r="L144" s="536"/>
      <c r="M144" s="2020"/>
      <c r="N144" s="2020"/>
      <c r="O144" s="2020"/>
      <c r="P144" s="2021"/>
    </row>
    <row r="145" spans="1:18" ht="31.2" x14ac:dyDescent="0.3">
      <c r="A145" s="282" t="s">
        <v>343</v>
      </c>
      <c r="B145" s="686"/>
      <c r="C145" s="2020"/>
      <c r="D145" s="2020"/>
      <c r="E145" s="536"/>
      <c r="F145" s="2020"/>
      <c r="G145" s="446">
        <v>0</v>
      </c>
      <c r="H145" s="583">
        <v>-883000</v>
      </c>
      <c r="I145" s="446">
        <v>0</v>
      </c>
      <c r="J145" s="446">
        <v>0</v>
      </c>
      <c r="K145" s="2020"/>
      <c r="L145" s="536"/>
      <c r="M145" s="2020"/>
      <c r="N145" s="2020"/>
      <c r="O145" s="2020"/>
      <c r="P145" s="2021"/>
    </row>
    <row r="146" spans="1:18" ht="16.2" thickBot="1" x14ac:dyDescent="0.35">
      <c r="A146" s="214" t="s">
        <v>301</v>
      </c>
      <c r="B146" s="581">
        <f>SUM(B143:B145)</f>
        <v>148895000</v>
      </c>
      <c r="C146" s="581">
        <f>SUM(C143:C145)</f>
        <v>113493000</v>
      </c>
      <c r="D146" s="581">
        <f>SUM(D143:D145)</f>
        <v>46374000</v>
      </c>
      <c r="E146" s="576"/>
      <c r="F146" s="581">
        <f>SUM(F143:F145)</f>
        <v>46374000</v>
      </c>
      <c r="G146" s="581">
        <f>SUM(G143:G145)</f>
        <v>62604000</v>
      </c>
      <c r="H146" s="581">
        <f>SUM(H143:H145)</f>
        <v>53122000</v>
      </c>
      <c r="I146" s="581">
        <f t="shared" ref="I146:J146" si="41">SUM(I143:I145)</f>
        <v>42817000</v>
      </c>
      <c r="J146" s="581">
        <f t="shared" si="41"/>
        <v>39242000</v>
      </c>
      <c r="K146" s="581">
        <f>K136+K141</f>
        <v>30393000</v>
      </c>
      <c r="L146" s="576"/>
      <c r="M146" s="581">
        <f>M136+M141</f>
        <v>26724432</v>
      </c>
      <c r="N146" s="581">
        <f>N136+N141</f>
        <v>22834996</v>
      </c>
      <c r="O146" s="581">
        <f>O136+O141</f>
        <v>4691565</v>
      </c>
      <c r="P146" s="582">
        <f>P136+P141</f>
        <v>7043161</v>
      </c>
      <c r="R146" s="74"/>
    </row>
    <row r="147" spans="1:18" ht="16.2" thickTop="1" x14ac:dyDescent="0.3">
      <c r="A147" s="214"/>
      <c r="B147" s="575"/>
      <c r="C147" s="575"/>
      <c r="D147" s="575"/>
      <c r="E147" s="589"/>
      <c r="F147" s="575"/>
      <c r="G147" s="575"/>
      <c r="H147" s="575"/>
      <c r="I147" s="575"/>
      <c r="J147" s="575"/>
      <c r="K147" s="575"/>
      <c r="L147" s="589"/>
      <c r="M147" s="575"/>
      <c r="N147" s="575"/>
      <c r="O147" s="575"/>
      <c r="P147" s="247"/>
      <c r="R147" s="74"/>
    </row>
    <row r="148" spans="1:18" x14ac:dyDescent="0.25">
      <c r="A148" s="2799" t="s">
        <v>1367</v>
      </c>
      <c r="B148" s="2800"/>
      <c r="C148" s="2800"/>
      <c r="D148" s="2800"/>
      <c r="E148" s="2800"/>
      <c r="F148" s="2800"/>
      <c r="G148" s="2800"/>
      <c r="H148" s="2800"/>
      <c r="I148" s="2800"/>
      <c r="J148" s="2800"/>
      <c r="K148" s="2800"/>
      <c r="L148" s="2800"/>
      <c r="M148" s="2800"/>
      <c r="N148" s="2800"/>
      <c r="O148" s="2800"/>
      <c r="P148" s="2801"/>
      <c r="R148" s="74"/>
    </row>
    <row r="149" spans="1:18" ht="14.4" thickBot="1" x14ac:dyDescent="0.3">
      <c r="A149" s="2802"/>
      <c r="B149" s="2803"/>
      <c r="C149" s="2803"/>
      <c r="D149" s="2803"/>
      <c r="E149" s="2803"/>
      <c r="F149" s="2803"/>
      <c r="G149" s="2803"/>
      <c r="H149" s="2803"/>
      <c r="I149" s="2803"/>
      <c r="J149" s="2803"/>
      <c r="K149" s="2803"/>
      <c r="L149" s="2803"/>
      <c r="M149" s="2803"/>
      <c r="N149" s="2803"/>
      <c r="O149" s="2803"/>
      <c r="P149" s="2804"/>
    </row>
    <row r="150" spans="1:18" s="32" customFormat="1" ht="15.6" hidden="1" outlineLevel="1" x14ac:dyDescent="0.3">
      <c r="A150" s="554" t="s">
        <v>20</v>
      </c>
      <c r="B150" s="555">
        <f>B146-148895000</f>
        <v>0</v>
      </c>
      <c r="C150" s="555">
        <f>C146-113493000</f>
        <v>0</v>
      </c>
      <c r="D150" s="555">
        <f>D146-46374000</f>
        <v>0</v>
      </c>
      <c r="E150" s="556"/>
      <c r="F150" s="555">
        <f>F146-46374000</f>
        <v>0</v>
      </c>
      <c r="G150" s="555">
        <f>G146-62604000</f>
        <v>0</v>
      </c>
      <c r="H150" s="555">
        <f>H146-53122000</f>
        <v>0</v>
      </c>
      <c r="I150" s="555">
        <f>I146-42817000</f>
        <v>0</v>
      </c>
      <c r="J150" s="555">
        <f>J146-39242000</f>
        <v>0</v>
      </c>
      <c r="K150" s="555">
        <f>K146-30393000</f>
        <v>0</v>
      </c>
      <c r="L150" s="556"/>
      <c r="M150" s="557">
        <f>M146-26724432</f>
        <v>0</v>
      </c>
      <c r="N150" s="557">
        <f>N146-22834996</f>
        <v>0</v>
      </c>
      <c r="O150" s="557">
        <f>O146-4691565</f>
        <v>0</v>
      </c>
      <c r="P150" s="557">
        <f>P146-7043161</f>
        <v>0</v>
      </c>
    </row>
    <row r="151" spans="1:18" ht="15.6" collapsed="1" x14ac:dyDescent="0.3">
      <c r="A151" s="221" t="s">
        <v>1370</v>
      </c>
      <c r="B151" s="549"/>
      <c r="C151" s="549"/>
      <c r="D151" s="549"/>
      <c r="E151" s="549"/>
      <c r="F151" s="549"/>
      <c r="G151" s="549"/>
      <c r="H151" s="549"/>
      <c r="I151" s="549"/>
      <c r="J151" s="549"/>
      <c r="K151" s="549"/>
      <c r="L151" s="549"/>
      <c r="M151" s="549"/>
      <c r="N151" s="350"/>
      <c r="O151" s="549"/>
      <c r="P151" s="549"/>
    </row>
    <row r="152" spans="1:18" ht="15.6" x14ac:dyDescent="0.3">
      <c r="A152" s="211"/>
      <c r="B152" s="545"/>
      <c r="C152" s="545"/>
      <c r="D152" s="545"/>
      <c r="E152" s="545"/>
      <c r="F152" s="545"/>
      <c r="G152" s="545" t="s">
        <v>176</v>
      </c>
      <c r="H152" s="558"/>
      <c r="I152" s="545"/>
      <c r="J152" s="545"/>
      <c r="K152" s="545"/>
      <c r="L152" s="545"/>
      <c r="M152" s="545"/>
      <c r="N152" s="545"/>
      <c r="O152" s="545"/>
      <c r="P152" s="545"/>
    </row>
    <row r="153" spans="1:18" s="445" customFormat="1" ht="15.6" x14ac:dyDescent="0.3">
      <c r="A153" s="372"/>
      <c r="B153" s="570"/>
      <c r="C153" s="570"/>
      <c r="D153" s="570"/>
      <c r="E153" s="570"/>
      <c r="F153" s="570"/>
      <c r="G153" s="570"/>
      <c r="H153" s="590"/>
      <c r="I153" s="570"/>
      <c r="J153" s="570"/>
      <c r="K153" s="570"/>
      <c r="L153" s="570"/>
      <c r="M153" s="570"/>
      <c r="N153" s="570"/>
      <c r="O153" s="570"/>
      <c r="P153" s="570"/>
    </row>
    <row r="154" spans="1:18" ht="15.6" x14ac:dyDescent="0.3">
      <c r="A154" s="211"/>
      <c r="B154" s="545"/>
      <c r="C154" s="545"/>
      <c r="D154" s="545"/>
      <c r="E154" s="545"/>
      <c r="F154" s="545"/>
      <c r="G154" s="545"/>
      <c r="H154" s="558"/>
      <c r="I154" s="545"/>
      <c r="J154" s="545"/>
      <c r="K154" s="545"/>
      <c r="L154" s="545"/>
      <c r="M154" s="545"/>
      <c r="N154" s="545"/>
      <c r="O154" s="545"/>
      <c r="P154" s="545"/>
    </row>
    <row r="155" spans="1:18" ht="15.6" x14ac:dyDescent="0.3">
      <c r="A155" s="211"/>
      <c r="B155" s="545"/>
      <c r="C155" s="545"/>
      <c r="D155" s="545"/>
      <c r="E155" s="545"/>
      <c r="F155" s="545"/>
      <c r="G155" s="545"/>
      <c r="H155" s="558"/>
      <c r="I155" s="545"/>
      <c r="J155" s="545"/>
      <c r="K155" s="545"/>
      <c r="L155" s="545"/>
      <c r="M155" s="545"/>
      <c r="N155" s="545"/>
      <c r="O155" s="545"/>
      <c r="P155" s="545"/>
    </row>
    <row r="156" spans="1:18" ht="15.6" x14ac:dyDescent="0.3">
      <c r="A156" s="459" t="s">
        <v>1320</v>
      </c>
      <c r="B156" s="593"/>
      <c r="C156" s="545"/>
      <c r="D156" s="545"/>
      <c r="E156" s="545"/>
      <c r="F156" s="545"/>
      <c r="G156" s="545"/>
      <c r="H156" s="545"/>
      <c r="I156" s="545"/>
      <c r="J156" s="545"/>
      <c r="K156" s="545"/>
      <c r="L156" s="545"/>
      <c r="M156" s="545"/>
      <c r="N156" s="545"/>
      <c r="O156" s="545"/>
      <c r="P156" s="545"/>
    </row>
    <row r="157" spans="1:18" ht="15.6" x14ac:dyDescent="0.3">
      <c r="A157" s="152" t="s">
        <v>1371</v>
      </c>
      <c r="B157" s="545"/>
      <c r="C157" s="545"/>
      <c r="D157" s="545"/>
      <c r="E157" s="545"/>
      <c r="F157" s="545"/>
      <c r="G157" s="545"/>
      <c r="H157" s="545"/>
      <c r="I157" s="545"/>
      <c r="J157" s="545"/>
      <c r="K157" s="545"/>
      <c r="L157" s="545"/>
      <c r="M157" s="545"/>
      <c r="N157" s="545"/>
      <c r="O157" s="545"/>
      <c r="P157" s="545"/>
    </row>
    <row r="158" spans="1:18" ht="8.25" customHeight="1" thickBot="1" x14ac:dyDescent="0.35">
      <c r="A158" s="211"/>
      <c r="B158" s="545"/>
      <c r="C158" s="545"/>
      <c r="D158" s="545"/>
      <c r="E158" s="545"/>
      <c r="F158" s="545"/>
      <c r="G158" s="545"/>
      <c r="H158" s="545"/>
      <c r="I158" s="545"/>
      <c r="J158" s="545"/>
      <c r="K158" s="545"/>
      <c r="L158" s="545"/>
      <c r="M158" s="545"/>
      <c r="N158" s="545"/>
      <c r="O158" s="545"/>
      <c r="P158" s="545"/>
    </row>
    <row r="159" spans="1:18" ht="15.6" x14ac:dyDescent="0.3">
      <c r="A159" s="453"/>
      <c r="B159" s="571"/>
      <c r="C159" s="571"/>
      <c r="D159" s="572" t="s">
        <v>310</v>
      </c>
      <c r="E159" s="573"/>
      <c r="F159" s="572" t="s">
        <v>1354</v>
      </c>
      <c r="G159" s="571"/>
      <c r="H159" s="571"/>
      <c r="I159" s="571"/>
      <c r="J159" s="571"/>
      <c r="K159" s="572" t="s">
        <v>310</v>
      </c>
      <c r="L159" s="573"/>
      <c r="M159" s="572" t="s">
        <v>1354</v>
      </c>
      <c r="N159" s="571"/>
      <c r="O159" s="571"/>
      <c r="P159" s="574"/>
    </row>
    <row r="160" spans="1:18" ht="15.6" x14ac:dyDescent="0.3">
      <c r="A160" s="221" t="s">
        <v>1204</v>
      </c>
      <c r="B160" s="567">
        <v>31047</v>
      </c>
      <c r="C160" s="567">
        <v>30681</v>
      </c>
      <c r="D160" s="567">
        <v>30316</v>
      </c>
      <c r="E160" s="568"/>
      <c r="F160" s="567">
        <v>30316</v>
      </c>
      <c r="G160" s="567">
        <v>29951</v>
      </c>
      <c r="H160" s="567">
        <v>29586</v>
      </c>
      <c r="I160" s="567">
        <v>29220</v>
      </c>
      <c r="J160" s="567">
        <v>28855</v>
      </c>
      <c r="K160" s="567">
        <v>28490</v>
      </c>
      <c r="L160" s="568"/>
      <c r="M160" s="567">
        <v>28490</v>
      </c>
      <c r="N160" s="567">
        <v>28125</v>
      </c>
      <c r="O160" s="567">
        <v>27759</v>
      </c>
      <c r="P160" s="569">
        <v>27394</v>
      </c>
    </row>
    <row r="161" spans="1:19" ht="15.6" x14ac:dyDescent="0.3">
      <c r="A161" s="214" t="s">
        <v>1372</v>
      </c>
      <c r="B161" s="442">
        <f>C84</f>
        <v>1119193000</v>
      </c>
      <c r="C161" s="442">
        <f>F84</f>
        <v>727483000</v>
      </c>
      <c r="D161" s="442">
        <f>G84</f>
        <v>519463000</v>
      </c>
      <c r="E161" s="1200"/>
      <c r="F161" s="442">
        <f>G84</f>
        <v>519463000</v>
      </c>
      <c r="G161" s="442">
        <f>H84</f>
        <v>395214000</v>
      </c>
      <c r="H161" s="442">
        <f>I84</f>
        <v>344962000</v>
      </c>
      <c r="I161" s="442">
        <f>J84</f>
        <v>254166000</v>
      </c>
      <c r="J161" s="442">
        <f>K84</f>
        <v>154564000</v>
      </c>
      <c r="K161" s="685"/>
      <c r="L161" s="1200"/>
      <c r="M161" s="442">
        <f>N84</f>
        <v>115293133</v>
      </c>
      <c r="N161" s="442">
        <f>O84</f>
        <v>92890192</v>
      </c>
      <c r="O161" s="442">
        <f>P84</f>
        <v>88198627</v>
      </c>
      <c r="P161" s="251">
        <f>'3. Financials'!C101</f>
        <v>81155466</v>
      </c>
    </row>
    <row r="162" spans="1:19" ht="15.6" x14ac:dyDescent="0.3">
      <c r="A162" s="214" t="s">
        <v>331</v>
      </c>
      <c r="B162" s="720"/>
      <c r="C162" s="720"/>
      <c r="D162" s="720"/>
      <c r="E162" s="1201"/>
      <c r="F162" s="720"/>
      <c r="G162" s="720"/>
      <c r="H162" s="720"/>
      <c r="I162" s="720"/>
      <c r="J162" s="720"/>
      <c r="K162" s="718">
        <v>115293000</v>
      </c>
      <c r="L162" s="1201"/>
      <c r="M162" s="720"/>
      <c r="N162" s="720"/>
      <c r="O162" s="720"/>
      <c r="P162" s="2176"/>
    </row>
    <row r="163" spans="1:19" ht="15.6" x14ac:dyDescent="0.3">
      <c r="A163" s="214" t="s">
        <v>1272</v>
      </c>
      <c r="B163" s="584">
        <f>B146</f>
        <v>148895000</v>
      </c>
      <c r="C163" s="584">
        <f>C146</f>
        <v>113493000</v>
      </c>
      <c r="D163" s="584">
        <f>D146</f>
        <v>46374000</v>
      </c>
      <c r="E163" s="585"/>
      <c r="F163" s="584">
        <f t="shared" ref="F163:K163" si="42">F146</f>
        <v>46374000</v>
      </c>
      <c r="G163" s="584">
        <f t="shared" si="42"/>
        <v>62604000</v>
      </c>
      <c r="H163" s="584">
        <f t="shared" si="42"/>
        <v>53122000</v>
      </c>
      <c r="I163" s="584">
        <f t="shared" si="42"/>
        <v>42817000</v>
      </c>
      <c r="J163" s="584">
        <f t="shared" si="42"/>
        <v>39242000</v>
      </c>
      <c r="K163" s="584">
        <f t="shared" si="42"/>
        <v>30393000</v>
      </c>
      <c r="L163" s="585"/>
      <c r="M163" s="584">
        <f>M146</f>
        <v>26724432</v>
      </c>
      <c r="N163" s="584">
        <f>N146</f>
        <v>22834996</v>
      </c>
      <c r="O163" s="584">
        <f>O146</f>
        <v>4691565</v>
      </c>
      <c r="P163" s="586">
        <f>P146</f>
        <v>7043161</v>
      </c>
    </row>
    <row r="164" spans="1:19" ht="15.6" x14ac:dyDescent="0.3">
      <c r="A164" s="214" t="s">
        <v>478</v>
      </c>
      <c r="B164" s="1202">
        <v>0</v>
      </c>
      <c r="C164" s="584">
        <f>C79-F79</f>
        <v>805000</v>
      </c>
      <c r="D164" s="1202">
        <v>0</v>
      </c>
      <c r="E164" s="585"/>
      <c r="F164" s="1202">
        <v>0</v>
      </c>
      <c r="G164" s="1202">
        <v>0</v>
      </c>
      <c r="H164" s="1202">
        <v>0</v>
      </c>
      <c r="I164" s="1202">
        <v>0</v>
      </c>
      <c r="J164" s="1202">
        <v>0</v>
      </c>
      <c r="K164" s="584">
        <v>1173000</v>
      </c>
      <c r="L164" s="585"/>
      <c r="M164" s="1202">
        <v>0</v>
      </c>
      <c r="N164" s="1202">
        <v>0</v>
      </c>
      <c r="O164" s="1202">
        <v>0</v>
      </c>
      <c r="P164" s="1203">
        <v>0</v>
      </c>
    </row>
    <row r="165" spans="1:19" ht="14.4" customHeight="1" x14ac:dyDescent="0.3">
      <c r="A165" s="214" t="s">
        <v>1274</v>
      </c>
      <c r="B165" s="1202">
        <v>0</v>
      </c>
      <c r="C165" s="584">
        <f>C80-F80</f>
        <v>153860000</v>
      </c>
      <c r="D165" s="1202">
        <v>0</v>
      </c>
      <c r="E165" s="585"/>
      <c r="F165" s="1202">
        <v>0</v>
      </c>
      <c r="G165" s="1202">
        <v>0</v>
      </c>
      <c r="H165" s="1202">
        <v>0</v>
      </c>
      <c r="I165" s="1202">
        <v>0</v>
      </c>
      <c r="J165" s="1202">
        <v>0</v>
      </c>
      <c r="K165" s="584">
        <v>3517000</v>
      </c>
      <c r="L165" s="585"/>
      <c r="M165" s="1202">
        <v>0</v>
      </c>
      <c r="N165" s="1202">
        <v>0</v>
      </c>
      <c r="O165" s="1202">
        <v>0</v>
      </c>
      <c r="P165" s="1203">
        <v>0</v>
      </c>
      <c r="S165" s="1" t="s">
        <v>176</v>
      </c>
    </row>
    <row r="166" spans="1:19" ht="14.4" customHeight="1" x14ac:dyDescent="0.3">
      <c r="A166" s="214" t="s">
        <v>477</v>
      </c>
      <c r="B166" s="1202">
        <v>0</v>
      </c>
      <c r="C166" s="584">
        <f>F83-C83</f>
        <v>-280000</v>
      </c>
      <c r="D166" s="1202">
        <v>0</v>
      </c>
      <c r="E166" s="585"/>
      <c r="F166" s="1202">
        <v>0</v>
      </c>
      <c r="G166" s="584">
        <f>H83-G83</f>
        <v>180000</v>
      </c>
      <c r="H166" s="584">
        <f>I83-H83</f>
        <v>-28967000</v>
      </c>
      <c r="I166" s="1202">
        <v>0</v>
      </c>
      <c r="J166" s="584">
        <f>K83-J83</f>
        <v>-574000</v>
      </c>
      <c r="K166" s="584">
        <v>-1476000</v>
      </c>
      <c r="L166" s="585"/>
      <c r="M166" s="584">
        <f>N83-M83</f>
        <v>-229162</v>
      </c>
      <c r="N166" s="584">
        <f>O83-N83</f>
        <v>-432055</v>
      </c>
      <c r="O166" s="1202">
        <v>0</v>
      </c>
      <c r="P166" s="1203">
        <v>0</v>
      </c>
      <c r="Q166" s="4"/>
    </row>
    <row r="167" spans="1:19" ht="31.2" x14ac:dyDescent="0.3">
      <c r="A167" s="282" t="s">
        <v>1373</v>
      </c>
      <c r="B167" s="691"/>
      <c r="C167" s="691"/>
      <c r="D167" s="691"/>
      <c r="E167" s="585"/>
      <c r="F167" s="691"/>
      <c r="G167" s="691"/>
      <c r="H167" s="691"/>
      <c r="I167" s="691"/>
      <c r="J167" s="691"/>
      <c r="K167" s="584">
        <v>-9389000</v>
      </c>
      <c r="L167" s="585"/>
      <c r="M167" s="691"/>
      <c r="N167" s="691"/>
      <c r="O167" s="691"/>
      <c r="P167" s="2175"/>
    </row>
    <row r="168" spans="1:19" ht="31.2" x14ac:dyDescent="0.3">
      <c r="A168" s="282" t="s">
        <v>1374</v>
      </c>
      <c r="B168" s="691"/>
      <c r="C168" s="691"/>
      <c r="D168" s="691"/>
      <c r="E168" s="585"/>
      <c r="F168" s="691"/>
      <c r="G168" s="691"/>
      <c r="H168" s="691"/>
      <c r="I168" s="691"/>
      <c r="J168" s="691"/>
      <c r="K168" s="584">
        <v>15053000</v>
      </c>
      <c r="L168" s="585"/>
      <c r="M168" s="691"/>
      <c r="N168" s="691"/>
      <c r="O168" s="691"/>
      <c r="P168" s="2175"/>
    </row>
    <row r="169" spans="1:19" ht="31.2" x14ac:dyDescent="0.3">
      <c r="A169" s="282" t="s">
        <v>1375</v>
      </c>
      <c r="B169" s="691"/>
      <c r="C169" s="691"/>
      <c r="D169" s="691"/>
      <c r="E169" s="585"/>
      <c r="F169" s="691"/>
      <c r="G169" s="691"/>
      <c r="H169" s="691"/>
      <c r="I169" s="691"/>
      <c r="J169" s="584">
        <v>60934000</v>
      </c>
      <c r="K169" s="691"/>
      <c r="L169" s="585"/>
      <c r="M169" s="691"/>
      <c r="N169" s="691"/>
      <c r="O169" s="691"/>
      <c r="P169" s="2175"/>
    </row>
    <row r="170" spans="1:19" ht="31.2" x14ac:dyDescent="0.3">
      <c r="A170" s="282" t="s">
        <v>338</v>
      </c>
      <c r="B170" s="584">
        <f>2612000+1061000</f>
        <v>3673000</v>
      </c>
      <c r="C170" s="584">
        <f>C81-F81</f>
        <v>123832000</v>
      </c>
      <c r="D170" s="584">
        <f>F81-G81</f>
        <v>161646000</v>
      </c>
      <c r="E170" s="585"/>
      <c r="F170" s="584">
        <f>F81-G81</f>
        <v>161646000</v>
      </c>
      <c r="G170" s="584">
        <f>G81-H81</f>
        <v>61465000</v>
      </c>
      <c r="H170" s="584">
        <f>H81-I81</f>
        <v>26097000</v>
      </c>
      <c r="I170" s="584">
        <f>I81-J81</f>
        <v>47979000</v>
      </c>
      <c r="J170" s="691"/>
      <c r="K170" s="691"/>
      <c r="L170" s="585"/>
      <c r="M170" s="691"/>
      <c r="N170" s="691"/>
      <c r="O170" s="691"/>
      <c r="P170" s="2175"/>
    </row>
    <row r="171" spans="1:19" ht="16.2" thickBot="1" x14ac:dyDescent="0.35">
      <c r="A171" s="214" t="s">
        <v>14</v>
      </c>
      <c r="B171" s="594">
        <f>B84</f>
        <v>1271761000</v>
      </c>
      <c r="C171" s="594">
        <f>C84</f>
        <v>1119193000</v>
      </c>
      <c r="D171" s="594">
        <f>D84</f>
        <v>727483000</v>
      </c>
      <c r="E171" s="596"/>
      <c r="F171" s="594">
        <f t="shared" ref="F171:K171" si="43">F84</f>
        <v>727483000</v>
      </c>
      <c r="G171" s="594">
        <f t="shared" si="43"/>
        <v>519463000</v>
      </c>
      <c r="H171" s="594">
        <f t="shared" si="43"/>
        <v>395214000</v>
      </c>
      <c r="I171" s="594">
        <f t="shared" si="43"/>
        <v>344962000</v>
      </c>
      <c r="J171" s="594">
        <f t="shared" si="43"/>
        <v>254166000</v>
      </c>
      <c r="K171" s="594">
        <f t="shared" si="43"/>
        <v>154564000</v>
      </c>
      <c r="L171" s="596"/>
      <c r="M171" s="594">
        <f>M84</f>
        <v>141788403</v>
      </c>
      <c r="N171" s="594">
        <f>N84</f>
        <v>115293133</v>
      </c>
      <c r="O171" s="594">
        <f>O84</f>
        <v>92890192</v>
      </c>
      <c r="P171" s="595">
        <f>P84</f>
        <v>88198627</v>
      </c>
    </row>
    <row r="172" spans="1:19" ht="5.0999999999999996" customHeight="1" thickTop="1" thickBot="1" x14ac:dyDescent="0.35">
      <c r="A172" s="224"/>
      <c r="B172" s="561"/>
      <c r="C172" s="561"/>
      <c r="D172" s="561"/>
      <c r="E172" s="562"/>
      <c r="F172" s="561"/>
      <c r="G172" s="561"/>
      <c r="H172" s="561"/>
      <c r="I172" s="561"/>
      <c r="J172" s="561"/>
      <c r="K172" s="561"/>
      <c r="L172" s="562"/>
      <c r="M172" s="561"/>
      <c r="N172" s="561"/>
      <c r="O172" s="561"/>
      <c r="P172" s="563"/>
    </row>
    <row r="173" spans="1:19" x14ac:dyDescent="0.25">
      <c r="A173" s="12" t="s">
        <v>1370</v>
      </c>
      <c r="B173" s="74"/>
      <c r="C173" s="74"/>
      <c r="D173" s="74"/>
      <c r="E173" s="74"/>
      <c r="F173" s="74"/>
      <c r="G173" s="74"/>
      <c r="H173" s="74"/>
      <c r="I173" s="74"/>
      <c r="J173" s="74"/>
      <c r="K173" s="74"/>
      <c r="L173" s="74"/>
      <c r="M173" s="74"/>
      <c r="N173" s="74"/>
      <c r="O173" s="74"/>
      <c r="P173" s="74"/>
    </row>
    <row r="174" spans="1:19" s="17" customFormat="1" hidden="1" outlineLevel="1" x14ac:dyDescent="0.25">
      <c r="A174" s="17" t="s">
        <v>245</v>
      </c>
      <c r="B174" s="75">
        <f>SUM(B161:B170)-B171</f>
        <v>0</v>
      </c>
      <c r="C174" s="75">
        <f>SUM(C161:C170)-C171</f>
        <v>0</v>
      </c>
      <c r="D174" s="75">
        <f>SUM(D161:D170)-D171</f>
        <v>0</v>
      </c>
      <c r="E174" s="79"/>
      <c r="F174" s="75">
        <f t="shared" ref="F174:K174" si="44">SUM(F161:F170)-F171</f>
        <v>0</v>
      </c>
      <c r="G174" s="75">
        <f t="shared" si="44"/>
        <v>0</v>
      </c>
      <c r="H174" s="75">
        <f t="shared" si="44"/>
        <v>0</v>
      </c>
      <c r="I174" s="75">
        <f t="shared" si="44"/>
        <v>0</v>
      </c>
      <c r="J174" s="75">
        <f t="shared" si="44"/>
        <v>0</v>
      </c>
      <c r="K174" s="75">
        <f t="shared" si="44"/>
        <v>0</v>
      </c>
      <c r="L174" s="79"/>
      <c r="M174" s="75">
        <f>SUM(M161:M170)-M171</f>
        <v>0</v>
      </c>
      <c r="N174" s="75">
        <f>SUM(N161:N170)-N171</f>
        <v>0</v>
      </c>
      <c r="O174" s="75">
        <f>SUM(O161:O170)-O171</f>
        <v>0</v>
      </c>
      <c r="P174" s="75">
        <f>SUM(P161:P170)-P171</f>
        <v>0</v>
      </c>
    </row>
    <row r="175" spans="1:19" collapsed="1" x14ac:dyDescent="0.25">
      <c r="B175" s="74"/>
      <c r="C175" s="74"/>
      <c r="D175" s="74"/>
      <c r="E175" s="74"/>
      <c r="F175" s="74"/>
      <c r="G175" s="74"/>
      <c r="H175" s="74"/>
      <c r="I175" s="74"/>
      <c r="J175" s="74"/>
      <c r="K175" s="74"/>
      <c r="L175" s="74"/>
      <c r="M175" s="74"/>
      <c r="N175" s="74"/>
      <c r="O175" s="74"/>
      <c r="P175" s="74"/>
    </row>
    <row r="176" spans="1:19" hidden="1" outlineLevel="1" x14ac:dyDescent="0.25">
      <c r="A176" s="1" t="s">
        <v>470</v>
      </c>
      <c r="B176" s="66">
        <f>P171</f>
        <v>88198627</v>
      </c>
      <c r="C176" s="74"/>
      <c r="D176" s="74"/>
      <c r="E176" s="74"/>
      <c r="F176" s="1"/>
      <c r="G176" s="74"/>
      <c r="H176" s="74"/>
      <c r="I176" s="74"/>
      <c r="J176" s="74"/>
      <c r="K176" s="74"/>
      <c r="L176" s="74"/>
      <c r="M176" s="74"/>
      <c r="N176" s="74"/>
      <c r="O176" s="74"/>
      <c r="P176" s="74"/>
    </row>
    <row r="177" spans="1:13" hidden="1" outlineLevel="1" x14ac:dyDescent="0.25">
      <c r="A177" s="1" t="s">
        <v>471</v>
      </c>
      <c r="B177" s="57">
        <f>SUM(B163:O163)-D163-M163</f>
        <v>564466561</v>
      </c>
      <c r="C177" s="1"/>
      <c r="D177" s="1"/>
      <c r="E177" s="1"/>
      <c r="F177" s="1"/>
      <c r="G177" s="1"/>
      <c r="H177" s="1"/>
      <c r="I177" s="1"/>
      <c r="J177" s="1"/>
      <c r="K177" s="1"/>
      <c r="L177" s="1"/>
      <c r="M177" s="1"/>
    </row>
    <row r="178" spans="1:13" hidden="1" outlineLevel="1" x14ac:dyDescent="0.25">
      <c r="A178" s="1" t="s">
        <v>477</v>
      </c>
      <c r="B178" s="57">
        <f>SUM(B166:N166)-M166-H166</f>
        <v>-2582055</v>
      </c>
      <c r="C178" s="1"/>
      <c r="D178" s="1"/>
      <c r="E178" s="1"/>
      <c r="F178" s="1"/>
      <c r="G178" s="1"/>
      <c r="H178" s="1"/>
      <c r="I178" s="1"/>
      <c r="J178" s="1"/>
      <c r="K178" s="1"/>
      <c r="L178" s="1"/>
      <c r="M178" s="1"/>
    </row>
    <row r="179" spans="1:13" hidden="1" outlineLevel="1" x14ac:dyDescent="0.25">
      <c r="A179" s="1" t="s">
        <v>487</v>
      </c>
      <c r="B179" s="57">
        <f>H166</f>
        <v>-28967000</v>
      </c>
      <c r="C179" s="1"/>
      <c r="D179" s="1"/>
      <c r="E179" s="1"/>
      <c r="F179" s="1"/>
      <c r="G179" s="1"/>
      <c r="H179" s="1"/>
      <c r="I179" s="1"/>
      <c r="J179" s="1"/>
      <c r="K179" s="1"/>
      <c r="L179" s="1"/>
      <c r="M179" s="1"/>
    </row>
    <row r="180" spans="1:13" hidden="1" outlineLevel="1" x14ac:dyDescent="0.25">
      <c r="A180" s="1" t="s">
        <v>478</v>
      </c>
      <c r="B180" s="57">
        <f>SUM(B164:P164)</f>
        <v>1978000</v>
      </c>
      <c r="C180" s="1"/>
      <c r="D180" s="1"/>
      <c r="E180" s="1"/>
      <c r="F180" s="1"/>
      <c r="G180" s="1"/>
      <c r="H180" s="1"/>
      <c r="I180" s="1"/>
      <c r="J180" s="1"/>
      <c r="K180" s="1"/>
      <c r="L180" s="1"/>
      <c r="M180" s="1"/>
    </row>
    <row r="181" spans="1:13" hidden="1" outlineLevel="1" x14ac:dyDescent="0.25">
      <c r="A181" s="1" t="s">
        <v>474</v>
      </c>
      <c r="B181" s="57">
        <f>SUM(B165:O165)</f>
        <v>157377000</v>
      </c>
      <c r="C181" s="1"/>
      <c r="D181" s="1"/>
      <c r="E181" s="1"/>
      <c r="F181" s="1"/>
      <c r="G181" s="1"/>
      <c r="H181" s="1"/>
      <c r="I181" s="1"/>
      <c r="J181" s="1"/>
      <c r="K181" s="1"/>
      <c r="L181" s="1"/>
      <c r="M181" s="1"/>
    </row>
    <row r="182" spans="1:13" hidden="1" outlineLevel="1" x14ac:dyDescent="0.25">
      <c r="A182" s="1" t="s">
        <v>484</v>
      </c>
      <c r="B182" s="57">
        <f>K167</f>
        <v>-9389000</v>
      </c>
      <c r="C182" s="1"/>
      <c r="D182" s="1"/>
      <c r="E182" s="1"/>
      <c r="F182" s="1"/>
      <c r="G182" s="1"/>
      <c r="H182" s="1"/>
      <c r="I182" s="1"/>
      <c r="J182" s="1"/>
      <c r="K182" s="1"/>
      <c r="L182" s="1"/>
      <c r="M182" s="1"/>
    </row>
    <row r="183" spans="1:13" hidden="1" outlineLevel="1" x14ac:dyDescent="0.25">
      <c r="A183" s="1" t="s">
        <v>485</v>
      </c>
      <c r="B183" s="57">
        <f>K168</f>
        <v>15053000</v>
      </c>
      <c r="C183" s="1"/>
      <c r="D183" s="1"/>
      <c r="E183" s="1"/>
      <c r="F183" s="1"/>
      <c r="G183" s="1"/>
      <c r="H183" s="1"/>
      <c r="I183" s="1"/>
      <c r="J183" s="1"/>
      <c r="K183" s="1"/>
      <c r="L183" s="1"/>
      <c r="M183" s="1"/>
    </row>
    <row r="184" spans="1:13" hidden="1" outlineLevel="1" x14ac:dyDescent="0.25">
      <c r="A184" s="1" t="s">
        <v>479</v>
      </c>
      <c r="B184" s="57">
        <f>J169</f>
        <v>60934000</v>
      </c>
      <c r="C184" s="1"/>
      <c r="D184" s="1"/>
      <c r="E184" s="1"/>
      <c r="F184" s="1"/>
      <c r="G184" s="1"/>
      <c r="H184" s="1"/>
      <c r="I184" s="1"/>
      <c r="J184" s="1"/>
      <c r="K184" s="1"/>
      <c r="L184" s="1"/>
      <c r="M184" s="1"/>
    </row>
    <row r="185" spans="1:13" hidden="1" outlineLevel="1" x14ac:dyDescent="0.25">
      <c r="A185" s="1" t="s">
        <v>486</v>
      </c>
      <c r="B185" s="57">
        <f>SUM(B170:I170)-F170</f>
        <v>424692000</v>
      </c>
      <c r="C185" s="1"/>
      <c r="D185" s="2" t="s">
        <v>95</v>
      </c>
      <c r="E185" s="1"/>
      <c r="F185" s="2" t="s">
        <v>495</v>
      </c>
      <c r="G185" s="2" t="s">
        <v>496</v>
      </c>
      <c r="H185" s="1"/>
      <c r="I185" s="1"/>
      <c r="J185" s="1"/>
      <c r="K185" s="1"/>
      <c r="L185" s="1"/>
      <c r="M185" s="1"/>
    </row>
    <row r="186" spans="1:13" hidden="1" outlineLevel="1" x14ac:dyDescent="0.25">
      <c r="A186" s="1" t="s">
        <v>472</v>
      </c>
      <c r="B186" s="107">
        <f>SUM(B176:B185)</f>
        <v>1271761133</v>
      </c>
      <c r="C186" s="1"/>
      <c r="D186" s="29">
        <f>(B186/B176)^(1/10)-1</f>
        <v>0.30585324430242955</v>
      </c>
      <c r="E186" s="1"/>
      <c r="F186" s="29">
        <f>(B78/P78)^(1/10)-1</f>
        <v>1.5896333259702411E-2</v>
      </c>
      <c r="G186" s="29">
        <f>(1108.77/90.04)^(1/10)-1</f>
        <v>0.28540681472086704</v>
      </c>
      <c r="H186" s="1"/>
      <c r="I186" s="1"/>
      <c r="J186" s="1"/>
      <c r="K186" s="1"/>
      <c r="L186" s="1"/>
      <c r="M186" s="1"/>
    </row>
    <row r="187" spans="1:13" hidden="1" outlineLevel="1" x14ac:dyDescent="0.25">
      <c r="B187" s="1"/>
      <c r="C187" s="1"/>
      <c r="D187" s="1"/>
      <c r="E187" s="1"/>
      <c r="F187" s="1"/>
      <c r="G187" s="1"/>
      <c r="H187" s="1"/>
      <c r="I187" s="1"/>
      <c r="J187" s="1"/>
      <c r="K187" s="1"/>
      <c r="L187" s="1"/>
      <c r="M187" s="1"/>
    </row>
    <row r="188" spans="1:13" hidden="1" outlineLevel="1" x14ac:dyDescent="0.25">
      <c r="A188" s="32" t="s">
        <v>473</v>
      </c>
      <c r="B188" s="55">
        <f>B171</f>
        <v>1271761000</v>
      </c>
      <c r="C188" s="1"/>
      <c r="D188" s="1"/>
      <c r="E188" s="1"/>
      <c r="F188" s="1"/>
      <c r="G188" s="1"/>
      <c r="H188" s="1"/>
      <c r="I188" s="1"/>
      <c r="J188" s="1"/>
      <c r="K188" s="1"/>
      <c r="L188" s="1"/>
      <c r="M188" s="1"/>
    </row>
    <row r="189" spans="1:13" hidden="1" outlineLevel="1" x14ac:dyDescent="0.25">
      <c r="A189" s="32" t="s">
        <v>475</v>
      </c>
      <c r="B189" s="55">
        <f>B186-B188</f>
        <v>133</v>
      </c>
      <c r="C189" s="1"/>
      <c r="D189" s="1"/>
      <c r="E189" s="1"/>
      <c r="F189" s="1"/>
      <c r="G189" s="1"/>
      <c r="H189" s="1"/>
      <c r="I189" s="1"/>
      <c r="J189" s="1"/>
      <c r="K189" s="1"/>
      <c r="L189" s="1"/>
      <c r="M189" s="1"/>
    </row>
    <row r="190" spans="1:13" hidden="1" outlineLevel="1" x14ac:dyDescent="0.25">
      <c r="B190" s="1"/>
      <c r="C190" s="1"/>
      <c r="D190" s="1"/>
      <c r="E190" s="1"/>
      <c r="F190" s="1"/>
      <c r="G190" s="1"/>
      <c r="H190" s="1"/>
      <c r="I190" s="1"/>
      <c r="J190" s="1"/>
      <c r="K190" s="1"/>
      <c r="L190" s="1"/>
      <c r="M190" s="1"/>
    </row>
    <row r="191" spans="1:13" collapsed="1" x14ac:dyDescent="0.25">
      <c r="B191" s="1"/>
      <c r="C191" s="1"/>
      <c r="D191" s="1"/>
      <c r="E191" s="1"/>
      <c r="F191" s="1"/>
      <c r="G191" s="1"/>
      <c r="H191" s="1"/>
      <c r="I191" s="1"/>
      <c r="J191" s="1"/>
      <c r="K191" s="1"/>
      <c r="L191" s="1"/>
      <c r="M191" s="1"/>
    </row>
    <row r="192" spans="1:13" x14ac:dyDescent="0.25">
      <c r="A192" s="12" t="s">
        <v>494</v>
      </c>
      <c r="B192" s="1"/>
      <c r="C192" s="1"/>
      <c r="D192" s="1"/>
      <c r="E192" s="1"/>
      <c r="F192" s="1"/>
      <c r="G192" s="1"/>
      <c r="H192" s="1"/>
      <c r="I192" s="1"/>
      <c r="J192" s="1"/>
      <c r="K192" s="1"/>
      <c r="L192" s="1"/>
      <c r="M192" s="1"/>
    </row>
    <row r="193" spans="1:13" x14ac:dyDescent="0.25">
      <c r="A193" s="114" t="s">
        <v>492</v>
      </c>
      <c r="B193" s="13">
        <v>88</v>
      </c>
      <c r="C193" s="1"/>
      <c r="D193" s="1"/>
      <c r="E193" s="1"/>
      <c r="F193" s="1"/>
      <c r="G193" s="1"/>
      <c r="H193" s="1"/>
      <c r="I193" s="1"/>
      <c r="J193" s="1"/>
      <c r="K193" s="1"/>
      <c r="L193" s="1"/>
      <c r="M193" s="1"/>
    </row>
    <row r="194" spans="1:13" x14ac:dyDescent="0.25">
      <c r="A194" s="114" t="s">
        <v>493</v>
      </c>
      <c r="B194" s="2">
        <v>565</v>
      </c>
      <c r="C194" s="1"/>
      <c r="D194" s="1"/>
      <c r="E194" s="1"/>
      <c r="F194" s="1"/>
      <c r="G194" s="1"/>
      <c r="H194" s="1"/>
      <c r="I194" s="1"/>
      <c r="J194" s="1"/>
      <c r="K194" s="1"/>
      <c r="L194" s="1"/>
      <c r="M194" s="1"/>
    </row>
    <row r="195" spans="1:13" x14ac:dyDescent="0.25">
      <c r="A195" s="114" t="s">
        <v>489</v>
      </c>
      <c r="B195" s="2">
        <v>486</v>
      </c>
      <c r="C195" s="1"/>
      <c r="D195" s="1"/>
      <c r="E195" s="1"/>
      <c r="F195" s="1"/>
      <c r="G195" s="1"/>
      <c r="H195" s="1"/>
      <c r="I195" s="1"/>
      <c r="J195" s="1"/>
      <c r="K195" s="1"/>
      <c r="L195" s="1"/>
      <c r="M195" s="1"/>
    </row>
    <row r="196" spans="1:13" x14ac:dyDescent="0.25">
      <c r="A196" s="114" t="s">
        <v>490</v>
      </c>
      <c r="B196" s="2">
        <v>133</v>
      </c>
      <c r="C196" s="1"/>
      <c r="D196" s="1"/>
      <c r="E196" s="1"/>
      <c r="F196" s="1"/>
      <c r="G196" s="1"/>
      <c r="H196" s="1"/>
      <c r="I196" s="1"/>
      <c r="J196" s="1"/>
      <c r="K196" s="1"/>
      <c r="L196" s="1"/>
      <c r="M196" s="1"/>
    </row>
    <row r="197" spans="1:13" x14ac:dyDescent="0.25">
      <c r="A197" s="114" t="s">
        <v>491</v>
      </c>
      <c r="B197" s="102">
        <v>1272</v>
      </c>
      <c r="C197" s="1"/>
      <c r="D197" s="1"/>
      <c r="E197" s="1"/>
      <c r="F197" s="1"/>
      <c r="G197" s="1"/>
      <c r="H197" s="1"/>
      <c r="I197" s="1"/>
      <c r="J197" s="1"/>
      <c r="K197" s="1"/>
      <c r="L197" s="1"/>
      <c r="M197" s="1"/>
    </row>
    <row r="198" spans="1:13" x14ac:dyDescent="0.25">
      <c r="B198" s="1"/>
      <c r="C198" s="1"/>
      <c r="D198" s="1"/>
      <c r="E198" s="1"/>
      <c r="F198" s="1"/>
      <c r="G198" s="1"/>
      <c r="H198" s="1"/>
      <c r="I198" s="1"/>
      <c r="J198" s="1"/>
      <c r="K198" s="1"/>
      <c r="L198" s="1"/>
      <c r="M198" s="1"/>
    </row>
    <row r="199" spans="1:13" x14ac:dyDescent="0.25">
      <c r="B199" s="1"/>
      <c r="C199" s="1"/>
      <c r="D199" s="1"/>
      <c r="E199" s="1"/>
      <c r="F199" s="1"/>
      <c r="G199" s="1"/>
      <c r="H199" s="1"/>
      <c r="I199" s="1"/>
      <c r="J199" s="1"/>
      <c r="K199" s="1"/>
      <c r="L199" s="1"/>
      <c r="M199" s="1"/>
    </row>
    <row r="200" spans="1:13" x14ac:dyDescent="0.25">
      <c r="B200" s="1"/>
      <c r="C200" s="1"/>
      <c r="D200" s="1"/>
      <c r="E200" s="1"/>
      <c r="F200" s="1"/>
      <c r="G200" s="1"/>
      <c r="H200" s="1"/>
      <c r="I200" s="1"/>
      <c r="J200" s="1"/>
      <c r="K200" s="1"/>
      <c r="L200" s="1"/>
      <c r="M200" s="1"/>
    </row>
    <row r="201" spans="1:13" hidden="1" outlineLevel="2" x14ac:dyDescent="0.25">
      <c r="A201" s="1" t="s">
        <v>470</v>
      </c>
      <c r="B201" s="13">
        <f>B176</f>
        <v>88198627</v>
      </c>
      <c r="C201" s="1"/>
      <c r="D201" s="1"/>
      <c r="E201" s="1"/>
      <c r="F201" s="1"/>
      <c r="G201" s="1"/>
      <c r="H201" s="1"/>
      <c r="I201" s="1"/>
      <c r="J201" s="1"/>
      <c r="K201" s="1"/>
      <c r="L201" s="1"/>
      <c r="M201" s="1"/>
    </row>
    <row r="202" spans="1:13" hidden="1" outlineLevel="2" x14ac:dyDescent="0.25">
      <c r="A202" s="1" t="s">
        <v>481</v>
      </c>
      <c r="B202" s="74">
        <f>O163+N163+K163</f>
        <v>57919561</v>
      </c>
      <c r="C202" s="1"/>
      <c r="D202" s="1"/>
      <c r="E202" s="1"/>
      <c r="F202" s="1"/>
      <c r="G202" s="1"/>
      <c r="H202" s="1"/>
      <c r="I202" s="1"/>
      <c r="J202" s="1"/>
      <c r="K202" s="1"/>
      <c r="L202" s="1"/>
      <c r="M202" s="1"/>
    </row>
    <row r="203" spans="1:13" hidden="1" outlineLevel="2" x14ac:dyDescent="0.25">
      <c r="A203" s="1" t="s">
        <v>477</v>
      </c>
      <c r="B203" s="4">
        <f>N166+K166</f>
        <v>-1908055</v>
      </c>
      <c r="C203" s="1"/>
      <c r="D203" s="1"/>
      <c r="E203" s="1"/>
      <c r="F203" s="1"/>
      <c r="G203" s="1"/>
      <c r="H203" s="1"/>
      <c r="I203" s="1"/>
      <c r="J203" s="1"/>
      <c r="K203" s="1"/>
      <c r="L203" s="1"/>
      <c r="M203" s="1"/>
    </row>
    <row r="204" spans="1:13" hidden="1" outlineLevel="2" x14ac:dyDescent="0.25">
      <c r="A204" s="1" t="s">
        <v>478</v>
      </c>
      <c r="B204" s="74">
        <f>K164</f>
        <v>1173000</v>
      </c>
      <c r="C204" s="1"/>
      <c r="D204" s="1"/>
      <c r="E204" s="1"/>
      <c r="F204" s="1"/>
      <c r="G204" s="1"/>
      <c r="H204" s="1"/>
      <c r="I204" s="1"/>
      <c r="J204" s="1"/>
      <c r="K204" s="1"/>
      <c r="L204" s="1"/>
      <c r="M204" s="1"/>
    </row>
    <row r="205" spans="1:13" hidden="1" outlineLevel="2" x14ac:dyDescent="0.25">
      <c r="A205" s="1" t="s">
        <v>474</v>
      </c>
      <c r="B205" s="74">
        <f>K165</f>
        <v>3517000</v>
      </c>
      <c r="C205" s="1"/>
      <c r="D205" s="1"/>
      <c r="E205" s="1"/>
      <c r="F205" s="1"/>
      <c r="G205" s="1"/>
      <c r="H205" s="1"/>
      <c r="I205" s="1"/>
      <c r="J205" s="1"/>
      <c r="K205" s="1"/>
      <c r="L205" s="1"/>
      <c r="M205" s="1"/>
    </row>
    <row r="206" spans="1:13" hidden="1" outlineLevel="2" x14ac:dyDescent="0.25">
      <c r="A206" s="1" t="s">
        <v>476</v>
      </c>
      <c r="B206" s="4">
        <f>K167+K168</f>
        <v>5664000</v>
      </c>
      <c r="C206" s="1"/>
      <c r="D206" s="1"/>
      <c r="E206" s="1"/>
      <c r="F206" s="1"/>
      <c r="G206" s="1"/>
      <c r="H206" s="1"/>
      <c r="I206" s="1"/>
      <c r="J206" s="1"/>
      <c r="K206" s="1"/>
      <c r="L206" s="1"/>
      <c r="M206" s="1"/>
    </row>
    <row r="207" spans="1:13" hidden="1" outlineLevel="2" x14ac:dyDescent="0.25">
      <c r="A207" s="50" t="s">
        <v>479</v>
      </c>
      <c r="B207" s="1"/>
      <c r="C207" s="1"/>
      <c r="D207" s="1"/>
      <c r="E207" s="1"/>
      <c r="F207" s="1"/>
      <c r="G207" s="1"/>
      <c r="H207" s="1"/>
      <c r="I207" s="1"/>
      <c r="J207" s="1"/>
      <c r="K207" s="1"/>
      <c r="L207" s="1"/>
      <c r="M207" s="1"/>
    </row>
    <row r="208" spans="1:13" hidden="1" outlineLevel="2" x14ac:dyDescent="0.25">
      <c r="A208" s="50" t="s">
        <v>480</v>
      </c>
      <c r="B208" s="1"/>
      <c r="C208" s="1"/>
      <c r="D208" s="1"/>
      <c r="E208" s="1"/>
      <c r="F208" s="1"/>
      <c r="G208" s="1"/>
      <c r="H208" s="1"/>
      <c r="I208" s="1"/>
      <c r="J208" s="1"/>
      <c r="K208" s="1"/>
      <c r="L208" s="1"/>
      <c r="M208" s="1"/>
    </row>
    <row r="209" spans="1:13" hidden="1" outlineLevel="2" x14ac:dyDescent="0.25">
      <c r="B209" s="1"/>
      <c r="C209" s="1"/>
      <c r="D209" s="1"/>
      <c r="E209" s="1"/>
      <c r="F209" s="1"/>
      <c r="G209" s="1"/>
      <c r="H209" s="1"/>
      <c r="I209" s="1"/>
      <c r="J209" s="1"/>
      <c r="K209" s="1"/>
      <c r="L209" s="1"/>
      <c r="M209" s="1"/>
    </row>
    <row r="210" spans="1:13" hidden="1" outlineLevel="2" x14ac:dyDescent="0.25">
      <c r="A210" s="1" t="s">
        <v>482</v>
      </c>
      <c r="B210" s="74">
        <f>SUM(B201:B209)</f>
        <v>154564133</v>
      </c>
      <c r="C210" s="1"/>
      <c r="D210" s="1"/>
      <c r="E210" s="1"/>
      <c r="F210" s="1"/>
      <c r="G210" s="1"/>
      <c r="H210" s="1"/>
      <c r="I210" s="1"/>
      <c r="J210" s="1"/>
      <c r="K210" s="1"/>
      <c r="L210" s="1"/>
      <c r="M210" s="1"/>
    </row>
    <row r="211" spans="1:13" hidden="1" outlineLevel="2" x14ac:dyDescent="0.25">
      <c r="B211" s="1"/>
      <c r="C211" s="1"/>
      <c r="D211" s="1"/>
      <c r="E211" s="1"/>
      <c r="F211" s="1"/>
      <c r="G211" s="1"/>
      <c r="H211" s="1"/>
      <c r="I211" s="1"/>
      <c r="J211" s="1"/>
      <c r="K211" s="1"/>
      <c r="L211" s="1"/>
      <c r="M211" s="1"/>
    </row>
    <row r="212" spans="1:13" hidden="1" outlineLevel="2" x14ac:dyDescent="0.25">
      <c r="A212" s="32" t="s">
        <v>483</v>
      </c>
      <c r="B212" s="105">
        <f>K171</f>
        <v>154564000</v>
      </c>
      <c r="C212" s="1"/>
      <c r="D212" s="1"/>
      <c r="E212" s="1"/>
      <c r="F212" s="1"/>
      <c r="G212" s="1"/>
      <c r="H212" s="1"/>
      <c r="I212" s="1"/>
      <c r="J212" s="1"/>
      <c r="K212" s="1"/>
      <c r="L212" s="1"/>
      <c r="M212" s="1"/>
    </row>
    <row r="213" spans="1:13" hidden="1" outlineLevel="2" x14ac:dyDescent="0.25">
      <c r="A213" s="32" t="s">
        <v>475</v>
      </c>
      <c r="B213" s="106">
        <f>B210-B212</f>
        <v>133</v>
      </c>
      <c r="C213" s="1"/>
      <c r="D213" s="1"/>
      <c r="E213" s="1"/>
      <c r="F213" s="1"/>
      <c r="G213" s="1"/>
      <c r="H213" s="1"/>
      <c r="I213" s="1"/>
      <c r="J213" s="1"/>
      <c r="K213" s="1"/>
      <c r="L213" s="1"/>
      <c r="M213" s="1"/>
    </row>
    <row r="214" spans="1:13" collapsed="1" x14ac:dyDescent="0.25">
      <c r="B214" s="1"/>
      <c r="C214" s="1"/>
      <c r="D214" s="1"/>
      <c r="E214" s="1"/>
      <c r="F214" s="1"/>
      <c r="G214" s="1"/>
      <c r="H214" s="1"/>
      <c r="I214" s="1"/>
      <c r="J214" s="1"/>
      <c r="K214" s="1"/>
      <c r="L214" s="1"/>
      <c r="M214" s="1"/>
    </row>
    <row r="215" spans="1:13" x14ac:dyDescent="0.25">
      <c r="B215" s="1"/>
      <c r="C215" s="1"/>
      <c r="D215" s="1"/>
      <c r="E215" s="1"/>
      <c r="F215" s="1"/>
      <c r="G215" s="1"/>
      <c r="H215" s="1"/>
      <c r="I215" s="1"/>
      <c r="J215" s="1"/>
      <c r="K215" s="1"/>
      <c r="L215" s="1"/>
      <c r="M215" s="1"/>
    </row>
    <row r="216" spans="1:13" x14ac:dyDescent="0.25">
      <c r="B216" s="1"/>
      <c r="C216" s="1"/>
      <c r="D216" s="1"/>
      <c r="E216" s="1"/>
      <c r="F216" s="1"/>
      <c r="G216" s="1"/>
      <c r="H216" s="1"/>
      <c r="I216" s="1"/>
      <c r="J216" s="1"/>
      <c r="K216" s="1"/>
      <c r="L216" s="1"/>
      <c r="M216" s="1"/>
    </row>
    <row r="217" spans="1:13" x14ac:dyDescent="0.25">
      <c r="B217" s="1"/>
      <c r="C217" s="1"/>
      <c r="D217" s="1"/>
      <c r="E217" s="1"/>
      <c r="F217" s="1"/>
      <c r="G217" s="1"/>
      <c r="H217" s="1"/>
      <c r="I217" s="1"/>
      <c r="J217" s="1"/>
      <c r="K217" s="1"/>
      <c r="L217" s="1"/>
      <c r="M217" s="1"/>
    </row>
    <row r="218" spans="1:13" x14ac:dyDescent="0.25">
      <c r="B218" s="1"/>
      <c r="C218" s="1"/>
      <c r="D218" s="1"/>
      <c r="E218" s="1"/>
      <c r="F218" s="1"/>
      <c r="G218" s="1"/>
      <c r="H218" s="1"/>
      <c r="I218" s="1"/>
      <c r="J218" s="1"/>
      <c r="K218" s="1"/>
      <c r="L218" s="1"/>
      <c r="M218" s="1"/>
    </row>
    <row r="219" spans="1:13" x14ac:dyDescent="0.25">
      <c r="B219" s="1"/>
      <c r="C219" s="1"/>
      <c r="D219" s="1"/>
      <c r="E219" s="1"/>
      <c r="F219" s="1"/>
      <c r="G219" s="1"/>
      <c r="H219" s="1"/>
      <c r="I219" s="1"/>
      <c r="J219" s="1"/>
      <c r="K219" s="1"/>
      <c r="L219" s="1"/>
      <c r="M219" s="1"/>
    </row>
    <row r="220" spans="1:13" x14ac:dyDescent="0.25">
      <c r="B220" s="1"/>
      <c r="C220" s="1"/>
      <c r="D220" s="1"/>
      <c r="E220" s="1"/>
      <c r="F220" s="1"/>
      <c r="G220" s="1"/>
      <c r="H220" s="1"/>
      <c r="I220" s="1"/>
      <c r="J220" s="1"/>
      <c r="K220" s="1"/>
      <c r="L220" s="1"/>
      <c r="M220" s="1"/>
    </row>
    <row r="221" spans="1:13" x14ac:dyDescent="0.25">
      <c r="B221" s="1"/>
      <c r="C221" s="1"/>
      <c r="D221" s="1"/>
      <c r="E221" s="1"/>
      <c r="F221" s="1"/>
      <c r="G221" s="1"/>
      <c r="H221" s="1"/>
      <c r="I221" s="1"/>
      <c r="J221" s="1"/>
      <c r="K221" s="1"/>
      <c r="L221" s="1"/>
      <c r="M221" s="1"/>
    </row>
    <row r="222" spans="1:13" x14ac:dyDescent="0.25">
      <c r="B222" s="1"/>
      <c r="C222" s="1"/>
      <c r="D222" s="1"/>
      <c r="E222" s="1"/>
      <c r="F222" s="1"/>
      <c r="G222" s="1"/>
      <c r="H222" s="1"/>
      <c r="I222" s="1"/>
      <c r="J222" s="1"/>
      <c r="K222" s="1"/>
      <c r="L222" s="1"/>
      <c r="M222" s="1"/>
    </row>
    <row r="223" spans="1:13" x14ac:dyDescent="0.25">
      <c r="B223" s="1"/>
      <c r="C223" s="1"/>
      <c r="D223" s="1"/>
      <c r="E223" s="1"/>
      <c r="F223" s="1"/>
      <c r="G223" s="1"/>
      <c r="H223" s="1"/>
      <c r="I223" s="1"/>
      <c r="J223" s="1"/>
      <c r="K223" s="1"/>
      <c r="L223" s="1"/>
      <c r="M223" s="1"/>
    </row>
    <row r="224" spans="1:13" x14ac:dyDescent="0.25">
      <c r="B224" s="1"/>
      <c r="C224" s="1"/>
      <c r="D224" s="1"/>
      <c r="E224" s="1"/>
      <c r="F224" s="1"/>
      <c r="G224" s="1"/>
      <c r="H224" s="1"/>
      <c r="I224" s="1"/>
      <c r="J224" s="1"/>
      <c r="K224" s="1"/>
      <c r="L224" s="1"/>
      <c r="M224" s="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sheetData>
  <mergeCells count="2">
    <mergeCell ref="A87:P88"/>
    <mergeCell ref="A148:P149"/>
  </mergeCells>
  <pageMargins left="0.7" right="0.7" top="0.75" bottom="0.75" header="0.3" footer="0.3"/>
  <pageSetup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2507-9C15-442E-8D82-527DBB3ACDB0}">
  <sheetPr codeName="Sheet17">
    <tabColor theme="9" tint="0.59999389629810485"/>
  </sheetPr>
  <dimension ref="A1:S180"/>
  <sheetViews>
    <sheetView showGridLines="0" topLeftCell="A9" zoomScale="70" zoomScaleNormal="70" workbookViewId="0">
      <selection activeCell="T20" sqref="T20"/>
    </sheetView>
  </sheetViews>
  <sheetFormatPr defaultColWidth="9.109375" defaultRowHeight="15.6" outlineLevelRow="1" x14ac:dyDescent="0.3"/>
  <cols>
    <col min="1" max="1" width="36.88671875" style="211" customWidth="1"/>
    <col min="2" max="4" width="10.6640625" style="356" bestFit="1" customWidth="1"/>
    <col min="5" max="8" width="10.33203125" style="356" bestFit="1" customWidth="1"/>
    <col min="9" max="9" width="3.109375" style="597" customWidth="1"/>
    <col min="10" max="11" width="10.33203125" style="356" bestFit="1" customWidth="1"/>
    <col min="12" max="12" width="3.109375" style="597" customWidth="1"/>
    <col min="13" max="13" width="10.33203125" style="356" bestFit="1" customWidth="1"/>
    <col min="14" max="14" width="10.109375" style="356" bestFit="1" customWidth="1"/>
    <col min="15" max="15" width="9.6640625" style="356" bestFit="1" customWidth="1"/>
    <col min="16" max="16" width="9.6640625" style="211" bestFit="1" customWidth="1"/>
    <col min="17" max="17" width="9.109375" style="211"/>
    <col min="18" max="18" width="14.5546875" style="211" bestFit="1" customWidth="1"/>
    <col min="19" max="19" width="17.5546875" style="211" bestFit="1" customWidth="1"/>
    <col min="20" max="25" width="9.33203125" style="211" bestFit="1" customWidth="1"/>
    <col min="26" max="16384" width="9.109375" style="211"/>
  </cols>
  <sheetData>
    <row r="1" spans="1:16" outlineLevel="1" x14ac:dyDescent="0.3">
      <c r="A1" s="459" t="s">
        <v>1332</v>
      </c>
      <c r="B1" s="287"/>
      <c r="C1" s="287"/>
      <c r="D1" s="287"/>
      <c r="E1" s="287"/>
      <c r="F1" s="287"/>
      <c r="G1" s="287"/>
      <c r="H1" s="287"/>
      <c r="I1" s="612"/>
      <c r="J1" s="613"/>
      <c r="K1" s="613"/>
      <c r="L1" s="612"/>
      <c r="M1" s="613"/>
      <c r="N1" s="287"/>
      <c r="O1" s="287"/>
      <c r="P1" s="287"/>
    </row>
    <row r="2" spans="1:16" x14ac:dyDescent="0.3">
      <c r="A2" s="152" t="s">
        <v>1376</v>
      </c>
      <c r="B2" s="211"/>
      <c r="C2" s="211"/>
      <c r="D2" s="211"/>
      <c r="E2" s="211"/>
      <c r="F2" s="211"/>
      <c r="G2" s="211"/>
      <c r="H2" s="211"/>
      <c r="I2" s="549"/>
      <c r="J2" s="211"/>
      <c r="K2" s="211"/>
      <c r="L2" s="549"/>
      <c r="M2" s="211"/>
      <c r="N2" s="211"/>
      <c r="O2" s="211"/>
    </row>
    <row r="3" spans="1:16" ht="8.25" customHeight="1" thickBot="1" x14ac:dyDescent="0.35">
      <c r="A3" s="152"/>
      <c r="B3" s="211"/>
      <c r="C3" s="211"/>
      <c r="D3" s="211"/>
      <c r="E3" s="211"/>
      <c r="F3" s="211"/>
      <c r="G3" s="211"/>
      <c r="H3" s="211"/>
      <c r="I3" s="549"/>
      <c r="J3" s="211"/>
      <c r="K3" s="211"/>
      <c r="L3" s="549"/>
      <c r="M3" s="211"/>
      <c r="N3" s="211"/>
      <c r="O3" s="211"/>
    </row>
    <row r="4" spans="1:16" x14ac:dyDescent="0.3">
      <c r="A4" s="212"/>
      <c r="B4" s="522"/>
      <c r="C4" s="522"/>
      <c r="D4" s="522"/>
      <c r="E4" s="522"/>
      <c r="F4" s="522"/>
      <c r="G4" s="522"/>
      <c r="H4" s="523" t="s">
        <v>310</v>
      </c>
      <c r="I4" s="2181"/>
      <c r="J4" s="522"/>
      <c r="K4" s="523" t="s">
        <v>310</v>
      </c>
      <c r="L4" s="2181"/>
      <c r="M4" s="522"/>
      <c r="N4" s="522"/>
      <c r="O4" s="522"/>
      <c r="P4" s="389"/>
    </row>
    <row r="5" spans="1:16" ht="17.399999999999999" x14ac:dyDescent="0.45">
      <c r="A5" s="221" t="s">
        <v>1204</v>
      </c>
      <c r="B5" s="615">
        <v>1984</v>
      </c>
      <c r="C5" s="615">
        <v>1983</v>
      </c>
      <c r="D5" s="615">
        <v>1982</v>
      </c>
      <c r="E5" s="615">
        <v>1981</v>
      </c>
      <c r="F5" s="615">
        <v>1980</v>
      </c>
      <c r="G5" s="615">
        <v>1979</v>
      </c>
      <c r="H5" s="615">
        <v>1978</v>
      </c>
      <c r="I5" s="2182"/>
      <c r="J5" s="615">
        <v>1978</v>
      </c>
      <c r="K5" s="615">
        <v>1977</v>
      </c>
      <c r="L5" s="2182"/>
      <c r="M5" s="615">
        <v>1977</v>
      </c>
      <c r="N5" s="615">
        <v>1976</v>
      </c>
      <c r="O5" s="615">
        <v>1975</v>
      </c>
      <c r="P5" s="616">
        <v>1974</v>
      </c>
    </row>
    <row r="6" spans="1:16" x14ac:dyDescent="0.3">
      <c r="A6" s="214" t="s">
        <v>1377</v>
      </c>
      <c r="B6" s="622"/>
      <c r="C6" s="622"/>
      <c r="D6" s="622"/>
      <c r="E6" s="622"/>
      <c r="F6" s="622"/>
      <c r="G6" s="622"/>
      <c r="H6" s="622"/>
      <c r="I6" s="528"/>
      <c r="J6" s="622"/>
      <c r="K6" s="622"/>
      <c r="L6" s="528"/>
      <c r="M6" s="575">
        <f>4532113+18635379</f>
        <v>23167492</v>
      </c>
      <c r="N6" s="575">
        <f>2592562+14992494</f>
        <v>17585056</v>
      </c>
      <c r="O6" s="575">
        <f>2000940+13912843</f>
        <v>15913783</v>
      </c>
      <c r="P6" s="247">
        <f>1513636+9138663</f>
        <v>10652299</v>
      </c>
    </row>
    <row r="7" spans="1:16" ht="31.2" x14ac:dyDescent="0.3">
      <c r="A7" s="282" t="s">
        <v>351</v>
      </c>
      <c r="B7" s="622"/>
      <c r="C7" s="622"/>
      <c r="D7" s="622"/>
      <c r="E7" s="622"/>
      <c r="F7" s="575">
        <f>27055000+3895000</f>
        <v>30950000</v>
      </c>
      <c r="G7" s="575">
        <f>9054000+3128000</f>
        <v>12182000</v>
      </c>
      <c r="H7" s="575">
        <f>43068000+2570000</f>
        <v>45638000</v>
      </c>
      <c r="I7" s="528"/>
      <c r="J7" s="575">
        <f>43068000+2570000</f>
        <v>45638000</v>
      </c>
      <c r="K7" s="575">
        <f>22088000+4607000</f>
        <v>26695000</v>
      </c>
      <c r="L7" s="528"/>
      <c r="M7" s="622"/>
      <c r="N7" s="622"/>
      <c r="O7" s="622"/>
      <c r="P7" s="2177"/>
    </row>
    <row r="8" spans="1:16" x14ac:dyDescent="0.3">
      <c r="A8" s="214" t="s">
        <v>86</v>
      </c>
      <c r="B8" s="622"/>
      <c r="C8" s="622"/>
      <c r="D8" s="622"/>
      <c r="E8" s="622"/>
      <c r="F8" s="446">
        <v>187802000</v>
      </c>
      <c r="G8" s="446">
        <v>185564000</v>
      </c>
      <c r="H8" s="446">
        <v>157651000</v>
      </c>
      <c r="I8" s="528"/>
      <c r="J8" s="446">
        <v>157651000</v>
      </c>
      <c r="K8" s="446">
        <v>132929000</v>
      </c>
      <c r="L8" s="528"/>
      <c r="M8" s="446">
        <v>127324424</v>
      </c>
      <c r="N8" s="446">
        <v>89215773</v>
      </c>
      <c r="O8" s="446">
        <v>78760945</v>
      </c>
      <c r="P8" s="237">
        <v>71530651</v>
      </c>
    </row>
    <row r="9" spans="1:16" x14ac:dyDescent="0.3">
      <c r="A9" s="282" t="s">
        <v>356</v>
      </c>
      <c r="B9" s="622"/>
      <c r="C9" s="622"/>
      <c r="D9" s="622"/>
      <c r="E9" s="622"/>
      <c r="F9" s="622"/>
      <c r="G9" s="622"/>
      <c r="H9" s="622"/>
      <c r="I9" s="528"/>
      <c r="J9" s="446">
        <v>133766000</v>
      </c>
      <c r="K9" s="446">
        <v>108107000</v>
      </c>
      <c r="L9" s="528"/>
      <c r="M9" s="622"/>
      <c r="N9" s="622"/>
      <c r="O9" s="622"/>
      <c r="P9" s="2177"/>
    </row>
    <row r="10" spans="1:16" x14ac:dyDescent="0.3">
      <c r="A10" s="282" t="s">
        <v>357</v>
      </c>
      <c r="B10" s="575">
        <v>793569000</v>
      </c>
      <c r="C10" s="575">
        <v>793569000</v>
      </c>
      <c r="D10" s="575">
        <v>793569000</v>
      </c>
      <c r="E10" s="575">
        <v>536748000</v>
      </c>
      <c r="F10" s="446">
        <v>424530000</v>
      </c>
      <c r="G10" s="446">
        <v>336680000</v>
      </c>
      <c r="H10" s="446">
        <v>220929000</v>
      </c>
      <c r="I10" s="528"/>
      <c r="J10" s="622"/>
      <c r="K10" s="622"/>
      <c r="L10" s="528"/>
      <c r="M10" s="622"/>
      <c r="N10" s="622"/>
      <c r="O10" s="622"/>
      <c r="P10" s="2177"/>
    </row>
    <row r="11" spans="1:16" x14ac:dyDescent="0.3">
      <c r="A11" s="214" t="s">
        <v>87</v>
      </c>
      <c r="B11" s="622"/>
      <c r="C11" s="622"/>
      <c r="D11" s="622"/>
      <c r="E11" s="622"/>
      <c r="F11" s="622"/>
      <c r="G11" s="622"/>
      <c r="H11" s="622"/>
      <c r="I11" s="528"/>
      <c r="J11" s="622"/>
      <c r="K11" s="622"/>
      <c r="L11" s="528"/>
      <c r="M11" s="446">
        <v>23231882</v>
      </c>
      <c r="N11" s="446">
        <v>22286948</v>
      </c>
      <c r="O11" s="446">
        <v>2558275</v>
      </c>
      <c r="P11" s="237">
        <v>2855185</v>
      </c>
    </row>
    <row r="12" spans="1:16" x14ac:dyDescent="0.3">
      <c r="A12" s="214" t="s">
        <v>280</v>
      </c>
      <c r="B12" s="622"/>
      <c r="C12" s="622"/>
      <c r="D12" s="622"/>
      <c r="E12" s="622"/>
      <c r="F12" s="622"/>
      <c r="G12" s="622"/>
      <c r="H12" s="622"/>
      <c r="I12" s="528"/>
      <c r="J12" s="622"/>
      <c r="K12" s="622"/>
      <c r="L12" s="528"/>
      <c r="M12" s="446">
        <v>86656835</v>
      </c>
      <c r="N12" s="446">
        <v>53108266</v>
      </c>
      <c r="O12" s="446">
        <v>39341135</v>
      </c>
      <c r="P12" s="237">
        <v>50669865</v>
      </c>
    </row>
    <row r="13" spans="1:16" x14ac:dyDescent="0.3">
      <c r="A13" s="214" t="s">
        <v>1378</v>
      </c>
      <c r="B13" s="2178"/>
      <c r="C13" s="2178"/>
      <c r="D13" s="2178"/>
      <c r="E13" s="2178"/>
      <c r="F13" s="235">
        <f>SUM(F6:F12)</f>
        <v>643282000</v>
      </c>
      <c r="G13" s="235">
        <f>SUM(G6:G12)</f>
        <v>534426000</v>
      </c>
      <c r="H13" s="235">
        <f>SUM(H6:H12)</f>
        <v>424218000</v>
      </c>
      <c r="I13" s="528"/>
      <c r="J13" s="235">
        <f>SUM(J6:J12)</f>
        <v>337055000</v>
      </c>
      <c r="K13" s="235">
        <f>SUM(K6:K12)</f>
        <v>267731000</v>
      </c>
      <c r="L13" s="528"/>
      <c r="M13" s="235">
        <f>SUM(M6:M12)</f>
        <v>260380633</v>
      </c>
      <c r="N13" s="235">
        <f>SUM(N6:N12)</f>
        <v>182196043</v>
      </c>
      <c r="O13" s="235">
        <f>SUM(O6:O12)</f>
        <v>136574138</v>
      </c>
      <c r="P13" s="263">
        <f>SUM(P6:P12)</f>
        <v>135708000</v>
      </c>
    </row>
    <row r="14" spans="1:16" x14ac:dyDescent="0.3">
      <c r="A14" s="214"/>
      <c r="B14" s="622"/>
      <c r="C14" s="622"/>
      <c r="D14" s="622"/>
      <c r="E14" s="622"/>
      <c r="F14" s="446"/>
      <c r="G14" s="446"/>
      <c r="H14" s="446"/>
      <c r="I14" s="528"/>
      <c r="J14" s="446"/>
      <c r="K14" s="446"/>
      <c r="L14" s="528"/>
      <c r="M14" s="446"/>
      <c r="N14" s="446"/>
      <c r="O14" s="446"/>
      <c r="P14" s="237"/>
    </row>
    <row r="15" spans="1:16" x14ac:dyDescent="0.3">
      <c r="A15" s="214" t="s">
        <v>96</v>
      </c>
      <c r="B15" s="622"/>
      <c r="C15" s="622"/>
      <c r="D15" s="622"/>
      <c r="E15" s="622"/>
      <c r="F15" s="446">
        <v>32272000</v>
      </c>
      <c r="G15" s="446">
        <v>35355000</v>
      </c>
      <c r="H15" s="446">
        <v>31442000</v>
      </c>
      <c r="I15" s="528"/>
      <c r="J15" s="446">
        <v>31442000</v>
      </c>
      <c r="K15" s="446">
        <v>26862000</v>
      </c>
      <c r="L15" s="528"/>
      <c r="M15" s="446">
        <v>21679062</v>
      </c>
      <c r="N15" s="446">
        <v>17740283</v>
      </c>
      <c r="O15" s="446">
        <v>15400558</v>
      </c>
      <c r="P15" s="237">
        <v>14370980</v>
      </c>
    </row>
    <row r="16" spans="1:16" x14ac:dyDescent="0.3">
      <c r="A16" s="214"/>
      <c r="B16" s="622"/>
      <c r="C16" s="622"/>
      <c r="D16" s="622"/>
      <c r="E16" s="622"/>
      <c r="F16" s="446"/>
      <c r="G16" s="446"/>
      <c r="H16" s="446"/>
      <c r="I16" s="528"/>
      <c r="J16" s="446"/>
      <c r="K16" s="446"/>
      <c r="L16" s="528"/>
      <c r="M16" s="446"/>
      <c r="N16" s="446"/>
      <c r="O16" s="446"/>
      <c r="P16" s="237"/>
    </row>
    <row r="17" spans="1:16" x14ac:dyDescent="0.3">
      <c r="A17" s="214" t="s">
        <v>317</v>
      </c>
      <c r="B17" s="622"/>
      <c r="C17" s="622"/>
      <c r="D17" s="622"/>
      <c r="E17" s="622"/>
      <c r="F17" s="446">
        <v>3388000</v>
      </c>
      <c r="G17" s="446">
        <v>3383000</v>
      </c>
      <c r="H17" s="446">
        <v>2757000</v>
      </c>
      <c r="I17" s="528"/>
      <c r="J17" s="446">
        <v>2757000</v>
      </c>
      <c r="K17" s="446">
        <v>2164000</v>
      </c>
      <c r="L17" s="536"/>
      <c r="M17" s="446">
        <v>2163733</v>
      </c>
      <c r="N17" s="446">
        <v>1636275</v>
      </c>
      <c r="O17" s="446">
        <v>1526246</v>
      </c>
      <c r="P17" s="237">
        <v>1580594</v>
      </c>
    </row>
    <row r="18" spans="1:16" x14ac:dyDescent="0.3">
      <c r="A18" s="214" t="s">
        <v>348</v>
      </c>
      <c r="B18" s="622"/>
      <c r="C18" s="622"/>
      <c r="D18" s="622"/>
      <c r="E18" s="622"/>
      <c r="F18" s="446">
        <f>F19-SUM(F13:F17)</f>
        <v>50731000</v>
      </c>
      <c r="G18" s="446">
        <f>G19-SUM(G13:G17)</f>
        <v>50257000</v>
      </c>
      <c r="H18" s="446">
        <f>H19-SUM(H13:H17)</f>
        <v>46011000</v>
      </c>
      <c r="I18" s="528"/>
      <c r="J18" s="446">
        <f>J19-SUM(J13:J17)</f>
        <v>46011000</v>
      </c>
      <c r="K18" s="446">
        <f>K19-SUM(K13:K17)</f>
        <v>36487000</v>
      </c>
      <c r="L18" s="528"/>
      <c r="M18" s="446">
        <f>M19-SUM(M13:M17)</f>
        <v>29007870</v>
      </c>
      <c r="N18" s="446">
        <f>N19-SUM(N13:N17)</f>
        <v>22811729</v>
      </c>
      <c r="O18" s="446">
        <f>O19-SUM(O13:O17)</f>
        <v>20557563</v>
      </c>
      <c r="P18" s="237">
        <f>P19-SUM(P13:P17)</f>
        <v>20678648</v>
      </c>
    </row>
    <row r="19" spans="1:16" x14ac:dyDescent="0.3">
      <c r="A19" s="214" t="s">
        <v>282</v>
      </c>
      <c r="B19" s="2179"/>
      <c r="C19" s="2179"/>
      <c r="D19" s="2179"/>
      <c r="E19" s="2179"/>
      <c r="F19" s="235">
        <v>729673000</v>
      </c>
      <c r="G19" s="235">
        <v>623421000</v>
      </c>
      <c r="H19" s="235">
        <v>504428000</v>
      </c>
      <c r="I19" s="1199"/>
      <c r="J19" s="235">
        <v>417265000</v>
      </c>
      <c r="K19" s="235">
        <v>333244000</v>
      </c>
      <c r="L19" s="1199"/>
      <c r="M19" s="235">
        <v>313231298</v>
      </c>
      <c r="N19" s="235">
        <v>224384330</v>
      </c>
      <c r="O19" s="235">
        <v>174058505</v>
      </c>
      <c r="P19" s="263">
        <v>172338222</v>
      </c>
    </row>
    <row r="20" spans="1:16" x14ac:dyDescent="0.3">
      <c r="A20" s="214"/>
      <c r="B20" s="446"/>
      <c r="C20" s="446"/>
      <c r="D20" s="446"/>
      <c r="E20" s="446"/>
      <c r="F20" s="446"/>
      <c r="G20" s="446"/>
      <c r="H20" s="446"/>
      <c r="I20" s="1199"/>
      <c r="J20" s="446"/>
      <c r="K20" s="446"/>
      <c r="L20" s="1199"/>
      <c r="M20" s="446"/>
      <c r="N20" s="446"/>
      <c r="O20" s="446"/>
      <c r="P20" s="237"/>
    </row>
    <row r="21" spans="1:16" x14ac:dyDescent="0.3">
      <c r="A21" s="214" t="s">
        <v>366</v>
      </c>
      <c r="B21" s="446">
        <v>1615274000</v>
      </c>
      <c r="C21" s="446">
        <v>1322160000</v>
      </c>
      <c r="D21" s="446">
        <v>1059670000</v>
      </c>
      <c r="E21" s="446">
        <v>825635000</v>
      </c>
      <c r="F21" s="446">
        <v>693859000</v>
      </c>
      <c r="G21" s="446">
        <v>585103000</v>
      </c>
      <c r="H21" s="446">
        <v>470023000</v>
      </c>
      <c r="I21" s="1199"/>
      <c r="J21" s="446">
        <v>470023000</v>
      </c>
      <c r="K21" s="446">
        <v>377954000</v>
      </c>
      <c r="L21" s="1199"/>
      <c r="M21" s="446">
        <v>377954000</v>
      </c>
      <c r="N21" s="446">
        <v>261752000</v>
      </c>
      <c r="O21" s="446">
        <v>164443000</v>
      </c>
      <c r="P21" s="2177"/>
    </row>
    <row r="22" spans="1:16" x14ac:dyDescent="0.3">
      <c r="A22" s="214"/>
      <c r="B22" s="446"/>
      <c r="C22" s="446"/>
      <c r="D22" s="446"/>
      <c r="E22" s="446"/>
      <c r="F22" s="446"/>
      <c r="G22" s="446"/>
      <c r="H22" s="446"/>
      <c r="I22" s="528"/>
      <c r="J22" s="446"/>
      <c r="K22" s="446"/>
      <c r="L22" s="528"/>
      <c r="M22" s="446"/>
      <c r="N22" s="446"/>
      <c r="O22" s="446"/>
      <c r="P22" s="237"/>
    </row>
    <row r="23" spans="1:16" hidden="1" outlineLevel="1" x14ac:dyDescent="0.3">
      <c r="A23" s="238" t="s">
        <v>90</v>
      </c>
      <c r="B23" s="446"/>
      <c r="C23" s="446"/>
      <c r="D23" s="446"/>
      <c r="E23" s="446"/>
      <c r="F23" s="446"/>
      <c r="G23" s="446"/>
      <c r="H23" s="446"/>
      <c r="I23" s="528"/>
      <c r="J23" s="446"/>
      <c r="K23" s="446"/>
      <c r="L23" s="528"/>
      <c r="M23" s="446"/>
      <c r="N23" s="446"/>
      <c r="O23" s="446"/>
      <c r="P23" s="237"/>
    </row>
    <row r="24" spans="1:16" hidden="1" outlineLevel="1" x14ac:dyDescent="0.3">
      <c r="A24" s="214" t="s">
        <v>68</v>
      </c>
      <c r="B24" s="423"/>
      <c r="C24" s="423"/>
      <c r="D24" s="423"/>
      <c r="E24" s="423"/>
      <c r="F24" s="423"/>
      <c r="G24" s="423"/>
      <c r="H24" s="423"/>
      <c r="I24" s="2183"/>
      <c r="J24" s="423"/>
      <c r="K24" s="423"/>
      <c r="L24" s="2183"/>
      <c r="M24" s="423"/>
      <c r="N24" s="423"/>
      <c r="O24" s="423"/>
      <c r="P24" s="240"/>
    </row>
    <row r="25" spans="1:16" hidden="1" outlineLevel="1" x14ac:dyDescent="0.3">
      <c r="A25" s="214" t="s">
        <v>69</v>
      </c>
      <c r="B25" s="423"/>
      <c r="C25" s="423"/>
      <c r="D25" s="423"/>
      <c r="E25" s="423"/>
      <c r="F25" s="423"/>
      <c r="G25" s="423"/>
      <c r="H25" s="423"/>
      <c r="I25" s="2184"/>
      <c r="J25" s="423"/>
      <c r="K25" s="423"/>
      <c r="L25" s="2184"/>
      <c r="M25" s="423"/>
      <c r="N25" s="423"/>
      <c r="O25" s="423"/>
      <c r="P25" s="240"/>
    </row>
    <row r="26" spans="1:16" hidden="1" outlineLevel="1" x14ac:dyDescent="0.3">
      <c r="A26" s="214" t="s">
        <v>70</v>
      </c>
      <c r="B26" s="423"/>
      <c r="C26" s="423"/>
      <c r="D26" s="423"/>
      <c r="E26" s="423"/>
      <c r="F26" s="423"/>
      <c r="G26" s="423"/>
      <c r="H26" s="423"/>
      <c r="I26" s="2183"/>
      <c r="J26" s="423"/>
      <c r="K26" s="423"/>
      <c r="L26" s="2183"/>
      <c r="M26" s="423"/>
      <c r="N26" s="423"/>
      <c r="O26" s="423"/>
      <c r="P26" s="240"/>
    </row>
    <row r="27" spans="1:16" hidden="1" outlineLevel="1" x14ac:dyDescent="0.3">
      <c r="A27" s="214" t="s">
        <v>92</v>
      </c>
      <c r="B27" s="423"/>
      <c r="C27" s="423"/>
      <c r="D27" s="423"/>
      <c r="E27" s="423"/>
      <c r="F27" s="423"/>
      <c r="G27" s="423"/>
      <c r="H27" s="423"/>
      <c r="I27" s="1199"/>
      <c r="J27" s="423"/>
      <c r="K27" s="423"/>
      <c r="L27" s="1199"/>
      <c r="M27" s="423"/>
      <c r="N27" s="423"/>
      <c r="O27" s="423"/>
      <c r="P27" s="240"/>
    </row>
    <row r="28" spans="1:16" hidden="1" outlineLevel="1" x14ac:dyDescent="0.3">
      <c r="A28" s="214" t="s">
        <v>93</v>
      </c>
      <c r="B28" s="423"/>
      <c r="C28" s="423"/>
      <c r="D28" s="423"/>
      <c r="E28" s="423"/>
      <c r="F28" s="423"/>
      <c r="G28" s="423"/>
      <c r="H28" s="423"/>
      <c r="I28" s="2185"/>
      <c r="J28" s="423"/>
      <c r="K28" s="423"/>
      <c r="L28" s="2185"/>
      <c r="M28" s="423"/>
      <c r="N28" s="423"/>
      <c r="O28" s="423"/>
      <c r="P28" s="240"/>
    </row>
    <row r="29" spans="1:16" hidden="1" outlineLevel="1" x14ac:dyDescent="0.3">
      <c r="A29" s="214" t="s">
        <v>71</v>
      </c>
      <c r="B29" s="423"/>
      <c r="C29" s="423"/>
      <c r="D29" s="423"/>
      <c r="E29" s="423"/>
      <c r="F29" s="423"/>
      <c r="G29" s="423"/>
      <c r="H29" s="423"/>
      <c r="I29" s="1199"/>
      <c r="J29" s="423"/>
      <c r="K29" s="423"/>
      <c r="L29" s="1199"/>
      <c r="M29" s="423"/>
      <c r="N29" s="423"/>
      <c r="O29" s="423"/>
      <c r="P29" s="240"/>
    </row>
    <row r="30" spans="1:16" hidden="1" outlineLevel="1" x14ac:dyDescent="0.3">
      <c r="A30" s="214"/>
      <c r="B30" s="423"/>
      <c r="C30" s="423"/>
      <c r="D30" s="423"/>
      <c r="E30" s="423"/>
      <c r="F30" s="423"/>
      <c r="G30" s="423"/>
      <c r="H30" s="423"/>
      <c r="I30" s="1199"/>
      <c r="J30" s="423"/>
      <c r="K30" s="423"/>
      <c r="L30" s="1199"/>
      <c r="M30" s="423"/>
      <c r="N30" s="423"/>
      <c r="O30" s="423"/>
      <c r="P30" s="240"/>
    </row>
    <row r="31" spans="1:16" hidden="1" outlineLevel="1" x14ac:dyDescent="0.3">
      <c r="A31" s="214"/>
      <c r="B31" s="423"/>
      <c r="C31" s="423"/>
      <c r="D31" s="423"/>
      <c r="E31" s="423"/>
      <c r="F31" s="423"/>
      <c r="G31" s="423"/>
      <c r="H31" s="423"/>
      <c r="I31" s="1199"/>
      <c r="J31" s="423"/>
      <c r="K31" s="423"/>
      <c r="L31" s="1199"/>
      <c r="M31" s="423"/>
      <c r="N31" s="423"/>
      <c r="O31" s="423"/>
      <c r="P31" s="240"/>
    </row>
    <row r="32" spans="1:16" hidden="1" outlineLevel="1" x14ac:dyDescent="0.3">
      <c r="A32" s="214"/>
      <c r="B32" s="423"/>
      <c r="C32" s="423"/>
      <c r="D32" s="423"/>
      <c r="E32" s="423"/>
      <c r="F32" s="423"/>
      <c r="G32" s="423"/>
      <c r="H32" s="423"/>
      <c r="I32" s="1199"/>
      <c r="J32" s="423"/>
      <c r="K32" s="423"/>
      <c r="L32" s="1199"/>
      <c r="M32" s="423"/>
      <c r="N32" s="423"/>
      <c r="O32" s="423"/>
      <c r="P32" s="240"/>
    </row>
    <row r="33" spans="1:16" hidden="1" outlineLevel="1" x14ac:dyDescent="0.3">
      <c r="A33" s="214" t="s">
        <v>81</v>
      </c>
      <c r="B33" s="423"/>
      <c r="C33" s="423"/>
      <c r="D33" s="423"/>
      <c r="E33" s="423"/>
      <c r="F33" s="423"/>
      <c r="G33" s="423"/>
      <c r="H33" s="423"/>
      <c r="I33" s="1199"/>
      <c r="J33" s="423"/>
      <c r="K33" s="423"/>
      <c r="L33" s="1199"/>
      <c r="M33" s="423"/>
      <c r="N33" s="423"/>
      <c r="O33" s="423"/>
      <c r="P33" s="240"/>
    </row>
    <row r="34" spans="1:16" hidden="1" outlineLevel="1" x14ac:dyDescent="0.3">
      <c r="A34" s="214" t="s">
        <v>82</v>
      </c>
      <c r="B34" s="423"/>
      <c r="C34" s="423"/>
      <c r="D34" s="423"/>
      <c r="E34" s="423"/>
      <c r="F34" s="423"/>
      <c r="G34" s="423"/>
      <c r="H34" s="423"/>
      <c r="I34" s="1199"/>
      <c r="J34" s="423"/>
      <c r="K34" s="423"/>
      <c r="L34" s="1199"/>
      <c r="M34" s="423"/>
      <c r="N34" s="423"/>
      <c r="O34" s="423"/>
      <c r="P34" s="240"/>
    </row>
    <row r="35" spans="1:16" hidden="1" outlineLevel="1" x14ac:dyDescent="0.3">
      <c r="A35" s="214" t="s">
        <v>83</v>
      </c>
      <c r="B35" s="423"/>
      <c r="C35" s="423"/>
      <c r="D35" s="423"/>
      <c r="E35" s="423"/>
      <c r="F35" s="423"/>
      <c r="G35" s="423"/>
      <c r="H35" s="423"/>
      <c r="I35" s="2186"/>
      <c r="J35" s="423"/>
      <c r="K35" s="423"/>
      <c r="L35" s="2186"/>
      <c r="M35" s="423"/>
      <c r="N35" s="423"/>
      <c r="O35" s="423"/>
      <c r="P35" s="240"/>
    </row>
    <row r="36" spans="1:16" s="321" customFormat="1" ht="16.2" hidden="1" outlineLevel="1" thickBot="1" x14ac:dyDescent="0.35">
      <c r="A36" s="241" t="s">
        <v>94</v>
      </c>
      <c r="B36" s="423"/>
      <c r="C36" s="423"/>
      <c r="D36" s="423"/>
      <c r="E36" s="423"/>
      <c r="F36" s="619"/>
      <c r="G36" s="619"/>
      <c r="H36" s="423"/>
      <c r="I36" s="2187"/>
      <c r="J36" s="619"/>
      <c r="K36" s="619"/>
      <c r="L36" s="2187"/>
      <c r="M36" s="619"/>
      <c r="N36" s="619"/>
      <c r="O36" s="619"/>
      <c r="P36" s="243"/>
    </row>
    <row r="37" spans="1:16" ht="16.2" hidden="1" outlineLevel="1" thickBot="1" x14ac:dyDescent="0.35">
      <c r="A37" s="238" t="s">
        <v>91</v>
      </c>
      <c r="B37" s="423"/>
      <c r="C37" s="423"/>
      <c r="D37" s="423"/>
      <c r="E37" s="423"/>
      <c r="F37" s="423"/>
      <c r="G37" s="423"/>
      <c r="H37" s="423"/>
      <c r="I37" s="2188"/>
      <c r="J37" s="423"/>
      <c r="K37" s="423"/>
      <c r="L37" s="2188"/>
      <c r="M37" s="423"/>
      <c r="N37" s="423"/>
      <c r="O37" s="423"/>
      <c r="P37" s="240"/>
    </row>
    <row r="38" spans="1:16" hidden="1" outlineLevel="1" x14ac:dyDescent="0.3">
      <c r="A38" s="214" t="s">
        <v>68</v>
      </c>
      <c r="B38" s="423"/>
      <c r="C38" s="423"/>
      <c r="D38" s="423"/>
      <c r="E38" s="423"/>
      <c r="F38" s="423"/>
      <c r="G38" s="423"/>
      <c r="H38" s="423"/>
      <c r="I38" s="2183"/>
      <c r="J38" s="423"/>
      <c r="K38" s="423"/>
      <c r="L38" s="2183"/>
      <c r="M38" s="423"/>
      <c r="N38" s="423"/>
      <c r="O38" s="423"/>
      <c r="P38" s="240"/>
    </row>
    <row r="39" spans="1:16" hidden="1" outlineLevel="1" x14ac:dyDescent="0.3">
      <c r="A39" s="214" t="s">
        <v>69</v>
      </c>
      <c r="B39" s="423"/>
      <c r="C39" s="423"/>
      <c r="D39" s="423"/>
      <c r="E39" s="423"/>
      <c r="F39" s="423"/>
      <c r="G39" s="423"/>
      <c r="H39" s="423"/>
      <c r="I39" s="525"/>
      <c r="J39" s="423"/>
      <c r="K39" s="423"/>
      <c r="L39" s="525"/>
      <c r="M39" s="423"/>
      <c r="N39" s="423"/>
      <c r="O39" s="423"/>
      <c r="P39" s="240"/>
    </row>
    <row r="40" spans="1:16" hidden="1" outlineLevel="1" x14ac:dyDescent="0.3">
      <c r="A40" s="214" t="s">
        <v>70</v>
      </c>
      <c r="B40" s="423"/>
      <c r="C40" s="423"/>
      <c r="D40" s="423"/>
      <c r="E40" s="423"/>
      <c r="F40" s="423"/>
      <c r="G40" s="423"/>
      <c r="H40" s="423"/>
      <c r="I40" s="525"/>
      <c r="J40" s="423"/>
      <c r="K40" s="423"/>
      <c r="L40" s="525"/>
      <c r="M40" s="423"/>
      <c r="N40" s="423"/>
      <c r="O40" s="423"/>
      <c r="P40" s="240"/>
    </row>
    <row r="41" spans="1:16" hidden="1" outlineLevel="1" x14ac:dyDescent="0.3">
      <c r="A41" s="214" t="s">
        <v>85</v>
      </c>
      <c r="B41" s="423"/>
      <c r="C41" s="423"/>
      <c r="D41" s="423"/>
      <c r="E41" s="423"/>
      <c r="F41" s="423"/>
      <c r="G41" s="423"/>
      <c r="H41" s="423"/>
      <c r="I41" s="525"/>
      <c r="J41" s="423"/>
      <c r="K41" s="423"/>
      <c r="L41" s="525"/>
      <c r="M41" s="423"/>
      <c r="N41" s="423"/>
      <c r="O41" s="423"/>
      <c r="P41" s="240"/>
    </row>
    <row r="42" spans="1:16" hidden="1" outlineLevel="1" x14ac:dyDescent="0.3">
      <c r="A42" s="214"/>
      <c r="B42" s="423"/>
      <c r="C42" s="423"/>
      <c r="D42" s="423"/>
      <c r="E42" s="423"/>
      <c r="F42" s="423"/>
      <c r="G42" s="423"/>
      <c r="H42" s="423"/>
      <c r="I42" s="2183"/>
      <c r="J42" s="423"/>
      <c r="K42" s="423"/>
      <c r="L42" s="2183"/>
      <c r="M42" s="423"/>
      <c r="N42" s="423"/>
      <c r="O42" s="423"/>
      <c r="P42" s="240"/>
    </row>
    <row r="43" spans="1:16" hidden="1" outlineLevel="1" x14ac:dyDescent="0.3">
      <c r="A43" s="214"/>
      <c r="B43" s="423"/>
      <c r="C43" s="423"/>
      <c r="D43" s="423"/>
      <c r="E43" s="423"/>
      <c r="F43" s="423"/>
      <c r="G43" s="423"/>
      <c r="H43" s="423"/>
      <c r="I43" s="2183"/>
      <c r="J43" s="423"/>
      <c r="K43" s="423"/>
      <c r="L43" s="2183"/>
      <c r="M43" s="423"/>
      <c r="N43" s="423"/>
      <c r="O43" s="423"/>
      <c r="P43" s="240"/>
    </row>
    <row r="44" spans="1:16" hidden="1" outlineLevel="1" x14ac:dyDescent="0.3">
      <c r="A44" s="214" t="s">
        <v>81</v>
      </c>
      <c r="B44" s="423"/>
      <c r="C44" s="423"/>
      <c r="D44" s="423"/>
      <c r="E44" s="423"/>
      <c r="F44" s="423"/>
      <c r="G44" s="423"/>
      <c r="H44" s="423"/>
      <c r="I44" s="979"/>
      <c r="J44" s="423"/>
      <c r="K44" s="423"/>
      <c r="L44" s="979"/>
      <c r="M44" s="423"/>
      <c r="N44" s="423"/>
      <c r="O44" s="423"/>
      <c r="P44" s="240"/>
    </row>
    <row r="45" spans="1:16" hidden="1" outlineLevel="1" x14ac:dyDescent="0.3">
      <c r="A45" s="214" t="s">
        <v>82</v>
      </c>
      <c r="B45" s="423"/>
      <c r="C45" s="423"/>
      <c r="D45" s="423"/>
      <c r="E45" s="423"/>
      <c r="F45" s="423"/>
      <c r="G45" s="423"/>
      <c r="H45" s="423"/>
      <c r="I45" s="528"/>
      <c r="J45" s="423"/>
      <c r="K45" s="423"/>
      <c r="L45" s="528"/>
      <c r="M45" s="423"/>
      <c r="N45" s="423"/>
      <c r="O45" s="423"/>
      <c r="P45" s="240"/>
    </row>
    <row r="46" spans="1:16" hidden="1" outlineLevel="1" x14ac:dyDescent="0.3">
      <c r="A46" s="214" t="s">
        <v>83</v>
      </c>
      <c r="B46" s="423"/>
      <c r="C46" s="423"/>
      <c r="D46" s="423"/>
      <c r="E46" s="423"/>
      <c r="F46" s="423"/>
      <c r="G46" s="423"/>
      <c r="H46" s="423"/>
      <c r="I46" s="528"/>
      <c r="J46" s="423"/>
      <c r="K46" s="423"/>
      <c r="L46" s="528"/>
      <c r="M46" s="423"/>
      <c r="N46" s="423"/>
      <c r="O46" s="423"/>
      <c r="P46" s="240"/>
    </row>
    <row r="47" spans="1:16" hidden="1" outlineLevel="1" x14ac:dyDescent="0.3">
      <c r="A47" s="241" t="s">
        <v>94</v>
      </c>
      <c r="B47" s="423"/>
      <c r="C47" s="423"/>
      <c r="D47" s="423"/>
      <c r="E47" s="423"/>
      <c r="F47" s="619"/>
      <c r="G47" s="619"/>
      <c r="H47" s="423"/>
      <c r="I47" s="525"/>
      <c r="J47" s="619"/>
      <c r="K47" s="619"/>
      <c r="L47" s="525"/>
      <c r="M47" s="619"/>
      <c r="N47" s="619"/>
      <c r="O47" s="619"/>
      <c r="P47" s="243"/>
    </row>
    <row r="48" spans="1:16" hidden="1" outlineLevel="1" x14ac:dyDescent="0.3">
      <c r="A48" s="214"/>
      <c r="B48" s="423"/>
      <c r="C48" s="423"/>
      <c r="D48" s="423"/>
      <c r="E48" s="423"/>
      <c r="F48" s="423"/>
      <c r="G48" s="423"/>
      <c r="H48" s="423"/>
      <c r="I48" s="525"/>
      <c r="J48" s="423"/>
      <c r="K48" s="423"/>
      <c r="L48" s="525"/>
      <c r="M48" s="423"/>
      <c r="N48" s="423"/>
      <c r="O48" s="423"/>
      <c r="P48" s="240"/>
    </row>
    <row r="49" spans="1:16" hidden="1" outlineLevel="1" x14ac:dyDescent="0.3">
      <c r="A49" s="214"/>
      <c r="B49" s="423"/>
      <c r="C49" s="423"/>
      <c r="D49" s="423"/>
      <c r="E49" s="423"/>
      <c r="F49" s="423"/>
      <c r="G49" s="423"/>
      <c r="H49" s="423"/>
      <c r="I49" s="525"/>
      <c r="J49" s="423"/>
      <c r="K49" s="423"/>
      <c r="L49" s="525"/>
      <c r="M49" s="423"/>
      <c r="N49" s="423"/>
      <c r="O49" s="423"/>
      <c r="P49" s="240"/>
    </row>
    <row r="50" spans="1:16" hidden="1" outlineLevel="1" x14ac:dyDescent="0.3">
      <c r="A50" s="214"/>
      <c r="B50" s="423"/>
      <c r="C50" s="423"/>
      <c r="D50" s="423"/>
      <c r="E50" s="423"/>
      <c r="F50" s="423"/>
      <c r="G50" s="423"/>
      <c r="H50" s="423"/>
      <c r="I50" s="525"/>
      <c r="J50" s="423"/>
      <c r="K50" s="423"/>
      <c r="L50" s="525"/>
      <c r="M50" s="423"/>
      <c r="N50" s="423"/>
      <c r="O50" s="423"/>
      <c r="P50" s="240"/>
    </row>
    <row r="51" spans="1:16" collapsed="1" x14ac:dyDescent="0.3">
      <c r="A51" s="214" t="s">
        <v>68</v>
      </c>
      <c r="B51" s="2027"/>
      <c r="C51" s="2027"/>
      <c r="D51" s="2027"/>
      <c r="E51" s="2027"/>
      <c r="F51" s="578">
        <v>199128000</v>
      </c>
      <c r="G51" s="578">
        <v>197698000</v>
      </c>
      <c r="H51" s="578">
        <v>180870000</v>
      </c>
      <c r="I51" s="525"/>
      <c r="J51" s="578">
        <v>180870000</v>
      </c>
      <c r="K51" s="578">
        <v>139461000</v>
      </c>
      <c r="L51" s="525"/>
      <c r="M51" s="578">
        <v>133591629</v>
      </c>
      <c r="N51" s="578">
        <v>85152259</v>
      </c>
      <c r="O51" s="578">
        <v>73033492</v>
      </c>
      <c r="P51" s="280">
        <v>72761097</v>
      </c>
    </row>
    <row r="52" spans="1:16" x14ac:dyDescent="0.3">
      <c r="A52" s="214" t="s">
        <v>69</v>
      </c>
      <c r="B52" s="2027"/>
      <c r="C52" s="2027"/>
      <c r="D52" s="2027"/>
      <c r="E52" s="2027"/>
      <c r="F52" s="578">
        <v>73281000</v>
      </c>
      <c r="G52" s="578">
        <v>73604000</v>
      </c>
      <c r="H52" s="578">
        <v>69368000</v>
      </c>
      <c r="I52" s="525"/>
      <c r="J52" s="578">
        <v>69368000</v>
      </c>
      <c r="K52" s="578">
        <v>57128000</v>
      </c>
      <c r="L52" s="525"/>
      <c r="M52" s="578">
        <v>52190714</v>
      </c>
      <c r="N52" s="578">
        <v>36736618</v>
      </c>
      <c r="O52" s="578">
        <v>22344290</v>
      </c>
      <c r="P52" s="280">
        <v>21704867</v>
      </c>
    </row>
    <row r="53" spans="1:16" x14ac:dyDescent="0.3">
      <c r="A53" s="214" t="s">
        <v>135</v>
      </c>
      <c r="B53" s="2027"/>
      <c r="C53" s="2027"/>
      <c r="D53" s="2027"/>
      <c r="E53" s="2027"/>
      <c r="F53" s="578">
        <f>F54-SUM(F51:F52)</f>
        <v>78951000</v>
      </c>
      <c r="G53" s="578">
        <f>G54-SUM(G51:G52)</f>
        <v>69272000</v>
      </c>
      <c r="H53" s="578">
        <f>H54-SUM(H51:H52)</f>
        <v>50025000</v>
      </c>
      <c r="I53" s="525"/>
      <c r="J53" s="578">
        <f>J54-SUM(J51:J52)</f>
        <v>23876000</v>
      </c>
      <c r="K53" s="578">
        <f>K54-SUM(K51:K52)</f>
        <v>18157000</v>
      </c>
      <c r="L53" s="525"/>
      <c r="M53" s="578">
        <f>M54-SUM(M51:M52)</f>
        <v>17578994</v>
      </c>
      <c r="N53" s="578">
        <f>N54-SUM(N51:N52)</f>
        <v>14032912</v>
      </c>
      <c r="O53" s="578">
        <f>O54-SUM(O51:O52)</f>
        <v>7733553</v>
      </c>
      <c r="P53" s="280">
        <f>P54-SUM(P51:P52)</f>
        <v>7641358</v>
      </c>
    </row>
    <row r="54" spans="1:16" x14ac:dyDescent="0.3">
      <c r="A54" s="214" t="s">
        <v>78</v>
      </c>
      <c r="B54" s="2180"/>
      <c r="C54" s="2180"/>
      <c r="D54" s="2180"/>
      <c r="E54" s="2180"/>
      <c r="F54" s="579">
        <v>351360000</v>
      </c>
      <c r="G54" s="579">
        <v>340574000</v>
      </c>
      <c r="H54" s="579">
        <v>300263000</v>
      </c>
      <c r="I54" s="525"/>
      <c r="J54" s="579">
        <v>274114000</v>
      </c>
      <c r="K54" s="579">
        <v>214746000</v>
      </c>
      <c r="L54" s="525"/>
      <c r="M54" s="579">
        <v>203361337</v>
      </c>
      <c r="N54" s="579">
        <v>135921789</v>
      </c>
      <c r="O54" s="579">
        <v>103111335</v>
      </c>
      <c r="P54" s="580">
        <v>102107322</v>
      </c>
    </row>
    <row r="55" spans="1:16" x14ac:dyDescent="0.3">
      <c r="A55" s="214"/>
      <c r="B55" s="423"/>
      <c r="C55" s="423"/>
      <c r="D55" s="423"/>
      <c r="E55" s="423"/>
      <c r="F55" s="423"/>
      <c r="G55" s="423"/>
      <c r="H55" s="423"/>
      <c r="I55" s="528"/>
      <c r="J55" s="423"/>
      <c r="K55" s="423"/>
      <c r="L55" s="528"/>
      <c r="M55" s="423"/>
      <c r="N55" s="423"/>
      <c r="O55" s="423"/>
      <c r="P55" s="240"/>
    </row>
    <row r="56" spans="1:16" s="285" customFormat="1" hidden="1" outlineLevel="1" x14ac:dyDescent="0.3">
      <c r="A56" s="245" t="s">
        <v>111</v>
      </c>
      <c r="B56" s="620"/>
      <c r="C56" s="620"/>
      <c r="D56" s="620"/>
      <c r="E56" s="620"/>
      <c r="F56" s="620"/>
      <c r="G56" s="620"/>
      <c r="H56" s="620"/>
      <c r="I56" s="528"/>
      <c r="J56" s="621">
        <v>5500000</v>
      </c>
      <c r="K56" s="621">
        <v>5500000</v>
      </c>
      <c r="L56" s="528"/>
      <c r="M56" s="621">
        <v>5500000</v>
      </c>
      <c r="N56" s="621">
        <v>5500000</v>
      </c>
      <c r="O56" s="621">
        <v>5500000</v>
      </c>
      <c r="P56" s="246">
        <v>5500000</v>
      </c>
    </row>
    <row r="57" spans="1:16" s="285" customFormat="1" hidden="1" outlineLevel="1" x14ac:dyDescent="0.3">
      <c r="A57" s="245" t="s">
        <v>112</v>
      </c>
      <c r="B57" s="620"/>
      <c r="C57" s="620"/>
      <c r="D57" s="620"/>
      <c r="E57" s="620"/>
      <c r="F57" s="620"/>
      <c r="G57" s="620"/>
      <c r="H57" s="620"/>
      <c r="I57" s="525"/>
      <c r="J57" s="621">
        <v>2500000</v>
      </c>
      <c r="K57" s="621">
        <v>2500000</v>
      </c>
      <c r="L57" s="525"/>
      <c r="M57" s="621">
        <v>2500000</v>
      </c>
      <c r="N57" s="621">
        <v>2500000</v>
      </c>
      <c r="O57" s="621">
        <v>2500000</v>
      </c>
      <c r="P57" s="246">
        <v>2500000</v>
      </c>
    </row>
    <row r="58" spans="1:16" s="285" customFormat="1" hidden="1" outlineLevel="1" x14ac:dyDescent="0.3">
      <c r="A58" s="245" t="s">
        <v>352</v>
      </c>
      <c r="B58" s="620"/>
      <c r="C58" s="620"/>
      <c r="D58" s="620"/>
      <c r="E58" s="620"/>
      <c r="F58" s="620"/>
      <c r="G58" s="620"/>
      <c r="H58" s="620"/>
      <c r="I58" s="525"/>
      <c r="J58" s="621">
        <v>2000000</v>
      </c>
      <c r="K58" s="621">
        <v>2000000</v>
      </c>
      <c r="L58" s="525"/>
      <c r="M58" s="620"/>
      <c r="N58" s="620"/>
      <c r="O58" s="620"/>
      <c r="P58" s="601"/>
    </row>
    <row r="59" spans="1:16" s="285" customFormat="1" hidden="1" outlineLevel="1" x14ac:dyDescent="0.3">
      <c r="A59" s="245" t="s">
        <v>113</v>
      </c>
      <c r="B59" s="620"/>
      <c r="C59" s="620"/>
      <c r="D59" s="620"/>
      <c r="E59" s="620"/>
      <c r="F59" s="620"/>
      <c r="G59" s="620"/>
      <c r="H59" s="620"/>
      <c r="I59" s="528"/>
      <c r="J59" s="621">
        <v>24457000</v>
      </c>
      <c r="K59" s="621">
        <v>24457000</v>
      </c>
      <c r="L59" s="528"/>
      <c r="M59" s="621">
        <v>20601250</v>
      </c>
      <c r="N59" s="621">
        <v>20601250</v>
      </c>
      <c r="O59" s="621">
        <v>20601250</v>
      </c>
      <c r="P59" s="246">
        <v>20601250</v>
      </c>
    </row>
    <row r="60" spans="1:16" s="285" customFormat="1" hidden="1" outlineLevel="1" x14ac:dyDescent="0.3">
      <c r="A60" s="245" t="s">
        <v>114</v>
      </c>
      <c r="B60" s="620"/>
      <c r="C60" s="620"/>
      <c r="D60" s="620"/>
      <c r="E60" s="620"/>
      <c r="F60" s="620"/>
      <c r="G60" s="620"/>
      <c r="H60" s="620"/>
      <c r="I60" s="528"/>
      <c r="J60" s="621">
        <v>108694000</v>
      </c>
      <c r="K60" s="621">
        <v>84041000</v>
      </c>
      <c r="L60" s="528"/>
      <c r="M60" s="621">
        <v>81268711</v>
      </c>
      <c r="N60" s="621">
        <v>59861291</v>
      </c>
      <c r="O60" s="621">
        <v>42345920</v>
      </c>
      <c r="P60" s="246">
        <v>41629650</v>
      </c>
    </row>
    <row r="61" spans="1:16" s="285" customFormat="1" ht="31.2" hidden="1" outlineLevel="1" x14ac:dyDescent="0.3">
      <c r="A61" s="602" t="s">
        <v>360</v>
      </c>
      <c r="B61" s="621"/>
      <c r="C61" s="621"/>
      <c r="D61" s="621"/>
      <c r="E61" s="621"/>
      <c r="F61" s="621">
        <v>135010000</v>
      </c>
      <c r="G61" s="621">
        <v>108913000</v>
      </c>
      <c r="H61" s="621">
        <v>61014000</v>
      </c>
      <c r="I61" s="528"/>
      <c r="J61" s="620"/>
      <c r="K61" s="620"/>
      <c r="L61" s="528"/>
      <c r="M61" s="620"/>
      <c r="N61" s="620"/>
      <c r="O61" s="620"/>
      <c r="P61" s="601"/>
    </row>
    <row r="62" spans="1:16" s="285" customFormat="1" hidden="1" outlineLevel="1" x14ac:dyDescent="0.3">
      <c r="A62" s="245" t="s">
        <v>361</v>
      </c>
      <c r="B62" s="621"/>
      <c r="C62" s="621"/>
      <c r="D62" s="621"/>
      <c r="E62" s="621"/>
      <c r="F62" s="621">
        <v>243303000</v>
      </c>
      <c r="G62" s="621">
        <v>173934000</v>
      </c>
      <c r="H62" s="621">
        <v>143151000</v>
      </c>
      <c r="I62" s="528"/>
      <c r="J62" s="620"/>
      <c r="K62" s="620"/>
      <c r="L62" s="528"/>
      <c r="M62" s="620"/>
      <c r="N62" s="620"/>
      <c r="O62" s="620"/>
      <c r="P62" s="601"/>
    </row>
    <row r="63" spans="1:16" collapsed="1" x14ac:dyDescent="0.3">
      <c r="A63" s="214" t="s">
        <v>746</v>
      </c>
      <c r="B63" s="2027"/>
      <c r="C63" s="2027"/>
      <c r="D63" s="2027"/>
      <c r="E63" s="2027"/>
      <c r="F63" s="575">
        <f>F61+F62</f>
        <v>378313000</v>
      </c>
      <c r="G63" s="575">
        <f>G61+G62</f>
        <v>282847000</v>
      </c>
      <c r="H63" s="575">
        <f>H61+H62</f>
        <v>204165000</v>
      </c>
      <c r="I63" s="576"/>
      <c r="J63" s="575">
        <v>143151000</v>
      </c>
      <c r="K63" s="575">
        <v>118498000</v>
      </c>
      <c r="L63" s="576"/>
      <c r="M63" s="575">
        <v>109869961</v>
      </c>
      <c r="N63" s="575">
        <v>88462541</v>
      </c>
      <c r="O63" s="575">
        <v>70947170</v>
      </c>
      <c r="P63" s="247">
        <v>70230900</v>
      </c>
    </row>
    <row r="64" spans="1:16" x14ac:dyDescent="0.3">
      <c r="A64" s="214"/>
      <c r="B64" s="423"/>
      <c r="C64" s="423"/>
      <c r="D64" s="423"/>
      <c r="E64" s="423"/>
      <c r="F64" s="423"/>
      <c r="G64" s="423"/>
      <c r="H64" s="423"/>
      <c r="I64" s="528"/>
      <c r="J64" s="423"/>
      <c r="K64" s="423"/>
      <c r="L64" s="528"/>
      <c r="M64" s="423"/>
      <c r="N64" s="423"/>
      <c r="O64" s="423"/>
      <c r="P64" s="240"/>
    </row>
    <row r="65" spans="1:19" s="322" customFormat="1" x14ac:dyDescent="0.3">
      <c r="A65" s="214" t="s">
        <v>283</v>
      </c>
      <c r="B65" s="575">
        <v>253200000</v>
      </c>
      <c r="C65" s="575">
        <v>231300000</v>
      </c>
      <c r="D65" s="575">
        <v>220600000</v>
      </c>
      <c r="E65" s="575">
        <v>228400000</v>
      </c>
      <c r="F65" s="575">
        <v>237000000</v>
      </c>
      <c r="G65" s="575">
        <v>227300000</v>
      </c>
      <c r="H65" s="575">
        <v>190400000</v>
      </c>
      <c r="I65" s="528"/>
      <c r="J65" s="575">
        <v>190400000</v>
      </c>
      <c r="K65" s="575">
        <v>139000000</v>
      </c>
      <c r="L65" s="528"/>
      <c r="M65" s="575">
        <v>139000000</v>
      </c>
      <c r="N65" s="575">
        <v>102600000</v>
      </c>
      <c r="O65" s="575">
        <v>87600000</v>
      </c>
      <c r="P65" s="247">
        <v>79100000</v>
      </c>
    </row>
    <row r="66" spans="1:19" ht="16.2" thickBot="1" x14ac:dyDescent="0.35">
      <c r="A66" s="224"/>
      <c r="B66" s="218"/>
      <c r="C66" s="218"/>
      <c r="D66" s="218"/>
      <c r="E66" s="218"/>
      <c r="F66" s="218"/>
      <c r="G66" s="218"/>
      <c r="H66" s="218"/>
      <c r="I66" s="2188"/>
      <c r="J66" s="623"/>
      <c r="K66" s="623"/>
      <c r="L66" s="2188"/>
      <c r="M66" s="623"/>
      <c r="N66" s="218"/>
      <c r="O66" s="218"/>
      <c r="P66" s="219"/>
    </row>
    <row r="67" spans="1:19" x14ac:dyDescent="0.3">
      <c r="A67" s="410" t="s">
        <v>2883</v>
      </c>
      <c r="B67" s="211"/>
      <c r="C67" s="211"/>
      <c r="D67" s="211"/>
      <c r="E67" s="211"/>
      <c r="F67" s="211"/>
      <c r="G67" s="211"/>
      <c r="H67" s="211"/>
      <c r="I67" s="549"/>
      <c r="J67" s="211"/>
      <c r="K67" s="211"/>
      <c r="L67" s="549"/>
      <c r="M67" s="211"/>
      <c r="N67" s="211"/>
      <c r="O67" s="211"/>
    </row>
    <row r="68" spans="1:19" x14ac:dyDescent="0.3">
      <c r="B68" s="227"/>
      <c r="C68" s="227"/>
      <c r="D68" s="227"/>
      <c r="E68" s="227"/>
      <c r="F68" s="227"/>
      <c r="G68" s="227"/>
      <c r="H68" s="252"/>
      <c r="I68" s="549"/>
      <c r="J68" s="227"/>
      <c r="K68" s="227"/>
      <c r="L68" s="549"/>
      <c r="M68" s="227"/>
      <c r="N68" s="227"/>
      <c r="O68" s="227"/>
      <c r="P68" s="227"/>
    </row>
    <row r="69" spans="1:19" s="372" customFormat="1" x14ac:dyDescent="0.3">
      <c r="B69" s="624"/>
      <c r="C69" s="624"/>
      <c r="D69" s="624"/>
      <c r="E69" s="624"/>
      <c r="F69" s="624"/>
      <c r="G69" s="624"/>
      <c r="H69" s="625"/>
      <c r="I69" s="626"/>
      <c r="J69" s="624"/>
      <c r="K69" s="624"/>
      <c r="L69" s="626"/>
      <c r="M69" s="624"/>
      <c r="N69" s="624"/>
      <c r="O69" s="624"/>
      <c r="P69" s="624"/>
    </row>
    <row r="70" spans="1:19" x14ac:dyDescent="0.3">
      <c r="A70" s="459" t="s">
        <v>1332</v>
      </c>
      <c r="B70" s="227"/>
      <c r="C70" s="227"/>
      <c r="D70" s="227"/>
      <c r="E70" s="227"/>
      <c r="F70" s="227"/>
      <c r="G70" s="227"/>
      <c r="H70" s="252"/>
      <c r="I70" s="549"/>
      <c r="J70" s="227"/>
      <c r="K70" s="227"/>
      <c r="L70" s="549"/>
      <c r="M70" s="227"/>
      <c r="N70" s="227"/>
      <c r="O70" s="227"/>
      <c r="P70" s="227"/>
    </row>
    <row r="71" spans="1:19" x14ac:dyDescent="0.3">
      <c r="A71" s="152" t="s">
        <v>1379</v>
      </c>
      <c r="B71" s="227"/>
      <c r="C71" s="227"/>
      <c r="D71" s="227"/>
      <c r="E71" s="227"/>
      <c r="F71" s="227"/>
      <c r="G71" s="227"/>
      <c r="H71" s="252"/>
      <c r="I71" s="549"/>
      <c r="J71" s="227"/>
      <c r="K71" s="227"/>
      <c r="L71" s="549"/>
      <c r="M71" s="227"/>
      <c r="N71" s="227"/>
      <c r="O71" s="227"/>
      <c r="P71" s="227"/>
    </row>
    <row r="72" spans="1:19" ht="9" customHeight="1" thickBot="1" x14ac:dyDescent="0.35">
      <c r="B72" s="227"/>
      <c r="C72" s="227"/>
      <c r="D72" s="227"/>
      <c r="E72" s="227"/>
      <c r="F72" s="227"/>
      <c r="G72" s="227"/>
      <c r="H72" s="252"/>
      <c r="I72" s="549"/>
      <c r="J72" s="227"/>
      <c r="K72" s="227"/>
      <c r="L72" s="549"/>
      <c r="M72" s="227"/>
      <c r="N72" s="227"/>
      <c r="O72" s="227"/>
      <c r="P72" s="227"/>
    </row>
    <row r="73" spans="1:19" x14ac:dyDescent="0.3">
      <c r="A73" s="212"/>
      <c r="B73" s="522"/>
      <c r="C73" s="522"/>
      <c r="D73" s="522"/>
      <c r="E73" s="522"/>
      <c r="F73" s="522"/>
      <c r="G73" s="522"/>
      <c r="H73" s="523" t="s">
        <v>310</v>
      </c>
      <c r="I73" s="2181"/>
      <c r="J73" s="522"/>
      <c r="K73" s="523" t="s">
        <v>310</v>
      </c>
      <c r="L73" s="2181"/>
      <c r="M73" s="522"/>
      <c r="N73" s="522"/>
      <c r="O73" s="522"/>
      <c r="P73" s="389"/>
    </row>
    <row r="74" spans="1:19" ht="17.399999999999999" x14ac:dyDescent="0.45">
      <c r="A74" s="221" t="s">
        <v>1204</v>
      </c>
      <c r="B74" s="629">
        <v>1984</v>
      </c>
      <c r="C74" s="629">
        <v>1983</v>
      </c>
      <c r="D74" s="629">
        <v>1982</v>
      </c>
      <c r="E74" s="629">
        <v>1981</v>
      </c>
      <c r="F74" s="629">
        <v>1980</v>
      </c>
      <c r="G74" s="629">
        <v>1979</v>
      </c>
      <c r="H74" s="629">
        <v>1978</v>
      </c>
      <c r="I74" s="2190"/>
      <c r="J74" s="629">
        <v>1978</v>
      </c>
      <c r="K74" s="629">
        <v>1977</v>
      </c>
      <c r="L74" s="2190"/>
      <c r="M74" s="629">
        <v>1977</v>
      </c>
      <c r="N74" s="629">
        <v>1976</v>
      </c>
      <c r="O74" s="629">
        <v>1975</v>
      </c>
      <c r="P74" s="631">
        <v>1974</v>
      </c>
    </row>
    <row r="75" spans="1:19" x14ac:dyDescent="0.3">
      <c r="A75" s="214" t="s">
        <v>109</v>
      </c>
      <c r="B75" s="627">
        <v>133558000</v>
      </c>
      <c r="C75" s="627">
        <v>149849000</v>
      </c>
      <c r="D75" s="627">
        <v>149091000</v>
      </c>
      <c r="E75" s="627">
        <v>148000000</v>
      </c>
      <c r="F75" s="627">
        <v>184864000</v>
      </c>
      <c r="G75" s="627">
        <v>186185000</v>
      </c>
      <c r="H75" s="627">
        <f>J75</f>
        <v>198313000</v>
      </c>
      <c r="I75" s="2191"/>
      <c r="J75" s="627">
        <v>198313000</v>
      </c>
      <c r="K75" s="627">
        <v>158704000</v>
      </c>
      <c r="L75" s="2191"/>
      <c r="M75" s="627">
        <v>151083136</v>
      </c>
      <c r="N75" s="627">
        <v>94772915</v>
      </c>
      <c r="O75" s="627">
        <v>58975130</v>
      </c>
      <c r="P75" s="628">
        <v>60996616</v>
      </c>
    </row>
    <row r="76" spans="1:19" x14ac:dyDescent="0.3">
      <c r="A76" s="214" t="s">
        <v>101</v>
      </c>
      <c r="B76" s="591">
        <v>140242000</v>
      </c>
      <c r="C76" s="591">
        <v>152480000</v>
      </c>
      <c r="D76" s="591">
        <v>152945000</v>
      </c>
      <c r="E76" s="591">
        <v>159013000</v>
      </c>
      <c r="F76" s="591">
        <v>185187000</v>
      </c>
      <c r="G76" s="591">
        <v>181950000</v>
      </c>
      <c r="H76" s="591">
        <v>186073000</v>
      </c>
      <c r="I76" s="2192"/>
      <c r="J76" s="591">
        <v>186073000</v>
      </c>
      <c r="K76" s="591">
        <v>143088000</v>
      </c>
      <c r="L76" s="2192"/>
      <c r="M76" s="591">
        <v>136890470</v>
      </c>
      <c r="N76" s="591">
        <v>80780074</v>
      </c>
      <c r="O76" s="591">
        <v>58335706</v>
      </c>
      <c r="P76" s="586">
        <v>60573729</v>
      </c>
    </row>
    <row r="77" spans="1:19" x14ac:dyDescent="0.3">
      <c r="A77" s="214" t="s">
        <v>100</v>
      </c>
      <c r="B77" s="591">
        <v>141550000</v>
      </c>
      <c r="C77" s="591">
        <v>134109000</v>
      </c>
      <c r="D77" s="591">
        <v>121996000</v>
      </c>
      <c r="E77" s="591">
        <v>103416000</v>
      </c>
      <c r="F77" s="591">
        <v>118230000</v>
      </c>
      <c r="G77" s="591">
        <v>120338000</v>
      </c>
      <c r="H77" s="591">
        <f>J77</f>
        <v>132263000</v>
      </c>
      <c r="I77" s="2192"/>
      <c r="J77" s="591">
        <f>108642000+23621000</f>
        <v>132263000</v>
      </c>
      <c r="K77" s="591">
        <f>81463000+15406000</f>
        <v>96869000</v>
      </c>
      <c r="L77" s="2192"/>
      <c r="M77" s="591">
        <f>76762779+14822279</f>
        <v>91585058</v>
      </c>
      <c r="N77" s="591">
        <f>44609702+10766719</f>
        <v>55376421</v>
      </c>
      <c r="O77" s="591">
        <f>39285324+7952413</f>
        <v>47237737</v>
      </c>
      <c r="P77" s="586">
        <v>47119846</v>
      </c>
    </row>
    <row r="78" spans="1:19" x14ac:dyDescent="0.3">
      <c r="A78" s="214" t="s">
        <v>102</v>
      </c>
      <c r="B78" s="591">
        <v>46752000</v>
      </c>
      <c r="C78" s="591">
        <v>52243000</v>
      </c>
      <c r="D78" s="591">
        <v>52508000</v>
      </c>
      <c r="E78" s="591">
        <v>54119000</v>
      </c>
      <c r="F78" s="591">
        <v>60219000</v>
      </c>
      <c r="G78" s="591">
        <v>57870000</v>
      </c>
      <c r="H78" s="591">
        <f>J78</f>
        <v>50809000</v>
      </c>
      <c r="I78" s="2192"/>
      <c r="J78" s="591">
        <v>50809000</v>
      </c>
      <c r="K78" s="591">
        <v>40418000</v>
      </c>
      <c r="L78" s="2192"/>
      <c r="M78" s="591">
        <v>39121500</v>
      </c>
      <c r="N78" s="591">
        <v>24694390</v>
      </c>
      <c r="O78" s="591">
        <v>21744891</v>
      </c>
      <c r="P78" s="586">
        <v>20345744</v>
      </c>
    </row>
    <row r="79" spans="1:19" x14ac:dyDescent="0.3">
      <c r="A79" s="214" t="s">
        <v>103</v>
      </c>
      <c r="B79" s="636">
        <f t="shared" ref="B79:G79" si="0">B77+B78</f>
        <v>188302000</v>
      </c>
      <c r="C79" s="636">
        <f t="shared" si="0"/>
        <v>186352000</v>
      </c>
      <c r="D79" s="636">
        <f t="shared" si="0"/>
        <v>174504000</v>
      </c>
      <c r="E79" s="636">
        <f t="shared" si="0"/>
        <v>157535000</v>
      </c>
      <c r="F79" s="636">
        <f t="shared" si="0"/>
        <v>178449000</v>
      </c>
      <c r="G79" s="636">
        <f t="shared" si="0"/>
        <v>178208000</v>
      </c>
      <c r="H79" s="636">
        <f t="shared" ref="H79:M79" si="1">H77+H78</f>
        <v>183072000</v>
      </c>
      <c r="I79" s="2192"/>
      <c r="J79" s="636">
        <f t="shared" si="1"/>
        <v>183072000</v>
      </c>
      <c r="K79" s="636">
        <f t="shared" ref="K79" si="2">K77+K78</f>
        <v>137287000</v>
      </c>
      <c r="L79" s="2192"/>
      <c r="M79" s="636">
        <f t="shared" si="1"/>
        <v>130706558</v>
      </c>
      <c r="N79" s="636">
        <f t="shared" ref="N79:O79" si="3">N77+N78</f>
        <v>80070811</v>
      </c>
      <c r="O79" s="636">
        <f t="shared" si="3"/>
        <v>68982628</v>
      </c>
      <c r="P79" s="637">
        <f t="shared" ref="P79" si="4">P77+P78</f>
        <v>67465590</v>
      </c>
    </row>
    <row r="80" spans="1:19" x14ac:dyDescent="0.3">
      <c r="A80" s="214" t="s">
        <v>104</v>
      </c>
      <c r="B80" s="638">
        <f>B76-B79</f>
        <v>-48060000</v>
      </c>
      <c r="C80" s="638">
        <f>C76-C79</f>
        <v>-33872000</v>
      </c>
      <c r="D80" s="638">
        <f>D76-D79</f>
        <v>-21559000</v>
      </c>
      <c r="E80" s="638">
        <f t="shared" ref="E80:F80" si="5">E76-E79</f>
        <v>1478000</v>
      </c>
      <c r="F80" s="638">
        <f t="shared" si="5"/>
        <v>6738000</v>
      </c>
      <c r="G80" s="638">
        <f>G76-G79</f>
        <v>3742000</v>
      </c>
      <c r="H80" s="638">
        <f t="shared" ref="H80" si="6">H76-H79</f>
        <v>3001000</v>
      </c>
      <c r="I80" s="2192"/>
      <c r="J80" s="638">
        <f t="shared" ref="J80:M80" si="7">J76-J79</f>
        <v>3001000</v>
      </c>
      <c r="K80" s="638">
        <f t="shared" ref="K80" si="8">K76-K79</f>
        <v>5801000</v>
      </c>
      <c r="L80" s="2192"/>
      <c r="M80" s="638">
        <f t="shared" si="7"/>
        <v>6183912</v>
      </c>
      <c r="N80" s="638">
        <f t="shared" ref="N80:O80" si="9">N76-N79</f>
        <v>709263</v>
      </c>
      <c r="O80" s="638">
        <f t="shared" si="9"/>
        <v>-10646922</v>
      </c>
      <c r="P80" s="639">
        <f t="shared" ref="P80" si="10">P76-P79</f>
        <v>-6891861</v>
      </c>
      <c r="R80" s="239">
        <f>SUM(M80:O80)</f>
        <v>-3753747</v>
      </c>
      <c r="S80" s="604">
        <f>SUM('3. Insurance'!B127:H127)</f>
        <v>2205557</v>
      </c>
    </row>
    <row r="81" spans="1:19" x14ac:dyDescent="0.3">
      <c r="A81" s="214"/>
      <c r="B81" s="591"/>
      <c r="C81" s="591"/>
      <c r="D81" s="591"/>
      <c r="E81" s="591"/>
      <c r="F81" s="591"/>
      <c r="G81" s="591"/>
      <c r="H81" s="591"/>
      <c r="I81" s="2192"/>
      <c r="J81" s="591"/>
      <c r="K81" s="591"/>
      <c r="L81" s="2192"/>
      <c r="M81" s="591"/>
      <c r="N81" s="591"/>
      <c r="O81" s="591"/>
      <c r="P81" s="586"/>
    </row>
    <row r="82" spans="1:19" x14ac:dyDescent="0.3">
      <c r="A82" s="214" t="s">
        <v>108</v>
      </c>
      <c r="B82" s="591">
        <v>68903000</v>
      </c>
      <c r="C82" s="591">
        <v>43810000</v>
      </c>
      <c r="D82" s="591">
        <v>41620000</v>
      </c>
      <c r="E82" s="591">
        <v>38823000</v>
      </c>
      <c r="F82" s="591">
        <v>30939000</v>
      </c>
      <c r="G82" s="591">
        <v>24224000</v>
      </c>
      <c r="H82" s="591">
        <v>19705000</v>
      </c>
      <c r="I82" s="2192"/>
      <c r="J82" s="591">
        <v>19705000</v>
      </c>
      <c r="K82" s="591">
        <v>12804000</v>
      </c>
      <c r="L82" s="2192"/>
      <c r="M82" s="591">
        <v>12281530</v>
      </c>
      <c r="N82" s="591">
        <v>10437815</v>
      </c>
      <c r="O82" s="591">
        <v>8441307</v>
      </c>
      <c r="P82" s="586">
        <v>7879820</v>
      </c>
      <c r="R82" s="239">
        <f>SUM(K82:P82)-M82</f>
        <v>39562942</v>
      </c>
      <c r="S82" s="211">
        <f>SUM('3. Insurance'!B129:H129)</f>
        <v>33287845</v>
      </c>
    </row>
    <row r="83" spans="1:19" ht="31.2" x14ac:dyDescent="0.3">
      <c r="A83" s="282" t="s">
        <v>365</v>
      </c>
      <c r="B83" s="638">
        <f>B80+B82</f>
        <v>20843000</v>
      </c>
      <c r="C83" s="638">
        <f>C80+C82</f>
        <v>9938000</v>
      </c>
      <c r="D83" s="638">
        <f>D80+D82</f>
        <v>20061000</v>
      </c>
      <c r="E83" s="638">
        <f>E80+E82</f>
        <v>40301000</v>
      </c>
      <c r="F83" s="638">
        <f t="shared" ref="F83:M83" si="11">F80+F82</f>
        <v>37677000</v>
      </c>
      <c r="G83" s="638">
        <f t="shared" si="11"/>
        <v>27966000</v>
      </c>
      <c r="H83" s="638">
        <f t="shared" si="11"/>
        <v>22706000</v>
      </c>
      <c r="I83" s="2192"/>
      <c r="J83" s="638">
        <f t="shared" si="11"/>
        <v>22706000</v>
      </c>
      <c r="K83" s="638">
        <f t="shared" si="11"/>
        <v>18605000</v>
      </c>
      <c r="L83" s="2192"/>
      <c r="M83" s="638">
        <f t="shared" si="11"/>
        <v>18465442</v>
      </c>
      <c r="N83" s="638">
        <f t="shared" ref="N83" si="12">N80+N82</f>
        <v>11147078</v>
      </c>
      <c r="O83" s="638">
        <f>O80+O82</f>
        <v>-2205615</v>
      </c>
      <c r="P83" s="639">
        <f t="shared" ref="P83" si="13">P80+P82</f>
        <v>987959</v>
      </c>
    </row>
    <row r="84" spans="1:19" x14ac:dyDescent="0.3">
      <c r="A84" s="214"/>
      <c r="B84" s="591"/>
      <c r="C84" s="591"/>
      <c r="D84" s="591"/>
      <c r="E84" s="591"/>
      <c r="F84" s="591"/>
      <c r="G84" s="591"/>
      <c r="H84" s="591"/>
      <c r="I84" s="2192"/>
      <c r="J84" s="591"/>
      <c r="K84" s="591"/>
      <c r="L84" s="2192"/>
      <c r="M84" s="591"/>
      <c r="N84" s="591"/>
      <c r="O84" s="591"/>
      <c r="P84" s="586"/>
    </row>
    <row r="85" spans="1:19" ht="31.2" x14ac:dyDescent="0.3">
      <c r="A85" s="282" t="s">
        <v>349</v>
      </c>
      <c r="B85" s="654"/>
      <c r="C85" s="654"/>
      <c r="D85" s="654"/>
      <c r="E85" s="654"/>
      <c r="F85" s="641">
        <v>10588000</v>
      </c>
      <c r="G85" s="641">
        <v>6241000</v>
      </c>
      <c r="H85" s="641">
        <v>8873000</v>
      </c>
      <c r="I85" s="2192"/>
      <c r="J85" s="641">
        <v>8873000</v>
      </c>
      <c r="K85" s="641">
        <v>4917000</v>
      </c>
      <c r="L85" s="2192"/>
      <c r="M85" s="641">
        <v>4820484</v>
      </c>
      <c r="N85" s="641">
        <v>7042849</v>
      </c>
      <c r="O85" s="641">
        <v>-2022027</v>
      </c>
      <c r="P85" s="642">
        <v>-1340415</v>
      </c>
      <c r="R85" s="239">
        <f>SUM(K85:P85)-M85</f>
        <v>8597407</v>
      </c>
      <c r="S85" s="211">
        <f>SUM('3. Insurance'!B130:H130)</f>
        <v>1924916</v>
      </c>
    </row>
    <row r="86" spans="1:19" x14ac:dyDescent="0.3">
      <c r="A86" s="214" t="s">
        <v>63</v>
      </c>
      <c r="B86" s="635"/>
      <c r="C86" s="635"/>
      <c r="D86" s="635"/>
      <c r="E86" s="635"/>
      <c r="F86" s="591">
        <v>4488000</v>
      </c>
      <c r="G86" s="591">
        <v>3960000</v>
      </c>
      <c r="H86" s="591">
        <v>3230000</v>
      </c>
      <c r="I86" s="2193"/>
      <c r="J86" s="591">
        <v>3230000</v>
      </c>
      <c r="K86" s="591">
        <v>3852000</v>
      </c>
      <c r="L86" s="2193"/>
      <c r="M86" s="591">
        <v>3134005</v>
      </c>
      <c r="N86" s="591">
        <v>1637465</v>
      </c>
      <c r="O86" s="591">
        <v>1140953</v>
      </c>
      <c r="P86" s="586">
        <v>791985</v>
      </c>
    </row>
    <row r="87" spans="1:19" x14ac:dyDescent="0.3">
      <c r="A87" s="214"/>
      <c r="B87" s="234"/>
      <c r="C87" s="234"/>
      <c r="D87" s="234"/>
      <c r="E87" s="234"/>
      <c r="F87" s="234"/>
      <c r="G87" s="234"/>
      <c r="H87" s="234"/>
      <c r="I87" s="2194"/>
      <c r="J87" s="234"/>
      <c r="K87" s="234"/>
      <c r="L87" s="2194"/>
      <c r="M87" s="234"/>
      <c r="N87" s="234"/>
      <c r="O87" s="234"/>
      <c r="P87" s="237"/>
    </row>
    <row r="88" spans="1:19" s="152" customFormat="1" ht="16.2" thickBot="1" x14ac:dyDescent="0.35">
      <c r="A88" s="214" t="s">
        <v>0</v>
      </c>
      <c r="B88" s="2189"/>
      <c r="C88" s="2189"/>
      <c r="D88" s="2189"/>
      <c r="E88" s="2189"/>
      <c r="F88" s="644">
        <v>47899000</v>
      </c>
      <c r="G88" s="644">
        <v>32763000</v>
      </c>
      <c r="H88" s="644">
        <v>30128000</v>
      </c>
      <c r="I88" s="2191"/>
      <c r="J88" s="644">
        <v>30128000</v>
      </c>
      <c r="K88" s="644">
        <v>24614000</v>
      </c>
      <c r="L88" s="2191"/>
      <c r="M88" s="644">
        <v>23407420</v>
      </c>
      <c r="N88" s="644">
        <v>18515371</v>
      </c>
      <c r="O88" s="644">
        <v>716270</v>
      </c>
      <c r="P88" s="645">
        <v>2528582</v>
      </c>
      <c r="R88" s="239">
        <f>SUM(M88:O88)</f>
        <v>42639061</v>
      </c>
      <c r="S88" s="604">
        <f>SUM('3. Insurance'!B132:H132)</f>
        <v>33745737</v>
      </c>
    </row>
    <row r="89" spans="1:19" ht="13.5" customHeight="1" thickTop="1" thickBot="1" x14ac:dyDescent="0.35">
      <c r="A89" s="224"/>
      <c r="B89" s="323"/>
      <c r="C89" s="323"/>
      <c r="D89" s="323"/>
      <c r="E89" s="323"/>
      <c r="F89" s="323"/>
      <c r="G89" s="323"/>
      <c r="H89" s="323"/>
      <c r="I89" s="2195"/>
      <c r="J89" s="323"/>
      <c r="K89" s="323"/>
      <c r="L89" s="2195"/>
      <c r="M89" s="323"/>
      <c r="N89" s="323"/>
      <c r="O89" s="323"/>
      <c r="P89" s="324"/>
    </row>
    <row r="90" spans="1:19" x14ac:dyDescent="0.3">
      <c r="A90" s="12" t="s">
        <v>1370</v>
      </c>
      <c r="B90" s="230"/>
      <c r="C90" s="230"/>
      <c r="D90" s="230"/>
      <c r="E90" s="230"/>
      <c r="F90" s="230"/>
      <c r="G90" s="230"/>
      <c r="H90" s="230"/>
      <c r="I90" s="646"/>
      <c r="J90" s="646"/>
      <c r="K90" s="646"/>
      <c r="L90" s="646"/>
      <c r="M90" s="230"/>
      <c r="N90" s="230"/>
      <c r="O90" s="230"/>
      <c r="P90" s="230"/>
    </row>
    <row r="91" spans="1:19" x14ac:dyDescent="0.3">
      <c r="B91" s="230"/>
      <c r="C91" s="230"/>
      <c r="D91" s="230"/>
      <c r="E91" s="230"/>
      <c r="F91" s="230"/>
      <c r="G91" s="230"/>
      <c r="H91" s="230"/>
      <c r="I91" s="646"/>
      <c r="J91" s="646"/>
      <c r="K91" s="646"/>
      <c r="L91" s="646"/>
      <c r="M91" s="230"/>
      <c r="N91" s="230"/>
      <c r="O91" s="230"/>
      <c r="P91" s="230"/>
    </row>
    <row r="92" spans="1:19" x14ac:dyDescent="0.3">
      <c r="A92" s="658"/>
      <c r="B92" s="659"/>
      <c r="C92" s="659"/>
      <c r="D92" s="659"/>
      <c r="E92" s="659"/>
      <c r="F92" s="659"/>
      <c r="G92" s="659"/>
      <c r="H92" s="659"/>
      <c r="I92" s="659"/>
      <c r="J92" s="659"/>
      <c r="K92" s="659"/>
      <c r="L92" s="659"/>
      <c r="M92" s="659"/>
      <c r="N92" s="659"/>
      <c r="O92" s="659"/>
      <c r="P92" s="659"/>
      <c r="Q92" s="658"/>
    </row>
    <row r="93" spans="1:19" x14ac:dyDescent="0.3">
      <c r="A93" s="662" t="s">
        <v>1382</v>
      </c>
      <c r="B93" s="663"/>
      <c r="C93" s="663"/>
      <c r="D93" s="227"/>
      <c r="E93" s="227"/>
      <c r="F93" s="227"/>
      <c r="G93" s="227"/>
      <c r="H93" s="252"/>
      <c r="I93" s="549"/>
      <c r="J93" s="227"/>
      <c r="K93" s="227"/>
      <c r="L93" s="549"/>
      <c r="M93" s="227"/>
      <c r="N93" s="227"/>
      <c r="O93" s="227"/>
      <c r="P93" s="227"/>
      <c r="Q93" s="658"/>
    </row>
    <row r="94" spans="1:19" x14ac:dyDescent="0.3">
      <c r="A94" s="152" t="s">
        <v>1602</v>
      </c>
      <c r="B94" s="227"/>
      <c r="C94" s="227"/>
      <c r="D94" s="227"/>
      <c r="E94" s="227"/>
      <c r="F94" s="227"/>
      <c r="G94" s="227"/>
      <c r="H94" s="252"/>
      <c r="I94" s="549"/>
      <c r="J94" s="227"/>
      <c r="K94" s="227"/>
      <c r="L94" s="549"/>
      <c r="M94" s="227"/>
      <c r="N94" s="227"/>
      <c r="O94" s="227"/>
      <c r="P94" s="227"/>
      <c r="Q94" s="658"/>
    </row>
    <row r="95" spans="1:19" ht="9" customHeight="1" thickBot="1" x14ac:dyDescent="0.35">
      <c r="B95" s="227"/>
      <c r="C95" s="227"/>
      <c r="D95" s="227"/>
      <c r="E95" s="227"/>
      <c r="F95" s="227"/>
      <c r="G95" s="227"/>
      <c r="H95" s="252"/>
      <c r="I95" s="549"/>
      <c r="J95" s="227"/>
      <c r="K95" s="227"/>
      <c r="L95" s="549"/>
      <c r="M95" s="227"/>
      <c r="N95" s="227"/>
      <c r="O95" s="227"/>
      <c r="P95" s="227"/>
      <c r="Q95" s="658"/>
    </row>
    <row r="96" spans="1:19" x14ac:dyDescent="0.3">
      <c r="A96" s="212"/>
      <c r="B96" s="522"/>
      <c r="C96" s="522"/>
      <c r="D96" s="522"/>
      <c r="E96" s="522"/>
      <c r="F96" s="522"/>
      <c r="G96" s="522"/>
      <c r="H96" s="523" t="s">
        <v>310</v>
      </c>
      <c r="I96" s="598"/>
      <c r="J96" s="522"/>
      <c r="K96" s="523" t="s">
        <v>310</v>
      </c>
      <c r="L96" s="598"/>
      <c r="M96" s="522"/>
      <c r="N96" s="522"/>
      <c r="O96" s="522"/>
      <c r="P96" s="389"/>
      <c r="Q96" s="658"/>
    </row>
    <row r="97" spans="1:19" ht="17.399999999999999" x14ac:dyDescent="0.45">
      <c r="A97" s="221" t="s">
        <v>1204</v>
      </c>
      <c r="B97" s="629">
        <v>1984</v>
      </c>
      <c r="C97" s="629">
        <v>1983</v>
      </c>
      <c r="D97" s="629">
        <v>1982</v>
      </c>
      <c r="E97" s="629">
        <v>1981</v>
      </c>
      <c r="F97" s="629">
        <v>1980</v>
      </c>
      <c r="G97" s="629">
        <v>1979</v>
      </c>
      <c r="H97" s="629">
        <v>1978</v>
      </c>
      <c r="I97" s="630"/>
      <c r="J97" s="629">
        <v>1978</v>
      </c>
      <c r="K97" s="629">
        <v>1977</v>
      </c>
      <c r="L97" s="630"/>
      <c r="M97" s="629">
        <v>1977</v>
      </c>
      <c r="N97" s="629">
        <v>1976</v>
      </c>
      <c r="O97" s="629">
        <v>1975</v>
      </c>
      <c r="P97" s="631">
        <v>1974</v>
      </c>
      <c r="Q97" s="658"/>
    </row>
    <row r="98" spans="1:19" x14ac:dyDescent="0.3">
      <c r="A98" s="214" t="s">
        <v>1380</v>
      </c>
      <c r="B98" s="233"/>
      <c r="C98" s="233"/>
      <c r="D98" s="233"/>
      <c r="E98" s="632">
        <f>F118</f>
        <v>378313000</v>
      </c>
      <c r="F98" s="632">
        <f>G118</f>
        <v>282847000</v>
      </c>
      <c r="G98" s="632">
        <f>H118</f>
        <v>204165000</v>
      </c>
      <c r="H98" s="634"/>
      <c r="I98" s="633"/>
      <c r="J98" s="632">
        <f>K118</f>
        <v>118498000</v>
      </c>
      <c r="K98" s="634"/>
      <c r="L98" s="633"/>
      <c r="M98" s="632">
        <f>N118</f>
        <v>88462541</v>
      </c>
      <c r="N98" s="632">
        <f>O118</f>
        <v>70947170</v>
      </c>
      <c r="O98" s="632">
        <f>P118</f>
        <v>70230900</v>
      </c>
      <c r="P98" s="649"/>
      <c r="Q98" s="658"/>
      <c r="S98" s="211" t="s">
        <v>176</v>
      </c>
    </row>
    <row r="99" spans="1:19" x14ac:dyDescent="0.3">
      <c r="A99" s="214" t="s">
        <v>353</v>
      </c>
      <c r="B99" s="599"/>
      <c r="C99" s="599"/>
      <c r="D99" s="599"/>
      <c r="E99" s="647"/>
      <c r="F99" s="592"/>
      <c r="G99" s="592"/>
      <c r="H99" s="591">
        <f>J98</f>
        <v>118498000</v>
      </c>
      <c r="I99" s="635"/>
      <c r="J99" s="592"/>
      <c r="K99" s="591">
        <f>M98</f>
        <v>88462541</v>
      </c>
      <c r="L99" s="635"/>
      <c r="M99" s="592"/>
      <c r="N99" s="592"/>
      <c r="O99" s="592"/>
      <c r="P99" s="588"/>
      <c r="Q99" s="658"/>
    </row>
    <row r="100" spans="1:19" hidden="1" outlineLevel="1" x14ac:dyDescent="0.3">
      <c r="A100" s="214" t="s">
        <v>97</v>
      </c>
      <c r="B100" s="599"/>
      <c r="C100" s="599"/>
      <c r="D100" s="599"/>
      <c r="E100" s="647"/>
      <c r="F100" s="592"/>
      <c r="G100" s="592"/>
      <c r="H100" s="592"/>
      <c r="I100" s="635"/>
      <c r="J100" s="640"/>
      <c r="K100" s="640"/>
      <c r="L100" s="635"/>
      <c r="M100" s="640"/>
      <c r="N100" s="640"/>
      <c r="O100" s="640"/>
      <c r="P100" s="652"/>
      <c r="Q100" s="658"/>
    </row>
    <row r="101" spans="1:19" hidden="1" outlineLevel="1" x14ac:dyDescent="0.3">
      <c r="A101" s="214" t="s">
        <v>98</v>
      </c>
      <c r="B101" s="599"/>
      <c r="C101" s="599"/>
      <c r="D101" s="599"/>
      <c r="E101" s="647"/>
      <c r="F101" s="592"/>
      <c r="G101" s="592"/>
      <c r="H101" s="592"/>
      <c r="I101" s="635"/>
      <c r="J101" s="640"/>
      <c r="K101" s="640"/>
      <c r="L101" s="635"/>
      <c r="M101" s="640"/>
      <c r="N101" s="640"/>
      <c r="O101" s="640"/>
      <c r="P101" s="652"/>
      <c r="Q101" s="658"/>
    </row>
    <row r="102" spans="1:19" collapsed="1" x14ac:dyDescent="0.3">
      <c r="A102" s="214" t="s">
        <v>99</v>
      </c>
      <c r="B102" s="599"/>
      <c r="C102" s="599"/>
      <c r="D102" s="599"/>
      <c r="E102" s="647"/>
      <c r="F102" s="641">
        <f>F88</f>
        <v>47899000</v>
      </c>
      <c r="G102" s="641">
        <f>G88</f>
        <v>32763000</v>
      </c>
      <c r="H102" s="641">
        <f>H88</f>
        <v>30128000</v>
      </c>
      <c r="I102" s="653"/>
      <c r="J102" s="641">
        <f>J88</f>
        <v>30128000</v>
      </c>
      <c r="K102" s="641">
        <f>K88</f>
        <v>24614000</v>
      </c>
      <c r="L102" s="653"/>
      <c r="M102" s="641">
        <f>M88</f>
        <v>23407420</v>
      </c>
      <c r="N102" s="641">
        <f>N88</f>
        <v>18515371</v>
      </c>
      <c r="O102" s="641">
        <f>O88</f>
        <v>716270</v>
      </c>
      <c r="P102" s="652"/>
      <c r="Q102" s="658"/>
    </row>
    <row r="103" spans="1:19" ht="31.2" x14ac:dyDescent="0.3">
      <c r="A103" s="282" t="s">
        <v>358</v>
      </c>
      <c r="B103" s="599"/>
      <c r="C103" s="599"/>
      <c r="D103" s="599"/>
      <c r="E103" s="647"/>
      <c r="F103" s="592"/>
      <c r="G103" s="592"/>
      <c r="H103" s="641">
        <f>H10-J9</f>
        <v>87163000</v>
      </c>
      <c r="I103" s="653"/>
      <c r="J103" s="592"/>
      <c r="K103" s="592"/>
      <c r="L103" s="653"/>
      <c r="M103" s="592"/>
      <c r="N103" s="592"/>
      <c r="O103" s="592"/>
      <c r="P103" s="652"/>
      <c r="Q103" s="658"/>
    </row>
    <row r="104" spans="1:19" ht="31.2" x14ac:dyDescent="0.3">
      <c r="A104" s="282" t="s">
        <v>362</v>
      </c>
      <c r="B104" s="599"/>
      <c r="C104" s="599"/>
      <c r="D104" s="599"/>
      <c r="E104" s="647"/>
      <c r="F104" s="641">
        <f>F61-G61</f>
        <v>26097000</v>
      </c>
      <c r="G104" s="641">
        <f>G61-H61</f>
        <v>47899000</v>
      </c>
      <c r="H104" s="592"/>
      <c r="I104" s="653"/>
      <c r="J104" s="592"/>
      <c r="K104" s="592"/>
      <c r="L104" s="653"/>
      <c r="M104" s="592"/>
      <c r="N104" s="592"/>
      <c r="O104" s="592"/>
      <c r="P104" s="652"/>
      <c r="Q104" s="658"/>
    </row>
    <row r="105" spans="1:19" ht="31.2" x14ac:dyDescent="0.3">
      <c r="A105" s="282" t="s">
        <v>359</v>
      </c>
      <c r="B105" s="599"/>
      <c r="C105" s="599"/>
      <c r="D105" s="599"/>
      <c r="E105" s="647"/>
      <c r="F105" s="592"/>
      <c r="G105" s="592"/>
      <c r="H105" s="641">
        <v>-26149000</v>
      </c>
      <c r="I105" s="653"/>
      <c r="J105" s="592"/>
      <c r="K105" s="592"/>
      <c r="L105" s="653"/>
      <c r="M105" s="592"/>
      <c r="N105" s="592"/>
      <c r="O105" s="592"/>
      <c r="P105" s="652"/>
      <c r="Q105" s="658"/>
    </row>
    <row r="106" spans="1:19" hidden="1" outlineLevel="1" x14ac:dyDescent="0.3">
      <c r="A106" s="214" t="s">
        <v>115</v>
      </c>
      <c r="B106" s="599"/>
      <c r="C106" s="599"/>
      <c r="D106" s="599"/>
      <c r="E106" s="647"/>
      <c r="F106" s="592"/>
      <c r="G106" s="592"/>
      <c r="H106" s="592"/>
      <c r="I106" s="653"/>
      <c r="J106" s="640"/>
      <c r="K106" s="640"/>
      <c r="L106" s="653"/>
      <c r="M106" s="592"/>
      <c r="N106" s="592"/>
      <c r="O106" s="592"/>
      <c r="P106" s="652"/>
      <c r="Q106" s="658"/>
    </row>
    <row r="107" spans="1:19" hidden="1" outlineLevel="1" x14ac:dyDescent="0.3">
      <c r="A107" s="214" t="s">
        <v>116</v>
      </c>
      <c r="B107" s="599"/>
      <c r="C107" s="599"/>
      <c r="D107" s="599"/>
      <c r="E107" s="647"/>
      <c r="F107" s="592"/>
      <c r="G107" s="592"/>
      <c r="H107" s="592"/>
      <c r="I107" s="653"/>
      <c r="J107" s="640"/>
      <c r="K107" s="640"/>
      <c r="L107" s="653"/>
      <c r="M107" s="640"/>
      <c r="N107" s="640"/>
      <c r="O107" s="640"/>
      <c r="P107" s="652"/>
      <c r="Q107" s="658"/>
    </row>
    <row r="108" spans="1:19" hidden="1" outlineLevel="1" x14ac:dyDescent="0.3">
      <c r="A108" s="214" t="s">
        <v>117</v>
      </c>
      <c r="B108" s="599"/>
      <c r="C108" s="599"/>
      <c r="D108" s="599"/>
      <c r="E108" s="647"/>
      <c r="F108" s="592"/>
      <c r="G108" s="592"/>
      <c r="H108" s="592"/>
      <c r="I108" s="635"/>
      <c r="J108" s="640"/>
      <c r="K108" s="640"/>
      <c r="L108" s="635"/>
      <c r="M108" s="640"/>
      <c r="N108" s="640"/>
      <c r="O108" s="640"/>
      <c r="P108" s="652"/>
      <c r="Q108" s="658"/>
    </row>
    <row r="109" spans="1:19" ht="31.2" collapsed="1" x14ac:dyDescent="0.3">
      <c r="A109" s="282" t="s">
        <v>354</v>
      </c>
      <c r="B109" s="599"/>
      <c r="C109" s="599"/>
      <c r="D109" s="599"/>
      <c r="E109" s="647"/>
      <c r="F109" s="592"/>
      <c r="G109" s="592"/>
      <c r="H109" s="592"/>
      <c r="I109" s="635"/>
      <c r="J109" s="592"/>
      <c r="K109" s="641">
        <f>10694000-2872000</f>
        <v>7822000</v>
      </c>
      <c r="L109" s="635"/>
      <c r="M109" s="640"/>
      <c r="N109" s="640"/>
      <c r="O109" s="640"/>
      <c r="P109" s="652"/>
      <c r="Q109" s="658"/>
    </row>
    <row r="110" spans="1:19" x14ac:dyDescent="0.3">
      <c r="A110" s="214" t="s">
        <v>355</v>
      </c>
      <c r="B110" s="599"/>
      <c r="C110" s="599"/>
      <c r="D110" s="599"/>
      <c r="E110" s="647"/>
      <c r="F110" s="592"/>
      <c r="G110" s="592"/>
      <c r="H110" s="592"/>
      <c r="I110" s="635"/>
      <c r="J110" s="592"/>
      <c r="K110" s="641">
        <v>-541</v>
      </c>
      <c r="L110" s="635"/>
      <c r="M110" s="640"/>
      <c r="N110" s="640"/>
      <c r="O110" s="640"/>
      <c r="P110" s="652"/>
      <c r="Q110" s="658"/>
    </row>
    <row r="111" spans="1:19" hidden="1" outlineLevel="1" x14ac:dyDescent="0.3">
      <c r="A111" s="214" t="s">
        <v>152</v>
      </c>
      <c r="B111" s="599"/>
      <c r="C111" s="599"/>
      <c r="D111" s="599"/>
      <c r="E111" s="647"/>
      <c r="F111" s="592"/>
      <c r="G111" s="592"/>
      <c r="H111" s="592"/>
      <c r="I111" s="654"/>
      <c r="J111" s="640"/>
      <c r="K111" s="640"/>
      <c r="L111" s="654"/>
      <c r="M111" s="640"/>
      <c r="N111" s="640"/>
      <c r="O111" s="640"/>
      <c r="P111" s="652"/>
      <c r="Q111" s="658"/>
    </row>
    <row r="112" spans="1:19" hidden="1" outlineLevel="1" x14ac:dyDescent="0.3">
      <c r="A112" s="214" t="s">
        <v>153</v>
      </c>
      <c r="B112" s="599"/>
      <c r="C112" s="599"/>
      <c r="D112" s="599"/>
      <c r="E112" s="647"/>
      <c r="F112" s="592"/>
      <c r="G112" s="592"/>
      <c r="H112" s="592"/>
      <c r="I112" s="654"/>
      <c r="J112" s="640"/>
      <c r="K112" s="640"/>
      <c r="L112" s="654"/>
      <c r="M112" s="640"/>
      <c r="N112" s="640"/>
      <c r="O112" s="640"/>
      <c r="P112" s="652"/>
      <c r="Q112" s="658"/>
    </row>
    <row r="113" spans="1:17" hidden="1" outlineLevel="1" x14ac:dyDescent="0.3">
      <c r="A113" s="214" t="s">
        <v>154</v>
      </c>
      <c r="B113" s="599"/>
      <c r="C113" s="599"/>
      <c r="D113" s="599"/>
      <c r="E113" s="647"/>
      <c r="F113" s="592"/>
      <c r="G113" s="592"/>
      <c r="H113" s="592"/>
      <c r="I113" s="655"/>
      <c r="J113" s="640"/>
      <c r="K113" s="640"/>
      <c r="L113" s="655"/>
      <c r="M113" s="640"/>
      <c r="N113" s="640"/>
      <c r="O113" s="640"/>
      <c r="P113" s="652"/>
      <c r="Q113" s="658"/>
    </row>
    <row r="114" spans="1:17" hidden="1" outlineLevel="1" x14ac:dyDescent="0.3">
      <c r="A114" s="214" t="s">
        <v>273</v>
      </c>
      <c r="B114" s="599"/>
      <c r="C114" s="599"/>
      <c r="D114" s="599"/>
      <c r="E114" s="647"/>
      <c r="F114" s="592"/>
      <c r="G114" s="592"/>
      <c r="H114" s="592"/>
      <c r="I114" s="643"/>
      <c r="J114" s="640"/>
      <c r="K114" s="640"/>
      <c r="L114" s="643"/>
      <c r="M114" s="640"/>
      <c r="N114" s="640"/>
      <c r="O114" s="640"/>
      <c r="P114" s="652"/>
      <c r="Q114" s="658"/>
    </row>
    <row r="115" spans="1:17" collapsed="1" x14ac:dyDescent="0.3">
      <c r="A115" s="214" t="s">
        <v>363</v>
      </c>
      <c r="B115" s="599"/>
      <c r="C115" s="599"/>
      <c r="D115" s="599"/>
      <c r="E115" s="647"/>
      <c r="F115" s="591">
        <v>28750000</v>
      </c>
      <c r="G115" s="592"/>
      <c r="H115" s="592"/>
      <c r="I115" s="643"/>
      <c r="J115" s="640"/>
      <c r="K115" s="640"/>
      <c r="L115" s="643"/>
      <c r="M115" s="640"/>
      <c r="N115" s="640"/>
      <c r="O115" s="640"/>
      <c r="P115" s="652"/>
      <c r="Q115" s="658"/>
    </row>
    <row r="116" spans="1:17" x14ac:dyDescent="0.3">
      <c r="A116" s="2788" t="s">
        <v>364</v>
      </c>
      <c r="B116" s="599"/>
      <c r="C116" s="599"/>
      <c r="D116" s="599"/>
      <c r="E116" s="647"/>
      <c r="F116" s="2789">
        <v>-7280000</v>
      </c>
      <c r="G116" s="592"/>
      <c r="H116" s="592"/>
      <c r="I116" s="643"/>
      <c r="J116" s="640"/>
      <c r="K116" s="640"/>
      <c r="L116" s="643"/>
      <c r="M116" s="640"/>
      <c r="N116" s="640"/>
      <c r="O116" s="640"/>
      <c r="P116" s="652"/>
      <c r="Q116" s="658"/>
    </row>
    <row r="117" spans="1:17" x14ac:dyDescent="0.3">
      <c r="A117" s="214" t="s">
        <v>1</v>
      </c>
      <c r="B117" s="605"/>
      <c r="C117" s="605"/>
      <c r="D117" s="605"/>
      <c r="E117" s="648"/>
      <c r="F117" s="592"/>
      <c r="G117" s="641">
        <v>-1980000</v>
      </c>
      <c r="H117" s="641">
        <v>-5475000</v>
      </c>
      <c r="I117" s="643"/>
      <c r="J117" s="641">
        <v>-5475000</v>
      </c>
      <c r="K117" s="641">
        <v>-2400000</v>
      </c>
      <c r="L117" s="643"/>
      <c r="M117" s="641">
        <v>-2000000</v>
      </c>
      <c r="N117" s="641">
        <v>-1000000</v>
      </c>
      <c r="O117" s="640"/>
      <c r="P117" s="652"/>
      <c r="Q117" s="658"/>
    </row>
    <row r="118" spans="1:17" ht="16.2" thickBot="1" x14ac:dyDescent="0.35">
      <c r="A118" s="214" t="s">
        <v>14</v>
      </c>
      <c r="B118" s="606"/>
      <c r="C118" s="606"/>
      <c r="D118" s="606"/>
      <c r="E118" s="606"/>
      <c r="F118" s="650">
        <f>SUM(F98:F117)</f>
        <v>378313000</v>
      </c>
      <c r="G118" s="650">
        <f>SUM(G98:G117)</f>
        <v>282847000</v>
      </c>
      <c r="H118" s="650">
        <f>SUM(H98:H117)</f>
        <v>204165000</v>
      </c>
      <c r="I118" s="633"/>
      <c r="J118" s="650">
        <f>SUM(J98:J117)</f>
        <v>143151000</v>
      </c>
      <c r="K118" s="650">
        <f>SUM(K98:K117)</f>
        <v>118498000</v>
      </c>
      <c r="L118" s="633"/>
      <c r="M118" s="650">
        <f>SUM(M98:M117)</f>
        <v>109869961</v>
      </c>
      <c r="N118" s="650">
        <f t="shared" ref="N118:O118" si="14">SUM(N98:N117)</f>
        <v>88462541</v>
      </c>
      <c r="O118" s="650">
        <f t="shared" si="14"/>
        <v>70947170</v>
      </c>
      <c r="P118" s="651">
        <f>'3. Insurance'!B154</f>
        <v>70230900</v>
      </c>
      <c r="Q118" s="658"/>
    </row>
    <row r="119" spans="1:17" ht="9" customHeight="1" thickTop="1" thickBot="1" x14ac:dyDescent="0.35">
      <c r="A119" s="224"/>
      <c r="B119" s="325"/>
      <c r="C119" s="325"/>
      <c r="D119" s="325"/>
      <c r="E119" s="325"/>
      <c r="F119" s="325"/>
      <c r="G119" s="325"/>
      <c r="H119" s="325"/>
      <c r="I119" s="600"/>
      <c r="J119" s="325"/>
      <c r="K119" s="325"/>
      <c r="L119" s="600"/>
      <c r="M119" s="325"/>
      <c r="N119" s="325"/>
      <c r="O119" s="325"/>
      <c r="P119" s="326"/>
      <c r="Q119" s="658"/>
    </row>
    <row r="120" spans="1:17" x14ac:dyDescent="0.3">
      <c r="A120" s="12" t="s">
        <v>1381</v>
      </c>
      <c r="B120" s="211"/>
      <c r="C120" s="211"/>
      <c r="D120" s="211"/>
      <c r="E120" s="211"/>
      <c r="F120" s="211"/>
      <c r="G120" s="211"/>
      <c r="H120" s="211"/>
      <c r="I120" s="600"/>
      <c r="J120" s="340"/>
      <c r="K120" s="211"/>
      <c r="L120" s="600"/>
      <c r="M120" s="211"/>
      <c r="N120" s="211"/>
      <c r="O120" s="211"/>
      <c r="Q120" s="658"/>
    </row>
    <row r="121" spans="1:17" x14ac:dyDescent="0.3">
      <c r="A121" s="658"/>
      <c r="B121" s="658"/>
      <c r="C121" s="658"/>
      <c r="D121" s="658"/>
      <c r="E121" s="658"/>
      <c r="F121" s="658"/>
      <c r="G121" s="658"/>
      <c r="H121" s="658"/>
      <c r="I121" s="660"/>
      <c r="J121" s="661"/>
      <c r="K121" s="658"/>
      <c r="L121" s="660"/>
      <c r="M121" s="658"/>
      <c r="N121" s="658"/>
      <c r="O121" s="658"/>
      <c r="P121" s="658"/>
      <c r="Q121" s="658"/>
    </row>
    <row r="122" spans="1:17" s="285" customFormat="1" hidden="1" outlineLevel="1" x14ac:dyDescent="0.3">
      <c r="A122" s="285" t="s">
        <v>20</v>
      </c>
      <c r="B122" s="327">
        <f t="shared" ref="B122:H122" si="15">B118-B63</f>
        <v>0</v>
      </c>
      <c r="C122" s="327">
        <f t="shared" si="15"/>
        <v>0</v>
      </c>
      <c r="D122" s="327">
        <f t="shared" si="15"/>
        <v>0</v>
      </c>
      <c r="E122" s="327">
        <f t="shared" si="15"/>
        <v>0</v>
      </c>
      <c r="F122" s="327">
        <f t="shared" si="15"/>
        <v>0</v>
      </c>
      <c r="G122" s="327">
        <f t="shared" si="15"/>
        <v>0</v>
      </c>
      <c r="H122" s="327">
        <f t="shared" si="15"/>
        <v>0</v>
      </c>
      <c r="I122" s="603"/>
      <c r="J122" s="327">
        <f>J118-J63</f>
        <v>0</v>
      </c>
      <c r="K122" s="327">
        <f>K118-K63</f>
        <v>0</v>
      </c>
      <c r="L122" s="603"/>
      <c r="M122" s="327">
        <f>M118-M63</f>
        <v>0</v>
      </c>
      <c r="N122" s="327">
        <f>N118-N63</f>
        <v>0</v>
      </c>
      <c r="O122" s="327">
        <f>O118-O63</f>
        <v>0</v>
      </c>
      <c r="P122" s="327">
        <f>P118-P63</f>
        <v>0</v>
      </c>
    </row>
    <row r="123" spans="1:17" collapsed="1" x14ac:dyDescent="0.3">
      <c r="B123" s="211"/>
      <c r="C123" s="211"/>
      <c r="D123" s="211"/>
      <c r="E123" s="211"/>
      <c r="F123" s="211"/>
      <c r="G123" s="211"/>
      <c r="H123" s="211"/>
      <c r="I123" s="603"/>
      <c r="J123" s="211"/>
      <c r="K123" s="211"/>
      <c r="L123" s="603"/>
      <c r="M123" s="211"/>
      <c r="N123" s="211"/>
      <c r="O123" s="211"/>
    </row>
    <row r="124" spans="1:17" s="372" customFormat="1" x14ac:dyDescent="0.3">
      <c r="A124" s="656"/>
      <c r="I124" s="657"/>
      <c r="L124" s="657"/>
    </row>
    <row r="125" spans="1:17" x14ac:dyDescent="0.3">
      <c r="A125" s="348"/>
      <c r="B125" s="211"/>
      <c r="C125" s="211"/>
      <c r="D125" s="211"/>
      <c r="E125" s="211"/>
      <c r="F125" s="211"/>
      <c r="G125" s="211"/>
      <c r="H125" s="211"/>
      <c r="I125" s="646"/>
      <c r="J125" s="612"/>
      <c r="K125" s="612"/>
      <c r="L125" s="646"/>
      <c r="M125" s="612"/>
      <c r="N125" s="211"/>
      <c r="O125" s="211"/>
    </row>
    <row r="126" spans="1:17" x14ac:dyDescent="0.3">
      <c r="A126" s="459" t="s">
        <v>1332</v>
      </c>
      <c r="B126" s="227"/>
      <c r="C126" s="227"/>
      <c r="D126" s="227"/>
      <c r="E126" s="227"/>
      <c r="F126" s="227"/>
      <c r="G126" s="227"/>
      <c r="H126" s="252"/>
      <c r="I126" s="549"/>
      <c r="J126" s="227"/>
      <c r="K126" s="227"/>
      <c r="L126" s="549"/>
      <c r="M126" s="227"/>
      <c r="N126" s="227"/>
      <c r="O126" s="227"/>
      <c r="P126" s="227"/>
    </row>
    <row r="127" spans="1:17" x14ac:dyDescent="0.3">
      <c r="A127" s="152" t="s">
        <v>1383</v>
      </c>
      <c r="B127" s="227"/>
      <c r="C127" s="227"/>
      <c r="D127" s="227"/>
      <c r="E127" s="227"/>
      <c r="F127" s="227"/>
      <c r="G127" s="227"/>
      <c r="H127" s="252"/>
      <c r="I127" s="549"/>
      <c r="J127" s="227"/>
      <c r="K127" s="227"/>
      <c r="L127" s="549"/>
      <c r="M127" s="227"/>
      <c r="N127" s="227"/>
      <c r="O127" s="227"/>
      <c r="P127" s="227"/>
    </row>
    <row r="128" spans="1:17" ht="9" customHeight="1" thickBot="1" x14ac:dyDescent="0.35">
      <c r="B128" s="227"/>
      <c r="C128" s="227"/>
      <c r="D128" s="227"/>
      <c r="E128" s="227"/>
      <c r="F128" s="227"/>
      <c r="G128" s="227"/>
      <c r="H128" s="252"/>
      <c r="I128" s="549"/>
      <c r="J128" s="227"/>
      <c r="K128" s="227"/>
      <c r="L128" s="549"/>
      <c r="M128" s="227"/>
      <c r="N128" s="227"/>
      <c r="O128" s="227"/>
      <c r="P128" s="227"/>
    </row>
    <row r="129" spans="1:19" x14ac:dyDescent="0.3">
      <c r="A129" s="212"/>
      <c r="B129" s="522"/>
      <c r="C129" s="522"/>
      <c r="D129" s="522"/>
      <c r="E129" s="522"/>
      <c r="F129" s="522"/>
      <c r="G129" s="522"/>
      <c r="H129" s="523" t="s">
        <v>310</v>
      </c>
      <c r="I129" s="2181"/>
      <c r="J129" s="522"/>
      <c r="K129" s="523" t="s">
        <v>310</v>
      </c>
      <c r="L129" s="2181"/>
      <c r="M129" s="522"/>
      <c r="N129" s="522"/>
      <c r="O129" s="522"/>
      <c r="P129" s="389"/>
    </row>
    <row r="130" spans="1:19" ht="17.399999999999999" x14ac:dyDescent="0.45">
      <c r="A130" s="221" t="s">
        <v>1204</v>
      </c>
      <c r="B130" s="629">
        <v>1984</v>
      </c>
      <c r="C130" s="629">
        <v>1983</v>
      </c>
      <c r="D130" s="629">
        <v>1982</v>
      </c>
      <c r="E130" s="629">
        <v>1981</v>
      </c>
      <c r="F130" s="629">
        <v>1980</v>
      </c>
      <c r="G130" s="629">
        <v>1979</v>
      </c>
      <c r="H130" s="629">
        <v>1978</v>
      </c>
      <c r="I130" s="2190"/>
      <c r="J130" s="629">
        <v>1978</v>
      </c>
      <c r="K130" s="629">
        <v>1977</v>
      </c>
      <c r="L130" s="2190"/>
      <c r="M130" s="629">
        <v>1977</v>
      </c>
      <c r="N130" s="629">
        <v>1976</v>
      </c>
      <c r="O130" s="629">
        <v>1975</v>
      </c>
      <c r="P130" s="631">
        <v>1974</v>
      </c>
    </row>
    <row r="131" spans="1:19" x14ac:dyDescent="0.3">
      <c r="A131" s="214" t="s">
        <v>110</v>
      </c>
      <c r="B131" s="2196"/>
      <c r="C131" s="2196"/>
      <c r="D131" s="2196"/>
      <c r="E131" s="2196"/>
      <c r="F131" s="1765">
        <f>F75/(AVERAGE(F63:G63))</f>
        <v>0.55921108355012406</v>
      </c>
      <c r="G131" s="1765">
        <f>G75/(AVERAGE(G63:H63))</f>
        <v>0.76460128292526675</v>
      </c>
      <c r="H131" s="1765">
        <f>H75/(AVERAGE(H63,K63))</f>
        <v>1.2292267784034736</v>
      </c>
      <c r="I131" s="2197"/>
      <c r="J131" s="1765">
        <f>J75/(AVERAGE(J63:K63))</f>
        <v>1.5158704982629401</v>
      </c>
      <c r="K131" s="1765">
        <f>K75/(AVERAGE(K63,N63))</f>
        <v>1.5336643326613646</v>
      </c>
      <c r="L131" s="2197"/>
      <c r="M131" s="1765">
        <f>M75/(AVERAGE(M63:N63))</f>
        <v>1.5235338078879275</v>
      </c>
      <c r="N131" s="1765">
        <f>N75/(AVERAGE(N63:O63))</f>
        <v>1.1890482004574991</v>
      </c>
      <c r="O131" s="1765">
        <f>O75/(AVERAGE(O63:P63))</f>
        <v>0.83547154313697591</v>
      </c>
      <c r="P131" s="1762">
        <f>P75/(AVERAGE(P63:P63))</f>
        <v>0.86851536859131806</v>
      </c>
    </row>
    <row r="132" spans="1:19" x14ac:dyDescent="0.3">
      <c r="A132" s="214"/>
      <c r="B132" s="1764"/>
      <c r="C132" s="1764"/>
      <c r="D132" s="1764"/>
      <c r="E132" s="1764"/>
      <c r="F132" s="1764"/>
      <c r="G132" s="1764"/>
      <c r="H132" s="1764"/>
      <c r="I132" s="2197"/>
      <c r="J132" s="1764"/>
      <c r="K132" s="1764"/>
      <c r="L132" s="2197"/>
      <c r="M132" s="1764"/>
      <c r="N132" s="1764"/>
      <c r="O132" s="1764"/>
      <c r="P132" s="2126"/>
    </row>
    <row r="133" spans="1:19" x14ac:dyDescent="0.3">
      <c r="A133" s="214" t="s">
        <v>551</v>
      </c>
      <c r="B133" s="1765">
        <f>B77/B76</f>
        <v>1.009326735214843</v>
      </c>
      <c r="C133" s="1765">
        <f t="shared" ref="C133:H133" si="16">C77/C76</f>
        <v>0.87951862539349424</v>
      </c>
      <c r="D133" s="1765">
        <f t="shared" si="16"/>
        <v>0.79764621269083658</v>
      </c>
      <c r="E133" s="1765">
        <f t="shared" si="16"/>
        <v>0.65036192009458349</v>
      </c>
      <c r="F133" s="1765">
        <f t="shared" si="16"/>
        <v>0.63843574332971542</v>
      </c>
      <c r="G133" s="1765">
        <f t="shared" si="16"/>
        <v>0.66137949986259958</v>
      </c>
      <c r="H133" s="1765">
        <f t="shared" si="16"/>
        <v>0.7108124230812638</v>
      </c>
      <c r="I133" s="2197"/>
      <c r="J133" s="1765">
        <f>J77/J76</f>
        <v>0.7108124230812638</v>
      </c>
      <c r="K133" s="1765">
        <f>K77/K76</f>
        <v>0.67698898579894895</v>
      </c>
      <c r="L133" s="2197"/>
      <c r="M133" s="1765">
        <f>M77/M76</f>
        <v>0.66903896231782978</v>
      </c>
      <c r="N133" s="1765">
        <f>N77/N76</f>
        <v>0.68552080058753107</v>
      </c>
      <c r="O133" s="1765">
        <f>O77/O76</f>
        <v>0.80975684086175281</v>
      </c>
      <c r="P133" s="1762">
        <f>P77/P76</f>
        <v>0.77789244244811151</v>
      </c>
      <c r="R133" s="341"/>
    </row>
    <row r="134" spans="1:19" x14ac:dyDescent="0.3">
      <c r="A134" s="214" t="s">
        <v>1385</v>
      </c>
      <c r="B134" s="1765">
        <f>B78/B75</f>
        <v>0.35005016547118106</v>
      </c>
      <c r="C134" s="1765">
        <f t="shared" ref="C134:H134" si="17">C78/C75</f>
        <v>0.34863762854606972</v>
      </c>
      <c r="D134" s="1765">
        <f t="shared" si="17"/>
        <v>0.35218759012951822</v>
      </c>
      <c r="E134" s="1765">
        <f t="shared" si="17"/>
        <v>0.36566891891891889</v>
      </c>
      <c r="F134" s="1765">
        <f t="shared" si="17"/>
        <v>0.32574757659684955</v>
      </c>
      <c r="G134" s="1765">
        <f>G78/G75</f>
        <v>0.31081988344925748</v>
      </c>
      <c r="H134" s="1765">
        <f t="shared" si="17"/>
        <v>0.25620609844034431</v>
      </c>
      <c r="I134" s="2197"/>
      <c r="J134" s="1765">
        <f>J78/J75</f>
        <v>0.25620609844034431</v>
      </c>
      <c r="K134" s="1765">
        <f>K78/K75</f>
        <v>0.2546753705010586</v>
      </c>
      <c r="L134" s="2197"/>
      <c r="M134" s="1765">
        <f>M78/M75</f>
        <v>0.25894021686179458</v>
      </c>
      <c r="N134" s="1765">
        <f>N78/N75</f>
        <v>0.26056379082568054</v>
      </c>
      <c r="O134" s="1765">
        <f>O78/O75</f>
        <v>0.36871289643617572</v>
      </c>
      <c r="P134" s="1762">
        <f>P78/P75</f>
        <v>0.33355529100171721</v>
      </c>
    </row>
    <row r="135" spans="1:19" x14ac:dyDescent="0.3">
      <c r="A135" s="214" t="s">
        <v>552</v>
      </c>
      <c r="B135" s="1892">
        <f>B133+B134</f>
        <v>1.3593769006860241</v>
      </c>
      <c r="C135" s="1892">
        <f t="shared" ref="C135:D135" si="18">C133+C134</f>
        <v>1.2281562539395638</v>
      </c>
      <c r="D135" s="1892">
        <f t="shared" si="18"/>
        <v>1.1498338028203547</v>
      </c>
      <c r="E135" s="1892">
        <f t="shared" ref="E135:F135" si="19">E133+E134</f>
        <v>1.0160308390135024</v>
      </c>
      <c r="F135" s="1892">
        <f t="shared" si="19"/>
        <v>0.96418331992656503</v>
      </c>
      <c r="G135" s="1892">
        <f t="shared" ref="G135:H135" si="20">G133+G134</f>
        <v>0.97219938331185707</v>
      </c>
      <c r="H135" s="1892">
        <f t="shared" si="20"/>
        <v>0.96701852152160805</v>
      </c>
      <c r="I135" s="2197"/>
      <c r="J135" s="1892">
        <f t="shared" ref="J135:M135" si="21">J133+J134</f>
        <v>0.96701852152160805</v>
      </c>
      <c r="K135" s="1892">
        <f t="shared" ref="K135" si="22">K133+K134</f>
        <v>0.93166435630000755</v>
      </c>
      <c r="L135" s="2197"/>
      <c r="M135" s="1892">
        <f t="shared" si="21"/>
        <v>0.92797917917962436</v>
      </c>
      <c r="N135" s="1892">
        <f>N133+N134</f>
        <v>0.94608459141321166</v>
      </c>
      <c r="O135" s="1892">
        <f t="shared" ref="O135" si="23">O133+O134</f>
        <v>1.1784697372979285</v>
      </c>
      <c r="P135" s="2034">
        <f t="shared" ref="P135" si="24">P133+P134</f>
        <v>1.1114477334498287</v>
      </c>
    </row>
    <row r="136" spans="1:19" x14ac:dyDescent="0.3">
      <c r="A136" s="214"/>
      <c r="B136" s="1764"/>
      <c r="C136" s="1764"/>
      <c r="D136" s="1764"/>
      <c r="E136" s="1764"/>
      <c r="F136" s="1764"/>
      <c r="G136" s="1764"/>
      <c r="H136" s="1764"/>
      <c r="I136" s="2197"/>
      <c r="J136" s="1764"/>
      <c r="K136" s="1764"/>
      <c r="L136" s="2197"/>
      <c r="M136" s="1764"/>
      <c r="N136" s="1764"/>
      <c r="O136" s="1764"/>
      <c r="P136" s="2126"/>
    </row>
    <row r="137" spans="1:19" x14ac:dyDescent="0.3">
      <c r="A137" s="214" t="s">
        <v>22</v>
      </c>
      <c r="B137" s="2196"/>
      <c r="C137" s="2196"/>
      <c r="D137" s="2196"/>
      <c r="E137" s="2196"/>
      <c r="F137" s="1765">
        <f>F88/AVERAGE(F118:G118)</f>
        <v>0.1448938229777966</v>
      </c>
      <c r="G137" s="1765">
        <f>G88/AVERAGE(G118:H118)</f>
        <v>0.13454699268190518</v>
      </c>
      <c r="H137" s="1765">
        <f>H88/AVERAGE(H118,K118)</f>
        <v>0.18674592376566262</v>
      </c>
      <c r="I137" s="2197"/>
      <c r="J137" s="1765">
        <f>J88/AVERAGE(J118:K118)</f>
        <v>0.23029325546820359</v>
      </c>
      <c r="K137" s="1765">
        <f>K88/AVERAGE(K118,M118)</f>
        <v>0.21556438908696129</v>
      </c>
      <c r="L137" s="2197"/>
      <c r="M137" s="1765">
        <f>M88/AVERAGE(M118:N118)</f>
        <v>0.23604219947772354</v>
      </c>
      <c r="N137" s="1765">
        <f>N88/AVERAGE(N118:O118)</f>
        <v>0.23229916024375705</v>
      </c>
      <c r="O137" s="1765">
        <f>O88/AVERAGE(O118:P118)</f>
        <v>1.0147043375787755E-2</v>
      </c>
      <c r="P137" s="1762">
        <f>P88/AVERAGE(P118:P118)</f>
        <v>3.6003838766127158E-2</v>
      </c>
    </row>
    <row r="138" spans="1:19" x14ac:dyDescent="0.3">
      <c r="A138" s="214"/>
      <c r="B138" s="1764"/>
      <c r="C138" s="1764"/>
      <c r="D138" s="1764"/>
      <c r="E138" s="1764"/>
      <c r="F138" s="1764"/>
      <c r="G138" s="1764"/>
      <c r="H138" s="1764"/>
      <c r="I138" s="2197"/>
      <c r="J138" s="1764"/>
      <c r="K138" s="1764"/>
      <c r="L138" s="2197"/>
      <c r="M138" s="1764"/>
      <c r="N138" s="1764"/>
      <c r="O138" s="1764"/>
      <c r="P138" s="2126"/>
    </row>
    <row r="139" spans="1:19" x14ac:dyDescent="0.3">
      <c r="A139" s="214" t="s">
        <v>226</v>
      </c>
      <c r="B139" s="1765">
        <f>B75/C75-1</f>
        <v>-0.10871610754826522</v>
      </c>
      <c r="C139" s="1765">
        <f t="shared" ref="C139:F139" si="25">C75/D75-1</f>
        <v>5.0841432413761822E-3</v>
      </c>
      <c r="D139" s="1765">
        <f t="shared" si="25"/>
        <v>7.3716216216215269E-3</v>
      </c>
      <c r="E139" s="1765">
        <f t="shared" si="25"/>
        <v>-0.199411459234897</v>
      </c>
      <c r="F139" s="1765">
        <f t="shared" si="25"/>
        <v>-7.0950935897091671E-3</v>
      </c>
      <c r="G139" s="1765">
        <f>G75/H75-1</f>
        <v>-6.1155849591302602E-2</v>
      </c>
      <c r="H139" s="1765">
        <f>H75/K75-1</f>
        <v>0.24957783042645421</v>
      </c>
      <c r="I139" s="2197"/>
      <c r="J139" s="1765">
        <f>J75/K75-1</f>
        <v>0.24957783042645421</v>
      </c>
      <c r="K139" s="1765">
        <f>K75/N75-1</f>
        <v>0.6745712633192722</v>
      </c>
      <c r="L139" s="2197"/>
      <c r="M139" s="1765">
        <f t="shared" ref="M139:O140" si="26">M75/N75-1</f>
        <v>0.5941594283556646</v>
      </c>
      <c r="N139" s="1765">
        <f t="shared" si="26"/>
        <v>0.6069979837263606</v>
      </c>
      <c r="O139" s="1765">
        <f t="shared" si="26"/>
        <v>-3.31409532620629E-2</v>
      </c>
      <c r="P139" s="1762">
        <f>P75/'3. Insurance'!C122-1</f>
        <v>0.21092687479895766</v>
      </c>
    </row>
    <row r="140" spans="1:19" ht="16.2" thickBot="1" x14ac:dyDescent="0.35">
      <c r="A140" s="224" t="s">
        <v>225</v>
      </c>
      <c r="B140" s="1795">
        <f t="shared" ref="B140:F140" si="27">B76/C76-1</f>
        <v>-8.0259706190975888E-2</v>
      </c>
      <c r="C140" s="1795">
        <f t="shared" si="27"/>
        <v>-3.0403086076694619E-3</v>
      </c>
      <c r="D140" s="1795">
        <f t="shared" si="27"/>
        <v>-3.8160401979712377E-2</v>
      </c>
      <c r="E140" s="1795">
        <f t="shared" si="27"/>
        <v>-0.14133821488549414</v>
      </c>
      <c r="F140" s="1795">
        <f t="shared" si="27"/>
        <v>1.7790601813685081E-2</v>
      </c>
      <c r="G140" s="1795">
        <f>G76/H76-1</f>
        <v>-2.2157970258984361E-2</v>
      </c>
      <c r="H140" s="1795">
        <f>H76/K76-1</f>
        <v>0.30040953818629101</v>
      </c>
      <c r="I140" s="2198"/>
      <c r="J140" s="1795">
        <f>J76/K76-1</f>
        <v>0.30040953818629101</v>
      </c>
      <c r="K140" s="1795">
        <f>K76/N76-1</f>
        <v>0.77132791435670134</v>
      </c>
      <c r="L140" s="2198"/>
      <c r="M140" s="1795">
        <f t="shared" si="26"/>
        <v>0.69460689030812217</v>
      </c>
      <c r="N140" s="1795">
        <f t="shared" si="26"/>
        <v>0.38474494505989187</v>
      </c>
      <c r="O140" s="1795">
        <f t="shared" si="26"/>
        <v>-3.6947089719373216E-2</v>
      </c>
      <c r="P140" s="1947">
        <f>P76/'3. Insurance'!C123-1</f>
        <v>0.14442809956693714</v>
      </c>
    </row>
    <row r="141" spans="1:19" x14ac:dyDescent="0.3">
      <c r="A141" s="12" t="s">
        <v>1384</v>
      </c>
      <c r="B141" s="211"/>
      <c r="C141" s="211"/>
      <c r="D141" s="211"/>
      <c r="E141" s="211"/>
      <c r="F141" s="211"/>
      <c r="G141" s="211"/>
      <c r="H141" s="211"/>
      <c r="I141" s="350"/>
      <c r="J141" s="211"/>
      <c r="K141" s="211"/>
      <c r="L141" s="350"/>
      <c r="M141" s="211"/>
      <c r="N141" s="211"/>
      <c r="O141" s="211"/>
    </row>
    <row r="142" spans="1:19" x14ac:dyDescent="0.3">
      <c r="B142" s="211"/>
      <c r="C142" s="211"/>
      <c r="D142" s="211"/>
      <c r="E142" s="211"/>
      <c r="F142" s="211"/>
      <c r="G142" s="211"/>
      <c r="H142" s="211"/>
      <c r="I142" s="545"/>
      <c r="J142" s="211"/>
      <c r="K142" s="211"/>
      <c r="L142" s="545"/>
      <c r="M142" s="211"/>
      <c r="N142" s="211"/>
      <c r="O142" s="211"/>
      <c r="S142" s="211" t="s">
        <v>176</v>
      </c>
    </row>
    <row r="143" spans="1:19" x14ac:dyDescent="0.3">
      <c r="B143" s="211"/>
      <c r="C143" s="211"/>
      <c r="D143" s="211"/>
      <c r="E143" s="211"/>
      <c r="F143" s="211"/>
      <c r="G143" s="211"/>
      <c r="H143" s="211"/>
      <c r="I143" s="604"/>
      <c r="J143" s="211"/>
      <c r="K143" s="211"/>
      <c r="L143" s="604"/>
      <c r="M143" s="211"/>
      <c r="N143" s="211"/>
      <c r="O143" s="211"/>
    </row>
    <row r="144" spans="1:19" x14ac:dyDescent="0.3">
      <c r="A144" s="211" t="s">
        <v>465</v>
      </c>
      <c r="B144" s="211"/>
      <c r="C144" s="211"/>
      <c r="D144" s="211"/>
      <c r="E144" s="211"/>
      <c r="F144" s="226">
        <f>F63/F19</f>
        <v>0.51846923210808127</v>
      </c>
      <c r="G144" s="226">
        <f>G63/G19</f>
        <v>0.4537014312960263</v>
      </c>
      <c r="H144" s="226">
        <f>H63/H19</f>
        <v>0.40474557320370796</v>
      </c>
      <c r="I144" s="607"/>
      <c r="J144" s="226">
        <f>J63/J19</f>
        <v>0.34306975183636296</v>
      </c>
      <c r="K144" s="226">
        <f>K63/K19</f>
        <v>0.35558929793184574</v>
      </c>
      <c r="L144" s="607"/>
      <c r="M144" s="226">
        <f>M63/M19</f>
        <v>0.35076303581898127</v>
      </c>
      <c r="N144" s="226">
        <f t="shared" ref="N144:P144" si="28">N63/N19</f>
        <v>0.39424562758014342</v>
      </c>
      <c r="O144" s="226">
        <f t="shared" si="28"/>
        <v>0.40760530489446639</v>
      </c>
      <c r="P144" s="226">
        <f t="shared" si="28"/>
        <v>0.40751784012254694</v>
      </c>
    </row>
    <row r="145" spans="5:12" s="211" customFormat="1" x14ac:dyDescent="0.3">
      <c r="I145" s="608"/>
      <c r="L145" s="608"/>
    </row>
    <row r="146" spans="5:12" s="211" customFormat="1" x14ac:dyDescent="0.3">
      <c r="E146" s="211" t="s">
        <v>176</v>
      </c>
      <c r="I146" s="608"/>
      <c r="L146" s="608"/>
    </row>
    <row r="147" spans="5:12" s="211" customFormat="1" x14ac:dyDescent="0.3">
      <c r="I147" s="608"/>
      <c r="L147" s="608"/>
    </row>
    <row r="148" spans="5:12" s="211" customFormat="1" x14ac:dyDescent="0.3">
      <c r="I148" s="549"/>
      <c r="L148" s="549"/>
    </row>
    <row r="149" spans="5:12" s="211" customFormat="1" x14ac:dyDescent="0.3">
      <c r="I149" s="549"/>
      <c r="L149" s="549"/>
    </row>
    <row r="150" spans="5:12" s="211" customFormat="1" x14ac:dyDescent="0.3">
      <c r="I150" s="549"/>
      <c r="L150" s="549"/>
    </row>
    <row r="151" spans="5:12" s="211" customFormat="1" x14ac:dyDescent="0.3">
      <c r="I151" s="545"/>
      <c r="L151" s="545"/>
    </row>
    <row r="152" spans="5:12" s="211" customFormat="1" x14ac:dyDescent="0.3">
      <c r="I152" s="545"/>
      <c r="L152" s="545"/>
    </row>
    <row r="153" spans="5:12" s="211" customFormat="1" x14ac:dyDescent="0.3">
      <c r="I153" s="545"/>
      <c r="L153" s="545"/>
    </row>
    <row r="154" spans="5:12" s="211" customFormat="1" x14ac:dyDescent="0.3">
      <c r="I154" s="545"/>
      <c r="L154" s="545"/>
    </row>
    <row r="155" spans="5:12" s="211" customFormat="1" x14ac:dyDescent="0.3">
      <c r="I155" s="545"/>
      <c r="L155" s="545"/>
    </row>
    <row r="156" spans="5:12" s="211" customFormat="1" x14ac:dyDescent="0.3">
      <c r="I156" s="545"/>
      <c r="L156" s="545"/>
    </row>
    <row r="157" spans="5:12" s="211" customFormat="1" x14ac:dyDescent="0.3">
      <c r="I157" s="545"/>
      <c r="L157" s="545"/>
    </row>
    <row r="158" spans="5:12" s="211" customFormat="1" x14ac:dyDescent="0.3">
      <c r="I158" s="545"/>
      <c r="L158" s="545"/>
    </row>
    <row r="159" spans="5:12" s="211" customFormat="1" x14ac:dyDescent="0.3">
      <c r="I159" s="609"/>
      <c r="L159" s="609"/>
    </row>
    <row r="160" spans="5:12" s="211" customFormat="1" x14ac:dyDescent="0.3">
      <c r="I160" s="545"/>
      <c r="L160" s="545"/>
    </row>
    <row r="161" spans="9:12" s="211" customFormat="1" x14ac:dyDescent="0.3">
      <c r="I161" s="610"/>
      <c r="L161" s="610"/>
    </row>
    <row r="162" spans="9:12" s="211" customFormat="1" x14ac:dyDescent="0.3">
      <c r="I162" s="610"/>
      <c r="L162" s="610"/>
    </row>
    <row r="163" spans="9:12" s="211" customFormat="1" x14ac:dyDescent="0.3">
      <c r="I163" s="610"/>
      <c r="L163" s="610"/>
    </row>
    <row r="164" spans="9:12" s="211" customFormat="1" x14ac:dyDescent="0.3">
      <c r="I164" s="610"/>
      <c r="L164" s="610"/>
    </row>
    <row r="165" spans="9:12" s="211" customFormat="1" x14ac:dyDescent="0.3">
      <c r="I165" s="610"/>
      <c r="L165" s="610"/>
    </row>
    <row r="166" spans="9:12" s="211" customFormat="1" x14ac:dyDescent="0.3">
      <c r="I166" s="611"/>
      <c r="L166" s="611"/>
    </row>
    <row r="167" spans="9:12" s="211" customFormat="1" x14ac:dyDescent="0.3">
      <c r="I167" s="545"/>
      <c r="L167" s="545"/>
    </row>
    <row r="168" spans="9:12" s="211" customFormat="1" x14ac:dyDescent="0.3">
      <c r="I168" s="545"/>
      <c r="L168" s="545"/>
    </row>
    <row r="169" spans="9:12" s="211" customFormat="1" x14ac:dyDescent="0.3">
      <c r="I169" s="545"/>
      <c r="L169" s="545"/>
    </row>
    <row r="170" spans="9:12" s="211" customFormat="1" x14ac:dyDescent="0.3">
      <c r="I170" s="545"/>
      <c r="L170" s="545"/>
    </row>
    <row r="171" spans="9:12" s="211" customFormat="1" x14ac:dyDescent="0.3">
      <c r="I171" s="545"/>
      <c r="L171" s="545"/>
    </row>
    <row r="172" spans="9:12" s="211" customFormat="1" x14ac:dyDescent="0.3">
      <c r="I172" s="545"/>
      <c r="L172" s="545"/>
    </row>
    <row r="173" spans="9:12" s="211" customFormat="1" x14ac:dyDescent="0.3">
      <c r="I173" s="545"/>
      <c r="L173" s="545"/>
    </row>
    <row r="174" spans="9:12" s="211" customFormat="1" x14ac:dyDescent="0.3">
      <c r="I174" s="545"/>
      <c r="L174" s="545"/>
    </row>
    <row r="175" spans="9:12" s="211" customFormat="1" x14ac:dyDescent="0.3">
      <c r="I175" s="545"/>
      <c r="L175" s="545"/>
    </row>
    <row r="176" spans="9:12" s="211" customFormat="1" x14ac:dyDescent="0.3">
      <c r="I176" s="545"/>
      <c r="L176" s="545"/>
    </row>
    <row r="177" spans="9:12" s="211" customFormat="1" x14ac:dyDescent="0.3">
      <c r="I177" s="545"/>
      <c r="L177" s="545"/>
    </row>
    <row r="178" spans="9:12" s="211" customFormat="1" x14ac:dyDescent="0.3">
      <c r="I178" s="545"/>
      <c r="L178" s="545"/>
    </row>
    <row r="179" spans="9:12" s="211" customFormat="1" x14ac:dyDescent="0.3">
      <c r="I179" s="545"/>
      <c r="L179" s="545"/>
    </row>
    <row r="180" spans="9:12" s="211" customFormat="1" x14ac:dyDescent="0.3">
      <c r="I180" s="545"/>
      <c r="L180" s="545"/>
    </row>
  </sheetData>
  <pageMargins left="0.7" right="0.7" top="0.75" bottom="0.75" header="0.3" footer="0.3"/>
  <pageSetup orientation="portrait" r:id="rId1"/>
  <ignoredErrors>
    <ignoredError sqref="M131:O131" formulaRange="1"/>
  </ignoredError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BEEC7-1C92-4D3E-AB3C-1F7E10EDA36C}">
  <sheetPr codeName="Sheet21">
    <tabColor theme="9" tint="0.59999389629810485"/>
  </sheetPr>
  <dimension ref="A1:O36"/>
  <sheetViews>
    <sheetView showGridLines="0" zoomScale="85" zoomScaleNormal="85" workbookViewId="0">
      <pane xSplit="1" ySplit="5" topLeftCell="B6" activePane="bottomRight" state="frozen"/>
      <selection pane="topRight" activeCell="B1" sqref="B1"/>
      <selection pane="bottomLeft" activeCell="A2" sqref="A2"/>
      <selection pane="bottomRight" activeCell="N30" sqref="N30"/>
    </sheetView>
  </sheetViews>
  <sheetFormatPr defaultColWidth="8.6640625" defaultRowHeight="13.8" outlineLevelRow="1" x14ac:dyDescent="0.25"/>
  <cols>
    <col min="1" max="1" width="43.88671875" style="1" customWidth="1"/>
    <col min="2" max="11" width="11.109375" style="1" bestFit="1" customWidth="1"/>
    <col min="12" max="16384" width="8.6640625" style="1"/>
  </cols>
  <sheetData>
    <row r="1" spans="1:11" s="153" customFormat="1" hidden="1" outlineLevel="1" x14ac:dyDescent="0.25">
      <c r="A1" s="153" t="s">
        <v>556</v>
      </c>
      <c r="B1" s="153">
        <v>1984</v>
      </c>
      <c r="C1" s="153">
        <v>1984</v>
      </c>
      <c r="D1" s="153">
        <v>1982</v>
      </c>
      <c r="E1" s="153">
        <v>1982</v>
      </c>
      <c r="F1" s="153">
        <v>1982</v>
      </c>
      <c r="G1" s="153">
        <v>1979</v>
      </c>
      <c r="H1" s="153">
        <v>1979</v>
      </c>
      <c r="I1" s="153">
        <v>1979</v>
      </c>
      <c r="J1" s="153">
        <v>1979</v>
      </c>
      <c r="K1" s="153">
        <v>1979</v>
      </c>
    </row>
    <row r="2" spans="1:11" s="198" customFormat="1" collapsed="1" x14ac:dyDescent="0.25">
      <c r="A2" s="127" t="s">
        <v>1320</v>
      </c>
    </row>
    <row r="3" spans="1:11" s="198" customFormat="1" x14ac:dyDescent="0.25">
      <c r="A3" s="664" t="s">
        <v>1386</v>
      </c>
    </row>
    <row r="4" spans="1:11" s="198" customFormat="1" ht="8.25" customHeight="1" thickBot="1" x14ac:dyDescent="0.3"/>
    <row r="5" spans="1:11" s="10" customFormat="1" x14ac:dyDescent="0.25">
      <c r="A5" s="131" t="s">
        <v>1204</v>
      </c>
      <c r="B5" s="665">
        <v>1984</v>
      </c>
      <c r="C5" s="665">
        <v>1983</v>
      </c>
      <c r="D5" s="665">
        <v>1982</v>
      </c>
      <c r="E5" s="665">
        <v>1981</v>
      </c>
      <c r="F5" s="665">
        <v>1980</v>
      </c>
      <c r="G5" s="665">
        <v>1979</v>
      </c>
      <c r="H5" s="665">
        <v>1978</v>
      </c>
      <c r="I5" s="665">
        <v>1977</v>
      </c>
      <c r="J5" s="665">
        <v>1976</v>
      </c>
      <c r="K5" s="666">
        <v>1975</v>
      </c>
    </row>
    <row r="6" spans="1:11" s="10" customFormat="1" x14ac:dyDescent="0.25">
      <c r="A6" s="24"/>
      <c r="K6" s="123"/>
    </row>
    <row r="7" spans="1:11" s="10" customFormat="1" x14ac:dyDescent="0.25">
      <c r="A7" s="6" t="s">
        <v>109</v>
      </c>
      <c r="B7" s="669">
        <v>133558</v>
      </c>
      <c r="C7" s="669">
        <v>149849</v>
      </c>
      <c r="D7" s="669">
        <v>149091</v>
      </c>
      <c r="E7" s="669">
        <v>148000</v>
      </c>
      <c r="F7" s="669">
        <v>184864</v>
      </c>
      <c r="G7" s="669">
        <v>186185</v>
      </c>
      <c r="H7" s="669">
        <v>198313</v>
      </c>
      <c r="I7" s="669">
        <v>158704</v>
      </c>
      <c r="J7" s="669">
        <v>94773</v>
      </c>
      <c r="K7" s="670">
        <v>58975</v>
      </c>
    </row>
    <row r="8" spans="1:11" s="10" customFormat="1" x14ac:dyDescent="0.25">
      <c r="A8" s="6"/>
      <c r="B8" s="13"/>
      <c r="C8" s="13"/>
      <c r="D8" s="13"/>
      <c r="E8" s="13"/>
      <c r="F8" s="13"/>
      <c r="G8" s="13"/>
      <c r="H8" s="13"/>
      <c r="I8" s="13"/>
      <c r="J8" s="13"/>
      <c r="K8" s="65"/>
    </row>
    <row r="9" spans="1:11" x14ac:dyDescent="0.25">
      <c r="A9" s="28" t="s">
        <v>101</v>
      </c>
      <c r="B9" s="671"/>
      <c r="C9" s="671"/>
      <c r="D9" s="671"/>
      <c r="E9" s="671"/>
      <c r="F9" s="671"/>
      <c r="G9" s="671"/>
      <c r="H9" s="671"/>
      <c r="I9" s="671"/>
      <c r="J9" s="671"/>
      <c r="K9" s="672"/>
    </row>
    <row r="10" spans="1:11" x14ac:dyDescent="0.25">
      <c r="A10" s="6" t="s">
        <v>1336</v>
      </c>
      <c r="B10" s="673">
        <v>64003</v>
      </c>
      <c r="C10" s="673">
        <v>68148</v>
      </c>
      <c r="D10" s="673">
        <v>69026</v>
      </c>
      <c r="E10" s="673">
        <v>73177</v>
      </c>
      <c r="F10" s="673">
        <v>88404</v>
      </c>
      <c r="G10" s="673">
        <v>90646</v>
      </c>
      <c r="H10" s="673">
        <v>96126</v>
      </c>
      <c r="I10" s="673">
        <v>80690</v>
      </c>
      <c r="J10" s="673">
        <v>50778</v>
      </c>
      <c r="K10" s="674">
        <v>38513</v>
      </c>
    </row>
    <row r="11" spans="1:11" x14ac:dyDescent="0.25">
      <c r="A11" s="6" t="s">
        <v>1387</v>
      </c>
      <c r="B11" s="675">
        <v>22665</v>
      </c>
      <c r="C11" s="675">
        <v>18849</v>
      </c>
      <c r="D11" s="675">
        <v>15951</v>
      </c>
      <c r="E11" s="675">
        <v>18193</v>
      </c>
      <c r="F11" s="675">
        <v>19890</v>
      </c>
      <c r="G11" s="675">
        <v>19350</v>
      </c>
      <c r="H11" s="675">
        <v>29893</v>
      </c>
      <c r="I11" s="675">
        <v>18916</v>
      </c>
      <c r="J11" s="675">
        <v>5815</v>
      </c>
      <c r="K11" s="676">
        <v>3632</v>
      </c>
    </row>
    <row r="12" spans="1:11" x14ac:dyDescent="0.25">
      <c r="A12" s="6" t="s">
        <v>1338</v>
      </c>
      <c r="B12" s="675">
        <v>16066</v>
      </c>
      <c r="C12" s="675">
        <v>26889</v>
      </c>
      <c r="D12" s="675">
        <v>27408</v>
      </c>
      <c r="E12" s="675">
        <v>29446</v>
      </c>
      <c r="F12" s="675">
        <v>33804</v>
      </c>
      <c r="G12" s="675">
        <v>30864</v>
      </c>
      <c r="H12" s="675">
        <v>30160</v>
      </c>
      <c r="I12" s="675">
        <v>24100</v>
      </c>
      <c r="J12" s="675">
        <v>17220</v>
      </c>
      <c r="K12" s="676">
        <v>12407</v>
      </c>
    </row>
    <row r="13" spans="1:11" x14ac:dyDescent="0.25">
      <c r="A13" s="6" t="s">
        <v>1339</v>
      </c>
      <c r="B13" s="675">
        <v>32598</v>
      </c>
      <c r="C13" s="675">
        <v>35328</v>
      </c>
      <c r="D13" s="675">
        <v>37552</v>
      </c>
      <c r="E13" s="675">
        <v>38197</v>
      </c>
      <c r="F13" s="675">
        <v>43089</v>
      </c>
      <c r="G13" s="675">
        <v>41089</v>
      </c>
      <c r="H13" s="675">
        <v>29894</v>
      </c>
      <c r="I13" s="675">
        <v>19382</v>
      </c>
      <c r="J13" s="675">
        <v>11058</v>
      </c>
      <c r="K13" s="676">
        <v>6670</v>
      </c>
    </row>
    <row r="14" spans="1:11" x14ac:dyDescent="0.25">
      <c r="A14" s="6" t="s">
        <v>1388</v>
      </c>
      <c r="B14" s="675">
        <v>4910</v>
      </c>
      <c r="C14" s="675">
        <v>3266</v>
      </c>
      <c r="D14" s="675">
        <v>3008</v>
      </c>
      <c r="E14" s="2199"/>
      <c r="F14" s="2199"/>
      <c r="G14" s="2199"/>
      <c r="H14" s="2199"/>
      <c r="I14" s="2199"/>
      <c r="J14" s="2199"/>
      <c r="K14" s="2200"/>
    </row>
    <row r="15" spans="1:11" x14ac:dyDescent="0.25">
      <c r="A15" s="6" t="s">
        <v>1389</v>
      </c>
      <c r="B15" s="677">
        <f t="shared" ref="B15:C15" si="0">SUM(B10:B14)</f>
        <v>140242</v>
      </c>
      <c r="C15" s="677">
        <f t="shared" si="0"/>
        <v>152480</v>
      </c>
      <c r="D15" s="677">
        <f>SUM(D10:D14)</f>
        <v>152945</v>
      </c>
      <c r="E15" s="677">
        <f t="shared" ref="E15:K15" si="1">SUM(E10:E14)</f>
        <v>159013</v>
      </c>
      <c r="F15" s="677">
        <f t="shared" si="1"/>
        <v>185187</v>
      </c>
      <c r="G15" s="677">
        <f t="shared" si="1"/>
        <v>181949</v>
      </c>
      <c r="H15" s="677">
        <f t="shared" si="1"/>
        <v>186073</v>
      </c>
      <c r="I15" s="677">
        <f t="shared" si="1"/>
        <v>143088</v>
      </c>
      <c r="J15" s="677">
        <f t="shared" si="1"/>
        <v>84871</v>
      </c>
      <c r="K15" s="678">
        <f t="shared" si="1"/>
        <v>61222</v>
      </c>
    </row>
    <row r="16" spans="1:11" x14ac:dyDescent="0.25">
      <c r="A16" s="6"/>
      <c r="B16" s="679"/>
      <c r="C16" s="679"/>
      <c r="D16" s="679"/>
      <c r="E16" s="679"/>
      <c r="F16" s="679"/>
      <c r="G16" s="679"/>
      <c r="H16" s="679"/>
      <c r="I16" s="679"/>
      <c r="J16" s="679"/>
      <c r="K16" s="676"/>
    </row>
    <row r="17" spans="1:15" x14ac:dyDescent="0.25">
      <c r="A17" s="6" t="s">
        <v>453</v>
      </c>
      <c r="B17" s="675">
        <v>69291</v>
      </c>
      <c r="C17" s="675">
        <v>44249</v>
      </c>
      <c r="D17" s="675">
        <v>41791</v>
      </c>
      <c r="E17" s="675">
        <v>39019</v>
      </c>
      <c r="F17" s="675">
        <v>31111</v>
      </c>
      <c r="G17" s="675">
        <v>24407</v>
      </c>
      <c r="H17" s="675">
        <v>19944</v>
      </c>
      <c r="I17" s="675">
        <v>13061</v>
      </c>
      <c r="J17" s="675">
        <v>10975</v>
      </c>
      <c r="K17" s="676">
        <v>8806</v>
      </c>
    </row>
    <row r="18" spans="1:15" x14ac:dyDescent="0.25">
      <c r="A18" s="6" t="s">
        <v>454</v>
      </c>
      <c r="B18" s="680">
        <f t="shared" ref="B18:J18" si="2">B15+B17</f>
        <v>209533</v>
      </c>
      <c r="C18" s="680">
        <f t="shared" si="2"/>
        <v>196729</v>
      </c>
      <c r="D18" s="680">
        <f t="shared" si="2"/>
        <v>194736</v>
      </c>
      <c r="E18" s="680">
        <f t="shared" si="2"/>
        <v>198032</v>
      </c>
      <c r="F18" s="680">
        <f t="shared" si="2"/>
        <v>216298</v>
      </c>
      <c r="G18" s="680">
        <f t="shared" si="2"/>
        <v>206356</v>
      </c>
      <c r="H18" s="680">
        <f t="shared" si="2"/>
        <v>206017</v>
      </c>
      <c r="I18" s="680">
        <f t="shared" si="2"/>
        <v>156149</v>
      </c>
      <c r="J18" s="680">
        <f t="shared" si="2"/>
        <v>95846</v>
      </c>
      <c r="K18" s="681">
        <f>K15+K17</f>
        <v>70028</v>
      </c>
    </row>
    <row r="19" spans="1:15" x14ac:dyDescent="0.25">
      <c r="A19" s="6"/>
      <c r="B19" s="671"/>
      <c r="C19" s="671"/>
      <c r="D19" s="671"/>
      <c r="E19" s="671"/>
      <c r="F19" s="671"/>
      <c r="G19" s="671"/>
      <c r="H19" s="671"/>
      <c r="I19" s="671"/>
      <c r="J19" s="671"/>
      <c r="K19" s="672"/>
    </row>
    <row r="20" spans="1:15" x14ac:dyDescent="0.25">
      <c r="A20" s="28" t="s">
        <v>1334</v>
      </c>
      <c r="B20" s="671"/>
      <c r="C20" s="671"/>
      <c r="D20" s="671"/>
      <c r="E20" s="671"/>
      <c r="F20" s="671"/>
      <c r="G20" s="671"/>
      <c r="H20" s="671"/>
      <c r="I20" s="671"/>
      <c r="J20" s="671"/>
      <c r="K20" s="672"/>
    </row>
    <row r="21" spans="1:15" x14ac:dyDescent="0.25">
      <c r="A21" s="6" t="s">
        <v>1336</v>
      </c>
      <c r="B21" s="673">
        <v>-16049</v>
      </c>
      <c r="C21" s="673">
        <v>-14880</v>
      </c>
      <c r="D21" s="673">
        <v>-12647</v>
      </c>
      <c r="E21" s="673">
        <v>3020</v>
      </c>
      <c r="F21" s="673">
        <v>7395</v>
      </c>
      <c r="G21" s="673">
        <v>7845</v>
      </c>
      <c r="H21" s="673">
        <v>11543</v>
      </c>
      <c r="I21" s="673">
        <v>7800</v>
      </c>
      <c r="J21" s="673">
        <v>4768</v>
      </c>
      <c r="K21" s="674">
        <v>-7450</v>
      </c>
    </row>
    <row r="22" spans="1:15" x14ac:dyDescent="0.25">
      <c r="A22" s="6" t="s">
        <v>1337</v>
      </c>
      <c r="B22" s="675">
        <v>-12560</v>
      </c>
      <c r="C22" s="675">
        <v>-1091</v>
      </c>
      <c r="D22" s="675">
        <v>2658</v>
      </c>
      <c r="E22" s="675">
        <v>2822</v>
      </c>
      <c r="F22" s="675">
        <v>4870</v>
      </c>
      <c r="G22" s="675">
        <v>5130</v>
      </c>
      <c r="H22" s="675">
        <v>-3944</v>
      </c>
      <c r="I22" s="675">
        <v>-1644</v>
      </c>
      <c r="J22" s="675">
        <v>-1093</v>
      </c>
      <c r="K22" s="676">
        <v>-342</v>
      </c>
    </row>
    <row r="23" spans="1:15" x14ac:dyDescent="0.25">
      <c r="A23" s="6" t="s">
        <v>1338</v>
      </c>
      <c r="B23" s="675">
        <v>-12703</v>
      </c>
      <c r="C23" s="675">
        <v>-8387</v>
      </c>
      <c r="D23" s="675">
        <v>-7524</v>
      </c>
      <c r="E23" s="675">
        <v>-3720</v>
      </c>
      <c r="F23" s="675">
        <v>-233</v>
      </c>
      <c r="G23" s="675">
        <v>-4338</v>
      </c>
      <c r="H23" s="675">
        <v>-2443</v>
      </c>
      <c r="I23" s="675">
        <v>-1251</v>
      </c>
      <c r="J23" s="675">
        <v>-2879</v>
      </c>
      <c r="K23" s="676">
        <v>-2651</v>
      </c>
    </row>
    <row r="24" spans="1:15" x14ac:dyDescent="0.25">
      <c r="A24" s="6" t="s">
        <v>1339</v>
      </c>
      <c r="B24" s="675">
        <v>-4101</v>
      </c>
      <c r="C24" s="675">
        <v>-8834</v>
      </c>
      <c r="D24" s="675">
        <v>-3949</v>
      </c>
      <c r="E24" s="675">
        <v>-644</v>
      </c>
      <c r="F24" s="675">
        <v>-5294</v>
      </c>
      <c r="G24" s="675">
        <v>-4895</v>
      </c>
      <c r="H24" s="675">
        <v>-2155</v>
      </c>
      <c r="I24" s="675">
        <v>896</v>
      </c>
      <c r="J24" s="675">
        <v>-548</v>
      </c>
      <c r="K24" s="676">
        <v>-907</v>
      </c>
      <c r="O24" s="1" t="s">
        <v>176</v>
      </c>
    </row>
    <row r="25" spans="1:15" x14ac:dyDescent="0.25">
      <c r="A25" s="6" t="s">
        <v>1388</v>
      </c>
      <c r="B25" s="675">
        <v>-2647</v>
      </c>
      <c r="C25" s="675">
        <v>-680</v>
      </c>
      <c r="D25" s="675">
        <v>-96</v>
      </c>
      <c r="E25" s="2199"/>
      <c r="F25" s="2199"/>
      <c r="G25" s="2199"/>
      <c r="H25" s="2199"/>
      <c r="I25" s="2199"/>
      <c r="J25" s="2199"/>
      <c r="K25" s="2200"/>
    </row>
    <row r="26" spans="1:15" x14ac:dyDescent="0.25">
      <c r="A26" s="6" t="s">
        <v>455</v>
      </c>
      <c r="B26" s="677">
        <f t="shared" ref="B26:C26" si="3">SUM(B21:B25)</f>
        <v>-48060</v>
      </c>
      <c r="C26" s="677">
        <f t="shared" si="3"/>
        <v>-33872</v>
      </c>
      <c r="D26" s="677">
        <f>SUM(D21:D25)</f>
        <v>-21558</v>
      </c>
      <c r="E26" s="677">
        <f t="shared" ref="E26:K26" si="4">SUM(E21:E25)</f>
        <v>1478</v>
      </c>
      <c r="F26" s="677">
        <f t="shared" si="4"/>
        <v>6738</v>
      </c>
      <c r="G26" s="677">
        <f t="shared" si="4"/>
        <v>3742</v>
      </c>
      <c r="H26" s="677">
        <f t="shared" si="4"/>
        <v>3001</v>
      </c>
      <c r="I26" s="677">
        <f t="shared" si="4"/>
        <v>5801</v>
      </c>
      <c r="J26" s="677">
        <f t="shared" si="4"/>
        <v>248</v>
      </c>
      <c r="K26" s="678">
        <f t="shared" si="4"/>
        <v>-11350</v>
      </c>
    </row>
    <row r="27" spans="1:15" x14ac:dyDescent="0.25">
      <c r="A27" s="6"/>
      <c r="B27" s="679"/>
      <c r="C27" s="679"/>
      <c r="D27" s="679"/>
      <c r="E27" s="679"/>
      <c r="F27" s="679"/>
      <c r="G27" s="679"/>
      <c r="H27" s="679"/>
      <c r="I27" s="679"/>
      <c r="J27" s="679"/>
      <c r="K27" s="676"/>
    </row>
    <row r="28" spans="1:15" x14ac:dyDescent="0.25">
      <c r="A28" s="6" t="s">
        <v>456</v>
      </c>
      <c r="B28" s="675">
        <v>68903</v>
      </c>
      <c r="C28" s="675">
        <v>43810</v>
      </c>
      <c r="D28" s="675">
        <v>41620</v>
      </c>
      <c r="E28" s="675">
        <v>38823</v>
      </c>
      <c r="F28" s="675">
        <v>30939</v>
      </c>
      <c r="G28" s="675">
        <v>24224</v>
      </c>
      <c r="H28" s="675">
        <v>19705</v>
      </c>
      <c r="I28" s="675">
        <v>12805</v>
      </c>
      <c r="J28" s="675">
        <v>10841</v>
      </c>
      <c r="K28" s="676">
        <v>8723</v>
      </c>
    </row>
    <row r="29" spans="1:15" ht="15" customHeight="1" x14ac:dyDescent="0.25">
      <c r="A29" s="67" t="s">
        <v>457</v>
      </c>
      <c r="B29" s="667">
        <f t="shared" ref="B29:J29" si="5">B26+B28</f>
        <v>20843</v>
      </c>
      <c r="C29" s="667">
        <f t="shared" si="5"/>
        <v>9938</v>
      </c>
      <c r="D29" s="667">
        <f t="shared" si="5"/>
        <v>20062</v>
      </c>
      <c r="E29" s="667">
        <f t="shared" si="5"/>
        <v>40301</v>
      </c>
      <c r="F29" s="667">
        <f t="shared" si="5"/>
        <v>37677</v>
      </c>
      <c r="G29" s="667">
        <f t="shared" si="5"/>
        <v>27966</v>
      </c>
      <c r="H29" s="667">
        <f t="shared" si="5"/>
        <v>22706</v>
      </c>
      <c r="I29" s="667">
        <f>I26+I28</f>
        <v>18606</v>
      </c>
      <c r="J29" s="667">
        <f t="shared" si="5"/>
        <v>11089</v>
      </c>
      <c r="K29" s="668">
        <f>K26+K28</f>
        <v>-2627</v>
      </c>
    </row>
    <row r="30" spans="1:15" x14ac:dyDescent="0.25">
      <c r="A30" s="6"/>
      <c r="K30" s="8"/>
    </row>
    <row r="31" spans="1:15" ht="15.6" x14ac:dyDescent="0.3">
      <c r="A31" s="214" t="s">
        <v>552</v>
      </c>
      <c r="B31" s="464">
        <v>1.3593769006860241</v>
      </c>
      <c r="C31" s="464">
        <v>1.2281562539395638</v>
      </c>
      <c r="D31" s="464">
        <v>1.1498338028203547</v>
      </c>
      <c r="E31" s="464">
        <v>1.0160308390135024</v>
      </c>
      <c r="F31" s="464">
        <v>0.96418331992656503</v>
      </c>
      <c r="G31" s="464">
        <v>0.97219938331185707</v>
      </c>
      <c r="H31" s="464">
        <v>0.96701852152160805</v>
      </c>
      <c r="I31" s="464">
        <v>0.93166435630000755</v>
      </c>
      <c r="J31" s="464">
        <v>0.94608459141321166</v>
      </c>
      <c r="K31" s="347">
        <v>1.1784697372979285</v>
      </c>
    </row>
    <row r="32" spans="1:15" ht="15.6" x14ac:dyDescent="0.3">
      <c r="A32" s="214"/>
      <c r="B32" s="464"/>
      <c r="C32" s="464"/>
      <c r="D32" s="464"/>
      <c r="E32" s="464"/>
      <c r="F32" s="464"/>
      <c r="G32" s="464"/>
      <c r="H32" s="464"/>
      <c r="I32" s="464"/>
      <c r="J32" s="464"/>
      <c r="K32" s="347"/>
    </row>
    <row r="33" spans="1:11" x14ac:dyDescent="0.25">
      <c r="A33" s="6" t="s">
        <v>998</v>
      </c>
      <c r="B33" s="205"/>
      <c r="C33" s="205"/>
      <c r="D33" s="205"/>
      <c r="E33" s="205"/>
      <c r="F33" s="205"/>
      <c r="G33" s="205"/>
      <c r="H33" s="205"/>
      <c r="I33" s="205"/>
      <c r="J33" s="205"/>
      <c r="K33" s="8"/>
    </row>
    <row r="34" spans="1:11" x14ac:dyDescent="0.25">
      <c r="A34" s="6" t="s">
        <v>1335</v>
      </c>
      <c r="B34" s="205"/>
      <c r="C34" s="205"/>
      <c r="D34" s="205"/>
      <c r="E34" s="205"/>
      <c r="F34" s="205"/>
      <c r="G34" s="205"/>
      <c r="H34" s="205"/>
      <c r="I34" s="205"/>
      <c r="J34" s="205"/>
      <c r="K34" s="8"/>
    </row>
    <row r="35" spans="1:11" ht="14.4" thickBot="1" x14ac:dyDescent="0.3">
      <c r="A35" s="9" t="s">
        <v>1627</v>
      </c>
      <c r="B35" s="25"/>
      <c r="C35" s="25"/>
      <c r="D35" s="25"/>
      <c r="E35" s="25"/>
      <c r="F35" s="25"/>
      <c r="G35" s="25"/>
      <c r="H35" s="25"/>
      <c r="I35" s="25"/>
      <c r="J35" s="25"/>
      <c r="K35" s="26"/>
    </row>
    <row r="36" spans="1:11" x14ac:dyDescent="0.25">
      <c r="A36" s="12" t="s">
        <v>1340</v>
      </c>
    </row>
  </sheetData>
  <pageMargins left="0.7" right="0.7" top="0.75" bottom="0.75" header="0.3" footer="0.3"/>
  <pageSetup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BAAFF-D57C-4A86-8BB9-57B7853BDB58}">
  <sheetPr codeName="Sheet23">
    <tabColor theme="9" tint="0.59999389629810485"/>
  </sheetPr>
  <dimension ref="A1:AA332"/>
  <sheetViews>
    <sheetView showGridLines="0" zoomScaleNormal="100" workbookViewId="0">
      <pane xSplit="1" topLeftCell="B1" activePane="topRight" state="frozen"/>
      <selection activeCell="A46" sqref="A46"/>
      <selection pane="topRight" activeCell="Q19" sqref="Q19"/>
    </sheetView>
  </sheetViews>
  <sheetFormatPr defaultColWidth="9.109375" defaultRowHeight="15.6" outlineLevelRow="1" outlineLevelCol="1" x14ac:dyDescent="0.3"/>
  <cols>
    <col min="1" max="1" width="53.33203125" style="211" customWidth="1"/>
    <col min="2" max="6" width="10.33203125" style="356" bestFit="1" customWidth="1"/>
    <col min="7" max="7" width="10.33203125" style="211" bestFit="1" customWidth="1"/>
    <col min="8" max="8" width="3.44140625" style="211" hidden="1" customWidth="1" outlineLevel="1"/>
    <col min="9" max="9" width="4.109375" style="597" hidden="1" customWidth="1" outlineLevel="1"/>
    <col min="10" max="10" width="20.44140625" style="211" hidden="1" customWidth="1" outlineLevel="1"/>
    <col min="11" max="11" width="10.33203125" style="211" bestFit="1" customWidth="1" collapsed="1"/>
    <col min="12" max="16" width="10.33203125" style="211" bestFit="1" customWidth="1" outlineLevel="1"/>
    <col min="17" max="17" width="9.109375" style="211"/>
    <col min="18" max="18" width="20.109375" style="211" customWidth="1"/>
    <col min="19" max="16384" width="9.109375" style="211"/>
  </cols>
  <sheetData>
    <row r="1" spans="1:27" s="612" customFormat="1" x14ac:dyDescent="0.3">
      <c r="A1" s="459" t="s">
        <v>1332</v>
      </c>
    </row>
    <row r="2" spans="1:27" x14ac:dyDescent="0.3">
      <c r="A2" s="152" t="s">
        <v>1392</v>
      </c>
      <c r="B2" s="211"/>
      <c r="C2" s="211"/>
      <c r="D2" s="211"/>
      <c r="E2" s="211"/>
      <c r="F2" s="211"/>
      <c r="J2" s="211" t="s">
        <v>395</v>
      </c>
    </row>
    <row r="3" spans="1:27" ht="6.6" customHeight="1" thickBot="1" x14ac:dyDescent="0.35">
      <c r="A3" s="152"/>
      <c r="B3" s="211"/>
      <c r="C3" s="211"/>
      <c r="D3" s="211"/>
      <c r="E3" s="211"/>
      <c r="F3" s="211"/>
    </row>
    <row r="4" spans="1:27" x14ac:dyDescent="0.3">
      <c r="A4" s="212" t="s">
        <v>1204</v>
      </c>
      <c r="B4" s="712">
        <v>1979</v>
      </c>
      <c r="C4" s="712">
        <v>1978</v>
      </c>
      <c r="D4" s="712">
        <v>1977</v>
      </c>
      <c r="E4" s="712">
        <v>1976</v>
      </c>
      <c r="F4" s="712">
        <v>1975</v>
      </c>
      <c r="G4" s="712">
        <v>1974</v>
      </c>
      <c r="H4" s="713"/>
      <c r="I4" s="714"/>
      <c r="J4" s="712">
        <v>1974</v>
      </c>
      <c r="K4" s="712">
        <v>1973</v>
      </c>
      <c r="L4" s="712">
        <v>1972</v>
      </c>
      <c r="M4" s="712">
        <v>1971</v>
      </c>
      <c r="N4" s="712">
        <v>1970</v>
      </c>
      <c r="O4" s="712">
        <v>1969</v>
      </c>
      <c r="P4" s="713">
        <v>1968</v>
      </c>
    </row>
    <row r="5" spans="1:27" x14ac:dyDescent="0.3">
      <c r="A5" s="214" t="s">
        <v>157</v>
      </c>
      <c r="B5" s="707">
        <v>27602000</v>
      </c>
      <c r="C5" s="707">
        <v>20231765</v>
      </c>
      <c r="D5" s="707">
        <v>20973276</v>
      </c>
      <c r="E5" s="707">
        <v>10868111</v>
      </c>
      <c r="F5" s="707">
        <v>18797271</v>
      </c>
      <c r="G5" s="707">
        <v>21543577</v>
      </c>
      <c r="H5" s="708"/>
      <c r="I5" s="709"/>
      <c r="J5" s="707">
        <v>21543577</v>
      </c>
      <c r="K5" s="707">
        <v>26683653</v>
      </c>
      <c r="L5" s="707">
        <v>22111475</v>
      </c>
      <c r="M5" s="707">
        <v>17832686</v>
      </c>
      <c r="N5" s="707">
        <v>15156585</v>
      </c>
      <c r="O5" s="707">
        <v>19917661</v>
      </c>
      <c r="P5" s="708">
        <v>23244160</v>
      </c>
      <c r="Q5" s="230"/>
      <c r="R5" s="230"/>
      <c r="S5" s="230"/>
      <c r="T5" s="230"/>
      <c r="U5" s="230"/>
      <c r="V5" s="230"/>
      <c r="W5" s="230"/>
      <c r="X5" s="230"/>
      <c r="Y5" s="230"/>
      <c r="Z5" s="230"/>
      <c r="AA5" s="230"/>
    </row>
    <row r="6" spans="1:27" outlineLevel="1" x14ac:dyDescent="0.3">
      <c r="A6" s="214" t="s">
        <v>158</v>
      </c>
      <c r="B6" s="698"/>
      <c r="C6" s="696">
        <f>565983+42372484</f>
        <v>42938467</v>
      </c>
      <c r="D6" s="696">
        <f>566558+41553063</f>
        <v>42119621</v>
      </c>
      <c r="E6" s="696">
        <f>30337817+160792</f>
        <v>30498609</v>
      </c>
      <c r="F6" s="696">
        <f>24181462+15576778</f>
        <v>39758240</v>
      </c>
      <c r="G6" s="696">
        <f>565107+10050113</f>
        <v>10615220</v>
      </c>
      <c r="H6" s="697"/>
      <c r="I6" s="698"/>
      <c r="J6" s="696">
        <f>565107+10050113</f>
        <v>10615220</v>
      </c>
      <c r="K6" s="696">
        <v>11354830</v>
      </c>
      <c r="L6" s="696">
        <v>10614548</v>
      </c>
      <c r="M6" s="696">
        <v>12633150</v>
      </c>
      <c r="N6" s="696">
        <v>15128838</v>
      </c>
      <c r="O6" s="696">
        <v>11227704</v>
      </c>
      <c r="P6" s="697">
        <v>26922462</v>
      </c>
      <c r="Q6" s="230"/>
      <c r="R6" s="230"/>
      <c r="S6" s="230"/>
      <c r="T6" s="230"/>
      <c r="U6" s="230"/>
      <c r="V6" s="230"/>
      <c r="W6" s="230"/>
      <c r="X6" s="230"/>
      <c r="Y6" s="230"/>
      <c r="Z6" s="230"/>
      <c r="AA6" s="230"/>
    </row>
    <row r="7" spans="1:27" outlineLevel="1" x14ac:dyDescent="0.3">
      <c r="A7" s="214" t="s">
        <v>159</v>
      </c>
      <c r="B7" s="698"/>
      <c r="C7" s="696">
        <v>63576532</v>
      </c>
      <c r="D7" s="696">
        <v>58696192</v>
      </c>
      <c r="E7" s="696">
        <v>54002192</v>
      </c>
      <c r="F7" s="696">
        <v>46959481</v>
      </c>
      <c r="G7" s="696">
        <v>45857638</v>
      </c>
      <c r="H7" s="697"/>
      <c r="I7" s="698"/>
      <c r="J7" s="696">
        <v>45857638</v>
      </c>
      <c r="K7" s="696">
        <v>47712563</v>
      </c>
      <c r="L7" s="696">
        <v>50162736</v>
      </c>
      <c r="M7" s="696">
        <v>42884431</v>
      </c>
      <c r="N7" s="696">
        <v>36626896</v>
      </c>
      <c r="O7" s="696">
        <v>36005053</v>
      </c>
      <c r="P7" s="697">
        <v>17803334</v>
      </c>
      <c r="Q7" s="230"/>
      <c r="R7" s="230"/>
      <c r="S7" s="230"/>
      <c r="T7" s="230"/>
      <c r="U7" s="230"/>
      <c r="V7" s="230"/>
      <c r="W7" s="230"/>
      <c r="X7" s="230"/>
      <c r="Y7" s="230"/>
      <c r="Z7" s="230"/>
      <c r="AA7" s="230"/>
    </row>
    <row r="8" spans="1:27" outlineLevel="1" x14ac:dyDescent="0.3">
      <c r="A8" s="214" t="s">
        <v>160</v>
      </c>
      <c r="B8" s="698"/>
      <c r="C8" s="696">
        <v>5394458</v>
      </c>
      <c r="D8" s="696">
        <v>6053613</v>
      </c>
      <c r="E8" s="696">
        <v>6629054</v>
      </c>
      <c r="F8" s="696">
        <v>4053154</v>
      </c>
      <c r="G8" s="696">
        <v>3845970</v>
      </c>
      <c r="H8" s="697"/>
      <c r="I8" s="698"/>
      <c r="J8" s="696">
        <v>3845970</v>
      </c>
      <c r="K8" s="696">
        <v>3358350</v>
      </c>
      <c r="L8" s="696">
        <v>7778900</v>
      </c>
      <c r="M8" s="696">
        <v>5864759</v>
      </c>
      <c r="N8" s="696">
        <v>210000</v>
      </c>
      <c r="O8" s="696">
        <v>210000</v>
      </c>
      <c r="P8" s="697">
        <v>210000</v>
      </c>
      <c r="Q8" s="230"/>
      <c r="R8" s="230"/>
      <c r="S8" s="230"/>
      <c r="T8" s="230"/>
      <c r="U8" s="230"/>
      <c r="V8" s="230"/>
      <c r="W8" s="230"/>
      <c r="X8" s="230"/>
      <c r="Y8" s="230"/>
      <c r="Z8" s="230"/>
      <c r="AA8" s="230"/>
    </row>
    <row r="9" spans="1:27" outlineLevel="1" x14ac:dyDescent="0.3">
      <c r="A9" s="214" t="s">
        <v>367</v>
      </c>
      <c r="B9" s="698"/>
      <c r="C9" s="696">
        <v>300000</v>
      </c>
      <c r="D9" s="696">
        <v>300000</v>
      </c>
      <c r="E9" s="696">
        <v>300000</v>
      </c>
      <c r="F9" s="696">
        <v>300000</v>
      </c>
      <c r="G9" s="696">
        <v>0</v>
      </c>
      <c r="H9" s="697"/>
      <c r="I9" s="698"/>
      <c r="J9" s="696">
        <v>0</v>
      </c>
      <c r="K9" s="696">
        <v>0</v>
      </c>
      <c r="L9" s="696">
        <v>0</v>
      </c>
      <c r="M9" s="696">
        <v>0</v>
      </c>
      <c r="N9" s="696">
        <v>0</v>
      </c>
      <c r="O9" s="696">
        <v>0</v>
      </c>
      <c r="P9" s="697">
        <v>0</v>
      </c>
      <c r="Q9" s="230"/>
      <c r="R9" s="230"/>
      <c r="S9" s="230"/>
      <c r="T9" s="230"/>
      <c r="U9" s="230"/>
      <c r="V9" s="230"/>
      <c r="W9" s="230"/>
      <c r="X9" s="230"/>
      <c r="Y9" s="230"/>
      <c r="Z9" s="230"/>
      <c r="AA9" s="230"/>
    </row>
    <row r="10" spans="1:27" outlineLevel="1" x14ac:dyDescent="0.3">
      <c r="A10" s="214" t="s">
        <v>206</v>
      </c>
      <c r="B10" s="701"/>
      <c r="C10" s="699">
        <v>3000000</v>
      </c>
      <c r="D10" s="699">
        <v>7000000</v>
      </c>
      <c r="E10" s="699">
        <v>32000000</v>
      </c>
      <c r="F10" s="699">
        <v>0</v>
      </c>
      <c r="G10" s="699">
        <v>5000000</v>
      </c>
      <c r="H10" s="700"/>
      <c r="I10" s="701"/>
      <c r="J10" s="699">
        <v>5000000</v>
      </c>
      <c r="K10" s="699">
        <v>0</v>
      </c>
      <c r="L10" s="699">
        <v>0</v>
      </c>
      <c r="M10" s="699">
        <v>0</v>
      </c>
      <c r="N10" s="699">
        <v>0</v>
      </c>
      <c r="O10" s="699">
        <v>0</v>
      </c>
      <c r="P10" s="700">
        <v>0</v>
      </c>
      <c r="Q10" s="230"/>
      <c r="R10" s="230"/>
      <c r="S10" s="230"/>
      <c r="T10" s="230"/>
      <c r="U10" s="230"/>
      <c r="V10" s="230"/>
      <c r="W10" s="230"/>
      <c r="X10" s="230"/>
      <c r="Y10" s="230"/>
      <c r="Z10" s="230"/>
      <c r="AA10" s="230"/>
    </row>
    <row r="11" spans="1:27" x14ac:dyDescent="0.3">
      <c r="A11" s="214" t="s">
        <v>394</v>
      </c>
      <c r="B11" s="696">
        <v>104103000</v>
      </c>
      <c r="C11" s="696">
        <f>SUM(C6:C10)</f>
        <v>115209457</v>
      </c>
      <c r="D11" s="696">
        <f t="shared" ref="D11:P11" si="0">SUM(D6:D10)</f>
        <v>114169426</v>
      </c>
      <c r="E11" s="696">
        <f t="shared" si="0"/>
        <v>123429855</v>
      </c>
      <c r="F11" s="696">
        <f t="shared" si="0"/>
        <v>91070875</v>
      </c>
      <c r="G11" s="696">
        <f>SUM(G6:G10)</f>
        <v>65318828</v>
      </c>
      <c r="H11" s="697"/>
      <c r="I11" s="696">
        <f t="shared" si="0"/>
        <v>0</v>
      </c>
      <c r="J11" s="696">
        <f t="shared" si="0"/>
        <v>65318828</v>
      </c>
      <c r="K11" s="696">
        <f t="shared" si="0"/>
        <v>62425743</v>
      </c>
      <c r="L11" s="696">
        <f t="shared" si="0"/>
        <v>68556184</v>
      </c>
      <c r="M11" s="696">
        <f t="shared" si="0"/>
        <v>61382340</v>
      </c>
      <c r="N11" s="696">
        <f t="shared" si="0"/>
        <v>51965734</v>
      </c>
      <c r="O11" s="696">
        <f t="shared" si="0"/>
        <v>47442757</v>
      </c>
      <c r="P11" s="697">
        <f t="shared" si="0"/>
        <v>44935796</v>
      </c>
      <c r="Q11" s="230"/>
      <c r="R11" s="230"/>
      <c r="S11" s="230"/>
      <c r="T11" s="230"/>
      <c r="U11" s="230"/>
      <c r="V11" s="230"/>
      <c r="W11" s="230"/>
      <c r="X11" s="230"/>
      <c r="Y11" s="230"/>
      <c r="Z11" s="230"/>
      <c r="AA11" s="230"/>
    </row>
    <row r="12" spans="1:27" outlineLevel="1" x14ac:dyDescent="0.3">
      <c r="A12" s="214" t="s">
        <v>161</v>
      </c>
      <c r="B12" s="696">
        <v>84377000</v>
      </c>
      <c r="C12" s="696">
        <v>76121628</v>
      </c>
      <c r="D12" s="696">
        <v>62267886</v>
      </c>
      <c r="E12" s="696">
        <v>56188346</v>
      </c>
      <c r="F12" s="696">
        <v>58081252</v>
      </c>
      <c r="G12" s="696">
        <v>70133624</v>
      </c>
      <c r="H12" s="697"/>
      <c r="I12" s="698"/>
      <c r="J12" s="696">
        <v>70853542</v>
      </c>
      <c r="K12" s="696">
        <v>66022357</v>
      </c>
      <c r="L12" s="696">
        <v>59618025</v>
      </c>
      <c r="M12" s="696">
        <v>54031811</v>
      </c>
      <c r="N12" s="696">
        <v>50840852</v>
      </c>
      <c r="O12" s="696">
        <v>47962992</v>
      </c>
      <c r="P12" s="697">
        <v>46995450</v>
      </c>
      <c r="Q12" s="230"/>
      <c r="R12" s="230"/>
      <c r="S12" s="230"/>
      <c r="T12" s="230"/>
      <c r="U12" s="230"/>
      <c r="V12" s="230"/>
      <c r="W12" s="230"/>
      <c r="X12" s="230"/>
      <c r="Y12" s="230"/>
      <c r="Z12" s="230"/>
      <c r="AA12" s="230"/>
    </row>
    <row r="13" spans="1:27" outlineLevel="1" x14ac:dyDescent="0.3">
      <c r="A13" s="214" t="s">
        <v>168</v>
      </c>
      <c r="B13" s="696"/>
      <c r="C13" s="696"/>
      <c r="D13" s="696"/>
      <c r="E13" s="696"/>
      <c r="F13" s="696"/>
      <c r="G13" s="696"/>
      <c r="H13" s="697"/>
      <c r="I13" s="698"/>
      <c r="J13" s="696">
        <v>-1251163</v>
      </c>
      <c r="K13" s="696">
        <v>-1163658</v>
      </c>
      <c r="L13" s="696">
        <v>-1024601</v>
      </c>
      <c r="M13" s="696">
        <v>-854671</v>
      </c>
      <c r="N13" s="696">
        <v>-860445</v>
      </c>
      <c r="O13" s="696">
        <v>-800271</v>
      </c>
      <c r="P13" s="697">
        <v>-599008</v>
      </c>
      <c r="Q13" s="230"/>
      <c r="R13" s="230"/>
      <c r="S13" s="230"/>
      <c r="T13" s="230"/>
      <c r="U13" s="230"/>
      <c r="V13" s="230"/>
      <c r="W13" s="230"/>
      <c r="X13" s="230"/>
      <c r="Y13" s="230"/>
      <c r="Z13" s="230"/>
      <c r="AA13" s="230"/>
    </row>
    <row r="14" spans="1:27" x14ac:dyDescent="0.3">
      <c r="A14" s="214" t="s">
        <v>393</v>
      </c>
      <c r="B14" s="696">
        <f>B12+B13</f>
        <v>84377000</v>
      </c>
      <c r="C14" s="696">
        <f t="shared" ref="C14:P14" si="1">C12+C13</f>
        <v>76121628</v>
      </c>
      <c r="D14" s="696">
        <f t="shared" si="1"/>
        <v>62267886</v>
      </c>
      <c r="E14" s="696">
        <f t="shared" si="1"/>
        <v>56188346</v>
      </c>
      <c r="F14" s="696">
        <f t="shared" si="1"/>
        <v>58081252</v>
      </c>
      <c r="G14" s="696">
        <f t="shared" si="1"/>
        <v>70133624</v>
      </c>
      <c r="H14" s="697"/>
      <c r="I14" s="696">
        <f t="shared" si="1"/>
        <v>0</v>
      </c>
      <c r="J14" s="696">
        <f t="shared" si="1"/>
        <v>69602379</v>
      </c>
      <c r="K14" s="696">
        <f t="shared" si="1"/>
        <v>64858699</v>
      </c>
      <c r="L14" s="696">
        <f t="shared" si="1"/>
        <v>58593424</v>
      </c>
      <c r="M14" s="696">
        <f t="shared" si="1"/>
        <v>53177140</v>
      </c>
      <c r="N14" s="696">
        <f t="shared" si="1"/>
        <v>49980407</v>
      </c>
      <c r="O14" s="696">
        <f t="shared" si="1"/>
        <v>47162721</v>
      </c>
      <c r="P14" s="697">
        <f t="shared" si="1"/>
        <v>46396442</v>
      </c>
      <c r="Q14" s="230"/>
      <c r="R14" s="230"/>
      <c r="S14" s="230"/>
      <c r="T14" s="230"/>
      <c r="U14" s="230"/>
      <c r="V14" s="230"/>
      <c r="W14" s="230"/>
      <c r="X14" s="230"/>
      <c r="Y14" s="230"/>
      <c r="Z14" s="230"/>
      <c r="AA14" s="230"/>
    </row>
    <row r="15" spans="1:27" x14ac:dyDescent="0.3">
      <c r="A15" s="214" t="s">
        <v>162</v>
      </c>
      <c r="B15" s="696">
        <v>1820000</v>
      </c>
      <c r="C15" s="696">
        <v>1105719</v>
      </c>
      <c r="D15" s="696">
        <v>1021747</v>
      </c>
      <c r="E15" s="696">
        <v>895977</v>
      </c>
      <c r="F15" s="696">
        <v>966626</v>
      </c>
      <c r="G15" s="696">
        <v>1008749</v>
      </c>
      <c r="H15" s="697"/>
      <c r="I15" s="698"/>
      <c r="J15" s="696">
        <v>1008749</v>
      </c>
      <c r="K15" s="696">
        <v>1116504</v>
      </c>
      <c r="L15" s="696">
        <v>1360892</v>
      </c>
      <c r="M15" s="696">
        <v>1522546</v>
      </c>
      <c r="N15" s="696">
        <v>1624221</v>
      </c>
      <c r="O15" s="696">
        <v>1825164</v>
      </c>
      <c r="P15" s="697">
        <v>1236936</v>
      </c>
      <c r="Q15" s="230"/>
      <c r="R15" s="230"/>
      <c r="S15" s="230"/>
      <c r="T15" s="230"/>
      <c r="U15" s="230"/>
      <c r="V15" s="230"/>
      <c r="W15" s="230"/>
      <c r="X15" s="230"/>
      <c r="Y15" s="230"/>
      <c r="Z15" s="230"/>
      <c r="AA15" s="230"/>
    </row>
    <row r="16" spans="1:27" x14ac:dyDescent="0.3">
      <c r="A16" s="214" t="s">
        <v>163</v>
      </c>
      <c r="B16" s="696">
        <v>3097000</v>
      </c>
      <c r="C16" s="696">
        <v>3145995</v>
      </c>
      <c r="D16" s="696">
        <v>2719924</v>
      </c>
      <c r="E16" s="696">
        <f>1545707+464520</f>
        <v>2010227</v>
      </c>
      <c r="F16" s="696">
        <f>2040487+514603</f>
        <v>2555090</v>
      </c>
      <c r="G16" s="696">
        <f>1812021+1044645</f>
        <v>2856666</v>
      </c>
      <c r="H16" s="697"/>
      <c r="I16" s="698"/>
      <c r="J16" s="696">
        <f>1812021+1044645</f>
        <v>2856666</v>
      </c>
      <c r="K16" s="696">
        <f>1549003+607074</f>
        <v>2156077</v>
      </c>
      <c r="L16" s="696">
        <v>1750315</v>
      </c>
      <c r="M16" s="696">
        <v>1252113</v>
      </c>
      <c r="N16" s="696">
        <v>1738877</v>
      </c>
      <c r="O16" s="696">
        <v>1040477</v>
      </c>
      <c r="P16" s="697">
        <v>895831</v>
      </c>
      <c r="Q16" s="230"/>
      <c r="R16" s="230"/>
      <c r="S16" s="230"/>
      <c r="T16" s="230"/>
      <c r="U16" s="230"/>
      <c r="V16" s="230"/>
      <c r="W16" s="230"/>
      <c r="X16" s="230"/>
      <c r="Y16" s="230"/>
      <c r="Z16" s="230"/>
      <c r="AA16" s="230"/>
    </row>
    <row r="17" spans="1:27" ht="16.2" thickBot="1" x14ac:dyDescent="0.35">
      <c r="A17" s="214" t="s">
        <v>282</v>
      </c>
      <c r="B17" s="702">
        <f t="shared" ref="B17:G17" si="2">B5+B11+B14+B15+B16</f>
        <v>220999000</v>
      </c>
      <c r="C17" s="702">
        <f t="shared" si="2"/>
        <v>215814564</v>
      </c>
      <c r="D17" s="702">
        <f t="shared" si="2"/>
        <v>201152259</v>
      </c>
      <c r="E17" s="702">
        <f t="shared" si="2"/>
        <v>193392516</v>
      </c>
      <c r="F17" s="702">
        <f t="shared" si="2"/>
        <v>171471114</v>
      </c>
      <c r="G17" s="702">
        <f t="shared" si="2"/>
        <v>160861444</v>
      </c>
      <c r="H17" s="703"/>
      <c r="I17" s="702">
        <f t="shared" ref="I17:P17" si="3">I5+I11+I14+I15+I16</f>
        <v>0</v>
      </c>
      <c r="J17" s="702">
        <f t="shared" si="3"/>
        <v>160330199</v>
      </c>
      <c r="K17" s="702">
        <f t="shared" si="3"/>
        <v>157240676</v>
      </c>
      <c r="L17" s="702">
        <f t="shared" si="3"/>
        <v>152372290</v>
      </c>
      <c r="M17" s="702">
        <f t="shared" si="3"/>
        <v>135166825</v>
      </c>
      <c r="N17" s="702">
        <f t="shared" si="3"/>
        <v>120465824</v>
      </c>
      <c r="O17" s="702">
        <f t="shared" si="3"/>
        <v>117388780</v>
      </c>
      <c r="P17" s="703">
        <f t="shared" si="3"/>
        <v>116709165</v>
      </c>
      <c r="Q17" s="230"/>
      <c r="R17" s="230"/>
      <c r="S17" s="230"/>
      <c r="T17" s="230"/>
      <c r="U17" s="230"/>
      <c r="V17" s="230"/>
      <c r="W17" s="230"/>
      <c r="X17" s="230"/>
      <c r="Y17" s="230"/>
      <c r="Z17" s="230"/>
      <c r="AA17" s="230"/>
    </row>
    <row r="18" spans="1:27" ht="16.2" thickTop="1" x14ac:dyDescent="0.3">
      <c r="A18" s="214"/>
      <c r="B18" s="696"/>
      <c r="C18" s="696"/>
      <c r="D18" s="696"/>
      <c r="E18" s="696"/>
      <c r="F18" s="696"/>
      <c r="G18" s="696"/>
      <c r="H18" s="697"/>
      <c r="I18" s="698"/>
      <c r="J18" s="696"/>
      <c r="K18" s="696"/>
      <c r="L18" s="696"/>
      <c r="M18" s="696"/>
      <c r="N18" s="696"/>
      <c r="O18" s="696"/>
      <c r="P18" s="697"/>
      <c r="Q18" s="230"/>
      <c r="R18" s="230"/>
      <c r="S18" s="230"/>
      <c r="T18" s="230"/>
      <c r="U18" s="230"/>
      <c r="V18" s="230"/>
      <c r="W18" s="230"/>
      <c r="X18" s="230"/>
      <c r="Y18" s="230"/>
      <c r="Z18" s="230"/>
      <c r="AA18" s="230"/>
    </row>
    <row r="19" spans="1:27" outlineLevel="1" x14ac:dyDescent="0.3">
      <c r="A19" s="214" t="s">
        <v>164</v>
      </c>
      <c r="B19" s="698"/>
      <c r="C19" s="696">
        <v>58132746</v>
      </c>
      <c r="D19" s="696">
        <v>56978240</v>
      </c>
      <c r="E19" s="696">
        <v>54874671</v>
      </c>
      <c r="F19" s="696">
        <v>53477577</v>
      </c>
      <c r="G19" s="696">
        <v>53177813</v>
      </c>
      <c r="H19" s="697"/>
      <c r="I19" s="698"/>
      <c r="J19" s="696">
        <v>53177813</v>
      </c>
      <c r="K19" s="696">
        <v>55716465</v>
      </c>
      <c r="L19" s="696">
        <v>55129900</v>
      </c>
      <c r="M19" s="696">
        <v>51208396</v>
      </c>
      <c r="N19" s="696">
        <v>52478179</v>
      </c>
      <c r="O19" s="696">
        <v>58237471</v>
      </c>
      <c r="P19" s="697">
        <v>57676992</v>
      </c>
      <c r="Q19" s="230"/>
      <c r="R19" s="230"/>
      <c r="S19" s="230"/>
      <c r="T19" s="230"/>
      <c r="U19" s="230"/>
      <c r="V19" s="230"/>
      <c r="W19" s="230"/>
      <c r="X19" s="230"/>
      <c r="Y19" s="230"/>
      <c r="Z19" s="230"/>
      <c r="AA19" s="230"/>
    </row>
    <row r="20" spans="1:27" outlineLevel="1" x14ac:dyDescent="0.3">
      <c r="A20" s="214" t="s">
        <v>165</v>
      </c>
      <c r="B20" s="698"/>
      <c r="C20" s="696">
        <v>127001647</v>
      </c>
      <c r="D20" s="696">
        <v>117890119</v>
      </c>
      <c r="E20" s="696">
        <v>113461996</v>
      </c>
      <c r="F20" s="696">
        <v>93501325</v>
      </c>
      <c r="G20" s="696">
        <v>85519225</v>
      </c>
      <c r="H20" s="697"/>
      <c r="I20" s="698"/>
      <c r="J20" s="696">
        <v>85519225</v>
      </c>
      <c r="K20" s="696">
        <v>81450028</v>
      </c>
      <c r="L20" s="696">
        <v>77558396</v>
      </c>
      <c r="M20" s="696">
        <v>64639857</v>
      </c>
      <c r="N20" s="696">
        <v>49095130</v>
      </c>
      <c r="O20" s="696">
        <v>41317347</v>
      </c>
      <c r="P20" s="697">
        <v>41408448</v>
      </c>
      <c r="Q20" s="230"/>
      <c r="R20" s="230"/>
      <c r="S20" s="230"/>
      <c r="T20" s="230"/>
      <c r="U20" s="230"/>
      <c r="V20" s="230"/>
      <c r="W20" s="230"/>
      <c r="X20" s="230"/>
      <c r="Y20" s="230"/>
      <c r="Z20" s="230"/>
      <c r="AA20" s="230"/>
    </row>
    <row r="21" spans="1:27" x14ac:dyDescent="0.3">
      <c r="A21" s="214" t="s">
        <v>166</v>
      </c>
      <c r="B21" s="704">
        <v>187223000</v>
      </c>
      <c r="C21" s="704">
        <f t="shared" ref="C21:G21" si="4">SUM(C19:C20)</f>
        <v>185134393</v>
      </c>
      <c r="D21" s="704">
        <f t="shared" si="4"/>
        <v>174868359</v>
      </c>
      <c r="E21" s="704">
        <f t="shared" si="4"/>
        <v>168336667</v>
      </c>
      <c r="F21" s="704">
        <f>SUM(F19:F20)</f>
        <v>146978902</v>
      </c>
      <c r="G21" s="704">
        <f t="shared" si="4"/>
        <v>138697038</v>
      </c>
      <c r="H21" s="705"/>
      <c r="I21" s="706"/>
      <c r="J21" s="704">
        <f t="shared" ref="J21:P21" si="5">SUM(J19:J20)</f>
        <v>138697038</v>
      </c>
      <c r="K21" s="704">
        <f t="shared" si="5"/>
        <v>137166493</v>
      </c>
      <c r="L21" s="704">
        <f t="shared" si="5"/>
        <v>132688296</v>
      </c>
      <c r="M21" s="704">
        <f t="shared" si="5"/>
        <v>115848253</v>
      </c>
      <c r="N21" s="704">
        <f t="shared" si="5"/>
        <v>101573309</v>
      </c>
      <c r="O21" s="704">
        <f t="shared" si="5"/>
        <v>99554818</v>
      </c>
      <c r="P21" s="705">
        <f t="shared" si="5"/>
        <v>99085440</v>
      </c>
      <c r="Q21" s="230"/>
      <c r="R21" s="230"/>
      <c r="S21" s="230"/>
      <c r="T21" s="230"/>
      <c r="U21" s="230"/>
      <c r="V21" s="230"/>
      <c r="W21" s="230"/>
      <c r="X21" s="230"/>
      <c r="Y21" s="230"/>
      <c r="Z21" s="230"/>
      <c r="AA21" s="230"/>
    </row>
    <row r="22" spans="1:27" ht="18.600000000000001" x14ac:dyDescent="0.3">
      <c r="A22" s="214" t="s">
        <v>1390</v>
      </c>
      <c r="B22" s="696">
        <v>3367000</v>
      </c>
      <c r="C22" s="696">
        <v>2356584</v>
      </c>
      <c r="D22" s="696">
        <v>0</v>
      </c>
      <c r="E22" s="696">
        <v>0</v>
      </c>
      <c r="F22" s="696">
        <v>1000000</v>
      </c>
      <c r="G22" s="696">
        <v>0</v>
      </c>
      <c r="H22" s="697"/>
      <c r="I22" s="698"/>
      <c r="J22" s="696">
        <v>0</v>
      </c>
      <c r="K22" s="696">
        <v>0</v>
      </c>
      <c r="L22" s="696">
        <v>0</v>
      </c>
      <c r="M22" s="696">
        <v>0</v>
      </c>
      <c r="N22" s="696">
        <v>0</v>
      </c>
      <c r="O22" s="696">
        <v>0</v>
      </c>
      <c r="P22" s="697">
        <v>0</v>
      </c>
      <c r="Q22" s="230"/>
      <c r="R22" s="230"/>
      <c r="S22" s="230"/>
      <c r="T22" s="230"/>
      <c r="U22" s="230"/>
      <c r="V22" s="230"/>
      <c r="W22" s="230"/>
      <c r="X22" s="230"/>
      <c r="Y22" s="230"/>
      <c r="Z22" s="230"/>
      <c r="AA22" s="230"/>
    </row>
    <row r="23" spans="1:27" x14ac:dyDescent="0.3">
      <c r="A23" s="214" t="s">
        <v>167</v>
      </c>
      <c r="B23" s="696">
        <v>2821000</v>
      </c>
      <c r="C23" s="696">
        <v>2413309</v>
      </c>
      <c r="D23" s="696">
        <v>1716594</v>
      </c>
      <c r="E23" s="696">
        <v>1628082</v>
      </c>
      <c r="F23" s="696">
        <v>1411487</v>
      </c>
      <c r="G23" s="696">
        <v>1222737</v>
      </c>
      <c r="H23" s="697"/>
      <c r="I23" s="698"/>
      <c r="J23" s="696">
        <v>1005234</v>
      </c>
      <c r="K23" s="696">
        <v>835154</v>
      </c>
      <c r="L23" s="696">
        <v>886645</v>
      </c>
      <c r="M23" s="696">
        <v>813769</v>
      </c>
      <c r="N23" s="696">
        <v>679122</v>
      </c>
      <c r="O23" s="696">
        <v>638453</v>
      </c>
      <c r="P23" s="697">
        <v>783194</v>
      </c>
      <c r="Q23" s="230"/>
      <c r="R23" s="230"/>
      <c r="S23" s="230"/>
      <c r="T23" s="230"/>
      <c r="U23" s="230"/>
      <c r="V23" s="230"/>
      <c r="W23" s="230"/>
      <c r="X23" s="230"/>
      <c r="Y23" s="230"/>
      <c r="Z23" s="230"/>
      <c r="AA23" s="230"/>
    </row>
    <row r="24" spans="1:27" x14ac:dyDescent="0.3">
      <c r="A24" s="214" t="s">
        <v>136</v>
      </c>
      <c r="B24" s="704">
        <f t="shared" ref="B24:G24" si="6">B21+B22+B23</f>
        <v>193411000</v>
      </c>
      <c r="C24" s="704">
        <f t="shared" si="6"/>
        <v>189904286</v>
      </c>
      <c r="D24" s="704">
        <f t="shared" si="6"/>
        <v>176584953</v>
      </c>
      <c r="E24" s="704">
        <f t="shared" si="6"/>
        <v>169964749</v>
      </c>
      <c r="F24" s="704">
        <f t="shared" si="6"/>
        <v>149390389</v>
      </c>
      <c r="G24" s="704">
        <f t="shared" si="6"/>
        <v>139919775</v>
      </c>
      <c r="H24" s="705"/>
      <c r="I24" s="704">
        <f t="shared" ref="I24:P24" si="7">I21+I22+I23</f>
        <v>0</v>
      </c>
      <c r="J24" s="704">
        <f t="shared" si="7"/>
        <v>139702272</v>
      </c>
      <c r="K24" s="704">
        <f t="shared" si="7"/>
        <v>138001647</v>
      </c>
      <c r="L24" s="704">
        <f t="shared" si="7"/>
        <v>133574941</v>
      </c>
      <c r="M24" s="704">
        <f t="shared" si="7"/>
        <v>116662022</v>
      </c>
      <c r="N24" s="704">
        <f t="shared" si="7"/>
        <v>102252431</v>
      </c>
      <c r="O24" s="704">
        <f t="shared" si="7"/>
        <v>100193271</v>
      </c>
      <c r="P24" s="705">
        <f t="shared" si="7"/>
        <v>99868634</v>
      </c>
      <c r="Q24" s="230"/>
      <c r="R24" s="230"/>
      <c r="S24" s="230"/>
      <c r="T24" s="230"/>
      <c r="U24" s="230"/>
      <c r="V24" s="230"/>
      <c r="W24" s="230"/>
      <c r="X24" s="230"/>
      <c r="Y24" s="230"/>
      <c r="Z24" s="230"/>
      <c r="AA24" s="230"/>
    </row>
    <row r="25" spans="1:27" x14ac:dyDescent="0.3">
      <c r="A25" s="214"/>
      <c r="B25" s="696"/>
      <c r="C25" s="696"/>
      <c r="D25" s="696"/>
      <c r="E25" s="696"/>
      <c r="F25" s="696"/>
      <c r="G25" s="696"/>
      <c r="H25" s="697"/>
      <c r="I25" s="698"/>
      <c r="J25" s="696"/>
      <c r="K25" s="696"/>
      <c r="L25" s="696"/>
      <c r="M25" s="696"/>
      <c r="N25" s="696"/>
      <c r="O25" s="696"/>
      <c r="P25" s="697"/>
      <c r="Q25" s="230"/>
      <c r="R25" s="230"/>
      <c r="S25" s="230"/>
      <c r="T25" s="230"/>
      <c r="U25" s="230"/>
      <c r="V25" s="230"/>
      <c r="W25" s="230"/>
      <c r="X25" s="230"/>
      <c r="Y25" s="230"/>
      <c r="Z25" s="230"/>
      <c r="AA25" s="230"/>
    </row>
    <row r="26" spans="1:27" hidden="1" outlineLevel="1" x14ac:dyDescent="0.3">
      <c r="A26" s="214" t="s">
        <v>169</v>
      </c>
      <c r="B26" s="695"/>
      <c r="C26" s="696">
        <v>5000000</v>
      </c>
      <c r="D26" s="696">
        <v>5000000</v>
      </c>
      <c r="E26" s="696">
        <v>5000000</v>
      </c>
      <c r="F26" s="696">
        <v>5000000</v>
      </c>
      <c r="G26" s="696">
        <v>5000000</v>
      </c>
      <c r="H26" s="697"/>
      <c r="I26" s="698"/>
      <c r="J26" s="696">
        <v>5000000</v>
      </c>
      <c r="K26" s="696">
        <v>5000000</v>
      </c>
      <c r="L26" s="696">
        <v>5000000</v>
      </c>
      <c r="M26" s="696">
        <v>5000000</v>
      </c>
      <c r="N26" s="696">
        <v>2000000</v>
      </c>
      <c r="O26" s="696">
        <v>2000000</v>
      </c>
      <c r="P26" s="697">
        <v>2000000</v>
      </c>
      <c r="Q26" s="230"/>
      <c r="R26" s="230"/>
      <c r="S26" s="230"/>
      <c r="T26" s="230"/>
      <c r="U26" s="230"/>
      <c r="V26" s="230"/>
      <c r="W26" s="230"/>
      <c r="X26" s="230"/>
      <c r="Y26" s="230"/>
      <c r="Z26" s="230"/>
      <c r="AA26" s="230"/>
    </row>
    <row r="27" spans="1:27" hidden="1" outlineLevel="1" x14ac:dyDescent="0.3">
      <c r="A27" s="214" t="s">
        <v>170</v>
      </c>
      <c r="B27" s="695"/>
      <c r="C27" s="696">
        <v>5000000</v>
      </c>
      <c r="D27" s="696">
        <v>5000000</v>
      </c>
      <c r="E27" s="696">
        <v>5000000</v>
      </c>
      <c r="F27" s="696">
        <v>5000000</v>
      </c>
      <c r="G27" s="696">
        <v>5000000</v>
      </c>
      <c r="H27" s="697"/>
      <c r="I27" s="698"/>
      <c r="J27" s="696">
        <v>5000000</v>
      </c>
      <c r="K27" s="696">
        <v>5000000</v>
      </c>
      <c r="L27" s="696">
        <v>5000000</v>
      </c>
      <c r="M27" s="696">
        <v>5000000</v>
      </c>
      <c r="N27" s="696">
        <v>5000000</v>
      </c>
      <c r="O27" s="696">
        <v>5027442</v>
      </c>
      <c r="P27" s="697">
        <v>5027442</v>
      </c>
      <c r="Q27" s="230"/>
      <c r="R27" s="230"/>
      <c r="S27" s="230"/>
      <c r="T27" s="230"/>
      <c r="U27" s="230"/>
      <c r="V27" s="230"/>
      <c r="W27" s="230"/>
      <c r="X27" s="230"/>
      <c r="Y27" s="230"/>
      <c r="Z27" s="230"/>
      <c r="AA27" s="230"/>
    </row>
    <row r="28" spans="1:27" hidden="1" outlineLevel="1" x14ac:dyDescent="0.3">
      <c r="A28" s="214" t="s">
        <v>171</v>
      </c>
      <c r="B28" s="695"/>
      <c r="C28" s="696">
        <v>14610045</v>
      </c>
      <c r="D28" s="696">
        <v>13266149</v>
      </c>
      <c r="E28" s="696">
        <v>12124955</v>
      </c>
      <c r="F28" s="696">
        <v>10771923</v>
      </c>
      <c r="G28" s="696">
        <v>9940669</v>
      </c>
      <c r="H28" s="697"/>
      <c r="I28" s="698"/>
      <c r="J28" s="696">
        <v>9626927</v>
      </c>
      <c r="K28" s="696">
        <v>8238029</v>
      </c>
      <c r="L28" s="696">
        <v>7796349</v>
      </c>
      <c r="M28" s="696">
        <v>7503803</v>
      </c>
      <c r="N28" s="696">
        <v>10137393</v>
      </c>
      <c r="O28" s="696">
        <v>9092067</v>
      </c>
      <c r="P28" s="697">
        <v>8737089</v>
      </c>
      <c r="Q28" s="230"/>
      <c r="R28" s="230"/>
      <c r="S28" s="230"/>
      <c r="T28" s="230"/>
      <c r="U28" s="230"/>
      <c r="V28" s="230"/>
      <c r="W28" s="230"/>
      <c r="X28" s="230"/>
      <c r="Y28" s="230"/>
      <c r="Z28" s="230"/>
      <c r="AA28" s="230"/>
    </row>
    <row r="29" spans="1:27" hidden="1" outlineLevel="1" x14ac:dyDescent="0.3">
      <c r="A29" s="214" t="s">
        <v>172</v>
      </c>
      <c r="B29" s="695"/>
      <c r="C29" s="696">
        <v>1300233</v>
      </c>
      <c r="D29" s="696">
        <v>1301157</v>
      </c>
      <c r="E29" s="696">
        <v>1302812</v>
      </c>
      <c r="F29" s="696">
        <v>1308802</v>
      </c>
      <c r="G29" s="696">
        <v>1001000</v>
      </c>
      <c r="H29" s="697"/>
      <c r="I29" s="698"/>
      <c r="J29" s="696">
        <v>1001000</v>
      </c>
      <c r="K29" s="696">
        <v>1001000</v>
      </c>
      <c r="L29" s="696">
        <v>1001000</v>
      </c>
      <c r="M29" s="696">
        <v>1001000</v>
      </c>
      <c r="N29" s="696">
        <v>1001000</v>
      </c>
      <c r="O29" s="696">
        <v>1001000</v>
      </c>
      <c r="P29" s="697">
        <v>1001000</v>
      </c>
      <c r="Q29" s="230"/>
      <c r="R29" s="230"/>
      <c r="S29" s="230"/>
      <c r="T29" s="230"/>
      <c r="U29" s="230"/>
      <c r="V29" s="230"/>
      <c r="W29" s="230"/>
      <c r="X29" s="230"/>
      <c r="Y29" s="230"/>
      <c r="Z29" s="230"/>
      <c r="AA29" s="230"/>
    </row>
    <row r="30" spans="1:27" hidden="1" outlineLevel="1" x14ac:dyDescent="0.3">
      <c r="A30" s="214" t="s">
        <v>173</v>
      </c>
      <c r="B30" s="695"/>
      <c r="C30" s="696">
        <v>0</v>
      </c>
      <c r="D30" s="696">
        <v>0</v>
      </c>
      <c r="E30" s="696">
        <v>0</v>
      </c>
      <c r="F30" s="696">
        <v>0</v>
      </c>
      <c r="G30" s="696">
        <v>0</v>
      </c>
      <c r="H30" s="697"/>
      <c r="I30" s="698"/>
      <c r="J30" s="696">
        <v>0</v>
      </c>
      <c r="K30" s="696">
        <v>0</v>
      </c>
      <c r="L30" s="696">
        <v>0</v>
      </c>
      <c r="M30" s="696">
        <v>0</v>
      </c>
      <c r="N30" s="696">
        <v>75000</v>
      </c>
      <c r="O30" s="696">
        <v>75000</v>
      </c>
      <c r="P30" s="697">
        <v>75000</v>
      </c>
      <c r="Q30" s="230"/>
      <c r="R30" s="230"/>
      <c r="S30" s="230"/>
      <c r="T30" s="230"/>
      <c r="U30" s="230"/>
      <c r="V30" s="230"/>
      <c r="W30" s="230"/>
      <c r="X30" s="230"/>
      <c r="Y30" s="230"/>
      <c r="Z30" s="230"/>
      <c r="AA30" s="230"/>
    </row>
    <row r="31" spans="1:27" collapsed="1" x14ac:dyDescent="0.3">
      <c r="A31" s="214" t="s">
        <v>174</v>
      </c>
      <c r="B31" s="696">
        <v>27588000</v>
      </c>
      <c r="C31" s="696">
        <f t="shared" ref="C31:G31" si="8">SUM(C26:C30)</f>
        <v>25910278</v>
      </c>
      <c r="D31" s="696">
        <f t="shared" si="8"/>
        <v>24567306</v>
      </c>
      <c r="E31" s="696">
        <f t="shared" si="8"/>
        <v>23427767</v>
      </c>
      <c r="F31" s="696">
        <f>SUM(F26:F30)</f>
        <v>22080725</v>
      </c>
      <c r="G31" s="696">
        <f t="shared" si="8"/>
        <v>20941669</v>
      </c>
      <c r="H31" s="697"/>
      <c r="I31" s="698"/>
      <c r="J31" s="696">
        <f t="shared" ref="J31:P31" si="9">SUM(J26:J30)</f>
        <v>20627927</v>
      </c>
      <c r="K31" s="696">
        <f t="shared" si="9"/>
        <v>19239029</v>
      </c>
      <c r="L31" s="696">
        <f t="shared" si="9"/>
        <v>18797349</v>
      </c>
      <c r="M31" s="696">
        <f t="shared" si="9"/>
        <v>18504803</v>
      </c>
      <c r="N31" s="696">
        <f t="shared" si="9"/>
        <v>18213393</v>
      </c>
      <c r="O31" s="696">
        <f t="shared" si="9"/>
        <v>17195509</v>
      </c>
      <c r="P31" s="697">
        <f t="shared" si="9"/>
        <v>16840531</v>
      </c>
      <c r="Q31" s="230"/>
      <c r="R31" s="230"/>
      <c r="S31" s="230"/>
      <c r="T31" s="230"/>
      <c r="U31" s="230"/>
      <c r="V31" s="230"/>
      <c r="W31" s="230"/>
      <c r="X31" s="230"/>
      <c r="Y31" s="230"/>
      <c r="Z31" s="230"/>
      <c r="AA31" s="230"/>
    </row>
    <row r="32" spans="1:27" ht="16.2" thickBot="1" x14ac:dyDescent="0.35">
      <c r="A32" s="214" t="s">
        <v>175</v>
      </c>
      <c r="B32" s="710">
        <f>B24+B31+B13</f>
        <v>220999000</v>
      </c>
      <c r="C32" s="710">
        <f>C24+C31+C13</f>
        <v>215814564</v>
      </c>
      <c r="D32" s="710">
        <f>D24+D31+D13</f>
        <v>201152259</v>
      </c>
      <c r="E32" s="710">
        <f>E24+E31+E13</f>
        <v>193392516</v>
      </c>
      <c r="F32" s="710">
        <f>F24+F31</f>
        <v>171471114</v>
      </c>
      <c r="G32" s="710">
        <f>G24+G31</f>
        <v>160861444</v>
      </c>
      <c r="H32" s="711"/>
      <c r="I32" s="710">
        <f t="shared" ref="I32:P32" si="10">I24+I31</f>
        <v>0</v>
      </c>
      <c r="J32" s="710">
        <f t="shared" si="10"/>
        <v>160330199</v>
      </c>
      <c r="K32" s="710">
        <f t="shared" si="10"/>
        <v>157240676</v>
      </c>
      <c r="L32" s="710">
        <f t="shared" si="10"/>
        <v>152372290</v>
      </c>
      <c r="M32" s="710">
        <f t="shared" si="10"/>
        <v>135166825</v>
      </c>
      <c r="N32" s="710">
        <f t="shared" si="10"/>
        <v>120465824</v>
      </c>
      <c r="O32" s="710">
        <f t="shared" si="10"/>
        <v>117388780</v>
      </c>
      <c r="P32" s="711">
        <f t="shared" si="10"/>
        <v>116709165</v>
      </c>
      <c r="Q32" s="230"/>
      <c r="R32" s="230"/>
      <c r="S32" s="230"/>
      <c r="T32" s="230"/>
      <c r="U32" s="230"/>
      <c r="V32" s="230"/>
      <c r="W32" s="230"/>
      <c r="X32" s="230"/>
      <c r="Y32" s="230"/>
      <c r="Z32" s="230"/>
      <c r="AA32" s="230"/>
    </row>
    <row r="33" spans="1:27" s="345" customFormat="1" ht="16.2" hidden="1" outlineLevel="1" thickTop="1" x14ac:dyDescent="0.3">
      <c r="A33" s="342" t="s">
        <v>20</v>
      </c>
      <c r="B33" s="687">
        <f t="shared" ref="B33:G33" si="11">B17-B32</f>
        <v>0</v>
      </c>
      <c r="C33" s="687">
        <f t="shared" si="11"/>
        <v>0</v>
      </c>
      <c r="D33" s="687">
        <f t="shared" si="11"/>
        <v>0</v>
      </c>
      <c r="E33" s="687">
        <f t="shared" si="11"/>
        <v>0</v>
      </c>
      <c r="F33" s="687">
        <f t="shared" si="11"/>
        <v>0</v>
      </c>
      <c r="G33" s="687">
        <f t="shared" si="11"/>
        <v>0</v>
      </c>
      <c r="H33" s="260"/>
      <c r="I33" s="686"/>
      <c r="J33" s="687">
        <f t="shared" ref="J33:P33" si="12">J17-J32</f>
        <v>0</v>
      </c>
      <c r="K33" s="687">
        <f t="shared" si="12"/>
        <v>0</v>
      </c>
      <c r="L33" s="687">
        <f t="shared" si="12"/>
        <v>0</v>
      </c>
      <c r="M33" s="687">
        <f t="shared" si="12"/>
        <v>0</v>
      </c>
      <c r="N33" s="687">
        <f t="shared" si="12"/>
        <v>0</v>
      </c>
      <c r="O33" s="687">
        <f t="shared" si="12"/>
        <v>0</v>
      </c>
      <c r="P33" s="344">
        <f t="shared" si="12"/>
        <v>0</v>
      </c>
      <c r="Q33" s="343"/>
      <c r="R33" s="343"/>
      <c r="S33" s="343"/>
      <c r="T33" s="343"/>
      <c r="U33" s="343"/>
      <c r="V33" s="343"/>
      <c r="W33" s="343"/>
      <c r="X33" s="343"/>
      <c r="Y33" s="343"/>
      <c r="Z33" s="343"/>
      <c r="AA33" s="343"/>
    </row>
    <row r="34" spans="1:27" ht="16.2" collapsed="1" thickTop="1" x14ac:dyDescent="0.3">
      <c r="A34" s="214"/>
      <c r="B34" s="220"/>
      <c r="C34" s="220"/>
      <c r="D34" s="220"/>
      <c r="E34" s="220"/>
      <c r="F34" s="220"/>
      <c r="G34" s="220"/>
      <c r="H34" s="223"/>
      <c r="I34" s="684"/>
      <c r="J34" s="220"/>
      <c r="K34" s="220"/>
      <c r="L34" s="220"/>
      <c r="M34" s="220"/>
      <c r="N34" s="220"/>
      <c r="O34" s="220"/>
      <c r="P34" s="223"/>
    </row>
    <row r="35" spans="1:27" x14ac:dyDescent="0.3">
      <c r="A35" s="214"/>
      <c r="B35" s="220"/>
      <c r="C35" s="220"/>
      <c r="D35" s="220"/>
      <c r="E35" s="220"/>
      <c r="F35" s="220"/>
      <c r="G35" s="220"/>
      <c r="H35" s="220"/>
      <c r="I35" s="684"/>
      <c r="J35" s="220"/>
      <c r="K35" s="220"/>
      <c r="L35" s="220"/>
      <c r="M35" s="220"/>
      <c r="N35" s="220"/>
      <c r="O35" s="220"/>
      <c r="P35" s="223"/>
    </row>
    <row r="36" spans="1:27" ht="15.75" customHeight="1" x14ac:dyDescent="0.3">
      <c r="A36" s="2799" t="s">
        <v>1395</v>
      </c>
      <c r="B36" s="2800"/>
      <c r="C36" s="2800"/>
      <c r="D36" s="2800"/>
      <c r="E36" s="2800"/>
      <c r="F36" s="2800"/>
      <c r="G36" s="2800"/>
      <c r="H36" s="2800"/>
      <c r="I36" s="2800"/>
      <c r="J36" s="2800"/>
      <c r="K36" s="2800"/>
      <c r="L36" s="2800"/>
      <c r="M36" s="2800"/>
      <c r="N36" s="2800"/>
      <c r="O36" s="2800"/>
      <c r="P36" s="2801"/>
    </row>
    <row r="37" spans="1:27" x14ac:dyDescent="0.3">
      <c r="A37" s="2799"/>
      <c r="B37" s="2800"/>
      <c r="C37" s="2800"/>
      <c r="D37" s="2800"/>
      <c r="E37" s="2800"/>
      <c r="F37" s="2800"/>
      <c r="G37" s="2800"/>
      <c r="H37" s="2800"/>
      <c r="I37" s="2800"/>
      <c r="J37" s="2800"/>
      <c r="K37" s="2800"/>
      <c r="L37" s="2800"/>
      <c r="M37" s="2800"/>
      <c r="N37" s="2800"/>
      <c r="O37" s="2800"/>
      <c r="P37" s="2801"/>
    </row>
    <row r="38" spans="1:27" ht="16.2" thickBot="1" x14ac:dyDescent="0.35">
      <c r="A38" s="9" t="s">
        <v>1393</v>
      </c>
      <c r="B38" s="25"/>
      <c r="C38" s="25"/>
      <c r="D38" s="25"/>
      <c r="E38" s="25"/>
      <c r="F38" s="25"/>
      <c r="G38" s="25"/>
      <c r="H38" s="25"/>
      <c r="I38" s="81"/>
      <c r="J38" s="25"/>
      <c r="K38" s="25"/>
      <c r="L38" s="25"/>
      <c r="M38" s="25"/>
      <c r="N38" s="25"/>
      <c r="O38" s="25"/>
      <c r="P38" s="26"/>
    </row>
    <row r="39" spans="1:27" x14ac:dyDescent="0.3">
      <c r="A39" s="12" t="s">
        <v>1394</v>
      </c>
      <c r="B39" s="1"/>
      <c r="C39" s="1"/>
      <c r="D39" s="1"/>
      <c r="E39" s="1"/>
      <c r="F39" s="1"/>
      <c r="G39" s="1"/>
      <c r="H39" s="1"/>
      <c r="I39" s="82"/>
      <c r="J39" s="1"/>
      <c r="K39" s="1"/>
      <c r="L39" s="1"/>
      <c r="M39" s="1"/>
      <c r="N39" s="1"/>
      <c r="O39" s="1"/>
      <c r="P39" s="1"/>
    </row>
    <row r="40" spans="1:27" x14ac:dyDescent="0.3">
      <c r="A40" s="1"/>
      <c r="B40" s="1"/>
      <c r="C40" s="1"/>
      <c r="D40" s="1"/>
      <c r="E40" s="1"/>
      <c r="F40" s="1"/>
      <c r="G40" s="1"/>
      <c r="H40" s="1"/>
      <c r="I40" s="82"/>
      <c r="J40" s="1"/>
      <c r="K40" s="1"/>
      <c r="L40" s="1"/>
      <c r="M40" s="1"/>
      <c r="N40" s="1"/>
      <c r="O40" s="1"/>
      <c r="P40" s="1"/>
    </row>
    <row r="41" spans="1:27" s="372" customFormat="1" x14ac:dyDescent="0.3">
      <c r="A41" s="445"/>
      <c r="B41" s="445"/>
      <c r="C41" s="445"/>
      <c r="D41" s="445"/>
      <c r="E41" s="445"/>
      <c r="F41" s="445"/>
      <c r="G41" s="445"/>
      <c r="H41" s="445"/>
      <c r="I41" s="445"/>
      <c r="J41" s="445"/>
      <c r="K41" s="445"/>
      <c r="L41" s="445"/>
      <c r="M41" s="445"/>
      <c r="N41" s="445"/>
      <c r="O41" s="445"/>
      <c r="P41" s="445"/>
    </row>
    <row r="42" spans="1:27" x14ac:dyDescent="0.3">
      <c r="A42" s="286"/>
      <c r="B42" s="211"/>
      <c r="C42" s="211"/>
      <c r="D42" s="211"/>
      <c r="E42" s="211"/>
      <c r="F42" s="211"/>
    </row>
    <row r="43" spans="1:27" x14ac:dyDescent="0.3">
      <c r="A43" s="286"/>
      <c r="B43" s="211"/>
      <c r="C43" s="211"/>
      <c r="D43" s="211"/>
      <c r="E43" s="211"/>
      <c r="F43" s="211"/>
    </row>
    <row r="44" spans="1:27" x14ac:dyDescent="0.3">
      <c r="A44" s="286"/>
      <c r="B44" s="211"/>
      <c r="C44" s="211"/>
      <c r="D44" s="211"/>
      <c r="E44" s="211"/>
      <c r="F44" s="211"/>
    </row>
    <row r="45" spans="1:27" x14ac:dyDescent="0.3">
      <c r="A45" s="286"/>
      <c r="B45" s="211"/>
      <c r="C45" s="211"/>
      <c r="D45" s="211"/>
      <c r="E45" s="211"/>
      <c r="F45" s="211"/>
    </row>
    <row r="46" spans="1:27" s="612" customFormat="1" x14ac:dyDescent="0.3">
      <c r="A46" s="459" t="s">
        <v>1332</v>
      </c>
    </row>
    <row r="47" spans="1:27" x14ac:dyDescent="0.3">
      <c r="A47" s="152" t="s">
        <v>1401</v>
      </c>
      <c r="B47" s="211"/>
      <c r="C47" s="211"/>
      <c r="D47" s="211"/>
      <c r="E47" s="211"/>
      <c r="F47" s="211"/>
      <c r="J47" s="211" t="s">
        <v>395</v>
      </c>
    </row>
    <row r="48" spans="1:27" ht="9" customHeight="1" thickBot="1" x14ac:dyDescent="0.35">
      <c r="A48" s="152"/>
      <c r="B48" s="211"/>
      <c r="C48" s="211"/>
      <c r="D48" s="211"/>
      <c r="E48" s="211"/>
      <c r="F48" s="211"/>
    </row>
    <row r="49" spans="1:16" x14ac:dyDescent="0.3">
      <c r="A49" s="212" t="s">
        <v>1204</v>
      </c>
      <c r="B49" s="712">
        <v>1979</v>
      </c>
      <c r="C49" s="712">
        <v>1978</v>
      </c>
      <c r="D49" s="712">
        <v>1977</v>
      </c>
      <c r="E49" s="712">
        <v>1976</v>
      </c>
      <c r="F49" s="712">
        <v>1975</v>
      </c>
      <c r="G49" s="712">
        <v>1974</v>
      </c>
      <c r="H49" s="713"/>
      <c r="I49" s="714"/>
      <c r="J49" s="712">
        <v>1974</v>
      </c>
      <c r="K49" s="712">
        <v>1973</v>
      </c>
      <c r="L49" s="712">
        <v>1972</v>
      </c>
      <c r="M49" s="712">
        <v>1971</v>
      </c>
      <c r="N49" s="712">
        <v>1970</v>
      </c>
      <c r="O49" s="712">
        <v>1969</v>
      </c>
      <c r="P49" s="713">
        <v>1968</v>
      </c>
    </row>
    <row r="50" spans="1:16" outlineLevel="1" x14ac:dyDescent="0.3">
      <c r="A50" s="214" t="s">
        <v>177</v>
      </c>
      <c r="B50" s="685"/>
      <c r="C50" s="442">
        <v>6479704</v>
      </c>
      <c r="D50" s="442">
        <v>5479848</v>
      </c>
      <c r="E50" s="442">
        <v>5092525</v>
      </c>
      <c r="F50" s="442">
        <v>5711826</v>
      </c>
      <c r="G50" s="442">
        <v>6607862</v>
      </c>
      <c r="H50" s="251"/>
      <c r="I50" s="685"/>
      <c r="J50" s="442">
        <v>6607862</v>
      </c>
      <c r="K50" s="442">
        <v>5316152</v>
      </c>
      <c r="L50" s="442">
        <v>4134013</v>
      </c>
      <c r="M50" s="442">
        <v>4006094</v>
      </c>
      <c r="N50" s="442">
        <v>4129567</v>
      </c>
      <c r="O50" s="442">
        <v>3820358</v>
      </c>
      <c r="P50" s="251">
        <v>3431019</v>
      </c>
    </row>
    <row r="51" spans="1:16" outlineLevel="1" x14ac:dyDescent="0.3">
      <c r="A51" s="214" t="s">
        <v>178</v>
      </c>
      <c r="B51" s="691"/>
      <c r="C51" s="584">
        <v>298069</v>
      </c>
      <c r="D51" s="584">
        <v>287622</v>
      </c>
      <c r="E51" s="584">
        <v>225353</v>
      </c>
      <c r="F51" s="584">
        <v>213649</v>
      </c>
      <c r="G51" s="584">
        <v>361452</v>
      </c>
      <c r="H51" s="586"/>
      <c r="I51" s="691"/>
      <c r="J51" s="584">
        <v>361452</v>
      </c>
      <c r="K51" s="584">
        <v>236853</v>
      </c>
      <c r="L51" s="584">
        <v>109905</v>
      </c>
      <c r="M51" s="584">
        <v>109271</v>
      </c>
      <c r="N51" s="584">
        <v>316798</v>
      </c>
      <c r="O51" s="584">
        <v>392335</v>
      </c>
      <c r="P51" s="586">
        <v>319556</v>
      </c>
    </row>
    <row r="52" spans="1:16" outlineLevel="1" x14ac:dyDescent="0.3">
      <c r="A52" s="221" t="s">
        <v>179</v>
      </c>
      <c r="B52" s="584"/>
      <c r="C52" s="584"/>
      <c r="D52" s="584"/>
      <c r="E52" s="584"/>
      <c r="F52" s="584"/>
      <c r="G52" s="584"/>
      <c r="H52" s="586"/>
      <c r="I52" s="691"/>
      <c r="J52" s="584"/>
      <c r="K52" s="584"/>
      <c r="L52" s="584"/>
      <c r="M52" s="584"/>
      <c r="N52" s="584"/>
      <c r="O52" s="584"/>
      <c r="P52" s="586"/>
    </row>
    <row r="53" spans="1:16" outlineLevel="1" x14ac:dyDescent="0.3">
      <c r="A53" s="214" t="s">
        <v>1402</v>
      </c>
      <c r="B53" s="691"/>
      <c r="C53" s="584">
        <f>99355+3170672</f>
        <v>3270027</v>
      </c>
      <c r="D53" s="584">
        <f>172484+2098230</f>
        <v>2270714</v>
      </c>
      <c r="E53" s="584">
        <f>1075950+1415317</f>
        <v>2491267</v>
      </c>
      <c r="F53" s="584">
        <f>701175+913791</f>
        <v>1614966</v>
      </c>
      <c r="G53" s="584">
        <f>42986+898579</f>
        <v>941565</v>
      </c>
      <c r="H53" s="586"/>
      <c r="I53" s="691"/>
      <c r="J53" s="584">
        <f>42986+898579</f>
        <v>941565</v>
      </c>
      <c r="K53" s="584">
        <v>632176</v>
      </c>
      <c r="L53" s="584">
        <v>598308</v>
      </c>
      <c r="M53" s="584">
        <v>708058</v>
      </c>
      <c r="N53" s="584">
        <v>568926</v>
      </c>
      <c r="O53" s="584">
        <v>1003301</v>
      </c>
      <c r="P53" s="586">
        <v>1419708</v>
      </c>
    </row>
    <row r="54" spans="1:16" outlineLevel="1" x14ac:dyDescent="0.3">
      <c r="A54" s="214" t="s">
        <v>159</v>
      </c>
      <c r="B54" s="691"/>
      <c r="C54" s="584">
        <v>4032161</v>
      </c>
      <c r="D54" s="584">
        <v>3848051</v>
      </c>
      <c r="E54" s="584">
        <v>3255184</v>
      </c>
      <c r="F54" s="584">
        <v>2853496</v>
      </c>
      <c r="G54" s="584">
        <v>2797632</v>
      </c>
      <c r="H54" s="586"/>
      <c r="I54" s="691"/>
      <c r="J54" s="584">
        <v>2797632</v>
      </c>
      <c r="K54" s="584">
        <v>2795721</v>
      </c>
      <c r="L54" s="584">
        <v>2677138</v>
      </c>
      <c r="M54" s="584">
        <v>2093649</v>
      </c>
      <c r="N54" s="584">
        <v>1717256</v>
      </c>
      <c r="O54" s="584">
        <v>1154524</v>
      </c>
      <c r="P54" s="586">
        <v>531755</v>
      </c>
    </row>
    <row r="55" spans="1:16" outlineLevel="1" x14ac:dyDescent="0.3">
      <c r="A55" s="214" t="s">
        <v>1403</v>
      </c>
      <c r="B55" s="691"/>
      <c r="C55" s="691">
        <v>0</v>
      </c>
      <c r="D55" s="691">
        <v>0</v>
      </c>
      <c r="E55" s="691">
        <v>0</v>
      </c>
      <c r="F55" s="584">
        <v>203531</v>
      </c>
      <c r="G55" s="691">
        <v>0</v>
      </c>
      <c r="H55" s="2175"/>
      <c r="I55" s="691"/>
      <c r="J55" s="691"/>
      <c r="K55" s="691"/>
      <c r="L55" s="691"/>
      <c r="M55" s="691"/>
      <c r="N55" s="691"/>
      <c r="O55" s="691"/>
      <c r="P55" s="2175"/>
    </row>
    <row r="56" spans="1:16" outlineLevel="1" x14ac:dyDescent="0.3">
      <c r="A56" s="214" t="s">
        <v>367</v>
      </c>
      <c r="B56" s="691"/>
      <c r="C56" s="584">
        <v>18000</v>
      </c>
      <c r="D56" s="584">
        <v>18000</v>
      </c>
      <c r="E56" s="584">
        <v>18000</v>
      </c>
      <c r="F56" s="584">
        <v>18000</v>
      </c>
      <c r="G56" s="691"/>
      <c r="H56" s="2175"/>
      <c r="I56" s="691"/>
      <c r="J56" s="691"/>
      <c r="K56" s="691"/>
      <c r="L56" s="691"/>
      <c r="M56" s="691"/>
      <c r="N56" s="691"/>
      <c r="O56" s="691"/>
      <c r="P56" s="2175"/>
    </row>
    <row r="57" spans="1:16" outlineLevel="1" x14ac:dyDescent="0.3">
      <c r="A57" s="214" t="s">
        <v>1404</v>
      </c>
      <c r="B57" s="691"/>
      <c r="C57" s="584">
        <v>484049</v>
      </c>
      <c r="D57" s="584">
        <v>576652</v>
      </c>
      <c r="E57" s="584">
        <v>501162</v>
      </c>
      <c r="F57" s="584">
        <v>252596</v>
      </c>
      <c r="G57" s="584">
        <v>284283</v>
      </c>
      <c r="H57" s="586"/>
      <c r="I57" s="691"/>
      <c r="J57" s="584">
        <v>284283</v>
      </c>
      <c r="K57" s="584">
        <v>342642</v>
      </c>
      <c r="L57" s="584">
        <v>524229</v>
      </c>
      <c r="M57" s="584">
        <v>227684</v>
      </c>
      <c r="N57" s="584">
        <v>12600</v>
      </c>
      <c r="O57" s="584">
        <v>0</v>
      </c>
      <c r="P57" s="586">
        <v>0</v>
      </c>
    </row>
    <row r="58" spans="1:16" x14ac:dyDescent="0.3">
      <c r="A58" s="214" t="s">
        <v>368</v>
      </c>
      <c r="B58" s="721">
        <v>18196000</v>
      </c>
      <c r="C58" s="721">
        <f t="shared" ref="C58" si="13">SUM(C50:C57)</f>
        <v>14582010</v>
      </c>
      <c r="D58" s="721">
        <f t="shared" ref="D58:E58" si="14">SUM(D50:D57)</f>
        <v>12480887</v>
      </c>
      <c r="E58" s="721">
        <f t="shared" si="14"/>
        <v>11583491</v>
      </c>
      <c r="F58" s="721">
        <f>SUM(F50:F57)</f>
        <v>10868064</v>
      </c>
      <c r="G58" s="721">
        <f>SUM(G50:G57)</f>
        <v>10992794</v>
      </c>
      <c r="H58" s="722"/>
      <c r="I58" s="723"/>
      <c r="J58" s="721">
        <f t="shared" ref="J58:O58" si="15">SUM(J50:J57)</f>
        <v>10992794</v>
      </c>
      <c r="K58" s="721">
        <f>SUM(K50:K57)</f>
        <v>9323544</v>
      </c>
      <c r="L58" s="721">
        <f>SUM(L50:L57)</f>
        <v>8043593</v>
      </c>
      <c r="M58" s="721">
        <f t="shared" si="15"/>
        <v>7144756</v>
      </c>
      <c r="N58" s="721">
        <f t="shared" si="15"/>
        <v>6745147</v>
      </c>
      <c r="O58" s="721">
        <f t="shared" si="15"/>
        <v>6370518</v>
      </c>
      <c r="P58" s="722">
        <f>SUM(P50:P57)</f>
        <v>5702038</v>
      </c>
    </row>
    <row r="59" spans="1:16" x14ac:dyDescent="0.3">
      <c r="A59" s="214"/>
      <c r="B59" s="718"/>
      <c r="C59" s="718"/>
      <c r="D59" s="718"/>
      <c r="E59" s="718"/>
      <c r="F59" s="718"/>
      <c r="G59" s="718"/>
      <c r="H59" s="719"/>
      <c r="I59" s="720"/>
      <c r="J59" s="718"/>
      <c r="K59" s="718"/>
      <c r="L59" s="718"/>
      <c r="M59" s="718"/>
      <c r="N59" s="718"/>
      <c r="O59" s="718"/>
      <c r="P59" s="719"/>
    </row>
    <row r="60" spans="1:16" outlineLevel="1" x14ac:dyDescent="0.3">
      <c r="A60" s="214" t="s">
        <v>188</v>
      </c>
      <c r="B60" s="691"/>
      <c r="C60" s="584">
        <v>7386698</v>
      </c>
      <c r="D60" s="584">
        <v>6600325</v>
      </c>
      <c r="E60" s="584">
        <v>5879505</v>
      </c>
      <c r="F60" s="584">
        <v>5190802</v>
      </c>
      <c r="G60" s="584">
        <v>4954302</v>
      </c>
      <c r="H60" s="586"/>
      <c r="I60" s="691"/>
      <c r="J60" s="584">
        <v>4954302</v>
      </c>
      <c r="K60" s="584">
        <v>4295303</v>
      </c>
      <c r="L60" s="584">
        <v>3418746</v>
      </c>
      <c r="M60" s="584">
        <v>2732651</v>
      </c>
      <c r="N60" s="584">
        <v>2028709</v>
      </c>
      <c r="O60" s="584">
        <v>1694877</v>
      </c>
      <c r="P60" s="586">
        <v>1493180</v>
      </c>
    </row>
    <row r="61" spans="1:16" outlineLevel="1" x14ac:dyDescent="0.3">
      <c r="A61" s="214" t="s">
        <v>189</v>
      </c>
      <c r="B61" s="691"/>
      <c r="C61" s="584">
        <v>2289</v>
      </c>
      <c r="D61" s="584">
        <v>1981</v>
      </c>
      <c r="E61" s="584">
        <v>4266</v>
      </c>
      <c r="F61" s="584">
        <v>3795</v>
      </c>
      <c r="G61" s="584">
        <v>14106</v>
      </c>
      <c r="H61" s="586"/>
      <c r="I61" s="691"/>
      <c r="J61" s="584">
        <v>14106</v>
      </c>
      <c r="K61" s="584">
        <v>55303</v>
      </c>
      <c r="L61" s="584">
        <v>3137</v>
      </c>
      <c r="M61" s="584">
        <v>1632</v>
      </c>
      <c r="N61" s="584">
        <v>3573</v>
      </c>
      <c r="O61" s="584">
        <v>12538</v>
      </c>
      <c r="P61" s="586">
        <v>2517</v>
      </c>
    </row>
    <row r="62" spans="1:16" outlineLevel="1" x14ac:dyDescent="0.3">
      <c r="A62" s="214" t="s">
        <v>1396</v>
      </c>
      <c r="B62" s="691"/>
      <c r="C62" s="584">
        <v>35999</v>
      </c>
      <c r="D62" s="691"/>
      <c r="E62" s="691"/>
      <c r="F62" s="691"/>
      <c r="G62" s="691"/>
      <c r="H62" s="2175"/>
      <c r="I62" s="691"/>
      <c r="J62" s="691"/>
      <c r="K62" s="691"/>
      <c r="L62" s="691"/>
      <c r="M62" s="691"/>
      <c r="N62" s="691"/>
      <c r="O62" s="691"/>
      <c r="P62" s="2175"/>
    </row>
    <row r="63" spans="1:16" x14ac:dyDescent="0.3">
      <c r="A63" s="214" t="s">
        <v>293</v>
      </c>
      <c r="B63" s="740">
        <v>9605000</v>
      </c>
      <c r="C63" s="636">
        <f>SUM(C60:C62)</f>
        <v>7424986</v>
      </c>
      <c r="D63" s="636">
        <f>SUM(D60:D62)</f>
        <v>6602306</v>
      </c>
      <c r="E63" s="636">
        <f>SUM(E60:E62)</f>
        <v>5883771</v>
      </c>
      <c r="F63" s="636">
        <f>SUM(F60:F62)</f>
        <v>5194597</v>
      </c>
      <c r="G63" s="636">
        <f>SUM(G60:G62)</f>
        <v>4968408</v>
      </c>
      <c r="H63" s="636"/>
      <c r="I63" s="636"/>
      <c r="J63" s="636">
        <f t="shared" ref="J63" si="16">-SUM(J60:J62)</f>
        <v>-4968408</v>
      </c>
      <c r="K63" s="636">
        <f t="shared" ref="K63:P63" si="17">SUM(K60:K62)</f>
        <v>4350606</v>
      </c>
      <c r="L63" s="636">
        <f t="shared" si="17"/>
        <v>3421883</v>
      </c>
      <c r="M63" s="636">
        <f t="shared" si="17"/>
        <v>2734283</v>
      </c>
      <c r="N63" s="636">
        <f t="shared" si="17"/>
        <v>2032282</v>
      </c>
      <c r="O63" s="636">
        <f t="shared" si="17"/>
        <v>1707415</v>
      </c>
      <c r="P63" s="637">
        <f t="shared" si="17"/>
        <v>1495697</v>
      </c>
    </row>
    <row r="64" spans="1:16" x14ac:dyDescent="0.3">
      <c r="A64" s="214" t="s">
        <v>223</v>
      </c>
      <c r="B64" s="738">
        <f>B58-B63</f>
        <v>8591000</v>
      </c>
      <c r="C64" s="738">
        <f t="shared" ref="C64:P64" si="18">C58-C63</f>
        <v>7157024</v>
      </c>
      <c r="D64" s="738">
        <f t="shared" si="18"/>
        <v>5878581</v>
      </c>
      <c r="E64" s="738">
        <f t="shared" si="18"/>
        <v>5699720</v>
      </c>
      <c r="F64" s="738">
        <f t="shared" si="18"/>
        <v>5673467</v>
      </c>
      <c r="G64" s="738">
        <f t="shared" si="18"/>
        <v>6024386</v>
      </c>
      <c r="H64" s="738">
        <f t="shared" si="18"/>
        <v>0</v>
      </c>
      <c r="I64" s="738">
        <f t="shared" si="18"/>
        <v>0</v>
      </c>
      <c r="J64" s="738">
        <f t="shared" si="18"/>
        <v>15961202</v>
      </c>
      <c r="K64" s="738">
        <f t="shared" si="18"/>
        <v>4972938</v>
      </c>
      <c r="L64" s="738">
        <f t="shared" si="18"/>
        <v>4621710</v>
      </c>
      <c r="M64" s="738">
        <f t="shared" si="18"/>
        <v>4410473</v>
      </c>
      <c r="N64" s="738">
        <f t="shared" si="18"/>
        <v>4712865</v>
      </c>
      <c r="O64" s="738">
        <f t="shared" si="18"/>
        <v>4663103</v>
      </c>
      <c r="P64" s="741">
        <f t="shared" si="18"/>
        <v>4206341</v>
      </c>
    </row>
    <row r="65" spans="1:16" x14ac:dyDescent="0.3">
      <c r="A65" s="214" t="s">
        <v>192</v>
      </c>
      <c r="B65" s="737">
        <v>108000</v>
      </c>
      <c r="C65" s="584">
        <v>60000</v>
      </c>
      <c r="D65" s="584">
        <v>16000</v>
      </c>
      <c r="E65" s="584">
        <v>12000</v>
      </c>
      <c r="F65" s="584">
        <v>11900</v>
      </c>
      <c r="G65" s="584">
        <v>19300</v>
      </c>
      <c r="H65" s="586"/>
      <c r="I65" s="691"/>
      <c r="J65" s="584">
        <v>-19300</v>
      </c>
      <c r="K65" s="584">
        <v>16100</v>
      </c>
      <c r="L65" s="584">
        <v>36900</v>
      </c>
      <c r="M65" s="584">
        <v>35900</v>
      </c>
      <c r="N65" s="584">
        <v>51790</v>
      </c>
      <c r="O65" s="584">
        <v>61600</v>
      </c>
      <c r="P65" s="586">
        <v>65800</v>
      </c>
    </row>
    <row r="66" spans="1:16" x14ac:dyDescent="0.3">
      <c r="A66" s="214" t="s">
        <v>388</v>
      </c>
      <c r="B66" s="738">
        <f>B64-B65</f>
        <v>8483000</v>
      </c>
      <c r="C66" s="738">
        <f t="shared" ref="C66:P66" si="19">C64-C65</f>
        <v>7097024</v>
      </c>
      <c r="D66" s="738">
        <f t="shared" si="19"/>
        <v>5862581</v>
      </c>
      <c r="E66" s="738">
        <f t="shared" si="19"/>
        <v>5687720</v>
      </c>
      <c r="F66" s="738">
        <f t="shared" si="19"/>
        <v>5661567</v>
      </c>
      <c r="G66" s="738">
        <f t="shared" si="19"/>
        <v>6005086</v>
      </c>
      <c r="H66" s="738">
        <f t="shared" si="19"/>
        <v>0</v>
      </c>
      <c r="I66" s="738">
        <f t="shared" si="19"/>
        <v>0</v>
      </c>
      <c r="J66" s="738">
        <f t="shared" si="19"/>
        <v>15980502</v>
      </c>
      <c r="K66" s="738">
        <f t="shared" si="19"/>
        <v>4956838</v>
      </c>
      <c r="L66" s="738">
        <f t="shared" si="19"/>
        <v>4584810</v>
      </c>
      <c r="M66" s="738">
        <f t="shared" si="19"/>
        <v>4374573</v>
      </c>
      <c r="N66" s="738">
        <f t="shared" si="19"/>
        <v>4661075</v>
      </c>
      <c r="O66" s="738">
        <f t="shared" si="19"/>
        <v>4601503</v>
      </c>
      <c r="P66" s="741">
        <f t="shared" si="19"/>
        <v>4140541</v>
      </c>
    </row>
    <row r="67" spans="1:16" x14ac:dyDescent="0.3">
      <c r="A67" s="214"/>
      <c r="B67" s="737"/>
      <c r="C67" s="584"/>
      <c r="D67" s="584"/>
      <c r="E67" s="584"/>
      <c r="F67" s="584"/>
      <c r="G67" s="584"/>
      <c r="H67" s="586"/>
      <c r="I67" s="691"/>
      <c r="J67" s="584"/>
      <c r="K67" s="584"/>
      <c r="L67" s="584"/>
      <c r="M67" s="584"/>
      <c r="N67" s="584"/>
      <c r="O67" s="584"/>
      <c r="P67" s="586"/>
    </row>
    <row r="68" spans="1:16" outlineLevel="1" x14ac:dyDescent="0.3">
      <c r="A68" s="214" t="s">
        <v>184</v>
      </c>
      <c r="B68" s="691"/>
      <c r="C68" s="584">
        <v>709603</v>
      </c>
      <c r="D68" s="584">
        <v>636939</v>
      </c>
      <c r="E68" s="584">
        <v>546501</v>
      </c>
      <c r="F68" s="584">
        <v>503178</v>
      </c>
      <c r="G68" s="584">
        <v>434201</v>
      </c>
      <c r="H68" s="586"/>
      <c r="I68" s="691"/>
      <c r="J68" s="584">
        <v>434201</v>
      </c>
      <c r="K68" s="584">
        <v>450529</v>
      </c>
      <c r="L68" s="584">
        <v>385389</v>
      </c>
      <c r="M68" s="584">
        <v>336362</v>
      </c>
      <c r="N68" s="584">
        <v>280038</v>
      </c>
      <c r="O68" s="584">
        <v>342976</v>
      </c>
      <c r="P68" s="586">
        <v>339039</v>
      </c>
    </row>
    <row r="69" spans="1:16" outlineLevel="1" x14ac:dyDescent="0.3">
      <c r="A69" s="214" t="s">
        <v>182</v>
      </c>
      <c r="B69" s="691"/>
      <c r="C69" s="584">
        <v>76419</v>
      </c>
      <c r="D69" s="584">
        <v>116375</v>
      </c>
      <c r="E69" s="584">
        <v>149217</v>
      </c>
      <c r="F69" s="584">
        <v>133645</v>
      </c>
      <c r="G69" s="584">
        <v>139060</v>
      </c>
      <c r="H69" s="586"/>
      <c r="I69" s="691"/>
      <c r="J69" s="584">
        <v>139060</v>
      </c>
      <c r="K69" s="584">
        <v>129500</v>
      </c>
      <c r="L69" s="584">
        <v>127258</v>
      </c>
      <c r="M69" s="584">
        <v>137345</v>
      </c>
      <c r="N69" s="584">
        <v>151551</v>
      </c>
      <c r="O69" s="584">
        <v>219891</v>
      </c>
      <c r="P69" s="586">
        <v>199012</v>
      </c>
    </row>
    <row r="70" spans="1:16" outlineLevel="1" x14ac:dyDescent="0.3">
      <c r="A70" s="214" t="s">
        <v>15</v>
      </c>
      <c r="B70" s="694"/>
      <c r="C70" s="692">
        <v>375615</v>
      </c>
      <c r="D70" s="692">
        <v>577087</v>
      </c>
      <c r="E70" s="692">
        <v>635253</v>
      </c>
      <c r="F70" s="692">
        <v>583229</v>
      </c>
      <c r="G70" s="692">
        <v>559578</v>
      </c>
      <c r="H70" s="693"/>
      <c r="I70" s="694"/>
      <c r="J70" s="692">
        <v>559578</v>
      </c>
      <c r="K70" s="692">
        <v>499862</v>
      </c>
      <c r="L70" s="692">
        <v>411413</v>
      </c>
      <c r="M70" s="692">
        <v>306616</v>
      </c>
      <c r="N70" s="692">
        <v>354321</v>
      </c>
      <c r="O70" s="692">
        <v>247796</v>
      </c>
      <c r="P70" s="693">
        <v>250463</v>
      </c>
    </row>
    <row r="71" spans="1:16" x14ac:dyDescent="0.3">
      <c r="A71" s="214" t="s">
        <v>389</v>
      </c>
      <c r="B71" s="737">
        <v>1208000</v>
      </c>
      <c r="C71" s="584">
        <f t="shared" ref="C71:P71" si="20">SUM(C68:C70)</f>
        <v>1161637</v>
      </c>
      <c r="D71" s="584">
        <f t="shared" si="20"/>
        <v>1330401</v>
      </c>
      <c r="E71" s="584">
        <f t="shared" si="20"/>
        <v>1330971</v>
      </c>
      <c r="F71" s="584">
        <f t="shared" si="20"/>
        <v>1220052</v>
      </c>
      <c r="G71" s="584">
        <f t="shared" si="20"/>
        <v>1132839</v>
      </c>
      <c r="H71" s="586"/>
      <c r="I71" s="691"/>
      <c r="J71" s="584">
        <f t="shared" si="20"/>
        <v>1132839</v>
      </c>
      <c r="K71" s="584">
        <f t="shared" si="20"/>
        <v>1079891</v>
      </c>
      <c r="L71" s="584">
        <f t="shared" si="20"/>
        <v>924060</v>
      </c>
      <c r="M71" s="584">
        <f t="shared" si="20"/>
        <v>780323</v>
      </c>
      <c r="N71" s="584">
        <f t="shared" si="20"/>
        <v>785910</v>
      </c>
      <c r="O71" s="584">
        <f t="shared" si="20"/>
        <v>810663</v>
      </c>
      <c r="P71" s="586">
        <f t="shared" si="20"/>
        <v>788514</v>
      </c>
    </row>
    <row r="72" spans="1:16" x14ac:dyDescent="0.3">
      <c r="A72" s="214"/>
      <c r="B72" s="737"/>
      <c r="C72" s="584"/>
      <c r="D72" s="584"/>
      <c r="E72" s="584"/>
      <c r="F72" s="584"/>
      <c r="G72" s="584"/>
      <c r="H72" s="586"/>
      <c r="I72" s="691"/>
      <c r="J72" s="584"/>
      <c r="K72" s="584"/>
      <c r="L72" s="584"/>
      <c r="M72" s="584"/>
      <c r="N72" s="584"/>
      <c r="O72" s="584"/>
      <c r="P72" s="586"/>
    </row>
    <row r="73" spans="1:16" outlineLevel="1" x14ac:dyDescent="0.3">
      <c r="A73" s="214" t="s">
        <v>186</v>
      </c>
      <c r="B73" s="691"/>
      <c r="C73" s="691"/>
      <c r="D73" s="691"/>
      <c r="E73" s="584">
        <v>1675744</v>
      </c>
      <c r="F73" s="584">
        <v>1642956</v>
      </c>
      <c r="G73" s="584">
        <v>1551511</v>
      </c>
      <c r="H73" s="586"/>
      <c r="I73" s="691"/>
      <c r="J73" s="584">
        <v>1551511</v>
      </c>
      <c r="K73" s="584">
        <v>1503374</v>
      </c>
      <c r="L73" s="584">
        <v>1366702</v>
      </c>
      <c r="M73" s="584">
        <v>1351500</v>
      </c>
      <c r="N73" s="584">
        <v>1298380</v>
      </c>
      <c r="O73" s="584">
        <v>1159126</v>
      </c>
      <c r="P73" s="586">
        <v>1073054</v>
      </c>
    </row>
    <row r="74" spans="1:16" outlineLevel="1" x14ac:dyDescent="0.3">
      <c r="A74" s="214" t="s">
        <v>187</v>
      </c>
      <c r="B74" s="691"/>
      <c r="C74" s="691"/>
      <c r="D74" s="691"/>
      <c r="E74" s="584">
        <v>349331</v>
      </c>
      <c r="F74" s="584">
        <v>292981</v>
      </c>
      <c r="G74" s="584">
        <v>246573</v>
      </c>
      <c r="H74" s="586"/>
      <c r="I74" s="691"/>
      <c r="J74" s="584">
        <v>246573</v>
      </c>
      <c r="K74" s="584">
        <v>262878</v>
      </c>
      <c r="L74" s="584">
        <v>238618</v>
      </c>
      <c r="M74" s="584">
        <v>137717</v>
      </c>
      <c r="N74" s="584">
        <v>151391</v>
      </c>
      <c r="O74" s="584">
        <v>113551</v>
      </c>
      <c r="P74" s="586">
        <v>137037</v>
      </c>
    </row>
    <row r="75" spans="1:16" outlineLevel="1" x14ac:dyDescent="0.3">
      <c r="A75" s="214" t="s">
        <v>386</v>
      </c>
      <c r="B75" s="2201"/>
      <c r="C75" s="638">
        <v>2173834</v>
      </c>
      <c r="D75" s="638">
        <v>2096796</v>
      </c>
      <c r="E75" s="638">
        <f>E73+E74</f>
        <v>2025075</v>
      </c>
      <c r="F75" s="638">
        <f t="shared" ref="F75" si="21">F73+F74</f>
        <v>1935937</v>
      </c>
      <c r="G75" s="638">
        <f>G73+G74</f>
        <v>1798084</v>
      </c>
      <c r="H75" s="638">
        <f t="shared" ref="H75:P75" si="22">H73+H74</f>
        <v>0</v>
      </c>
      <c r="I75" s="638">
        <f t="shared" si="22"/>
        <v>0</v>
      </c>
      <c r="J75" s="638">
        <f t="shared" si="22"/>
        <v>1798084</v>
      </c>
      <c r="K75" s="638">
        <f t="shared" si="22"/>
        <v>1766252</v>
      </c>
      <c r="L75" s="638">
        <f t="shared" si="22"/>
        <v>1605320</v>
      </c>
      <c r="M75" s="638">
        <f t="shared" si="22"/>
        <v>1489217</v>
      </c>
      <c r="N75" s="638">
        <f t="shared" si="22"/>
        <v>1449771</v>
      </c>
      <c r="O75" s="638">
        <f t="shared" si="22"/>
        <v>1272677</v>
      </c>
      <c r="P75" s="639">
        <f t="shared" si="22"/>
        <v>1210091</v>
      </c>
    </row>
    <row r="76" spans="1:16" outlineLevel="1" x14ac:dyDescent="0.3">
      <c r="A76" s="214" t="s">
        <v>190</v>
      </c>
      <c r="B76" s="691"/>
      <c r="C76" s="584">
        <v>311427</v>
      </c>
      <c r="D76" s="584">
        <v>269442</v>
      </c>
      <c r="E76" s="584">
        <v>259455</v>
      </c>
      <c r="F76" s="584">
        <v>246770</v>
      </c>
      <c r="G76" s="584">
        <v>257229</v>
      </c>
      <c r="H76" s="586"/>
      <c r="I76" s="691"/>
      <c r="J76" s="584">
        <v>257229</v>
      </c>
      <c r="K76" s="584">
        <v>417739</v>
      </c>
      <c r="L76" s="584">
        <v>314221</v>
      </c>
      <c r="M76" s="584">
        <v>358709</v>
      </c>
      <c r="N76" s="584">
        <v>358468</v>
      </c>
      <c r="O76" s="584">
        <v>301557</v>
      </c>
      <c r="P76" s="586">
        <v>325147</v>
      </c>
    </row>
    <row r="77" spans="1:16" outlineLevel="1" x14ac:dyDescent="0.3">
      <c r="A77" s="214" t="s">
        <v>191</v>
      </c>
      <c r="B77" s="691"/>
      <c r="C77" s="584">
        <v>212348</v>
      </c>
      <c r="D77" s="584">
        <v>215021</v>
      </c>
      <c r="E77" s="584">
        <v>233017</v>
      </c>
      <c r="F77" s="584">
        <v>246233</v>
      </c>
      <c r="G77" s="584">
        <v>248078</v>
      </c>
      <c r="H77" s="586"/>
      <c r="I77" s="691"/>
      <c r="J77" s="584">
        <v>248078</v>
      </c>
      <c r="K77" s="584">
        <v>252709</v>
      </c>
      <c r="L77" s="584">
        <v>264366</v>
      </c>
      <c r="M77" s="584">
        <v>288761</v>
      </c>
      <c r="N77" s="584">
        <v>271978</v>
      </c>
      <c r="O77" s="584">
        <v>260087</v>
      </c>
      <c r="P77" s="586">
        <v>234865</v>
      </c>
    </row>
    <row r="78" spans="1:16" outlineLevel="1" x14ac:dyDescent="0.3">
      <c r="A78" s="214" t="s">
        <v>15</v>
      </c>
      <c r="B78" s="694"/>
      <c r="C78" s="692">
        <v>738850</v>
      </c>
      <c r="D78" s="692">
        <v>811709</v>
      </c>
      <c r="E78" s="692">
        <v>837857</v>
      </c>
      <c r="F78" s="692">
        <v>766203</v>
      </c>
      <c r="G78" s="692">
        <v>592443</v>
      </c>
      <c r="H78" s="693"/>
      <c r="I78" s="694"/>
      <c r="J78" s="692">
        <v>592443</v>
      </c>
      <c r="K78" s="692">
        <v>766862</v>
      </c>
      <c r="L78" s="692">
        <v>644882</v>
      </c>
      <c r="M78" s="692">
        <v>681238</v>
      </c>
      <c r="N78" s="692">
        <v>661286</v>
      </c>
      <c r="O78" s="692">
        <v>558132</v>
      </c>
      <c r="P78" s="693">
        <v>497270</v>
      </c>
    </row>
    <row r="79" spans="1:16" s="152" customFormat="1" x14ac:dyDescent="0.3">
      <c r="A79" s="214" t="s">
        <v>1410</v>
      </c>
      <c r="B79" s="737">
        <v>3944000</v>
      </c>
      <c r="C79" s="584">
        <f>SUM(C75:C78)</f>
        <v>3436459</v>
      </c>
      <c r="D79" s="584">
        <f>SUM(D75:D78)</f>
        <v>3392968</v>
      </c>
      <c r="E79" s="584">
        <f>SUM(E75:E78)</f>
        <v>3355404</v>
      </c>
      <c r="F79" s="584">
        <f>SUM(F75:F78)</f>
        <v>3195143</v>
      </c>
      <c r="G79" s="584">
        <f>SUM(G75:G78)</f>
        <v>2895834</v>
      </c>
      <c r="H79" s="584">
        <f t="shared" ref="H79:J79" si="23">-SUM(H75:H78)</f>
        <v>0</v>
      </c>
      <c r="I79" s="584">
        <f t="shared" si="23"/>
        <v>0</v>
      </c>
      <c r="J79" s="584">
        <f t="shared" si="23"/>
        <v>-2895834</v>
      </c>
      <c r="K79" s="584">
        <f t="shared" ref="K79:P79" si="24">SUM(K75:K78)</f>
        <v>3203562</v>
      </c>
      <c r="L79" s="584">
        <f t="shared" si="24"/>
        <v>2828789</v>
      </c>
      <c r="M79" s="584">
        <f t="shared" si="24"/>
        <v>2817925</v>
      </c>
      <c r="N79" s="584">
        <f t="shared" si="24"/>
        <v>2741503</v>
      </c>
      <c r="O79" s="584">
        <f t="shared" si="24"/>
        <v>2392453</v>
      </c>
      <c r="P79" s="586">
        <f t="shared" si="24"/>
        <v>2267373</v>
      </c>
    </row>
    <row r="80" spans="1:16" x14ac:dyDescent="0.3">
      <c r="A80" s="214" t="s">
        <v>390</v>
      </c>
      <c r="B80" s="638">
        <f>B66+B71-B79</f>
        <v>5747000</v>
      </c>
      <c r="C80" s="638">
        <f>C66+C71-C79</f>
        <v>4822202</v>
      </c>
      <c r="D80" s="638">
        <f t="shared" ref="D80:P80" si="25">D66+D71-D79</f>
        <v>3800014</v>
      </c>
      <c r="E80" s="638">
        <f t="shared" si="25"/>
        <v>3663287</v>
      </c>
      <c r="F80" s="638">
        <f t="shared" si="25"/>
        <v>3686476</v>
      </c>
      <c r="G80" s="638">
        <f t="shared" si="25"/>
        <v>4242091</v>
      </c>
      <c r="H80" s="638">
        <f t="shared" si="25"/>
        <v>0</v>
      </c>
      <c r="I80" s="638">
        <f t="shared" si="25"/>
        <v>0</v>
      </c>
      <c r="J80" s="638">
        <f t="shared" si="25"/>
        <v>20009175</v>
      </c>
      <c r="K80" s="638">
        <f t="shared" si="25"/>
        <v>2833167</v>
      </c>
      <c r="L80" s="638">
        <f t="shared" si="25"/>
        <v>2680081</v>
      </c>
      <c r="M80" s="638">
        <f t="shared" si="25"/>
        <v>2336971</v>
      </c>
      <c r="N80" s="638">
        <f t="shared" si="25"/>
        <v>2705482</v>
      </c>
      <c r="O80" s="638">
        <f t="shared" si="25"/>
        <v>3019713</v>
      </c>
      <c r="P80" s="639">
        <f t="shared" si="25"/>
        <v>2661682</v>
      </c>
    </row>
    <row r="81" spans="1:16" x14ac:dyDescent="0.3">
      <c r="A81" s="214"/>
      <c r="B81" s="737"/>
      <c r="C81" s="584"/>
      <c r="D81" s="584"/>
      <c r="E81" s="584"/>
      <c r="F81" s="584"/>
      <c r="G81" s="584"/>
      <c r="H81" s="586"/>
      <c r="I81" s="691"/>
      <c r="J81" s="584"/>
      <c r="K81" s="584"/>
      <c r="L81" s="584"/>
      <c r="M81" s="584"/>
      <c r="N81" s="584"/>
      <c r="O81" s="584"/>
      <c r="P81" s="586"/>
    </row>
    <row r="82" spans="1:16" hidden="1" outlineLevel="1" x14ac:dyDescent="0.3">
      <c r="A82" s="221" t="s">
        <v>196</v>
      </c>
      <c r="B82" s="737"/>
      <c r="C82" s="584"/>
      <c r="D82" s="584"/>
      <c r="E82" s="584"/>
      <c r="F82" s="584"/>
      <c r="G82" s="584"/>
      <c r="H82" s="586"/>
      <c r="I82" s="691"/>
      <c r="J82" s="584"/>
      <c r="K82" s="584"/>
      <c r="L82" s="584"/>
      <c r="M82" s="584"/>
      <c r="N82" s="584"/>
      <c r="O82" s="584"/>
      <c r="P82" s="586"/>
    </row>
    <row r="83" spans="1:16" hidden="1" outlineLevel="1" x14ac:dyDescent="0.3">
      <c r="A83" s="214" t="s">
        <v>197</v>
      </c>
      <c r="B83" s="737"/>
      <c r="C83" s="587"/>
      <c r="D83" s="587"/>
      <c r="E83" s="587"/>
      <c r="F83" s="587"/>
      <c r="G83" s="587"/>
      <c r="H83" s="586"/>
      <c r="I83" s="724"/>
      <c r="J83" s="587"/>
      <c r="K83" s="587"/>
      <c r="L83" s="584">
        <v>1331</v>
      </c>
      <c r="M83" s="584">
        <v>121000</v>
      </c>
      <c r="N83" s="584">
        <v>454407</v>
      </c>
      <c r="O83" s="584">
        <v>1060974</v>
      </c>
      <c r="P83" s="586">
        <v>1003312</v>
      </c>
    </row>
    <row r="84" spans="1:16" hidden="1" outlineLevel="1" x14ac:dyDescent="0.3">
      <c r="A84" s="214" t="s">
        <v>198</v>
      </c>
      <c r="B84" s="737"/>
      <c r="C84" s="587"/>
      <c r="D84" s="587"/>
      <c r="E84" s="587"/>
      <c r="F84" s="587"/>
      <c r="G84" s="587"/>
      <c r="H84" s="586"/>
      <c r="I84" s="724"/>
      <c r="J84" s="587"/>
      <c r="K84" s="587"/>
      <c r="L84" s="584">
        <v>-1685</v>
      </c>
      <c r="M84" s="584">
        <v>-12288</v>
      </c>
      <c r="N84" s="584">
        <v>29599</v>
      </c>
      <c r="O84" s="584">
        <v>-21884</v>
      </c>
      <c r="P84" s="586">
        <v>107010</v>
      </c>
    </row>
    <row r="85" spans="1:16" collapsed="1" x14ac:dyDescent="0.3">
      <c r="A85" s="214" t="s">
        <v>391</v>
      </c>
      <c r="B85" s="737">
        <v>601000</v>
      </c>
      <c r="C85" s="584">
        <v>459425</v>
      </c>
      <c r="D85" s="584">
        <v>429493</v>
      </c>
      <c r="E85" s="584">
        <v>108066</v>
      </c>
      <c r="F85" s="584">
        <v>172092</v>
      </c>
      <c r="G85" s="584">
        <v>220256</v>
      </c>
      <c r="H85" s="586"/>
      <c r="I85" s="691"/>
      <c r="J85" s="584">
        <v>-220256</v>
      </c>
      <c r="K85" s="584">
        <v>61136</v>
      </c>
      <c r="L85" s="696">
        <v>0</v>
      </c>
      <c r="M85" s="584">
        <f>M83+M84</f>
        <v>108712</v>
      </c>
      <c r="N85" s="584">
        <f t="shared" ref="N85:P85" si="26">N83+N84</f>
        <v>484006</v>
      </c>
      <c r="O85" s="584">
        <f t="shared" si="26"/>
        <v>1039090</v>
      </c>
      <c r="P85" s="586">
        <f t="shared" si="26"/>
        <v>1110322</v>
      </c>
    </row>
    <row r="86" spans="1:16" x14ac:dyDescent="0.3">
      <c r="A86" s="214" t="s">
        <v>392</v>
      </c>
      <c r="B86" s="737">
        <f>B80-B85</f>
        <v>5146000</v>
      </c>
      <c r="C86" s="737">
        <f t="shared" ref="C86:P86" si="27">C80-C85</f>
        <v>4362777</v>
      </c>
      <c r="D86" s="737">
        <f t="shared" si="27"/>
        <v>3370521</v>
      </c>
      <c r="E86" s="737">
        <f t="shared" si="27"/>
        <v>3555221</v>
      </c>
      <c r="F86" s="737">
        <f t="shared" si="27"/>
        <v>3514384</v>
      </c>
      <c r="G86" s="737">
        <f t="shared" si="27"/>
        <v>4021835</v>
      </c>
      <c r="H86" s="737">
        <f t="shared" si="27"/>
        <v>0</v>
      </c>
      <c r="I86" s="737">
        <f t="shared" si="27"/>
        <v>0</v>
      </c>
      <c r="J86" s="737">
        <f t="shared" si="27"/>
        <v>20229431</v>
      </c>
      <c r="K86" s="737">
        <f t="shared" si="27"/>
        <v>2772031</v>
      </c>
      <c r="L86" s="737">
        <f t="shared" si="27"/>
        <v>2680081</v>
      </c>
      <c r="M86" s="737">
        <f t="shared" si="27"/>
        <v>2228259</v>
      </c>
      <c r="N86" s="737">
        <f t="shared" si="27"/>
        <v>2221476</v>
      </c>
      <c r="O86" s="737">
        <f t="shared" si="27"/>
        <v>1980623</v>
      </c>
      <c r="P86" s="742">
        <f t="shared" si="27"/>
        <v>1551360</v>
      </c>
    </row>
    <row r="87" spans="1:16" hidden="1" outlineLevel="1" x14ac:dyDescent="0.3">
      <c r="A87" s="214" t="s">
        <v>201</v>
      </c>
      <c r="B87" s="737"/>
      <c r="C87" s="584"/>
      <c r="D87" s="584"/>
      <c r="E87" s="584"/>
      <c r="F87" s="584"/>
      <c r="G87" s="584"/>
      <c r="H87" s="586"/>
      <c r="I87" s="691"/>
      <c r="J87" s="584">
        <f>168022+7001</f>
        <v>175023</v>
      </c>
      <c r="K87" s="584">
        <f>33477+33939</f>
        <v>67416</v>
      </c>
      <c r="L87" s="584">
        <f>83715+72351</f>
        <v>156066</v>
      </c>
      <c r="M87" s="584">
        <v>35201</v>
      </c>
      <c r="N87" s="584">
        <v>367296</v>
      </c>
      <c r="O87" s="584">
        <v>-788879</v>
      </c>
      <c r="P87" s="586">
        <v>150985</v>
      </c>
    </row>
    <row r="88" spans="1:16" hidden="1" outlineLevel="1" x14ac:dyDescent="0.3">
      <c r="A88" s="214" t="s">
        <v>195</v>
      </c>
      <c r="B88" s="737"/>
      <c r="C88" s="584"/>
      <c r="D88" s="584"/>
      <c r="E88" s="584"/>
      <c r="F88" s="584"/>
      <c r="G88" s="584"/>
      <c r="H88" s="586"/>
      <c r="I88" s="691"/>
      <c r="J88" s="584">
        <v>-7001</v>
      </c>
      <c r="K88" s="584">
        <v>-33939</v>
      </c>
      <c r="L88" s="584">
        <v>-72351</v>
      </c>
      <c r="M88" s="584">
        <v>-9000</v>
      </c>
      <c r="N88" s="584">
        <v>-178592</v>
      </c>
      <c r="O88" s="584">
        <v>416528</v>
      </c>
      <c r="P88" s="586">
        <v>-41434</v>
      </c>
    </row>
    <row r="89" spans="1:16" ht="18.600000000000001" collapsed="1" x14ac:dyDescent="0.3">
      <c r="A89" s="214" t="s">
        <v>1391</v>
      </c>
      <c r="B89" s="737">
        <v>-68000</v>
      </c>
      <c r="C89" s="584">
        <v>-19805</v>
      </c>
      <c r="D89" s="584">
        <v>269018</v>
      </c>
      <c r="E89" s="584">
        <v>291823</v>
      </c>
      <c r="F89" s="584">
        <v>52430</v>
      </c>
      <c r="G89" s="584">
        <v>168022</v>
      </c>
      <c r="H89" s="586"/>
      <c r="I89" s="691"/>
      <c r="J89" s="584">
        <f t="shared" ref="J89:P89" si="28">J87+J88</f>
        <v>168022</v>
      </c>
      <c r="K89" s="584">
        <f>K87+K88+43</f>
        <v>33520</v>
      </c>
      <c r="L89" s="584">
        <f t="shared" si="28"/>
        <v>83715</v>
      </c>
      <c r="M89" s="584">
        <f t="shared" si="28"/>
        <v>26201</v>
      </c>
      <c r="N89" s="584">
        <f>N87+N88</f>
        <v>188704</v>
      </c>
      <c r="O89" s="584">
        <f t="shared" si="28"/>
        <v>-372351</v>
      </c>
      <c r="P89" s="586">
        <f t="shared" si="28"/>
        <v>109551</v>
      </c>
    </row>
    <row r="90" spans="1:16" s="152" customFormat="1" ht="19.2" thickBot="1" x14ac:dyDescent="0.35">
      <c r="A90" s="214" t="s">
        <v>1397</v>
      </c>
      <c r="B90" s="739">
        <f>B86+B89</f>
        <v>5078000</v>
      </c>
      <c r="C90" s="715">
        <f t="shared" ref="C90:P90" si="29">C86+C89</f>
        <v>4342972</v>
      </c>
      <c r="D90" s="715">
        <f t="shared" si="29"/>
        <v>3639539</v>
      </c>
      <c r="E90" s="715">
        <f t="shared" si="29"/>
        <v>3847044</v>
      </c>
      <c r="F90" s="715">
        <f>F86+F89</f>
        <v>3566814</v>
      </c>
      <c r="G90" s="715">
        <f>G86+G89</f>
        <v>4189857</v>
      </c>
      <c r="H90" s="716"/>
      <c r="I90" s="717"/>
      <c r="J90" s="715">
        <f t="shared" si="29"/>
        <v>20397453</v>
      </c>
      <c r="K90" s="715">
        <f t="shared" si="29"/>
        <v>2805551</v>
      </c>
      <c r="L90" s="715">
        <f>L86+L89</f>
        <v>2763796</v>
      </c>
      <c r="M90" s="715">
        <f t="shared" si="29"/>
        <v>2254460</v>
      </c>
      <c r="N90" s="715">
        <f t="shared" si="29"/>
        <v>2410180</v>
      </c>
      <c r="O90" s="715">
        <f t="shared" si="29"/>
        <v>1608272</v>
      </c>
      <c r="P90" s="716">
        <f t="shared" si="29"/>
        <v>1660911</v>
      </c>
    </row>
    <row r="91" spans="1:16" s="152" customFormat="1" ht="16.2" thickTop="1" x14ac:dyDescent="0.3">
      <c r="A91" s="214"/>
      <c r="B91" s="688"/>
      <c r="C91" s="688"/>
      <c r="D91" s="688"/>
      <c r="E91" s="688"/>
      <c r="F91" s="688"/>
      <c r="G91" s="688"/>
      <c r="H91" s="689"/>
      <c r="I91" s="690"/>
      <c r="J91" s="688"/>
      <c r="K91" s="688"/>
      <c r="L91" s="688"/>
      <c r="M91" s="688"/>
      <c r="N91" s="688"/>
      <c r="O91" s="688"/>
      <c r="P91" s="689"/>
    </row>
    <row r="92" spans="1:16" s="152" customFormat="1" x14ac:dyDescent="0.3">
      <c r="A92" s="6" t="s">
        <v>1398</v>
      </c>
      <c r="B92" s="688"/>
      <c r="C92" s="688"/>
      <c r="D92" s="688"/>
      <c r="E92" s="688"/>
      <c r="F92" s="688"/>
      <c r="G92" s="688"/>
      <c r="H92" s="689"/>
      <c r="I92" s="690"/>
      <c r="J92" s="688"/>
      <c r="K92" s="688"/>
      <c r="L92" s="688"/>
      <c r="M92" s="688"/>
      <c r="N92" s="688"/>
      <c r="O92" s="688"/>
      <c r="P92" s="689"/>
    </row>
    <row r="93" spans="1:16" s="152" customFormat="1" x14ac:dyDescent="0.3">
      <c r="A93" s="6" t="s">
        <v>1399</v>
      </c>
      <c r="B93" s="688"/>
      <c r="C93" s="688"/>
      <c r="D93" s="688"/>
      <c r="E93" s="688"/>
      <c r="F93" s="688"/>
      <c r="G93" s="688"/>
      <c r="H93" s="689"/>
      <c r="I93" s="690"/>
      <c r="J93" s="688"/>
      <c r="K93" s="688"/>
      <c r="L93" s="688"/>
      <c r="M93" s="688"/>
      <c r="N93" s="688"/>
      <c r="O93" s="688"/>
      <c r="P93" s="689"/>
    </row>
    <row r="94" spans="1:16" s="152" customFormat="1" ht="16.2" thickBot="1" x14ac:dyDescent="0.35">
      <c r="A94" s="9" t="s">
        <v>1400</v>
      </c>
      <c r="B94" s="725"/>
      <c r="C94" s="725"/>
      <c r="D94" s="725"/>
      <c r="E94" s="725"/>
      <c r="F94" s="725"/>
      <c r="G94" s="725"/>
      <c r="H94" s="726"/>
      <c r="I94" s="727"/>
      <c r="J94" s="725"/>
      <c r="K94" s="725"/>
      <c r="L94" s="725"/>
      <c r="M94" s="725"/>
      <c r="N94" s="725"/>
      <c r="O94" s="725"/>
      <c r="P94" s="726"/>
    </row>
    <row r="95" spans="1:16" ht="14.4" customHeight="1" x14ac:dyDescent="0.3">
      <c r="A95" s="12" t="s">
        <v>1394</v>
      </c>
      <c r="B95" s="211"/>
      <c r="C95" s="211"/>
      <c r="D95" s="211"/>
      <c r="E95" s="211"/>
      <c r="F95" s="211"/>
    </row>
    <row r="96" spans="1:16" ht="14.4" hidden="1" customHeight="1" outlineLevel="1" x14ac:dyDescent="0.3">
      <c r="A96" s="333" t="s">
        <v>387</v>
      </c>
      <c r="B96" s="682">
        <f>C31+B90-B31</f>
        <v>3400278</v>
      </c>
      <c r="C96" s="682">
        <v>3000000</v>
      </c>
      <c r="D96" s="682">
        <v>2500000</v>
      </c>
      <c r="E96" s="682">
        <v>2500000</v>
      </c>
      <c r="F96" s="682"/>
      <c r="G96" s="682"/>
      <c r="H96" s="682"/>
      <c r="I96" s="682"/>
      <c r="J96" s="682"/>
      <c r="K96" s="682"/>
      <c r="L96" s="682"/>
      <c r="M96" s="682"/>
      <c r="N96" s="682"/>
      <c r="O96" s="682"/>
      <c r="P96" s="682"/>
    </row>
    <row r="97" spans="1:19" ht="14.4" customHeight="1" collapsed="1" x14ac:dyDescent="0.3">
      <c r="B97" s="211"/>
      <c r="C97" s="211"/>
      <c r="D97" s="211"/>
      <c r="E97" s="211"/>
      <c r="F97" s="211"/>
    </row>
    <row r="98" spans="1:19" s="372" customFormat="1" ht="14.4" customHeight="1" x14ac:dyDescent="0.3"/>
    <row r="99" spans="1:19" ht="14.4" customHeight="1" x14ac:dyDescent="0.3">
      <c r="B99" s="211"/>
      <c r="C99" s="211"/>
      <c r="D99" s="211"/>
      <c r="E99" s="211"/>
      <c r="F99" s="211"/>
    </row>
    <row r="100" spans="1:19" s="612" customFormat="1" x14ac:dyDescent="0.3">
      <c r="A100" s="459" t="s">
        <v>1332</v>
      </c>
    </row>
    <row r="101" spans="1:19" x14ac:dyDescent="0.3">
      <c r="A101" s="152" t="s">
        <v>1409</v>
      </c>
      <c r="B101" s="211"/>
      <c r="C101" s="211"/>
      <c r="D101" s="211"/>
      <c r="E101" s="211"/>
      <c r="F101" s="211"/>
      <c r="J101" s="211" t="s">
        <v>395</v>
      </c>
    </row>
    <row r="102" spans="1:19" ht="6.6" customHeight="1" thickBot="1" x14ac:dyDescent="0.35">
      <c r="A102" s="152"/>
      <c r="B102" s="211"/>
      <c r="C102" s="211"/>
      <c r="D102" s="211"/>
      <c r="E102" s="211"/>
      <c r="F102" s="211"/>
    </row>
    <row r="103" spans="1:19" x14ac:dyDescent="0.3">
      <c r="A103" s="212" t="s">
        <v>1204</v>
      </c>
      <c r="B103" s="712">
        <v>1979</v>
      </c>
      <c r="C103" s="712">
        <v>1978</v>
      </c>
      <c r="D103" s="712">
        <v>1977</v>
      </c>
      <c r="E103" s="712">
        <v>1976</v>
      </c>
      <c r="F103" s="712">
        <v>1975</v>
      </c>
      <c r="G103" s="712">
        <v>1974</v>
      </c>
      <c r="H103" s="713"/>
      <c r="I103" s="714"/>
      <c r="J103" s="712">
        <v>1974</v>
      </c>
      <c r="K103" s="712">
        <v>1973</v>
      </c>
      <c r="L103" s="712">
        <v>1972</v>
      </c>
      <c r="M103" s="712">
        <v>1971</v>
      </c>
      <c r="N103" s="712">
        <v>1970</v>
      </c>
      <c r="O103" s="713">
        <v>1969</v>
      </c>
      <c r="P103" s="732"/>
    </row>
    <row r="104" spans="1:19" x14ac:dyDescent="0.3">
      <c r="A104" s="484" t="s">
        <v>1885</v>
      </c>
      <c r="B104" s="707">
        <f t="shared" ref="B104:H104" si="30">AVERAGE(B14:C14)</f>
        <v>80249314</v>
      </c>
      <c r="C104" s="707">
        <f t="shared" si="30"/>
        <v>69194757</v>
      </c>
      <c r="D104" s="707">
        <f t="shared" si="30"/>
        <v>59228116</v>
      </c>
      <c r="E104" s="707">
        <f t="shared" si="30"/>
        <v>57134799</v>
      </c>
      <c r="F104" s="707">
        <f t="shared" si="30"/>
        <v>64107438</v>
      </c>
      <c r="G104" s="707">
        <f t="shared" si="30"/>
        <v>70133624</v>
      </c>
      <c r="H104" s="708">
        <f t="shared" si="30"/>
        <v>0</v>
      </c>
      <c r="I104" s="709"/>
      <c r="J104" s="707">
        <f t="shared" ref="J104:O104" si="31">AVERAGE(J14:K14)</f>
        <v>67230539</v>
      </c>
      <c r="K104" s="707">
        <f t="shared" si="31"/>
        <v>61726061.5</v>
      </c>
      <c r="L104" s="707">
        <f t="shared" si="31"/>
        <v>55885282</v>
      </c>
      <c r="M104" s="707">
        <f t="shared" si="31"/>
        <v>51578773.5</v>
      </c>
      <c r="N104" s="707">
        <f t="shared" si="31"/>
        <v>48571564</v>
      </c>
      <c r="O104" s="708">
        <f t="shared" si="31"/>
        <v>46779581.5</v>
      </c>
      <c r="P104" s="733"/>
    </row>
    <row r="105" spans="1:19" x14ac:dyDescent="0.3">
      <c r="A105" s="484" t="s">
        <v>1886</v>
      </c>
      <c r="B105" s="707">
        <f t="shared" ref="B105:H105" si="32">AVERAGE(B17:C17)</f>
        <v>218406782</v>
      </c>
      <c r="C105" s="707">
        <f t="shared" si="32"/>
        <v>208483411.5</v>
      </c>
      <c r="D105" s="707">
        <f t="shared" si="32"/>
        <v>197272387.5</v>
      </c>
      <c r="E105" s="707">
        <f t="shared" si="32"/>
        <v>182431815</v>
      </c>
      <c r="F105" s="707">
        <f t="shared" si="32"/>
        <v>166166279</v>
      </c>
      <c r="G105" s="707">
        <f t="shared" si="32"/>
        <v>160861444</v>
      </c>
      <c r="H105" s="708">
        <f t="shared" si="32"/>
        <v>0</v>
      </c>
      <c r="I105" s="709"/>
      <c r="J105" s="707">
        <f t="shared" ref="J105:O105" si="33">AVERAGE(J17:K17)</f>
        <v>158785437.5</v>
      </c>
      <c r="K105" s="707">
        <f t="shared" si="33"/>
        <v>154806483</v>
      </c>
      <c r="L105" s="707">
        <f t="shared" si="33"/>
        <v>143769557.5</v>
      </c>
      <c r="M105" s="707">
        <f t="shared" si="33"/>
        <v>127816324.5</v>
      </c>
      <c r="N105" s="707">
        <f t="shared" si="33"/>
        <v>118927302</v>
      </c>
      <c r="O105" s="708">
        <f t="shared" si="33"/>
        <v>117048972.5</v>
      </c>
      <c r="P105" s="733"/>
    </row>
    <row r="106" spans="1:19" x14ac:dyDescent="0.3">
      <c r="A106" s="484" t="s">
        <v>1887</v>
      </c>
      <c r="B106" s="707">
        <f t="shared" ref="B106:G106" si="34">AVERAGE(B21:C21)</f>
        <v>186178696.5</v>
      </c>
      <c r="C106" s="707">
        <f t="shared" si="34"/>
        <v>180001376</v>
      </c>
      <c r="D106" s="707">
        <f t="shared" si="34"/>
        <v>171602513</v>
      </c>
      <c r="E106" s="707">
        <f t="shared" si="34"/>
        <v>157657784.5</v>
      </c>
      <c r="F106" s="707">
        <f t="shared" si="34"/>
        <v>142837970</v>
      </c>
      <c r="G106" s="707">
        <f t="shared" si="34"/>
        <v>138697038</v>
      </c>
      <c r="H106" s="708"/>
      <c r="I106" s="709"/>
      <c r="J106" s="707">
        <f t="shared" ref="J106:O106" si="35">AVERAGE(J21:K21)</f>
        <v>137931765.5</v>
      </c>
      <c r="K106" s="707">
        <f t="shared" si="35"/>
        <v>134927394.5</v>
      </c>
      <c r="L106" s="707">
        <f t="shared" si="35"/>
        <v>124268274.5</v>
      </c>
      <c r="M106" s="707">
        <f t="shared" si="35"/>
        <v>108710781</v>
      </c>
      <c r="N106" s="707">
        <f t="shared" si="35"/>
        <v>100564063.5</v>
      </c>
      <c r="O106" s="708">
        <f t="shared" si="35"/>
        <v>99320129</v>
      </c>
      <c r="P106" s="733"/>
      <c r="R106" s="211" t="s">
        <v>176</v>
      </c>
    </row>
    <row r="107" spans="1:19" x14ac:dyDescent="0.3">
      <c r="A107" s="484" t="s">
        <v>1888</v>
      </c>
      <c r="B107" s="707">
        <f t="shared" ref="B107:G107" si="36">AVERAGE(B31:C31)</f>
        <v>26749139</v>
      </c>
      <c r="C107" s="707">
        <f t="shared" si="36"/>
        <v>25238792</v>
      </c>
      <c r="D107" s="707">
        <f t="shared" si="36"/>
        <v>23997536.5</v>
      </c>
      <c r="E107" s="707">
        <f t="shared" si="36"/>
        <v>22754246</v>
      </c>
      <c r="F107" s="707">
        <f t="shared" si="36"/>
        <v>21511197</v>
      </c>
      <c r="G107" s="707">
        <f t="shared" si="36"/>
        <v>20941669</v>
      </c>
      <c r="H107" s="708"/>
      <c r="I107" s="709"/>
      <c r="J107" s="707">
        <f t="shared" ref="J107:O107" si="37">AVERAGE(J31:K31)</f>
        <v>19933478</v>
      </c>
      <c r="K107" s="707">
        <f t="shared" si="37"/>
        <v>19018189</v>
      </c>
      <c r="L107" s="707">
        <f t="shared" si="37"/>
        <v>18651076</v>
      </c>
      <c r="M107" s="707">
        <f t="shared" si="37"/>
        <v>18359098</v>
      </c>
      <c r="N107" s="707">
        <f t="shared" si="37"/>
        <v>17704451</v>
      </c>
      <c r="O107" s="708">
        <f t="shared" si="37"/>
        <v>17018020</v>
      </c>
      <c r="P107" s="733"/>
    </row>
    <row r="108" spans="1:19" ht="4.5" customHeight="1" x14ac:dyDescent="0.3">
      <c r="A108" s="484"/>
      <c r="B108" s="707"/>
      <c r="C108" s="707"/>
      <c r="D108" s="707"/>
      <c r="E108" s="707"/>
      <c r="F108" s="707"/>
      <c r="G108" s="707"/>
      <c r="H108" s="708"/>
      <c r="I108" s="709"/>
      <c r="J108" s="707"/>
      <c r="K108" s="707"/>
      <c r="L108" s="707"/>
      <c r="M108" s="707"/>
      <c r="N108" s="707"/>
      <c r="O108" s="708"/>
      <c r="P108" s="733"/>
    </row>
    <row r="109" spans="1:19" ht="4.5" customHeight="1" x14ac:dyDescent="0.3">
      <c r="A109" s="1146"/>
      <c r="B109" s="709"/>
      <c r="C109" s="709"/>
      <c r="D109" s="709"/>
      <c r="E109" s="709"/>
      <c r="F109" s="709"/>
      <c r="G109" s="709"/>
      <c r="H109" s="1204"/>
      <c r="I109" s="709"/>
      <c r="J109" s="709"/>
      <c r="K109" s="709"/>
      <c r="L109" s="709"/>
      <c r="M109" s="709"/>
      <c r="N109" s="709"/>
      <c r="O109" s="1204"/>
      <c r="P109" s="733"/>
    </row>
    <row r="110" spans="1:19" ht="4.5" customHeight="1" x14ac:dyDescent="0.3">
      <c r="A110" s="484"/>
      <c r="B110" s="220"/>
      <c r="C110" s="220"/>
      <c r="D110" s="220"/>
      <c r="E110" s="220"/>
      <c r="F110" s="220"/>
      <c r="G110" s="220"/>
      <c r="H110" s="223"/>
      <c r="I110" s="684"/>
      <c r="J110" s="220"/>
      <c r="K110" s="220"/>
      <c r="L110" s="464"/>
      <c r="M110" s="220"/>
      <c r="N110" s="220"/>
      <c r="O110" s="223"/>
      <c r="P110" s="734"/>
      <c r="S110" s="211" t="s">
        <v>176</v>
      </c>
    </row>
    <row r="111" spans="1:19" x14ac:dyDescent="0.3">
      <c r="A111" s="484" t="s">
        <v>228</v>
      </c>
      <c r="B111" s="464">
        <f t="shared" ref="B111:N111" si="38">B104/B105</f>
        <v>0.36743050405824851</v>
      </c>
      <c r="C111" s="464">
        <f t="shared" si="38"/>
        <v>0.33189574413693823</v>
      </c>
      <c r="D111" s="464">
        <f t="shared" si="38"/>
        <v>0.30023520651109875</v>
      </c>
      <c r="E111" s="464">
        <f t="shared" si="38"/>
        <v>0.31318440262187819</v>
      </c>
      <c r="F111" s="464">
        <f t="shared" si="38"/>
        <v>0.38580293418016542</v>
      </c>
      <c r="G111" s="464">
        <f t="shared" si="38"/>
        <v>0.43598778088800444</v>
      </c>
      <c r="H111" s="347"/>
      <c r="I111" s="728"/>
      <c r="J111" s="464">
        <f t="shared" si="38"/>
        <v>0.4234049422825692</v>
      </c>
      <c r="K111" s="464">
        <f t="shared" si="38"/>
        <v>0.39873046854245764</v>
      </c>
      <c r="L111" s="464">
        <f t="shared" si="38"/>
        <v>0.38871429370574506</v>
      </c>
      <c r="M111" s="464">
        <f t="shared" si="38"/>
        <v>0.40353823114355003</v>
      </c>
      <c r="N111" s="464">
        <f t="shared" si="38"/>
        <v>0.40841390650567355</v>
      </c>
      <c r="O111" s="347">
        <f>O104/O105</f>
        <v>0.39965819862280294</v>
      </c>
      <c r="P111" s="735"/>
    </row>
    <row r="112" spans="1:19" x14ac:dyDescent="0.3">
      <c r="A112" s="484" t="s">
        <v>232</v>
      </c>
      <c r="B112" s="464">
        <f t="shared" ref="B112:G112" si="39">B104/B106</f>
        <v>0.43103381594467227</v>
      </c>
      <c r="C112" s="464">
        <f t="shared" si="39"/>
        <v>0.38441237804759892</v>
      </c>
      <c r="D112" s="464">
        <f t="shared" si="39"/>
        <v>0.34514713662730567</v>
      </c>
      <c r="E112" s="464">
        <f t="shared" si="39"/>
        <v>0.36239757637847564</v>
      </c>
      <c r="F112" s="464">
        <f t="shared" si="39"/>
        <v>0.4488123010989305</v>
      </c>
      <c r="G112" s="464">
        <f t="shared" si="39"/>
        <v>0.50566057510182738</v>
      </c>
      <c r="H112" s="347"/>
      <c r="I112" s="728"/>
      <c r="J112" s="464">
        <f t="shared" ref="J112:O112" si="40">J104/J106</f>
        <v>0.48741882449115753</v>
      </c>
      <c r="K112" s="464">
        <f t="shared" si="40"/>
        <v>0.45747612431662277</v>
      </c>
      <c r="L112" s="464">
        <f t="shared" si="40"/>
        <v>0.44971479828506028</v>
      </c>
      <c r="M112" s="464">
        <f t="shared" si="40"/>
        <v>0.47445867857393093</v>
      </c>
      <c r="N112" s="464">
        <f t="shared" si="40"/>
        <v>0.48299126257959935</v>
      </c>
      <c r="O112" s="347">
        <f t="shared" si="40"/>
        <v>0.47099799377022555</v>
      </c>
      <c r="P112" s="734"/>
    </row>
    <row r="113" spans="1:18" x14ac:dyDescent="0.3">
      <c r="A113" s="484"/>
      <c r="B113" s="464"/>
      <c r="C113" s="464"/>
      <c r="D113" s="464"/>
      <c r="E113" s="464"/>
      <c r="F113" s="464"/>
      <c r="G113" s="464"/>
      <c r="H113" s="347"/>
      <c r="I113" s="728"/>
      <c r="J113" s="464"/>
      <c r="K113" s="464"/>
      <c r="L113" s="464"/>
      <c r="M113" s="464"/>
      <c r="N113" s="464"/>
      <c r="O113" s="347"/>
      <c r="P113" s="735"/>
    </row>
    <row r="114" spans="1:18" hidden="1" outlineLevel="1" x14ac:dyDescent="0.3">
      <c r="A114" s="484" t="s">
        <v>229</v>
      </c>
      <c r="B114" s="729">
        <f t="shared" ref="B114:G114" si="41">B105/B107</f>
        <v>8.165002320261598</v>
      </c>
      <c r="C114" s="729">
        <f t="shared" si="41"/>
        <v>8.2604354241676852</v>
      </c>
      <c r="D114" s="729">
        <f t="shared" si="41"/>
        <v>8.2205266153048662</v>
      </c>
      <c r="E114" s="729">
        <f t="shared" si="41"/>
        <v>8.0174845169556495</v>
      </c>
      <c r="F114" s="729">
        <f t="shared" si="41"/>
        <v>7.7246412182455488</v>
      </c>
      <c r="G114" s="729">
        <f t="shared" si="41"/>
        <v>7.6814051449289931</v>
      </c>
      <c r="H114" s="349"/>
      <c r="I114" s="730"/>
      <c r="J114" s="729">
        <f t="shared" ref="J114:O114" si="42">J105/J107</f>
        <v>7.9657668119933716</v>
      </c>
      <c r="K114" s="729">
        <f t="shared" si="42"/>
        <v>8.1399171603563296</v>
      </c>
      <c r="L114" s="729">
        <f t="shared" si="42"/>
        <v>7.708378728390791</v>
      </c>
      <c r="M114" s="729">
        <f t="shared" si="42"/>
        <v>6.9620154813705986</v>
      </c>
      <c r="N114" s="729">
        <f t="shared" si="42"/>
        <v>6.7173674009998958</v>
      </c>
      <c r="O114" s="349">
        <f t="shared" si="42"/>
        <v>6.8779430568303477</v>
      </c>
      <c r="P114" s="736"/>
    </row>
    <row r="115" spans="1:18" collapsed="1" x14ac:dyDescent="0.3">
      <c r="A115" s="484" t="s">
        <v>231</v>
      </c>
      <c r="B115" s="464">
        <f t="shared" ref="B115:G115" si="43">B107/B105</f>
        <v>0.12247393947684281</v>
      </c>
      <c r="C115" s="464">
        <f t="shared" si="43"/>
        <v>0.12105899370319925</v>
      </c>
      <c r="D115" s="464">
        <f t="shared" si="43"/>
        <v>0.12164670790533216</v>
      </c>
      <c r="E115" s="464">
        <f t="shared" si="43"/>
        <v>0.12472740020703077</v>
      </c>
      <c r="F115" s="464">
        <f t="shared" si="43"/>
        <v>0.12945585066630758</v>
      </c>
      <c r="G115" s="464">
        <f t="shared" si="43"/>
        <v>0.13018451456894792</v>
      </c>
      <c r="H115" s="347"/>
      <c r="I115" s="728"/>
      <c r="J115" s="464">
        <f t="shared" ref="J115:O115" si="44">J107/J105</f>
        <v>0.1255371922881782</v>
      </c>
      <c r="K115" s="464">
        <f t="shared" si="44"/>
        <v>0.12285137309139696</v>
      </c>
      <c r="L115" s="464">
        <f t="shared" si="44"/>
        <v>0.1297289657443649</v>
      </c>
      <c r="M115" s="464">
        <f t="shared" si="44"/>
        <v>0.14363656654827373</v>
      </c>
      <c r="N115" s="464">
        <f t="shared" si="44"/>
        <v>0.14886784365124167</v>
      </c>
      <c r="O115" s="347">
        <f t="shared" si="44"/>
        <v>0.14539230577184264</v>
      </c>
      <c r="P115" s="735"/>
    </row>
    <row r="116" spans="1:18" ht="4.5" customHeight="1" x14ac:dyDescent="0.3">
      <c r="A116" s="484"/>
      <c r="B116" s="707"/>
      <c r="C116" s="707"/>
      <c r="D116" s="707"/>
      <c r="E116" s="707"/>
      <c r="F116" s="707"/>
      <c r="G116" s="707"/>
      <c r="H116" s="708"/>
      <c r="I116" s="709"/>
      <c r="J116" s="707"/>
      <c r="K116" s="707"/>
      <c r="L116" s="707"/>
      <c r="M116" s="707"/>
      <c r="N116" s="707"/>
      <c r="O116" s="708"/>
      <c r="P116" s="733"/>
    </row>
    <row r="117" spans="1:18" ht="4.5" customHeight="1" x14ac:dyDescent="0.3">
      <c r="A117" s="1146"/>
      <c r="B117" s="709"/>
      <c r="C117" s="709"/>
      <c r="D117" s="709"/>
      <c r="E117" s="709"/>
      <c r="F117" s="709"/>
      <c r="G117" s="709"/>
      <c r="H117" s="1204"/>
      <c r="I117" s="709"/>
      <c r="J117" s="709"/>
      <c r="K117" s="709"/>
      <c r="L117" s="709"/>
      <c r="M117" s="709"/>
      <c r="N117" s="709"/>
      <c r="O117" s="1204"/>
      <c r="P117" s="733"/>
    </row>
    <row r="118" spans="1:18" ht="4.5" customHeight="1" x14ac:dyDescent="0.3">
      <c r="A118" s="484"/>
      <c r="B118" s="220"/>
      <c r="C118" s="220"/>
      <c r="D118" s="220"/>
      <c r="E118" s="220"/>
      <c r="F118" s="220"/>
      <c r="G118" s="220"/>
      <c r="H118" s="223"/>
      <c r="I118" s="684"/>
      <c r="J118" s="220"/>
      <c r="K118" s="220"/>
      <c r="L118" s="464"/>
      <c r="M118" s="220"/>
      <c r="N118" s="220"/>
      <c r="O118" s="223"/>
      <c r="P118" s="734"/>
    </row>
    <row r="119" spans="1:18" x14ac:dyDescent="0.3">
      <c r="A119" s="484" t="s">
        <v>203</v>
      </c>
      <c r="B119" s="462">
        <f t="shared" ref="B119:G119" si="45">B80/B105</f>
        <v>2.6313285454661384E-2</v>
      </c>
      <c r="C119" s="462">
        <f t="shared" si="45"/>
        <v>2.3129907388339144E-2</v>
      </c>
      <c r="D119" s="462">
        <f t="shared" si="45"/>
        <v>1.9262776956050172E-2</v>
      </c>
      <c r="E119" s="462">
        <f t="shared" si="45"/>
        <v>2.008030781253807E-2</v>
      </c>
      <c r="F119" s="462">
        <f t="shared" si="45"/>
        <v>2.2185463995375378E-2</v>
      </c>
      <c r="G119" s="462">
        <f t="shared" si="45"/>
        <v>2.6371086162822212E-2</v>
      </c>
      <c r="H119" s="351"/>
      <c r="I119" s="731"/>
      <c r="J119" s="462">
        <f t="shared" ref="J119:O119" si="46">J80/J105</f>
        <v>0.12601391736569043</v>
      </c>
      <c r="K119" s="462">
        <f t="shared" si="46"/>
        <v>1.8301345945569994E-2</v>
      </c>
      <c r="L119" s="462">
        <f t="shared" si="46"/>
        <v>1.8641505521779185E-2</v>
      </c>
      <c r="M119" s="462">
        <f t="shared" si="46"/>
        <v>1.8283822580111821E-2</v>
      </c>
      <c r="N119" s="462">
        <f t="shared" si="46"/>
        <v>2.2749040417985769E-2</v>
      </c>
      <c r="O119" s="351">
        <f t="shared" si="46"/>
        <v>2.5798714294565893E-2</v>
      </c>
      <c r="P119" s="734"/>
    </row>
    <row r="120" spans="1:18" x14ac:dyDescent="0.3">
      <c r="A120" s="484" t="s">
        <v>227</v>
      </c>
      <c r="B120" s="462">
        <f t="shared" ref="B120:G120" si="47">B80/B106</f>
        <v>3.0868193343484923E-2</v>
      </c>
      <c r="C120" s="462">
        <f t="shared" si="47"/>
        <v>2.6789806317925036E-2</v>
      </c>
      <c r="D120" s="462">
        <f t="shared" si="47"/>
        <v>2.2144279437213137E-2</v>
      </c>
      <c r="E120" s="462">
        <f t="shared" si="47"/>
        <v>2.3235687420179368E-2</v>
      </c>
      <c r="F120" s="462">
        <f t="shared" si="47"/>
        <v>2.5808795798484115E-2</v>
      </c>
      <c r="G120" s="462">
        <f t="shared" si="47"/>
        <v>3.0585303487158825E-2</v>
      </c>
      <c r="H120" s="351"/>
      <c r="I120" s="731"/>
      <c r="J120" s="462">
        <f t="shared" ref="J120:O120" si="48">J80/J106</f>
        <v>0.14506574991965865</v>
      </c>
      <c r="K120" s="462">
        <f t="shared" si="48"/>
        <v>2.0997715182293836E-2</v>
      </c>
      <c r="L120" s="462">
        <f t="shared" si="48"/>
        <v>2.1566896384322132E-2</v>
      </c>
      <c r="M120" s="462">
        <f t="shared" si="48"/>
        <v>2.1497141116114324E-2</v>
      </c>
      <c r="N120" s="462">
        <f t="shared" si="48"/>
        <v>2.690306960398433E-2</v>
      </c>
      <c r="O120" s="351">
        <f t="shared" si="48"/>
        <v>3.040383686976484E-2</v>
      </c>
      <c r="P120" s="734"/>
      <c r="R120" s="352"/>
    </row>
    <row r="121" spans="1:18" ht="4.5" customHeight="1" x14ac:dyDescent="0.3">
      <c r="A121" s="484"/>
      <c r="B121" s="707"/>
      <c r="C121" s="707"/>
      <c r="D121" s="707"/>
      <c r="E121" s="707"/>
      <c r="F121" s="707"/>
      <c r="G121" s="707"/>
      <c r="H121" s="708"/>
      <c r="I121" s="709"/>
      <c r="J121" s="707"/>
      <c r="K121" s="707"/>
      <c r="L121" s="707"/>
      <c r="M121" s="707"/>
      <c r="N121" s="707"/>
      <c r="O121" s="708"/>
      <c r="P121" s="733"/>
    </row>
    <row r="122" spans="1:18" ht="4.5" customHeight="1" x14ac:dyDescent="0.3">
      <c r="A122" s="1146"/>
      <c r="B122" s="709"/>
      <c r="C122" s="709"/>
      <c r="D122" s="709"/>
      <c r="E122" s="709"/>
      <c r="F122" s="709"/>
      <c r="G122" s="709"/>
      <c r="H122" s="1204"/>
      <c r="I122" s="709"/>
      <c r="J122" s="709"/>
      <c r="K122" s="709"/>
      <c r="L122" s="709"/>
      <c r="M122" s="709"/>
      <c r="N122" s="709"/>
      <c r="O122" s="1204"/>
      <c r="P122" s="733"/>
    </row>
    <row r="123" spans="1:18" ht="4.5" customHeight="1" x14ac:dyDescent="0.3">
      <c r="A123" s="484"/>
      <c r="B123" s="220"/>
      <c r="C123" s="220"/>
      <c r="D123" s="220"/>
      <c r="E123" s="220"/>
      <c r="F123" s="220"/>
      <c r="G123" s="220"/>
      <c r="H123" s="223"/>
      <c r="I123" s="684"/>
      <c r="J123" s="220"/>
      <c r="K123" s="220"/>
      <c r="L123" s="464"/>
      <c r="M123" s="220"/>
      <c r="N123" s="220"/>
      <c r="O123" s="223"/>
      <c r="P123" s="734"/>
    </row>
    <row r="124" spans="1:18" x14ac:dyDescent="0.3">
      <c r="A124" s="484" t="s">
        <v>211</v>
      </c>
      <c r="B124" s="464">
        <f t="shared" ref="B124:G124" si="49">B80/B107</f>
        <v>0.21484803679101597</v>
      </c>
      <c r="C124" s="464">
        <f t="shared" si="49"/>
        <v>0.19106310634835455</v>
      </c>
      <c r="D124" s="464">
        <f t="shared" si="49"/>
        <v>0.15835017065189169</v>
      </c>
      <c r="E124" s="464">
        <f t="shared" si="49"/>
        <v>0.16099355698272752</v>
      </c>
      <c r="F124" s="464">
        <f t="shared" si="49"/>
        <v>0.17137474962457924</v>
      </c>
      <c r="G124" s="464">
        <f t="shared" si="49"/>
        <v>0.2025669969284683</v>
      </c>
      <c r="H124" s="347"/>
      <c r="I124" s="728"/>
      <c r="J124" s="464">
        <f t="shared" ref="J124:O124" si="50">J80/J107</f>
        <v>1.0037974808008918</v>
      </c>
      <c r="K124" s="464">
        <f t="shared" si="50"/>
        <v>0.14897143991996295</v>
      </c>
      <c r="L124" s="464">
        <f t="shared" si="50"/>
        <v>0.14369578462926214</v>
      </c>
      <c r="M124" s="464">
        <f t="shared" si="50"/>
        <v>0.12729225586137183</v>
      </c>
      <c r="N124" s="464">
        <f t="shared" si="50"/>
        <v>0.15281366250780665</v>
      </c>
      <c r="O124" s="347">
        <f t="shared" si="50"/>
        <v>0.17744208785745932</v>
      </c>
      <c r="P124" s="734"/>
    </row>
    <row r="125" spans="1:18" x14ac:dyDescent="0.3">
      <c r="A125" s="484" t="s">
        <v>230</v>
      </c>
      <c r="B125" s="464">
        <f t="shared" ref="B125:G125" si="51">B86/B107</f>
        <v>0.19238002389534856</v>
      </c>
      <c r="C125" s="464">
        <f t="shared" si="51"/>
        <v>0.17285997681664003</v>
      </c>
      <c r="D125" s="464">
        <f t="shared" si="51"/>
        <v>0.14045279189386795</v>
      </c>
      <c r="E125" s="464">
        <f t="shared" si="51"/>
        <v>0.15624428952732602</v>
      </c>
      <c r="F125" s="464">
        <f t="shared" si="51"/>
        <v>0.16337463693907875</v>
      </c>
      <c r="G125" s="464">
        <f t="shared" si="51"/>
        <v>0.19204940160213591</v>
      </c>
      <c r="H125" s="347"/>
      <c r="I125" s="728"/>
      <c r="J125" s="464">
        <f t="shared" ref="J125:O125" si="52">J86/J107</f>
        <v>1.014847032715515</v>
      </c>
      <c r="K125" s="464">
        <f t="shared" si="52"/>
        <v>0.14575683310329915</v>
      </c>
      <c r="L125" s="464">
        <f t="shared" si="52"/>
        <v>0.14369578462926214</v>
      </c>
      <c r="M125" s="464">
        <f t="shared" si="52"/>
        <v>0.12137083205286012</v>
      </c>
      <c r="N125" s="464">
        <f t="shared" si="52"/>
        <v>0.12547556543831831</v>
      </c>
      <c r="O125" s="347">
        <f t="shared" si="52"/>
        <v>0.11638386839362042</v>
      </c>
      <c r="P125" s="734"/>
    </row>
    <row r="126" spans="1:18" ht="4.5" customHeight="1" x14ac:dyDescent="0.3">
      <c r="A126" s="484"/>
      <c r="B126" s="707"/>
      <c r="C126" s="707"/>
      <c r="D126" s="707"/>
      <c r="E126" s="707"/>
      <c r="F126" s="707"/>
      <c r="G126" s="707"/>
      <c r="H126" s="708"/>
      <c r="I126" s="709"/>
      <c r="J126" s="707"/>
      <c r="K126" s="707"/>
      <c r="L126" s="707"/>
      <c r="M126" s="707"/>
      <c r="N126" s="707"/>
      <c r="O126" s="708"/>
      <c r="P126" s="733"/>
    </row>
    <row r="127" spans="1:18" ht="4.5" customHeight="1" x14ac:dyDescent="0.3">
      <c r="A127" s="1146"/>
      <c r="B127" s="709"/>
      <c r="C127" s="709"/>
      <c r="D127" s="709"/>
      <c r="E127" s="709"/>
      <c r="F127" s="709"/>
      <c r="G127" s="709"/>
      <c r="H127" s="1204"/>
      <c r="I127" s="709"/>
      <c r="J127" s="709"/>
      <c r="K127" s="709"/>
      <c r="L127" s="709"/>
      <c r="M127" s="709"/>
      <c r="N127" s="709"/>
      <c r="O127" s="1204"/>
      <c r="P127" s="733"/>
    </row>
    <row r="128" spans="1:18" ht="4.5" customHeight="1" x14ac:dyDescent="0.3">
      <c r="A128" s="484"/>
      <c r="B128" s="220"/>
      <c r="C128" s="220"/>
      <c r="D128" s="220"/>
      <c r="E128" s="220"/>
      <c r="F128" s="220"/>
      <c r="G128" s="220"/>
      <c r="H128" s="223"/>
      <c r="I128" s="684"/>
      <c r="J128" s="220"/>
      <c r="K128" s="220"/>
      <c r="L128" s="464"/>
      <c r="M128" s="220"/>
      <c r="N128" s="220"/>
      <c r="O128" s="223"/>
      <c r="P128" s="734"/>
    </row>
    <row r="129" spans="1:16" ht="18.600000000000001" x14ac:dyDescent="0.3">
      <c r="A129" s="484" t="s">
        <v>1411</v>
      </c>
      <c r="B129" s="508">
        <f t="shared" ref="B129:O129" si="53">B79/(B64+B71)</f>
        <v>0.40249005000510257</v>
      </c>
      <c r="C129" s="508">
        <f t="shared" si="53"/>
        <v>0.41310242117090717</v>
      </c>
      <c r="D129" s="508">
        <f t="shared" si="53"/>
        <v>0.47065840919009094</v>
      </c>
      <c r="E129" s="508">
        <f t="shared" si="53"/>
        <v>0.4772509558448807</v>
      </c>
      <c r="F129" s="508">
        <f t="shared" si="53"/>
        <v>0.46349955661252257</v>
      </c>
      <c r="G129" s="508">
        <f t="shared" si="53"/>
        <v>0.40460290126410725</v>
      </c>
      <c r="H129" s="508" t="e">
        <f t="shared" si="53"/>
        <v>#DIV/0!</v>
      </c>
      <c r="I129" s="508" t="e">
        <f t="shared" si="53"/>
        <v>#DIV/0!</v>
      </c>
      <c r="J129" s="508">
        <f t="shared" si="53"/>
        <v>-0.16940605208563617</v>
      </c>
      <c r="K129" s="508">
        <f t="shared" si="53"/>
        <v>0.52926689321637865</v>
      </c>
      <c r="L129" s="508">
        <f t="shared" si="53"/>
        <v>0.51008047574998605</v>
      </c>
      <c r="M129" s="508">
        <f t="shared" si="53"/>
        <v>0.54286953291942119</v>
      </c>
      <c r="N129" s="508">
        <f t="shared" si="53"/>
        <v>0.49856613518465476</v>
      </c>
      <c r="O129" s="216">
        <f t="shared" si="53"/>
        <v>0.43707622868789059</v>
      </c>
      <c r="P129" s="734"/>
    </row>
    <row r="130" spans="1:16" ht="4.5" customHeight="1" x14ac:dyDescent="0.3">
      <c r="A130" s="484"/>
      <c r="B130" s="707"/>
      <c r="C130" s="707"/>
      <c r="D130" s="707"/>
      <c r="E130" s="707"/>
      <c r="F130" s="707"/>
      <c r="G130" s="707"/>
      <c r="H130" s="708"/>
      <c r="I130" s="709"/>
      <c r="J130" s="707"/>
      <c r="K130" s="707"/>
      <c r="L130" s="707"/>
      <c r="M130" s="707"/>
      <c r="N130" s="707"/>
      <c r="O130" s="708"/>
      <c r="P130" s="733"/>
    </row>
    <row r="131" spans="1:16" ht="4.5" customHeight="1" x14ac:dyDescent="0.3">
      <c r="A131" s="1146"/>
      <c r="B131" s="709"/>
      <c r="C131" s="709"/>
      <c r="D131" s="709"/>
      <c r="E131" s="709"/>
      <c r="F131" s="709"/>
      <c r="G131" s="709"/>
      <c r="H131" s="1204"/>
      <c r="I131" s="709"/>
      <c r="J131" s="709"/>
      <c r="K131" s="709"/>
      <c r="L131" s="709"/>
      <c r="M131" s="709"/>
      <c r="N131" s="709"/>
      <c r="O131" s="1204"/>
      <c r="P131" s="733"/>
    </row>
    <row r="132" spans="1:16" ht="4.5" customHeight="1" x14ac:dyDescent="0.3">
      <c r="A132" s="484"/>
      <c r="B132" s="220"/>
      <c r="C132" s="220"/>
      <c r="D132" s="220"/>
      <c r="E132" s="220"/>
      <c r="F132" s="220"/>
      <c r="G132" s="220"/>
      <c r="H132" s="223"/>
      <c r="I132" s="684"/>
      <c r="J132" s="220"/>
      <c r="K132" s="220"/>
      <c r="L132" s="464"/>
      <c r="M132" s="220"/>
      <c r="N132" s="220"/>
      <c r="O132" s="223"/>
      <c r="P132" s="734"/>
    </row>
    <row r="133" spans="1:16" x14ac:dyDescent="0.3">
      <c r="A133" s="484" t="s">
        <v>209</v>
      </c>
      <c r="B133" s="462">
        <f t="shared" ref="B133:G133" si="54">B58/B105</f>
        <v>8.3312431204631734E-2</v>
      </c>
      <c r="C133" s="462">
        <f t="shared" si="54"/>
        <v>6.9943262608209961E-2</v>
      </c>
      <c r="D133" s="462">
        <f t="shared" si="54"/>
        <v>6.3267278092834958E-2</v>
      </c>
      <c r="E133" s="462">
        <f t="shared" si="54"/>
        <v>6.3494906302390297E-2</v>
      </c>
      <c r="F133" s="462">
        <f t="shared" si="54"/>
        <v>6.5404750382597188E-2</v>
      </c>
      <c r="G133" s="462">
        <f t="shared" si="54"/>
        <v>6.8337034199444341E-2</v>
      </c>
      <c r="H133" s="351"/>
      <c r="I133" s="731"/>
      <c r="J133" s="462">
        <f t="shared" ref="J133:O133" si="55">J58/J105</f>
        <v>6.9230492248383929E-2</v>
      </c>
      <c r="K133" s="462">
        <f t="shared" si="55"/>
        <v>6.0227090101904843E-2</v>
      </c>
      <c r="L133" s="462">
        <f t="shared" si="55"/>
        <v>5.5947817742987765E-2</v>
      </c>
      <c r="M133" s="462">
        <f t="shared" si="55"/>
        <v>5.5898618802796195E-2</v>
      </c>
      <c r="N133" s="462">
        <f t="shared" si="55"/>
        <v>5.6716556136117507E-2</v>
      </c>
      <c r="O133" s="351">
        <f t="shared" si="55"/>
        <v>5.4426090754448958E-2</v>
      </c>
      <c r="P133" s="734"/>
    </row>
    <row r="134" spans="1:16" ht="18.600000000000001" x14ac:dyDescent="0.3">
      <c r="A134" s="484" t="s">
        <v>1412</v>
      </c>
      <c r="B134" s="462">
        <f>B63/(B106+AVERAGE(B22:C22))</f>
        <v>5.0809221221410461E-2</v>
      </c>
      <c r="C134" s="462">
        <f t="shared" ref="C134:O134" si="56">C63/(C106+AVERAGE(C22:D22))</f>
        <v>4.0981342343557006E-2</v>
      </c>
      <c r="D134" s="462">
        <f t="shared" si="56"/>
        <v>3.8474413250579848E-2</v>
      </c>
      <c r="E134" s="462">
        <f t="shared" si="56"/>
        <v>3.7201905796802562E-2</v>
      </c>
      <c r="F134" s="462">
        <f t="shared" si="56"/>
        <v>3.62402020902068E-2</v>
      </c>
      <c r="G134" s="462">
        <f t="shared" si="56"/>
        <v>3.5822019501238374E-2</v>
      </c>
      <c r="H134" s="462" t="e">
        <f t="shared" si="56"/>
        <v>#DIV/0!</v>
      </c>
      <c r="I134" s="462" t="e">
        <f t="shared" si="56"/>
        <v>#DIV/0!</v>
      </c>
      <c r="J134" s="462">
        <f t="shared" si="56"/>
        <v>-3.6020767094436995E-2</v>
      </c>
      <c r="K134" s="462">
        <f t="shared" si="56"/>
        <v>3.2244052559689797E-2</v>
      </c>
      <c r="L134" s="462">
        <f t="shared" si="56"/>
        <v>2.7536255844608191E-2</v>
      </c>
      <c r="M134" s="462">
        <f t="shared" si="56"/>
        <v>2.5151902827374593E-2</v>
      </c>
      <c r="N134" s="462">
        <f t="shared" si="56"/>
        <v>2.0208829369747973E-2</v>
      </c>
      <c r="O134" s="351">
        <f t="shared" si="56"/>
        <v>1.7191026805855235E-2</v>
      </c>
      <c r="P134" s="734"/>
    </row>
    <row r="135" spans="1:16" x14ac:dyDescent="0.3">
      <c r="A135" s="484" t="s">
        <v>207</v>
      </c>
      <c r="B135" s="353">
        <f>B133-B134</f>
        <v>3.2503209983221273E-2</v>
      </c>
      <c r="C135" s="353">
        <f t="shared" ref="C135:N135" si="57">C133-C134</f>
        <v>2.8961920264652954E-2</v>
      </c>
      <c r="D135" s="353">
        <f t="shared" si="57"/>
        <v>2.4792864842255111E-2</v>
      </c>
      <c r="E135" s="353">
        <f t="shared" si="57"/>
        <v>2.6293000505587735E-2</v>
      </c>
      <c r="F135" s="353">
        <f t="shared" si="57"/>
        <v>2.9164548292390388E-2</v>
      </c>
      <c r="G135" s="353">
        <f t="shared" si="57"/>
        <v>3.2515014698205967E-2</v>
      </c>
      <c r="H135" s="354"/>
      <c r="I135" s="683"/>
      <c r="J135" s="353">
        <f t="shared" si="57"/>
        <v>0.10525125934282092</v>
      </c>
      <c r="K135" s="353">
        <f t="shared" si="57"/>
        <v>2.7983037542215046E-2</v>
      </c>
      <c r="L135" s="353">
        <f t="shared" si="57"/>
        <v>2.8411561898379574E-2</v>
      </c>
      <c r="M135" s="353">
        <f t="shared" si="57"/>
        <v>3.0746715975421602E-2</v>
      </c>
      <c r="N135" s="353">
        <f t="shared" si="57"/>
        <v>3.6507726766369535E-2</v>
      </c>
      <c r="O135" s="354">
        <f t="shared" ref="O135" si="58">O133-O134</f>
        <v>3.7235063948593723E-2</v>
      </c>
      <c r="P135" s="734"/>
    </row>
    <row r="136" spans="1:16" ht="4.5" customHeight="1" x14ac:dyDescent="0.3">
      <c r="A136" s="484"/>
      <c r="B136" s="707"/>
      <c r="C136" s="707"/>
      <c r="D136" s="707"/>
      <c r="E136" s="707"/>
      <c r="F136" s="707"/>
      <c r="G136" s="707"/>
      <c r="H136" s="708"/>
      <c r="I136" s="709"/>
      <c r="J136" s="707"/>
      <c r="K136" s="707"/>
      <c r="L136" s="707"/>
      <c r="M136" s="707"/>
      <c r="N136" s="707"/>
      <c r="O136" s="708"/>
      <c r="P136" s="733"/>
    </row>
    <row r="137" spans="1:16" ht="4.5" customHeight="1" x14ac:dyDescent="0.3">
      <c r="A137" s="1146"/>
      <c r="B137" s="709"/>
      <c r="C137" s="709"/>
      <c r="D137" s="709"/>
      <c r="E137" s="709"/>
      <c r="F137" s="709"/>
      <c r="G137" s="709"/>
      <c r="H137" s="1204"/>
      <c r="I137" s="709"/>
      <c r="J137" s="709"/>
      <c r="K137" s="709"/>
      <c r="L137" s="709"/>
      <c r="M137" s="709"/>
      <c r="N137" s="709"/>
      <c r="O137" s="1204"/>
      <c r="P137" s="733"/>
    </row>
    <row r="138" spans="1:16" ht="4.5" customHeight="1" x14ac:dyDescent="0.3">
      <c r="A138" s="484"/>
      <c r="B138" s="220"/>
      <c r="C138" s="220"/>
      <c r="D138" s="220"/>
      <c r="E138" s="220"/>
      <c r="F138" s="220"/>
      <c r="G138" s="220"/>
      <c r="H138" s="223"/>
      <c r="I138" s="684"/>
      <c r="J138" s="220"/>
      <c r="K138" s="220"/>
      <c r="L138" s="464"/>
      <c r="M138" s="220"/>
      <c r="N138" s="220"/>
      <c r="O138" s="223"/>
      <c r="P138" s="734"/>
    </row>
    <row r="139" spans="1:16" x14ac:dyDescent="0.3">
      <c r="A139" s="484" t="s">
        <v>260</v>
      </c>
      <c r="B139" s="462">
        <f>B65/B104</f>
        <v>1.3458058968578847E-3</v>
      </c>
      <c r="C139" s="462">
        <f t="shared" ref="C139:O139" si="59">C65/C104</f>
        <v>8.6711772107242176E-4</v>
      </c>
      <c r="D139" s="462">
        <f t="shared" si="59"/>
        <v>2.701419710868399E-4</v>
      </c>
      <c r="E139" s="462">
        <f t="shared" si="59"/>
        <v>2.1002961785163539E-4</v>
      </c>
      <c r="F139" s="462">
        <f t="shared" si="59"/>
        <v>1.8562588634410878E-4</v>
      </c>
      <c r="G139" s="462">
        <f t="shared" si="59"/>
        <v>2.7518897355140241E-4</v>
      </c>
      <c r="H139" s="462" t="e">
        <f t="shared" si="59"/>
        <v>#DIV/0!</v>
      </c>
      <c r="I139" s="462" t="e">
        <f t="shared" si="59"/>
        <v>#DIV/0!</v>
      </c>
      <c r="J139" s="462">
        <f t="shared" si="59"/>
        <v>-2.8707192128862749E-4</v>
      </c>
      <c r="K139" s="462">
        <f t="shared" si="59"/>
        <v>2.608298603337911E-4</v>
      </c>
      <c r="L139" s="462">
        <f t="shared" si="59"/>
        <v>6.6028118100933976E-4</v>
      </c>
      <c r="M139" s="462">
        <f t="shared" si="59"/>
        <v>6.9602275439915222E-4</v>
      </c>
      <c r="N139" s="462">
        <f t="shared" si="59"/>
        <v>1.0662617328937565E-3</v>
      </c>
      <c r="O139" s="351">
        <f t="shared" si="59"/>
        <v>1.3168138325478607E-3</v>
      </c>
      <c r="P139" s="734"/>
    </row>
    <row r="140" spans="1:16" ht="4.5" customHeight="1" x14ac:dyDescent="0.3">
      <c r="A140" s="484"/>
      <c r="B140" s="707"/>
      <c r="C140" s="707"/>
      <c r="D140" s="707"/>
      <c r="E140" s="707"/>
      <c r="F140" s="707"/>
      <c r="G140" s="707"/>
      <c r="H140" s="708"/>
      <c r="I140" s="709"/>
      <c r="J140" s="707"/>
      <c r="K140" s="707"/>
      <c r="L140" s="707"/>
      <c r="M140" s="707"/>
      <c r="N140" s="707"/>
      <c r="O140" s="708"/>
      <c r="P140" s="733"/>
    </row>
    <row r="141" spans="1:16" ht="4.5" customHeight="1" x14ac:dyDescent="0.3">
      <c r="A141" s="1146"/>
      <c r="B141" s="709"/>
      <c r="C141" s="709"/>
      <c r="D141" s="709"/>
      <c r="E141" s="709"/>
      <c r="F141" s="709"/>
      <c r="G141" s="709"/>
      <c r="H141" s="1204"/>
      <c r="I141" s="709"/>
      <c r="J141" s="709"/>
      <c r="K141" s="709"/>
      <c r="L141" s="709"/>
      <c r="M141" s="709"/>
      <c r="N141" s="709"/>
      <c r="O141" s="1204"/>
      <c r="P141" s="733"/>
    </row>
    <row r="142" spans="1:16" ht="4.5" customHeight="1" x14ac:dyDescent="0.3">
      <c r="A142" s="484"/>
      <c r="B142" s="220"/>
      <c r="C142" s="220"/>
      <c r="D142" s="220"/>
      <c r="E142" s="220"/>
      <c r="F142" s="220"/>
      <c r="G142" s="220"/>
      <c r="H142" s="223"/>
      <c r="I142" s="684"/>
      <c r="J142" s="220"/>
      <c r="K142" s="220"/>
      <c r="L142" s="464"/>
      <c r="M142" s="220"/>
      <c r="N142" s="220"/>
      <c r="O142" s="223"/>
      <c r="P142" s="734"/>
    </row>
    <row r="143" spans="1:16" x14ac:dyDescent="0.3">
      <c r="A143" s="214" t="s">
        <v>369</v>
      </c>
      <c r="B143" s="462">
        <f t="shared" ref="B143:G143" si="60">B86/B105</f>
        <v>2.3561539403112491E-2</v>
      </c>
      <c r="C143" s="462">
        <f t="shared" si="60"/>
        <v>2.0926254844980795E-2</v>
      </c>
      <c r="D143" s="462">
        <f t="shared" si="60"/>
        <v>1.7085619750001758E-2</v>
      </c>
      <c r="E143" s="462">
        <f t="shared" si="60"/>
        <v>1.9487944029937979E-2</v>
      </c>
      <c r="F143" s="462">
        <f t="shared" si="60"/>
        <v>2.1149802602247594E-2</v>
      </c>
      <c r="G143" s="462">
        <f t="shared" si="60"/>
        <v>2.5001858120830993E-2</v>
      </c>
      <c r="H143" s="351"/>
      <c r="I143" s="731"/>
      <c r="J143" s="462">
        <f t="shared" ref="J143:O143" si="61">J86/J105</f>
        <v>0.12740104708909467</v>
      </c>
      <c r="K143" s="462">
        <f t="shared" si="61"/>
        <v>1.7906427084193884E-2</v>
      </c>
      <c r="L143" s="462">
        <f t="shared" si="61"/>
        <v>1.8641505521779185E-2</v>
      </c>
      <c r="M143" s="462">
        <f t="shared" si="61"/>
        <v>1.7433289595179997E-2</v>
      </c>
      <c r="N143" s="462">
        <f t="shared" si="61"/>
        <v>1.867927685772271E-2</v>
      </c>
      <c r="O143" s="351">
        <f t="shared" si="61"/>
        <v>1.6921318980395152E-2</v>
      </c>
      <c r="P143" s="734"/>
    </row>
    <row r="144" spans="1:16" ht="4.5" customHeight="1" x14ac:dyDescent="0.3">
      <c r="A144" s="484"/>
      <c r="B144" s="707"/>
      <c r="C144" s="707"/>
      <c r="D144" s="707"/>
      <c r="E144" s="707"/>
      <c r="F144" s="707"/>
      <c r="G144" s="707"/>
      <c r="H144" s="708"/>
      <c r="I144" s="709"/>
      <c r="J144" s="707"/>
      <c r="K144" s="707"/>
      <c r="L144" s="707"/>
      <c r="M144" s="707"/>
      <c r="N144" s="707"/>
      <c r="O144" s="708"/>
      <c r="P144" s="733"/>
    </row>
    <row r="145" spans="1:16" ht="4.5" customHeight="1" x14ac:dyDescent="0.3">
      <c r="A145" s="1146"/>
      <c r="B145" s="709"/>
      <c r="C145" s="709"/>
      <c r="D145" s="709"/>
      <c r="E145" s="709"/>
      <c r="F145" s="709"/>
      <c r="G145" s="709"/>
      <c r="H145" s="1204"/>
      <c r="I145" s="709"/>
      <c r="J145" s="709"/>
      <c r="K145" s="709"/>
      <c r="L145" s="709"/>
      <c r="M145" s="709"/>
      <c r="N145" s="709"/>
      <c r="O145" s="1204"/>
      <c r="P145" s="733"/>
    </row>
    <row r="146" spans="1:16" ht="4.5" customHeight="1" x14ac:dyDescent="0.3">
      <c r="A146" s="484"/>
      <c r="B146" s="220"/>
      <c r="C146" s="220"/>
      <c r="D146" s="220"/>
      <c r="E146" s="220"/>
      <c r="F146" s="220"/>
      <c r="G146" s="220"/>
      <c r="H146" s="223"/>
      <c r="I146" s="684"/>
      <c r="J146" s="220"/>
      <c r="K146" s="220"/>
      <c r="L146" s="464"/>
      <c r="M146" s="220"/>
      <c r="N146" s="220"/>
      <c r="O146" s="223"/>
      <c r="P146" s="734"/>
    </row>
    <row r="147" spans="1:16" x14ac:dyDescent="0.3">
      <c r="A147" s="6" t="s">
        <v>1398</v>
      </c>
      <c r="B147" s="220"/>
      <c r="C147" s="220"/>
      <c r="D147" s="220"/>
      <c r="E147" s="220"/>
      <c r="F147" s="220"/>
      <c r="G147" s="220"/>
      <c r="H147" s="220"/>
      <c r="I147" s="220"/>
      <c r="J147" s="220"/>
      <c r="K147" s="220"/>
      <c r="L147" s="220"/>
      <c r="M147" s="220"/>
      <c r="N147" s="220"/>
      <c r="O147" s="223"/>
    </row>
    <row r="148" spans="1:16" x14ac:dyDescent="0.3">
      <c r="A148" s="6" t="s">
        <v>1414</v>
      </c>
      <c r="B148" s="220"/>
      <c r="C148" s="220"/>
      <c r="D148" s="220"/>
      <c r="E148" s="220"/>
      <c r="F148" s="220"/>
      <c r="G148" s="220"/>
      <c r="H148" s="220"/>
      <c r="I148" s="220"/>
      <c r="J148" s="220"/>
      <c r="K148" s="220"/>
      <c r="L148" s="220"/>
      <c r="M148" s="220"/>
      <c r="N148" s="220"/>
      <c r="O148" s="223"/>
    </row>
    <row r="149" spans="1:16" ht="16.2" thickBot="1" x14ac:dyDescent="0.35">
      <c r="A149" s="9" t="s">
        <v>1413</v>
      </c>
      <c r="B149" s="218"/>
      <c r="C149" s="218"/>
      <c r="D149" s="218"/>
      <c r="E149" s="218"/>
      <c r="F149" s="218"/>
      <c r="G149" s="218"/>
      <c r="H149" s="218"/>
      <c r="I149" s="218"/>
      <c r="J149" s="218"/>
      <c r="K149" s="218"/>
      <c r="L149" s="218"/>
      <c r="M149" s="218"/>
      <c r="N149" s="218"/>
      <c r="O149" s="219"/>
    </row>
    <row r="150" spans="1:16" x14ac:dyDescent="0.3">
      <c r="A150" s="12" t="s">
        <v>1889</v>
      </c>
      <c r="B150" s="211"/>
      <c r="C150" s="211"/>
      <c r="D150" s="211"/>
      <c r="E150" s="211"/>
      <c r="F150" s="211"/>
      <c r="I150" s="211"/>
    </row>
    <row r="151" spans="1:16" x14ac:dyDescent="0.3">
      <c r="B151" s="211"/>
      <c r="C151" s="211"/>
      <c r="D151" s="211"/>
      <c r="E151" s="211"/>
      <c r="F151" s="211"/>
      <c r="I151" s="211"/>
    </row>
    <row r="152" spans="1:16" x14ac:dyDescent="0.3">
      <c r="B152" s="211"/>
      <c r="C152" s="211"/>
      <c r="D152" s="211"/>
      <c r="E152" s="211"/>
      <c r="F152" s="211"/>
      <c r="I152" s="211"/>
    </row>
    <row r="153" spans="1:16" x14ac:dyDescent="0.3">
      <c r="B153" s="211"/>
      <c r="C153" s="211"/>
      <c r="D153" s="211"/>
      <c r="E153" s="211"/>
      <c r="F153" s="211"/>
      <c r="I153" s="211"/>
    </row>
    <row r="154" spans="1:16" x14ac:dyDescent="0.3">
      <c r="B154" s="211"/>
      <c r="C154" s="211"/>
      <c r="D154" s="211"/>
      <c r="E154" s="211"/>
      <c r="F154" s="211"/>
      <c r="I154" s="211"/>
    </row>
    <row r="155" spans="1:16" x14ac:dyDescent="0.3">
      <c r="B155" s="211"/>
      <c r="C155" s="211"/>
      <c r="D155" s="211"/>
      <c r="E155" s="211"/>
      <c r="F155" s="211"/>
      <c r="I155" s="211"/>
    </row>
    <row r="156" spans="1:16" x14ac:dyDescent="0.3">
      <c r="B156" s="211"/>
      <c r="C156" s="211"/>
      <c r="D156" s="211"/>
      <c r="E156" s="211"/>
      <c r="F156" s="211"/>
      <c r="I156" s="211"/>
    </row>
    <row r="157" spans="1:16" x14ac:dyDescent="0.3">
      <c r="B157" s="211"/>
      <c r="C157" s="211"/>
      <c r="D157" s="211"/>
      <c r="E157" s="211"/>
      <c r="F157" s="211"/>
      <c r="I157" s="211"/>
    </row>
    <row r="158" spans="1:16" x14ac:dyDescent="0.3">
      <c r="B158" s="211"/>
      <c r="C158" s="211"/>
      <c r="D158" s="211"/>
      <c r="E158" s="211"/>
      <c r="F158" s="211"/>
      <c r="I158" s="211"/>
    </row>
    <row r="159" spans="1:16" x14ac:dyDescent="0.3">
      <c r="B159" s="211"/>
      <c r="C159" s="211"/>
      <c r="D159" s="211"/>
      <c r="E159" s="211"/>
      <c r="F159" s="211"/>
      <c r="I159" s="211"/>
    </row>
    <row r="160" spans="1:16" x14ac:dyDescent="0.3">
      <c r="B160" s="211"/>
      <c r="C160" s="211"/>
      <c r="D160" s="211"/>
      <c r="E160" s="211"/>
      <c r="F160" s="211" t="s">
        <v>176</v>
      </c>
      <c r="I160" s="211"/>
    </row>
    <row r="161" s="211" customFormat="1" x14ac:dyDescent="0.3"/>
    <row r="162" s="211" customFormat="1" x14ac:dyDescent="0.3"/>
    <row r="163" s="211" customFormat="1" x14ac:dyDescent="0.3"/>
    <row r="164" s="211" customFormat="1" x14ac:dyDescent="0.3"/>
    <row r="165" s="211" customFormat="1" x14ac:dyDescent="0.3"/>
    <row r="166" s="211" customFormat="1" x14ac:dyDescent="0.3"/>
    <row r="167" s="211" customFormat="1" x14ac:dyDescent="0.3"/>
    <row r="168" s="211" customFormat="1" x14ac:dyDescent="0.3"/>
    <row r="169" s="211" customFormat="1" x14ac:dyDescent="0.3"/>
    <row r="170" s="211" customFormat="1" x14ac:dyDescent="0.3"/>
    <row r="171" s="211" customFormat="1" x14ac:dyDescent="0.3"/>
    <row r="172" s="211" customFormat="1" x14ac:dyDescent="0.3"/>
    <row r="173" s="211" customFormat="1" x14ac:dyDescent="0.3"/>
    <row r="174" s="211" customFormat="1" x14ac:dyDescent="0.3"/>
    <row r="175" s="211" customFormat="1" x14ac:dyDescent="0.3"/>
    <row r="176" s="211" customFormat="1" x14ac:dyDescent="0.3"/>
    <row r="177" s="211" customFormat="1" x14ac:dyDescent="0.3"/>
    <row r="178" s="211" customFormat="1" x14ac:dyDescent="0.3"/>
    <row r="179" s="211" customFormat="1" x14ac:dyDescent="0.3"/>
    <row r="180" s="211" customFormat="1" x14ac:dyDescent="0.3"/>
    <row r="181" s="211" customFormat="1" x14ac:dyDescent="0.3"/>
    <row r="182" s="211" customFormat="1" x14ac:dyDescent="0.3"/>
    <row r="183" s="211" customFormat="1" x14ac:dyDescent="0.3"/>
    <row r="184" s="211" customFormat="1" x14ac:dyDescent="0.3"/>
    <row r="185" s="211" customFormat="1" x14ac:dyDescent="0.3"/>
    <row r="186" s="211" customFormat="1" x14ac:dyDescent="0.3"/>
    <row r="187" s="211" customFormat="1" x14ac:dyDescent="0.3"/>
    <row r="188" s="211" customFormat="1" x14ac:dyDescent="0.3"/>
    <row r="189" s="211" customFormat="1" x14ac:dyDescent="0.3"/>
    <row r="190" s="211" customFormat="1" x14ac:dyDescent="0.3"/>
    <row r="191" s="211" customFormat="1" x14ac:dyDescent="0.3"/>
    <row r="192" s="211" customFormat="1" x14ac:dyDescent="0.3"/>
    <row r="193" s="211" customFormat="1" x14ac:dyDescent="0.3"/>
    <row r="194" s="211" customFormat="1" x14ac:dyDescent="0.3"/>
    <row r="195" s="211" customFormat="1" x14ac:dyDescent="0.3"/>
    <row r="196" s="211" customFormat="1" x14ac:dyDescent="0.3"/>
    <row r="197" s="211" customFormat="1" x14ac:dyDescent="0.3"/>
    <row r="198" s="211" customFormat="1" x14ac:dyDescent="0.3"/>
    <row r="199" s="211" customFormat="1" x14ac:dyDescent="0.3"/>
    <row r="200" s="211" customFormat="1" x14ac:dyDescent="0.3"/>
    <row r="201" s="211" customFormat="1" x14ac:dyDescent="0.3"/>
    <row r="202" s="211" customFormat="1" x14ac:dyDescent="0.3"/>
    <row r="203" s="211" customFormat="1" x14ac:dyDescent="0.3"/>
    <row r="204" s="211" customFormat="1" x14ac:dyDescent="0.3"/>
    <row r="205" s="211" customFormat="1" x14ac:dyDescent="0.3"/>
    <row r="206" s="211" customFormat="1" x14ac:dyDescent="0.3"/>
    <row r="207" s="211" customFormat="1" x14ac:dyDescent="0.3"/>
    <row r="208" s="211" customFormat="1" x14ac:dyDescent="0.3"/>
    <row r="209" s="211" customFormat="1" x14ac:dyDescent="0.3"/>
    <row r="210" s="211" customFormat="1" x14ac:dyDescent="0.3"/>
    <row r="211" s="211" customFormat="1" x14ac:dyDescent="0.3"/>
    <row r="212" s="211" customFormat="1" x14ac:dyDescent="0.3"/>
    <row r="213" s="211" customFormat="1" x14ac:dyDescent="0.3"/>
    <row r="214" s="211" customFormat="1" x14ac:dyDescent="0.3"/>
    <row r="215" s="211" customFormat="1" x14ac:dyDescent="0.3"/>
    <row r="216" s="211" customFormat="1" x14ac:dyDescent="0.3"/>
    <row r="217" s="211" customFormat="1" x14ac:dyDescent="0.3"/>
    <row r="218" s="211" customFormat="1" x14ac:dyDescent="0.3"/>
    <row r="219" s="211" customFormat="1" x14ac:dyDescent="0.3"/>
    <row r="220" s="211" customFormat="1" x14ac:dyDescent="0.3"/>
    <row r="221" s="211" customFormat="1" x14ac:dyDescent="0.3"/>
    <row r="222" s="211" customFormat="1" x14ac:dyDescent="0.3"/>
    <row r="223" s="211" customFormat="1" x14ac:dyDescent="0.3"/>
    <row r="224" s="211" customFormat="1" x14ac:dyDescent="0.3"/>
    <row r="225" s="211" customFormat="1" x14ac:dyDescent="0.3"/>
    <row r="226" s="211" customFormat="1" x14ac:dyDescent="0.3"/>
    <row r="227" s="211" customFormat="1" x14ac:dyDescent="0.3"/>
    <row r="228" s="211" customFormat="1" x14ac:dyDescent="0.3"/>
    <row r="229" s="211" customFormat="1" x14ac:dyDescent="0.3"/>
    <row r="230" s="211" customFormat="1" x14ac:dyDescent="0.3"/>
    <row r="231" s="211" customFormat="1" x14ac:dyDescent="0.3"/>
    <row r="232" s="211" customFormat="1" x14ac:dyDescent="0.3"/>
    <row r="233" s="211" customFormat="1" x14ac:dyDescent="0.3"/>
    <row r="234" s="211" customFormat="1" x14ac:dyDescent="0.3"/>
    <row r="235" s="211" customFormat="1" x14ac:dyDescent="0.3"/>
    <row r="236" s="211" customFormat="1" x14ac:dyDescent="0.3"/>
    <row r="237" s="211" customFormat="1" x14ac:dyDescent="0.3"/>
    <row r="238" s="211" customFormat="1" x14ac:dyDescent="0.3"/>
    <row r="239" s="211" customFormat="1" x14ac:dyDescent="0.3"/>
    <row r="240" s="211" customFormat="1" x14ac:dyDescent="0.3"/>
    <row r="241" s="211" customFormat="1" x14ac:dyDescent="0.3"/>
    <row r="242" s="211" customFormat="1" x14ac:dyDescent="0.3"/>
    <row r="243" s="211" customFormat="1" x14ac:dyDescent="0.3"/>
    <row r="244" s="211" customFormat="1" x14ac:dyDescent="0.3"/>
    <row r="245" s="211" customFormat="1" x14ac:dyDescent="0.3"/>
    <row r="246" s="211" customFormat="1" x14ac:dyDescent="0.3"/>
    <row r="247" s="211" customFormat="1" x14ac:dyDescent="0.3"/>
    <row r="248" s="211" customFormat="1" x14ac:dyDescent="0.3"/>
    <row r="249" s="211" customFormat="1" x14ac:dyDescent="0.3"/>
    <row r="250" s="211" customFormat="1" x14ac:dyDescent="0.3"/>
    <row r="251" s="211" customFormat="1" x14ac:dyDescent="0.3"/>
    <row r="252" s="211" customFormat="1" x14ac:dyDescent="0.3"/>
    <row r="253" s="211" customFormat="1" x14ac:dyDescent="0.3"/>
    <row r="254" s="211" customFormat="1" x14ac:dyDescent="0.3"/>
    <row r="255" s="211" customFormat="1" x14ac:dyDescent="0.3"/>
    <row r="256" s="211" customFormat="1" x14ac:dyDescent="0.3"/>
    <row r="257" s="211" customFormat="1" x14ac:dyDescent="0.3"/>
    <row r="258" s="211" customFormat="1" x14ac:dyDescent="0.3"/>
    <row r="259" s="211" customFormat="1" x14ac:dyDescent="0.3"/>
    <row r="260" s="211" customFormat="1" x14ac:dyDescent="0.3"/>
    <row r="261" s="211" customFormat="1" x14ac:dyDescent="0.3"/>
    <row r="262" s="211" customFormat="1" x14ac:dyDescent="0.3"/>
    <row r="263" s="211" customFormat="1" x14ac:dyDescent="0.3"/>
    <row r="264" s="211" customFormat="1" x14ac:dyDescent="0.3"/>
    <row r="265" s="211" customFormat="1" x14ac:dyDescent="0.3"/>
    <row r="266" s="211" customFormat="1" x14ac:dyDescent="0.3"/>
    <row r="267" s="211" customFormat="1" x14ac:dyDescent="0.3"/>
    <row r="268" s="211" customFormat="1" x14ac:dyDescent="0.3"/>
    <row r="269" s="211" customFormat="1" x14ac:dyDescent="0.3"/>
    <row r="270" s="211" customFormat="1" x14ac:dyDescent="0.3"/>
    <row r="271" s="211" customFormat="1" x14ac:dyDescent="0.3"/>
    <row r="272" s="211" customFormat="1" x14ac:dyDescent="0.3"/>
    <row r="273" s="211" customFormat="1" x14ac:dyDescent="0.3"/>
    <row r="274" s="211" customFormat="1" x14ac:dyDescent="0.3"/>
    <row r="275" s="211" customFormat="1" x14ac:dyDescent="0.3"/>
    <row r="276" s="211" customFormat="1" x14ac:dyDescent="0.3"/>
    <row r="277" s="211" customFormat="1" x14ac:dyDescent="0.3"/>
    <row r="278" s="211" customFormat="1" x14ac:dyDescent="0.3"/>
    <row r="279" s="211" customFormat="1" x14ac:dyDescent="0.3"/>
    <row r="280" s="211" customFormat="1" x14ac:dyDescent="0.3"/>
    <row r="281" s="211" customFormat="1" x14ac:dyDescent="0.3"/>
    <row r="282" s="211" customFormat="1" x14ac:dyDescent="0.3"/>
    <row r="283" s="211" customFormat="1" x14ac:dyDescent="0.3"/>
    <row r="284" s="211" customFormat="1" x14ac:dyDescent="0.3"/>
    <row r="285" s="211" customFormat="1" x14ac:dyDescent="0.3"/>
    <row r="286" s="211" customFormat="1" x14ac:dyDescent="0.3"/>
    <row r="287" s="211" customFormat="1" x14ac:dyDescent="0.3"/>
    <row r="288" s="211" customFormat="1" x14ac:dyDescent="0.3"/>
    <row r="289" s="211" customFormat="1" x14ac:dyDescent="0.3"/>
    <row r="290" s="211" customFormat="1" x14ac:dyDescent="0.3"/>
    <row r="291" s="211" customFormat="1" x14ac:dyDescent="0.3"/>
    <row r="292" s="211" customFormat="1" x14ac:dyDescent="0.3"/>
    <row r="293" s="211" customFormat="1" x14ac:dyDescent="0.3"/>
    <row r="294" s="211" customFormat="1" x14ac:dyDescent="0.3"/>
    <row r="295" s="211" customFormat="1" x14ac:dyDescent="0.3"/>
    <row r="296" s="211" customFormat="1" x14ac:dyDescent="0.3"/>
    <row r="297" s="211" customFormat="1" x14ac:dyDescent="0.3"/>
    <row r="298" s="211" customFormat="1" x14ac:dyDescent="0.3"/>
    <row r="299" s="211" customFormat="1" x14ac:dyDescent="0.3"/>
    <row r="300" s="211" customFormat="1" x14ac:dyDescent="0.3"/>
    <row r="301" s="211" customFormat="1" x14ac:dyDescent="0.3"/>
    <row r="302" s="211" customFormat="1" x14ac:dyDescent="0.3"/>
    <row r="303" s="211" customFormat="1" x14ac:dyDescent="0.3"/>
    <row r="304" s="211" customFormat="1" x14ac:dyDescent="0.3"/>
    <row r="305" s="211" customFormat="1" x14ac:dyDescent="0.3"/>
    <row r="306" s="211" customFormat="1" x14ac:dyDescent="0.3"/>
    <row r="307" s="211" customFormat="1" x14ac:dyDescent="0.3"/>
    <row r="308" s="211" customFormat="1" x14ac:dyDescent="0.3"/>
    <row r="309" s="211" customFormat="1" x14ac:dyDescent="0.3"/>
    <row r="310" s="211" customFormat="1" x14ac:dyDescent="0.3"/>
    <row r="311" s="211" customFormat="1" x14ac:dyDescent="0.3"/>
    <row r="312" s="211" customFormat="1" x14ac:dyDescent="0.3"/>
    <row r="313" s="211" customFormat="1" x14ac:dyDescent="0.3"/>
    <row r="314" s="211" customFormat="1" x14ac:dyDescent="0.3"/>
    <row r="315" s="211" customFormat="1" x14ac:dyDescent="0.3"/>
    <row r="316" s="211" customFormat="1" x14ac:dyDescent="0.3"/>
    <row r="317" s="211" customFormat="1" x14ac:dyDescent="0.3"/>
    <row r="318" s="211" customFormat="1" x14ac:dyDescent="0.3"/>
    <row r="319" s="211" customFormat="1" x14ac:dyDescent="0.3"/>
    <row r="320" s="211" customFormat="1" x14ac:dyDescent="0.3"/>
    <row r="321" s="211" customFormat="1" x14ac:dyDescent="0.3"/>
    <row r="322" s="211" customFormat="1" x14ac:dyDescent="0.3"/>
    <row r="323" s="211" customFormat="1" x14ac:dyDescent="0.3"/>
    <row r="324" s="211" customFormat="1" x14ac:dyDescent="0.3"/>
    <row r="325" s="211" customFormat="1" x14ac:dyDescent="0.3"/>
    <row r="326" s="211" customFormat="1" x14ac:dyDescent="0.3"/>
    <row r="327" s="211" customFormat="1" x14ac:dyDescent="0.3"/>
    <row r="328" s="211" customFormat="1" x14ac:dyDescent="0.3"/>
    <row r="329" s="211" customFormat="1" x14ac:dyDescent="0.3"/>
    <row r="330" s="211" customFormat="1" x14ac:dyDescent="0.3"/>
    <row r="331" s="211" customFormat="1" x14ac:dyDescent="0.3"/>
    <row r="332" s="211" customFormat="1" x14ac:dyDescent="0.3"/>
  </sheetData>
  <mergeCells count="1">
    <mergeCell ref="A36:P37"/>
  </mergeCells>
  <pageMargins left="0.7" right="0.7" top="0.75" bottom="0.75" header="0.3" footer="0.3"/>
  <pageSetup orientation="portrait" r:id="rId1"/>
  <ignoredErrors>
    <ignoredError sqref="K11:P11 K58:P58 B134:O134" formulaRange="1"/>
    <ignoredError sqref="K8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2AFE-F772-485E-9EA8-99E26801BC86}">
  <sheetPr>
    <tabColor theme="4"/>
  </sheetPr>
  <dimension ref="A1:F21"/>
  <sheetViews>
    <sheetView zoomScale="130" zoomScaleNormal="130" workbookViewId="0">
      <selection activeCell="E20" sqref="E20"/>
    </sheetView>
  </sheetViews>
  <sheetFormatPr defaultColWidth="9.109375" defaultRowHeight="13.8" x14ac:dyDescent="0.25"/>
  <cols>
    <col min="1" max="1" width="9.109375" style="1"/>
    <col min="2" max="2" width="12.33203125" style="1" bestFit="1" customWidth="1"/>
    <col min="3" max="3" width="12.44140625" style="1" bestFit="1" customWidth="1"/>
    <col min="4" max="4" width="14.33203125" style="1" bestFit="1" customWidth="1"/>
    <col min="5" max="16384" width="9.109375" style="1"/>
  </cols>
  <sheetData>
    <row r="1" spans="1:4" x14ac:dyDescent="0.25">
      <c r="A1" s="1" t="s">
        <v>176</v>
      </c>
      <c r="B1" s="1" t="s">
        <v>2600</v>
      </c>
      <c r="C1" s="1" t="s">
        <v>2599</v>
      </c>
      <c r="D1" s="1" t="s">
        <v>2597</v>
      </c>
    </row>
    <row r="2" spans="1:4" x14ac:dyDescent="0.25">
      <c r="A2" s="1">
        <v>1940</v>
      </c>
      <c r="B2" s="1">
        <v>23.6</v>
      </c>
      <c r="C2" s="1">
        <v>5.3</v>
      </c>
      <c r="D2" s="1">
        <v>17.600000000000001</v>
      </c>
    </row>
    <row r="3" spans="1:4" x14ac:dyDescent="0.25">
      <c r="A3" s="1">
        <v>1950</v>
      </c>
      <c r="B3" s="1">
        <v>20.5</v>
      </c>
      <c r="C3" s="1">
        <v>3.6</v>
      </c>
      <c r="D3" s="1">
        <v>16.600000000000001</v>
      </c>
    </row>
    <row r="4" spans="1:4" x14ac:dyDescent="0.25">
      <c r="A4" s="1">
        <v>1955</v>
      </c>
      <c r="B4" s="1">
        <v>19.100000000000001</v>
      </c>
      <c r="C4" s="1">
        <v>2.2000000000000002</v>
      </c>
      <c r="D4" s="1">
        <v>16.8</v>
      </c>
    </row>
    <row r="21" spans="6:6" x14ac:dyDescent="0.25">
      <c r="F21" s="1" t="s">
        <v>2621</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B260-2090-48B1-AD11-22241FE7C59C}">
  <sheetPr codeName="Sheet29">
    <tabColor theme="4"/>
  </sheetPr>
  <dimension ref="A1:XFD34"/>
  <sheetViews>
    <sheetView showGridLines="0" topLeftCell="A3" zoomScale="70" zoomScaleNormal="70" workbookViewId="0">
      <selection activeCell="B9" sqref="B9"/>
    </sheetView>
  </sheetViews>
  <sheetFormatPr defaultColWidth="9.109375" defaultRowHeight="15.6" x14ac:dyDescent="0.3"/>
  <cols>
    <col min="1" max="1" width="22.88671875" style="211" customWidth="1"/>
    <col min="2" max="3" width="36" style="211" customWidth="1"/>
    <col min="4" max="16384" width="9.109375" style="211"/>
  </cols>
  <sheetData>
    <row r="1" spans="1:9" x14ac:dyDescent="0.3">
      <c r="A1" s="152" t="s">
        <v>1495</v>
      </c>
    </row>
    <row r="2" spans="1:9" x14ac:dyDescent="0.3">
      <c r="A2" s="152" t="s">
        <v>1496</v>
      </c>
    </row>
    <row r="3" spans="1:9" ht="9" customHeight="1" thickBot="1" x14ac:dyDescent="0.35"/>
    <row r="4" spans="1:9" x14ac:dyDescent="0.3">
      <c r="A4" s="453"/>
      <c r="B4" s="743">
        <v>1984</v>
      </c>
      <c r="C4" s="744">
        <v>1994</v>
      </c>
    </row>
    <row r="5" spans="1:9" ht="80.25" customHeight="1" x14ac:dyDescent="0.3">
      <c r="A5" s="845" t="s">
        <v>45</v>
      </c>
      <c r="B5" s="843" t="s">
        <v>1497</v>
      </c>
      <c r="C5" s="844" t="s">
        <v>1498</v>
      </c>
    </row>
    <row r="6" spans="1:9" ht="4.5" customHeight="1" x14ac:dyDescent="0.3">
      <c r="A6" s="213"/>
      <c r="B6" s="220"/>
      <c r="C6" s="223"/>
    </row>
    <row r="7" spans="1:9" ht="38.25" customHeight="1" x14ac:dyDescent="0.3">
      <c r="A7" s="845" t="s">
        <v>1241</v>
      </c>
      <c r="B7" s="843" t="s">
        <v>467</v>
      </c>
      <c r="C7" s="844" t="s">
        <v>467</v>
      </c>
    </row>
    <row r="8" spans="1:9" x14ac:dyDescent="0.3">
      <c r="A8" s="213" t="s">
        <v>1242</v>
      </c>
      <c r="B8" s="220" t="s">
        <v>468</v>
      </c>
      <c r="C8" s="223" t="s">
        <v>806</v>
      </c>
    </row>
    <row r="9" spans="1:9" x14ac:dyDescent="0.3">
      <c r="A9" s="213" t="s">
        <v>1418</v>
      </c>
      <c r="B9" s="220" t="s">
        <v>469</v>
      </c>
      <c r="C9" s="223" t="s">
        <v>807</v>
      </c>
    </row>
    <row r="10" spans="1:9" x14ac:dyDescent="0.3">
      <c r="A10" s="213" t="s">
        <v>1244</v>
      </c>
      <c r="B10" s="409">
        <v>1108.77</v>
      </c>
      <c r="C10" s="846">
        <v>10083</v>
      </c>
    </row>
    <row r="11" spans="1:9" x14ac:dyDescent="0.3">
      <c r="A11" s="213" t="s">
        <v>499</v>
      </c>
      <c r="B11" s="409" t="s">
        <v>501</v>
      </c>
      <c r="C11" s="407" t="s">
        <v>808</v>
      </c>
    </row>
    <row r="12" spans="1:9" x14ac:dyDescent="0.3">
      <c r="A12" s="214"/>
      <c r="B12" s="220"/>
      <c r="C12" s="223"/>
      <c r="F12" s="211" t="s">
        <v>176</v>
      </c>
    </row>
    <row r="13" spans="1:9" x14ac:dyDescent="0.3">
      <c r="A13" s="221" t="s">
        <v>502</v>
      </c>
      <c r="B13" s="220"/>
      <c r="C13" s="223"/>
    </row>
    <row r="14" spans="1:9" x14ac:dyDescent="0.3">
      <c r="A14" s="2806" t="s">
        <v>1499</v>
      </c>
      <c r="B14" s="2807"/>
      <c r="C14" s="2808"/>
    </row>
    <row r="15" spans="1:9" x14ac:dyDescent="0.3">
      <c r="A15" s="2806" t="s">
        <v>1500</v>
      </c>
      <c r="B15" s="2807"/>
      <c r="C15" s="2808"/>
    </row>
    <row r="16" spans="1:9" x14ac:dyDescent="0.3">
      <c r="A16" s="2806" t="s">
        <v>1501</v>
      </c>
      <c r="B16" s="2807"/>
      <c r="C16" s="2808"/>
      <c r="I16" s="211" t="s">
        <v>176</v>
      </c>
    </row>
    <row r="17" spans="1:16384" x14ac:dyDescent="0.3">
      <c r="A17" s="2806" t="s">
        <v>1502</v>
      </c>
      <c r="B17" s="2807"/>
      <c r="C17" s="2808"/>
    </row>
    <row r="18" spans="1:16384" x14ac:dyDescent="0.3">
      <c r="A18" s="2806" t="s">
        <v>1503</v>
      </c>
      <c r="B18" s="2807"/>
      <c r="C18" s="2808"/>
    </row>
    <row r="19" spans="1:16384" x14ac:dyDescent="0.3">
      <c r="A19" s="2806" t="s">
        <v>1504</v>
      </c>
      <c r="B19" s="2807"/>
      <c r="C19" s="2808"/>
    </row>
    <row r="20" spans="1:16384" x14ac:dyDescent="0.3">
      <c r="A20" s="2806" t="s">
        <v>1505</v>
      </c>
      <c r="B20" s="2807"/>
      <c r="C20" s="2808"/>
    </row>
    <row r="21" spans="1:16384" x14ac:dyDescent="0.3">
      <c r="A21" s="2806" t="s">
        <v>1506</v>
      </c>
      <c r="B21" s="2807"/>
      <c r="C21" s="2808"/>
    </row>
    <row r="22" spans="1:16384" ht="31.5" customHeight="1" x14ac:dyDescent="0.3">
      <c r="A22" s="2806" t="s">
        <v>1507</v>
      </c>
      <c r="B22" s="2807"/>
      <c r="C22" s="2808"/>
    </row>
    <row r="23" spans="1:16384" x14ac:dyDescent="0.3">
      <c r="A23" s="2806" t="s">
        <v>1508</v>
      </c>
      <c r="B23" s="2807"/>
      <c r="C23" s="2808"/>
    </row>
    <row r="24" spans="1:16384" x14ac:dyDescent="0.3">
      <c r="A24" s="2806" t="s">
        <v>1509</v>
      </c>
      <c r="B24" s="2807"/>
      <c r="C24" s="2808"/>
    </row>
    <row r="25" spans="1:16384" x14ac:dyDescent="0.3">
      <c r="A25" s="2806" t="s">
        <v>1510</v>
      </c>
      <c r="B25" s="2807"/>
      <c r="C25" s="2808"/>
      <c r="D25" s="2846"/>
      <c r="E25" s="2846"/>
      <c r="F25" s="2846"/>
      <c r="G25" s="2846"/>
      <c r="H25" s="2846"/>
      <c r="I25" s="2846"/>
      <c r="J25" s="2846"/>
      <c r="K25" s="2846"/>
      <c r="L25" s="2846"/>
      <c r="M25" s="2846"/>
      <c r="N25" s="2846"/>
      <c r="O25" s="2846"/>
      <c r="P25" s="2807"/>
      <c r="Q25" s="2807"/>
      <c r="R25" s="2807"/>
      <c r="S25" s="2807"/>
      <c r="T25" s="2807"/>
      <c r="U25" s="2807"/>
      <c r="V25" s="2807"/>
      <c r="W25" s="2807"/>
      <c r="X25" s="2807"/>
      <c r="Y25" s="2807"/>
      <c r="Z25" s="2807"/>
      <c r="AA25" s="2807"/>
      <c r="AB25" s="2807"/>
      <c r="AC25" s="2807"/>
      <c r="AD25" s="2807"/>
      <c r="AE25" s="2807"/>
      <c r="AF25" s="2807"/>
      <c r="AG25" s="2807"/>
      <c r="AH25" s="2807"/>
      <c r="AI25" s="2807"/>
      <c r="AJ25" s="2807"/>
      <c r="AK25" s="2807"/>
      <c r="AL25" s="2807"/>
      <c r="AM25" s="2807"/>
      <c r="AN25" s="2807"/>
      <c r="AO25" s="2807"/>
      <c r="AP25" s="2807"/>
      <c r="AQ25" s="2807"/>
      <c r="AR25" s="2807"/>
      <c r="AS25" s="2807"/>
      <c r="AT25" s="2807"/>
      <c r="AU25" s="2807"/>
      <c r="AV25" s="2807"/>
      <c r="AW25" s="2807"/>
      <c r="AX25" s="2807"/>
      <c r="AY25" s="2807"/>
      <c r="AZ25" s="2807"/>
      <c r="BA25" s="2807"/>
      <c r="BB25" s="2807"/>
      <c r="BC25" s="2807"/>
      <c r="BD25" s="2807"/>
      <c r="BE25" s="2807"/>
      <c r="BF25" s="2807"/>
      <c r="BG25" s="2807"/>
      <c r="BH25" s="2807"/>
      <c r="BI25" s="2807"/>
      <c r="BJ25" s="2807"/>
      <c r="BK25" s="2807"/>
      <c r="BL25" s="2807"/>
      <c r="BM25" s="2807"/>
      <c r="BN25" s="2807"/>
      <c r="BO25" s="2807"/>
      <c r="BP25" s="2807"/>
      <c r="BQ25" s="2807"/>
      <c r="BR25" s="2807"/>
      <c r="BS25" s="2807"/>
      <c r="BT25" s="2807"/>
      <c r="BU25" s="2807"/>
      <c r="BV25" s="2807"/>
      <c r="BW25" s="2807"/>
      <c r="BX25" s="2807"/>
      <c r="BY25" s="2807"/>
      <c r="BZ25" s="2807"/>
      <c r="CA25" s="2807"/>
      <c r="CB25" s="2807"/>
      <c r="CC25" s="2807"/>
      <c r="CD25" s="2807"/>
      <c r="CE25" s="2807"/>
      <c r="CF25" s="2807"/>
      <c r="CG25" s="2807"/>
      <c r="CH25" s="2807"/>
      <c r="CI25" s="2807"/>
      <c r="CJ25" s="2807"/>
      <c r="CK25" s="2807"/>
      <c r="CL25" s="2807"/>
      <c r="CM25" s="2807"/>
      <c r="CN25" s="2807"/>
      <c r="CO25" s="2807"/>
      <c r="CP25" s="2807"/>
      <c r="CQ25" s="2807"/>
      <c r="CR25" s="2807"/>
      <c r="CS25" s="2807"/>
      <c r="CT25" s="2807"/>
      <c r="CU25" s="2807"/>
      <c r="CV25" s="2807"/>
      <c r="CW25" s="2807"/>
      <c r="CX25" s="2807"/>
      <c r="CY25" s="2807"/>
      <c r="CZ25" s="2807"/>
      <c r="DA25" s="2807"/>
      <c r="DB25" s="2807"/>
      <c r="DC25" s="2807"/>
      <c r="DD25" s="2807"/>
      <c r="DE25" s="2807"/>
      <c r="DF25" s="2846"/>
      <c r="DG25" s="2851"/>
      <c r="DH25" s="2850"/>
      <c r="DI25" s="2846"/>
      <c r="DJ25" s="2851"/>
      <c r="DK25" s="2850"/>
      <c r="DL25" s="2846"/>
      <c r="DM25" s="2851"/>
      <c r="DN25" s="2850"/>
      <c r="DO25" s="2846"/>
      <c r="DP25" s="2851"/>
      <c r="DQ25" s="2850"/>
      <c r="DR25" s="2846"/>
      <c r="DS25" s="2851"/>
      <c r="DT25" s="2850"/>
      <c r="DU25" s="2846"/>
      <c r="DV25" s="2851"/>
      <c r="DW25" s="2850"/>
      <c r="DX25" s="2846"/>
      <c r="DY25" s="2851"/>
      <c r="DZ25" s="2850"/>
      <c r="EA25" s="2846"/>
      <c r="EB25" s="2851"/>
      <c r="EC25" s="2850"/>
      <c r="ED25" s="2846"/>
      <c r="EE25" s="2851"/>
      <c r="EF25" s="2850"/>
      <c r="EG25" s="2846"/>
      <c r="EH25" s="2851"/>
      <c r="EI25" s="2850"/>
      <c r="EJ25" s="2846"/>
      <c r="EK25" s="2851"/>
      <c r="EL25" s="2850"/>
      <c r="EM25" s="2846"/>
      <c r="EN25" s="2851"/>
      <c r="EO25" s="2850"/>
      <c r="EP25" s="2846"/>
      <c r="EQ25" s="2851"/>
      <c r="ER25" s="2850"/>
      <c r="ES25" s="2846"/>
      <c r="ET25" s="2851"/>
      <c r="EU25" s="2850"/>
      <c r="EV25" s="2846"/>
      <c r="EW25" s="2851"/>
      <c r="EX25" s="2850"/>
      <c r="EY25" s="2846"/>
      <c r="EZ25" s="2851"/>
      <c r="FA25" s="2850"/>
      <c r="FB25" s="2846"/>
      <c r="FC25" s="2851"/>
      <c r="FD25" s="2850"/>
      <c r="FE25" s="2846"/>
      <c r="FF25" s="2851"/>
      <c r="FG25" s="2850"/>
      <c r="FH25" s="2846"/>
      <c r="FI25" s="2851"/>
      <c r="FJ25" s="2850"/>
      <c r="FK25" s="2846"/>
      <c r="FL25" s="2851"/>
      <c r="FM25" s="2850"/>
      <c r="FN25" s="2846"/>
      <c r="FO25" s="2851"/>
      <c r="FP25" s="2850"/>
      <c r="FQ25" s="2846"/>
      <c r="FR25" s="2851"/>
      <c r="FS25" s="2850"/>
      <c r="FT25" s="2846"/>
      <c r="FU25" s="2851"/>
      <c r="FV25" s="2850"/>
      <c r="FW25" s="2846"/>
      <c r="FX25" s="2851"/>
      <c r="FY25" s="2850"/>
      <c r="FZ25" s="2846"/>
      <c r="GA25" s="2851"/>
      <c r="GB25" s="2850"/>
      <c r="GC25" s="2846"/>
      <c r="GD25" s="2851"/>
      <c r="GE25" s="2850"/>
      <c r="GF25" s="2846"/>
      <c r="GG25" s="2851"/>
      <c r="GH25" s="2850"/>
      <c r="GI25" s="2846"/>
      <c r="GJ25" s="2851"/>
      <c r="GK25" s="2850"/>
      <c r="GL25" s="2846"/>
      <c r="GM25" s="2851"/>
      <c r="GN25" s="2850"/>
      <c r="GO25" s="2846"/>
      <c r="GP25" s="2851"/>
      <c r="GQ25" s="2850"/>
      <c r="GR25" s="2846"/>
      <c r="GS25" s="2851"/>
      <c r="GT25" s="2850"/>
      <c r="GU25" s="2846"/>
      <c r="GV25" s="2851"/>
      <c r="GW25" s="2850"/>
      <c r="GX25" s="2846"/>
      <c r="GY25" s="2851"/>
      <c r="GZ25" s="2850"/>
      <c r="HA25" s="2846"/>
      <c r="HB25" s="2851"/>
      <c r="HC25" s="2850"/>
      <c r="HD25" s="2846"/>
      <c r="HE25" s="2851"/>
      <c r="HF25" s="2850"/>
      <c r="HG25" s="2846"/>
      <c r="HH25" s="2851"/>
      <c r="HI25" s="2850"/>
      <c r="HJ25" s="2846"/>
      <c r="HK25" s="2851"/>
      <c r="HL25" s="2850"/>
      <c r="HM25" s="2846"/>
      <c r="HN25" s="2851"/>
      <c r="HO25" s="2850"/>
      <c r="HP25" s="2846"/>
      <c r="HQ25" s="2851"/>
      <c r="HR25" s="2850"/>
      <c r="HS25" s="2846"/>
      <c r="HT25" s="2851"/>
      <c r="HU25" s="2850"/>
      <c r="HV25" s="2846"/>
      <c r="HW25" s="2851"/>
      <c r="HX25" s="2850"/>
      <c r="HY25" s="2846"/>
      <c r="HZ25" s="2851"/>
      <c r="IA25" s="2850"/>
      <c r="IB25" s="2846"/>
      <c r="IC25" s="2851"/>
      <c r="ID25" s="2850"/>
      <c r="IE25" s="2846"/>
      <c r="IF25" s="2851"/>
      <c r="IG25" s="2850"/>
      <c r="IH25" s="2846"/>
      <c r="II25" s="2851"/>
      <c r="IJ25" s="2850"/>
      <c r="IK25" s="2846"/>
      <c r="IL25" s="2851"/>
      <c r="IM25" s="2850"/>
      <c r="IN25" s="2846"/>
      <c r="IO25" s="2851"/>
      <c r="IP25" s="2850"/>
      <c r="IQ25" s="2846"/>
      <c r="IR25" s="2851"/>
      <c r="IS25" s="2850"/>
      <c r="IT25" s="2846"/>
      <c r="IU25" s="2851"/>
      <c r="IV25" s="2850"/>
      <c r="IW25" s="2846"/>
      <c r="IX25" s="2851"/>
      <c r="IY25" s="2850"/>
      <c r="IZ25" s="2846"/>
      <c r="JA25" s="2851"/>
      <c r="JB25" s="2850"/>
      <c r="JC25" s="2846"/>
      <c r="JD25" s="2851"/>
      <c r="JE25" s="2850"/>
      <c r="JF25" s="2846"/>
      <c r="JG25" s="2851"/>
      <c r="JH25" s="2850"/>
      <c r="JI25" s="2846"/>
      <c r="JJ25" s="2851"/>
      <c r="JK25" s="2850"/>
      <c r="JL25" s="2846"/>
      <c r="JM25" s="2851"/>
      <c r="JN25" s="2850"/>
      <c r="JO25" s="2846"/>
      <c r="JP25" s="2851"/>
      <c r="JQ25" s="2850"/>
      <c r="JR25" s="2846"/>
      <c r="JS25" s="2851"/>
      <c r="JT25" s="2850"/>
      <c r="JU25" s="2846"/>
      <c r="JV25" s="2851"/>
      <c r="JW25" s="2850"/>
      <c r="JX25" s="2846"/>
      <c r="JY25" s="2851"/>
      <c r="JZ25" s="2850"/>
      <c r="KA25" s="2846"/>
      <c r="KB25" s="2851"/>
      <c r="KC25" s="2850"/>
      <c r="KD25" s="2846"/>
      <c r="KE25" s="2851"/>
      <c r="KF25" s="2850"/>
      <c r="KG25" s="2846"/>
      <c r="KH25" s="2851"/>
      <c r="KI25" s="2850"/>
      <c r="KJ25" s="2846"/>
      <c r="KK25" s="2851"/>
      <c r="KL25" s="2850"/>
      <c r="KM25" s="2846"/>
      <c r="KN25" s="2851"/>
      <c r="KO25" s="2850"/>
      <c r="KP25" s="2846"/>
      <c r="KQ25" s="2851"/>
      <c r="KR25" s="2850"/>
      <c r="KS25" s="2846"/>
      <c r="KT25" s="2851"/>
      <c r="KU25" s="2850"/>
      <c r="KV25" s="2846"/>
      <c r="KW25" s="2851"/>
      <c r="KX25" s="2850"/>
      <c r="KY25" s="2846"/>
      <c r="KZ25" s="2851"/>
      <c r="LA25" s="2850"/>
      <c r="LB25" s="2846"/>
      <c r="LC25" s="2851"/>
      <c r="LD25" s="2850"/>
      <c r="LE25" s="2846"/>
      <c r="LF25" s="2851"/>
      <c r="LG25" s="2850"/>
      <c r="LH25" s="2846"/>
      <c r="LI25" s="2851"/>
      <c r="LJ25" s="2850"/>
      <c r="LK25" s="2846"/>
      <c r="LL25" s="2851"/>
      <c r="LM25" s="2850"/>
      <c r="LN25" s="2846"/>
      <c r="LO25" s="2851"/>
      <c r="LP25" s="2850"/>
      <c r="LQ25" s="2846"/>
      <c r="LR25" s="2851"/>
      <c r="LS25" s="2850"/>
      <c r="LT25" s="2846"/>
      <c r="LU25" s="2851"/>
      <c r="LV25" s="2850"/>
      <c r="LW25" s="2846"/>
      <c r="LX25" s="2851"/>
      <c r="LY25" s="2850"/>
      <c r="LZ25" s="2846"/>
      <c r="MA25" s="2851"/>
      <c r="MB25" s="2850"/>
      <c r="MC25" s="2846"/>
      <c r="MD25" s="2851"/>
      <c r="ME25" s="2850"/>
      <c r="MF25" s="2846"/>
      <c r="MG25" s="2851"/>
      <c r="MH25" s="2850"/>
      <c r="MI25" s="2846"/>
      <c r="MJ25" s="2851"/>
      <c r="MK25" s="2850"/>
      <c r="ML25" s="2846"/>
      <c r="MM25" s="2851"/>
      <c r="MN25" s="2850"/>
      <c r="MO25" s="2846"/>
      <c r="MP25" s="2851"/>
      <c r="MQ25" s="2850"/>
      <c r="MR25" s="2846"/>
      <c r="MS25" s="2851"/>
      <c r="MT25" s="2850"/>
      <c r="MU25" s="2846"/>
      <c r="MV25" s="2851"/>
      <c r="MW25" s="2850"/>
      <c r="MX25" s="2846"/>
      <c r="MY25" s="2851"/>
      <c r="MZ25" s="2850"/>
      <c r="NA25" s="2846"/>
      <c r="NB25" s="2851"/>
      <c r="NC25" s="2850"/>
      <c r="ND25" s="2846"/>
      <c r="NE25" s="2851"/>
      <c r="NF25" s="2850"/>
      <c r="NG25" s="2846"/>
      <c r="NH25" s="2851"/>
      <c r="NI25" s="2850"/>
      <c r="NJ25" s="2846"/>
      <c r="NK25" s="2851"/>
      <c r="NL25" s="2850"/>
      <c r="NM25" s="2846"/>
      <c r="NN25" s="2851"/>
      <c r="NO25" s="2850"/>
      <c r="NP25" s="2846"/>
      <c r="NQ25" s="2851"/>
      <c r="NR25" s="2850"/>
      <c r="NS25" s="2846"/>
      <c r="NT25" s="2851"/>
      <c r="NU25" s="2850"/>
      <c r="NV25" s="2846"/>
      <c r="NW25" s="2851"/>
      <c r="NX25" s="2850"/>
      <c r="NY25" s="2846"/>
      <c r="NZ25" s="2851"/>
      <c r="OA25" s="2850"/>
      <c r="OB25" s="2846"/>
      <c r="OC25" s="2851"/>
      <c r="OD25" s="2850"/>
      <c r="OE25" s="2846"/>
      <c r="OF25" s="2851"/>
      <c r="OG25" s="2850"/>
      <c r="OH25" s="2846"/>
      <c r="OI25" s="2851"/>
      <c r="OJ25" s="2850"/>
      <c r="OK25" s="2846"/>
      <c r="OL25" s="2851"/>
      <c r="OM25" s="2850"/>
      <c r="ON25" s="2846"/>
      <c r="OO25" s="2851"/>
      <c r="OP25" s="2850"/>
      <c r="OQ25" s="2846"/>
      <c r="OR25" s="2851"/>
      <c r="OS25" s="2850"/>
      <c r="OT25" s="2846"/>
      <c r="OU25" s="2851"/>
      <c r="OV25" s="2850"/>
      <c r="OW25" s="2846"/>
      <c r="OX25" s="2851"/>
      <c r="OY25" s="2850"/>
      <c r="OZ25" s="2846"/>
      <c r="PA25" s="2851"/>
      <c r="PB25" s="2850"/>
      <c r="PC25" s="2846"/>
      <c r="PD25" s="2851"/>
      <c r="PE25" s="2850"/>
      <c r="PF25" s="2846"/>
      <c r="PG25" s="2851"/>
      <c r="PH25" s="2850"/>
      <c r="PI25" s="2846"/>
      <c r="PJ25" s="2851"/>
      <c r="PK25" s="2850"/>
      <c r="PL25" s="2846"/>
      <c r="PM25" s="2851"/>
      <c r="PN25" s="2850"/>
      <c r="PO25" s="2846"/>
      <c r="PP25" s="2851"/>
      <c r="PQ25" s="2850"/>
      <c r="PR25" s="2846"/>
      <c r="PS25" s="2851"/>
      <c r="PT25" s="2850"/>
      <c r="PU25" s="2846"/>
      <c r="PV25" s="2851"/>
      <c r="PW25" s="2850"/>
      <c r="PX25" s="2846"/>
      <c r="PY25" s="2851"/>
      <c r="PZ25" s="2850"/>
      <c r="QA25" s="2846"/>
      <c r="QB25" s="2851"/>
      <c r="QC25" s="2850"/>
      <c r="QD25" s="2846"/>
      <c r="QE25" s="2851"/>
      <c r="QF25" s="2850"/>
      <c r="QG25" s="2846"/>
      <c r="QH25" s="2851"/>
      <c r="QI25" s="2850"/>
      <c r="QJ25" s="2846"/>
      <c r="QK25" s="2851"/>
      <c r="QL25" s="2850"/>
      <c r="QM25" s="2846"/>
      <c r="QN25" s="2851"/>
      <c r="QO25" s="2850"/>
      <c r="QP25" s="2846"/>
      <c r="QQ25" s="2851"/>
      <c r="QR25" s="2850"/>
      <c r="QS25" s="2846"/>
      <c r="QT25" s="2851"/>
      <c r="QU25" s="2850"/>
      <c r="QV25" s="2846"/>
      <c r="QW25" s="2851"/>
      <c r="QX25" s="2850"/>
      <c r="QY25" s="2846"/>
      <c r="QZ25" s="2851"/>
      <c r="RA25" s="2850"/>
      <c r="RB25" s="2846"/>
      <c r="RC25" s="2851"/>
      <c r="RD25" s="2850"/>
      <c r="RE25" s="2846"/>
      <c r="RF25" s="2851"/>
      <c r="RG25" s="2850"/>
      <c r="RH25" s="2846"/>
      <c r="RI25" s="2851"/>
      <c r="RJ25" s="2850"/>
      <c r="RK25" s="2846"/>
      <c r="RL25" s="2851"/>
      <c r="RM25" s="2850"/>
      <c r="RN25" s="2846"/>
      <c r="RO25" s="2851"/>
      <c r="RP25" s="2850"/>
      <c r="RQ25" s="2846"/>
      <c r="RR25" s="2851"/>
      <c r="RS25" s="2850"/>
      <c r="RT25" s="2846"/>
      <c r="RU25" s="2851"/>
      <c r="RV25" s="2850"/>
      <c r="RW25" s="2846"/>
      <c r="RX25" s="2851"/>
      <c r="RY25" s="2850"/>
      <c r="RZ25" s="2846"/>
      <c r="SA25" s="2851"/>
      <c r="SB25" s="2850"/>
      <c r="SC25" s="2846"/>
      <c r="SD25" s="2851"/>
      <c r="SE25" s="2850"/>
      <c r="SF25" s="2846"/>
      <c r="SG25" s="2851"/>
      <c r="SH25" s="2850"/>
      <c r="SI25" s="2846"/>
      <c r="SJ25" s="2851"/>
      <c r="SK25" s="2850"/>
      <c r="SL25" s="2846"/>
      <c r="SM25" s="2851"/>
      <c r="SN25" s="2850"/>
      <c r="SO25" s="2846"/>
      <c r="SP25" s="2851"/>
      <c r="SQ25" s="2850"/>
      <c r="SR25" s="2846"/>
      <c r="SS25" s="2851"/>
      <c r="ST25" s="2850"/>
      <c r="SU25" s="2846"/>
      <c r="SV25" s="2851"/>
      <c r="SW25" s="2850"/>
      <c r="SX25" s="2846"/>
      <c r="SY25" s="2851"/>
      <c r="SZ25" s="2850"/>
      <c r="TA25" s="2846"/>
      <c r="TB25" s="2851"/>
      <c r="TC25" s="2850"/>
      <c r="TD25" s="2846"/>
      <c r="TE25" s="2851"/>
      <c r="TF25" s="2850"/>
      <c r="TG25" s="2846"/>
      <c r="TH25" s="2851"/>
      <c r="TI25" s="2850"/>
      <c r="TJ25" s="2846"/>
      <c r="TK25" s="2851"/>
      <c r="TL25" s="2850"/>
      <c r="TM25" s="2846"/>
      <c r="TN25" s="2851"/>
      <c r="TO25" s="2850"/>
      <c r="TP25" s="2846"/>
      <c r="TQ25" s="2851"/>
      <c r="TR25" s="2850"/>
      <c r="TS25" s="2846"/>
      <c r="TT25" s="2851"/>
      <c r="TU25" s="2850"/>
      <c r="TV25" s="2846"/>
      <c r="TW25" s="2851"/>
      <c r="TX25" s="2850"/>
      <c r="TY25" s="2846"/>
      <c r="TZ25" s="2851"/>
      <c r="UA25" s="2850"/>
      <c r="UB25" s="2846"/>
      <c r="UC25" s="2851"/>
      <c r="UD25" s="2850"/>
      <c r="UE25" s="2846"/>
      <c r="UF25" s="2851"/>
      <c r="UG25" s="2850"/>
      <c r="UH25" s="2846"/>
      <c r="UI25" s="2851"/>
      <c r="UJ25" s="2850"/>
      <c r="UK25" s="2846"/>
      <c r="UL25" s="2851"/>
      <c r="UM25" s="2850"/>
      <c r="UN25" s="2846"/>
      <c r="UO25" s="2851"/>
      <c r="UP25" s="2850"/>
      <c r="UQ25" s="2846"/>
      <c r="UR25" s="2851"/>
      <c r="US25" s="2850"/>
      <c r="UT25" s="2846"/>
      <c r="UU25" s="2851"/>
      <c r="UV25" s="2850"/>
      <c r="UW25" s="2846"/>
      <c r="UX25" s="2851"/>
      <c r="UY25" s="2850"/>
      <c r="UZ25" s="2846"/>
      <c r="VA25" s="2851"/>
      <c r="VB25" s="2850"/>
      <c r="VC25" s="2846"/>
      <c r="VD25" s="2851"/>
      <c r="VE25" s="2850"/>
      <c r="VF25" s="2846"/>
      <c r="VG25" s="2851"/>
      <c r="VH25" s="2850"/>
      <c r="VI25" s="2846"/>
      <c r="VJ25" s="2851"/>
      <c r="VK25" s="2850"/>
      <c r="VL25" s="2846"/>
      <c r="VM25" s="2851"/>
      <c r="VN25" s="2850"/>
      <c r="VO25" s="2846"/>
      <c r="VP25" s="2851"/>
      <c r="VQ25" s="2850"/>
      <c r="VR25" s="2846"/>
      <c r="VS25" s="2851"/>
      <c r="VT25" s="2850"/>
      <c r="VU25" s="2846"/>
      <c r="VV25" s="2851"/>
      <c r="VW25" s="2850"/>
      <c r="VX25" s="2846"/>
      <c r="VY25" s="2851"/>
      <c r="VZ25" s="2850"/>
      <c r="WA25" s="2846"/>
      <c r="WB25" s="2851"/>
      <c r="WC25" s="2850"/>
      <c r="WD25" s="2846"/>
      <c r="WE25" s="2851"/>
      <c r="WF25" s="2850"/>
      <c r="WG25" s="2846"/>
      <c r="WH25" s="2851"/>
      <c r="WI25" s="2850"/>
      <c r="WJ25" s="2846"/>
      <c r="WK25" s="2851"/>
      <c r="WL25" s="2850"/>
      <c r="WM25" s="2846"/>
      <c r="WN25" s="2851"/>
      <c r="WO25" s="2850"/>
      <c r="WP25" s="2846"/>
      <c r="WQ25" s="2851"/>
      <c r="WR25" s="2850"/>
      <c r="WS25" s="2846"/>
      <c r="WT25" s="2851"/>
      <c r="WU25" s="2850"/>
      <c r="WV25" s="2846"/>
      <c r="WW25" s="2851"/>
      <c r="WX25" s="2850"/>
      <c r="WY25" s="2846"/>
      <c r="WZ25" s="2851"/>
      <c r="XA25" s="2850"/>
      <c r="XB25" s="2846"/>
      <c r="XC25" s="2851"/>
      <c r="XD25" s="2850"/>
      <c r="XE25" s="2846"/>
      <c r="XF25" s="2851"/>
      <c r="XG25" s="2850"/>
      <c r="XH25" s="2846"/>
      <c r="XI25" s="2851"/>
      <c r="XJ25" s="2850"/>
      <c r="XK25" s="2846"/>
      <c r="XL25" s="2851"/>
      <c r="XM25" s="2850"/>
      <c r="XN25" s="2846"/>
      <c r="XO25" s="2851"/>
      <c r="XP25" s="2850"/>
      <c r="XQ25" s="2846"/>
      <c r="XR25" s="2851"/>
      <c r="XS25" s="2850"/>
      <c r="XT25" s="2846"/>
      <c r="XU25" s="2851"/>
      <c r="XV25" s="2850"/>
      <c r="XW25" s="2846"/>
      <c r="XX25" s="2851"/>
      <c r="XY25" s="2850"/>
      <c r="XZ25" s="2846"/>
      <c r="YA25" s="2851"/>
      <c r="YB25" s="2850"/>
      <c r="YC25" s="2846"/>
      <c r="YD25" s="2851"/>
      <c r="YE25" s="2850"/>
      <c r="YF25" s="2846"/>
      <c r="YG25" s="2851"/>
      <c r="YH25" s="2850"/>
      <c r="YI25" s="2846"/>
      <c r="YJ25" s="2851"/>
      <c r="YK25" s="2850"/>
      <c r="YL25" s="2846"/>
      <c r="YM25" s="2851"/>
      <c r="YN25" s="2850"/>
      <c r="YO25" s="2846"/>
      <c r="YP25" s="2851"/>
      <c r="YQ25" s="2850"/>
      <c r="YR25" s="2846"/>
      <c r="YS25" s="2851"/>
      <c r="YT25" s="2850"/>
      <c r="YU25" s="2846"/>
      <c r="YV25" s="2851"/>
      <c r="YW25" s="2850"/>
      <c r="YX25" s="2846"/>
      <c r="YY25" s="2851"/>
      <c r="YZ25" s="2850"/>
      <c r="ZA25" s="2846"/>
      <c r="ZB25" s="2851"/>
      <c r="ZC25" s="2850"/>
      <c r="ZD25" s="2846"/>
      <c r="ZE25" s="2851"/>
      <c r="ZF25" s="2850"/>
      <c r="ZG25" s="2846"/>
      <c r="ZH25" s="2851"/>
      <c r="ZI25" s="2850"/>
      <c r="ZJ25" s="2846"/>
      <c r="ZK25" s="2851"/>
      <c r="ZL25" s="2850"/>
      <c r="ZM25" s="2846"/>
      <c r="ZN25" s="2851"/>
      <c r="ZO25" s="2850"/>
      <c r="ZP25" s="2846"/>
      <c r="ZQ25" s="2851"/>
      <c r="ZR25" s="2850"/>
      <c r="ZS25" s="2846"/>
      <c r="ZT25" s="2851"/>
      <c r="ZU25" s="2850"/>
      <c r="ZV25" s="2846"/>
      <c r="ZW25" s="2851"/>
      <c r="ZX25" s="2850"/>
      <c r="ZY25" s="2846"/>
      <c r="ZZ25" s="2851"/>
      <c r="AAA25" s="2850"/>
      <c r="AAB25" s="2846"/>
      <c r="AAC25" s="2851"/>
      <c r="AAD25" s="2850"/>
      <c r="AAE25" s="2846"/>
      <c r="AAF25" s="2851"/>
      <c r="AAG25" s="2850"/>
      <c r="AAH25" s="2846"/>
      <c r="AAI25" s="2851"/>
      <c r="AAJ25" s="2850"/>
      <c r="AAK25" s="2846"/>
      <c r="AAL25" s="2851"/>
      <c r="AAM25" s="2850"/>
      <c r="AAN25" s="2846"/>
      <c r="AAO25" s="2851"/>
      <c r="AAP25" s="2850"/>
      <c r="AAQ25" s="2846"/>
      <c r="AAR25" s="2851"/>
      <c r="AAS25" s="2850"/>
      <c r="AAT25" s="2846"/>
      <c r="AAU25" s="2851"/>
      <c r="AAV25" s="2850"/>
      <c r="AAW25" s="2846"/>
      <c r="AAX25" s="2851"/>
      <c r="AAY25" s="2850"/>
      <c r="AAZ25" s="2846"/>
      <c r="ABA25" s="2851"/>
      <c r="ABB25" s="2850"/>
      <c r="ABC25" s="2846"/>
      <c r="ABD25" s="2851"/>
      <c r="ABE25" s="2850"/>
      <c r="ABF25" s="2846"/>
      <c r="ABG25" s="2851"/>
      <c r="ABH25" s="2850"/>
      <c r="ABI25" s="2846"/>
      <c r="ABJ25" s="2851"/>
      <c r="ABK25" s="2850"/>
      <c r="ABL25" s="2846"/>
      <c r="ABM25" s="2851"/>
      <c r="ABN25" s="2850"/>
      <c r="ABO25" s="2846"/>
      <c r="ABP25" s="2851"/>
      <c r="ABQ25" s="2850"/>
      <c r="ABR25" s="2846"/>
      <c r="ABS25" s="2851"/>
      <c r="ABT25" s="2850"/>
      <c r="ABU25" s="2846"/>
      <c r="ABV25" s="2851"/>
      <c r="ABW25" s="2850"/>
      <c r="ABX25" s="2846"/>
      <c r="ABY25" s="2851"/>
      <c r="ABZ25" s="2850"/>
      <c r="ACA25" s="2846"/>
      <c r="ACB25" s="2851"/>
      <c r="ACC25" s="2850"/>
      <c r="ACD25" s="2846"/>
      <c r="ACE25" s="2851"/>
      <c r="ACF25" s="2850"/>
      <c r="ACG25" s="2846"/>
      <c r="ACH25" s="2851"/>
      <c r="ACI25" s="2850"/>
      <c r="ACJ25" s="2846"/>
      <c r="ACK25" s="2851"/>
      <c r="ACL25" s="2850"/>
      <c r="ACM25" s="2846"/>
      <c r="ACN25" s="2851"/>
      <c r="ACO25" s="2850"/>
      <c r="ACP25" s="2846"/>
      <c r="ACQ25" s="2851"/>
      <c r="ACR25" s="2850"/>
      <c r="ACS25" s="2846"/>
      <c r="ACT25" s="2851"/>
      <c r="ACU25" s="2850"/>
      <c r="ACV25" s="2846"/>
      <c r="ACW25" s="2851"/>
      <c r="ACX25" s="2850"/>
      <c r="ACY25" s="2846"/>
      <c r="ACZ25" s="2851"/>
      <c r="ADA25" s="2850"/>
      <c r="ADB25" s="2846"/>
      <c r="ADC25" s="2851"/>
      <c r="ADD25" s="2850"/>
      <c r="ADE25" s="2846"/>
      <c r="ADF25" s="2851"/>
      <c r="ADG25" s="2850"/>
      <c r="ADH25" s="2846"/>
      <c r="ADI25" s="2851"/>
      <c r="ADJ25" s="2850"/>
      <c r="ADK25" s="2846"/>
      <c r="ADL25" s="2851"/>
      <c r="ADM25" s="2850"/>
      <c r="ADN25" s="2846"/>
      <c r="ADO25" s="2851"/>
      <c r="ADP25" s="2850"/>
      <c r="ADQ25" s="2846"/>
      <c r="ADR25" s="2851"/>
      <c r="ADS25" s="2850"/>
      <c r="ADT25" s="2846"/>
      <c r="ADU25" s="2851"/>
      <c r="ADV25" s="2850"/>
      <c r="ADW25" s="2846"/>
      <c r="ADX25" s="2851"/>
      <c r="ADY25" s="2850"/>
      <c r="ADZ25" s="2846"/>
      <c r="AEA25" s="2851"/>
      <c r="AEB25" s="2850"/>
      <c r="AEC25" s="2846"/>
      <c r="AED25" s="2851"/>
      <c r="AEE25" s="2850"/>
      <c r="AEF25" s="2846"/>
      <c r="AEG25" s="2851"/>
      <c r="AEH25" s="2850"/>
      <c r="AEI25" s="2846"/>
      <c r="AEJ25" s="2851"/>
      <c r="AEK25" s="2850"/>
      <c r="AEL25" s="2846"/>
      <c r="AEM25" s="2851"/>
      <c r="AEN25" s="2850"/>
      <c r="AEO25" s="2846"/>
      <c r="AEP25" s="2851"/>
      <c r="AEQ25" s="2850"/>
      <c r="AER25" s="2846"/>
      <c r="AES25" s="2851"/>
      <c r="AET25" s="2850"/>
      <c r="AEU25" s="2846"/>
      <c r="AEV25" s="2851"/>
      <c r="AEW25" s="2850"/>
      <c r="AEX25" s="2846"/>
      <c r="AEY25" s="2851"/>
      <c r="AEZ25" s="2850"/>
      <c r="AFA25" s="2846"/>
      <c r="AFB25" s="2851"/>
      <c r="AFC25" s="2850"/>
      <c r="AFD25" s="2846"/>
      <c r="AFE25" s="2851"/>
      <c r="AFF25" s="2850"/>
      <c r="AFG25" s="2846"/>
      <c r="AFH25" s="2851"/>
      <c r="AFI25" s="2850"/>
      <c r="AFJ25" s="2846"/>
      <c r="AFK25" s="2851"/>
      <c r="AFL25" s="2850"/>
      <c r="AFM25" s="2846"/>
      <c r="AFN25" s="2851"/>
      <c r="AFO25" s="2850"/>
      <c r="AFP25" s="2846"/>
      <c r="AFQ25" s="2851"/>
      <c r="AFR25" s="2850"/>
      <c r="AFS25" s="2846"/>
      <c r="AFT25" s="2851"/>
      <c r="AFU25" s="2850"/>
      <c r="AFV25" s="2846"/>
      <c r="AFW25" s="2851"/>
      <c r="AFX25" s="2850"/>
      <c r="AFY25" s="2846"/>
      <c r="AFZ25" s="2851"/>
      <c r="AGA25" s="2850"/>
      <c r="AGB25" s="2846"/>
      <c r="AGC25" s="2851"/>
      <c r="AGD25" s="2850"/>
      <c r="AGE25" s="2846"/>
      <c r="AGF25" s="2851"/>
      <c r="AGG25" s="2850"/>
      <c r="AGH25" s="2846"/>
      <c r="AGI25" s="2851"/>
      <c r="AGJ25" s="2850"/>
      <c r="AGK25" s="2846"/>
      <c r="AGL25" s="2851"/>
      <c r="AGM25" s="2850"/>
      <c r="AGN25" s="2846"/>
      <c r="AGO25" s="2851"/>
      <c r="AGP25" s="2850"/>
      <c r="AGQ25" s="2846"/>
      <c r="AGR25" s="2851"/>
      <c r="AGS25" s="2850"/>
      <c r="AGT25" s="2846"/>
      <c r="AGU25" s="2851"/>
      <c r="AGV25" s="2850"/>
      <c r="AGW25" s="2846"/>
      <c r="AGX25" s="2851"/>
      <c r="AGY25" s="2850"/>
      <c r="AGZ25" s="2846"/>
      <c r="AHA25" s="2851"/>
      <c r="AHB25" s="2850"/>
      <c r="AHC25" s="2846"/>
      <c r="AHD25" s="2851"/>
      <c r="AHE25" s="2850"/>
      <c r="AHF25" s="2846"/>
      <c r="AHG25" s="2851"/>
      <c r="AHH25" s="2850"/>
      <c r="AHI25" s="2846"/>
      <c r="AHJ25" s="2851"/>
      <c r="AHK25" s="2850"/>
      <c r="AHL25" s="2846"/>
      <c r="AHM25" s="2851"/>
      <c r="AHN25" s="2850"/>
      <c r="AHO25" s="2846"/>
      <c r="AHP25" s="2851"/>
      <c r="AHQ25" s="2850"/>
      <c r="AHR25" s="2846"/>
      <c r="AHS25" s="2851"/>
      <c r="AHT25" s="2850"/>
      <c r="AHU25" s="2846"/>
      <c r="AHV25" s="2851"/>
      <c r="AHW25" s="2850"/>
      <c r="AHX25" s="2846"/>
      <c r="AHY25" s="2851"/>
      <c r="AHZ25" s="2850"/>
      <c r="AIA25" s="2846"/>
      <c r="AIB25" s="2851"/>
      <c r="AIC25" s="2850"/>
      <c r="AID25" s="2846"/>
      <c r="AIE25" s="2851"/>
      <c r="AIF25" s="2850"/>
      <c r="AIG25" s="2846"/>
      <c r="AIH25" s="2851"/>
      <c r="AII25" s="2850"/>
      <c r="AIJ25" s="2846"/>
      <c r="AIK25" s="2851"/>
      <c r="AIL25" s="2850"/>
      <c r="AIM25" s="2846"/>
      <c r="AIN25" s="2851"/>
      <c r="AIO25" s="2850"/>
      <c r="AIP25" s="2846"/>
      <c r="AIQ25" s="2851"/>
      <c r="AIR25" s="2850"/>
      <c r="AIS25" s="2846"/>
      <c r="AIT25" s="2851"/>
      <c r="AIU25" s="2850"/>
      <c r="AIV25" s="2846"/>
      <c r="AIW25" s="2851"/>
      <c r="AIX25" s="2850"/>
      <c r="AIY25" s="2846"/>
      <c r="AIZ25" s="2851"/>
      <c r="AJA25" s="2850"/>
      <c r="AJB25" s="2846"/>
      <c r="AJC25" s="2851"/>
      <c r="AJD25" s="2850"/>
      <c r="AJE25" s="2846"/>
      <c r="AJF25" s="2851"/>
      <c r="AJG25" s="2850"/>
      <c r="AJH25" s="2846"/>
      <c r="AJI25" s="2851"/>
      <c r="AJJ25" s="2850"/>
      <c r="AJK25" s="2846"/>
      <c r="AJL25" s="2851"/>
      <c r="AJM25" s="2850"/>
      <c r="AJN25" s="2846"/>
      <c r="AJO25" s="2851"/>
      <c r="AJP25" s="2850"/>
      <c r="AJQ25" s="2846"/>
      <c r="AJR25" s="2851"/>
      <c r="AJS25" s="2850"/>
      <c r="AJT25" s="2846"/>
      <c r="AJU25" s="2851"/>
      <c r="AJV25" s="2850"/>
      <c r="AJW25" s="2846"/>
      <c r="AJX25" s="2851"/>
      <c r="AJY25" s="2850"/>
      <c r="AJZ25" s="2846"/>
      <c r="AKA25" s="2851"/>
      <c r="AKB25" s="2850"/>
      <c r="AKC25" s="2846"/>
      <c r="AKD25" s="2851"/>
      <c r="AKE25" s="2850"/>
      <c r="AKF25" s="2846"/>
      <c r="AKG25" s="2851"/>
      <c r="AKH25" s="2850"/>
      <c r="AKI25" s="2846"/>
      <c r="AKJ25" s="2851"/>
      <c r="AKK25" s="2850"/>
      <c r="AKL25" s="2846"/>
      <c r="AKM25" s="2851"/>
      <c r="AKN25" s="2850"/>
      <c r="AKO25" s="2846"/>
      <c r="AKP25" s="2851"/>
      <c r="AKQ25" s="2850"/>
      <c r="AKR25" s="2846"/>
      <c r="AKS25" s="2851"/>
      <c r="AKT25" s="2850"/>
      <c r="AKU25" s="2846"/>
      <c r="AKV25" s="2851"/>
      <c r="AKW25" s="2850"/>
      <c r="AKX25" s="2846"/>
      <c r="AKY25" s="2851"/>
      <c r="AKZ25" s="2850"/>
      <c r="ALA25" s="2846"/>
      <c r="ALB25" s="2851"/>
      <c r="ALC25" s="2850"/>
      <c r="ALD25" s="2846"/>
      <c r="ALE25" s="2851"/>
      <c r="ALF25" s="2850"/>
      <c r="ALG25" s="2846"/>
      <c r="ALH25" s="2851"/>
      <c r="ALI25" s="2850"/>
      <c r="ALJ25" s="2846"/>
      <c r="ALK25" s="2851"/>
      <c r="ALL25" s="2850"/>
      <c r="ALM25" s="2846"/>
      <c r="ALN25" s="2851"/>
      <c r="ALO25" s="2850"/>
      <c r="ALP25" s="2846"/>
      <c r="ALQ25" s="2851"/>
      <c r="ALR25" s="2850"/>
      <c r="ALS25" s="2846"/>
      <c r="ALT25" s="2851"/>
      <c r="ALU25" s="2850"/>
      <c r="ALV25" s="2846"/>
      <c r="ALW25" s="2851"/>
      <c r="ALX25" s="2850"/>
      <c r="ALY25" s="2846"/>
      <c r="ALZ25" s="2851"/>
      <c r="AMA25" s="2850"/>
      <c r="AMB25" s="2846"/>
      <c r="AMC25" s="2851"/>
      <c r="AMD25" s="2850"/>
      <c r="AME25" s="2846"/>
      <c r="AMF25" s="2851"/>
      <c r="AMG25" s="2850"/>
      <c r="AMH25" s="2846"/>
      <c r="AMI25" s="2851"/>
      <c r="AMJ25" s="2850"/>
      <c r="AMK25" s="2846"/>
      <c r="AML25" s="2851"/>
      <c r="AMM25" s="2850"/>
      <c r="AMN25" s="2846"/>
      <c r="AMO25" s="2851"/>
      <c r="AMP25" s="2850"/>
      <c r="AMQ25" s="2846"/>
      <c r="AMR25" s="2851"/>
      <c r="AMS25" s="2850"/>
      <c r="AMT25" s="2846"/>
      <c r="AMU25" s="2851"/>
      <c r="AMV25" s="2850"/>
      <c r="AMW25" s="2846"/>
      <c r="AMX25" s="2851"/>
      <c r="AMY25" s="2850"/>
      <c r="AMZ25" s="2846"/>
      <c r="ANA25" s="2851"/>
      <c r="ANB25" s="2850"/>
      <c r="ANC25" s="2846"/>
      <c r="AND25" s="2851"/>
      <c r="ANE25" s="2850"/>
      <c r="ANF25" s="2846"/>
      <c r="ANG25" s="2851"/>
      <c r="ANH25" s="2850"/>
      <c r="ANI25" s="2846"/>
      <c r="ANJ25" s="2851"/>
      <c r="ANK25" s="2850"/>
      <c r="ANL25" s="2846"/>
      <c r="ANM25" s="2851"/>
      <c r="ANN25" s="2850"/>
      <c r="ANO25" s="2846"/>
      <c r="ANP25" s="2851"/>
      <c r="ANQ25" s="2850"/>
      <c r="ANR25" s="2846"/>
      <c r="ANS25" s="2851"/>
      <c r="ANT25" s="2850"/>
      <c r="ANU25" s="2846"/>
      <c r="ANV25" s="2851"/>
      <c r="ANW25" s="2850"/>
      <c r="ANX25" s="2846"/>
      <c r="ANY25" s="2851"/>
      <c r="ANZ25" s="2850"/>
      <c r="AOA25" s="2846"/>
      <c r="AOB25" s="2851"/>
      <c r="AOC25" s="2850"/>
      <c r="AOD25" s="2846"/>
      <c r="AOE25" s="2851"/>
      <c r="AOF25" s="2850"/>
      <c r="AOG25" s="2846"/>
      <c r="AOH25" s="2851"/>
      <c r="AOI25" s="2850"/>
      <c r="AOJ25" s="2846"/>
      <c r="AOK25" s="2851"/>
      <c r="AOL25" s="2850"/>
      <c r="AOM25" s="2846"/>
      <c r="AON25" s="2851"/>
      <c r="AOO25" s="2850"/>
      <c r="AOP25" s="2846"/>
      <c r="AOQ25" s="2851"/>
      <c r="AOR25" s="2850"/>
      <c r="AOS25" s="2846"/>
      <c r="AOT25" s="2851"/>
      <c r="AOU25" s="2850"/>
      <c r="AOV25" s="2846"/>
      <c r="AOW25" s="2851"/>
      <c r="AOX25" s="2850"/>
      <c r="AOY25" s="2846"/>
      <c r="AOZ25" s="2851"/>
      <c r="APA25" s="2850"/>
      <c r="APB25" s="2846"/>
      <c r="APC25" s="2851"/>
      <c r="APD25" s="2850"/>
      <c r="APE25" s="2846"/>
      <c r="APF25" s="2851"/>
      <c r="APG25" s="2850"/>
      <c r="APH25" s="2846"/>
      <c r="API25" s="2851"/>
      <c r="APJ25" s="2850"/>
      <c r="APK25" s="2846"/>
      <c r="APL25" s="2851"/>
      <c r="APM25" s="2850"/>
      <c r="APN25" s="2846"/>
      <c r="APO25" s="2851"/>
      <c r="APP25" s="2850"/>
      <c r="APQ25" s="2846"/>
      <c r="APR25" s="2851"/>
      <c r="APS25" s="2850"/>
      <c r="APT25" s="2846"/>
      <c r="APU25" s="2851"/>
      <c r="APV25" s="2850"/>
      <c r="APW25" s="2846"/>
      <c r="APX25" s="2851"/>
      <c r="APY25" s="2850"/>
      <c r="APZ25" s="2846"/>
      <c r="AQA25" s="2851"/>
      <c r="AQB25" s="2850"/>
      <c r="AQC25" s="2846"/>
      <c r="AQD25" s="2851"/>
      <c r="AQE25" s="2850"/>
      <c r="AQF25" s="2846"/>
      <c r="AQG25" s="2851"/>
      <c r="AQH25" s="2850"/>
      <c r="AQI25" s="2846"/>
      <c r="AQJ25" s="2851"/>
      <c r="AQK25" s="2850"/>
      <c r="AQL25" s="2846"/>
      <c r="AQM25" s="2851"/>
      <c r="AQN25" s="2850"/>
      <c r="AQO25" s="2846"/>
      <c r="AQP25" s="2851"/>
      <c r="AQQ25" s="2850"/>
      <c r="AQR25" s="2846"/>
      <c r="AQS25" s="2851"/>
      <c r="AQT25" s="2850"/>
      <c r="AQU25" s="2846"/>
      <c r="AQV25" s="2851"/>
      <c r="AQW25" s="2850"/>
      <c r="AQX25" s="2846"/>
      <c r="AQY25" s="2851"/>
      <c r="AQZ25" s="2850"/>
      <c r="ARA25" s="2846"/>
      <c r="ARB25" s="2851"/>
      <c r="ARC25" s="2850"/>
      <c r="ARD25" s="2846"/>
      <c r="ARE25" s="2851"/>
      <c r="ARF25" s="2850"/>
      <c r="ARG25" s="2846"/>
      <c r="ARH25" s="2851"/>
      <c r="ARI25" s="2850"/>
      <c r="ARJ25" s="2846"/>
      <c r="ARK25" s="2851"/>
      <c r="ARL25" s="2850"/>
      <c r="ARM25" s="2846"/>
      <c r="ARN25" s="2851"/>
      <c r="ARO25" s="2850"/>
      <c r="ARP25" s="2846"/>
      <c r="ARQ25" s="2851"/>
      <c r="ARR25" s="2850"/>
      <c r="ARS25" s="2846"/>
      <c r="ART25" s="2851"/>
      <c r="ARU25" s="2850"/>
      <c r="ARV25" s="2846"/>
      <c r="ARW25" s="2851"/>
      <c r="ARX25" s="2850"/>
      <c r="ARY25" s="2846"/>
      <c r="ARZ25" s="2851"/>
      <c r="ASA25" s="2850"/>
      <c r="ASB25" s="2846"/>
      <c r="ASC25" s="2851"/>
      <c r="ASD25" s="2850"/>
      <c r="ASE25" s="2846"/>
      <c r="ASF25" s="2851"/>
      <c r="ASG25" s="2850"/>
      <c r="ASH25" s="2846"/>
      <c r="ASI25" s="2851"/>
      <c r="ASJ25" s="2850"/>
      <c r="ASK25" s="2846"/>
      <c r="ASL25" s="2851"/>
      <c r="ASM25" s="2850"/>
      <c r="ASN25" s="2846"/>
      <c r="ASO25" s="2851"/>
      <c r="ASP25" s="2850"/>
      <c r="ASQ25" s="2846"/>
      <c r="ASR25" s="2851"/>
      <c r="ASS25" s="2850"/>
      <c r="AST25" s="2846"/>
      <c r="ASU25" s="2851"/>
      <c r="ASV25" s="2850"/>
      <c r="ASW25" s="2846"/>
      <c r="ASX25" s="2851"/>
      <c r="ASY25" s="2850"/>
      <c r="ASZ25" s="2846"/>
      <c r="ATA25" s="2851"/>
      <c r="ATB25" s="2850"/>
      <c r="ATC25" s="2846"/>
      <c r="ATD25" s="2851"/>
      <c r="ATE25" s="2850"/>
      <c r="ATF25" s="2846"/>
      <c r="ATG25" s="2851"/>
      <c r="ATH25" s="2850"/>
      <c r="ATI25" s="2846"/>
      <c r="ATJ25" s="2851"/>
      <c r="ATK25" s="2850"/>
      <c r="ATL25" s="2846"/>
      <c r="ATM25" s="2851"/>
      <c r="ATN25" s="2850"/>
      <c r="ATO25" s="2846"/>
      <c r="ATP25" s="2851"/>
      <c r="ATQ25" s="2850"/>
      <c r="ATR25" s="2846"/>
      <c r="ATS25" s="2851"/>
      <c r="ATT25" s="2850"/>
      <c r="ATU25" s="2846"/>
      <c r="ATV25" s="2851"/>
      <c r="ATW25" s="2850"/>
      <c r="ATX25" s="2846"/>
      <c r="ATY25" s="2851"/>
      <c r="ATZ25" s="2850"/>
      <c r="AUA25" s="2846"/>
      <c r="AUB25" s="2851"/>
      <c r="AUC25" s="2850"/>
      <c r="AUD25" s="2846"/>
      <c r="AUE25" s="2851"/>
      <c r="AUF25" s="2850"/>
      <c r="AUG25" s="2846"/>
      <c r="AUH25" s="2851"/>
      <c r="AUI25" s="2850"/>
      <c r="AUJ25" s="2846"/>
      <c r="AUK25" s="2851"/>
      <c r="AUL25" s="2850"/>
      <c r="AUM25" s="2846"/>
      <c r="AUN25" s="2851"/>
      <c r="AUO25" s="2850"/>
      <c r="AUP25" s="2846"/>
      <c r="AUQ25" s="2851"/>
      <c r="AUR25" s="2850"/>
      <c r="AUS25" s="2846"/>
      <c r="AUT25" s="2851"/>
      <c r="AUU25" s="2850"/>
      <c r="AUV25" s="2846"/>
      <c r="AUW25" s="2851"/>
      <c r="AUX25" s="2850"/>
      <c r="AUY25" s="2846"/>
      <c r="AUZ25" s="2851"/>
      <c r="AVA25" s="2850"/>
      <c r="AVB25" s="2846"/>
      <c r="AVC25" s="2851"/>
      <c r="AVD25" s="2850"/>
      <c r="AVE25" s="2846"/>
      <c r="AVF25" s="2851"/>
      <c r="AVG25" s="2850"/>
      <c r="AVH25" s="2846"/>
      <c r="AVI25" s="2851"/>
      <c r="AVJ25" s="2850"/>
      <c r="AVK25" s="2846"/>
      <c r="AVL25" s="2851"/>
      <c r="AVM25" s="2850"/>
      <c r="AVN25" s="2846"/>
      <c r="AVO25" s="2851"/>
      <c r="AVP25" s="2850"/>
      <c r="AVQ25" s="2846"/>
      <c r="AVR25" s="2851"/>
      <c r="AVS25" s="2850"/>
      <c r="AVT25" s="2846"/>
      <c r="AVU25" s="2851"/>
      <c r="AVV25" s="2850"/>
      <c r="AVW25" s="2846"/>
      <c r="AVX25" s="2851"/>
      <c r="AVY25" s="2850"/>
      <c r="AVZ25" s="2846"/>
      <c r="AWA25" s="2851"/>
      <c r="AWB25" s="2850"/>
      <c r="AWC25" s="2846"/>
      <c r="AWD25" s="2851"/>
      <c r="AWE25" s="2850"/>
      <c r="AWF25" s="2846"/>
      <c r="AWG25" s="2851"/>
      <c r="AWH25" s="2850"/>
      <c r="AWI25" s="2846"/>
      <c r="AWJ25" s="2851"/>
      <c r="AWK25" s="2850"/>
      <c r="AWL25" s="2846"/>
      <c r="AWM25" s="2851"/>
      <c r="AWN25" s="2850"/>
      <c r="AWO25" s="2846"/>
      <c r="AWP25" s="2851"/>
      <c r="AWQ25" s="2850"/>
      <c r="AWR25" s="2846"/>
      <c r="AWS25" s="2851"/>
      <c r="AWT25" s="2850"/>
      <c r="AWU25" s="2846"/>
      <c r="AWV25" s="2851"/>
      <c r="AWW25" s="2850"/>
      <c r="AWX25" s="2846"/>
      <c r="AWY25" s="2851"/>
      <c r="AWZ25" s="2850"/>
      <c r="AXA25" s="2846"/>
      <c r="AXB25" s="2851"/>
      <c r="AXC25" s="2850"/>
      <c r="AXD25" s="2846"/>
      <c r="AXE25" s="2851"/>
      <c r="AXF25" s="2850"/>
      <c r="AXG25" s="2846"/>
      <c r="AXH25" s="2851"/>
      <c r="AXI25" s="2850"/>
      <c r="AXJ25" s="2846"/>
      <c r="AXK25" s="2851"/>
      <c r="AXL25" s="2850"/>
      <c r="AXM25" s="2846"/>
      <c r="AXN25" s="2851"/>
      <c r="AXO25" s="2850"/>
      <c r="AXP25" s="2846"/>
      <c r="AXQ25" s="2851"/>
      <c r="AXR25" s="2850"/>
      <c r="AXS25" s="2846"/>
      <c r="AXT25" s="2851"/>
      <c r="AXU25" s="2850"/>
      <c r="AXV25" s="2846"/>
      <c r="AXW25" s="2851"/>
      <c r="AXX25" s="2850"/>
      <c r="AXY25" s="2846"/>
      <c r="AXZ25" s="2851"/>
      <c r="AYA25" s="2850"/>
      <c r="AYB25" s="2846"/>
      <c r="AYC25" s="2851"/>
      <c r="AYD25" s="2850"/>
      <c r="AYE25" s="2846"/>
      <c r="AYF25" s="2851"/>
      <c r="AYG25" s="2850"/>
      <c r="AYH25" s="2846"/>
      <c r="AYI25" s="2851"/>
      <c r="AYJ25" s="2850"/>
      <c r="AYK25" s="2846"/>
      <c r="AYL25" s="2851"/>
      <c r="AYM25" s="2850"/>
      <c r="AYN25" s="2846"/>
      <c r="AYO25" s="2851"/>
      <c r="AYP25" s="2850"/>
      <c r="AYQ25" s="2846"/>
      <c r="AYR25" s="2851"/>
      <c r="AYS25" s="2850"/>
      <c r="AYT25" s="2846"/>
      <c r="AYU25" s="2851"/>
      <c r="AYV25" s="2850"/>
      <c r="AYW25" s="2846"/>
      <c r="AYX25" s="2851"/>
      <c r="AYY25" s="2850"/>
      <c r="AYZ25" s="2846"/>
      <c r="AZA25" s="2851"/>
      <c r="AZB25" s="2850"/>
      <c r="AZC25" s="2846"/>
      <c r="AZD25" s="2851"/>
      <c r="AZE25" s="2850"/>
      <c r="AZF25" s="2846"/>
      <c r="AZG25" s="2851"/>
      <c r="AZH25" s="2850"/>
      <c r="AZI25" s="2846"/>
      <c r="AZJ25" s="2851"/>
      <c r="AZK25" s="2850"/>
      <c r="AZL25" s="2846"/>
      <c r="AZM25" s="2851"/>
      <c r="AZN25" s="2850"/>
      <c r="AZO25" s="2846"/>
      <c r="AZP25" s="2851"/>
      <c r="AZQ25" s="2850"/>
      <c r="AZR25" s="2846"/>
      <c r="AZS25" s="2851"/>
      <c r="AZT25" s="2850"/>
      <c r="AZU25" s="2846"/>
      <c r="AZV25" s="2851"/>
      <c r="AZW25" s="2850"/>
      <c r="AZX25" s="2846"/>
      <c r="AZY25" s="2851"/>
      <c r="AZZ25" s="2850"/>
      <c r="BAA25" s="2846"/>
      <c r="BAB25" s="2851"/>
      <c r="BAC25" s="2850"/>
      <c r="BAD25" s="2846"/>
      <c r="BAE25" s="2851"/>
      <c r="BAF25" s="2850"/>
      <c r="BAG25" s="2846"/>
      <c r="BAH25" s="2851"/>
      <c r="BAI25" s="2850"/>
      <c r="BAJ25" s="2846"/>
      <c r="BAK25" s="2851"/>
      <c r="BAL25" s="2850"/>
      <c r="BAM25" s="2846"/>
      <c r="BAN25" s="2851"/>
      <c r="BAO25" s="2850"/>
      <c r="BAP25" s="2846"/>
      <c r="BAQ25" s="2851"/>
      <c r="BAR25" s="2850"/>
      <c r="BAS25" s="2846"/>
      <c r="BAT25" s="2851"/>
      <c r="BAU25" s="2850"/>
      <c r="BAV25" s="2846"/>
      <c r="BAW25" s="2851"/>
      <c r="BAX25" s="2850"/>
      <c r="BAY25" s="2846"/>
      <c r="BAZ25" s="2851"/>
      <c r="BBA25" s="2850"/>
      <c r="BBB25" s="2846"/>
      <c r="BBC25" s="2851"/>
      <c r="BBD25" s="2850"/>
      <c r="BBE25" s="2846"/>
      <c r="BBF25" s="2851"/>
      <c r="BBG25" s="2850"/>
      <c r="BBH25" s="2846"/>
      <c r="BBI25" s="2851"/>
      <c r="BBJ25" s="2850"/>
      <c r="BBK25" s="2846"/>
      <c r="BBL25" s="2851"/>
      <c r="BBM25" s="2850"/>
      <c r="BBN25" s="2846"/>
      <c r="BBO25" s="2851"/>
      <c r="BBP25" s="2850"/>
      <c r="BBQ25" s="2846"/>
      <c r="BBR25" s="2851"/>
      <c r="BBS25" s="2850"/>
      <c r="BBT25" s="2846"/>
      <c r="BBU25" s="2851"/>
      <c r="BBV25" s="2850"/>
      <c r="BBW25" s="2846"/>
      <c r="BBX25" s="2851"/>
      <c r="BBY25" s="2850"/>
      <c r="BBZ25" s="2846"/>
      <c r="BCA25" s="2851"/>
      <c r="BCB25" s="2850"/>
      <c r="BCC25" s="2846"/>
      <c r="BCD25" s="2851"/>
      <c r="BCE25" s="2850"/>
      <c r="BCF25" s="2846"/>
      <c r="BCG25" s="2851"/>
      <c r="BCH25" s="2850"/>
      <c r="BCI25" s="2846"/>
      <c r="BCJ25" s="2851"/>
      <c r="BCK25" s="2850"/>
      <c r="BCL25" s="2846"/>
      <c r="BCM25" s="2851"/>
      <c r="BCN25" s="2850"/>
      <c r="BCO25" s="2846"/>
      <c r="BCP25" s="2851"/>
      <c r="BCQ25" s="2850"/>
      <c r="BCR25" s="2846"/>
      <c r="BCS25" s="2851"/>
      <c r="BCT25" s="2850"/>
      <c r="BCU25" s="2846"/>
      <c r="BCV25" s="2851"/>
      <c r="BCW25" s="2850"/>
      <c r="BCX25" s="2846"/>
      <c r="BCY25" s="2851"/>
      <c r="BCZ25" s="2850"/>
      <c r="BDA25" s="2846"/>
      <c r="BDB25" s="2851"/>
      <c r="BDC25" s="2850"/>
      <c r="BDD25" s="2846"/>
      <c r="BDE25" s="2851"/>
      <c r="BDF25" s="2850"/>
      <c r="BDG25" s="2846"/>
      <c r="BDH25" s="2851"/>
      <c r="BDI25" s="2850"/>
      <c r="BDJ25" s="2846"/>
      <c r="BDK25" s="2851"/>
      <c r="BDL25" s="2850"/>
      <c r="BDM25" s="2846"/>
      <c r="BDN25" s="2851"/>
      <c r="BDO25" s="2850"/>
      <c r="BDP25" s="2846"/>
      <c r="BDQ25" s="2851"/>
      <c r="BDR25" s="2850"/>
      <c r="BDS25" s="2846"/>
      <c r="BDT25" s="2851"/>
      <c r="BDU25" s="2850"/>
      <c r="BDV25" s="2846"/>
      <c r="BDW25" s="2851"/>
      <c r="BDX25" s="2850"/>
      <c r="BDY25" s="2846"/>
      <c r="BDZ25" s="2851"/>
      <c r="BEA25" s="2850"/>
      <c r="BEB25" s="2846"/>
      <c r="BEC25" s="2851"/>
      <c r="BED25" s="2850"/>
      <c r="BEE25" s="2846"/>
      <c r="BEF25" s="2851"/>
      <c r="BEG25" s="2850"/>
      <c r="BEH25" s="2846"/>
      <c r="BEI25" s="2851"/>
      <c r="BEJ25" s="2850"/>
      <c r="BEK25" s="2846"/>
      <c r="BEL25" s="2851"/>
      <c r="BEM25" s="2850"/>
      <c r="BEN25" s="2846"/>
      <c r="BEO25" s="2851"/>
      <c r="BEP25" s="2850"/>
      <c r="BEQ25" s="2846"/>
      <c r="BER25" s="2851"/>
      <c r="BES25" s="2850"/>
      <c r="BET25" s="2846"/>
      <c r="BEU25" s="2851"/>
      <c r="BEV25" s="2850"/>
      <c r="BEW25" s="2846"/>
      <c r="BEX25" s="2851"/>
      <c r="BEY25" s="2850"/>
      <c r="BEZ25" s="2846"/>
      <c r="BFA25" s="2851"/>
      <c r="BFB25" s="2850"/>
      <c r="BFC25" s="2846"/>
      <c r="BFD25" s="2851"/>
      <c r="BFE25" s="2850"/>
      <c r="BFF25" s="2846"/>
      <c r="BFG25" s="2851"/>
      <c r="BFH25" s="2850"/>
      <c r="BFI25" s="2846"/>
      <c r="BFJ25" s="2851"/>
      <c r="BFK25" s="2850"/>
      <c r="BFL25" s="2846"/>
      <c r="BFM25" s="2851"/>
      <c r="BFN25" s="2850"/>
      <c r="BFO25" s="2846"/>
      <c r="BFP25" s="2851"/>
      <c r="BFQ25" s="2850"/>
      <c r="BFR25" s="2846"/>
      <c r="BFS25" s="2851"/>
      <c r="BFT25" s="2850"/>
      <c r="BFU25" s="2846"/>
      <c r="BFV25" s="2851"/>
      <c r="BFW25" s="2850"/>
      <c r="BFX25" s="2846"/>
      <c r="BFY25" s="2851"/>
      <c r="BFZ25" s="2850"/>
      <c r="BGA25" s="2846"/>
      <c r="BGB25" s="2851"/>
      <c r="BGC25" s="2850"/>
      <c r="BGD25" s="2846"/>
      <c r="BGE25" s="2851"/>
      <c r="BGF25" s="2850"/>
      <c r="BGG25" s="2846"/>
      <c r="BGH25" s="2851"/>
      <c r="BGI25" s="2850"/>
      <c r="BGJ25" s="2846"/>
      <c r="BGK25" s="2851"/>
      <c r="BGL25" s="2850"/>
      <c r="BGM25" s="2846"/>
      <c r="BGN25" s="2851"/>
      <c r="BGO25" s="2850"/>
      <c r="BGP25" s="2846"/>
      <c r="BGQ25" s="2851"/>
      <c r="BGR25" s="2850"/>
      <c r="BGS25" s="2846"/>
      <c r="BGT25" s="2851"/>
      <c r="BGU25" s="2850"/>
      <c r="BGV25" s="2846"/>
      <c r="BGW25" s="2851"/>
      <c r="BGX25" s="2850"/>
      <c r="BGY25" s="2846"/>
      <c r="BGZ25" s="2851"/>
      <c r="BHA25" s="2850"/>
      <c r="BHB25" s="2846"/>
      <c r="BHC25" s="2851"/>
      <c r="BHD25" s="2850"/>
      <c r="BHE25" s="2846"/>
      <c r="BHF25" s="2851"/>
      <c r="BHG25" s="2850"/>
      <c r="BHH25" s="2846"/>
      <c r="BHI25" s="2851"/>
      <c r="BHJ25" s="2850"/>
      <c r="BHK25" s="2846"/>
      <c r="BHL25" s="2851"/>
      <c r="BHM25" s="2850"/>
      <c r="BHN25" s="2846"/>
      <c r="BHO25" s="2851"/>
      <c r="BHP25" s="2850"/>
      <c r="BHQ25" s="2846"/>
      <c r="BHR25" s="2851"/>
      <c r="BHS25" s="2850"/>
      <c r="BHT25" s="2846"/>
      <c r="BHU25" s="2851"/>
      <c r="BHV25" s="2850"/>
      <c r="BHW25" s="2846"/>
      <c r="BHX25" s="2851"/>
      <c r="BHY25" s="2850"/>
      <c r="BHZ25" s="2846"/>
      <c r="BIA25" s="2851"/>
      <c r="BIB25" s="2850"/>
      <c r="BIC25" s="2846"/>
      <c r="BID25" s="2851"/>
      <c r="BIE25" s="2850"/>
      <c r="BIF25" s="2846"/>
      <c r="BIG25" s="2851"/>
      <c r="BIH25" s="2850"/>
      <c r="BII25" s="2846"/>
      <c r="BIJ25" s="2851"/>
      <c r="BIK25" s="2850"/>
      <c r="BIL25" s="2846"/>
      <c r="BIM25" s="2851"/>
      <c r="BIN25" s="2850"/>
      <c r="BIO25" s="2846"/>
      <c r="BIP25" s="2851"/>
      <c r="BIQ25" s="2850"/>
      <c r="BIR25" s="2846"/>
      <c r="BIS25" s="2851"/>
      <c r="BIT25" s="2850"/>
      <c r="BIU25" s="2846"/>
      <c r="BIV25" s="2851"/>
      <c r="BIW25" s="2850"/>
      <c r="BIX25" s="2846"/>
      <c r="BIY25" s="2851"/>
      <c r="BIZ25" s="2850"/>
      <c r="BJA25" s="2846"/>
      <c r="BJB25" s="2851"/>
      <c r="BJC25" s="2850"/>
      <c r="BJD25" s="2846"/>
      <c r="BJE25" s="2851"/>
      <c r="BJF25" s="2850"/>
      <c r="BJG25" s="2846"/>
      <c r="BJH25" s="2851"/>
      <c r="BJI25" s="2850"/>
      <c r="BJJ25" s="2846"/>
      <c r="BJK25" s="2851"/>
      <c r="BJL25" s="2850"/>
      <c r="BJM25" s="2846"/>
      <c r="BJN25" s="2851"/>
      <c r="BJO25" s="2850"/>
      <c r="BJP25" s="2846"/>
      <c r="BJQ25" s="2851"/>
      <c r="BJR25" s="2850"/>
      <c r="BJS25" s="2846"/>
      <c r="BJT25" s="2851"/>
      <c r="BJU25" s="2850"/>
      <c r="BJV25" s="2846"/>
      <c r="BJW25" s="2851"/>
      <c r="BJX25" s="2850"/>
      <c r="BJY25" s="2846"/>
      <c r="BJZ25" s="2851"/>
      <c r="BKA25" s="2850"/>
      <c r="BKB25" s="2846"/>
      <c r="BKC25" s="2851"/>
      <c r="BKD25" s="2850"/>
      <c r="BKE25" s="2846"/>
      <c r="BKF25" s="2851"/>
      <c r="BKG25" s="2850"/>
      <c r="BKH25" s="2846"/>
      <c r="BKI25" s="2851"/>
      <c r="BKJ25" s="2850"/>
      <c r="BKK25" s="2846"/>
      <c r="BKL25" s="2851"/>
      <c r="BKM25" s="2850"/>
      <c r="BKN25" s="2846"/>
      <c r="BKO25" s="2851"/>
      <c r="BKP25" s="2850"/>
      <c r="BKQ25" s="2846"/>
      <c r="BKR25" s="2851"/>
      <c r="BKS25" s="2850"/>
      <c r="BKT25" s="2846"/>
      <c r="BKU25" s="2851"/>
      <c r="BKV25" s="2850"/>
      <c r="BKW25" s="2846"/>
      <c r="BKX25" s="2851"/>
      <c r="BKY25" s="2850"/>
      <c r="BKZ25" s="2846"/>
      <c r="BLA25" s="2851"/>
      <c r="BLB25" s="2850"/>
      <c r="BLC25" s="2846"/>
      <c r="BLD25" s="2851"/>
      <c r="BLE25" s="2850"/>
      <c r="BLF25" s="2846"/>
      <c r="BLG25" s="2851"/>
      <c r="BLH25" s="2850"/>
      <c r="BLI25" s="2846"/>
      <c r="BLJ25" s="2851"/>
      <c r="BLK25" s="2850"/>
      <c r="BLL25" s="2846"/>
      <c r="BLM25" s="2851"/>
      <c r="BLN25" s="2850"/>
      <c r="BLO25" s="2846"/>
      <c r="BLP25" s="2851"/>
      <c r="BLQ25" s="2850"/>
      <c r="BLR25" s="2846"/>
      <c r="BLS25" s="2851"/>
      <c r="BLT25" s="2850"/>
      <c r="BLU25" s="2846"/>
      <c r="BLV25" s="2851"/>
      <c r="BLW25" s="2850"/>
      <c r="BLX25" s="2846"/>
      <c r="BLY25" s="2851"/>
      <c r="BLZ25" s="2850"/>
      <c r="BMA25" s="2846"/>
      <c r="BMB25" s="2851"/>
      <c r="BMC25" s="2850"/>
      <c r="BMD25" s="2846"/>
      <c r="BME25" s="2851"/>
      <c r="BMF25" s="2850"/>
      <c r="BMG25" s="2846"/>
      <c r="BMH25" s="2851"/>
      <c r="BMI25" s="2850"/>
      <c r="BMJ25" s="2846"/>
      <c r="BMK25" s="2851"/>
      <c r="BML25" s="2850"/>
      <c r="BMM25" s="2846"/>
      <c r="BMN25" s="2851"/>
      <c r="BMO25" s="2850"/>
      <c r="BMP25" s="2846"/>
      <c r="BMQ25" s="2851"/>
      <c r="BMR25" s="2850"/>
      <c r="BMS25" s="2846"/>
      <c r="BMT25" s="2851"/>
      <c r="BMU25" s="2850"/>
      <c r="BMV25" s="2846"/>
      <c r="BMW25" s="2851"/>
      <c r="BMX25" s="2850"/>
      <c r="BMY25" s="2846"/>
      <c r="BMZ25" s="2851"/>
      <c r="BNA25" s="2850"/>
      <c r="BNB25" s="2846"/>
      <c r="BNC25" s="2851"/>
      <c r="BND25" s="2850"/>
      <c r="BNE25" s="2846"/>
      <c r="BNF25" s="2851"/>
      <c r="BNG25" s="2850"/>
      <c r="BNH25" s="2846"/>
      <c r="BNI25" s="2851"/>
      <c r="BNJ25" s="2850"/>
      <c r="BNK25" s="2846"/>
      <c r="BNL25" s="2851"/>
      <c r="BNM25" s="2850"/>
      <c r="BNN25" s="2846"/>
      <c r="BNO25" s="2851"/>
      <c r="BNP25" s="2850"/>
      <c r="BNQ25" s="2846"/>
      <c r="BNR25" s="2851"/>
      <c r="BNS25" s="2850"/>
      <c r="BNT25" s="2846"/>
      <c r="BNU25" s="2851"/>
      <c r="BNV25" s="2850"/>
      <c r="BNW25" s="2846"/>
      <c r="BNX25" s="2851"/>
      <c r="BNY25" s="2850"/>
      <c r="BNZ25" s="2846"/>
      <c r="BOA25" s="2851"/>
      <c r="BOB25" s="2850"/>
      <c r="BOC25" s="2846"/>
      <c r="BOD25" s="2851"/>
      <c r="BOE25" s="2850"/>
      <c r="BOF25" s="2846"/>
      <c r="BOG25" s="2851"/>
      <c r="BOH25" s="2850"/>
      <c r="BOI25" s="2846"/>
      <c r="BOJ25" s="2851"/>
      <c r="BOK25" s="2850"/>
      <c r="BOL25" s="2846"/>
      <c r="BOM25" s="2851"/>
      <c r="BON25" s="2850"/>
      <c r="BOO25" s="2846"/>
      <c r="BOP25" s="2851"/>
      <c r="BOQ25" s="2850"/>
      <c r="BOR25" s="2846"/>
      <c r="BOS25" s="2851"/>
      <c r="BOT25" s="2850"/>
      <c r="BOU25" s="2846"/>
      <c r="BOV25" s="2851"/>
      <c r="BOW25" s="2850"/>
      <c r="BOX25" s="2846"/>
      <c r="BOY25" s="2851"/>
      <c r="BOZ25" s="2850"/>
      <c r="BPA25" s="2846"/>
      <c r="BPB25" s="2851"/>
      <c r="BPC25" s="2850"/>
      <c r="BPD25" s="2846"/>
      <c r="BPE25" s="2851"/>
      <c r="BPF25" s="2850"/>
      <c r="BPG25" s="2846"/>
      <c r="BPH25" s="2851"/>
      <c r="BPI25" s="2850"/>
      <c r="BPJ25" s="2846"/>
      <c r="BPK25" s="2851"/>
      <c r="BPL25" s="2850"/>
      <c r="BPM25" s="2846"/>
      <c r="BPN25" s="2851"/>
      <c r="BPO25" s="2850"/>
      <c r="BPP25" s="2846"/>
      <c r="BPQ25" s="2851"/>
      <c r="BPR25" s="2850"/>
      <c r="BPS25" s="2846"/>
      <c r="BPT25" s="2851"/>
      <c r="BPU25" s="2850"/>
      <c r="BPV25" s="2846"/>
      <c r="BPW25" s="2851"/>
      <c r="BPX25" s="2850"/>
      <c r="BPY25" s="2846"/>
      <c r="BPZ25" s="2851"/>
      <c r="BQA25" s="2850"/>
      <c r="BQB25" s="2846"/>
      <c r="BQC25" s="2851"/>
      <c r="BQD25" s="2850"/>
      <c r="BQE25" s="2846"/>
      <c r="BQF25" s="2851"/>
      <c r="BQG25" s="2850"/>
      <c r="BQH25" s="2846"/>
      <c r="BQI25" s="2851"/>
      <c r="BQJ25" s="2850"/>
      <c r="BQK25" s="2846"/>
      <c r="BQL25" s="2851"/>
      <c r="BQM25" s="2850"/>
      <c r="BQN25" s="2846"/>
      <c r="BQO25" s="2851"/>
      <c r="BQP25" s="2850"/>
      <c r="BQQ25" s="2846"/>
      <c r="BQR25" s="2851"/>
      <c r="BQS25" s="2850"/>
      <c r="BQT25" s="2846"/>
      <c r="BQU25" s="2851"/>
      <c r="BQV25" s="2850"/>
      <c r="BQW25" s="2846"/>
      <c r="BQX25" s="2851"/>
      <c r="BQY25" s="2850"/>
      <c r="BQZ25" s="2846"/>
      <c r="BRA25" s="2851"/>
      <c r="BRB25" s="2850"/>
      <c r="BRC25" s="2846"/>
      <c r="BRD25" s="2851"/>
      <c r="BRE25" s="2850"/>
      <c r="BRF25" s="2846"/>
      <c r="BRG25" s="2851"/>
      <c r="BRH25" s="2850"/>
      <c r="BRI25" s="2846"/>
      <c r="BRJ25" s="2851"/>
      <c r="BRK25" s="2850"/>
      <c r="BRL25" s="2846"/>
      <c r="BRM25" s="2851"/>
      <c r="BRN25" s="2850"/>
      <c r="BRO25" s="2846"/>
      <c r="BRP25" s="2851"/>
      <c r="BRQ25" s="2850"/>
      <c r="BRR25" s="2846"/>
      <c r="BRS25" s="2851"/>
      <c r="BRT25" s="2850"/>
      <c r="BRU25" s="2846"/>
      <c r="BRV25" s="2851"/>
      <c r="BRW25" s="2850"/>
      <c r="BRX25" s="2846"/>
      <c r="BRY25" s="2851"/>
      <c r="BRZ25" s="2850"/>
      <c r="BSA25" s="2846"/>
      <c r="BSB25" s="2851"/>
      <c r="BSC25" s="2850"/>
      <c r="BSD25" s="2846"/>
      <c r="BSE25" s="2851"/>
      <c r="BSF25" s="2850"/>
      <c r="BSG25" s="2846"/>
      <c r="BSH25" s="2851"/>
      <c r="BSI25" s="2850"/>
      <c r="BSJ25" s="2846"/>
      <c r="BSK25" s="2851"/>
      <c r="BSL25" s="2850"/>
      <c r="BSM25" s="2846"/>
      <c r="BSN25" s="2851"/>
      <c r="BSO25" s="2850"/>
      <c r="BSP25" s="2846"/>
      <c r="BSQ25" s="2851"/>
      <c r="BSR25" s="2850"/>
      <c r="BSS25" s="2846"/>
      <c r="BST25" s="2851"/>
      <c r="BSU25" s="2850"/>
      <c r="BSV25" s="2846"/>
      <c r="BSW25" s="2851"/>
      <c r="BSX25" s="2850"/>
      <c r="BSY25" s="2846"/>
      <c r="BSZ25" s="2851"/>
      <c r="BTA25" s="2850"/>
      <c r="BTB25" s="2846"/>
      <c r="BTC25" s="2851"/>
      <c r="BTD25" s="2850"/>
      <c r="BTE25" s="2846"/>
      <c r="BTF25" s="2851"/>
      <c r="BTG25" s="2850"/>
      <c r="BTH25" s="2846"/>
      <c r="BTI25" s="2851"/>
      <c r="BTJ25" s="2850"/>
      <c r="BTK25" s="2846"/>
      <c r="BTL25" s="2851"/>
      <c r="BTM25" s="2850"/>
      <c r="BTN25" s="2846"/>
      <c r="BTO25" s="2851"/>
      <c r="BTP25" s="2850"/>
      <c r="BTQ25" s="2846"/>
      <c r="BTR25" s="2851"/>
      <c r="BTS25" s="2850"/>
      <c r="BTT25" s="2846"/>
      <c r="BTU25" s="2851"/>
      <c r="BTV25" s="2850"/>
      <c r="BTW25" s="2846"/>
      <c r="BTX25" s="2851"/>
      <c r="BTY25" s="2850"/>
      <c r="BTZ25" s="2846"/>
      <c r="BUA25" s="2851"/>
      <c r="BUB25" s="2850"/>
      <c r="BUC25" s="2846"/>
      <c r="BUD25" s="2851"/>
      <c r="BUE25" s="2850"/>
      <c r="BUF25" s="2846"/>
      <c r="BUG25" s="2851"/>
      <c r="BUH25" s="2850"/>
      <c r="BUI25" s="2846"/>
      <c r="BUJ25" s="2851"/>
      <c r="BUK25" s="2850"/>
      <c r="BUL25" s="2846"/>
      <c r="BUM25" s="2851"/>
      <c r="BUN25" s="2850"/>
      <c r="BUO25" s="2846"/>
      <c r="BUP25" s="2851"/>
      <c r="BUQ25" s="2850"/>
      <c r="BUR25" s="2846"/>
      <c r="BUS25" s="2851"/>
      <c r="BUT25" s="2850"/>
      <c r="BUU25" s="2846"/>
      <c r="BUV25" s="2851"/>
      <c r="BUW25" s="2850"/>
      <c r="BUX25" s="2846"/>
      <c r="BUY25" s="2851"/>
      <c r="BUZ25" s="2850"/>
      <c r="BVA25" s="2846"/>
      <c r="BVB25" s="2851"/>
      <c r="BVC25" s="2850"/>
      <c r="BVD25" s="2846"/>
      <c r="BVE25" s="2851"/>
      <c r="BVF25" s="2850"/>
      <c r="BVG25" s="2846"/>
      <c r="BVH25" s="2851"/>
      <c r="BVI25" s="2850"/>
      <c r="BVJ25" s="2846"/>
      <c r="BVK25" s="2851"/>
      <c r="BVL25" s="2850"/>
      <c r="BVM25" s="2846"/>
      <c r="BVN25" s="2851"/>
      <c r="BVO25" s="2850"/>
      <c r="BVP25" s="2846"/>
      <c r="BVQ25" s="2851"/>
      <c r="BVR25" s="2850"/>
      <c r="BVS25" s="2846"/>
      <c r="BVT25" s="2851"/>
      <c r="BVU25" s="2850"/>
      <c r="BVV25" s="2846"/>
      <c r="BVW25" s="2851"/>
      <c r="BVX25" s="2850"/>
      <c r="BVY25" s="2846"/>
      <c r="BVZ25" s="2851"/>
      <c r="BWA25" s="2850"/>
      <c r="BWB25" s="2846"/>
      <c r="BWC25" s="2851"/>
      <c r="BWD25" s="2850"/>
      <c r="BWE25" s="2846"/>
      <c r="BWF25" s="2851"/>
      <c r="BWG25" s="2850"/>
      <c r="BWH25" s="2846"/>
      <c r="BWI25" s="2851"/>
      <c r="BWJ25" s="2850"/>
      <c r="BWK25" s="2846"/>
      <c r="BWL25" s="2851"/>
      <c r="BWM25" s="2850"/>
      <c r="BWN25" s="2846"/>
      <c r="BWO25" s="2851"/>
      <c r="BWP25" s="2850"/>
      <c r="BWQ25" s="2846"/>
      <c r="BWR25" s="2851"/>
      <c r="BWS25" s="2850"/>
      <c r="BWT25" s="2846"/>
      <c r="BWU25" s="2851"/>
      <c r="BWV25" s="2850"/>
      <c r="BWW25" s="2846"/>
      <c r="BWX25" s="2851"/>
      <c r="BWY25" s="2850"/>
      <c r="BWZ25" s="2846"/>
      <c r="BXA25" s="2851"/>
      <c r="BXB25" s="2850"/>
      <c r="BXC25" s="2846"/>
      <c r="BXD25" s="2851"/>
      <c r="BXE25" s="2850"/>
      <c r="BXF25" s="2846"/>
      <c r="BXG25" s="2851"/>
      <c r="BXH25" s="2850"/>
      <c r="BXI25" s="2846"/>
      <c r="BXJ25" s="2851"/>
      <c r="BXK25" s="2850"/>
      <c r="BXL25" s="2846"/>
      <c r="BXM25" s="2851"/>
      <c r="BXN25" s="2850"/>
      <c r="BXO25" s="2846"/>
      <c r="BXP25" s="2851"/>
      <c r="BXQ25" s="2850"/>
      <c r="BXR25" s="2846"/>
      <c r="BXS25" s="2851"/>
      <c r="BXT25" s="2850"/>
      <c r="BXU25" s="2846"/>
      <c r="BXV25" s="2851"/>
      <c r="BXW25" s="2850"/>
      <c r="BXX25" s="2846"/>
      <c r="BXY25" s="2851"/>
      <c r="BXZ25" s="2850"/>
      <c r="BYA25" s="2846"/>
      <c r="BYB25" s="2851"/>
      <c r="BYC25" s="2850"/>
      <c r="BYD25" s="2846"/>
      <c r="BYE25" s="2851"/>
      <c r="BYF25" s="2850"/>
      <c r="BYG25" s="2846"/>
      <c r="BYH25" s="2851"/>
      <c r="BYI25" s="2850"/>
      <c r="BYJ25" s="2846"/>
      <c r="BYK25" s="2851"/>
      <c r="BYL25" s="2850"/>
      <c r="BYM25" s="2846"/>
      <c r="BYN25" s="2851"/>
      <c r="BYO25" s="2850"/>
      <c r="BYP25" s="2846"/>
      <c r="BYQ25" s="2851"/>
      <c r="BYR25" s="2850"/>
      <c r="BYS25" s="2846"/>
      <c r="BYT25" s="2851"/>
      <c r="BYU25" s="2850"/>
      <c r="BYV25" s="2846"/>
      <c r="BYW25" s="2851"/>
      <c r="BYX25" s="2850"/>
      <c r="BYY25" s="2846"/>
      <c r="BYZ25" s="2851"/>
      <c r="BZA25" s="2850"/>
      <c r="BZB25" s="2846"/>
      <c r="BZC25" s="2851"/>
      <c r="BZD25" s="2850"/>
      <c r="BZE25" s="2846"/>
      <c r="BZF25" s="2851"/>
      <c r="BZG25" s="2850"/>
      <c r="BZH25" s="2846"/>
      <c r="BZI25" s="2851"/>
      <c r="BZJ25" s="2850"/>
      <c r="BZK25" s="2846"/>
      <c r="BZL25" s="2851"/>
      <c r="BZM25" s="2850"/>
      <c r="BZN25" s="2846"/>
      <c r="BZO25" s="2851"/>
      <c r="BZP25" s="2850"/>
      <c r="BZQ25" s="2846"/>
      <c r="BZR25" s="2851"/>
      <c r="BZS25" s="2850"/>
      <c r="BZT25" s="2846"/>
      <c r="BZU25" s="2851"/>
      <c r="BZV25" s="2850"/>
      <c r="BZW25" s="2846"/>
      <c r="BZX25" s="2851"/>
      <c r="BZY25" s="2850"/>
      <c r="BZZ25" s="2846"/>
      <c r="CAA25" s="2851"/>
      <c r="CAB25" s="2850"/>
      <c r="CAC25" s="2846"/>
      <c r="CAD25" s="2851"/>
      <c r="CAE25" s="2850"/>
      <c r="CAF25" s="2846"/>
      <c r="CAG25" s="2851"/>
      <c r="CAH25" s="2850"/>
      <c r="CAI25" s="2846"/>
      <c r="CAJ25" s="2851"/>
      <c r="CAK25" s="2850"/>
      <c r="CAL25" s="2846"/>
      <c r="CAM25" s="2851"/>
      <c r="CAN25" s="2850"/>
      <c r="CAO25" s="2846"/>
      <c r="CAP25" s="2851"/>
      <c r="CAQ25" s="2850"/>
      <c r="CAR25" s="2846"/>
      <c r="CAS25" s="2851"/>
      <c r="CAT25" s="2850"/>
      <c r="CAU25" s="2846"/>
      <c r="CAV25" s="2851"/>
      <c r="CAW25" s="2850"/>
      <c r="CAX25" s="2846"/>
      <c r="CAY25" s="2851"/>
      <c r="CAZ25" s="2850"/>
      <c r="CBA25" s="2846"/>
      <c r="CBB25" s="2851"/>
      <c r="CBC25" s="2850"/>
      <c r="CBD25" s="2846"/>
      <c r="CBE25" s="2851"/>
      <c r="CBF25" s="2850"/>
      <c r="CBG25" s="2846"/>
      <c r="CBH25" s="2851"/>
      <c r="CBI25" s="2850"/>
      <c r="CBJ25" s="2846"/>
      <c r="CBK25" s="2851"/>
      <c r="CBL25" s="2850"/>
      <c r="CBM25" s="2846"/>
      <c r="CBN25" s="2851"/>
      <c r="CBO25" s="2850"/>
      <c r="CBP25" s="2846"/>
      <c r="CBQ25" s="2851"/>
      <c r="CBR25" s="2850"/>
      <c r="CBS25" s="2846"/>
      <c r="CBT25" s="2851"/>
      <c r="CBU25" s="2850"/>
      <c r="CBV25" s="2846"/>
      <c r="CBW25" s="2851"/>
      <c r="CBX25" s="2850"/>
      <c r="CBY25" s="2846"/>
      <c r="CBZ25" s="2851"/>
      <c r="CCA25" s="2850"/>
      <c r="CCB25" s="2846"/>
      <c r="CCC25" s="2851"/>
      <c r="CCD25" s="2850"/>
      <c r="CCE25" s="2846"/>
      <c r="CCF25" s="2851"/>
      <c r="CCG25" s="2850"/>
      <c r="CCH25" s="2846"/>
      <c r="CCI25" s="2851"/>
      <c r="CCJ25" s="2850"/>
      <c r="CCK25" s="2846"/>
      <c r="CCL25" s="2851"/>
      <c r="CCM25" s="2850"/>
      <c r="CCN25" s="2846"/>
      <c r="CCO25" s="2851"/>
      <c r="CCP25" s="2850"/>
      <c r="CCQ25" s="2846"/>
      <c r="CCR25" s="2851"/>
      <c r="CCS25" s="2850"/>
      <c r="CCT25" s="2846"/>
      <c r="CCU25" s="2851"/>
      <c r="CCV25" s="2850"/>
      <c r="CCW25" s="2846"/>
      <c r="CCX25" s="2851"/>
      <c r="CCY25" s="2850"/>
      <c r="CCZ25" s="2846"/>
      <c r="CDA25" s="2851"/>
      <c r="CDB25" s="2850"/>
      <c r="CDC25" s="2846"/>
      <c r="CDD25" s="2851"/>
      <c r="CDE25" s="2850"/>
      <c r="CDF25" s="2846"/>
      <c r="CDG25" s="2851"/>
      <c r="CDH25" s="2850"/>
      <c r="CDI25" s="2846"/>
      <c r="CDJ25" s="2851"/>
      <c r="CDK25" s="2850"/>
      <c r="CDL25" s="2846"/>
      <c r="CDM25" s="2851"/>
      <c r="CDN25" s="2850"/>
      <c r="CDO25" s="2846"/>
      <c r="CDP25" s="2851"/>
      <c r="CDQ25" s="2850"/>
      <c r="CDR25" s="2846"/>
      <c r="CDS25" s="2851"/>
      <c r="CDT25" s="2850"/>
      <c r="CDU25" s="2846"/>
      <c r="CDV25" s="2851"/>
      <c r="CDW25" s="2850"/>
      <c r="CDX25" s="2846"/>
      <c r="CDY25" s="2851"/>
      <c r="CDZ25" s="2850"/>
      <c r="CEA25" s="2846"/>
      <c r="CEB25" s="2851"/>
      <c r="CEC25" s="2850"/>
      <c r="CED25" s="2846"/>
      <c r="CEE25" s="2851"/>
      <c r="CEF25" s="2850"/>
      <c r="CEG25" s="2846"/>
      <c r="CEH25" s="2851"/>
      <c r="CEI25" s="2850"/>
      <c r="CEJ25" s="2846"/>
      <c r="CEK25" s="2851"/>
      <c r="CEL25" s="2850"/>
      <c r="CEM25" s="2846"/>
      <c r="CEN25" s="2851"/>
      <c r="CEO25" s="2850"/>
      <c r="CEP25" s="2846"/>
      <c r="CEQ25" s="2851"/>
      <c r="CER25" s="2850"/>
      <c r="CES25" s="2846"/>
      <c r="CET25" s="2851"/>
      <c r="CEU25" s="2850"/>
      <c r="CEV25" s="2846"/>
      <c r="CEW25" s="2851"/>
      <c r="CEX25" s="2850"/>
      <c r="CEY25" s="2846"/>
      <c r="CEZ25" s="2851"/>
      <c r="CFA25" s="2850"/>
      <c r="CFB25" s="2846"/>
      <c r="CFC25" s="2851"/>
      <c r="CFD25" s="2850"/>
      <c r="CFE25" s="2846"/>
      <c r="CFF25" s="2851"/>
      <c r="CFG25" s="2850"/>
      <c r="CFH25" s="2846"/>
      <c r="CFI25" s="2851"/>
      <c r="CFJ25" s="2850"/>
      <c r="CFK25" s="2846"/>
      <c r="CFL25" s="2851"/>
      <c r="CFM25" s="2850"/>
      <c r="CFN25" s="2846"/>
      <c r="CFO25" s="2851"/>
      <c r="CFP25" s="2850"/>
      <c r="CFQ25" s="2846"/>
      <c r="CFR25" s="2851"/>
      <c r="CFS25" s="2850"/>
      <c r="CFT25" s="2846"/>
      <c r="CFU25" s="2851"/>
      <c r="CFV25" s="2850"/>
      <c r="CFW25" s="2846"/>
      <c r="CFX25" s="2851"/>
      <c r="CFY25" s="2850"/>
      <c r="CFZ25" s="2846"/>
      <c r="CGA25" s="2851"/>
      <c r="CGB25" s="2850"/>
      <c r="CGC25" s="2846"/>
      <c r="CGD25" s="2851"/>
      <c r="CGE25" s="2850"/>
      <c r="CGF25" s="2846"/>
      <c r="CGG25" s="2851"/>
      <c r="CGH25" s="2850"/>
      <c r="CGI25" s="2846"/>
      <c r="CGJ25" s="2851"/>
      <c r="CGK25" s="2850"/>
      <c r="CGL25" s="2846"/>
      <c r="CGM25" s="2851"/>
      <c r="CGN25" s="2850"/>
      <c r="CGO25" s="2846"/>
      <c r="CGP25" s="2851"/>
      <c r="CGQ25" s="2850"/>
      <c r="CGR25" s="2846"/>
      <c r="CGS25" s="2851"/>
      <c r="CGT25" s="2850"/>
      <c r="CGU25" s="2846"/>
      <c r="CGV25" s="2851"/>
      <c r="CGW25" s="2850"/>
      <c r="CGX25" s="2846"/>
      <c r="CGY25" s="2851"/>
      <c r="CGZ25" s="2850"/>
      <c r="CHA25" s="2846"/>
      <c r="CHB25" s="2851"/>
      <c r="CHC25" s="2850"/>
      <c r="CHD25" s="2846"/>
      <c r="CHE25" s="2851"/>
      <c r="CHF25" s="2850"/>
      <c r="CHG25" s="2846"/>
      <c r="CHH25" s="2851"/>
      <c r="CHI25" s="2850"/>
      <c r="CHJ25" s="2846"/>
      <c r="CHK25" s="2851"/>
      <c r="CHL25" s="2850"/>
      <c r="CHM25" s="2846"/>
      <c r="CHN25" s="2851"/>
      <c r="CHO25" s="2850"/>
      <c r="CHP25" s="2846"/>
      <c r="CHQ25" s="2851"/>
      <c r="CHR25" s="2850"/>
      <c r="CHS25" s="2846"/>
      <c r="CHT25" s="2851"/>
      <c r="CHU25" s="2850"/>
      <c r="CHV25" s="2846"/>
      <c r="CHW25" s="2851"/>
      <c r="CHX25" s="2850"/>
      <c r="CHY25" s="2846"/>
      <c r="CHZ25" s="2851"/>
      <c r="CIA25" s="2850"/>
      <c r="CIB25" s="2846"/>
      <c r="CIC25" s="2851"/>
      <c r="CID25" s="2850"/>
      <c r="CIE25" s="2846"/>
      <c r="CIF25" s="2851"/>
      <c r="CIG25" s="2850"/>
      <c r="CIH25" s="2846"/>
      <c r="CII25" s="2851"/>
      <c r="CIJ25" s="2850"/>
      <c r="CIK25" s="2846"/>
      <c r="CIL25" s="2851"/>
      <c r="CIM25" s="2850"/>
      <c r="CIN25" s="2846"/>
      <c r="CIO25" s="2851"/>
      <c r="CIP25" s="2850"/>
      <c r="CIQ25" s="2846"/>
      <c r="CIR25" s="2851"/>
      <c r="CIS25" s="2850"/>
      <c r="CIT25" s="2846"/>
      <c r="CIU25" s="2851"/>
      <c r="CIV25" s="2850"/>
      <c r="CIW25" s="2846"/>
      <c r="CIX25" s="2851"/>
      <c r="CIY25" s="2850"/>
      <c r="CIZ25" s="2846"/>
      <c r="CJA25" s="2851"/>
      <c r="CJB25" s="2850"/>
      <c r="CJC25" s="2846"/>
      <c r="CJD25" s="2851"/>
      <c r="CJE25" s="2850"/>
      <c r="CJF25" s="2846"/>
      <c r="CJG25" s="2851"/>
      <c r="CJH25" s="2850"/>
      <c r="CJI25" s="2846"/>
      <c r="CJJ25" s="2851"/>
      <c r="CJK25" s="2850"/>
      <c r="CJL25" s="2846"/>
      <c r="CJM25" s="2851"/>
      <c r="CJN25" s="2850"/>
      <c r="CJO25" s="2846"/>
      <c r="CJP25" s="2851"/>
      <c r="CJQ25" s="2850"/>
      <c r="CJR25" s="2846"/>
      <c r="CJS25" s="2851"/>
      <c r="CJT25" s="2850"/>
      <c r="CJU25" s="2846"/>
      <c r="CJV25" s="2851"/>
      <c r="CJW25" s="2850"/>
      <c r="CJX25" s="2846"/>
      <c r="CJY25" s="2851"/>
      <c r="CJZ25" s="2850"/>
      <c r="CKA25" s="2846"/>
      <c r="CKB25" s="2851"/>
      <c r="CKC25" s="2850"/>
      <c r="CKD25" s="2846"/>
      <c r="CKE25" s="2851"/>
      <c r="CKF25" s="2850"/>
      <c r="CKG25" s="2846"/>
      <c r="CKH25" s="2851"/>
      <c r="CKI25" s="2850"/>
      <c r="CKJ25" s="2846"/>
      <c r="CKK25" s="2851"/>
      <c r="CKL25" s="2850"/>
      <c r="CKM25" s="2846"/>
      <c r="CKN25" s="2851"/>
      <c r="CKO25" s="2850"/>
      <c r="CKP25" s="2846"/>
      <c r="CKQ25" s="2851"/>
      <c r="CKR25" s="2850"/>
      <c r="CKS25" s="2846"/>
      <c r="CKT25" s="2851"/>
      <c r="CKU25" s="2850"/>
      <c r="CKV25" s="2846"/>
      <c r="CKW25" s="2851"/>
      <c r="CKX25" s="2850"/>
      <c r="CKY25" s="2846"/>
      <c r="CKZ25" s="2851"/>
      <c r="CLA25" s="2850"/>
      <c r="CLB25" s="2846"/>
      <c r="CLC25" s="2851"/>
      <c r="CLD25" s="2850"/>
      <c r="CLE25" s="2846"/>
      <c r="CLF25" s="2851"/>
      <c r="CLG25" s="2850"/>
      <c r="CLH25" s="2846"/>
      <c r="CLI25" s="2851"/>
      <c r="CLJ25" s="2850"/>
      <c r="CLK25" s="2846"/>
      <c r="CLL25" s="2851"/>
      <c r="CLM25" s="2850"/>
      <c r="CLN25" s="2846"/>
      <c r="CLO25" s="2851"/>
      <c r="CLP25" s="2850"/>
      <c r="CLQ25" s="2846"/>
      <c r="CLR25" s="2851"/>
      <c r="CLS25" s="2850"/>
      <c r="CLT25" s="2846"/>
      <c r="CLU25" s="2851"/>
      <c r="CLV25" s="2850"/>
      <c r="CLW25" s="2846"/>
      <c r="CLX25" s="2851"/>
      <c r="CLY25" s="2850"/>
      <c r="CLZ25" s="2846"/>
      <c r="CMA25" s="2851"/>
      <c r="CMB25" s="2850"/>
      <c r="CMC25" s="2846"/>
      <c r="CMD25" s="2851"/>
      <c r="CME25" s="2850"/>
      <c r="CMF25" s="2846"/>
      <c r="CMG25" s="2851"/>
      <c r="CMH25" s="2850"/>
      <c r="CMI25" s="2846"/>
      <c r="CMJ25" s="2851"/>
      <c r="CMK25" s="2850"/>
      <c r="CML25" s="2846"/>
      <c r="CMM25" s="2851"/>
      <c r="CMN25" s="2850"/>
      <c r="CMO25" s="2846"/>
      <c r="CMP25" s="2851"/>
      <c r="CMQ25" s="2850"/>
      <c r="CMR25" s="2846"/>
      <c r="CMS25" s="2851"/>
      <c r="CMT25" s="2850"/>
      <c r="CMU25" s="2846"/>
      <c r="CMV25" s="2851"/>
      <c r="CMW25" s="2850"/>
      <c r="CMX25" s="2846"/>
      <c r="CMY25" s="2851"/>
      <c r="CMZ25" s="2850"/>
      <c r="CNA25" s="2846"/>
      <c r="CNB25" s="2851"/>
      <c r="CNC25" s="2850"/>
      <c r="CND25" s="2846"/>
      <c r="CNE25" s="2851"/>
      <c r="CNF25" s="2850"/>
      <c r="CNG25" s="2846"/>
      <c r="CNH25" s="2851"/>
      <c r="CNI25" s="2850"/>
      <c r="CNJ25" s="2846"/>
      <c r="CNK25" s="2851"/>
      <c r="CNL25" s="2850"/>
      <c r="CNM25" s="2846"/>
      <c r="CNN25" s="2851"/>
      <c r="CNO25" s="2850"/>
      <c r="CNP25" s="2846"/>
      <c r="CNQ25" s="2851"/>
      <c r="CNR25" s="2850"/>
      <c r="CNS25" s="2846"/>
      <c r="CNT25" s="2851"/>
      <c r="CNU25" s="2850"/>
      <c r="CNV25" s="2846"/>
      <c r="CNW25" s="2851"/>
      <c r="CNX25" s="2850"/>
      <c r="CNY25" s="2846"/>
      <c r="CNZ25" s="2851"/>
      <c r="COA25" s="2850"/>
      <c r="COB25" s="2846"/>
      <c r="COC25" s="2851"/>
      <c r="COD25" s="2850"/>
      <c r="COE25" s="2846"/>
      <c r="COF25" s="2851"/>
      <c r="COG25" s="2850"/>
      <c r="COH25" s="2846"/>
      <c r="COI25" s="2851"/>
      <c r="COJ25" s="2850"/>
      <c r="COK25" s="2846"/>
      <c r="COL25" s="2851"/>
      <c r="COM25" s="2850"/>
      <c r="CON25" s="2846"/>
      <c r="COO25" s="2851"/>
      <c r="COP25" s="2850"/>
      <c r="COQ25" s="2846"/>
      <c r="COR25" s="2851"/>
      <c r="COS25" s="2850"/>
      <c r="COT25" s="2846"/>
      <c r="COU25" s="2851"/>
      <c r="COV25" s="2850"/>
      <c r="COW25" s="2846"/>
      <c r="COX25" s="2851"/>
      <c r="COY25" s="2850"/>
      <c r="COZ25" s="2846"/>
      <c r="CPA25" s="2851"/>
      <c r="CPB25" s="2850"/>
      <c r="CPC25" s="2846"/>
      <c r="CPD25" s="2851"/>
      <c r="CPE25" s="2850"/>
      <c r="CPF25" s="2846"/>
      <c r="CPG25" s="2851"/>
      <c r="CPH25" s="2850"/>
      <c r="CPI25" s="2846"/>
      <c r="CPJ25" s="2851"/>
      <c r="CPK25" s="2850"/>
      <c r="CPL25" s="2846"/>
      <c r="CPM25" s="2851"/>
      <c r="CPN25" s="2850"/>
      <c r="CPO25" s="2846"/>
      <c r="CPP25" s="2851"/>
      <c r="CPQ25" s="2850"/>
      <c r="CPR25" s="2846"/>
      <c r="CPS25" s="2851"/>
      <c r="CPT25" s="2850"/>
      <c r="CPU25" s="2846"/>
      <c r="CPV25" s="2851"/>
      <c r="CPW25" s="2850"/>
      <c r="CPX25" s="2846"/>
      <c r="CPY25" s="2851"/>
      <c r="CPZ25" s="2850"/>
      <c r="CQA25" s="2846"/>
      <c r="CQB25" s="2851"/>
      <c r="CQC25" s="2850"/>
      <c r="CQD25" s="2846"/>
      <c r="CQE25" s="2851"/>
      <c r="CQF25" s="2850"/>
      <c r="CQG25" s="2846"/>
      <c r="CQH25" s="2851"/>
      <c r="CQI25" s="2850"/>
      <c r="CQJ25" s="2846"/>
      <c r="CQK25" s="2851"/>
      <c r="CQL25" s="2850"/>
      <c r="CQM25" s="2846"/>
      <c r="CQN25" s="2851"/>
      <c r="CQO25" s="2850"/>
      <c r="CQP25" s="2846"/>
      <c r="CQQ25" s="2851"/>
      <c r="CQR25" s="2850"/>
      <c r="CQS25" s="2846"/>
      <c r="CQT25" s="2851"/>
      <c r="CQU25" s="2850"/>
      <c r="CQV25" s="2846"/>
      <c r="CQW25" s="2851"/>
      <c r="CQX25" s="2850"/>
      <c r="CQY25" s="2846"/>
      <c r="CQZ25" s="2851"/>
      <c r="CRA25" s="2850"/>
      <c r="CRB25" s="2846"/>
      <c r="CRC25" s="2851"/>
      <c r="CRD25" s="2850"/>
      <c r="CRE25" s="2846"/>
      <c r="CRF25" s="2851"/>
      <c r="CRG25" s="2850"/>
      <c r="CRH25" s="2846"/>
      <c r="CRI25" s="2851"/>
      <c r="CRJ25" s="2850"/>
      <c r="CRK25" s="2846"/>
      <c r="CRL25" s="2851"/>
      <c r="CRM25" s="2850"/>
      <c r="CRN25" s="2846"/>
      <c r="CRO25" s="2851"/>
      <c r="CRP25" s="2850"/>
      <c r="CRQ25" s="2846"/>
      <c r="CRR25" s="2851"/>
      <c r="CRS25" s="2850"/>
      <c r="CRT25" s="2846"/>
      <c r="CRU25" s="2851"/>
      <c r="CRV25" s="2850"/>
      <c r="CRW25" s="2846"/>
      <c r="CRX25" s="2851"/>
      <c r="CRY25" s="2850"/>
      <c r="CRZ25" s="2846"/>
      <c r="CSA25" s="2851"/>
      <c r="CSB25" s="2850"/>
      <c r="CSC25" s="2846"/>
      <c r="CSD25" s="2851"/>
      <c r="CSE25" s="2850"/>
      <c r="CSF25" s="2846"/>
      <c r="CSG25" s="2851"/>
      <c r="CSH25" s="2850"/>
      <c r="CSI25" s="2846"/>
      <c r="CSJ25" s="2851"/>
      <c r="CSK25" s="2850"/>
      <c r="CSL25" s="2846"/>
      <c r="CSM25" s="2851"/>
      <c r="CSN25" s="2850"/>
      <c r="CSO25" s="2846"/>
      <c r="CSP25" s="2851"/>
      <c r="CSQ25" s="2850"/>
      <c r="CSR25" s="2846"/>
      <c r="CSS25" s="2851"/>
      <c r="CST25" s="2850"/>
      <c r="CSU25" s="2846"/>
      <c r="CSV25" s="2851"/>
      <c r="CSW25" s="2850"/>
      <c r="CSX25" s="2846"/>
      <c r="CSY25" s="2851"/>
      <c r="CSZ25" s="2850"/>
      <c r="CTA25" s="2846"/>
      <c r="CTB25" s="2851"/>
      <c r="CTC25" s="2850"/>
      <c r="CTD25" s="2846"/>
      <c r="CTE25" s="2851"/>
      <c r="CTF25" s="2850"/>
      <c r="CTG25" s="2846"/>
      <c r="CTH25" s="2851"/>
      <c r="CTI25" s="2850"/>
      <c r="CTJ25" s="2846"/>
      <c r="CTK25" s="2851"/>
      <c r="CTL25" s="2850"/>
      <c r="CTM25" s="2846"/>
      <c r="CTN25" s="2851"/>
      <c r="CTO25" s="2850"/>
      <c r="CTP25" s="2846"/>
      <c r="CTQ25" s="2851"/>
      <c r="CTR25" s="2850"/>
      <c r="CTS25" s="2846"/>
      <c r="CTT25" s="2851"/>
      <c r="CTU25" s="2850"/>
      <c r="CTV25" s="2846"/>
      <c r="CTW25" s="2851"/>
      <c r="CTX25" s="2850"/>
      <c r="CTY25" s="2846"/>
      <c r="CTZ25" s="2851"/>
      <c r="CUA25" s="2850"/>
      <c r="CUB25" s="2846"/>
      <c r="CUC25" s="2851"/>
      <c r="CUD25" s="2850"/>
      <c r="CUE25" s="2846"/>
      <c r="CUF25" s="2851"/>
      <c r="CUG25" s="2850"/>
      <c r="CUH25" s="2846"/>
      <c r="CUI25" s="2851"/>
      <c r="CUJ25" s="2850"/>
      <c r="CUK25" s="2846"/>
      <c r="CUL25" s="2851"/>
      <c r="CUM25" s="2850"/>
      <c r="CUN25" s="2846"/>
      <c r="CUO25" s="2851"/>
      <c r="CUP25" s="2850"/>
      <c r="CUQ25" s="2846"/>
      <c r="CUR25" s="2851"/>
      <c r="CUS25" s="2850"/>
      <c r="CUT25" s="2846"/>
      <c r="CUU25" s="2851"/>
      <c r="CUV25" s="2850"/>
      <c r="CUW25" s="2846"/>
      <c r="CUX25" s="2851"/>
      <c r="CUY25" s="2850"/>
      <c r="CUZ25" s="2846"/>
      <c r="CVA25" s="2851"/>
      <c r="CVB25" s="2850"/>
      <c r="CVC25" s="2846"/>
      <c r="CVD25" s="2851"/>
      <c r="CVE25" s="2850"/>
      <c r="CVF25" s="2846"/>
      <c r="CVG25" s="2851"/>
      <c r="CVH25" s="2850"/>
      <c r="CVI25" s="2846"/>
      <c r="CVJ25" s="2851"/>
      <c r="CVK25" s="2850"/>
      <c r="CVL25" s="2846"/>
      <c r="CVM25" s="2851"/>
      <c r="CVN25" s="2850"/>
      <c r="CVO25" s="2846"/>
      <c r="CVP25" s="2851"/>
      <c r="CVQ25" s="2850"/>
      <c r="CVR25" s="2846"/>
      <c r="CVS25" s="2851"/>
      <c r="CVT25" s="2850"/>
      <c r="CVU25" s="2846"/>
      <c r="CVV25" s="2851"/>
      <c r="CVW25" s="2850"/>
      <c r="CVX25" s="2846"/>
      <c r="CVY25" s="2851"/>
      <c r="CVZ25" s="2850"/>
      <c r="CWA25" s="2846"/>
      <c r="CWB25" s="2851"/>
      <c r="CWC25" s="2850"/>
      <c r="CWD25" s="2846"/>
      <c r="CWE25" s="2851"/>
      <c r="CWF25" s="2850"/>
      <c r="CWG25" s="2846"/>
      <c r="CWH25" s="2851"/>
      <c r="CWI25" s="2850"/>
      <c r="CWJ25" s="2846"/>
      <c r="CWK25" s="2851"/>
      <c r="CWL25" s="2850"/>
      <c r="CWM25" s="2846"/>
      <c r="CWN25" s="2851"/>
      <c r="CWO25" s="2850"/>
      <c r="CWP25" s="2846"/>
      <c r="CWQ25" s="2851"/>
      <c r="CWR25" s="2850"/>
      <c r="CWS25" s="2846"/>
      <c r="CWT25" s="2851"/>
      <c r="CWU25" s="2850"/>
      <c r="CWV25" s="2846"/>
      <c r="CWW25" s="2851"/>
      <c r="CWX25" s="2850"/>
      <c r="CWY25" s="2846"/>
      <c r="CWZ25" s="2851"/>
      <c r="CXA25" s="2850"/>
      <c r="CXB25" s="2846"/>
      <c r="CXC25" s="2851"/>
      <c r="CXD25" s="2850"/>
      <c r="CXE25" s="2846"/>
      <c r="CXF25" s="2851"/>
      <c r="CXG25" s="2850"/>
      <c r="CXH25" s="2846"/>
      <c r="CXI25" s="2851"/>
      <c r="CXJ25" s="2850"/>
      <c r="CXK25" s="2846"/>
      <c r="CXL25" s="2851"/>
      <c r="CXM25" s="2850"/>
      <c r="CXN25" s="2846"/>
      <c r="CXO25" s="2851"/>
      <c r="CXP25" s="2850"/>
      <c r="CXQ25" s="2846"/>
      <c r="CXR25" s="2851"/>
      <c r="CXS25" s="2850"/>
      <c r="CXT25" s="2846"/>
      <c r="CXU25" s="2851"/>
      <c r="CXV25" s="2850"/>
      <c r="CXW25" s="2846"/>
      <c r="CXX25" s="2851"/>
      <c r="CXY25" s="2850"/>
      <c r="CXZ25" s="2846"/>
      <c r="CYA25" s="2851"/>
      <c r="CYB25" s="2850"/>
      <c r="CYC25" s="2846"/>
      <c r="CYD25" s="2851"/>
      <c r="CYE25" s="2850"/>
      <c r="CYF25" s="2846"/>
      <c r="CYG25" s="2851"/>
      <c r="CYH25" s="2850"/>
      <c r="CYI25" s="2846"/>
      <c r="CYJ25" s="2851"/>
      <c r="CYK25" s="2850"/>
      <c r="CYL25" s="2846"/>
      <c r="CYM25" s="2851"/>
      <c r="CYN25" s="2850"/>
      <c r="CYO25" s="2846"/>
      <c r="CYP25" s="2851"/>
      <c r="CYQ25" s="2850"/>
      <c r="CYR25" s="2846"/>
      <c r="CYS25" s="2851"/>
      <c r="CYT25" s="2850"/>
      <c r="CYU25" s="2846"/>
      <c r="CYV25" s="2851"/>
      <c r="CYW25" s="2850"/>
      <c r="CYX25" s="2846"/>
      <c r="CYY25" s="2851"/>
      <c r="CYZ25" s="2850"/>
      <c r="CZA25" s="2846"/>
      <c r="CZB25" s="2851"/>
      <c r="CZC25" s="2850"/>
      <c r="CZD25" s="2846"/>
      <c r="CZE25" s="2851"/>
      <c r="CZF25" s="2850"/>
      <c r="CZG25" s="2846"/>
      <c r="CZH25" s="2851"/>
      <c r="CZI25" s="2850"/>
      <c r="CZJ25" s="2846"/>
      <c r="CZK25" s="2851"/>
      <c r="CZL25" s="2850"/>
      <c r="CZM25" s="2846"/>
      <c r="CZN25" s="2851"/>
      <c r="CZO25" s="2850"/>
      <c r="CZP25" s="2846"/>
      <c r="CZQ25" s="2851"/>
      <c r="CZR25" s="2850"/>
      <c r="CZS25" s="2846"/>
      <c r="CZT25" s="2851"/>
      <c r="CZU25" s="2850"/>
      <c r="CZV25" s="2846"/>
      <c r="CZW25" s="2851"/>
      <c r="CZX25" s="2850"/>
      <c r="CZY25" s="2846"/>
      <c r="CZZ25" s="2851"/>
      <c r="DAA25" s="2850"/>
      <c r="DAB25" s="2846"/>
      <c r="DAC25" s="2851"/>
      <c r="DAD25" s="2850"/>
      <c r="DAE25" s="2846"/>
      <c r="DAF25" s="2851"/>
      <c r="DAG25" s="2850"/>
      <c r="DAH25" s="2846"/>
      <c r="DAI25" s="2851"/>
      <c r="DAJ25" s="2850"/>
      <c r="DAK25" s="2846"/>
      <c r="DAL25" s="2851"/>
      <c r="DAM25" s="2850"/>
      <c r="DAN25" s="2846"/>
      <c r="DAO25" s="2851"/>
      <c r="DAP25" s="2850"/>
      <c r="DAQ25" s="2846"/>
      <c r="DAR25" s="2851"/>
      <c r="DAS25" s="2850"/>
      <c r="DAT25" s="2846"/>
      <c r="DAU25" s="2851"/>
      <c r="DAV25" s="2850"/>
      <c r="DAW25" s="2846"/>
      <c r="DAX25" s="2851"/>
      <c r="DAY25" s="2850"/>
      <c r="DAZ25" s="2846"/>
      <c r="DBA25" s="2851"/>
      <c r="DBB25" s="2850"/>
      <c r="DBC25" s="2846"/>
      <c r="DBD25" s="2851"/>
      <c r="DBE25" s="2850"/>
      <c r="DBF25" s="2846"/>
      <c r="DBG25" s="2851"/>
      <c r="DBH25" s="2850"/>
      <c r="DBI25" s="2846"/>
      <c r="DBJ25" s="2851"/>
      <c r="DBK25" s="2850"/>
      <c r="DBL25" s="2846"/>
      <c r="DBM25" s="2851"/>
      <c r="DBN25" s="2850"/>
      <c r="DBO25" s="2846"/>
      <c r="DBP25" s="2851"/>
      <c r="DBQ25" s="2850"/>
      <c r="DBR25" s="2846"/>
      <c r="DBS25" s="2851"/>
      <c r="DBT25" s="2850"/>
      <c r="DBU25" s="2846"/>
      <c r="DBV25" s="2851"/>
      <c r="DBW25" s="2850"/>
      <c r="DBX25" s="2846"/>
      <c r="DBY25" s="2851"/>
      <c r="DBZ25" s="2850"/>
      <c r="DCA25" s="2846"/>
      <c r="DCB25" s="2851"/>
      <c r="DCC25" s="2850"/>
      <c r="DCD25" s="2846"/>
      <c r="DCE25" s="2851"/>
      <c r="DCF25" s="2850"/>
      <c r="DCG25" s="2846"/>
      <c r="DCH25" s="2851"/>
      <c r="DCI25" s="2850"/>
      <c r="DCJ25" s="2846"/>
      <c r="DCK25" s="2851"/>
      <c r="DCL25" s="2850"/>
      <c r="DCM25" s="2846"/>
      <c r="DCN25" s="2851"/>
      <c r="DCO25" s="2850"/>
      <c r="DCP25" s="2846"/>
      <c r="DCQ25" s="2851"/>
      <c r="DCR25" s="2850"/>
      <c r="DCS25" s="2846"/>
      <c r="DCT25" s="2851"/>
      <c r="DCU25" s="2850"/>
      <c r="DCV25" s="2846"/>
      <c r="DCW25" s="2851"/>
      <c r="DCX25" s="2850"/>
      <c r="DCY25" s="2846"/>
      <c r="DCZ25" s="2851"/>
      <c r="DDA25" s="2850"/>
      <c r="DDB25" s="2846"/>
      <c r="DDC25" s="2851"/>
      <c r="DDD25" s="2850"/>
      <c r="DDE25" s="2846"/>
      <c r="DDF25" s="2851"/>
      <c r="DDG25" s="2850"/>
      <c r="DDH25" s="2846"/>
      <c r="DDI25" s="2851"/>
      <c r="DDJ25" s="2850"/>
      <c r="DDK25" s="2846"/>
      <c r="DDL25" s="2851"/>
      <c r="DDM25" s="2850"/>
      <c r="DDN25" s="2846"/>
      <c r="DDO25" s="2851"/>
      <c r="DDP25" s="2850"/>
      <c r="DDQ25" s="2846"/>
      <c r="DDR25" s="2851"/>
      <c r="DDS25" s="2850"/>
      <c r="DDT25" s="2846"/>
      <c r="DDU25" s="2851"/>
      <c r="DDV25" s="2850"/>
      <c r="DDW25" s="2846"/>
      <c r="DDX25" s="2851"/>
      <c r="DDY25" s="2850"/>
      <c r="DDZ25" s="2846"/>
      <c r="DEA25" s="2851"/>
      <c r="DEB25" s="2850"/>
      <c r="DEC25" s="2846"/>
      <c r="DED25" s="2851"/>
      <c r="DEE25" s="2850"/>
      <c r="DEF25" s="2846"/>
      <c r="DEG25" s="2851"/>
      <c r="DEH25" s="2850"/>
      <c r="DEI25" s="2846"/>
      <c r="DEJ25" s="2851"/>
      <c r="DEK25" s="2850"/>
      <c r="DEL25" s="2846"/>
      <c r="DEM25" s="2851"/>
      <c r="DEN25" s="2850"/>
      <c r="DEO25" s="2846"/>
      <c r="DEP25" s="2851"/>
      <c r="DEQ25" s="2850"/>
      <c r="DER25" s="2846"/>
      <c r="DES25" s="2851"/>
      <c r="DET25" s="2850"/>
      <c r="DEU25" s="2846"/>
      <c r="DEV25" s="2851"/>
      <c r="DEW25" s="2850"/>
      <c r="DEX25" s="2846"/>
      <c r="DEY25" s="2851"/>
      <c r="DEZ25" s="2850"/>
      <c r="DFA25" s="2846"/>
      <c r="DFB25" s="2851"/>
      <c r="DFC25" s="2850"/>
      <c r="DFD25" s="2846"/>
      <c r="DFE25" s="2851"/>
      <c r="DFF25" s="2850"/>
      <c r="DFG25" s="2846"/>
      <c r="DFH25" s="2851"/>
      <c r="DFI25" s="2850"/>
      <c r="DFJ25" s="2846"/>
      <c r="DFK25" s="2851"/>
      <c r="DFL25" s="2850"/>
      <c r="DFM25" s="2846"/>
      <c r="DFN25" s="2851"/>
      <c r="DFO25" s="2850"/>
      <c r="DFP25" s="2846"/>
      <c r="DFQ25" s="2851"/>
      <c r="DFR25" s="2850"/>
      <c r="DFS25" s="2846"/>
      <c r="DFT25" s="2851"/>
      <c r="DFU25" s="2850"/>
      <c r="DFV25" s="2846"/>
      <c r="DFW25" s="2851"/>
      <c r="DFX25" s="2850"/>
      <c r="DFY25" s="2846"/>
      <c r="DFZ25" s="2851"/>
      <c r="DGA25" s="2850"/>
      <c r="DGB25" s="2846"/>
      <c r="DGC25" s="2851"/>
      <c r="DGD25" s="2850"/>
      <c r="DGE25" s="2846"/>
      <c r="DGF25" s="2851"/>
      <c r="DGG25" s="2850"/>
      <c r="DGH25" s="2846"/>
      <c r="DGI25" s="2851"/>
      <c r="DGJ25" s="2850"/>
      <c r="DGK25" s="2846"/>
      <c r="DGL25" s="2851"/>
      <c r="DGM25" s="2850"/>
      <c r="DGN25" s="2846"/>
      <c r="DGO25" s="2851"/>
      <c r="DGP25" s="2850"/>
      <c r="DGQ25" s="2846"/>
      <c r="DGR25" s="2851"/>
      <c r="DGS25" s="2850"/>
      <c r="DGT25" s="2846"/>
      <c r="DGU25" s="2851"/>
      <c r="DGV25" s="2850"/>
      <c r="DGW25" s="2846"/>
      <c r="DGX25" s="2851"/>
      <c r="DGY25" s="2850"/>
      <c r="DGZ25" s="2846"/>
      <c r="DHA25" s="2851"/>
      <c r="DHB25" s="2850"/>
      <c r="DHC25" s="2846"/>
      <c r="DHD25" s="2851"/>
      <c r="DHE25" s="2850"/>
      <c r="DHF25" s="2846"/>
      <c r="DHG25" s="2851"/>
      <c r="DHH25" s="2850"/>
      <c r="DHI25" s="2846"/>
      <c r="DHJ25" s="2851"/>
      <c r="DHK25" s="2850"/>
      <c r="DHL25" s="2846"/>
      <c r="DHM25" s="2851"/>
      <c r="DHN25" s="2850"/>
      <c r="DHO25" s="2846"/>
      <c r="DHP25" s="2851"/>
      <c r="DHQ25" s="2850"/>
      <c r="DHR25" s="2846"/>
      <c r="DHS25" s="2851"/>
      <c r="DHT25" s="2850"/>
      <c r="DHU25" s="2846"/>
      <c r="DHV25" s="2851"/>
      <c r="DHW25" s="2850"/>
      <c r="DHX25" s="2846"/>
      <c r="DHY25" s="2851"/>
      <c r="DHZ25" s="2850"/>
      <c r="DIA25" s="2846"/>
      <c r="DIB25" s="2851"/>
      <c r="DIC25" s="2850"/>
      <c r="DID25" s="2846"/>
      <c r="DIE25" s="2851"/>
      <c r="DIF25" s="2850"/>
      <c r="DIG25" s="2846"/>
      <c r="DIH25" s="2851"/>
      <c r="DII25" s="2850"/>
      <c r="DIJ25" s="2846"/>
      <c r="DIK25" s="2851"/>
      <c r="DIL25" s="2850"/>
      <c r="DIM25" s="2846"/>
      <c r="DIN25" s="2851"/>
      <c r="DIO25" s="2850"/>
      <c r="DIP25" s="2846"/>
      <c r="DIQ25" s="2851"/>
      <c r="DIR25" s="2850"/>
      <c r="DIS25" s="2846"/>
      <c r="DIT25" s="2851"/>
      <c r="DIU25" s="2850"/>
      <c r="DIV25" s="2846"/>
      <c r="DIW25" s="2851"/>
      <c r="DIX25" s="2850"/>
      <c r="DIY25" s="2846"/>
      <c r="DIZ25" s="2851"/>
      <c r="DJA25" s="2850"/>
      <c r="DJB25" s="2846"/>
      <c r="DJC25" s="2851"/>
      <c r="DJD25" s="2850"/>
      <c r="DJE25" s="2846"/>
      <c r="DJF25" s="2851"/>
      <c r="DJG25" s="2850"/>
      <c r="DJH25" s="2846"/>
      <c r="DJI25" s="2851"/>
      <c r="DJJ25" s="2850"/>
      <c r="DJK25" s="2846"/>
      <c r="DJL25" s="2851"/>
      <c r="DJM25" s="2850"/>
      <c r="DJN25" s="2846"/>
      <c r="DJO25" s="2851"/>
      <c r="DJP25" s="2850"/>
      <c r="DJQ25" s="2846"/>
      <c r="DJR25" s="2851"/>
      <c r="DJS25" s="2850"/>
      <c r="DJT25" s="2846"/>
      <c r="DJU25" s="2851"/>
      <c r="DJV25" s="2850"/>
      <c r="DJW25" s="2846"/>
      <c r="DJX25" s="2851"/>
      <c r="DJY25" s="2850"/>
      <c r="DJZ25" s="2846"/>
      <c r="DKA25" s="2851"/>
      <c r="DKB25" s="2850"/>
      <c r="DKC25" s="2846"/>
      <c r="DKD25" s="2851"/>
      <c r="DKE25" s="2850"/>
      <c r="DKF25" s="2846"/>
      <c r="DKG25" s="2851"/>
      <c r="DKH25" s="2850"/>
      <c r="DKI25" s="2846"/>
      <c r="DKJ25" s="2851"/>
      <c r="DKK25" s="2850"/>
      <c r="DKL25" s="2846"/>
      <c r="DKM25" s="2851"/>
      <c r="DKN25" s="2850"/>
      <c r="DKO25" s="2846"/>
      <c r="DKP25" s="2851"/>
      <c r="DKQ25" s="2850"/>
      <c r="DKR25" s="2846"/>
      <c r="DKS25" s="2851"/>
      <c r="DKT25" s="2850"/>
      <c r="DKU25" s="2846"/>
      <c r="DKV25" s="2851"/>
      <c r="DKW25" s="2850"/>
      <c r="DKX25" s="2846"/>
      <c r="DKY25" s="2851"/>
      <c r="DKZ25" s="2850"/>
      <c r="DLA25" s="2846"/>
      <c r="DLB25" s="2851"/>
      <c r="DLC25" s="2850"/>
      <c r="DLD25" s="2846"/>
      <c r="DLE25" s="2851"/>
      <c r="DLF25" s="2850"/>
      <c r="DLG25" s="2846"/>
      <c r="DLH25" s="2851"/>
      <c r="DLI25" s="2850"/>
      <c r="DLJ25" s="2846"/>
      <c r="DLK25" s="2851"/>
      <c r="DLL25" s="2850"/>
      <c r="DLM25" s="2846"/>
      <c r="DLN25" s="2851"/>
      <c r="DLO25" s="2850"/>
      <c r="DLP25" s="2846"/>
      <c r="DLQ25" s="2851"/>
      <c r="DLR25" s="2850"/>
      <c r="DLS25" s="2846"/>
      <c r="DLT25" s="2851"/>
      <c r="DLU25" s="2850"/>
      <c r="DLV25" s="2846"/>
      <c r="DLW25" s="2851"/>
      <c r="DLX25" s="2850"/>
      <c r="DLY25" s="2846"/>
      <c r="DLZ25" s="2851"/>
      <c r="DMA25" s="2850"/>
      <c r="DMB25" s="2846"/>
      <c r="DMC25" s="2851"/>
      <c r="DMD25" s="2850"/>
      <c r="DME25" s="2846"/>
      <c r="DMF25" s="2851"/>
      <c r="DMG25" s="2850"/>
      <c r="DMH25" s="2846"/>
      <c r="DMI25" s="2851"/>
      <c r="DMJ25" s="2850"/>
      <c r="DMK25" s="2846"/>
      <c r="DML25" s="2851"/>
      <c r="DMM25" s="2850"/>
      <c r="DMN25" s="2846"/>
      <c r="DMO25" s="2851"/>
      <c r="DMP25" s="2850"/>
      <c r="DMQ25" s="2846"/>
      <c r="DMR25" s="2851"/>
      <c r="DMS25" s="2850"/>
      <c r="DMT25" s="2846"/>
      <c r="DMU25" s="2851"/>
      <c r="DMV25" s="2850"/>
      <c r="DMW25" s="2846"/>
      <c r="DMX25" s="2851"/>
      <c r="DMY25" s="2850"/>
      <c r="DMZ25" s="2846"/>
      <c r="DNA25" s="2851"/>
      <c r="DNB25" s="2850"/>
      <c r="DNC25" s="2846"/>
      <c r="DND25" s="2851"/>
      <c r="DNE25" s="2850"/>
      <c r="DNF25" s="2846"/>
      <c r="DNG25" s="2851"/>
      <c r="DNH25" s="2850"/>
      <c r="DNI25" s="2846"/>
      <c r="DNJ25" s="2851"/>
      <c r="DNK25" s="2850"/>
      <c r="DNL25" s="2846"/>
      <c r="DNM25" s="2851"/>
      <c r="DNN25" s="2850"/>
      <c r="DNO25" s="2846"/>
      <c r="DNP25" s="2851"/>
      <c r="DNQ25" s="2850"/>
      <c r="DNR25" s="2846"/>
      <c r="DNS25" s="2851"/>
      <c r="DNT25" s="2850"/>
      <c r="DNU25" s="2846"/>
      <c r="DNV25" s="2851"/>
      <c r="DNW25" s="2850"/>
      <c r="DNX25" s="2846"/>
      <c r="DNY25" s="2851"/>
      <c r="DNZ25" s="2850"/>
      <c r="DOA25" s="2846"/>
      <c r="DOB25" s="2851"/>
      <c r="DOC25" s="2850"/>
      <c r="DOD25" s="2846"/>
      <c r="DOE25" s="2851"/>
      <c r="DOF25" s="2850"/>
      <c r="DOG25" s="2846"/>
      <c r="DOH25" s="2851"/>
      <c r="DOI25" s="2850"/>
      <c r="DOJ25" s="2846"/>
      <c r="DOK25" s="2851"/>
      <c r="DOL25" s="2850"/>
      <c r="DOM25" s="2846"/>
      <c r="DON25" s="2851"/>
      <c r="DOO25" s="2850"/>
      <c r="DOP25" s="2846"/>
      <c r="DOQ25" s="2851"/>
      <c r="DOR25" s="2850"/>
      <c r="DOS25" s="2846"/>
      <c r="DOT25" s="2851"/>
      <c r="DOU25" s="2850"/>
      <c r="DOV25" s="2846"/>
      <c r="DOW25" s="2851"/>
      <c r="DOX25" s="2850"/>
      <c r="DOY25" s="2846"/>
      <c r="DOZ25" s="2851"/>
      <c r="DPA25" s="2850"/>
      <c r="DPB25" s="2846"/>
      <c r="DPC25" s="2851"/>
      <c r="DPD25" s="2850"/>
      <c r="DPE25" s="2846"/>
      <c r="DPF25" s="2851"/>
      <c r="DPG25" s="2850"/>
      <c r="DPH25" s="2846"/>
      <c r="DPI25" s="2851"/>
      <c r="DPJ25" s="2850"/>
      <c r="DPK25" s="2846"/>
      <c r="DPL25" s="2851"/>
      <c r="DPM25" s="2850"/>
      <c r="DPN25" s="2846"/>
      <c r="DPO25" s="2851"/>
      <c r="DPP25" s="2850"/>
      <c r="DPQ25" s="2846"/>
      <c r="DPR25" s="2851"/>
      <c r="DPS25" s="2850"/>
      <c r="DPT25" s="2846"/>
      <c r="DPU25" s="2851"/>
      <c r="DPV25" s="2850"/>
      <c r="DPW25" s="2846"/>
      <c r="DPX25" s="2851"/>
      <c r="DPY25" s="2850"/>
      <c r="DPZ25" s="2846"/>
      <c r="DQA25" s="2851"/>
      <c r="DQB25" s="2850"/>
      <c r="DQC25" s="2846"/>
      <c r="DQD25" s="2851"/>
      <c r="DQE25" s="2850"/>
      <c r="DQF25" s="2846"/>
      <c r="DQG25" s="2851"/>
      <c r="DQH25" s="2850"/>
      <c r="DQI25" s="2846"/>
      <c r="DQJ25" s="2851"/>
      <c r="DQK25" s="2850"/>
      <c r="DQL25" s="2846"/>
      <c r="DQM25" s="2851"/>
      <c r="DQN25" s="2850"/>
      <c r="DQO25" s="2846"/>
      <c r="DQP25" s="2851"/>
      <c r="DQQ25" s="2850"/>
      <c r="DQR25" s="2846"/>
      <c r="DQS25" s="2851"/>
      <c r="DQT25" s="2850"/>
      <c r="DQU25" s="2846"/>
      <c r="DQV25" s="2851"/>
      <c r="DQW25" s="2850"/>
      <c r="DQX25" s="2846"/>
      <c r="DQY25" s="2851"/>
      <c r="DQZ25" s="2850"/>
      <c r="DRA25" s="2846"/>
      <c r="DRB25" s="2851"/>
      <c r="DRC25" s="2850"/>
      <c r="DRD25" s="2846"/>
      <c r="DRE25" s="2851"/>
      <c r="DRF25" s="2850"/>
      <c r="DRG25" s="2846"/>
      <c r="DRH25" s="2851"/>
      <c r="DRI25" s="2850"/>
      <c r="DRJ25" s="2846"/>
      <c r="DRK25" s="2851"/>
      <c r="DRL25" s="2850"/>
      <c r="DRM25" s="2846"/>
      <c r="DRN25" s="2851"/>
      <c r="DRO25" s="2850"/>
      <c r="DRP25" s="2846"/>
      <c r="DRQ25" s="2851"/>
      <c r="DRR25" s="2850"/>
      <c r="DRS25" s="2846"/>
      <c r="DRT25" s="2851"/>
      <c r="DRU25" s="2850"/>
      <c r="DRV25" s="2846"/>
      <c r="DRW25" s="2851"/>
      <c r="DRX25" s="2850"/>
      <c r="DRY25" s="2846"/>
      <c r="DRZ25" s="2851"/>
      <c r="DSA25" s="2850"/>
      <c r="DSB25" s="2846"/>
      <c r="DSC25" s="2851"/>
      <c r="DSD25" s="2850"/>
      <c r="DSE25" s="2846"/>
      <c r="DSF25" s="2851"/>
      <c r="DSG25" s="2850"/>
      <c r="DSH25" s="2846"/>
      <c r="DSI25" s="2851"/>
      <c r="DSJ25" s="2850"/>
      <c r="DSK25" s="2846"/>
      <c r="DSL25" s="2851"/>
      <c r="DSM25" s="2850"/>
      <c r="DSN25" s="2846"/>
      <c r="DSO25" s="2851"/>
      <c r="DSP25" s="2850"/>
      <c r="DSQ25" s="2846"/>
      <c r="DSR25" s="2851"/>
      <c r="DSS25" s="2850"/>
      <c r="DST25" s="2846"/>
      <c r="DSU25" s="2851"/>
      <c r="DSV25" s="2850"/>
      <c r="DSW25" s="2846"/>
      <c r="DSX25" s="2851"/>
      <c r="DSY25" s="2850"/>
      <c r="DSZ25" s="2846"/>
      <c r="DTA25" s="2851"/>
      <c r="DTB25" s="2850"/>
      <c r="DTC25" s="2846"/>
      <c r="DTD25" s="2851"/>
      <c r="DTE25" s="2850"/>
      <c r="DTF25" s="2846"/>
      <c r="DTG25" s="2851"/>
      <c r="DTH25" s="2850"/>
      <c r="DTI25" s="2846"/>
      <c r="DTJ25" s="2851"/>
      <c r="DTK25" s="2850"/>
      <c r="DTL25" s="2846"/>
      <c r="DTM25" s="2851"/>
      <c r="DTN25" s="2850"/>
      <c r="DTO25" s="2846"/>
      <c r="DTP25" s="2851"/>
      <c r="DTQ25" s="2850"/>
      <c r="DTR25" s="2846"/>
      <c r="DTS25" s="2851"/>
      <c r="DTT25" s="2850"/>
      <c r="DTU25" s="2846"/>
      <c r="DTV25" s="2851"/>
      <c r="DTW25" s="2850"/>
      <c r="DTX25" s="2846"/>
      <c r="DTY25" s="2851"/>
      <c r="DTZ25" s="2850"/>
      <c r="DUA25" s="2846"/>
      <c r="DUB25" s="2851"/>
      <c r="DUC25" s="2850"/>
      <c r="DUD25" s="2846"/>
      <c r="DUE25" s="2851"/>
      <c r="DUF25" s="2850"/>
      <c r="DUG25" s="2846"/>
      <c r="DUH25" s="2851"/>
      <c r="DUI25" s="2850"/>
      <c r="DUJ25" s="2846"/>
      <c r="DUK25" s="2851"/>
      <c r="DUL25" s="2850"/>
      <c r="DUM25" s="2846"/>
      <c r="DUN25" s="2851"/>
      <c r="DUO25" s="2850"/>
      <c r="DUP25" s="2846"/>
      <c r="DUQ25" s="2851"/>
      <c r="DUR25" s="2850"/>
      <c r="DUS25" s="2846"/>
      <c r="DUT25" s="2851"/>
      <c r="DUU25" s="2850"/>
      <c r="DUV25" s="2846"/>
      <c r="DUW25" s="2851"/>
      <c r="DUX25" s="2850"/>
      <c r="DUY25" s="2846"/>
      <c r="DUZ25" s="2851"/>
      <c r="DVA25" s="2850"/>
      <c r="DVB25" s="2846"/>
      <c r="DVC25" s="2851"/>
      <c r="DVD25" s="2850"/>
      <c r="DVE25" s="2846"/>
      <c r="DVF25" s="2851"/>
      <c r="DVG25" s="2850"/>
      <c r="DVH25" s="2846"/>
      <c r="DVI25" s="2851"/>
      <c r="DVJ25" s="2850"/>
      <c r="DVK25" s="2846"/>
      <c r="DVL25" s="2851"/>
      <c r="DVM25" s="2850"/>
      <c r="DVN25" s="2846"/>
      <c r="DVO25" s="2851"/>
      <c r="DVP25" s="2850"/>
      <c r="DVQ25" s="2846"/>
      <c r="DVR25" s="2851"/>
      <c r="DVS25" s="2850"/>
      <c r="DVT25" s="2846"/>
      <c r="DVU25" s="2851"/>
      <c r="DVV25" s="2850"/>
      <c r="DVW25" s="2846"/>
      <c r="DVX25" s="2851"/>
      <c r="DVY25" s="2850"/>
      <c r="DVZ25" s="2846"/>
      <c r="DWA25" s="2851"/>
      <c r="DWB25" s="2850"/>
      <c r="DWC25" s="2846"/>
      <c r="DWD25" s="2851"/>
      <c r="DWE25" s="2850"/>
      <c r="DWF25" s="2846"/>
      <c r="DWG25" s="2851"/>
      <c r="DWH25" s="2850"/>
      <c r="DWI25" s="2846"/>
      <c r="DWJ25" s="2851"/>
      <c r="DWK25" s="2850"/>
      <c r="DWL25" s="2846"/>
      <c r="DWM25" s="2851"/>
      <c r="DWN25" s="2850"/>
      <c r="DWO25" s="2846"/>
      <c r="DWP25" s="2851"/>
      <c r="DWQ25" s="2850"/>
      <c r="DWR25" s="2846"/>
      <c r="DWS25" s="2851"/>
      <c r="DWT25" s="2850"/>
      <c r="DWU25" s="2846"/>
      <c r="DWV25" s="2851"/>
      <c r="DWW25" s="2850"/>
      <c r="DWX25" s="2846"/>
      <c r="DWY25" s="2851"/>
      <c r="DWZ25" s="2850"/>
      <c r="DXA25" s="2846"/>
      <c r="DXB25" s="2851"/>
      <c r="DXC25" s="2850"/>
      <c r="DXD25" s="2846"/>
      <c r="DXE25" s="2851"/>
      <c r="DXF25" s="2850"/>
      <c r="DXG25" s="2846"/>
      <c r="DXH25" s="2851"/>
      <c r="DXI25" s="2850"/>
      <c r="DXJ25" s="2846"/>
      <c r="DXK25" s="2851"/>
      <c r="DXL25" s="2850"/>
      <c r="DXM25" s="2846"/>
      <c r="DXN25" s="2851"/>
      <c r="DXO25" s="2850"/>
      <c r="DXP25" s="2846"/>
      <c r="DXQ25" s="2851"/>
      <c r="DXR25" s="2850"/>
      <c r="DXS25" s="2846"/>
      <c r="DXT25" s="2851"/>
      <c r="DXU25" s="2850"/>
      <c r="DXV25" s="2846"/>
      <c r="DXW25" s="2851"/>
      <c r="DXX25" s="2850"/>
      <c r="DXY25" s="2846"/>
      <c r="DXZ25" s="2851"/>
      <c r="DYA25" s="2850"/>
      <c r="DYB25" s="2846"/>
      <c r="DYC25" s="2851"/>
      <c r="DYD25" s="2850"/>
      <c r="DYE25" s="2846"/>
      <c r="DYF25" s="2851"/>
      <c r="DYG25" s="2850"/>
      <c r="DYH25" s="2846"/>
      <c r="DYI25" s="2851"/>
      <c r="DYJ25" s="2850"/>
      <c r="DYK25" s="2846"/>
      <c r="DYL25" s="2851"/>
      <c r="DYM25" s="2850"/>
      <c r="DYN25" s="2846"/>
      <c r="DYO25" s="2851"/>
      <c r="DYP25" s="2850"/>
      <c r="DYQ25" s="2846"/>
      <c r="DYR25" s="2851"/>
      <c r="DYS25" s="2850"/>
      <c r="DYT25" s="2846"/>
      <c r="DYU25" s="2851"/>
      <c r="DYV25" s="2850"/>
      <c r="DYW25" s="2846"/>
      <c r="DYX25" s="2851"/>
      <c r="DYY25" s="2850"/>
      <c r="DYZ25" s="2846"/>
      <c r="DZA25" s="2851"/>
      <c r="DZB25" s="2850"/>
      <c r="DZC25" s="2846"/>
      <c r="DZD25" s="2851"/>
      <c r="DZE25" s="2850"/>
      <c r="DZF25" s="2846"/>
      <c r="DZG25" s="2851"/>
      <c r="DZH25" s="2850"/>
      <c r="DZI25" s="2846"/>
      <c r="DZJ25" s="2851"/>
      <c r="DZK25" s="2850"/>
      <c r="DZL25" s="2846"/>
      <c r="DZM25" s="2851"/>
      <c r="DZN25" s="2850"/>
      <c r="DZO25" s="2846"/>
      <c r="DZP25" s="2851"/>
      <c r="DZQ25" s="2850"/>
      <c r="DZR25" s="2846"/>
      <c r="DZS25" s="2851"/>
      <c r="DZT25" s="2850"/>
      <c r="DZU25" s="2846"/>
      <c r="DZV25" s="2851"/>
      <c r="DZW25" s="2850"/>
      <c r="DZX25" s="2846"/>
      <c r="DZY25" s="2851"/>
      <c r="DZZ25" s="2850"/>
      <c r="EAA25" s="2846"/>
      <c r="EAB25" s="2851"/>
      <c r="EAC25" s="2850"/>
      <c r="EAD25" s="2846"/>
      <c r="EAE25" s="2851"/>
      <c r="EAF25" s="2850"/>
      <c r="EAG25" s="2846"/>
      <c r="EAH25" s="2851"/>
      <c r="EAI25" s="2850"/>
      <c r="EAJ25" s="2846"/>
      <c r="EAK25" s="2851"/>
      <c r="EAL25" s="2850"/>
      <c r="EAM25" s="2846"/>
      <c r="EAN25" s="2851"/>
      <c r="EAO25" s="2850"/>
      <c r="EAP25" s="2846"/>
      <c r="EAQ25" s="2851"/>
      <c r="EAR25" s="2850"/>
      <c r="EAS25" s="2846"/>
      <c r="EAT25" s="2851"/>
      <c r="EAU25" s="2850"/>
      <c r="EAV25" s="2846"/>
      <c r="EAW25" s="2851"/>
      <c r="EAX25" s="2850"/>
      <c r="EAY25" s="2846"/>
      <c r="EAZ25" s="2851"/>
      <c r="EBA25" s="2850"/>
      <c r="EBB25" s="2846"/>
      <c r="EBC25" s="2851"/>
      <c r="EBD25" s="2850"/>
      <c r="EBE25" s="2846"/>
      <c r="EBF25" s="2851"/>
      <c r="EBG25" s="2850"/>
      <c r="EBH25" s="2846"/>
      <c r="EBI25" s="2851"/>
      <c r="EBJ25" s="2850"/>
      <c r="EBK25" s="2846"/>
      <c r="EBL25" s="2851"/>
      <c r="EBM25" s="2850"/>
      <c r="EBN25" s="2846"/>
      <c r="EBO25" s="2851"/>
      <c r="EBP25" s="2850"/>
      <c r="EBQ25" s="2846"/>
      <c r="EBR25" s="2851"/>
      <c r="EBS25" s="2850"/>
      <c r="EBT25" s="2846"/>
      <c r="EBU25" s="2851"/>
      <c r="EBV25" s="2850"/>
      <c r="EBW25" s="2846"/>
      <c r="EBX25" s="2851"/>
      <c r="EBY25" s="2850"/>
      <c r="EBZ25" s="2846"/>
      <c r="ECA25" s="2851"/>
      <c r="ECB25" s="2850"/>
      <c r="ECC25" s="2846"/>
      <c r="ECD25" s="2851"/>
      <c r="ECE25" s="2850"/>
      <c r="ECF25" s="2846"/>
      <c r="ECG25" s="2851"/>
      <c r="ECH25" s="2850"/>
      <c r="ECI25" s="2846"/>
      <c r="ECJ25" s="2851"/>
      <c r="ECK25" s="2850"/>
      <c r="ECL25" s="2846"/>
      <c r="ECM25" s="2851"/>
      <c r="ECN25" s="2850"/>
      <c r="ECO25" s="2846"/>
      <c r="ECP25" s="2851"/>
      <c r="ECQ25" s="2850"/>
      <c r="ECR25" s="2846"/>
      <c r="ECS25" s="2851"/>
      <c r="ECT25" s="2850"/>
      <c r="ECU25" s="2846"/>
      <c r="ECV25" s="2851"/>
      <c r="ECW25" s="2850"/>
      <c r="ECX25" s="2846"/>
      <c r="ECY25" s="2851"/>
      <c r="ECZ25" s="2850"/>
      <c r="EDA25" s="2846"/>
      <c r="EDB25" s="2851"/>
      <c r="EDC25" s="2850"/>
      <c r="EDD25" s="2846"/>
      <c r="EDE25" s="2851"/>
      <c r="EDF25" s="2850"/>
      <c r="EDG25" s="2846"/>
      <c r="EDH25" s="2851"/>
      <c r="EDI25" s="2850"/>
      <c r="EDJ25" s="2846"/>
      <c r="EDK25" s="2851"/>
      <c r="EDL25" s="2850"/>
      <c r="EDM25" s="2846"/>
      <c r="EDN25" s="2851"/>
      <c r="EDO25" s="2850"/>
      <c r="EDP25" s="2846"/>
      <c r="EDQ25" s="2851"/>
      <c r="EDR25" s="2850"/>
      <c r="EDS25" s="2846"/>
      <c r="EDT25" s="2851"/>
      <c r="EDU25" s="2850"/>
      <c r="EDV25" s="2846"/>
      <c r="EDW25" s="2851"/>
      <c r="EDX25" s="2850"/>
      <c r="EDY25" s="2846"/>
      <c r="EDZ25" s="2851"/>
      <c r="EEA25" s="2850"/>
      <c r="EEB25" s="2846"/>
      <c r="EEC25" s="2851"/>
      <c r="EED25" s="2850"/>
      <c r="EEE25" s="2846"/>
      <c r="EEF25" s="2851"/>
      <c r="EEG25" s="2850"/>
      <c r="EEH25" s="2846"/>
      <c r="EEI25" s="2851"/>
      <c r="EEJ25" s="2850"/>
      <c r="EEK25" s="2846"/>
      <c r="EEL25" s="2851"/>
      <c r="EEM25" s="2850"/>
      <c r="EEN25" s="2846"/>
      <c r="EEO25" s="2851"/>
      <c r="EEP25" s="2850"/>
      <c r="EEQ25" s="2846"/>
      <c r="EER25" s="2851"/>
      <c r="EES25" s="2850"/>
      <c r="EET25" s="2846"/>
      <c r="EEU25" s="2851"/>
      <c r="EEV25" s="2850"/>
      <c r="EEW25" s="2846"/>
      <c r="EEX25" s="2851"/>
      <c r="EEY25" s="2850"/>
      <c r="EEZ25" s="2846"/>
      <c r="EFA25" s="2851"/>
      <c r="EFB25" s="2850"/>
      <c r="EFC25" s="2846"/>
      <c r="EFD25" s="2851"/>
      <c r="EFE25" s="2850"/>
      <c r="EFF25" s="2846"/>
      <c r="EFG25" s="2851"/>
      <c r="EFH25" s="2850"/>
      <c r="EFI25" s="2846"/>
      <c r="EFJ25" s="2851"/>
      <c r="EFK25" s="2850"/>
      <c r="EFL25" s="2846"/>
      <c r="EFM25" s="2851"/>
      <c r="EFN25" s="2850"/>
      <c r="EFO25" s="2846"/>
      <c r="EFP25" s="2851"/>
      <c r="EFQ25" s="2850"/>
      <c r="EFR25" s="2846"/>
      <c r="EFS25" s="2851"/>
      <c r="EFT25" s="2850"/>
      <c r="EFU25" s="2846"/>
      <c r="EFV25" s="2851"/>
      <c r="EFW25" s="2850"/>
      <c r="EFX25" s="2846"/>
      <c r="EFY25" s="2851"/>
      <c r="EFZ25" s="2850"/>
      <c r="EGA25" s="2846"/>
      <c r="EGB25" s="2851"/>
      <c r="EGC25" s="2850"/>
      <c r="EGD25" s="2846"/>
      <c r="EGE25" s="2851"/>
      <c r="EGF25" s="2850"/>
      <c r="EGG25" s="2846"/>
      <c r="EGH25" s="2851"/>
      <c r="EGI25" s="2850"/>
      <c r="EGJ25" s="2846"/>
      <c r="EGK25" s="2851"/>
      <c r="EGL25" s="2850"/>
      <c r="EGM25" s="2846"/>
      <c r="EGN25" s="2851"/>
      <c r="EGO25" s="2850"/>
      <c r="EGP25" s="2846"/>
      <c r="EGQ25" s="2851"/>
      <c r="EGR25" s="2850"/>
      <c r="EGS25" s="2846"/>
      <c r="EGT25" s="2851"/>
      <c r="EGU25" s="2850"/>
      <c r="EGV25" s="2846"/>
      <c r="EGW25" s="2851"/>
      <c r="EGX25" s="2850"/>
      <c r="EGY25" s="2846"/>
      <c r="EGZ25" s="2851"/>
      <c r="EHA25" s="2850"/>
      <c r="EHB25" s="2846"/>
      <c r="EHC25" s="2851"/>
      <c r="EHD25" s="2850"/>
      <c r="EHE25" s="2846"/>
      <c r="EHF25" s="2851"/>
      <c r="EHG25" s="2850"/>
      <c r="EHH25" s="2846"/>
      <c r="EHI25" s="2851"/>
      <c r="EHJ25" s="2850"/>
      <c r="EHK25" s="2846"/>
      <c r="EHL25" s="2851"/>
      <c r="EHM25" s="2850"/>
      <c r="EHN25" s="2846"/>
      <c r="EHO25" s="2851"/>
      <c r="EHP25" s="2850"/>
      <c r="EHQ25" s="2846"/>
      <c r="EHR25" s="2851"/>
      <c r="EHS25" s="2850"/>
      <c r="EHT25" s="2846"/>
      <c r="EHU25" s="2851"/>
      <c r="EHV25" s="2850"/>
      <c r="EHW25" s="2846"/>
      <c r="EHX25" s="2851"/>
      <c r="EHY25" s="2850"/>
      <c r="EHZ25" s="2846"/>
      <c r="EIA25" s="2851"/>
      <c r="EIB25" s="2850"/>
      <c r="EIC25" s="2846"/>
      <c r="EID25" s="2851"/>
      <c r="EIE25" s="2850"/>
      <c r="EIF25" s="2846"/>
      <c r="EIG25" s="2851"/>
      <c r="EIH25" s="2850"/>
      <c r="EII25" s="2846"/>
      <c r="EIJ25" s="2851"/>
      <c r="EIK25" s="2850"/>
      <c r="EIL25" s="2846"/>
      <c r="EIM25" s="2851"/>
      <c r="EIN25" s="2850"/>
      <c r="EIO25" s="2846"/>
      <c r="EIP25" s="2851"/>
      <c r="EIQ25" s="2850"/>
      <c r="EIR25" s="2846"/>
      <c r="EIS25" s="2851"/>
      <c r="EIT25" s="2850"/>
      <c r="EIU25" s="2846"/>
      <c r="EIV25" s="2851"/>
      <c r="EIW25" s="2850"/>
      <c r="EIX25" s="2846"/>
      <c r="EIY25" s="2851"/>
      <c r="EIZ25" s="2850"/>
      <c r="EJA25" s="2846"/>
      <c r="EJB25" s="2851"/>
      <c r="EJC25" s="2850"/>
      <c r="EJD25" s="2846"/>
      <c r="EJE25" s="2851"/>
      <c r="EJF25" s="2850"/>
      <c r="EJG25" s="2846"/>
      <c r="EJH25" s="2851"/>
      <c r="EJI25" s="2850"/>
      <c r="EJJ25" s="2846"/>
      <c r="EJK25" s="2851"/>
      <c r="EJL25" s="2850"/>
      <c r="EJM25" s="2846"/>
      <c r="EJN25" s="2851"/>
      <c r="EJO25" s="2850"/>
      <c r="EJP25" s="2846"/>
      <c r="EJQ25" s="2851"/>
      <c r="EJR25" s="2850"/>
      <c r="EJS25" s="2846"/>
      <c r="EJT25" s="2851"/>
      <c r="EJU25" s="2850"/>
      <c r="EJV25" s="2846"/>
      <c r="EJW25" s="2851"/>
      <c r="EJX25" s="2850"/>
      <c r="EJY25" s="2846"/>
      <c r="EJZ25" s="2851"/>
      <c r="EKA25" s="2850"/>
      <c r="EKB25" s="2846"/>
      <c r="EKC25" s="2851"/>
      <c r="EKD25" s="2850"/>
      <c r="EKE25" s="2846"/>
      <c r="EKF25" s="2851"/>
      <c r="EKG25" s="2850"/>
      <c r="EKH25" s="2846"/>
      <c r="EKI25" s="2851"/>
      <c r="EKJ25" s="2850"/>
      <c r="EKK25" s="2846"/>
      <c r="EKL25" s="2851"/>
      <c r="EKM25" s="2850"/>
      <c r="EKN25" s="2846"/>
      <c r="EKO25" s="2851"/>
      <c r="EKP25" s="2850"/>
      <c r="EKQ25" s="2846"/>
      <c r="EKR25" s="2851"/>
      <c r="EKS25" s="2850"/>
      <c r="EKT25" s="2846"/>
      <c r="EKU25" s="2851"/>
      <c r="EKV25" s="2850"/>
      <c r="EKW25" s="2846"/>
      <c r="EKX25" s="2851"/>
      <c r="EKY25" s="2850"/>
      <c r="EKZ25" s="2846"/>
      <c r="ELA25" s="2851"/>
      <c r="ELB25" s="2850"/>
      <c r="ELC25" s="2846"/>
      <c r="ELD25" s="2851"/>
      <c r="ELE25" s="2850"/>
      <c r="ELF25" s="2846"/>
      <c r="ELG25" s="2851"/>
      <c r="ELH25" s="2850"/>
      <c r="ELI25" s="2846"/>
      <c r="ELJ25" s="2851"/>
      <c r="ELK25" s="2850"/>
      <c r="ELL25" s="2846"/>
      <c r="ELM25" s="2851"/>
      <c r="ELN25" s="2850"/>
      <c r="ELO25" s="2846"/>
      <c r="ELP25" s="2851"/>
      <c r="ELQ25" s="2850"/>
      <c r="ELR25" s="2846"/>
      <c r="ELS25" s="2851"/>
      <c r="ELT25" s="2850"/>
      <c r="ELU25" s="2846"/>
      <c r="ELV25" s="2851"/>
      <c r="ELW25" s="2850"/>
      <c r="ELX25" s="2846"/>
      <c r="ELY25" s="2851"/>
      <c r="ELZ25" s="2850"/>
      <c r="EMA25" s="2846"/>
      <c r="EMB25" s="2851"/>
      <c r="EMC25" s="2850"/>
      <c r="EMD25" s="2846"/>
      <c r="EME25" s="2851"/>
      <c r="EMF25" s="2850"/>
      <c r="EMG25" s="2846"/>
      <c r="EMH25" s="2851"/>
      <c r="EMI25" s="2850"/>
      <c r="EMJ25" s="2846"/>
      <c r="EMK25" s="2851"/>
      <c r="EML25" s="2850"/>
      <c r="EMM25" s="2846"/>
      <c r="EMN25" s="2851"/>
      <c r="EMO25" s="2850"/>
      <c r="EMP25" s="2846"/>
      <c r="EMQ25" s="2851"/>
      <c r="EMR25" s="2850"/>
      <c r="EMS25" s="2846"/>
      <c r="EMT25" s="2851"/>
      <c r="EMU25" s="2850"/>
      <c r="EMV25" s="2846"/>
      <c r="EMW25" s="2851"/>
      <c r="EMX25" s="2850"/>
      <c r="EMY25" s="2846"/>
      <c r="EMZ25" s="2851"/>
      <c r="ENA25" s="2850"/>
      <c r="ENB25" s="2846"/>
      <c r="ENC25" s="2851"/>
      <c r="END25" s="2850"/>
      <c r="ENE25" s="2846"/>
      <c r="ENF25" s="2851"/>
      <c r="ENG25" s="2850"/>
      <c r="ENH25" s="2846"/>
      <c r="ENI25" s="2851"/>
      <c r="ENJ25" s="2850"/>
      <c r="ENK25" s="2846"/>
      <c r="ENL25" s="2851"/>
      <c r="ENM25" s="2850"/>
      <c r="ENN25" s="2846"/>
      <c r="ENO25" s="2851"/>
      <c r="ENP25" s="2850"/>
      <c r="ENQ25" s="2846"/>
      <c r="ENR25" s="2851"/>
      <c r="ENS25" s="2850"/>
      <c r="ENT25" s="2846"/>
      <c r="ENU25" s="2851"/>
      <c r="ENV25" s="2850"/>
      <c r="ENW25" s="2846"/>
      <c r="ENX25" s="2851"/>
      <c r="ENY25" s="2850"/>
      <c r="ENZ25" s="2846"/>
      <c r="EOA25" s="2851"/>
      <c r="EOB25" s="2850"/>
      <c r="EOC25" s="2846"/>
      <c r="EOD25" s="2851"/>
      <c r="EOE25" s="2850"/>
      <c r="EOF25" s="2846"/>
      <c r="EOG25" s="2851"/>
      <c r="EOH25" s="2850"/>
      <c r="EOI25" s="2846"/>
      <c r="EOJ25" s="2851"/>
      <c r="EOK25" s="2850"/>
      <c r="EOL25" s="2846"/>
      <c r="EOM25" s="2851"/>
      <c r="EON25" s="2850"/>
      <c r="EOO25" s="2846"/>
      <c r="EOP25" s="2851"/>
      <c r="EOQ25" s="2850"/>
      <c r="EOR25" s="2846"/>
      <c r="EOS25" s="2851"/>
      <c r="EOT25" s="2850"/>
      <c r="EOU25" s="2846"/>
      <c r="EOV25" s="2851"/>
      <c r="EOW25" s="2850"/>
      <c r="EOX25" s="2846"/>
      <c r="EOY25" s="2851"/>
      <c r="EOZ25" s="2850"/>
      <c r="EPA25" s="2846"/>
      <c r="EPB25" s="2851"/>
      <c r="EPC25" s="2850"/>
      <c r="EPD25" s="2846"/>
      <c r="EPE25" s="2851"/>
      <c r="EPF25" s="2850"/>
      <c r="EPG25" s="2846"/>
      <c r="EPH25" s="2851"/>
      <c r="EPI25" s="2850"/>
      <c r="EPJ25" s="2846"/>
      <c r="EPK25" s="2851"/>
      <c r="EPL25" s="2850"/>
      <c r="EPM25" s="2846"/>
      <c r="EPN25" s="2851"/>
      <c r="EPO25" s="2850"/>
      <c r="EPP25" s="2846"/>
      <c r="EPQ25" s="2851"/>
      <c r="EPR25" s="2850"/>
      <c r="EPS25" s="2846"/>
      <c r="EPT25" s="2851"/>
      <c r="EPU25" s="2850"/>
      <c r="EPV25" s="2846"/>
      <c r="EPW25" s="2851"/>
      <c r="EPX25" s="2850"/>
      <c r="EPY25" s="2846"/>
      <c r="EPZ25" s="2851"/>
      <c r="EQA25" s="2850"/>
      <c r="EQB25" s="2846"/>
      <c r="EQC25" s="2851"/>
      <c r="EQD25" s="2850"/>
      <c r="EQE25" s="2846"/>
      <c r="EQF25" s="2851"/>
      <c r="EQG25" s="2850"/>
      <c r="EQH25" s="2846"/>
      <c r="EQI25" s="2851"/>
      <c r="EQJ25" s="2850"/>
      <c r="EQK25" s="2846"/>
      <c r="EQL25" s="2851"/>
      <c r="EQM25" s="2850"/>
      <c r="EQN25" s="2846"/>
      <c r="EQO25" s="2851"/>
      <c r="EQP25" s="2850"/>
      <c r="EQQ25" s="2846"/>
      <c r="EQR25" s="2851"/>
      <c r="EQS25" s="2850"/>
      <c r="EQT25" s="2846"/>
      <c r="EQU25" s="2851"/>
      <c r="EQV25" s="2850"/>
      <c r="EQW25" s="2846"/>
      <c r="EQX25" s="2851"/>
      <c r="EQY25" s="2850"/>
      <c r="EQZ25" s="2846"/>
      <c r="ERA25" s="2851"/>
      <c r="ERB25" s="2850"/>
      <c r="ERC25" s="2846"/>
      <c r="ERD25" s="2851"/>
      <c r="ERE25" s="2850"/>
      <c r="ERF25" s="2846"/>
      <c r="ERG25" s="2851"/>
      <c r="ERH25" s="2850"/>
      <c r="ERI25" s="2846"/>
      <c r="ERJ25" s="2851"/>
      <c r="ERK25" s="2850"/>
      <c r="ERL25" s="2846"/>
      <c r="ERM25" s="2851"/>
      <c r="ERN25" s="2850"/>
      <c r="ERO25" s="2846"/>
      <c r="ERP25" s="2851"/>
      <c r="ERQ25" s="2850"/>
      <c r="ERR25" s="2846"/>
      <c r="ERS25" s="2851"/>
      <c r="ERT25" s="2850"/>
      <c r="ERU25" s="2846"/>
      <c r="ERV25" s="2851"/>
      <c r="ERW25" s="2850"/>
      <c r="ERX25" s="2846"/>
      <c r="ERY25" s="2851"/>
      <c r="ERZ25" s="2850"/>
      <c r="ESA25" s="2846"/>
      <c r="ESB25" s="2851"/>
      <c r="ESC25" s="2850"/>
      <c r="ESD25" s="2846"/>
      <c r="ESE25" s="2851"/>
      <c r="ESF25" s="2850"/>
      <c r="ESG25" s="2846"/>
      <c r="ESH25" s="2851"/>
      <c r="ESI25" s="2850"/>
      <c r="ESJ25" s="2846"/>
      <c r="ESK25" s="2851"/>
      <c r="ESL25" s="2850"/>
      <c r="ESM25" s="2846"/>
      <c r="ESN25" s="2851"/>
      <c r="ESO25" s="2850"/>
      <c r="ESP25" s="2846"/>
      <c r="ESQ25" s="2851"/>
      <c r="ESR25" s="2850"/>
      <c r="ESS25" s="2846"/>
      <c r="EST25" s="2851"/>
      <c r="ESU25" s="2850"/>
      <c r="ESV25" s="2846"/>
      <c r="ESW25" s="2851"/>
      <c r="ESX25" s="2850"/>
      <c r="ESY25" s="2846"/>
      <c r="ESZ25" s="2851"/>
      <c r="ETA25" s="2850"/>
      <c r="ETB25" s="2846"/>
      <c r="ETC25" s="2851"/>
      <c r="ETD25" s="2850"/>
      <c r="ETE25" s="2846"/>
      <c r="ETF25" s="2851"/>
      <c r="ETG25" s="2850"/>
      <c r="ETH25" s="2846"/>
      <c r="ETI25" s="2851"/>
      <c r="ETJ25" s="2850"/>
      <c r="ETK25" s="2846"/>
      <c r="ETL25" s="2851"/>
      <c r="ETM25" s="2850"/>
      <c r="ETN25" s="2846"/>
      <c r="ETO25" s="2851"/>
      <c r="ETP25" s="2850"/>
      <c r="ETQ25" s="2846"/>
      <c r="ETR25" s="2851"/>
      <c r="ETS25" s="2850"/>
      <c r="ETT25" s="2846"/>
      <c r="ETU25" s="2851"/>
      <c r="ETV25" s="2850"/>
      <c r="ETW25" s="2846"/>
      <c r="ETX25" s="2851"/>
      <c r="ETY25" s="2850"/>
      <c r="ETZ25" s="2846"/>
      <c r="EUA25" s="2851"/>
      <c r="EUB25" s="2850"/>
      <c r="EUC25" s="2846"/>
      <c r="EUD25" s="2851"/>
      <c r="EUE25" s="2850"/>
      <c r="EUF25" s="2846"/>
      <c r="EUG25" s="2851"/>
      <c r="EUH25" s="2850"/>
      <c r="EUI25" s="2846"/>
      <c r="EUJ25" s="2851"/>
      <c r="EUK25" s="2850"/>
      <c r="EUL25" s="2846"/>
      <c r="EUM25" s="2851"/>
      <c r="EUN25" s="2850"/>
      <c r="EUO25" s="2846"/>
      <c r="EUP25" s="2851"/>
      <c r="EUQ25" s="2850"/>
      <c r="EUR25" s="2846"/>
      <c r="EUS25" s="2851"/>
      <c r="EUT25" s="2850"/>
      <c r="EUU25" s="2846"/>
      <c r="EUV25" s="2851"/>
      <c r="EUW25" s="2850"/>
      <c r="EUX25" s="2846"/>
      <c r="EUY25" s="2851"/>
      <c r="EUZ25" s="2850"/>
      <c r="EVA25" s="2846"/>
      <c r="EVB25" s="2851"/>
      <c r="EVC25" s="2850"/>
      <c r="EVD25" s="2846"/>
      <c r="EVE25" s="2851"/>
      <c r="EVF25" s="2850"/>
      <c r="EVG25" s="2846"/>
      <c r="EVH25" s="2851"/>
      <c r="EVI25" s="2850"/>
      <c r="EVJ25" s="2846"/>
      <c r="EVK25" s="2851"/>
      <c r="EVL25" s="2850"/>
      <c r="EVM25" s="2846"/>
      <c r="EVN25" s="2851"/>
      <c r="EVO25" s="2850"/>
      <c r="EVP25" s="2846"/>
      <c r="EVQ25" s="2851"/>
      <c r="EVR25" s="2850"/>
      <c r="EVS25" s="2846"/>
      <c r="EVT25" s="2851"/>
      <c r="EVU25" s="2850"/>
      <c r="EVV25" s="2846"/>
      <c r="EVW25" s="2851"/>
      <c r="EVX25" s="2850"/>
      <c r="EVY25" s="2846"/>
      <c r="EVZ25" s="2851"/>
      <c r="EWA25" s="2850"/>
      <c r="EWB25" s="2846"/>
      <c r="EWC25" s="2851"/>
      <c r="EWD25" s="2850"/>
      <c r="EWE25" s="2846"/>
      <c r="EWF25" s="2851"/>
      <c r="EWG25" s="2850"/>
      <c r="EWH25" s="2846"/>
      <c r="EWI25" s="2851"/>
      <c r="EWJ25" s="2850"/>
      <c r="EWK25" s="2846"/>
      <c r="EWL25" s="2851"/>
      <c r="EWM25" s="2850"/>
      <c r="EWN25" s="2846"/>
      <c r="EWO25" s="2851"/>
      <c r="EWP25" s="2850"/>
      <c r="EWQ25" s="2846"/>
      <c r="EWR25" s="2851"/>
      <c r="EWS25" s="2850"/>
      <c r="EWT25" s="2846"/>
      <c r="EWU25" s="2851"/>
      <c r="EWV25" s="2850"/>
      <c r="EWW25" s="2846"/>
      <c r="EWX25" s="2851"/>
      <c r="EWY25" s="2850"/>
      <c r="EWZ25" s="2846"/>
      <c r="EXA25" s="2851"/>
      <c r="EXB25" s="2850"/>
      <c r="EXC25" s="2846"/>
      <c r="EXD25" s="2851"/>
      <c r="EXE25" s="2850"/>
      <c r="EXF25" s="2846"/>
      <c r="EXG25" s="2851"/>
      <c r="EXH25" s="2850"/>
      <c r="EXI25" s="2846"/>
      <c r="EXJ25" s="2851"/>
      <c r="EXK25" s="2850"/>
      <c r="EXL25" s="2846"/>
      <c r="EXM25" s="2851"/>
      <c r="EXN25" s="2850"/>
      <c r="EXO25" s="2846"/>
      <c r="EXP25" s="2851"/>
      <c r="EXQ25" s="2850"/>
      <c r="EXR25" s="2846"/>
      <c r="EXS25" s="2851"/>
      <c r="EXT25" s="2850"/>
      <c r="EXU25" s="2846"/>
      <c r="EXV25" s="2851"/>
      <c r="EXW25" s="2850"/>
      <c r="EXX25" s="2846"/>
      <c r="EXY25" s="2851"/>
      <c r="EXZ25" s="2850"/>
      <c r="EYA25" s="2846"/>
      <c r="EYB25" s="2851"/>
      <c r="EYC25" s="2850"/>
      <c r="EYD25" s="2846"/>
      <c r="EYE25" s="2851"/>
      <c r="EYF25" s="2850"/>
      <c r="EYG25" s="2846"/>
      <c r="EYH25" s="2851"/>
      <c r="EYI25" s="2850"/>
      <c r="EYJ25" s="2846"/>
      <c r="EYK25" s="2851"/>
      <c r="EYL25" s="2850"/>
      <c r="EYM25" s="2846"/>
      <c r="EYN25" s="2851"/>
      <c r="EYO25" s="2850"/>
      <c r="EYP25" s="2846"/>
      <c r="EYQ25" s="2851"/>
      <c r="EYR25" s="2850"/>
      <c r="EYS25" s="2846"/>
      <c r="EYT25" s="2851"/>
      <c r="EYU25" s="2850"/>
      <c r="EYV25" s="2846"/>
      <c r="EYW25" s="2851"/>
      <c r="EYX25" s="2850"/>
      <c r="EYY25" s="2846"/>
      <c r="EYZ25" s="2851"/>
      <c r="EZA25" s="2850"/>
      <c r="EZB25" s="2846"/>
      <c r="EZC25" s="2851"/>
      <c r="EZD25" s="2850"/>
      <c r="EZE25" s="2846"/>
      <c r="EZF25" s="2851"/>
      <c r="EZG25" s="2850"/>
      <c r="EZH25" s="2846"/>
      <c r="EZI25" s="2851"/>
      <c r="EZJ25" s="2850"/>
      <c r="EZK25" s="2846"/>
      <c r="EZL25" s="2851"/>
      <c r="EZM25" s="2850"/>
      <c r="EZN25" s="2846"/>
      <c r="EZO25" s="2851"/>
      <c r="EZP25" s="2850"/>
      <c r="EZQ25" s="2846"/>
      <c r="EZR25" s="2851"/>
      <c r="EZS25" s="2850"/>
      <c r="EZT25" s="2846"/>
      <c r="EZU25" s="2851"/>
      <c r="EZV25" s="2850"/>
      <c r="EZW25" s="2846"/>
      <c r="EZX25" s="2851"/>
      <c r="EZY25" s="2850"/>
      <c r="EZZ25" s="2846"/>
      <c r="FAA25" s="2851"/>
      <c r="FAB25" s="2850"/>
      <c r="FAC25" s="2846"/>
      <c r="FAD25" s="2851"/>
      <c r="FAE25" s="2850"/>
      <c r="FAF25" s="2846"/>
      <c r="FAG25" s="2851"/>
      <c r="FAH25" s="2850"/>
      <c r="FAI25" s="2846"/>
      <c r="FAJ25" s="2851"/>
      <c r="FAK25" s="2850"/>
      <c r="FAL25" s="2846"/>
      <c r="FAM25" s="2851"/>
      <c r="FAN25" s="2850"/>
      <c r="FAO25" s="2846"/>
      <c r="FAP25" s="2851"/>
      <c r="FAQ25" s="2850"/>
      <c r="FAR25" s="2846"/>
      <c r="FAS25" s="2851"/>
      <c r="FAT25" s="2850"/>
      <c r="FAU25" s="2846"/>
      <c r="FAV25" s="2851"/>
      <c r="FAW25" s="2850"/>
      <c r="FAX25" s="2846"/>
      <c r="FAY25" s="2851"/>
      <c r="FAZ25" s="2850"/>
      <c r="FBA25" s="2846"/>
      <c r="FBB25" s="2851"/>
      <c r="FBC25" s="2850"/>
      <c r="FBD25" s="2846"/>
      <c r="FBE25" s="2851"/>
      <c r="FBF25" s="2850"/>
      <c r="FBG25" s="2846"/>
      <c r="FBH25" s="2851"/>
      <c r="FBI25" s="2850"/>
      <c r="FBJ25" s="2846"/>
      <c r="FBK25" s="2851"/>
      <c r="FBL25" s="2850"/>
      <c r="FBM25" s="2846"/>
      <c r="FBN25" s="2851"/>
      <c r="FBO25" s="2850"/>
      <c r="FBP25" s="2846"/>
      <c r="FBQ25" s="2851"/>
      <c r="FBR25" s="2850"/>
      <c r="FBS25" s="2846"/>
      <c r="FBT25" s="2851"/>
      <c r="FBU25" s="2850"/>
      <c r="FBV25" s="2846"/>
      <c r="FBW25" s="2851"/>
      <c r="FBX25" s="2850"/>
      <c r="FBY25" s="2846"/>
      <c r="FBZ25" s="2851"/>
      <c r="FCA25" s="2850"/>
      <c r="FCB25" s="2846"/>
      <c r="FCC25" s="2851"/>
      <c r="FCD25" s="2850"/>
      <c r="FCE25" s="2846"/>
      <c r="FCF25" s="2851"/>
      <c r="FCG25" s="2850"/>
      <c r="FCH25" s="2846"/>
      <c r="FCI25" s="2851"/>
      <c r="FCJ25" s="2850"/>
      <c r="FCK25" s="2846"/>
      <c r="FCL25" s="2851"/>
      <c r="FCM25" s="2850"/>
      <c r="FCN25" s="2846"/>
      <c r="FCO25" s="2851"/>
      <c r="FCP25" s="2850"/>
      <c r="FCQ25" s="2846"/>
      <c r="FCR25" s="2851"/>
      <c r="FCS25" s="2850"/>
      <c r="FCT25" s="2846"/>
      <c r="FCU25" s="2851"/>
      <c r="FCV25" s="2850"/>
      <c r="FCW25" s="2846"/>
      <c r="FCX25" s="2851"/>
      <c r="FCY25" s="2850"/>
      <c r="FCZ25" s="2846"/>
      <c r="FDA25" s="2851"/>
      <c r="FDB25" s="2850"/>
      <c r="FDC25" s="2846"/>
      <c r="FDD25" s="2851"/>
      <c r="FDE25" s="2850"/>
      <c r="FDF25" s="2846"/>
      <c r="FDG25" s="2851"/>
      <c r="FDH25" s="2850"/>
      <c r="FDI25" s="2846"/>
      <c r="FDJ25" s="2851"/>
      <c r="FDK25" s="2850"/>
      <c r="FDL25" s="2846"/>
      <c r="FDM25" s="2851"/>
      <c r="FDN25" s="2850"/>
      <c r="FDO25" s="2846"/>
      <c r="FDP25" s="2851"/>
      <c r="FDQ25" s="2850"/>
      <c r="FDR25" s="2846"/>
      <c r="FDS25" s="2851"/>
      <c r="FDT25" s="2850"/>
      <c r="FDU25" s="2846"/>
      <c r="FDV25" s="2851"/>
      <c r="FDW25" s="2850"/>
      <c r="FDX25" s="2846"/>
      <c r="FDY25" s="2851"/>
      <c r="FDZ25" s="2850"/>
      <c r="FEA25" s="2846"/>
      <c r="FEB25" s="2851"/>
      <c r="FEC25" s="2850"/>
      <c r="FED25" s="2846"/>
      <c r="FEE25" s="2851"/>
      <c r="FEF25" s="2850"/>
      <c r="FEG25" s="2846"/>
      <c r="FEH25" s="2851"/>
      <c r="FEI25" s="2850"/>
      <c r="FEJ25" s="2846"/>
      <c r="FEK25" s="2851"/>
      <c r="FEL25" s="2850"/>
      <c r="FEM25" s="2846"/>
      <c r="FEN25" s="2851"/>
      <c r="FEO25" s="2850"/>
      <c r="FEP25" s="2846"/>
      <c r="FEQ25" s="2851"/>
      <c r="FER25" s="2850"/>
      <c r="FES25" s="2846"/>
      <c r="FET25" s="2851"/>
      <c r="FEU25" s="2850"/>
      <c r="FEV25" s="2846"/>
      <c r="FEW25" s="2851"/>
      <c r="FEX25" s="2850"/>
      <c r="FEY25" s="2846"/>
      <c r="FEZ25" s="2851"/>
      <c r="FFA25" s="2850"/>
      <c r="FFB25" s="2846"/>
      <c r="FFC25" s="2851"/>
      <c r="FFD25" s="2850"/>
      <c r="FFE25" s="2846"/>
      <c r="FFF25" s="2851"/>
      <c r="FFG25" s="2850"/>
      <c r="FFH25" s="2846"/>
      <c r="FFI25" s="2851"/>
      <c r="FFJ25" s="2850"/>
      <c r="FFK25" s="2846"/>
      <c r="FFL25" s="2851"/>
      <c r="FFM25" s="2850"/>
      <c r="FFN25" s="2846"/>
      <c r="FFO25" s="2851"/>
      <c r="FFP25" s="2850"/>
      <c r="FFQ25" s="2846"/>
      <c r="FFR25" s="2851"/>
      <c r="FFS25" s="2850"/>
      <c r="FFT25" s="2846"/>
      <c r="FFU25" s="2851"/>
      <c r="FFV25" s="2850"/>
      <c r="FFW25" s="2846"/>
      <c r="FFX25" s="2851"/>
      <c r="FFY25" s="2850"/>
      <c r="FFZ25" s="2846"/>
      <c r="FGA25" s="2851"/>
      <c r="FGB25" s="2850"/>
      <c r="FGC25" s="2846"/>
      <c r="FGD25" s="2851"/>
      <c r="FGE25" s="2850"/>
      <c r="FGF25" s="2846"/>
      <c r="FGG25" s="2851"/>
      <c r="FGH25" s="2850"/>
      <c r="FGI25" s="2846"/>
      <c r="FGJ25" s="2851"/>
      <c r="FGK25" s="2850"/>
      <c r="FGL25" s="2846"/>
      <c r="FGM25" s="2851"/>
      <c r="FGN25" s="2850"/>
      <c r="FGO25" s="2846"/>
      <c r="FGP25" s="2851"/>
      <c r="FGQ25" s="2850"/>
      <c r="FGR25" s="2846"/>
      <c r="FGS25" s="2851"/>
      <c r="FGT25" s="2850"/>
      <c r="FGU25" s="2846"/>
      <c r="FGV25" s="2851"/>
      <c r="FGW25" s="2850"/>
      <c r="FGX25" s="2846"/>
      <c r="FGY25" s="2851"/>
      <c r="FGZ25" s="2850"/>
      <c r="FHA25" s="2846"/>
      <c r="FHB25" s="2851"/>
      <c r="FHC25" s="2850"/>
      <c r="FHD25" s="2846"/>
      <c r="FHE25" s="2851"/>
      <c r="FHF25" s="2850"/>
      <c r="FHG25" s="2846"/>
      <c r="FHH25" s="2851"/>
      <c r="FHI25" s="2850"/>
      <c r="FHJ25" s="2846"/>
      <c r="FHK25" s="2851"/>
      <c r="FHL25" s="2850"/>
      <c r="FHM25" s="2846"/>
      <c r="FHN25" s="2851"/>
      <c r="FHO25" s="2850"/>
      <c r="FHP25" s="2846"/>
      <c r="FHQ25" s="2851"/>
      <c r="FHR25" s="2850"/>
      <c r="FHS25" s="2846"/>
      <c r="FHT25" s="2851"/>
      <c r="FHU25" s="2850"/>
      <c r="FHV25" s="2846"/>
      <c r="FHW25" s="2851"/>
      <c r="FHX25" s="2850"/>
      <c r="FHY25" s="2846"/>
      <c r="FHZ25" s="2851"/>
      <c r="FIA25" s="2850"/>
      <c r="FIB25" s="2846"/>
      <c r="FIC25" s="2851"/>
      <c r="FID25" s="2850"/>
      <c r="FIE25" s="2846"/>
      <c r="FIF25" s="2851"/>
      <c r="FIG25" s="2850"/>
      <c r="FIH25" s="2846"/>
      <c r="FII25" s="2851"/>
      <c r="FIJ25" s="2850"/>
      <c r="FIK25" s="2846"/>
      <c r="FIL25" s="2851"/>
      <c r="FIM25" s="2850"/>
      <c r="FIN25" s="2846"/>
      <c r="FIO25" s="2851"/>
      <c r="FIP25" s="2850"/>
      <c r="FIQ25" s="2846"/>
      <c r="FIR25" s="2851"/>
      <c r="FIS25" s="2850"/>
      <c r="FIT25" s="2846"/>
      <c r="FIU25" s="2851"/>
      <c r="FIV25" s="2850"/>
      <c r="FIW25" s="2846"/>
      <c r="FIX25" s="2851"/>
      <c r="FIY25" s="2850"/>
      <c r="FIZ25" s="2846"/>
      <c r="FJA25" s="2851"/>
      <c r="FJB25" s="2850"/>
      <c r="FJC25" s="2846"/>
      <c r="FJD25" s="2851"/>
      <c r="FJE25" s="2850"/>
      <c r="FJF25" s="2846"/>
      <c r="FJG25" s="2851"/>
      <c r="FJH25" s="2850"/>
      <c r="FJI25" s="2846"/>
      <c r="FJJ25" s="2851"/>
      <c r="FJK25" s="2850"/>
      <c r="FJL25" s="2846"/>
      <c r="FJM25" s="2851"/>
      <c r="FJN25" s="2850"/>
      <c r="FJO25" s="2846"/>
      <c r="FJP25" s="2851"/>
      <c r="FJQ25" s="2850"/>
      <c r="FJR25" s="2846"/>
      <c r="FJS25" s="2851"/>
      <c r="FJT25" s="2850"/>
      <c r="FJU25" s="2846"/>
      <c r="FJV25" s="2851"/>
      <c r="FJW25" s="2850"/>
      <c r="FJX25" s="2846"/>
      <c r="FJY25" s="2851"/>
      <c r="FJZ25" s="2850"/>
      <c r="FKA25" s="2846"/>
      <c r="FKB25" s="2851"/>
      <c r="FKC25" s="2850"/>
      <c r="FKD25" s="2846"/>
      <c r="FKE25" s="2851"/>
      <c r="FKF25" s="2850"/>
      <c r="FKG25" s="2846"/>
      <c r="FKH25" s="2851"/>
      <c r="FKI25" s="2850"/>
      <c r="FKJ25" s="2846"/>
      <c r="FKK25" s="2851"/>
      <c r="FKL25" s="2850"/>
      <c r="FKM25" s="2846"/>
      <c r="FKN25" s="2851"/>
      <c r="FKO25" s="2850"/>
      <c r="FKP25" s="2846"/>
      <c r="FKQ25" s="2851"/>
      <c r="FKR25" s="2850"/>
      <c r="FKS25" s="2846"/>
      <c r="FKT25" s="2851"/>
      <c r="FKU25" s="2850"/>
      <c r="FKV25" s="2846"/>
      <c r="FKW25" s="2851"/>
      <c r="FKX25" s="2850"/>
      <c r="FKY25" s="2846"/>
      <c r="FKZ25" s="2851"/>
      <c r="FLA25" s="2850"/>
      <c r="FLB25" s="2846"/>
      <c r="FLC25" s="2851"/>
      <c r="FLD25" s="2850"/>
      <c r="FLE25" s="2846"/>
      <c r="FLF25" s="2851"/>
      <c r="FLG25" s="2850"/>
      <c r="FLH25" s="2846"/>
      <c r="FLI25" s="2851"/>
      <c r="FLJ25" s="2850"/>
      <c r="FLK25" s="2846"/>
      <c r="FLL25" s="2851"/>
      <c r="FLM25" s="2850"/>
      <c r="FLN25" s="2846"/>
      <c r="FLO25" s="2851"/>
      <c r="FLP25" s="2850"/>
      <c r="FLQ25" s="2846"/>
      <c r="FLR25" s="2851"/>
      <c r="FLS25" s="2850"/>
      <c r="FLT25" s="2846"/>
      <c r="FLU25" s="2851"/>
      <c r="FLV25" s="2850"/>
      <c r="FLW25" s="2846"/>
      <c r="FLX25" s="2851"/>
      <c r="FLY25" s="2850"/>
      <c r="FLZ25" s="2846"/>
      <c r="FMA25" s="2851"/>
      <c r="FMB25" s="2850"/>
      <c r="FMC25" s="2846"/>
      <c r="FMD25" s="2851"/>
      <c r="FME25" s="2850"/>
      <c r="FMF25" s="2846"/>
      <c r="FMG25" s="2851"/>
      <c r="FMH25" s="2850"/>
      <c r="FMI25" s="2846"/>
      <c r="FMJ25" s="2851"/>
      <c r="FMK25" s="2850"/>
      <c r="FML25" s="2846"/>
      <c r="FMM25" s="2851"/>
      <c r="FMN25" s="2850"/>
      <c r="FMO25" s="2846"/>
      <c r="FMP25" s="2851"/>
      <c r="FMQ25" s="2850"/>
      <c r="FMR25" s="2846"/>
      <c r="FMS25" s="2851"/>
      <c r="FMT25" s="2850"/>
      <c r="FMU25" s="2846"/>
      <c r="FMV25" s="2851"/>
      <c r="FMW25" s="2850"/>
      <c r="FMX25" s="2846"/>
      <c r="FMY25" s="2851"/>
      <c r="FMZ25" s="2850"/>
      <c r="FNA25" s="2846"/>
      <c r="FNB25" s="2851"/>
      <c r="FNC25" s="2850"/>
      <c r="FND25" s="2846"/>
      <c r="FNE25" s="2851"/>
      <c r="FNF25" s="2850"/>
      <c r="FNG25" s="2846"/>
      <c r="FNH25" s="2851"/>
      <c r="FNI25" s="2850"/>
      <c r="FNJ25" s="2846"/>
      <c r="FNK25" s="2851"/>
      <c r="FNL25" s="2850"/>
      <c r="FNM25" s="2846"/>
      <c r="FNN25" s="2851"/>
      <c r="FNO25" s="2850"/>
      <c r="FNP25" s="2846"/>
      <c r="FNQ25" s="2851"/>
      <c r="FNR25" s="2850"/>
      <c r="FNS25" s="2846"/>
      <c r="FNT25" s="2851"/>
      <c r="FNU25" s="2850"/>
      <c r="FNV25" s="2846"/>
      <c r="FNW25" s="2851"/>
      <c r="FNX25" s="2850"/>
      <c r="FNY25" s="2846"/>
      <c r="FNZ25" s="2851"/>
      <c r="FOA25" s="2850"/>
      <c r="FOB25" s="2846"/>
      <c r="FOC25" s="2851"/>
      <c r="FOD25" s="2850"/>
      <c r="FOE25" s="2846"/>
      <c r="FOF25" s="2851"/>
      <c r="FOG25" s="2850"/>
      <c r="FOH25" s="2846"/>
      <c r="FOI25" s="2851"/>
      <c r="FOJ25" s="2850"/>
      <c r="FOK25" s="2846"/>
      <c r="FOL25" s="2851"/>
      <c r="FOM25" s="2850"/>
      <c r="FON25" s="2846"/>
      <c r="FOO25" s="2851"/>
      <c r="FOP25" s="2850"/>
      <c r="FOQ25" s="2846"/>
      <c r="FOR25" s="2851"/>
      <c r="FOS25" s="2850"/>
      <c r="FOT25" s="2846"/>
      <c r="FOU25" s="2851"/>
      <c r="FOV25" s="2850"/>
      <c r="FOW25" s="2846"/>
      <c r="FOX25" s="2851"/>
      <c r="FOY25" s="2850"/>
      <c r="FOZ25" s="2846"/>
      <c r="FPA25" s="2851"/>
      <c r="FPB25" s="2850"/>
      <c r="FPC25" s="2846"/>
      <c r="FPD25" s="2851"/>
      <c r="FPE25" s="2850"/>
      <c r="FPF25" s="2846"/>
      <c r="FPG25" s="2851"/>
      <c r="FPH25" s="2850"/>
      <c r="FPI25" s="2846"/>
      <c r="FPJ25" s="2851"/>
      <c r="FPK25" s="2850"/>
      <c r="FPL25" s="2846"/>
      <c r="FPM25" s="2851"/>
      <c r="FPN25" s="2850"/>
      <c r="FPO25" s="2846"/>
      <c r="FPP25" s="2851"/>
      <c r="FPQ25" s="2850"/>
      <c r="FPR25" s="2846"/>
      <c r="FPS25" s="2851"/>
      <c r="FPT25" s="2850"/>
      <c r="FPU25" s="2846"/>
      <c r="FPV25" s="2851"/>
      <c r="FPW25" s="2850"/>
      <c r="FPX25" s="2846"/>
      <c r="FPY25" s="2851"/>
      <c r="FPZ25" s="2850"/>
      <c r="FQA25" s="2846"/>
      <c r="FQB25" s="2851"/>
      <c r="FQC25" s="2850"/>
      <c r="FQD25" s="2846"/>
      <c r="FQE25" s="2851"/>
      <c r="FQF25" s="2850"/>
      <c r="FQG25" s="2846"/>
      <c r="FQH25" s="2851"/>
      <c r="FQI25" s="2850"/>
      <c r="FQJ25" s="2846"/>
      <c r="FQK25" s="2851"/>
      <c r="FQL25" s="2850"/>
      <c r="FQM25" s="2846"/>
      <c r="FQN25" s="2851"/>
      <c r="FQO25" s="2850"/>
      <c r="FQP25" s="2846"/>
      <c r="FQQ25" s="2851"/>
      <c r="FQR25" s="2850"/>
      <c r="FQS25" s="2846"/>
      <c r="FQT25" s="2851"/>
      <c r="FQU25" s="2850"/>
      <c r="FQV25" s="2846"/>
      <c r="FQW25" s="2851"/>
      <c r="FQX25" s="2850"/>
      <c r="FQY25" s="2846"/>
      <c r="FQZ25" s="2851"/>
      <c r="FRA25" s="2850"/>
      <c r="FRB25" s="2846"/>
      <c r="FRC25" s="2851"/>
      <c r="FRD25" s="2850"/>
      <c r="FRE25" s="2846"/>
      <c r="FRF25" s="2851"/>
      <c r="FRG25" s="2850"/>
      <c r="FRH25" s="2846"/>
      <c r="FRI25" s="2851"/>
      <c r="FRJ25" s="2850"/>
      <c r="FRK25" s="2846"/>
      <c r="FRL25" s="2851"/>
      <c r="FRM25" s="2850"/>
      <c r="FRN25" s="2846"/>
      <c r="FRO25" s="2851"/>
      <c r="FRP25" s="2850"/>
      <c r="FRQ25" s="2846"/>
      <c r="FRR25" s="2851"/>
      <c r="FRS25" s="2850"/>
      <c r="FRT25" s="2846"/>
      <c r="FRU25" s="2851"/>
      <c r="FRV25" s="2850"/>
      <c r="FRW25" s="2846"/>
      <c r="FRX25" s="2851"/>
      <c r="FRY25" s="2850"/>
      <c r="FRZ25" s="2846"/>
      <c r="FSA25" s="2851"/>
      <c r="FSB25" s="2850"/>
      <c r="FSC25" s="2846"/>
      <c r="FSD25" s="2851"/>
      <c r="FSE25" s="2850"/>
      <c r="FSF25" s="2846"/>
      <c r="FSG25" s="2851"/>
      <c r="FSH25" s="2850"/>
      <c r="FSI25" s="2846"/>
      <c r="FSJ25" s="2851"/>
      <c r="FSK25" s="2850"/>
      <c r="FSL25" s="2846"/>
      <c r="FSM25" s="2851"/>
      <c r="FSN25" s="2850"/>
      <c r="FSO25" s="2846"/>
      <c r="FSP25" s="2851"/>
      <c r="FSQ25" s="2850"/>
      <c r="FSR25" s="2846"/>
      <c r="FSS25" s="2851"/>
      <c r="FST25" s="2850"/>
      <c r="FSU25" s="2846"/>
      <c r="FSV25" s="2851"/>
      <c r="FSW25" s="2850"/>
      <c r="FSX25" s="2846"/>
      <c r="FSY25" s="2851"/>
      <c r="FSZ25" s="2850"/>
      <c r="FTA25" s="2846"/>
      <c r="FTB25" s="2851"/>
      <c r="FTC25" s="2850"/>
      <c r="FTD25" s="2846"/>
      <c r="FTE25" s="2851"/>
      <c r="FTF25" s="2850"/>
      <c r="FTG25" s="2846"/>
      <c r="FTH25" s="2851"/>
      <c r="FTI25" s="2850"/>
      <c r="FTJ25" s="2846"/>
      <c r="FTK25" s="2851"/>
      <c r="FTL25" s="2850"/>
      <c r="FTM25" s="2846"/>
      <c r="FTN25" s="2851"/>
      <c r="FTO25" s="2850"/>
      <c r="FTP25" s="2846"/>
      <c r="FTQ25" s="2851"/>
      <c r="FTR25" s="2850"/>
      <c r="FTS25" s="2846"/>
      <c r="FTT25" s="2851"/>
      <c r="FTU25" s="2850"/>
      <c r="FTV25" s="2846"/>
      <c r="FTW25" s="2851"/>
      <c r="FTX25" s="2850"/>
      <c r="FTY25" s="2846"/>
      <c r="FTZ25" s="2851"/>
      <c r="FUA25" s="2850"/>
      <c r="FUB25" s="2846"/>
      <c r="FUC25" s="2851"/>
      <c r="FUD25" s="2850"/>
      <c r="FUE25" s="2846"/>
      <c r="FUF25" s="2851"/>
      <c r="FUG25" s="2850"/>
      <c r="FUH25" s="2846"/>
      <c r="FUI25" s="2851"/>
      <c r="FUJ25" s="2850"/>
      <c r="FUK25" s="2846"/>
      <c r="FUL25" s="2851"/>
      <c r="FUM25" s="2850"/>
      <c r="FUN25" s="2846"/>
      <c r="FUO25" s="2851"/>
      <c r="FUP25" s="2850"/>
      <c r="FUQ25" s="2846"/>
      <c r="FUR25" s="2851"/>
      <c r="FUS25" s="2850"/>
      <c r="FUT25" s="2846"/>
      <c r="FUU25" s="2851"/>
      <c r="FUV25" s="2850"/>
      <c r="FUW25" s="2846"/>
      <c r="FUX25" s="2851"/>
      <c r="FUY25" s="2850"/>
      <c r="FUZ25" s="2846"/>
      <c r="FVA25" s="2851"/>
      <c r="FVB25" s="2850"/>
      <c r="FVC25" s="2846"/>
      <c r="FVD25" s="2851"/>
      <c r="FVE25" s="2850"/>
      <c r="FVF25" s="2846"/>
      <c r="FVG25" s="2851"/>
      <c r="FVH25" s="2850"/>
      <c r="FVI25" s="2846"/>
      <c r="FVJ25" s="2851"/>
      <c r="FVK25" s="2850"/>
      <c r="FVL25" s="2846"/>
      <c r="FVM25" s="2851"/>
      <c r="FVN25" s="2850"/>
      <c r="FVO25" s="2846"/>
      <c r="FVP25" s="2851"/>
      <c r="FVQ25" s="2850"/>
      <c r="FVR25" s="2846"/>
      <c r="FVS25" s="2851"/>
      <c r="FVT25" s="2850"/>
      <c r="FVU25" s="2846"/>
      <c r="FVV25" s="2851"/>
      <c r="FVW25" s="2850"/>
      <c r="FVX25" s="2846"/>
      <c r="FVY25" s="2851"/>
      <c r="FVZ25" s="2850"/>
      <c r="FWA25" s="2846"/>
      <c r="FWB25" s="2851"/>
      <c r="FWC25" s="2850"/>
      <c r="FWD25" s="2846"/>
      <c r="FWE25" s="2851"/>
      <c r="FWF25" s="2850"/>
      <c r="FWG25" s="2846"/>
      <c r="FWH25" s="2851"/>
      <c r="FWI25" s="2850"/>
      <c r="FWJ25" s="2846"/>
      <c r="FWK25" s="2851"/>
      <c r="FWL25" s="2850"/>
      <c r="FWM25" s="2846"/>
      <c r="FWN25" s="2851"/>
      <c r="FWO25" s="2850"/>
      <c r="FWP25" s="2846"/>
      <c r="FWQ25" s="2851"/>
      <c r="FWR25" s="2850"/>
      <c r="FWS25" s="2846"/>
      <c r="FWT25" s="2851"/>
      <c r="FWU25" s="2850"/>
      <c r="FWV25" s="2846"/>
      <c r="FWW25" s="2851"/>
      <c r="FWX25" s="2850"/>
      <c r="FWY25" s="2846"/>
      <c r="FWZ25" s="2851"/>
      <c r="FXA25" s="2850"/>
      <c r="FXB25" s="2846"/>
      <c r="FXC25" s="2851"/>
      <c r="FXD25" s="2850"/>
      <c r="FXE25" s="2846"/>
      <c r="FXF25" s="2851"/>
      <c r="FXG25" s="2850"/>
      <c r="FXH25" s="2846"/>
      <c r="FXI25" s="2851"/>
      <c r="FXJ25" s="2850"/>
      <c r="FXK25" s="2846"/>
      <c r="FXL25" s="2851"/>
      <c r="FXM25" s="2850"/>
      <c r="FXN25" s="2846"/>
      <c r="FXO25" s="2851"/>
      <c r="FXP25" s="2850"/>
      <c r="FXQ25" s="2846"/>
      <c r="FXR25" s="2851"/>
      <c r="FXS25" s="2850"/>
      <c r="FXT25" s="2846"/>
      <c r="FXU25" s="2851"/>
      <c r="FXV25" s="2850"/>
      <c r="FXW25" s="2846"/>
      <c r="FXX25" s="2851"/>
      <c r="FXY25" s="2850"/>
      <c r="FXZ25" s="2846"/>
      <c r="FYA25" s="2851"/>
      <c r="FYB25" s="2850"/>
      <c r="FYC25" s="2846"/>
      <c r="FYD25" s="2851"/>
      <c r="FYE25" s="2850"/>
      <c r="FYF25" s="2846"/>
      <c r="FYG25" s="2851"/>
      <c r="FYH25" s="2850"/>
      <c r="FYI25" s="2846"/>
      <c r="FYJ25" s="2851"/>
      <c r="FYK25" s="2850"/>
      <c r="FYL25" s="2846"/>
      <c r="FYM25" s="2851"/>
      <c r="FYN25" s="2850"/>
      <c r="FYO25" s="2846"/>
      <c r="FYP25" s="2851"/>
      <c r="FYQ25" s="2850"/>
      <c r="FYR25" s="2846"/>
      <c r="FYS25" s="2851"/>
      <c r="FYT25" s="2850"/>
      <c r="FYU25" s="2846"/>
      <c r="FYV25" s="2851"/>
      <c r="FYW25" s="2850"/>
      <c r="FYX25" s="2846"/>
      <c r="FYY25" s="2851"/>
      <c r="FYZ25" s="2850"/>
      <c r="FZA25" s="2846"/>
      <c r="FZB25" s="2851"/>
      <c r="FZC25" s="2850"/>
      <c r="FZD25" s="2846"/>
      <c r="FZE25" s="2851"/>
      <c r="FZF25" s="2850"/>
      <c r="FZG25" s="2846"/>
      <c r="FZH25" s="2851"/>
      <c r="FZI25" s="2850"/>
      <c r="FZJ25" s="2846"/>
      <c r="FZK25" s="2851"/>
      <c r="FZL25" s="2850"/>
      <c r="FZM25" s="2846"/>
      <c r="FZN25" s="2851"/>
      <c r="FZO25" s="2850"/>
      <c r="FZP25" s="2846"/>
      <c r="FZQ25" s="2851"/>
      <c r="FZR25" s="2850"/>
      <c r="FZS25" s="2846"/>
      <c r="FZT25" s="2851"/>
      <c r="FZU25" s="2850"/>
      <c r="FZV25" s="2846"/>
      <c r="FZW25" s="2851"/>
      <c r="FZX25" s="2850"/>
      <c r="FZY25" s="2846"/>
      <c r="FZZ25" s="2851"/>
      <c r="GAA25" s="2850"/>
      <c r="GAB25" s="2846"/>
      <c r="GAC25" s="2851"/>
      <c r="GAD25" s="2850"/>
      <c r="GAE25" s="2846"/>
      <c r="GAF25" s="2851"/>
      <c r="GAG25" s="2850"/>
      <c r="GAH25" s="2846"/>
      <c r="GAI25" s="2851"/>
      <c r="GAJ25" s="2850"/>
      <c r="GAK25" s="2846"/>
      <c r="GAL25" s="2851"/>
      <c r="GAM25" s="2850"/>
      <c r="GAN25" s="2846"/>
      <c r="GAO25" s="2851"/>
      <c r="GAP25" s="2850"/>
      <c r="GAQ25" s="2846"/>
      <c r="GAR25" s="2851"/>
      <c r="GAS25" s="2850"/>
      <c r="GAT25" s="2846"/>
      <c r="GAU25" s="2851"/>
      <c r="GAV25" s="2850"/>
      <c r="GAW25" s="2846"/>
      <c r="GAX25" s="2851"/>
      <c r="GAY25" s="2850"/>
      <c r="GAZ25" s="2846"/>
      <c r="GBA25" s="2851"/>
      <c r="GBB25" s="2850"/>
      <c r="GBC25" s="2846"/>
      <c r="GBD25" s="2851"/>
      <c r="GBE25" s="2850"/>
      <c r="GBF25" s="2846"/>
      <c r="GBG25" s="2851"/>
      <c r="GBH25" s="2850"/>
      <c r="GBI25" s="2846"/>
      <c r="GBJ25" s="2851"/>
      <c r="GBK25" s="2850"/>
      <c r="GBL25" s="2846"/>
      <c r="GBM25" s="2851"/>
      <c r="GBN25" s="2850"/>
      <c r="GBO25" s="2846"/>
      <c r="GBP25" s="2851"/>
      <c r="GBQ25" s="2850"/>
      <c r="GBR25" s="2846"/>
      <c r="GBS25" s="2851"/>
      <c r="GBT25" s="2850"/>
      <c r="GBU25" s="2846"/>
      <c r="GBV25" s="2851"/>
      <c r="GBW25" s="2850"/>
      <c r="GBX25" s="2846"/>
      <c r="GBY25" s="2851"/>
      <c r="GBZ25" s="2850"/>
      <c r="GCA25" s="2846"/>
      <c r="GCB25" s="2851"/>
      <c r="GCC25" s="2850"/>
      <c r="GCD25" s="2846"/>
      <c r="GCE25" s="2851"/>
      <c r="GCF25" s="2850"/>
      <c r="GCG25" s="2846"/>
      <c r="GCH25" s="2851"/>
      <c r="GCI25" s="2850"/>
      <c r="GCJ25" s="2846"/>
      <c r="GCK25" s="2851"/>
      <c r="GCL25" s="2850"/>
      <c r="GCM25" s="2846"/>
      <c r="GCN25" s="2851"/>
      <c r="GCO25" s="2850"/>
      <c r="GCP25" s="2846"/>
      <c r="GCQ25" s="2851"/>
      <c r="GCR25" s="2850"/>
      <c r="GCS25" s="2846"/>
      <c r="GCT25" s="2851"/>
      <c r="GCU25" s="2850"/>
      <c r="GCV25" s="2846"/>
      <c r="GCW25" s="2851"/>
      <c r="GCX25" s="2850"/>
      <c r="GCY25" s="2846"/>
      <c r="GCZ25" s="2851"/>
      <c r="GDA25" s="2850"/>
      <c r="GDB25" s="2846"/>
      <c r="GDC25" s="2851"/>
      <c r="GDD25" s="2850"/>
      <c r="GDE25" s="2846"/>
      <c r="GDF25" s="2851"/>
      <c r="GDG25" s="2850"/>
      <c r="GDH25" s="2846"/>
      <c r="GDI25" s="2851"/>
      <c r="GDJ25" s="2850"/>
      <c r="GDK25" s="2846"/>
      <c r="GDL25" s="2851"/>
      <c r="GDM25" s="2850"/>
      <c r="GDN25" s="2846"/>
      <c r="GDO25" s="2851"/>
      <c r="GDP25" s="2850"/>
      <c r="GDQ25" s="2846"/>
      <c r="GDR25" s="2851"/>
      <c r="GDS25" s="2850"/>
      <c r="GDT25" s="2846"/>
      <c r="GDU25" s="2851"/>
      <c r="GDV25" s="2850"/>
      <c r="GDW25" s="2846"/>
      <c r="GDX25" s="2851"/>
      <c r="GDY25" s="2850"/>
      <c r="GDZ25" s="2846"/>
      <c r="GEA25" s="2851"/>
      <c r="GEB25" s="2850"/>
      <c r="GEC25" s="2846"/>
      <c r="GED25" s="2851"/>
      <c r="GEE25" s="2850"/>
      <c r="GEF25" s="2846"/>
      <c r="GEG25" s="2851"/>
      <c r="GEH25" s="2850"/>
      <c r="GEI25" s="2846"/>
      <c r="GEJ25" s="2851"/>
      <c r="GEK25" s="2850"/>
      <c r="GEL25" s="2846"/>
      <c r="GEM25" s="2851"/>
      <c r="GEN25" s="2850"/>
      <c r="GEO25" s="2846"/>
      <c r="GEP25" s="2851"/>
      <c r="GEQ25" s="2850"/>
      <c r="GER25" s="2846"/>
      <c r="GES25" s="2851"/>
      <c r="GET25" s="2850"/>
      <c r="GEU25" s="2846"/>
      <c r="GEV25" s="2851"/>
      <c r="GEW25" s="2850"/>
      <c r="GEX25" s="2846"/>
      <c r="GEY25" s="2851"/>
      <c r="GEZ25" s="2850"/>
      <c r="GFA25" s="2846"/>
      <c r="GFB25" s="2851"/>
      <c r="GFC25" s="2850"/>
      <c r="GFD25" s="2846"/>
      <c r="GFE25" s="2851"/>
      <c r="GFF25" s="2850"/>
      <c r="GFG25" s="2846"/>
      <c r="GFH25" s="2851"/>
      <c r="GFI25" s="2850"/>
      <c r="GFJ25" s="2846"/>
      <c r="GFK25" s="2851"/>
      <c r="GFL25" s="2850"/>
      <c r="GFM25" s="2846"/>
      <c r="GFN25" s="2851"/>
      <c r="GFO25" s="2850"/>
      <c r="GFP25" s="2846"/>
      <c r="GFQ25" s="2851"/>
      <c r="GFR25" s="2850"/>
      <c r="GFS25" s="2846"/>
      <c r="GFT25" s="2851"/>
      <c r="GFU25" s="2850"/>
      <c r="GFV25" s="2846"/>
      <c r="GFW25" s="2851"/>
      <c r="GFX25" s="2850"/>
      <c r="GFY25" s="2846"/>
      <c r="GFZ25" s="2851"/>
      <c r="GGA25" s="2850"/>
      <c r="GGB25" s="2846"/>
      <c r="GGC25" s="2851"/>
      <c r="GGD25" s="2850"/>
      <c r="GGE25" s="2846"/>
      <c r="GGF25" s="2851"/>
      <c r="GGG25" s="2850"/>
      <c r="GGH25" s="2846"/>
      <c r="GGI25" s="2851"/>
      <c r="GGJ25" s="2850"/>
      <c r="GGK25" s="2846"/>
      <c r="GGL25" s="2851"/>
      <c r="GGM25" s="2850"/>
      <c r="GGN25" s="2846"/>
      <c r="GGO25" s="2851"/>
      <c r="GGP25" s="2850"/>
      <c r="GGQ25" s="2846"/>
      <c r="GGR25" s="2851"/>
      <c r="GGS25" s="2850"/>
      <c r="GGT25" s="2846"/>
      <c r="GGU25" s="2851"/>
      <c r="GGV25" s="2850"/>
      <c r="GGW25" s="2846"/>
      <c r="GGX25" s="2851"/>
      <c r="GGY25" s="2850"/>
      <c r="GGZ25" s="2846"/>
      <c r="GHA25" s="2851"/>
      <c r="GHB25" s="2850"/>
      <c r="GHC25" s="2846"/>
      <c r="GHD25" s="2851"/>
      <c r="GHE25" s="2850"/>
      <c r="GHF25" s="2846"/>
      <c r="GHG25" s="2851"/>
      <c r="GHH25" s="2850"/>
      <c r="GHI25" s="2846"/>
      <c r="GHJ25" s="2851"/>
      <c r="GHK25" s="2850"/>
      <c r="GHL25" s="2846"/>
      <c r="GHM25" s="2851"/>
      <c r="GHN25" s="2850"/>
      <c r="GHO25" s="2846"/>
      <c r="GHP25" s="2851"/>
      <c r="GHQ25" s="2850"/>
      <c r="GHR25" s="2846"/>
      <c r="GHS25" s="2851"/>
      <c r="GHT25" s="2850"/>
      <c r="GHU25" s="2846"/>
      <c r="GHV25" s="2851"/>
      <c r="GHW25" s="2850"/>
      <c r="GHX25" s="2846"/>
      <c r="GHY25" s="2851"/>
      <c r="GHZ25" s="2850"/>
      <c r="GIA25" s="2846"/>
      <c r="GIB25" s="2851"/>
      <c r="GIC25" s="2850"/>
      <c r="GID25" s="2846"/>
      <c r="GIE25" s="2851"/>
      <c r="GIF25" s="2850"/>
      <c r="GIG25" s="2846"/>
      <c r="GIH25" s="2851"/>
      <c r="GII25" s="2850"/>
      <c r="GIJ25" s="2846"/>
      <c r="GIK25" s="2851"/>
      <c r="GIL25" s="2850"/>
      <c r="GIM25" s="2846"/>
      <c r="GIN25" s="2851"/>
      <c r="GIO25" s="2850"/>
      <c r="GIP25" s="2846"/>
      <c r="GIQ25" s="2851"/>
      <c r="GIR25" s="2850"/>
      <c r="GIS25" s="2846"/>
      <c r="GIT25" s="2851"/>
      <c r="GIU25" s="2850"/>
      <c r="GIV25" s="2846"/>
      <c r="GIW25" s="2851"/>
      <c r="GIX25" s="2850"/>
      <c r="GIY25" s="2846"/>
      <c r="GIZ25" s="2851"/>
      <c r="GJA25" s="2850"/>
      <c r="GJB25" s="2846"/>
      <c r="GJC25" s="2851"/>
      <c r="GJD25" s="2850"/>
      <c r="GJE25" s="2846"/>
      <c r="GJF25" s="2851"/>
      <c r="GJG25" s="2850"/>
      <c r="GJH25" s="2846"/>
      <c r="GJI25" s="2851"/>
      <c r="GJJ25" s="2850"/>
      <c r="GJK25" s="2846"/>
      <c r="GJL25" s="2851"/>
      <c r="GJM25" s="2850"/>
      <c r="GJN25" s="2846"/>
      <c r="GJO25" s="2851"/>
      <c r="GJP25" s="2850"/>
      <c r="GJQ25" s="2846"/>
      <c r="GJR25" s="2851"/>
      <c r="GJS25" s="2850"/>
      <c r="GJT25" s="2846"/>
      <c r="GJU25" s="2851"/>
      <c r="GJV25" s="2850"/>
      <c r="GJW25" s="2846"/>
      <c r="GJX25" s="2851"/>
      <c r="GJY25" s="2850"/>
      <c r="GJZ25" s="2846"/>
      <c r="GKA25" s="2851"/>
      <c r="GKB25" s="2850"/>
      <c r="GKC25" s="2846"/>
      <c r="GKD25" s="2851"/>
      <c r="GKE25" s="2850"/>
      <c r="GKF25" s="2846"/>
      <c r="GKG25" s="2851"/>
      <c r="GKH25" s="2850"/>
      <c r="GKI25" s="2846"/>
      <c r="GKJ25" s="2851"/>
      <c r="GKK25" s="2850"/>
      <c r="GKL25" s="2846"/>
      <c r="GKM25" s="2851"/>
      <c r="GKN25" s="2850"/>
      <c r="GKO25" s="2846"/>
      <c r="GKP25" s="2851"/>
      <c r="GKQ25" s="2850"/>
      <c r="GKR25" s="2846"/>
      <c r="GKS25" s="2851"/>
      <c r="GKT25" s="2850"/>
      <c r="GKU25" s="2846"/>
      <c r="GKV25" s="2851"/>
      <c r="GKW25" s="2850"/>
      <c r="GKX25" s="2846"/>
      <c r="GKY25" s="2851"/>
      <c r="GKZ25" s="2850"/>
      <c r="GLA25" s="2846"/>
      <c r="GLB25" s="2851"/>
      <c r="GLC25" s="2850"/>
      <c r="GLD25" s="2846"/>
      <c r="GLE25" s="2851"/>
      <c r="GLF25" s="2850"/>
      <c r="GLG25" s="2846"/>
      <c r="GLH25" s="2851"/>
      <c r="GLI25" s="2850"/>
      <c r="GLJ25" s="2846"/>
      <c r="GLK25" s="2851"/>
      <c r="GLL25" s="2850"/>
      <c r="GLM25" s="2846"/>
      <c r="GLN25" s="2851"/>
      <c r="GLO25" s="2850"/>
      <c r="GLP25" s="2846"/>
      <c r="GLQ25" s="2851"/>
      <c r="GLR25" s="2850"/>
      <c r="GLS25" s="2846"/>
      <c r="GLT25" s="2851"/>
      <c r="GLU25" s="2850"/>
      <c r="GLV25" s="2846"/>
      <c r="GLW25" s="2851"/>
      <c r="GLX25" s="2850"/>
      <c r="GLY25" s="2846"/>
      <c r="GLZ25" s="2851"/>
      <c r="GMA25" s="2850"/>
      <c r="GMB25" s="2846"/>
      <c r="GMC25" s="2851"/>
      <c r="GMD25" s="2850"/>
      <c r="GME25" s="2846"/>
      <c r="GMF25" s="2851"/>
      <c r="GMG25" s="2850"/>
      <c r="GMH25" s="2846"/>
      <c r="GMI25" s="2851"/>
      <c r="GMJ25" s="2850"/>
      <c r="GMK25" s="2846"/>
      <c r="GML25" s="2851"/>
      <c r="GMM25" s="2850"/>
      <c r="GMN25" s="2846"/>
      <c r="GMO25" s="2851"/>
      <c r="GMP25" s="2850"/>
      <c r="GMQ25" s="2846"/>
      <c r="GMR25" s="2851"/>
      <c r="GMS25" s="2850"/>
      <c r="GMT25" s="2846"/>
      <c r="GMU25" s="2851"/>
      <c r="GMV25" s="2850"/>
      <c r="GMW25" s="2846"/>
      <c r="GMX25" s="2851"/>
      <c r="GMY25" s="2850"/>
      <c r="GMZ25" s="2846"/>
      <c r="GNA25" s="2851"/>
      <c r="GNB25" s="2850"/>
      <c r="GNC25" s="2846"/>
      <c r="GND25" s="2851"/>
      <c r="GNE25" s="2850"/>
      <c r="GNF25" s="2846"/>
      <c r="GNG25" s="2851"/>
      <c r="GNH25" s="2850"/>
      <c r="GNI25" s="2846"/>
      <c r="GNJ25" s="2851"/>
      <c r="GNK25" s="2850"/>
      <c r="GNL25" s="2846"/>
      <c r="GNM25" s="2851"/>
      <c r="GNN25" s="2850"/>
      <c r="GNO25" s="2846"/>
      <c r="GNP25" s="2851"/>
      <c r="GNQ25" s="2850"/>
      <c r="GNR25" s="2846"/>
      <c r="GNS25" s="2851"/>
      <c r="GNT25" s="2850"/>
      <c r="GNU25" s="2846"/>
      <c r="GNV25" s="2851"/>
      <c r="GNW25" s="2850"/>
      <c r="GNX25" s="2846"/>
      <c r="GNY25" s="2851"/>
      <c r="GNZ25" s="2850"/>
      <c r="GOA25" s="2846"/>
      <c r="GOB25" s="2851"/>
      <c r="GOC25" s="2850"/>
      <c r="GOD25" s="2846"/>
      <c r="GOE25" s="2851"/>
      <c r="GOF25" s="2850"/>
      <c r="GOG25" s="2846"/>
      <c r="GOH25" s="2851"/>
      <c r="GOI25" s="2850"/>
      <c r="GOJ25" s="2846"/>
      <c r="GOK25" s="2851"/>
      <c r="GOL25" s="2850"/>
      <c r="GOM25" s="2846"/>
      <c r="GON25" s="2851"/>
      <c r="GOO25" s="2850"/>
      <c r="GOP25" s="2846"/>
      <c r="GOQ25" s="2851"/>
      <c r="GOR25" s="2850"/>
      <c r="GOS25" s="2846"/>
      <c r="GOT25" s="2851"/>
      <c r="GOU25" s="2850"/>
      <c r="GOV25" s="2846"/>
      <c r="GOW25" s="2851"/>
      <c r="GOX25" s="2850"/>
      <c r="GOY25" s="2846"/>
      <c r="GOZ25" s="2851"/>
      <c r="GPA25" s="2850"/>
      <c r="GPB25" s="2846"/>
      <c r="GPC25" s="2851"/>
      <c r="GPD25" s="2850"/>
      <c r="GPE25" s="2846"/>
      <c r="GPF25" s="2851"/>
      <c r="GPG25" s="2850"/>
      <c r="GPH25" s="2846"/>
      <c r="GPI25" s="2851"/>
      <c r="GPJ25" s="2850"/>
      <c r="GPK25" s="2846"/>
      <c r="GPL25" s="2851"/>
      <c r="GPM25" s="2850"/>
      <c r="GPN25" s="2846"/>
      <c r="GPO25" s="2851"/>
      <c r="GPP25" s="2850"/>
      <c r="GPQ25" s="2846"/>
      <c r="GPR25" s="2851"/>
      <c r="GPS25" s="2850"/>
      <c r="GPT25" s="2846"/>
      <c r="GPU25" s="2851"/>
      <c r="GPV25" s="2850"/>
      <c r="GPW25" s="2846"/>
      <c r="GPX25" s="2851"/>
      <c r="GPY25" s="2850"/>
      <c r="GPZ25" s="2846"/>
      <c r="GQA25" s="2851"/>
      <c r="GQB25" s="2850"/>
      <c r="GQC25" s="2846"/>
      <c r="GQD25" s="2851"/>
      <c r="GQE25" s="2850"/>
      <c r="GQF25" s="2846"/>
      <c r="GQG25" s="2851"/>
      <c r="GQH25" s="2850"/>
      <c r="GQI25" s="2846"/>
      <c r="GQJ25" s="2851"/>
      <c r="GQK25" s="2850"/>
      <c r="GQL25" s="2846"/>
      <c r="GQM25" s="2851"/>
      <c r="GQN25" s="2850"/>
      <c r="GQO25" s="2846"/>
      <c r="GQP25" s="2851"/>
      <c r="GQQ25" s="2850"/>
      <c r="GQR25" s="2846"/>
      <c r="GQS25" s="2851"/>
      <c r="GQT25" s="2850"/>
      <c r="GQU25" s="2846"/>
      <c r="GQV25" s="2851"/>
      <c r="GQW25" s="2850"/>
      <c r="GQX25" s="2846"/>
      <c r="GQY25" s="2851"/>
      <c r="GQZ25" s="2850"/>
      <c r="GRA25" s="2846"/>
      <c r="GRB25" s="2851"/>
      <c r="GRC25" s="2850"/>
      <c r="GRD25" s="2846"/>
      <c r="GRE25" s="2851"/>
      <c r="GRF25" s="2850"/>
      <c r="GRG25" s="2846"/>
      <c r="GRH25" s="2851"/>
      <c r="GRI25" s="2850"/>
      <c r="GRJ25" s="2846"/>
      <c r="GRK25" s="2851"/>
      <c r="GRL25" s="2850"/>
      <c r="GRM25" s="2846"/>
      <c r="GRN25" s="2851"/>
      <c r="GRO25" s="2850"/>
      <c r="GRP25" s="2846"/>
      <c r="GRQ25" s="2851"/>
      <c r="GRR25" s="2850"/>
      <c r="GRS25" s="2846"/>
      <c r="GRT25" s="2851"/>
      <c r="GRU25" s="2850"/>
      <c r="GRV25" s="2846"/>
      <c r="GRW25" s="2851"/>
      <c r="GRX25" s="2850"/>
      <c r="GRY25" s="2846"/>
      <c r="GRZ25" s="2851"/>
      <c r="GSA25" s="2850"/>
      <c r="GSB25" s="2846"/>
      <c r="GSC25" s="2851"/>
      <c r="GSD25" s="2850"/>
      <c r="GSE25" s="2846"/>
      <c r="GSF25" s="2851"/>
      <c r="GSG25" s="2850"/>
      <c r="GSH25" s="2846"/>
      <c r="GSI25" s="2851"/>
      <c r="GSJ25" s="2850"/>
      <c r="GSK25" s="2846"/>
      <c r="GSL25" s="2851"/>
      <c r="GSM25" s="2850"/>
      <c r="GSN25" s="2846"/>
      <c r="GSO25" s="2851"/>
      <c r="GSP25" s="2850"/>
      <c r="GSQ25" s="2846"/>
      <c r="GSR25" s="2851"/>
      <c r="GSS25" s="2850"/>
      <c r="GST25" s="2846"/>
      <c r="GSU25" s="2851"/>
      <c r="GSV25" s="2850"/>
      <c r="GSW25" s="2846"/>
      <c r="GSX25" s="2851"/>
      <c r="GSY25" s="2850"/>
      <c r="GSZ25" s="2846"/>
      <c r="GTA25" s="2851"/>
      <c r="GTB25" s="2850"/>
      <c r="GTC25" s="2846"/>
      <c r="GTD25" s="2851"/>
      <c r="GTE25" s="2850"/>
      <c r="GTF25" s="2846"/>
      <c r="GTG25" s="2851"/>
      <c r="GTH25" s="2850"/>
      <c r="GTI25" s="2846"/>
      <c r="GTJ25" s="2851"/>
      <c r="GTK25" s="2850"/>
      <c r="GTL25" s="2846"/>
      <c r="GTM25" s="2851"/>
      <c r="GTN25" s="2850"/>
      <c r="GTO25" s="2846"/>
      <c r="GTP25" s="2851"/>
      <c r="GTQ25" s="2850"/>
      <c r="GTR25" s="2846"/>
      <c r="GTS25" s="2851"/>
      <c r="GTT25" s="2850"/>
      <c r="GTU25" s="2846"/>
      <c r="GTV25" s="2851"/>
      <c r="GTW25" s="2850"/>
      <c r="GTX25" s="2846"/>
      <c r="GTY25" s="2851"/>
      <c r="GTZ25" s="2850"/>
      <c r="GUA25" s="2846"/>
      <c r="GUB25" s="2851"/>
      <c r="GUC25" s="2850"/>
      <c r="GUD25" s="2846"/>
      <c r="GUE25" s="2851"/>
      <c r="GUF25" s="2850"/>
      <c r="GUG25" s="2846"/>
      <c r="GUH25" s="2851"/>
      <c r="GUI25" s="2850"/>
      <c r="GUJ25" s="2846"/>
      <c r="GUK25" s="2851"/>
      <c r="GUL25" s="2850"/>
      <c r="GUM25" s="2846"/>
      <c r="GUN25" s="2851"/>
      <c r="GUO25" s="2850"/>
      <c r="GUP25" s="2846"/>
      <c r="GUQ25" s="2851"/>
      <c r="GUR25" s="2850"/>
      <c r="GUS25" s="2846"/>
      <c r="GUT25" s="2851"/>
      <c r="GUU25" s="2850"/>
      <c r="GUV25" s="2846"/>
      <c r="GUW25" s="2851"/>
      <c r="GUX25" s="2850"/>
      <c r="GUY25" s="2846"/>
      <c r="GUZ25" s="2851"/>
      <c r="GVA25" s="2850"/>
      <c r="GVB25" s="2846"/>
      <c r="GVC25" s="2851"/>
      <c r="GVD25" s="2850"/>
      <c r="GVE25" s="2846"/>
      <c r="GVF25" s="2851"/>
      <c r="GVG25" s="2850"/>
      <c r="GVH25" s="2846"/>
      <c r="GVI25" s="2851"/>
      <c r="GVJ25" s="2850"/>
      <c r="GVK25" s="2846"/>
      <c r="GVL25" s="2851"/>
      <c r="GVM25" s="2850"/>
      <c r="GVN25" s="2846"/>
      <c r="GVO25" s="2851"/>
      <c r="GVP25" s="2850"/>
      <c r="GVQ25" s="2846"/>
      <c r="GVR25" s="2851"/>
      <c r="GVS25" s="2850"/>
      <c r="GVT25" s="2846"/>
      <c r="GVU25" s="2851"/>
      <c r="GVV25" s="2850"/>
      <c r="GVW25" s="2846"/>
      <c r="GVX25" s="2851"/>
      <c r="GVY25" s="2850"/>
      <c r="GVZ25" s="2846"/>
      <c r="GWA25" s="2851"/>
      <c r="GWB25" s="2850"/>
      <c r="GWC25" s="2846"/>
      <c r="GWD25" s="2851"/>
      <c r="GWE25" s="2850"/>
      <c r="GWF25" s="2846"/>
      <c r="GWG25" s="2851"/>
      <c r="GWH25" s="2850"/>
      <c r="GWI25" s="2846"/>
      <c r="GWJ25" s="2851"/>
      <c r="GWK25" s="2850"/>
      <c r="GWL25" s="2846"/>
      <c r="GWM25" s="2851"/>
      <c r="GWN25" s="2850"/>
      <c r="GWO25" s="2846"/>
      <c r="GWP25" s="2851"/>
      <c r="GWQ25" s="2850"/>
      <c r="GWR25" s="2846"/>
      <c r="GWS25" s="2851"/>
      <c r="GWT25" s="2850"/>
      <c r="GWU25" s="2846"/>
      <c r="GWV25" s="2851"/>
      <c r="GWW25" s="2850"/>
      <c r="GWX25" s="2846"/>
      <c r="GWY25" s="2851"/>
      <c r="GWZ25" s="2850"/>
      <c r="GXA25" s="2846"/>
      <c r="GXB25" s="2851"/>
      <c r="GXC25" s="2850"/>
      <c r="GXD25" s="2846"/>
      <c r="GXE25" s="2851"/>
      <c r="GXF25" s="2850"/>
      <c r="GXG25" s="2846"/>
      <c r="GXH25" s="2851"/>
      <c r="GXI25" s="2850"/>
      <c r="GXJ25" s="2846"/>
      <c r="GXK25" s="2851"/>
      <c r="GXL25" s="2850"/>
      <c r="GXM25" s="2846"/>
      <c r="GXN25" s="2851"/>
      <c r="GXO25" s="2850"/>
      <c r="GXP25" s="2846"/>
      <c r="GXQ25" s="2851"/>
      <c r="GXR25" s="2850"/>
      <c r="GXS25" s="2846"/>
      <c r="GXT25" s="2851"/>
      <c r="GXU25" s="2850"/>
      <c r="GXV25" s="2846"/>
      <c r="GXW25" s="2851"/>
      <c r="GXX25" s="2850"/>
      <c r="GXY25" s="2846"/>
      <c r="GXZ25" s="2851"/>
      <c r="GYA25" s="2850"/>
      <c r="GYB25" s="2846"/>
      <c r="GYC25" s="2851"/>
      <c r="GYD25" s="2850"/>
      <c r="GYE25" s="2846"/>
      <c r="GYF25" s="2851"/>
      <c r="GYG25" s="2850"/>
      <c r="GYH25" s="2846"/>
      <c r="GYI25" s="2851"/>
      <c r="GYJ25" s="2850"/>
      <c r="GYK25" s="2846"/>
      <c r="GYL25" s="2851"/>
      <c r="GYM25" s="2850"/>
      <c r="GYN25" s="2846"/>
      <c r="GYO25" s="2851"/>
      <c r="GYP25" s="2850"/>
      <c r="GYQ25" s="2846"/>
      <c r="GYR25" s="2851"/>
      <c r="GYS25" s="2850"/>
      <c r="GYT25" s="2846"/>
      <c r="GYU25" s="2851"/>
      <c r="GYV25" s="2850"/>
      <c r="GYW25" s="2846"/>
      <c r="GYX25" s="2851"/>
      <c r="GYY25" s="2850"/>
      <c r="GYZ25" s="2846"/>
      <c r="GZA25" s="2851"/>
      <c r="GZB25" s="2850"/>
      <c r="GZC25" s="2846"/>
      <c r="GZD25" s="2851"/>
      <c r="GZE25" s="2850"/>
      <c r="GZF25" s="2846"/>
      <c r="GZG25" s="2851"/>
      <c r="GZH25" s="2850"/>
      <c r="GZI25" s="2846"/>
      <c r="GZJ25" s="2851"/>
      <c r="GZK25" s="2850"/>
      <c r="GZL25" s="2846"/>
      <c r="GZM25" s="2851"/>
      <c r="GZN25" s="2850"/>
      <c r="GZO25" s="2846"/>
      <c r="GZP25" s="2851"/>
      <c r="GZQ25" s="2850"/>
      <c r="GZR25" s="2846"/>
      <c r="GZS25" s="2851"/>
      <c r="GZT25" s="2850"/>
      <c r="GZU25" s="2846"/>
      <c r="GZV25" s="2851"/>
      <c r="GZW25" s="2850"/>
      <c r="GZX25" s="2846"/>
      <c r="GZY25" s="2851"/>
      <c r="GZZ25" s="2850"/>
      <c r="HAA25" s="2846"/>
      <c r="HAB25" s="2851"/>
      <c r="HAC25" s="2850"/>
      <c r="HAD25" s="2846"/>
      <c r="HAE25" s="2851"/>
      <c r="HAF25" s="2850"/>
      <c r="HAG25" s="2846"/>
      <c r="HAH25" s="2851"/>
      <c r="HAI25" s="2850"/>
      <c r="HAJ25" s="2846"/>
      <c r="HAK25" s="2851"/>
      <c r="HAL25" s="2850"/>
      <c r="HAM25" s="2846"/>
      <c r="HAN25" s="2851"/>
      <c r="HAO25" s="2850"/>
      <c r="HAP25" s="2846"/>
      <c r="HAQ25" s="2851"/>
      <c r="HAR25" s="2850"/>
      <c r="HAS25" s="2846"/>
      <c r="HAT25" s="2851"/>
      <c r="HAU25" s="2850"/>
      <c r="HAV25" s="2846"/>
      <c r="HAW25" s="2851"/>
      <c r="HAX25" s="2850"/>
      <c r="HAY25" s="2846"/>
      <c r="HAZ25" s="2851"/>
      <c r="HBA25" s="2850"/>
      <c r="HBB25" s="2846"/>
      <c r="HBC25" s="2851"/>
      <c r="HBD25" s="2850"/>
      <c r="HBE25" s="2846"/>
      <c r="HBF25" s="2851"/>
      <c r="HBG25" s="2850"/>
      <c r="HBH25" s="2846"/>
      <c r="HBI25" s="2851"/>
      <c r="HBJ25" s="2850"/>
      <c r="HBK25" s="2846"/>
      <c r="HBL25" s="2851"/>
      <c r="HBM25" s="2850"/>
      <c r="HBN25" s="2846"/>
      <c r="HBO25" s="2851"/>
      <c r="HBP25" s="2850"/>
      <c r="HBQ25" s="2846"/>
      <c r="HBR25" s="2851"/>
      <c r="HBS25" s="2850"/>
      <c r="HBT25" s="2846"/>
      <c r="HBU25" s="2851"/>
      <c r="HBV25" s="2850"/>
      <c r="HBW25" s="2846"/>
      <c r="HBX25" s="2851"/>
      <c r="HBY25" s="2850"/>
      <c r="HBZ25" s="2846"/>
      <c r="HCA25" s="2851"/>
      <c r="HCB25" s="2850"/>
      <c r="HCC25" s="2846"/>
      <c r="HCD25" s="2851"/>
      <c r="HCE25" s="2850"/>
      <c r="HCF25" s="2846"/>
      <c r="HCG25" s="2851"/>
      <c r="HCH25" s="2850"/>
      <c r="HCI25" s="2846"/>
      <c r="HCJ25" s="2851"/>
      <c r="HCK25" s="2850"/>
      <c r="HCL25" s="2846"/>
      <c r="HCM25" s="2851"/>
      <c r="HCN25" s="2850"/>
      <c r="HCO25" s="2846"/>
      <c r="HCP25" s="2851"/>
      <c r="HCQ25" s="2850"/>
      <c r="HCR25" s="2846"/>
      <c r="HCS25" s="2851"/>
      <c r="HCT25" s="2850"/>
      <c r="HCU25" s="2846"/>
      <c r="HCV25" s="2851"/>
      <c r="HCW25" s="2850"/>
      <c r="HCX25" s="2846"/>
      <c r="HCY25" s="2851"/>
      <c r="HCZ25" s="2850"/>
      <c r="HDA25" s="2846"/>
      <c r="HDB25" s="2851"/>
      <c r="HDC25" s="2850"/>
      <c r="HDD25" s="2846"/>
      <c r="HDE25" s="2851"/>
      <c r="HDF25" s="2850"/>
      <c r="HDG25" s="2846"/>
      <c r="HDH25" s="2851"/>
      <c r="HDI25" s="2850"/>
      <c r="HDJ25" s="2846"/>
      <c r="HDK25" s="2851"/>
      <c r="HDL25" s="2850"/>
      <c r="HDM25" s="2846"/>
      <c r="HDN25" s="2851"/>
      <c r="HDO25" s="2850"/>
      <c r="HDP25" s="2846"/>
      <c r="HDQ25" s="2851"/>
      <c r="HDR25" s="2850"/>
      <c r="HDS25" s="2846"/>
      <c r="HDT25" s="2851"/>
      <c r="HDU25" s="2850"/>
      <c r="HDV25" s="2846"/>
      <c r="HDW25" s="2851"/>
      <c r="HDX25" s="2850"/>
      <c r="HDY25" s="2846"/>
      <c r="HDZ25" s="2851"/>
      <c r="HEA25" s="2850"/>
      <c r="HEB25" s="2846"/>
      <c r="HEC25" s="2851"/>
      <c r="HED25" s="2850"/>
      <c r="HEE25" s="2846"/>
      <c r="HEF25" s="2851"/>
      <c r="HEG25" s="2850"/>
      <c r="HEH25" s="2846"/>
      <c r="HEI25" s="2851"/>
      <c r="HEJ25" s="2850"/>
      <c r="HEK25" s="2846"/>
      <c r="HEL25" s="2851"/>
      <c r="HEM25" s="2850"/>
      <c r="HEN25" s="2846"/>
      <c r="HEO25" s="2851"/>
      <c r="HEP25" s="2850"/>
      <c r="HEQ25" s="2846"/>
      <c r="HER25" s="2851"/>
      <c r="HES25" s="2850"/>
      <c r="HET25" s="2846"/>
      <c r="HEU25" s="2851"/>
      <c r="HEV25" s="2850"/>
      <c r="HEW25" s="2846"/>
      <c r="HEX25" s="2851"/>
      <c r="HEY25" s="2850"/>
      <c r="HEZ25" s="2846"/>
      <c r="HFA25" s="2851"/>
      <c r="HFB25" s="2850"/>
      <c r="HFC25" s="2846"/>
      <c r="HFD25" s="2851"/>
      <c r="HFE25" s="2850"/>
      <c r="HFF25" s="2846"/>
      <c r="HFG25" s="2851"/>
      <c r="HFH25" s="2850"/>
      <c r="HFI25" s="2846"/>
      <c r="HFJ25" s="2851"/>
      <c r="HFK25" s="2850"/>
      <c r="HFL25" s="2846"/>
      <c r="HFM25" s="2851"/>
      <c r="HFN25" s="2850"/>
      <c r="HFO25" s="2846"/>
      <c r="HFP25" s="2851"/>
      <c r="HFQ25" s="2850"/>
      <c r="HFR25" s="2846"/>
      <c r="HFS25" s="2851"/>
      <c r="HFT25" s="2850"/>
      <c r="HFU25" s="2846"/>
      <c r="HFV25" s="2851"/>
      <c r="HFW25" s="2850"/>
      <c r="HFX25" s="2846"/>
      <c r="HFY25" s="2851"/>
      <c r="HFZ25" s="2850"/>
      <c r="HGA25" s="2846"/>
      <c r="HGB25" s="2851"/>
      <c r="HGC25" s="2850"/>
      <c r="HGD25" s="2846"/>
      <c r="HGE25" s="2851"/>
      <c r="HGF25" s="2850"/>
      <c r="HGG25" s="2846"/>
      <c r="HGH25" s="2851"/>
      <c r="HGI25" s="2850"/>
      <c r="HGJ25" s="2846"/>
      <c r="HGK25" s="2851"/>
      <c r="HGL25" s="2850"/>
      <c r="HGM25" s="2846"/>
      <c r="HGN25" s="2851"/>
      <c r="HGO25" s="2850"/>
      <c r="HGP25" s="2846"/>
      <c r="HGQ25" s="2851"/>
      <c r="HGR25" s="2850"/>
      <c r="HGS25" s="2846"/>
      <c r="HGT25" s="2851"/>
      <c r="HGU25" s="2850"/>
      <c r="HGV25" s="2846"/>
      <c r="HGW25" s="2851"/>
      <c r="HGX25" s="2850"/>
      <c r="HGY25" s="2846"/>
      <c r="HGZ25" s="2851"/>
      <c r="HHA25" s="2850"/>
      <c r="HHB25" s="2846"/>
      <c r="HHC25" s="2851"/>
      <c r="HHD25" s="2850"/>
      <c r="HHE25" s="2846"/>
      <c r="HHF25" s="2851"/>
      <c r="HHG25" s="2850"/>
      <c r="HHH25" s="2846"/>
      <c r="HHI25" s="2851"/>
      <c r="HHJ25" s="2850"/>
      <c r="HHK25" s="2846"/>
      <c r="HHL25" s="2851"/>
      <c r="HHM25" s="2850"/>
      <c r="HHN25" s="2846"/>
      <c r="HHO25" s="2851"/>
      <c r="HHP25" s="2850"/>
      <c r="HHQ25" s="2846"/>
      <c r="HHR25" s="2851"/>
      <c r="HHS25" s="2850"/>
      <c r="HHT25" s="2846"/>
      <c r="HHU25" s="2851"/>
      <c r="HHV25" s="2850"/>
      <c r="HHW25" s="2846"/>
      <c r="HHX25" s="2851"/>
      <c r="HHY25" s="2850"/>
      <c r="HHZ25" s="2846"/>
      <c r="HIA25" s="2851"/>
      <c r="HIB25" s="2850"/>
      <c r="HIC25" s="2846"/>
      <c r="HID25" s="2851"/>
      <c r="HIE25" s="2850"/>
      <c r="HIF25" s="2846"/>
      <c r="HIG25" s="2851"/>
      <c r="HIH25" s="2850"/>
      <c r="HII25" s="2846"/>
      <c r="HIJ25" s="2851"/>
      <c r="HIK25" s="2850"/>
      <c r="HIL25" s="2846"/>
      <c r="HIM25" s="2851"/>
      <c r="HIN25" s="2850"/>
      <c r="HIO25" s="2846"/>
      <c r="HIP25" s="2851"/>
      <c r="HIQ25" s="2850"/>
      <c r="HIR25" s="2846"/>
      <c r="HIS25" s="2851"/>
      <c r="HIT25" s="2850"/>
      <c r="HIU25" s="2846"/>
      <c r="HIV25" s="2851"/>
      <c r="HIW25" s="2850"/>
      <c r="HIX25" s="2846"/>
      <c r="HIY25" s="2851"/>
      <c r="HIZ25" s="2850"/>
      <c r="HJA25" s="2846"/>
      <c r="HJB25" s="2851"/>
      <c r="HJC25" s="2850"/>
      <c r="HJD25" s="2846"/>
      <c r="HJE25" s="2851"/>
      <c r="HJF25" s="2850"/>
      <c r="HJG25" s="2846"/>
      <c r="HJH25" s="2851"/>
      <c r="HJI25" s="2850"/>
      <c r="HJJ25" s="2846"/>
      <c r="HJK25" s="2851"/>
      <c r="HJL25" s="2850"/>
      <c r="HJM25" s="2846"/>
      <c r="HJN25" s="2851"/>
      <c r="HJO25" s="2850"/>
      <c r="HJP25" s="2846"/>
      <c r="HJQ25" s="2851"/>
      <c r="HJR25" s="2850"/>
      <c r="HJS25" s="2846"/>
      <c r="HJT25" s="2851"/>
      <c r="HJU25" s="2850"/>
      <c r="HJV25" s="2846"/>
      <c r="HJW25" s="2851"/>
      <c r="HJX25" s="2850"/>
      <c r="HJY25" s="2846"/>
      <c r="HJZ25" s="2851"/>
      <c r="HKA25" s="2850"/>
      <c r="HKB25" s="2846"/>
      <c r="HKC25" s="2851"/>
      <c r="HKD25" s="2850"/>
      <c r="HKE25" s="2846"/>
      <c r="HKF25" s="2851"/>
      <c r="HKG25" s="2850"/>
      <c r="HKH25" s="2846"/>
      <c r="HKI25" s="2851"/>
      <c r="HKJ25" s="2850"/>
      <c r="HKK25" s="2846"/>
      <c r="HKL25" s="2851"/>
      <c r="HKM25" s="2850"/>
      <c r="HKN25" s="2846"/>
      <c r="HKO25" s="2851"/>
      <c r="HKP25" s="2850"/>
      <c r="HKQ25" s="2846"/>
      <c r="HKR25" s="2851"/>
      <c r="HKS25" s="2850"/>
      <c r="HKT25" s="2846"/>
      <c r="HKU25" s="2851"/>
      <c r="HKV25" s="2850"/>
      <c r="HKW25" s="2846"/>
      <c r="HKX25" s="2851"/>
      <c r="HKY25" s="2850"/>
      <c r="HKZ25" s="2846"/>
      <c r="HLA25" s="2851"/>
      <c r="HLB25" s="2850"/>
      <c r="HLC25" s="2846"/>
      <c r="HLD25" s="2851"/>
      <c r="HLE25" s="2850"/>
      <c r="HLF25" s="2846"/>
      <c r="HLG25" s="2851"/>
      <c r="HLH25" s="2850"/>
      <c r="HLI25" s="2846"/>
      <c r="HLJ25" s="2851"/>
      <c r="HLK25" s="2850"/>
      <c r="HLL25" s="2846"/>
      <c r="HLM25" s="2851"/>
      <c r="HLN25" s="2850"/>
      <c r="HLO25" s="2846"/>
      <c r="HLP25" s="2851"/>
      <c r="HLQ25" s="2850"/>
      <c r="HLR25" s="2846"/>
      <c r="HLS25" s="2851"/>
      <c r="HLT25" s="2850"/>
      <c r="HLU25" s="2846"/>
      <c r="HLV25" s="2851"/>
      <c r="HLW25" s="2850"/>
      <c r="HLX25" s="2846"/>
      <c r="HLY25" s="2851"/>
      <c r="HLZ25" s="2850"/>
      <c r="HMA25" s="2846"/>
      <c r="HMB25" s="2851"/>
      <c r="HMC25" s="2850"/>
      <c r="HMD25" s="2846"/>
      <c r="HME25" s="2851"/>
      <c r="HMF25" s="2850"/>
      <c r="HMG25" s="2846"/>
      <c r="HMH25" s="2851"/>
      <c r="HMI25" s="2850"/>
      <c r="HMJ25" s="2846"/>
      <c r="HMK25" s="2851"/>
      <c r="HML25" s="2850"/>
      <c r="HMM25" s="2846"/>
      <c r="HMN25" s="2851"/>
      <c r="HMO25" s="2850"/>
      <c r="HMP25" s="2846"/>
      <c r="HMQ25" s="2851"/>
      <c r="HMR25" s="2850"/>
      <c r="HMS25" s="2846"/>
      <c r="HMT25" s="2851"/>
      <c r="HMU25" s="2850"/>
      <c r="HMV25" s="2846"/>
      <c r="HMW25" s="2851"/>
      <c r="HMX25" s="2850"/>
      <c r="HMY25" s="2846"/>
      <c r="HMZ25" s="2851"/>
      <c r="HNA25" s="2850"/>
      <c r="HNB25" s="2846"/>
      <c r="HNC25" s="2851"/>
      <c r="HND25" s="2850"/>
      <c r="HNE25" s="2846"/>
      <c r="HNF25" s="2851"/>
      <c r="HNG25" s="2850"/>
      <c r="HNH25" s="2846"/>
      <c r="HNI25" s="2851"/>
      <c r="HNJ25" s="2850"/>
      <c r="HNK25" s="2846"/>
      <c r="HNL25" s="2851"/>
      <c r="HNM25" s="2850"/>
      <c r="HNN25" s="2846"/>
      <c r="HNO25" s="2851"/>
      <c r="HNP25" s="2850"/>
      <c r="HNQ25" s="2846"/>
      <c r="HNR25" s="2851"/>
      <c r="HNS25" s="2850"/>
      <c r="HNT25" s="2846"/>
      <c r="HNU25" s="2851"/>
      <c r="HNV25" s="2850"/>
      <c r="HNW25" s="2846"/>
      <c r="HNX25" s="2851"/>
      <c r="HNY25" s="2850"/>
      <c r="HNZ25" s="2846"/>
      <c r="HOA25" s="2851"/>
      <c r="HOB25" s="2850"/>
      <c r="HOC25" s="2846"/>
      <c r="HOD25" s="2851"/>
      <c r="HOE25" s="2850"/>
      <c r="HOF25" s="2846"/>
      <c r="HOG25" s="2851"/>
      <c r="HOH25" s="2850"/>
      <c r="HOI25" s="2846"/>
      <c r="HOJ25" s="2851"/>
      <c r="HOK25" s="2850"/>
      <c r="HOL25" s="2846"/>
      <c r="HOM25" s="2851"/>
      <c r="HON25" s="2850"/>
      <c r="HOO25" s="2846"/>
      <c r="HOP25" s="2851"/>
      <c r="HOQ25" s="2850"/>
      <c r="HOR25" s="2846"/>
      <c r="HOS25" s="2851"/>
      <c r="HOT25" s="2850"/>
      <c r="HOU25" s="2846"/>
      <c r="HOV25" s="2851"/>
      <c r="HOW25" s="2850"/>
      <c r="HOX25" s="2846"/>
      <c r="HOY25" s="2851"/>
      <c r="HOZ25" s="2850"/>
      <c r="HPA25" s="2846"/>
      <c r="HPB25" s="2851"/>
      <c r="HPC25" s="2850"/>
      <c r="HPD25" s="2846"/>
      <c r="HPE25" s="2851"/>
      <c r="HPF25" s="2850"/>
      <c r="HPG25" s="2846"/>
      <c r="HPH25" s="2851"/>
      <c r="HPI25" s="2850"/>
      <c r="HPJ25" s="2846"/>
      <c r="HPK25" s="2851"/>
      <c r="HPL25" s="2850"/>
      <c r="HPM25" s="2846"/>
      <c r="HPN25" s="2851"/>
      <c r="HPO25" s="2850"/>
      <c r="HPP25" s="2846"/>
      <c r="HPQ25" s="2851"/>
      <c r="HPR25" s="2850"/>
      <c r="HPS25" s="2846"/>
      <c r="HPT25" s="2851"/>
      <c r="HPU25" s="2850"/>
      <c r="HPV25" s="2846"/>
      <c r="HPW25" s="2851"/>
      <c r="HPX25" s="2850"/>
      <c r="HPY25" s="2846"/>
      <c r="HPZ25" s="2851"/>
      <c r="HQA25" s="2850"/>
      <c r="HQB25" s="2846"/>
      <c r="HQC25" s="2851"/>
      <c r="HQD25" s="2850"/>
      <c r="HQE25" s="2846"/>
      <c r="HQF25" s="2851"/>
      <c r="HQG25" s="2850"/>
      <c r="HQH25" s="2846"/>
      <c r="HQI25" s="2851"/>
      <c r="HQJ25" s="2850"/>
      <c r="HQK25" s="2846"/>
      <c r="HQL25" s="2851"/>
      <c r="HQM25" s="2850"/>
      <c r="HQN25" s="2846"/>
      <c r="HQO25" s="2851"/>
      <c r="HQP25" s="2850"/>
      <c r="HQQ25" s="2846"/>
      <c r="HQR25" s="2851"/>
      <c r="HQS25" s="2850"/>
      <c r="HQT25" s="2846"/>
      <c r="HQU25" s="2851"/>
      <c r="HQV25" s="2850"/>
      <c r="HQW25" s="2846"/>
      <c r="HQX25" s="2851"/>
      <c r="HQY25" s="2850"/>
      <c r="HQZ25" s="2846"/>
      <c r="HRA25" s="2851"/>
      <c r="HRB25" s="2850"/>
      <c r="HRC25" s="2846"/>
      <c r="HRD25" s="2851"/>
      <c r="HRE25" s="2850"/>
      <c r="HRF25" s="2846"/>
      <c r="HRG25" s="2851"/>
      <c r="HRH25" s="2850"/>
      <c r="HRI25" s="2846"/>
      <c r="HRJ25" s="2851"/>
      <c r="HRK25" s="2850"/>
      <c r="HRL25" s="2846"/>
      <c r="HRM25" s="2851"/>
      <c r="HRN25" s="2850"/>
      <c r="HRO25" s="2846"/>
      <c r="HRP25" s="2851"/>
      <c r="HRQ25" s="2850"/>
      <c r="HRR25" s="2846"/>
      <c r="HRS25" s="2851"/>
      <c r="HRT25" s="2850"/>
      <c r="HRU25" s="2846"/>
      <c r="HRV25" s="2851"/>
      <c r="HRW25" s="2850"/>
      <c r="HRX25" s="2846"/>
      <c r="HRY25" s="2851"/>
      <c r="HRZ25" s="2850"/>
      <c r="HSA25" s="2846"/>
      <c r="HSB25" s="2851"/>
      <c r="HSC25" s="2850"/>
      <c r="HSD25" s="2846"/>
      <c r="HSE25" s="2851"/>
      <c r="HSF25" s="2850"/>
      <c r="HSG25" s="2846"/>
      <c r="HSH25" s="2851"/>
      <c r="HSI25" s="2850"/>
      <c r="HSJ25" s="2846"/>
      <c r="HSK25" s="2851"/>
      <c r="HSL25" s="2850"/>
      <c r="HSM25" s="2846"/>
      <c r="HSN25" s="2851"/>
      <c r="HSO25" s="2850"/>
      <c r="HSP25" s="2846"/>
      <c r="HSQ25" s="2851"/>
      <c r="HSR25" s="2850"/>
      <c r="HSS25" s="2846"/>
      <c r="HST25" s="2851"/>
      <c r="HSU25" s="2850"/>
      <c r="HSV25" s="2846"/>
      <c r="HSW25" s="2851"/>
      <c r="HSX25" s="2850"/>
      <c r="HSY25" s="2846"/>
      <c r="HSZ25" s="2851"/>
      <c r="HTA25" s="2850"/>
      <c r="HTB25" s="2846"/>
      <c r="HTC25" s="2851"/>
      <c r="HTD25" s="2850"/>
      <c r="HTE25" s="2846"/>
      <c r="HTF25" s="2851"/>
      <c r="HTG25" s="2850"/>
      <c r="HTH25" s="2846"/>
      <c r="HTI25" s="2851"/>
      <c r="HTJ25" s="2850"/>
      <c r="HTK25" s="2846"/>
      <c r="HTL25" s="2851"/>
      <c r="HTM25" s="2850"/>
      <c r="HTN25" s="2846"/>
      <c r="HTO25" s="2851"/>
      <c r="HTP25" s="2850"/>
      <c r="HTQ25" s="2846"/>
      <c r="HTR25" s="2851"/>
      <c r="HTS25" s="2850"/>
      <c r="HTT25" s="2846"/>
      <c r="HTU25" s="2851"/>
      <c r="HTV25" s="2850"/>
      <c r="HTW25" s="2846"/>
      <c r="HTX25" s="2851"/>
      <c r="HTY25" s="2850"/>
      <c r="HTZ25" s="2846"/>
      <c r="HUA25" s="2851"/>
      <c r="HUB25" s="2850"/>
      <c r="HUC25" s="2846"/>
      <c r="HUD25" s="2851"/>
      <c r="HUE25" s="2850"/>
      <c r="HUF25" s="2846"/>
      <c r="HUG25" s="2851"/>
      <c r="HUH25" s="2850"/>
      <c r="HUI25" s="2846"/>
      <c r="HUJ25" s="2851"/>
      <c r="HUK25" s="2850"/>
      <c r="HUL25" s="2846"/>
      <c r="HUM25" s="2851"/>
      <c r="HUN25" s="2850"/>
      <c r="HUO25" s="2846"/>
      <c r="HUP25" s="2851"/>
      <c r="HUQ25" s="2850"/>
      <c r="HUR25" s="2846"/>
      <c r="HUS25" s="2851"/>
      <c r="HUT25" s="2850"/>
      <c r="HUU25" s="2846"/>
      <c r="HUV25" s="2851"/>
      <c r="HUW25" s="2850"/>
      <c r="HUX25" s="2846"/>
      <c r="HUY25" s="2851"/>
      <c r="HUZ25" s="2850"/>
      <c r="HVA25" s="2846"/>
      <c r="HVB25" s="2851"/>
      <c r="HVC25" s="2850"/>
      <c r="HVD25" s="2846"/>
      <c r="HVE25" s="2851"/>
      <c r="HVF25" s="2850"/>
      <c r="HVG25" s="2846"/>
      <c r="HVH25" s="2851"/>
      <c r="HVI25" s="2850"/>
      <c r="HVJ25" s="2846"/>
      <c r="HVK25" s="2851"/>
      <c r="HVL25" s="2850"/>
      <c r="HVM25" s="2846"/>
      <c r="HVN25" s="2851"/>
      <c r="HVO25" s="2850"/>
      <c r="HVP25" s="2846"/>
      <c r="HVQ25" s="2851"/>
      <c r="HVR25" s="2850"/>
      <c r="HVS25" s="2846"/>
      <c r="HVT25" s="2851"/>
      <c r="HVU25" s="2850"/>
      <c r="HVV25" s="2846"/>
      <c r="HVW25" s="2851"/>
      <c r="HVX25" s="2850"/>
      <c r="HVY25" s="2846"/>
      <c r="HVZ25" s="2851"/>
      <c r="HWA25" s="2850"/>
      <c r="HWB25" s="2846"/>
      <c r="HWC25" s="2851"/>
      <c r="HWD25" s="2850"/>
      <c r="HWE25" s="2846"/>
      <c r="HWF25" s="2851"/>
      <c r="HWG25" s="2850"/>
      <c r="HWH25" s="2846"/>
      <c r="HWI25" s="2851"/>
      <c r="HWJ25" s="2850"/>
      <c r="HWK25" s="2846"/>
      <c r="HWL25" s="2851"/>
      <c r="HWM25" s="2850"/>
      <c r="HWN25" s="2846"/>
      <c r="HWO25" s="2851"/>
      <c r="HWP25" s="2850"/>
      <c r="HWQ25" s="2846"/>
      <c r="HWR25" s="2851"/>
      <c r="HWS25" s="2850"/>
      <c r="HWT25" s="2846"/>
      <c r="HWU25" s="2851"/>
      <c r="HWV25" s="2850"/>
      <c r="HWW25" s="2846"/>
      <c r="HWX25" s="2851"/>
      <c r="HWY25" s="2850"/>
      <c r="HWZ25" s="2846"/>
      <c r="HXA25" s="2851"/>
      <c r="HXB25" s="2850"/>
      <c r="HXC25" s="2846"/>
      <c r="HXD25" s="2851"/>
      <c r="HXE25" s="2850"/>
      <c r="HXF25" s="2846"/>
      <c r="HXG25" s="2851"/>
      <c r="HXH25" s="2850"/>
      <c r="HXI25" s="2846"/>
      <c r="HXJ25" s="2851"/>
      <c r="HXK25" s="2850"/>
      <c r="HXL25" s="2846"/>
      <c r="HXM25" s="2851"/>
      <c r="HXN25" s="2850"/>
      <c r="HXO25" s="2846"/>
      <c r="HXP25" s="2851"/>
      <c r="HXQ25" s="2850"/>
      <c r="HXR25" s="2846"/>
      <c r="HXS25" s="2851"/>
      <c r="HXT25" s="2850"/>
      <c r="HXU25" s="2846"/>
      <c r="HXV25" s="2851"/>
      <c r="HXW25" s="2850"/>
      <c r="HXX25" s="2846"/>
      <c r="HXY25" s="2851"/>
      <c r="HXZ25" s="2850"/>
      <c r="HYA25" s="2846"/>
      <c r="HYB25" s="2851"/>
      <c r="HYC25" s="2850"/>
      <c r="HYD25" s="2846"/>
      <c r="HYE25" s="2851"/>
      <c r="HYF25" s="2850"/>
      <c r="HYG25" s="2846"/>
      <c r="HYH25" s="2851"/>
      <c r="HYI25" s="2850"/>
      <c r="HYJ25" s="2846"/>
      <c r="HYK25" s="2851"/>
      <c r="HYL25" s="2850"/>
      <c r="HYM25" s="2846"/>
      <c r="HYN25" s="2851"/>
      <c r="HYO25" s="2850"/>
      <c r="HYP25" s="2846"/>
      <c r="HYQ25" s="2851"/>
      <c r="HYR25" s="2850"/>
      <c r="HYS25" s="2846"/>
      <c r="HYT25" s="2851"/>
      <c r="HYU25" s="2850"/>
      <c r="HYV25" s="2846"/>
      <c r="HYW25" s="2851"/>
      <c r="HYX25" s="2850"/>
      <c r="HYY25" s="2846"/>
      <c r="HYZ25" s="2851"/>
      <c r="HZA25" s="2850"/>
      <c r="HZB25" s="2846"/>
      <c r="HZC25" s="2851"/>
      <c r="HZD25" s="2850"/>
      <c r="HZE25" s="2846"/>
      <c r="HZF25" s="2851"/>
      <c r="HZG25" s="2850"/>
      <c r="HZH25" s="2846"/>
      <c r="HZI25" s="2851"/>
      <c r="HZJ25" s="2850"/>
      <c r="HZK25" s="2846"/>
      <c r="HZL25" s="2851"/>
      <c r="HZM25" s="2850"/>
      <c r="HZN25" s="2846"/>
      <c r="HZO25" s="2851"/>
      <c r="HZP25" s="2850"/>
      <c r="HZQ25" s="2846"/>
      <c r="HZR25" s="2851"/>
      <c r="HZS25" s="2850"/>
      <c r="HZT25" s="2846"/>
      <c r="HZU25" s="2851"/>
      <c r="HZV25" s="2850"/>
      <c r="HZW25" s="2846"/>
      <c r="HZX25" s="2851"/>
      <c r="HZY25" s="2850"/>
      <c r="HZZ25" s="2846"/>
      <c r="IAA25" s="2851"/>
      <c r="IAB25" s="2850"/>
      <c r="IAC25" s="2846"/>
      <c r="IAD25" s="2851"/>
      <c r="IAE25" s="2850"/>
      <c r="IAF25" s="2846"/>
      <c r="IAG25" s="2851"/>
      <c r="IAH25" s="2850"/>
      <c r="IAI25" s="2846"/>
      <c r="IAJ25" s="2851"/>
      <c r="IAK25" s="2850"/>
      <c r="IAL25" s="2846"/>
      <c r="IAM25" s="2851"/>
      <c r="IAN25" s="2850"/>
      <c r="IAO25" s="2846"/>
      <c r="IAP25" s="2851"/>
      <c r="IAQ25" s="2850"/>
      <c r="IAR25" s="2846"/>
      <c r="IAS25" s="2851"/>
      <c r="IAT25" s="2850"/>
      <c r="IAU25" s="2846"/>
      <c r="IAV25" s="2851"/>
      <c r="IAW25" s="2850"/>
      <c r="IAX25" s="2846"/>
      <c r="IAY25" s="2851"/>
      <c r="IAZ25" s="2850"/>
      <c r="IBA25" s="2846"/>
      <c r="IBB25" s="2851"/>
      <c r="IBC25" s="2850"/>
      <c r="IBD25" s="2846"/>
      <c r="IBE25" s="2851"/>
      <c r="IBF25" s="2850"/>
      <c r="IBG25" s="2846"/>
      <c r="IBH25" s="2851"/>
      <c r="IBI25" s="2850"/>
      <c r="IBJ25" s="2846"/>
      <c r="IBK25" s="2851"/>
      <c r="IBL25" s="2850"/>
      <c r="IBM25" s="2846"/>
      <c r="IBN25" s="2851"/>
      <c r="IBO25" s="2850"/>
      <c r="IBP25" s="2846"/>
      <c r="IBQ25" s="2851"/>
      <c r="IBR25" s="2850"/>
      <c r="IBS25" s="2846"/>
      <c r="IBT25" s="2851"/>
      <c r="IBU25" s="2850"/>
      <c r="IBV25" s="2846"/>
      <c r="IBW25" s="2851"/>
      <c r="IBX25" s="2850"/>
      <c r="IBY25" s="2846"/>
      <c r="IBZ25" s="2851"/>
      <c r="ICA25" s="2850"/>
      <c r="ICB25" s="2846"/>
      <c r="ICC25" s="2851"/>
      <c r="ICD25" s="2850"/>
      <c r="ICE25" s="2846"/>
      <c r="ICF25" s="2851"/>
      <c r="ICG25" s="2850"/>
      <c r="ICH25" s="2846"/>
      <c r="ICI25" s="2851"/>
      <c r="ICJ25" s="2850"/>
      <c r="ICK25" s="2846"/>
      <c r="ICL25" s="2851"/>
      <c r="ICM25" s="2850"/>
      <c r="ICN25" s="2846"/>
      <c r="ICO25" s="2851"/>
      <c r="ICP25" s="2850"/>
      <c r="ICQ25" s="2846"/>
      <c r="ICR25" s="2851"/>
      <c r="ICS25" s="2850"/>
      <c r="ICT25" s="2846"/>
      <c r="ICU25" s="2851"/>
      <c r="ICV25" s="2850"/>
      <c r="ICW25" s="2846"/>
      <c r="ICX25" s="2851"/>
      <c r="ICY25" s="2850"/>
      <c r="ICZ25" s="2846"/>
      <c r="IDA25" s="2851"/>
      <c r="IDB25" s="2850"/>
      <c r="IDC25" s="2846"/>
      <c r="IDD25" s="2851"/>
      <c r="IDE25" s="2850"/>
      <c r="IDF25" s="2846"/>
      <c r="IDG25" s="2851"/>
      <c r="IDH25" s="2850"/>
      <c r="IDI25" s="2846"/>
      <c r="IDJ25" s="2851"/>
      <c r="IDK25" s="2850"/>
      <c r="IDL25" s="2846"/>
      <c r="IDM25" s="2851"/>
      <c r="IDN25" s="2850"/>
      <c r="IDO25" s="2846"/>
      <c r="IDP25" s="2851"/>
      <c r="IDQ25" s="2850"/>
      <c r="IDR25" s="2846"/>
      <c r="IDS25" s="2851"/>
      <c r="IDT25" s="2850"/>
      <c r="IDU25" s="2846"/>
      <c r="IDV25" s="2851"/>
      <c r="IDW25" s="2850"/>
      <c r="IDX25" s="2846"/>
      <c r="IDY25" s="2851"/>
      <c r="IDZ25" s="2850"/>
      <c r="IEA25" s="2846"/>
      <c r="IEB25" s="2851"/>
      <c r="IEC25" s="2850"/>
      <c r="IED25" s="2846"/>
      <c r="IEE25" s="2851"/>
      <c r="IEF25" s="2850"/>
      <c r="IEG25" s="2846"/>
      <c r="IEH25" s="2851"/>
      <c r="IEI25" s="2850"/>
      <c r="IEJ25" s="2846"/>
      <c r="IEK25" s="2851"/>
      <c r="IEL25" s="2850"/>
      <c r="IEM25" s="2846"/>
      <c r="IEN25" s="2851"/>
      <c r="IEO25" s="2850"/>
      <c r="IEP25" s="2846"/>
      <c r="IEQ25" s="2851"/>
      <c r="IER25" s="2850"/>
      <c r="IES25" s="2846"/>
      <c r="IET25" s="2851"/>
      <c r="IEU25" s="2850"/>
      <c r="IEV25" s="2846"/>
      <c r="IEW25" s="2851"/>
      <c r="IEX25" s="2850"/>
      <c r="IEY25" s="2846"/>
      <c r="IEZ25" s="2851"/>
      <c r="IFA25" s="2850"/>
      <c r="IFB25" s="2846"/>
      <c r="IFC25" s="2851"/>
      <c r="IFD25" s="2850"/>
      <c r="IFE25" s="2846"/>
      <c r="IFF25" s="2851"/>
      <c r="IFG25" s="2850"/>
      <c r="IFH25" s="2846"/>
      <c r="IFI25" s="2851"/>
      <c r="IFJ25" s="2850"/>
      <c r="IFK25" s="2846"/>
      <c r="IFL25" s="2851"/>
      <c r="IFM25" s="2850"/>
      <c r="IFN25" s="2846"/>
      <c r="IFO25" s="2851"/>
      <c r="IFP25" s="2850"/>
      <c r="IFQ25" s="2846"/>
      <c r="IFR25" s="2851"/>
      <c r="IFS25" s="2850"/>
      <c r="IFT25" s="2846"/>
      <c r="IFU25" s="2851"/>
      <c r="IFV25" s="2850"/>
      <c r="IFW25" s="2846"/>
      <c r="IFX25" s="2851"/>
      <c r="IFY25" s="2850"/>
      <c r="IFZ25" s="2846"/>
      <c r="IGA25" s="2851"/>
      <c r="IGB25" s="2850"/>
      <c r="IGC25" s="2846"/>
      <c r="IGD25" s="2851"/>
      <c r="IGE25" s="2850"/>
      <c r="IGF25" s="2846"/>
      <c r="IGG25" s="2851"/>
      <c r="IGH25" s="2850"/>
      <c r="IGI25" s="2846"/>
      <c r="IGJ25" s="2851"/>
      <c r="IGK25" s="2850"/>
      <c r="IGL25" s="2846"/>
      <c r="IGM25" s="2851"/>
      <c r="IGN25" s="2850"/>
      <c r="IGO25" s="2846"/>
      <c r="IGP25" s="2851"/>
      <c r="IGQ25" s="2850"/>
      <c r="IGR25" s="2846"/>
      <c r="IGS25" s="2851"/>
      <c r="IGT25" s="2850"/>
      <c r="IGU25" s="2846"/>
      <c r="IGV25" s="2851"/>
      <c r="IGW25" s="2850"/>
      <c r="IGX25" s="2846"/>
      <c r="IGY25" s="2851"/>
      <c r="IGZ25" s="2850"/>
      <c r="IHA25" s="2846"/>
      <c r="IHB25" s="2851"/>
      <c r="IHC25" s="2850"/>
      <c r="IHD25" s="2846"/>
      <c r="IHE25" s="2851"/>
      <c r="IHF25" s="2850"/>
      <c r="IHG25" s="2846"/>
      <c r="IHH25" s="2851"/>
      <c r="IHI25" s="2850"/>
      <c r="IHJ25" s="2846"/>
      <c r="IHK25" s="2851"/>
      <c r="IHL25" s="2850"/>
      <c r="IHM25" s="2846"/>
      <c r="IHN25" s="2851"/>
      <c r="IHO25" s="2850"/>
      <c r="IHP25" s="2846"/>
      <c r="IHQ25" s="2851"/>
      <c r="IHR25" s="2850"/>
      <c r="IHS25" s="2846"/>
      <c r="IHT25" s="2851"/>
      <c r="IHU25" s="2850"/>
      <c r="IHV25" s="2846"/>
      <c r="IHW25" s="2851"/>
      <c r="IHX25" s="2850"/>
      <c r="IHY25" s="2846"/>
      <c r="IHZ25" s="2851"/>
      <c r="IIA25" s="2850"/>
      <c r="IIB25" s="2846"/>
      <c r="IIC25" s="2851"/>
      <c r="IID25" s="2850"/>
      <c r="IIE25" s="2846"/>
      <c r="IIF25" s="2851"/>
      <c r="IIG25" s="2850"/>
      <c r="IIH25" s="2846"/>
      <c r="III25" s="2851"/>
      <c r="IIJ25" s="2850"/>
      <c r="IIK25" s="2846"/>
      <c r="IIL25" s="2851"/>
      <c r="IIM25" s="2850"/>
      <c r="IIN25" s="2846"/>
      <c r="IIO25" s="2851"/>
      <c r="IIP25" s="2850"/>
      <c r="IIQ25" s="2846"/>
      <c r="IIR25" s="2851"/>
      <c r="IIS25" s="2850"/>
      <c r="IIT25" s="2846"/>
      <c r="IIU25" s="2851"/>
      <c r="IIV25" s="2850"/>
      <c r="IIW25" s="2846"/>
      <c r="IIX25" s="2851"/>
      <c r="IIY25" s="2850"/>
      <c r="IIZ25" s="2846"/>
      <c r="IJA25" s="2851"/>
      <c r="IJB25" s="2850"/>
      <c r="IJC25" s="2846"/>
      <c r="IJD25" s="2851"/>
      <c r="IJE25" s="2850"/>
      <c r="IJF25" s="2846"/>
      <c r="IJG25" s="2851"/>
      <c r="IJH25" s="2850"/>
      <c r="IJI25" s="2846"/>
      <c r="IJJ25" s="2851"/>
      <c r="IJK25" s="2850"/>
      <c r="IJL25" s="2846"/>
      <c r="IJM25" s="2851"/>
      <c r="IJN25" s="2850"/>
      <c r="IJO25" s="2846"/>
      <c r="IJP25" s="2851"/>
      <c r="IJQ25" s="2850"/>
      <c r="IJR25" s="2846"/>
      <c r="IJS25" s="2851"/>
      <c r="IJT25" s="2850"/>
      <c r="IJU25" s="2846"/>
      <c r="IJV25" s="2851"/>
      <c r="IJW25" s="2850"/>
      <c r="IJX25" s="2846"/>
      <c r="IJY25" s="2851"/>
      <c r="IJZ25" s="2850"/>
      <c r="IKA25" s="2846"/>
      <c r="IKB25" s="2851"/>
      <c r="IKC25" s="2850"/>
      <c r="IKD25" s="2846"/>
      <c r="IKE25" s="2851"/>
      <c r="IKF25" s="2850"/>
      <c r="IKG25" s="2846"/>
      <c r="IKH25" s="2851"/>
      <c r="IKI25" s="2850"/>
      <c r="IKJ25" s="2846"/>
      <c r="IKK25" s="2851"/>
      <c r="IKL25" s="2850"/>
      <c r="IKM25" s="2846"/>
      <c r="IKN25" s="2851"/>
      <c r="IKO25" s="2850"/>
      <c r="IKP25" s="2846"/>
      <c r="IKQ25" s="2851"/>
      <c r="IKR25" s="2850"/>
      <c r="IKS25" s="2846"/>
      <c r="IKT25" s="2851"/>
      <c r="IKU25" s="2850"/>
      <c r="IKV25" s="2846"/>
      <c r="IKW25" s="2851"/>
      <c r="IKX25" s="2850"/>
      <c r="IKY25" s="2846"/>
      <c r="IKZ25" s="2851"/>
      <c r="ILA25" s="2850"/>
      <c r="ILB25" s="2846"/>
      <c r="ILC25" s="2851"/>
      <c r="ILD25" s="2850"/>
      <c r="ILE25" s="2846"/>
      <c r="ILF25" s="2851"/>
      <c r="ILG25" s="2850"/>
      <c r="ILH25" s="2846"/>
      <c r="ILI25" s="2851"/>
      <c r="ILJ25" s="2850"/>
      <c r="ILK25" s="2846"/>
      <c r="ILL25" s="2851"/>
      <c r="ILM25" s="2850"/>
      <c r="ILN25" s="2846"/>
      <c r="ILO25" s="2851"/>
      <c r="ILP25" s="2850"/>
      <c r="ILQ25" s="2846"/>
      <c r="ILR25" s="2851"/>
      <c r="ILS25" s="2850"/>
      <c r="ILT25" s="2846"/>
      <c r="ILU25" s="2851"/>
      <c r="ILV25" s="2850"/>
      <c r="ILW25" s="2846"/>
      <c r="ILX25" s="2851"/>
      <c r="ILY25" s="2850"/>
      <c r="ILZ25" s="2846"/>
      <c r="IMA25" s="2851"/>
      <c r="IMB25" s="2850"/>
      <c r="IMC25" s="2846"/>
      <c r="IMD25" s="2851"/>
      <c r="IME25" s="2850"/>
      <c r="IMF25" s="2846"/>
      <c r="IMG25" s="2851"/>
      <c r="IMH25" s="2850"/>
      <c r="IMI25" s="2846"/>
      <c r="IMJ25" s="2851"/>
      <c r="IMK25" s="2850"/>
      <c r="IML25" s="2846"/>
      <c r="IMM25" s="2851"/>
      <c r="IMN25" s="2850"/>
      <c r="IMO25" s="2846"/>
      <c r="IMP25" s="2851"/>
      <c r="IMQ25" s="2850"/>
      <c r="IMR25" s="2846"/>
      <c r="IMS25" s="2851"/>
      <c r="IMT25" s="2850"/>
      <c r="IMU25" s="2846"/>
      <c r="IMV25" s="2851"/>
      <c r="IMW25" s="2850"/>
      <c r="IMX25" s="2846"/>
      <c r="IMY25" s="2851"/>
      <c r="IMZ25" s="2850"/>
      <c r="INA25" s="2846"/>
      <c r="INB25" s="2851"/>
      <c r="INC25" s="2850"/>
      <c r="IND25" s="2846"/>
      <c r="INE25" s="2851"/>
      <c r="INF25" s="2850"/>
      <c r="ING25" s="2846"/>
      <c r="INH25" s="2851"/>
      <c r="INI25" s="2850"/>
      <c r="INJ25" s="2846"/>
      <c r="INK25" s="2851"/>
      <c r="INL25" s="2850"/>
      <c r="INM25" s="2846"/>
      <c r="INN25" s="2851"/>
      <c r="INO25" s="2850"/>
      <c r="INP25" s="2846"/>
      <c r="INQ25" s="2851"/>
      <c r="INR25" s="2850"/>
      <c r="INS25" s="2846"/>
      <c r="INT25" s="2851"/>
      <c r="INU25" s="2850"/>
      <c r="INV25" s="2846"/>
      <c r="INW25" s="2851"/>
      <c r="INX25" s="2850"/>
      <c r="INY25" s="2846"/>
      <c r="INZ25" s="2851"/>
      <c r="IOA25" s="2850"/>
      <c r="IOB25" s="2846"/>
      <c r="IOC25" s="2851"/>
      <c r="IOD25" s="2850"/>
      <c r="IOE25" s="2846"/>
      <c r="IOF25" s="2851"/>
      <c r="IOG25" s="2850"/>
      <c r="IOH25" s="2846"/>
      <c r="IOI25" s="2851"/>
      <c r="IOJ25" s="2850"/>
      <c r="IOK25" s="2846"/>
      <c r="IOL25" s="2851"/>
      <c r="IOM25" s="2850"/>
      <c r="ION25" s="2846"/>
      <c r="IOO25" s="2851"/>
      <c r="IOP25" s="2850"/>
      <c r="IOQ25" s="2846"/>
      <c r="IOR25" s="2851"/>
      <c r="IOS25" s="2850"/>
      <c r="IOT25" s="2846"/>
      <c r="IOU25" s="2851"/>
      <c r="IOV25" s="2850"/>
      <c r="IOW25" s="2846"/>
      <c r="IOX25" s="2851"/>
      <c r="IOY25" s="2850"/>
      <c r="IOZ25" s="2846"/>
      <c r="IPA25" s="2851"/>
      <c r="IPB25" s="2850"/>
      <c r="IPC25" s="2846"/>
      <c r="IPD25" s="2851"/>
      <c r="IPE25" s="2850"/>
      <c r="IPF25" s="2846"/>
      <c r="IPG25" s="2851"/>
      <c r="IPH25" s="2850"/>
      <c r="IPI25" s="2846"/>
      <c r="IPJ25" s="2851"/>
      <c r="IPK25" s="2850"/>
      <c r="IPL25" s="2846"/>
      <c r="IPM25" s="2851"/>
      <c r="IPN25" s="2850"/>
      <c r="IPO25" s="2846"/>
      <c r="IPP25" s="2851"/>
      <c r="IPQ25" s="2850"/>
      <c r="IPR25" s="2846"/>
      <c r="IPS25" s="2851"/>
      <c r="IPT25" s="2850"/>
      <c r="IPU25" s="2846"/>
      <c r="IPV25" s="2851"/>
      <c r="IPW25" s="2850"/>
      <c r="IPX25" s="2846"/>
      <c r="IPY25" s="2851"/>
      <c r="IPZ25" s="2850"/>
      <c r="IQA25" s="2846"/>
      <c r="IQB25" s="2851"/>
      <c r="IQC25" s="2850"/>
      <c r="IQD25" s="2846"/>
      <c r="IQE25" s="2851"/>
      <c r="IQF25" s="2850"/>
      <c r="IQG25" s="2846"/>
      <c r="IQH25" s="2851"/>
      <c r="IQI25" s="2850"/>
      <c r="IQJ25" s="2846"/>
      <c r="IQK25" s="2851"/>
      <c r="IQL25" s="2850"/>
      <c r="IQM25" s="2846"/>
      <c r="IQN25" s="2851"/>
      <c r="IQO25" s="2850"/>
      <c r="IQP25" s="2846"/>
      <c r="IQQ25" s="2851"/>
      <c r="IQR25" s="2850"/>
      <c r="IQS25" s="2846"/>
      <c r="IQT25" s="2851"/>
      <c r="IQU25" s="2850"/>
      <c r="IQV25" s="2846"/>
      <c r="IQW25" s="2851"/>
      <c r="IQX25" s="2850"/>
      <c r="IQY25" s="2846"/>
      <c r="IQZ25" s="2851"/>
      <c r="IRA25" s="2850"/>
      <c r="IRB25" s="2846"/>
      <c r="IRC25" s="2851"/>
      <c r="IRD25" s="2850"/>
      <c r="IRE25" s="2846"/>
      <c r="IRF25" s="2851"/>
      <c r="IRG25" s="2850"/>
      <c r="IRH25" s="2846"/>
      <c r="IRI25" s="2851"/>
      <c r="IRJ25" s="2850"/>
      <c r="IRK25" s="2846"/>
      <c r="IRL25" s="2851"/>
      <c r="IRM25" s="2850"/>
      <c r="IRN25" s="2846"/>
      <c r="IRO25" s="2851"/>
      <c r="IRP25" s="2850"/>
      <c r="IRQ25" s="2846"/>
      <c r="IRR25" s="2851"/>
      <c r="IRS25" s="2850"/>
      <c r="IRT25" s="2846"/>
      <c r="IRU25" s="2851"/>
      <c r="IRV25" s="2850"/>
      <c r="IRW25" s="2846"/>
      <c r="IRX25" s="2851"/>
      <c r="IRY25" s="2850"/>
      <c r="IRZ25" s="2846"/>
      <c r="ISA25" s="2851"/>
      <c r="ISB25" s="2850"/>
      <c r="ISC25" s="2846"/>
      <c r="ISD25" s="2851"/>
      <c r="ISE25" s="2850"/>
      <c r="ISF25" s="2846"/>
      <c r="ISG25" s="2851"/>
      <c r="ISH25" s="2850"/>
      <c r="ISI25" s="2846"/>
      <c r="ISJ25" s="2851"/>
      <c r="ISK25" s="2850"/>
      <c r="ISL25" s="2846"/>
      <c r="ISM25" s="2851"/>
      <c r="ISN25" s="2850"/>
      <c r="ISO25" s="2846"/>
      <c r="ISP25" s="2851"/>
      <c r="ISQ25" s="2850"/>
      <c r="ISR25" s="2846"/>
      <c r="ISS25" s="2851"/>
      <c r="IST25" s="2850"/>
      <c r="ISU25" s="2846"/>
      <c r="ISV25" s="2851"/>
      <c r="ISW25" s="2850"/>
      <c r="ISX25" s="2846"/>
      <c r="ISY25" s="2851"/>
      <c r="ISZ25" s="2850"/>
      <c r="ITA25" s="2846"/>
      <c r="ITB25" s="2851"/>
      <c r="ITC25" s="2850"/>
      <c r="ITD25" s="2846"/>
      <c r="ITE25" s="2851"/>
      <c r="ITF25" s="2850"/>
      <c r="ITG25" s="2846"/>
      <c r="ITH25" s="2851"/>
      <c r="ITI25" s="2850"/>
      <c r="ITJ25" s="2846"/>
      <c r="ITK25" s="2851"/>
      <c r="ITL25" s="2850"/>
      <c r="ITM25" s="2846"/>
      <c r="ITN25" s="2851"/>
      <c r="ITO25" s="2850"/>
      <c r="ITP25" s="2846"/>
      <c r="ITQ25" s="2851"/>
      <c r="ITR25" s="2850"/>
      <c r="ITS25" s="2846"/>
      <c r="ITT25" s="2851"/>
      <c r="ITU25" s="2850"/>
      <c r="ITV25" s="2846"/>
      <c r="ITW25" s="2851"/>
      <c r="ITX25" s="2850"/>
      <c r="ITY25" s="2846"/>
      <c r="ITZ25" s="2851"/>
      <c r="IUA25" s="2850"/>
      <c r="IUB25" s="2846"/>
      <c r="IUC25" s="2851"/>
      <c r="IUD25" s="2850"/>
      <c r="IUE25" s="2846"/>
      <c r="IUF25" s="2851"/>
      <c r="IUG25" s="2850"/>
      <c r="IUH25" s="2846"/>
      <c r="IUI25" s="2851"/>
      <c r="IUJ25" s="2850"/>
      <c r="IUK25" s="2846"/>
      <c r="IUL25" s="2851"/>
      <c r="IUM25" s="2850"/>
      <c r="IUN25" s="2846"/>
      <c r="IUO25" s="2851"/>
      <c r="IUP25" s="2850"/>
      <c r="IUQ25" s="2846"/>
      <c r="IUR25" s="2851"/>
      <c r="IUS25" s="2850"/>
      <c r="IUT25" s="2846"/>
      <c r="IUU25" s="2851"/>
      <c r="IUV25" s="2850"/>
      <c r="IUW25" s="2846"/>
      <c r="IUX25" s="2851"/>
      <c r="IUY25" s="2850"/>
      <c r="IUZ25" s="2846"/>
      <c r="IVA25" s="2851"/>
      <c r="IVB25" s="2850"/>
      <c r="IVC25" s="2846"/>
      <c r="IVD25" s="2851"/>
      <c r="IVE25" s="2850"/>
      <c r="IVF25" s="2846"/>
      <c r="IVG25" s="2851"/>
      <c r="IVH25" s="2850"/>
      <c r="IVI25" s="2846"/>
      <c r="IVJ25" s="2851"/>
      <c r="IVK25" s="2850"/>
      <c r="IVL25" s="2846"/>
      <c r="IVM25" s="2851"/>
      <c r="IVN25" s="2850"/>
      <c r="IVO25" s="2846"/>
      <c r="IVP25" s="2851"/>
      <c r="IVQ25" s="2850"/>
      <c r="IVR25" s="2846"/>
      <c r="IVS25" s="2851"/>
      <c r="IVT25" s="2850"/>
      <c r="IVU25" s="2846"/>
      <c r="IVV25" s="2851"/>
      <c r="IVW25" s="2850"/>
      <c r="IVX25" s="2846"/>
      <c r="IVY25" s="2851"/>
      <c r="IVZ25" s="2850"/>
      <c r="IWA25" s="2846"/>
      <c r="IWB25" s="2851"/>
      <c r="IWC25" s="2850"/>
      <c r="IWD25" s="2846"/>
      <c r="IWE25" s="2851"/>
      <c r="IWF25" s="2850"/>
      <c r="IWG25" s="2846"/>
      <c r="IWH25" s="2851"/>
      <c r="IWI25" s="2850"/>
      <c r="IWJ25" s="2846"/>
      <c r="IWK25" s="2851"/>
      <c r="IWL25" s="2850"/>
      <c r="IWM25" s="2846"/>
      <c r="IWN25" s="2851"/>
      <c r="IWO25" s="2850"/>
      <c r="IWP25" s="2846"/>
      <c r="IWQ25" s="2851"/>
      <c r="IWR25" s="2850"/>
      <c r="IWS25" s="2846"/>
      <c r="IWT25" s="2851"/>
      <c r="IWU25" s="2850"/>
      <c r="IWV25" s="2846"/>
      <c r="IWW25" s="2851"/>
      <c r="IWX25" s="2850"/>
      <c r="IWY25" s="2846"/>
      <c r="IWZ25" s="2851"/>
      <c r="IXA25" s="2850"/>
      <c r="IXB25" s="2846"/>
      <c r="IXC25" s="2851"/>
      <c r="IXD25" s="2850"/>
      <c r="IXE25" s="2846"/>
      <c r="IXF25" s="2851"/>
      <c r="IXG25" s="2850"/>
      <c r="IXH25" s="2846"/>
      <c r="IXI25" s="2851"/>
      <c r="IXJ25" s="2850"/>
      <c r="IXK25" s="2846"/>
      <c r="IXL25" s="2851"/>
      <c r="IXM25" s="2850"/>
      <c r="IXN25" s="2846"/>
      <c r="IXO25" s="2851"/>
      <c r="IXP25" s="2850"/>
      <c r="IXQ25" s="2846"/>
      <c r="IXR25" s="2851"/>
      <c r="IXS25" s="2850"/>
      <c r="IXT25" s="2846"/>
      <c r="IXU25" s="2851"/>
      <c r="IXV25" s="2850"/>
      <c r="IXW25" s="2846"/>
      <c r="IXX25" s="2851"/>
      <c r="IXY25" s="2850"/>
      <c r="IXZ25" s="2846"/>
      <c r="IYA25" s="2851"/>
      <c r="IYB25" s="2850"/>
      <c r="IYC25" s="2846"/>
      <c r="IYD25" s="2851"/>
      <c r="IYE25" s="2850"/>
      <c r="IYF25" s="2846"/>
      <c r="IYG25" s="2851"/>
      <c r="IYH25" s="2850"/>
      <c r="IYI25" s="2846"/>
      <c r="IYJ25" s="2851"/>
      <c r="IYK25" s="2850"/>
      <c r="IYL25" s="2846"/>
      <c r="IYM25" s="2851"/>
      <c r="IYN25" s="2850"/>
      <c r="IYO25" s="2846"/>
      <c r="IYP25" s="2851"/>
      <c r="IYQ25" s="2850"/>
      <c r="IYR25" s="2846"/>
      <c r="IYS25" s="2851"/>
      <c r="IYT25" s="2850"/>
      <c r="IYU25" s="2846"/>
      <c r="IYV25" s="2851"/>
      <c r="IYW25" s="2850"/>
      <c r="IYX25" s="2846"/>
      <c r="IYY25" s="2851"/>
      <c r="IYZ25" s="2850"/>
      <c r="IZA25" s="2846"/>
      <c r="IZB25" s="2851"/>
      <c r="IZC25" s="2850"/>
      <c r="IZD25" s="2846"/>
      <c r="IZE25" s="2851"/>
      <c r="IZF25" s="2850"/>
      <c r="IZG25" s="2846"/>
      <c r="IZH25" s="2851"/>
      <c r="IZI25" s="2850"/>
      <c r="IZJ25" s="2846"/>
      <c r="IZK25" s="2851"/>
      <c r="IZL25" s="2850"/>
      <c r="IZM25" s="2846"/>
      <c r="IZN25" s="2851"/>
      <c r="IZO25" s="2850"/>
      <c r="IZP25" s="2846"/>
      <c r="IZQ25" s="2851"/>
      <c r="IZR25" s="2850"/>
      <c r="IZS25" s="2846"/>
      <c r="IZT25" s="2851"/>
      <c r="IZU25" s="2850"/>
      <c r="IZV25" s="2846"/>
      <c r="IZW25" s="2851"/>
      <c r="IZX25" s="2850"/>
      <c r="IZY25" s="2846"/>
      <c r="IZZ25" s="2851"/>
      <c r="JAA25" s="2850"/>
      <c r="JAB25" s="2846"/>
      <c r="JAC25" s="2851"/>
      <c r="JAD25" s="2850"/>
      <c r="JAE25" s="2846"/>
      <c r="JAF25" s="2851"/>
      <c r="JAG25" s="2850"/>
      <c r="JAH25" s="2846"/>
      <c r="JAI25" s="2851"/>
      <c r="JAJ25" s="2850"/>
      <c r="JAK25" s="2846"/>
      <c r="JAL25" s="2851"/>
      <c r="JAM25" s="2850"/>
      <c r="JAN25" s="2846"/>
      <c r="JAO25" s="2851"/>
      <c r="JAP25" s="2850"/>
      <c r="JAQ25" s="2846"/>
      <c r="JAR25" s="2851"/>
      <c r="JAS25" s="2850"/>
      <c r="JAT25" s="2846"/>
      <c r="JAU25" s="2851"/>
      <c r="JAV25" s="2850"/>
      <c r="JAW25" s="2846"/>
      <c r="JAX25" s="2851"/>
      <c r="JAY25" s="2850"/>
      <c r="JAZ25" s="2846"/>
      <c r="JBA25" s="2851"/>
      <c r="JBB25" s="2850"/>
      <c r="JBC25" s="2846"/>
      <c r="JBD25" s="2851"/>
      <c r="JBE25" s="2850"/>
      <c r="JBF25" s="2846"/>
      <c r="JBG25" s="2851"/>
      <c r="JBH25" s="2850"/>
      <c r="JBI25" s="2846"/>
      <c r="JBJ25" s="2851"/>
      <c r="JBK25" s="2850"/>
      <c r="JBL25" s="2846"/>
      <c r="JBM25" s="2851"/>
      <c r="JBN25" s="2850"/>
      <c r="JBO25" s="2846"/>
      <c r="JBP25" s="2851"/>
      <c r="JBQ25" s="2850"/>
      <c r="JBR25" s="2846"/>
      <c r="JBS25" s="2851"/>
      <c r="JBT25" s="2850"/>
      <c r="JBU25" s="2846"/>
      <c r="JBV25" s="2851"/>
      <c r="JBW25" s="2850"/>
      <c r="JBX25" s="2846"/>
      <c r="JBY25" s="2851"/>
      <c r="JBZ25" s="2850"/>
      <c r="JCA25" s="2846"/>
      <c r="JCB25" s="2851"/>
      <c r="JCC25" s="2850"/>
      <c r="JCD25" s="2846"/>
      <c r="JCE25" s="2851"/>
      <c r="JCF25" s="2850"/>
      <c r="JCG25" s="2846"/>
      <c r="JCH25" s="2851"/>
      <c r="JCI25" s="2850"/>
      <c r="JCJ25" s="2846"/>
      <c r="JCK25" s="2851"/>
      <c r="JCL25" s="2850"/>
      <c r="JCM25" s="2846"/>
      <c r="JCN25" s="2851"/>
      <c r="JCO25" s="2850"/>
      <c r="JCP25" s="2846"/>
      <c r="JCQ25" s="2851"/>
      <c r="JCR25" s="2850"/>
      <c r="JCS25" s="2846"/>
      <c r="JCT25" s="2851"/>
      <c r="JCU25" s="2850"/>
      <c r="JCV25" s="2846"/>
      <c r="JCW25" s="2851"/>
      <c r="JCX25" s="2850"/>
      <c r="JCY25" s="2846"/>
      <c r="JCZ25" s="2851"/>
      <c r="JDA25" s="2850"/>
      <c r="JDB25" s="2846"/>
      <c r="JDC25" s="2851"/>
      <c r="JDD25" s="2850"/>
      <c r="JDE25" s="2846"/>
      <c r="JDF25" s="2851"/>
      <c r="JDG25" s="2850"/>
      <c r="JDH25" s="2846"/>
      <c r="JDI25" s="2851"/>
      <c r="JDJ25" s="2850"/>
      <c r="JDK25" s="2846"/>
      <c r="JDL25" s="2851"/>
      <c r="JDM25" s="2850"/>
      <c r="JDN25" s="2846"/>
      <c r="JDO25" s="2851"/>
      <c r="JDP25" s="2850"/>
      <c r="JDQ25" s="2846"/>
      <c r="JDR25" s="2851"/>
      <c r="JDS25" s="2850"/>
      <c r="JDT25" s="2846"/>
      <c r="JDU25" s="2851"/>
      <c r="JDV25" s="2850"/>
      <c r="JDW25" s="2846"/>
      <c r="JDX25" s="2851"/>
      <c r="JDY25" s="2850"/>
      <c r="JDZ25" s="2846"/>
      <c r="JEA25" s="2851"/>
      <c r="JEB25" s="2850"/>
      <c r="JEC25" s="2846"/>
      <c r="JED25" s="2851"/>
      <c r="JEE25" s="2850"/>
      <c r="JEF25" s="2846"/>
      <c r="JEG25" s="2851"/>
      <c r="JEH25" s="2850"/>
      <c r="JEI25" s="2846"/>
      <c r="JEJ25" s="2851"/>
      <c r="JEK25" s="2850"/>
      <c r="JEL25" s="2846"/>
      <c r="JEM25" s="2851"/>
      <c r="JEN25" s="2850"/>
      <c r="JEO25" s="2846"/>
      <c r="JEP25" s="2851"/>
      <c r="JEQ25" s="2850"/>
      <c r="JER25" s="2846"/>
      <c r="JES25" s="2851"/>
      <c r="JET25" s="2850"/>
      <c r="JEU25" s="2846"/>
      <c r="JEV25" s="2851"/>
      <c r="JEW25" s="2850"/>
      <c r="JEX25" s="2846"/>
      <c r="JEY25" s="2851"/>
      <c r="JEZ25" s="2850"/>
      <c r="JFA25" s="2846"/>
      <c r="JFB25" s="2851"/>
      <c r="JFC25" s="2850"/>
      <c r="JFD25" s="2846"/>
      <c r="JFE25" s="2851"/>
      <c r="JFF25" s="2850"/>
      <c r="JFG25" s="2846"/>
      <c r="JFH25" s="2851"/>
      <c r="JFI25" s="2850"/>
      <c r="JFJ25" s="2846"/>
      <c r="JFK25" s="2851"/>
      <c r="JFL25" s="2850"/>
      <c r="JFM25" s="2846"/>
      <c r="JFN25" s="2851"/>
      <c r="JFO25" s="2850"/>
      <c r="JFP25" s="2846"/>
      <c r="JFQ25" s="2851"/>
      <c r="JFR25" s="2850"/>
      <c r="JFS25" s="2846"/>
      <c r="JFT25" s="2851"/>
      <c r="JFU25" s="2850"/>
      <c r="JFV25" s="2846"/>
      <c r="JFW25" s="2851"/>
      <c r="JFX25" s="2850"/>
      <c r="JFY25" s="2846"/>
      <c r="JFZ25" s="2851"/>
      <c r="JGA25" s="2850"/>
      <c r="JGB25" s="2846"/>
      <c r="JGC25" s="2851"/>
      <c r="JGD25" s="2850"/>
      <c r="JGE25" s="2846"/>
      <c r="JGF25" s="2851"/>
      <c r="JGG25" s="2850"/>
      <c r="JGH25" s="2846"/>
      <c r="JGI25" s="2851"/>
      <c r="JGJ25" s="2850"/>
      <c r="JGK25" s="2846"/>
      <c r="JGL25" s="2851"/>
      <c r="JGM25" s="2850"/>
      <c r="JGN25" s="2846"/>
      <c r="JGO25" s="2851"/>
      <c r="JGP25" s="2850"/>
      <c r="JGQ25" s="2846"/>
      <c r="JGR25" s="2851"/>
      <c r="JGS25" s="2850"/>
      <c r="JGT25" s="2846"/>
      <c r="JGU25" s="2851"/>
      <c r="JGV25" s="2850"/>
      <c r="JGW25" s="2846"/>
      <c r="JGX25" s="2851"/>
      <c r="JGY25" s="2850"/>
      <c r="JGZ25" s="2846"/>
      <c r="JHA25" s="2851"/>
      <c r="JHB25" s="2850"/>
      <c r="JHC25" s="2846"/>
      <c r="JHD25" s="2851"/>
      <c r="JHE25" s="2850"/>
      <c r="JHF25" s="2846"/>
      <c r="JHG25" s="2851"/>
      <c r="JHH25" s="2850"/>
      <c r="JHI25" s="2846"/>
      <c r="JHJ25" s="2851"/>
      <c r="JHK25" s="2850"/>
      <c r="JHL25" s="2846"/>
      <c r="JHM25" s="2851"/>
      <c r="JHN25" s="2850"/>
      <c r="JHO25" s="2846"/>
      <c r="JHP25" s="2851"/>
      <c r="JHQ25" s="2850"/>
      <c r="JHR25" s="2846"/>
      <c r="JHS25" s="2851"/>
      <c r="JHT25" s="2850"/>
      <c r="JHU25" s="2846"/>
      <c r="JHV25" s="2851"/>
      <c r="JHW25" s="2850"/>
      <c r="JHX25" s="2846"/>
      <c r="JHY25" s="2851"/>
      <c r="JHZ25" s="2850"/>
      <c r="JIA25" s="2846"/>
      <c r="JIB25" s="2851"/>
      <c r="JIC25" s="2850"/>
      <c r="JID25" s="2846"/>
      <c r="JIE25" s="2851"/>
      <c r="JIF25" s="2850"/>
      <c r="JIG25" s="2846"/>
      <c r="JIH25" s="2851"/>
      <c r="JII25" s="2850"/>
      <c r="JIJ25" s="2846"/>
      <c r="JIK25" s="2851"/>
      <c r="JIL25" s="2850"/>
      <c r="JIM25" s="2846"/>
      <c r="JIN25" s="2851"/>
      <c r="JIO25" s="2850"/>
      <c r="JIP25" s="2846"/>
      <c r="JIQ25" s="2851"/>
      <c r="JIR25" s="2850"/>
      <c r="JIS25" s="2846"/>
      <c r="JIT25" s="2851"/>
      <c r="JIU25" s="2850"/>
      <c r="JIV25" s="2846"/>
      <c r="JIW25" s="2851"/>
      <c r="JIX25" s="2850"/>
      <c r="JIY25" s="2846"/>
      <c r="JIZ25" s="2851"/>
      <c r="JJA25" s="2850"/>
      <c r="JJB25" s="2846"/>
      <c r="JJC25" s="2851"/>
      <c r="JJD25" s="2850"/>
      <c r="JJE25" s="2846"/>
      <c r="JJF25" s="2851"/>
      <c r="JJG25" s="2850"/>
      <c r="JJH25" s="2846"/>
      <c r="JJI25" s="2851"/>
      <c r="JJJ25" s="2850"/>
      <c r="JJK25" s="2846"/>
      <c r="JJL25" s="2851"/>
      <c r="JJM25" s="2850"/>
      <c r="JJN25" s="2846"/>
      <c r="JJO25" s="2851"/>
      <c r="JJP25" s="2850"/>
      <c r="JJQ25" s="2846"/>
      <c r="JJR25" s="2851"/>
      <c r="JJS25" s="2850"/>
      <c r="JJT25" s="2846"/>
      <c r="JJU25" s="2851"/>
      <c r="JJV25" s="2850"/>
      <c r="JJW25" s="2846"/>
      <c r="JJX25" s="2851"/>
      <c r="JJY25" s="2850"/>
      <c r="JJZ25" s="2846"/>
      <c r="JKA25" s="2851"/>
      <c r="JKB25" s="2850"/>
      <c r="JKC25" s="2846"/>
      <c r="JKD25" s="2851"/>
      <c r="JKE25" s="2850"/>
      <c r="JKF25" s="2846"/>
      <c r="JKG25" s="2851"/>
      <c r="JKH25" s="2850"/>
      <c r="JKI25" s="2846"/>
      <c r="JKJ25" s="2851"/>
      <c r="JKK25" s="2850"/>
      <c r="JKL25" s="2846"/>
      <c r="JKM25" s="2851"/>
      <c r="JKN25" s="2850"/>
      <c r="JKO25" s="2846"/>
      <c r="JKP25" s="2851"/>
      <c r="JKQ25" s="2850"/>
      <c r="JKR25" s="2846"/>
      <c r="JKS25" s="2851"/>
      <c r="JKT25" s="2850"/>
      <c r="JKU25" s="2846"/>
      <c r="JKV25" s="2851"/>
      <c r="JKW25" s="2850"/>
      <c r="JKX25" s="2846"/>
      <c r="JKY25" s="2851"/>
      <c r="JKZ25" s="2850"/>
      <c r="JLA25" s="2846"/>
      <c r="JLB25" s="2851"/>
      <c r="JLC25" s="2850"/>
      <c r="JLD25" s="2846"/>
      <c r="JLE25" s="2851"/>
      <c r="JLF25" s="2850"/>
      <c r="JLG25" s="2846"/>
      <c r="JLH25" s="2851"/>
      <c r="JLI25" s="2850"/>
      <c r="JLJ25" s="2846"/>
      <c r="JLK25" s="2851"/>
      <c r="JLL25" s="2850"/>
      <c r="JLM25" s="2846"/>
      <c r="JLN25" s="2851"/>
      <c r="JLO25" s="2850"/>
      <c r="JLP25" s="2846"/>
      <c r="JLQ25" s="2851"/>
      <c r="JLR25" s="2850"/>
      <c r="JLS25" s="2846"/>
      <c r="JLT25" s="2851"/>
      <c r="JLU25" s="2850"/>
      <c r="JLV25" s="2846"/>
      <c r="JLW25" s="2851"/>
      <c r="JLX25" s="2850"/>
      <c r="JLY25" s="2846"/>
      <c r="JLZ25" s="2851"/>
      <c r="JMA25" s="2850"/>
      <c r="JMB25" s="2846"/>
      <c r="JMC25" s="2851"/>
      <c r="JMD25" s="2850"/>
      <c r="JME25" s="2846"/>
      <c r="JMF25" s="2851"/>
      <c r="JMG25" s="2850"/>
      <c r="JMH25" s="2846"/>
      <c r="JMI25" s="2851"/>
      <c r="JMJ25" s="2850"/>
      <c r="JMK25" s="2846"/>
      <c r="JML25" s="2851"/>
      <c r="JMM25" s="2850"/>
      <c r="JMN25" s="2846"/>
      <c r="JMO25" s="2851"/>
      <c r="JMP25" s="2850"/>
      <c r="JMQ25" s="2846"/>
      <c r="JMR25" s="2851"/>
      <c r="JMS25" s="2850"/>
      <c r="JMT25" s="2846"/>
      <c r="JMU25" s="2851"/>
      <c r="JMV25" s="2850"/>
      <c r="JMW25" s="2846"/>
      <c r="JMX25" s="2851"/>
      <c r="JMY25" s="2850"/>
      <c r="JMZ25" s="2846"/>
      <c r="JNA25" s="2851"/>
      <c r="JNB25" s="2850"/>
      <c r="JNC25" s="2846"/>
      <c r="JND25" s="2851"/>
      <c r="JNE25" s="2850"/>
      <c r="JNF25" s="2846"/>
      <c r="JNG25" s="2851"/>
      <c r="JNH25" s="2850"/>
      <c r="JNI25" s="2846"/>
      <c r="JNJ25" s="2851"/>
      <c r="JNK25" s="2850"/>
      <c r="JNL25" s="2846"/>
      <c r="JNM25" s="2851"/>
      <c r="JNN25" s="2850"/>
      <c r="JNO25" s="2846"/>
      <c r="JNP25" s="2851"/>
      <c r="JNQ25" s="2850"/>
      <c r="JNR25" s="2846"/>
      <c r="JNS25" s="2851"/>
      <c r="JNT25" s="2850"/>
      <c r="JNU25" s="2846"/>
      <c r="JNV25" s="2851"/>
      <c r="JNW25" s="2850"/>
      <c r="JNX25" s="2846"/>
      <c r="JNY25" s="2851"/>
      <c r="JNZ25" s="2850"/>
      <c r="JOA25" s="2846"/>
      <c r="JOB25" s="2851"/>
      <c r="JOC25" s="2850"/>
      <c r="JOD25" s="2846"/>
      <c r="JOE25" s="2851"/>
      <c r="JOF25" s="2850"/>
      <c r="JOG25" s="2846"/>
      <c r="JOH25" s="2851"/>
      <c r="JOI25" s="2850"/>
      <c r="JOJ25" s="2846"/>
      <c r="JOK25" s="2851"/>
      <c r="JOL25" s="2850"/>
      <c r="JOM25" s="2846"/>
      <c r="JON25" s="2851"/>
      <c r="JOO25" s="2850"/>
      <c r="JOP25" s="2846"/>
      <c r="JOQ25" s="2851"/>
      <c r="JOR25" s="2850"/>
      <c r="JOS25" s="2846"/>
      <c r="JOT25" s="2851"/>
      <c r="JOU25" s="2850"/>
      <c r="JOV25" s="2846"/>
      <c r="JOW25" s="2851"/>
      <c r="JOX25" s="2850"/>
      <c r="JOY25" s="2846"/>
      <c r="JOZ25" s="2851"/>
      <c r="JPA25" s="2850"/>
      <c r="JPB25" s="2846"/>
      <c r="JPC25" s="2851"/>
      <c r="JPD25" s="2850"/>
      <c r="JPE25" s="2846"/>
      <c r="JPF25" s="2851"/>
      <c r="JPG25" s="2850"/>
      <c r="JPH25" s="2846"/>
      <c r="JPI25" s="2851"/>
      <c r="JPJ25" s="2850"/>
      <c r="JPK25" s="2846"/>
      <c r="JPL25" s="2851"/>
      <c r="JPM25" s="2850"/>
      <c r="JPN25" s="2846"/>
      <c r="JPO25" s="2851"/>
      <c r="JPP25" s="2850"/>
      <c r="JPQ25" s="2846"/>
      <c r="JPR25" s="2851"/>
      <c r="JPS25" s="2850"/>
      <c r="JPT25" s="2846"/>
      <c r="JPU25" s="2851"/>
      <c r="JPV25" s="2850"/>
      <c r="JPW25" s="2846"/>
      <c r="JPX25" s="2851"/>
      <c r="JPY25" s="2850"/>
      <c r="JPZ25" s="2846"/>
      <c r="JQA25" s="2851"/>
      <c r="JQB25" s="2850"/>
      <c r="JQC25" s="2846"/>
      <c r="JQD25" s="2851"/>
      <c r="JQE25" s="2850"/>
      <c r="JQF25" s="2846"/>
      <c r="JQG25" s="2851"/>
      <c r="JQH25" s="2850"/>
      <c r="JQI25" s="2846"/>
      <c r="JQJ25" s="2851"/>
      <c r="JQK25" s="2850"/>
      <c r="JQL25" s="2846"/>
      <c r="JQM25" s="2851"/>
      <c r="JQN25" s="2850"/>
      <c r="JQO25" s="2846"/>
      <c r="JQP25" s="2851"/>
      <c r="JQQ25" s="2850"/>
      <c r="JQR25" s="2846"/>
      <c r="JQS25" s="2851"/>
      <c r="JQT25" s="2850"/>
      <c r="JQU25" s="2846"/>
      <c r="JQV25" s="2851"/>
      <c r="JQW25" s="2850"/>
      <c r="JQX25" s="2846"/>
      <c r="JQY25" s="2851"/>
      <c r="JQZ25" s="2850"/>
      <c r="JRA25" s="2846"/>
      <c r="JRB25" s="2851"/>
      <c r="JRC25" s="2850"/>
      <c r="JRD25" s="2846"/>
      <c r="JRE25" s="2851"/>
      <c r="JRF25" s="2850"/>
      <c r="JRG25" s="2846"/>
      <c r="JRH25" s="2851"/>
      <c r="JRI25" s="2850"/>
      <c r="JRJ25" s="2846"/>
      <c r="JRK25" s="2851"/>
      <c r="JRL25" s="2850"/>
      <c r="JRM25" s="2846"/>
      <c r="JRN25" s="2851"/>
      <c r="JRO25" s="2850"/>
      <c r="JRP25" s="2846"/>
      <c r="JRQ25" s="2851"/>
      <c r="JRR25" s="2850"/>
      <c r="JRS25" s="2846"/>
      <c r="JRT25" s="2851"/>
      <c r="JRU25" s="2850"/>
      <c r="JRV25" s="2846"/>
      <c r="JRW25" s="2851"/>
      <c r="JRX25" s="2850"/>
      <c r="JRY25" s="2846"/>
      <c r="JRZ25" s="2851"/>
      <c r="JSA25" s="2850"/>
      <c r="JSB25" s="2846"/>
      <c r="JSC25" s="2851"/>
      <c r="JSD25" s="2850"/>
      <c r="JSE25" s="2846"/>
      <c r="JSF25" s="2851"/>
      <c r="JSG25" s="2850"/>
      <c r="JSH25" s="2846"/>
      <c r="JSI25" s="2851"/>
      <c r="JSJ25" s="2850"/>
      <c r="JSK25" s="2846"/>
      <c r="JSL25" s="2851"/>
      <c r="JSM25" s="2850"/>
      <c r="JSN25" s="2846"/>
      <c r="JSO25" s="2851"/>
      <c r="JSP25" s="2850"/>
      <c r="JSQ25" s="2846"/>
      <c r="JSR25" s="2851"/>
      <c r="JSS25" s="2850"/>
      <c r="JST25" s="2846"/>
      <c r="JSU25" s="2851"/>
      <c r="JSV25" s="2850"/>
      <c r="JSW25" s="2846"/>
      <c r="JSX25" s="2851"/>
      <c r="JSY25" s="2850"/>
      <c r="JSZ25" s="2846"/>
      <c r="JTA25" s="2851"/>
      <c r="JTB25" s="2850"/>
      <c r="JTC25" s="2846"/>
      <c r="JTD25" s="2851"/>
      <c r="JTE25" s="2850"/>
      <c r="JTF25" s="2846"/>
      <c r="JTG25" s="2851"/>
      <c r="JTH25" s="2850"/>
      <c r="JTI25" s="2846"/>
      <c r="JTJ25" s="2851"/>
      <c r="JTK25" s="2850"/>
      <c r="JTL25" s="2846"/>
      <c r="JTM25" s="2851"/>
      <c r="JTN25" s="2850"/>
      <c r="JTO25" s="2846"/>
      <c r="JTP25" s="2851"/>
      <c r="JTQ25" s="2850"/>
      <c r="JTR25" s="2846"/>
      <c r="JTS25" s="2851"/>
      <c r="JTT25" s="2850"/>
      <c r="JTU25" s="2846"/>
      <c r="JTV25" s="2851"/>
      <c r="JTW25" s="2850"/>
      <c r="JTX25" s="2846"/>
      <c r="JTY25" s="2851"/>
      <c r="JTZ25" s="2850"/>
      <c r="JUA25" s="2846"/>
      <c r="JUB25" s="2851"/>
      <c r="JUC25" s="2850"/>
      <c r="JUD25" s="2846"/>
      <c r="JUE25" s="2851"/>
      <c r="JUF25" s="2850"/>
      <c r="JUG25" s="2846"/>
      <c r="JUH25" s="2851"/>
      <c r="JUI25" s="2850"/>
      <c r="JUJ25" s="2846"/>
      <c r="JUK25" s="2851"/>
      <c r="JUL25" s="2850"/>
      <c r="JUM25" s="2846"/>
      <c r="JUN25" s="2851"/>
      <c r="JUO25" s="2850"/>
      <c r="JUP25" s="2846"/>
      <c r="JUQ25" s="2851"/>
      <c r="JUR25" s="2850"/>
      <c r="JUS25" s="2846"/>
      <c r="JUT25" s="2851"/>
      <c r="JUU25" s="2850"/>
      <c r="JUV25" s="2846"/>
      <c r="JUW25" s="2851"/>
      <c r="JUX25" s="2850"/>
      <c r="JUY25" s="2846"/>
      <c r="JUZ25" s="2851"/>
      <c r="JVA25" s="2850"/>
      <c r="JVB25" s="2846"/>
      <c r="JVC25" s="2851"/>
      <c r="JVD25" s="2850"/>
      <c r="JVE25" s="2846"/>
      <c r="JVF25" s="2851"/>
      <c r="JVG25" s="2850"/>
      <c r="JVH25" s="2846"/>
      <c r="JVI25" s="2851"/>
      <c r="JVJ25" s="2850"/>
      <c r="JVK25" s="2846"/>
      <c r="JVL25" s="2851"/>
      <c r="JVM25" s="2850"/>
      <c r="JVN25" s="2846"/>
      <c r="JVO25" s="2851"/>
      <c r="JVP25" s="2850"/>
      <c r="JVQ25" s="2846"/>
      <c r="JVR25" s="2851"/>
      <c r="JVS25" s="2850"/>
      <c r="JVT25" s="2846"/>
      <c r="JVU25" s="2851"/>
      <c r="JVV25" s="2850"/>
      <c r="JVW25" s="2846"/>
      <c r="JVX25" s="2851"/>
      <c r="JVY25" s="2850"/>
      <c r="JVZ25" s="2846"/>
      <c r="JWA25" s="2851"/>
      <c r="JWB25" s="2850"/>
      <c r="JWC25" s="2846"/>
      <c r="JWD25" s="2851"/>
      <c r="JWE25" s="2850"/>
      <c r="JWF25" s="2846"/>
      <c r="JWG25" s="2851"/>
      <c r="JWH25" s="2850"/>
      <c r="JWI25" s="2846"/>
      <c r="JWJ25" s="2851"/>
      <c r="JWK25" s="2850"/>
      <c r="JWL25" s="2846"/>
      <c r="JWM25" s="2851"/>
      <c r="JWN25" s="2850"/>
      <c r="JWO25" s="2846"/>
      <c r="JWP25" s="2851"/>
      <c r="JWQ25" s="2850"/>
      <c r="JWR25" s="2846"/>
      <c r="JWS25" s="2851"/>
      <c r="JWT25" s="2850"/>
      <c r="JWU25" s="2846"/>
      <c r="JWV25" s="2851"/>
      <c r="JWW25" s="2850"/>
      <c r="JWX25" s="2846"/>
      <c r="JWY25" s="2851"/>
      <c r="JWZ25" s="2850"/>
      <c r="JXA25" s="2846"/>
      <c r="JXB25" s="2851"/>
      <c r="JXC25" s="2850"/>
      <c r="JXD25" s="2846"/>
      <c r="JXE25" s="2851"/>
      <c r="JXF25" s="2850"/>
      <c r="JXG25" s="2846"/>
      <c r="JXH25" s="2851"/>
      <c r="JXI25" s="2850"/>
      <c r="JXJ25" s="2846"/>
      <c r="JXK25" s="2851"/>
      <c r="JXL25" s="2850"/>
      <c r="JXM25" s="2846"/>
      <c r="JXN25" s="2851"/>
      <c r="JXO25" s="2850"/>
      <c r="JXP25" s="2846"/>
      <c r="JXQ25" s="2851"/>
      <c r="JXR25" s="2850"/>
      <c r="JXS25" s="2846"/>
      <c r="JXT25" s="2851"/>
      <c r="JXU25" s="2850"/>
      <c r="JXV25" s="2846"/>
      <c r="JXW25" s="2851"/>
      <c r="JXX25" s="2850"/>
      <c r="JXY25" s="2846"/>
      <c r="JXZ25" s="2851"/>
      <c r="JYA25" s="2850"/>
      <c r="JYB25" s="2846"/>
      <c r="JYC25" s="2851"/>
      <c r="JYD25" s="2850"/>
      <c r="JYE25" s="2846"/>
      <c r="JYF25" s="2851"/>
      <c r="JYG25" s="2850"/>
      <c r="JYH25" s="2846"/>
      <c r="JYI25" s="2851"/>
      <c r="JYJ25" s="2850"/>
      <c r="JYK25" s="2846"/>
      <c r="JYL25" s="2851"/>
      <c r="JYM25" s="2850"/>
      <c r="JYN25" s="2846"/>
      <c r="JYO25" s="2851"/>
      <c r="JYP25" s="2850"/>
      <c r="JYQ25" s="2846"/>
      <c r="JYR25" s="2851"/>
      <c r="JYS25" s="2850"/>
      <c r="JYT25" s="2846"/>
      <c r="JYU25" s="2851"/>
      <c r="JYV25" s="2850"/>
      <c r="JYW25" s="2846"/>
      <c r="JYX25" s="2851"/>
      <c r="JYY25" s="2850"/>
      <c r="JYZ25" s="2846"/>
      <c r="JZA25" s="2851"/>
      <c r="JZB25" s="2850"/>
      <c r="JZC25" s="2846"/>
      <c r="JZD25" s="2851"/>
      <c r="JZE25" s="2850"/>
      <c r="JZF25" s="2846"/>
      <c r="JZG25" s="2851"/>
      <c r="JZH25" s="2850"/>
      <c r="JZI25" s="2846"/>
      <c r="JZJ25" s="2851"/>
      <c r="JZK25" s="2850"/>
      <c r="JZL25" s="2846"/>
      <c r="JZM25" s="2851"/>
      <c r="JZN25" s="2850"/>
      <c r="JZO25" s="2846"/>
      <c r="JZP25" s="2851"/>
      <c r="JZQ25" s="2850"/>
      <c r="JZR25" s="2846"/>
      <c r="JZS25" s="2851"/>
      <c r="JZT25" s="2850"/>
      <c r="JZU25" s="2846"/>
      <c r="JZV25" s="2851"/>
      <c r="JZW25" s="2850"/>
      <c r="JZX25" s="2846"/>
      <c r="JZY25" s="2851"/>
      <c r="JZZ25" s="2850"/>
      <c r="KAA25" s="2846"/>
      <c r="KAB25" s="2851"/>
      <c r="KAC25" s="2850"/>
      <c r="KAD25" s="2846"/>
      <c r="KAE25" s="2851"/>
      <c r="KAF25" s="2850"/>
      <c r="KAG25" s="2846"/>
      <c r="KAH25" s="2851"/>
      <c r="KAI25" s="2850"/>
      <c r="KAJ25" s="2846"/>
      <c r="KAK25" s="2851"/>
      <c r="KAL25" s="2850"/>
      <c r="KAM25" s="2846"/>
      <c r="KAN25" s="2851"/>
      <c r="KAO25" s="2850"/>
      <c r="KAP25" s="2846"/>
      <c r="KAQ25" s="2851"/>
      <c r="KAR25" s="2850"/>
      <c r="KAS25" s="2846"/>
      <c r="KAT25" s="2851"/>
      <c r="KAU25" s="2850"/>
      <c r="KAV25" s="2846"/>
      <c r="KAW25" s="2851"/>
      <c r="KAX25" s="2850"/>
      <c r="KAY25" s="2846"/>
      <c r="KAZ25" s="2851"/>
      <c r="KBA25" s="2850"/>
      <c r="KBB25" s="2846"/>
      <c r="KBC25" s="2851"/>
      <c r="KBD25" s="2850"/>
      <c r="KBE25" s="2846"/>
      <c r="KBF25" s="2851"/>
      <c r="KBG25" s="2850"/>
      <c r="KBH25" s="2846"/>
      <c r="KBI25" s="2851"/>
      <c r="KBJ25" s="2850"/>
      <c r="KBK25" s="2846"/>
      <c r="KBL25" s="2851"/>
      <c r="KBM25" s="2850"/>
      <c r="KBN25" s="2846"/>
      <c r="KBO25" s="2851"/>
      <c r="KBP25" s="2850"/>
      <c r="KBQ25" s="2846"/>
      <c r="KBR25" s="2851"/>
      <c r="KBS25" s="2850"/>
      <c r="KBT25" s="2846"/>
      <c r="KBU25" s="2851"/>
      <c r="KBV25" s="2850"/>
      <c r="KBW25" s="2846"/>
      <c r="KBX25" s="2851"/>
      <c r="KBY25" s="2850"/>
      <c r="KBZ25" s="2846"/>
      <c r="KCA25" s="2851"/>
      <c r="KCB25" s="2850"/>
      <c r="KCC25" s="2846"/>
      <c r="KCD25" s="2851"/>
      <c r="KCE25" s="2850"/>
      <c r="KCF25" s="2846"/>
      <c r="KCG25" s="2851"/>
      <c r="KCH25" s="2850"/>
      <c r="KCI25" s="2846"/>
      <c r="KCJ25" s="2851"/>
      <c r="KCK25" s="2850"/>
      <c r="KCL25" s="2846"/>
      <c r="KCM25" s="2851"/>
      <c r="KCN25" s="2850"/>
      <c r="KCO25" s="2846"/>
      <c r="KCP25" s="2851"/>
      <c r="KCQ25" s="2850"/>
      <c r="KCR25" s="2846"/>
      <c r="KCS25" s="2851"/>
      <c r="KCT25" s="2850"/>
      <c r="KCU25" s="2846"/>
      <c r="KCV25" s="2851"/>
      <c r="KCW25" s="2850"/>
      <c r="KCX25" s="2846"/>
      <c r="KCY25" s="2851"/>
      <c r="KCZ25" s="2850"/>
      <c r="KDA25" s="2846"/>
      <c r="KDB25" s="2851"/>
      <c r="KDC25" s="2850"/>
      <c r="KDD25" s="2846"/>
      <c r="KDE25" s="2851"/>
      <c r="KDF25" s="2850"/>
      <c r="KDG25" s="2846"/>
      <c r="KDH25" s="2851"/>
      <c r="KDI25" s="2850"/>
      <c r="KDJ25" s="2846"/>
      <c r="KDK25" s="2851"/>
      <c r="KDL25" s="2850"/>
      <c r="KDM25" s="2846"/>
      <c r="KDN25" s="2851"/>
      <c r="KDO25" s="2850"/>
      <c r="KDP25" s="2846"/>
      <c r="KDQ25" s="2851"/>
      <c r="KDR25" s="2850"/>
      <c r="KDS25" s="2846"/>
      <c r="KDT25" s="2851"/>
      <c r="KDU25" s="2850"/>
      <c r="KDV25" s="2846"/>
      <c r="KDW25" s="2851"/>
      <c r="KDX25" s="2850"/>
      <c r="KDY25" s="2846"/>
      <c r="KDZ25" s="2851"/>
      <c r="KEA25" s="2850"/>
      <c r="KEB25" s="2846"/>
      <c r="KEC25" s="2851"/>
      <c r="KED25" s="2850"/>
      <c r="KEE25" s="2846"/>
      <c r="KEF25" s="2851"/>
      <c r="KEG25" s="2850"/>
      <c r="KEH25" s="2846"/>
      <c r="KEI25" s="2851"/>
      <c r="KEJ25" s="2850"/>
      <c r="KEK25" s="2846"/>
      <c r="KEL25" s="2851"/>
      <c r="KEM25" s="2850"/>
      <c r="KEN25" s="2846"/>
      <c r="KEO25" s="2851"/>
      <c r="KEP25" s="2850"/>
      <c r="KEQ25" s="2846"/>
      <c r="KER25" s="2851"/>
      <c r="KES25" s="2850"/>
      <c r="KET25" s="2846"/>
      <c r="KEU25" s="2851"/>
      <c r="KEV25" s="2850"/>
      <c r="KEW25" s="2846"/>
      <c r="KEX25" s="2851"/>
      <c r="KEY25" s="2850"/>
      <c r="KEZ25" s="2846"/>
      <c r="KFA25" s="2851"/>
      <c r="KFB25" s="2850"/>
      <c r="KFC25" s="2846"/>
      <c r="KFD25" s="2851"/>
      <c r="KFE25" s="2850"/>
      <c r="KFF25" s="2846"/>
      <c r="KFG25" s="2851"/>
      <c r="KFH25" s="2850"/>
      <c r="KFI25" s="2846"/>
      <c r="KFJ25" s="2851"/>
      <c r="KFK25" s="2850"/>
      <c r="KFL25" s="2846"/>
      <c r="KFM25" s="2851"/>
      <c r="KFN25" s="2850"/>
      <c r="KFO25" s="2846"/>
      <c r="KFP25" s="2851"/>
      <c r="KFQ25" s="2850"/>
      <c r="KFR25" s="2846"/>
      <c r="KFS25" s="2851"/>
      <c r="KFT25" s="2850"/>
      <c r="KFU25" s="2846"/>
      <c r="KFV25" s="2851"/>
      <c r="KFW25" s="2850"/>
      <c r="KFX25" s="2846"/>
      <c r="KFY25" s="2851"/>
      <c r="KFZ25" s="2850"/>
      <c r="KGA25" s="2846"/>
      <c r="KGB25" s="2851"/>
      <c r="KGC25" s="2850"/>
      <c r="KGD25" s="2846"/>
      <c r="KGE25" s="2851"/>
      <c r="KGF25" s="2850"/>
      <c r="KGG25" s="2846"/>
      <c r="KGH25" s="2851"/>
      <c r="KGI25" s="2850"/>
      <c r="KGJ25" s="2846"/>
      <c r="KGK25" s="2851"/>
      <c r="KGL25" s="2850"/>
      <c r="KGM25" s="2846"/>
      <c r="KGN25" s="2851"/>
      <c r="KGO25" s="2850"/>
      <c r="KGP25" s="2846"/>
      <c r="KGQ25" s="2851"/>
      <c r="KGR25" s="2850"/>
      <c r="KGS25" s="2846"/>
      <c r="KGT25" s="2851"/>
      <c r="KGU25" s="2850"/>
      <c r="KGV25" s="2846"/>
      <c r="KGW25" s="2851"/>
      <c r="KGX25" s="2850"/>
      <c r="KGY25" s="2846"/>
      <c r="KGZ25" s="2851"/>
      <c r="KHA25" s="2850"/>
      <c r="KHB25" s="2846"/>
      <c r="KHC25" s="2851"/>
      <c r="KHD25" s="2850"/>
      <c r="KHE25" s="2846"/>
      <c r="KHF25" s="2851"/>
      <c r="KHG25" s="2850"/>
      <c r="KHH25" s="2846"/>
      <c r="KHI25" s="2851"/>
      <c r="KHJ25" s="2850"/>
      <c r="KHK25" s="2846"/>
      <c r="KHL25" s="2851"/>
      <c r="KHM25" s="2850"/>
      <c r="KHN25" s="2846"/>
      <c r="KHO25" s="2851"/>
      <c r="KHP25" s="2850"/>
      <c r="KHQ25" s="2846"/>
      <c r="KHR25" s="2851"/>
      <c r="KHS25" s="2850"/>
      <c r="KHT25" s="2846"/>
      <c r="KHU25" s="2851"/>
      <c r="KHV25" s="2850"/>
      <c r="KHW25" s="2846"/>
      <c r="KHX25" s="2851"/>
      <c r="KHY25" s="2850"/>
      <c r="KHZ25" s="2846"/>
      <c r="KIA25" s="2851"/>
      <c r="KIB25" s="2850"/>
      <c r="KIC25" s="2846"/>
      <c r="KID25" s="2851"/>
      <c r="KIE25" s="2850"/>
      <c r="KIF25" s="2846"/>
      <c r="KIG25" s="2851"/>
      <c r="KIH25" s="2850"/>
      <c r="KII25" s="2846"/>
      <c r="KIJ25" s="2851"/>
      <c r="KIK25" s="2850"/>
      <c r="KIL25" s="2846"/>
      <c r="KIM25" s="2851"/>
      <c r="KIN25" s="2850"/>
      <c r="KIO25" s="2846"/>
      <c r="KIP25" s="2851"/>
      <c r="KIQ25" s="2850"/>
      <c r="KIR25" s="2846"/>
      <c r="KIS25" s="2851"/>
      <c r="KIT25" s="2850"/>
      <c r="KIU25" s="2846"/>
      <c r="KIV25" s="2851"/>
      <c r="KIW25" s="2850"/>
      <c r="KIX25" s="2846"/>
      <c r="KIY25" s="2851"/>
      <c r="KIZ25" s="2850"/>
      <c r="KJA25" s="2846"/>
      <c r="KJB25" s="2851"/>
      <c r="KJC25" s="2850"/>
      <c r="KJD25" s="2846"/>
      <c r="KJE25" s="2851"/>
      <c r="KJF25" s="2850"/>
      <c r="KJG25" s="2846"/>
      <c r="KJH25" s="2851"/>
      <c r="KJI25" s="2850"/>
      <c r="KJJ25" s="2846"/>
      <c r="KJK25" s="2851"/>
      <c r="KJL25" s="2850"/>
      <c r="KJM25" s="2846"/>
      <c r="KJN25" s="2851"/>
      <c r="KJO25" s="2850"/>
      <c r="KJP25" s="2846"/>
      <c r="KJQ25" s="2851"/>
      <c r="KJR25" s="2850"/>
      <c r="KJS25" s="2846"/>
      <c r="KJT25" s="2851"/>
      <c r="KJU25" s="2850"/>
      <c r="KJV25" s="2846"/>
      <c r="KJW25" s="2851"/>
      <c r="KJX25" s="2850"/>
      <c r="KJY25" s="2846"/>
      <c r="KJZ25" s="2851"/>
      <c r="KKA25" s="2850"/>
      <c r="KKB25" s="2846"/>
      <c r="KKC25" s="2851"/>
      <c r="KKD25" s="2850"/>
      <c r="KKE25" s="2846"/>
      <c r="KKF25" s="2851"/>
      <c r="KKG25" s="2850"/>
      <c r="KKH25" s="2846"/>
      <c r="KKI25" s="2851"/>
      <c r="KKJ25" s="2850"/>
      <c r="KKK25" s="2846"/>
      <c r="KKL25" s="2851"/>
      <c r="KKM25" s="2850"/>
      <c r="KKN25" s="2846"/>
      <c r="KKO25" s="2851"/>
      <c r="KKP25" s="2850"/>
      <c r="KKQ25" s="2846"/>
      <c r="KKR25" s="2851"/>
      <c r="KKS25" s="2850"/>
      <c r="KKT25" s="2846"/>
      <c r="KKU25" s="2851"/>
      <c r="KKV25" s="2850"/>
      <c r="KKW25" s="2846"/>
      <c r="KKX25" s="2851"/>
      <c r="KKY25" s="2850"/>
      <c r="KKZ25" s="2846"/>
      <c r="KLA25" s="2851"/>
      <c r="KLB25" s="2850"/>
      <c r="KLC25" s="2846"/>
      <c r="KLD25" s="2851"/>
      <c r="KLE25" s="2850"/>
      <c r="KLF25" s="2846"/>
      <c r="KLG25" s="2851"/>
      <c r="KLH25" s="2850"/>
      <c r="KLI25" s="2846"/>
      <c r="KLJ25" s="2851"/>
      <c r="KLK25" s="2850"/>
      <c r="KLL25" s="2846"/>
      <c r="KLM25" s="2851"/>
      <c r="KLN25" s="2850"/>
      <c r="KLO25" s="2846"/>
      <c r="KLP25" s="2851"/>
      <c r="KLQ25" s="2850"/>
      <c r="KLR25" s="2846"/>
      <c r="KLS25" s="2851"/>
      <c r="KLT25" s="2850"/>
      <c r="KLU25" s="2846"/>
      <c r="KLV25" s="2851"/>
      <c r="KLW25" s="2850"/>
      <c r="KLX25" s="2846"/>
      <c r="KLY25" s="2851"/>
      <c r="KLZ25" s="2850"/>
      <c r="KMA25" s="2846"/>
      <c r="KMB25" s="2851"/>
      <c r="KMC25" s="2850"/>
      <c r="KMD25" s="2846"/>
      <c r="KME25" s="2851"/>
      <c r="KMF25" s="2850"/>
      <c r="KMG25" s="2846"/>
      <c r="KMH25" s="2851"/>
      <c r="KMI25" s="2850"/>
      <c r="KMJ25" s="2846"/>
      <c r="KMK25" s="2851"/>
      <c r="KML25" s="2850"/>
      <c r="KMM25" s="2846"/>
      <c r="KMN25" s="2851"/>
      <c r="KMO25" s="2850"/>
      <c r="KMP25" s="2846"/>
      <c r="KMQ25" s="2851"/>
      <c r="KMR25" s="2850"/>
      <c r="KMS25" s="2846"/>
      <c r="KMT25" s="2851"/>
      <c r="KMU25" s="2850"/>
      <c r="KMV25" s="2846"/>
      <c r="KMW25" s="2851"/>
      <c r="KMX25" s="2850"/>
      <c r="KMY25" s="2846"/>
      <c r="KMZ25" s="2851"/>
      <c r="KNA25" s="2850"/>
      <c r="KNB25" s="2846"/>
      <c r="KNC25" s="2851"/>
      <c r="KND25" s="2850"/>
      <c r="KNE25" s="2846"/>
      <c r="KNF25" s="2851"/>
      <c r="KNG25" s="2850"/>
      <c r="KNH25" s="2846"/>
      <c r="KNI25" s="2851"/>
      <c r="KNJ25" s="2850"/>
      <c r="KNK25" s="2846"/>
      <c r="KNL25" s="2851"/>
      <c r="KNM25" s="2850"/>
      <c r="KNN25" s="2846"/>
      <c r="KNO25" s="2851"/>
      <c r="KNP25" s="2850"/>
      <c r="KNQ25" s="2846"/>
      <c r="KNR25" s="2851"/>
      <c r="KNS25" s="2850"/>
      <c r="KNT25" s="2846"/>
      <c r="KNU25" s="2851"/>
      <c r="KNV25" s="2850"/>
      <c r="KNW25" s="2846"/>
      <c r="KNX25" s="2851"/>
      <c r="KNY25" s="2850"/>
      <c r="KNZ25" s="2846"/>
      <c r="KOA25" s="2851"/>
      <c r="KOB25" s="2850"/>
      <c r="KOC25" s="2846"/>
      <c r="KOD25" s="2851"/>
      <c r="KOE25" s="2850"/>
      <c r="KOF25" s="2846"/>
      <c r="KOG25" s="2851"/>
      <c r="KOH25" s="2850"/>
      <c r="KOI25" s="2846"/>
      <c r="KOJ25" s="2851"/>
      <c r="KOK25" s="2850"/>
      <c r="KOL25" s="2846"/>
      <c r="KOM25" s="2851"/>
      <c r="KON25" s="2850"/>
      <c r="KOO25" s="2846"/>
      <c r="KOP25" s="2851"/>
      <c r="KOQ25" s="2850"/>
      <c r="KOR25" s="2846"/>
      <c r="KOS25" s="2851"/>
      <c r="KOT25" s="2850"/>
      <c r="KOU25" s="2846"/>
      <c r="KOV25" s="2851"/>
      <c r="KOW25" s="2850"/>
      <c r="KOX25" s="2846"/>
      <c r="KOY25" s="2851"/>
      <c r="KOZ25" s="2850"/>
      <c r="KPA25" s="2846"/>
      <c r="KPB25" s="2851"/>
      <c r="KPC25" s="2850"/>
      <c r="KPD25" s="2846"/>
      <c r="KPE25" s="2851"/>
      <c r="KPF25" s="2850"/>
      <c r="KPG25" s="2846"/>
      <c r="KPH25" s="2851"/>
      <c r="KPI25" s="2850"/>
      <c r="KPJ25" s="2846"/>
      <c r="KPK25" s="2851"/>
      <c r="KPL25" s="2850"/>
      <c r="KPM25" s="2846"/>
      <c r="KPN25" s="2851"/>
      <c r="KPO25" s="2850"/>
      <c r="KPP25" s="2846"/>
      <c r="KPQ25" s="2851"/>
      <c r="KPR25" s="2850"/>
      <c r="KPS25" s="2846"/>
      <c r="KPT25" s="2851"/>
      <c r="KPU25" s="2850"/>
      <c r="KPV25" s="2846"/>
      <c r="KPW25" s="2851"/>
      <c r="KPX25" s="2850"/>
      <c r="KPY25" s="2846"/>
      <c r="KPZ25" s="2851"/>
      <c r="KQA25" s="2850"/>
      <c r="KQB25" s="2846"/>
      <c r="KQC25" s="2851"/>
      <c r="KQD25" s="2850"/>
      <c r="KQE25" s="2846"/>
      <c r="KQF25" s="2851"/>
      <c r="KQG25" s="2850"/>
      <c r="KQH25" s="2846"/>
      <c r="KQI25" s="2851"/>
      <c r="KQJ25" s="2850"/>
      <c r="KQK25" s="2846"/>
      <c r="KQL25" s="2851"/>
      <c r="KQM25" s="2850"/>
      <c r="KQN25" s="2846"/>
      <c r="KQO25" s="2851"/>
      <c r="KQP25" s="2850"/>
      <c r="KQQ25" s="2846"/>
      <c r="KQR25" s="2851"/>
      <c r="KQS25" s="2850"/>
      <c r="KQT25" s="2846"/>
      <c r="KQU25" s="2851"/>
      <c r="KQV25" s="2850"/>
      <c r="KQW25" s="2846"/>
      <c r="KQX25" s="2851"/>
      <c r="KQY25" s="2850"/>
      <c r="KQZ25" s="2846"/>
      <c r="KRA25" s="2851"/>
      <c r="KRB25" s="2850"/>
      <c r="KRC25" s="2846"/>
      <c r="KRD25" s="2851"/>
      <c r="KRE25" s="2850"/>
      <c r="KRF25" s="2846"/>
      <c r="KRG25" s="2851"/>
      <c r="KRH25" s="2850"/>
      <c r="KRI25" s="2846"/>
      <c r="KRJ25" s="2851"/>
      <c r="KRK25" s="2850"/>
      <c r="KRL25" s="2846"/>
      <c r="KRM25" s="2851"/>
      <c r="KRN25" s="2850"/>
      <c r="KRO25" s="2846"/>
      <c r="KRP25" s="2851"/>
      <c r="KRQ25" s="2850"/>
      <c r="KRR25" s="2846"/>
      <c r="KRS25" s="2851"/>
      <c r="KRT25" s="2850"/>
      <c r="KRU25" s="2846"/>
      <c r="KRV25" s="2851"/>
      <c r="KRW25" s="2850"/>
      <c r="KRX25" s="2846"/>
      <c r="KRY25" s="2851"/>
      <c r="KRZ25" s="2850"/>
      <c r="KSA25" s="2846"/>
      <c r="KSB25" s="2851"/>
      <c r="KSC25" s="2850"/>
      <c r="KSD25" s="2846"/>
      <c r="KSE25" s="2851"/>
      <c r="KSF25" s="2850"/>
      <c r="KSG25" s="2846"/>
      <c r="KSH25" s="2851"/>
      <c r="KSI25" s="2850"/>
      <c r="KSJ25" s="2846"/>
      <c r="KSK25" s="2851"/>
      <c r="KSL25" s="2850"/>
      <c r="KSM25" s="2846"/>
      <c r="KSN25" s="2851"/>
      <c r="KSO25" s="2850"/>
      <c r="KSP25" s="2846"/>
      <c r="KSQ25" s="2851"/>
      <c r="KSR25" s="2850"/>
      <c r="KSS25" s="2846"/>
      <c r="KST25" s="2851"/>
      <c r="KSU25" s="2850"/>
      <c r="KSV25" s="2846"/>
      <c r="KSW25" s="2851"/>
      <c r="KSX25" s="2850"/>
      <c r="KSY25" s="2846"/>
      <c r="KSZ25" s="2851"/>
      <c r="KTA25" s="2850"/>
      <c r="KTB25" s="2846"/>
      <c r="KTC25" s="2851"/>
      <c r="KTD25" s="2850"/>
      <c r="KTE25" s="2846"/>
      <c r="KTF25" s="2851"/>
      <c r="KTG25" s="2850"/>
      <c r="KTH25" s="2846"/>
      <c r="KTI25" s="2851"/>
      <c r="KTJ25" s="2850"/>
      <c r="KTK25" s="2846"/>
      <c r="KTL25" s="2851"/>
      <c r="KTM25" s="2850"/>
      <c r="KTN25" s="2846"/>
      <c r="KTO25" s="2851"/>
      <c r="KTP25" s="2850"/>
      <c r="KTQ25" s="2846"/>
      <c r="KTR25" s="2851"/>
      <c r="KTS25" s="2850"/>
      <c r="KTT25" s="2846"/>
      <c r="KTU25" s="2851"/>
      <c r="KTV25" s="2850"/>
      <c r="KTW25" s="2846"/>
      <c r="KTX25" s="2851"/>
      <c r="KTY25" s="2850"/>
      <c r="KTZ25" s="2846"/>
      <c r="KUA25" s="2851"/>
      <c r="KUB25" s="2850"/>
      <c r="KUC25" s="2846"/>
      <c r="KUD25" s="2851"/>
      <c r="KUE25" s="2850"/>
      <c r="KUF25" s="2846"/>
      <c r="KUG25" s="2851"/>
      <c r="KUH25" s="2850"/>
      <c r="KUI25" s="2846"/>
      <c r="KUJ25" s="2851"/>
      <c r="KUK25" s="2850"/>
      <c r="KUL25" s="2846"/>
      <c r="KUM25" s="2851"/>
      <c r="KUN25" s="2850"/>
      <c r="KUO25" s="2846"/>
      <c r="KUP25" s="2851"/>
      <c r="KUQ25" s="2850"/>
      <c r="KUR25" s="2846"/>
      <c r="KUS25" s="2851"/>
      <c r="KUT25" s="2850"/>
      <c r="KUU25" s="2846"/>
      <c r="KUV25" s="2851"/>
      <c r="KUW25" s="2850"/>
      <c r="KUX25" s="2846"/>
      <c r="KUY25" s="2851"/>
      <c r="KUZ25" s="2850"/>
      <c r="KVA25" s="2846"/>
      <c r="KVB25" s="2851"/>
      <c r="KVC25" s="2850"/>
      <c r="KVD25" s="2846"/>
      <c r="KVE25" s="2851"/>
      <c r="KVF25" s="2850"/>
      <c r="KVG25" s="2846"/>
      <c r="KVH25" s="2851"/>
      <c r="KVI25" s="2850"/>
      <c r="KVJ25" s="2846"/>
      <c r="KVK25" s="2851"/>
      <c r="KVL25" s="2850"/>
      <c r="KVM25" s="2846"/>
      <c r="KVN25" s="2851"/>
      <c r="KVO25" s="2850"/>
      <c r="KVP25" s="2846"/>
      <c r="KVQ25" s="2851"/>
      <c r="KVR25" s="2850"/>
      <c r="KVS25" s="2846"/>
      <c r="KVT25" s="2851"/>
      <c r="KVU25" s="2850"/>
      <c r="KVV25" s="2846"/>
      <c r="KVW25" s="2851"/>
      <c r="KVX25" s="2850"/>
      <c r="KVY25" s="2846"/>
      <c r="KVZ25" s="2851"/>
      <c r="KWA25" s="2850"/>
      <c r="KWB25" s="2846"/>
      <c r="KWC25" s="2851"/>
      <c r="KWD25" s="2850"/>
      <c r="KWE25" s="2846"/>
      <c r="KWF25" s="2851"/>
      <c r="KWG25" s="2850"/>
      <c r="KWH25" s="2846"/>
      <c r="KWI25" s="2851"/>
      <c r="KWJ25" s="2850"/>
      <c r="KWK25" s="2846"/>
      <c r="KWL25" s="2851"/>
      <c r="KWM25" s="2850"/>
      <c r="KWN25" s="2846"/>
      <c r="KWO25" s="2851"/>
      <c r="KWP25" s="2850"/>
      <c r="KWQ25" s="2846"/>
      <c r="KWR25" s="2851"/>
      <c r="KWS25" s="2850"/>
      <c r="KWT25" s="2846"/>
      <c r="KWU25" s="2851"/>
      <c r="KWV25" s="2850"/>
      <c r="KWW25" s="2846"/>
      <c r="KWX25" s="2851"/>
      <c r="KWY25" s="2850"/>
      <c r="KWZ25" s="2846"/>
      <c r="KXA25" s="2851"/>
      <c r="KXB25" s="2850"/>
      <c r="KXC25" s="2846"/>
      <c r="KXD25" s="2851"/>
      <c r="KXE25" s="2850"/>
      <c r="KXF25" s="2846"/>
      <c r="KXG25" s="2851"/>
      <c r="KXH25" s="2850"/>
      <c r="KXI25" s="2846"/>
      <c r="KXJ25" s="2851"/>
      <c r="KXK25" s="2850"/>
      <c r="KXL25" s="2846"/>
      <c r="KXM25" s="2851"/>
      <c r="KXN25" s="2850"/>
      <c r="KXO25" s="2846"/>
      <c r="KXP25" s="2851"/>
      <c r="KXQ25" s="2850"/>
      <c r="KXR25" s="2846"/>
      <c r="KXS25" s="2851"/>
      <c r="KXT25" s="2850"/>
      <c r="KXU25" s="2846"/>
      <c r="KXV25" s="2851"/>
      <c r="KXW25" s="2850"/>
      <c r="KXX25" s="2846"/>
      <c r="KXY25" s="2851"/>
      <c r="KXZ25" s="2850"/>
      <c r="KYA25" s="2846"/>
      <c r="KYB25" s="2851"/>
      <c r="KYC25" s="2850"/>
      <c r="KYD25" s="2846"/>
      <c r="KYE25" s="2851"/>
      <c r="KYF25" s="2850"/>
      <c r="KYG25" s="2846"/>
      <c r="KYH25" s="2851"/>
      <c r="KYI25" s="2850"/>
      <c r="KYJ25" s="2846"/>
      <c r="KYK25" s="2851"/>
      <c r="KYL25" s="2850"/>
      <c r="KYM25" s="2846"/>
      <c r="KYN25" s="2851"/>
      <c r="KYO25" s="2850"/>
      <c r="KYP25" s="2846"/>
      <c r="KYQ25" s="2851"/>
      <c r="KYR25" s="2850"/>
      <c r="KYS25" s="2846"/>
      <c r="KYT25" s="2851"/>
      <c r="KYU25" s="2850"/>
      <c r="KYV25" s="2846"/>
      <c r="KYW25" s="2851"/>
      <c r="KYX25" s="2850"/>
      <c r="KYY25" s="2846"/>
      <c r="KYZ25" s="2851"/>
      <c r="KZA25" s="2850"/>
      <c r="KZB25" s="2846"/>
      <c r="KZC25" s="2851"/>
      <c r="KZD25" s="2850"/>
      <c r="KZE25" s="2846"/>
      <c r="KZF25" s="2851"/>
      <c r="KZG25" s="2850"/>
      <c r="KZH25" s="2846"/>
      <c r="KZI25" s="2851"/>
      <c r="KZJ25" s="2850"/>
      <c r="KZK25" s="2846"/>
      <c r="KZL25" s="2851"/>
      <c r="KZM25" s="2850"/>
      <c r="KZN25" s="2846"/>
      <c r="KZO25" s="2851"/>
      <c r="KZP25" s="2850"/>
      <c r="KZQ25" s="2846"/>
      <c r="KZR25" s="2851"/>
      <c r="KZS25" s="2850"/>
      <c r="KZT25" s="2846"/>
      <c r="KZU25" s="2851"/>
      <c r="KZV25" s="2850"/>
      <c r="KZW25" s="2846"/>
      <c r="KZX25" s="2851"/>
      <c r="KZY25" s="2850"/>
      <c r="KZZ25" s="2846"/>
      <c r="LAA25" s="2851"/>
      <c r="LAB25" s="2850"/>
      <c r="LAC25" s="2846"/>
      <c r="LAD25" s="2851"/>
      <c r="LAE25" s="2850"/>
      <c r="LAF25" s="2846"/>
      <c r="LAG25" s="2851"/>
      <c r="LAH25" s="2850"/>
      <c r="LAI25" s="2846"/>
      <c r="LAJ25" s="2851"/>
      <c r="LAK25" s="2850"/>
      <c r="LAL25" s="2846"/>
      <c r="LAM25" s="2851"/>
      <c r="LAN25" s="2850"/>
      <c r="LAO25" s="2846"/>
      <c r="LAP25" s="2851"/>
      <c r="LAQ25" s="2850"/>
      <c r="LAR25" s="2846"/>
      <c r="LAS25" s="2851"/>
      <c r="LAT25" s="2850"/>
      <c r="LAU25" s="2846"/>
      <c r="LAV25" s="2851"/>
      <c r="LAW25" s="2850"/>
      <c r="LAX25" s="2846"/>
      <c r="LAY25" s="2851"/>
      <c r="LAZ25" s="2850"/>
      <c r="LBA25" s="2846"/>
      <c r="LBB25" s="2851"/>
      <c r="LBC25" s="2850"/>
      <c r="LBD25" s="2846"/>
      <c r="LBE25" s="2851"/>
      <c r="LBF25" s="2850"/>
      <c r="LBG25" s="2846"/>
      <c r="LBH25" s="2851"/>
      <c r="LBI25" s="2850"/>
      <c r="LBJ25" s="2846"/>
      <c r="LBK25" s="2851"/>
      <c r="LBL25" s="2850"/>
      <c r="LBM25" s="2846"/>
      <c r="LBN25" s="2851"/>
      <c r="LBO25" s="2850"/>
      <c r="LBP25" s="2846"/>
      <c r="LBQ25" s="2851"/>
      <c r="LBR25" s="2850"/>
      <c r="LBS25" s="2846"/>
      <c r="LBT25" s="2851"/>
      <c r="LBU25" s="2850"/>
      <c r="LBV25" s="2846"/>
      <c r="LBW25" s="2851"/>
      <c r="LBX25" s="2850"/>
      <c r="LBY25" s="2846"/>
      <c r="LBZ25" s="2851"/>
      <c r="LCA25" s="2850"/>
      <c r="LCB25" s="2846"/>
      <c r="LCC25" s="2851"/>
      <c r="LCD25" s="2850"/>
      <c r="LCE25" s="2846"/>
      <c r="LCF25" s="2851"/>
      <c r="LCG25" s="2850"/>
      <c r="LCH25" s="2846"/>
      <c r="LCI25" s="2851"/>
      <c r="LCJ25" s="2850"/>
      <c r="LCK25" s="2846"/>
      <c r="LCL25" s="2851"/>
      <c r="LCM25" s="2850"/>
      <c r="LCN25" s="2846"/>
      <c r="LCO25" s="2851"/>
      <c r="LCP25" s="2850"/>
      <c r="LCQ25" s="2846"/>
      <c r="LCR25" s="2851"/>
      <c r="LCS25" s="2850"/>
      <c r="LCT25" s="2846"/>
      <c r="LCU25" s="2851"/>
      <c r="LCV25" s="2850"/>
      <c r="LCW25" s="2846"/>
      <c r="LCX25" s="2851"/>
      <c r="LCY25" s="2850"/>
      <c r="LCZ25" s="2846"/>
      <c r="LDA25" s="2851"/>
      <c r="LDB25" s="2850"/>
      <c r="LDC25" s="2846"/>
      <c r="LDD25" s="2851"/>
      <c r="LDE25" s="2850"/>
      <c r="LDF25" s="2846"/>
      <c r="LDG25" s="2851"/>
      <c r="LDH25" s="2850"/>
      <c r="LDI25" s="2846"/>
      <c r="LDJ25" s="2851"/>
      <c r="LDK25" s="2850"/>
      <c r="LDL25" s="2846"/>
      <c r="LDM25" s="2851"/>
      <c r="LDN25" s="2850"/>
      <c r="LDO25" s="2846"/>
      <c r="LDP25" s="2851"/>
      <c r="LDQ25" s="2850"/>
      <c r="LDR25" s="2846"/>
      <c r="LDS25" s="2851"/>
      <c r="LDT25" s="2850"/>
      <c r="LDU25" s="2846"/>
      <c r="LDV25" s="2851"/>
      <c r="LDW25" s="2850"/>
      <c r="LDX25" s="2846"/>
      <c r="LDY25" s="2851"/>
      <c r="LDZ25" s="2850"/>
      <c r="LEA25" s="2846"/>
      <c r="LEB25" s="2851"/>
      <c r="LEC25" s="2850"/>
      <c r="LED25" s="2846"/>
      <c r="LEE25" s="2851"/>
      <c r="LEF25" s="2850"/>
      <c r="LEG25" s="2846"/>
      <c r="LEH25" s="2851"/>
      <c r="LEI25" s="2850"/>
      <c r="LEJ25" s="2846"/>
      <c r="LEK25" s="2851"/>
      <c r="LEL25" s="2850"/>
      <c r="LEM25" s="2846"/>
      <c r="LEN25" s="2851"/>
      <c r="LEO25" s="2850"/>
      <c r="LEP25" s="2846"/>
      <c r="LEQ25" s="2851"/>
      <c r="LER25" s="2850"/>
      <c r="LES25" s="2846"/>
      <c r="LET25" s="2851"/>
      <c r="LEU25" s="2850"/>
      <c r="LEV25" s="2846"/>
      <c r="LEW25" s="2851"/>
      <c r="LEX25" s="2850"/>
      <c r="LEY25" s="2846"/>
      <c r="LEZ25" s="2851"/>
      <c r="LFA25" s="2850"/>
      <c r="LFB25" s="2846"/>
      <c r="LFC25" s="2851"/>
      <c r="LFD25" s="2850"/>
      <c r="LFE25" s="2846"/>
      <c r="LFF25" s="2851"/>
      <c r="LFG25" s="2850"/>
      <c r="LFH25" s="2846"/>
      <c r="LFI25" s="2851"/>
      <c r="LFJ25" s="2850"/>
      <c r="LFK25" s="2846"/>
      <c r="LFL25" s="2851"/>
      <c r="LFM25" s="2850"/>
      <c r="LFN25" s="2846"/>
      <c r="LFO25" s="2851"/>
      <c r="LFP25" s="2850"/>
      <c r="LFQ25" s="2846"/>
      <c r="LFR25" s="2851"/>
      <c r="LFS25" s="2850"/>
      <c r="LFT25" s="2846"/>
      <c r="LFU25" s="2851"/>
      <c r="LFV25" s="2850"/>
      <c r="LFW25" s="2846"/>
      <c r="LFX25" s="2851"/>
      <c r="LFY25" s="2850"/>
      <c r="LFZ25" s="2846"/>
      <c r="LGA25" s="2851"/>
      <c r="LGB25" s="2850"/>
      <c r="LGC25" s="2846"/>
      <c r="LGD25" s="2851"/>
      <c r="LGE25" s="2850"/>
      <c r="LGF25" s="2846"/>
      <c r="LGG25" s="2851"/>
      <c r="LGH25" s="2850"/>
      <c r="LGI25" s="2846"/>
      <c r="LGJ25" s="2851"/>
      <c r="LGK25" s="2850"/>
      <c r="LGL25" s="2846"/>
      <c r="LGM25" s="2851"/>
      <c r="LGN25" s="2850"/>
      <c r="LGO25" s="2846"/>
      <c r="LGP25" s="2851"/>
      <c r="LGQ25" s="2850"/>
      <c r="LGR25" s="2846"/>
      <c r="LGS25" s="2851"/>
      <c r="LGT25" s="2850"/>
      <c r="LGU25" s="2846"/>
      <c r="LGV25" s="2851"/>
      <c r="LGW25" s="2850"/>
      <c r="LGX25" s="2846"/>
      <c r="LGY25" s="2851"/>
      <c r="LGZ25" s="2850"/>
      <c r="LHA25" s="2846"/>
      <c r="LHB25" s="2851"/>
      <c r="LHC25" s="2850"/>
      <c r="LHD25" s="2846"/>
      <c r="LHE25" s="2851"/>
      <c r="LHF25" s="2850"/>
      <c r="LHG25" s="2846"/>
      <c r="LHH25" s="2851"/>
      <c r="LHI25" s="2850"/>
      <c r="LHJ25" s="2846"/>
      <c r="LHK25" s="2851"/>
      <c r="LHL25" s="2850"/>
      <c r="LHM25" s="2846"/>
      <c r="LHN25" s="2851"/>
      <c r="LHO25" s="2850"/>
      <c r="LHP25" s="2846"/>
      <c r="LHQ25" s="2851"/>
      <c r="LHR25" s="2850"/>
      <c r="LHS25" s="2846"/>
      <c r="LHT25" s="2851"/>
      <c r="LHU25" s="2850"/>
      <c r="LHV25" s="2846"/>
      <c r="LHW25" s="2851"/>
      <c r="LHX25" s="2850"/>
      <c r="LHY25" s="2846"/>
      <c r="LHZ25" s="2851"/>
      <c r="LIA25" s="2850"/>
      <c r="LIB25" s="2846"/>
      <c r="LIC25" s="2851"/>
      <c r="LID25" s="2850"/>
      <c r="LIE25" s="2846"/>
      <c r="LIF25" s="2851"/>
      <c r="LIG25" s="2850"/>
      <c r="LIH25" s="2846"/>
      <c r="LII25" s="2851"/>
      <c r="LIJ25" s="2850"/>
      <c r="LIK25" s="2846"/>
      <c r="LIL25" s="2851"/>
      <c r="LIM25" s="2850"/>
      <c r="LIN25" s="2846"/>
      <c r="LIO25" s="2851"/>
      <c r="LIP25" s="2850"/>
      <c r="LIQ25" s="2846"/>
      <c r="LIR25" s="2851"/>
      <c r="LIS25" s="2850"/>
      <c r="LIT25" s="2846"/>
      <c r="LIU25" s="2851"/>
      <c r="LIV25" s="2850"/>
      <c r="LIW25" s="2846"/>
      <c r="LIX25" s="2851"/>
      <c r="LIY25" s="2850"/>
      <c r="LIZ25" s="2846"/>
      <c r="LJA25" s="2851"/>
      <c r="LJB25" s="2850"/>
      <c r="LJC25" s="2846"/>
      <c r="LJD25" s="2851"/>
      <c r="LJE25" s="2850"/>
      <c r="LJF25" s="2846"/>
      <c r="LJG25" s="2851"/>
      <c r="LJH25" s="2850"/>
      <c r="LJI25" s="2846"/>
      <c r="LJJ25" s="2851"/>
      <c r="LJK25" s="2850"/>
      <c r="LJL25" s="2846"/>
      <c r="LJM25" s="2851"/>
      <c r="LJN25" s="2850"/>
      <c r="LJO25" s="2846"/>
      <c r="LJP25" s="2851"/>
      <c r="LJQ25" s="2850"/>
      <c r="LJR25" s="2846"/>
      <c r="LJS25" s="2851"/>
      <c r="LJT25" s="2850"/>
      <c r="LJU25" s="2846"/>
      <c r="LJV25" s="2851"/>
      <c r="LJW25" s="2850"/>
      <c r="LJX25" s="2846"/>
      <c r="LJY25" s="2851"/>
      <c r="LJZ25" s="2850"/>
      <c r="LKA25" s="2846"/>
      <c r="LKB25" s="2851"/>
      <c r="LKC25" s="2850"/>
      <c r="LKD25" s="2846"/>
      <c r="LKE25" s="2851"/>
      <c r="LKF25" s="2850"/>
      <c r="LKG25" s="2846"/>
      <c r="LKH25" s="2851"/>
      <c r="LKI25" s="2850"/>
      <c r="LKJ25" s="2846"/>
      <c r="LKK25" s="2851"/>
      <c r="LKL25" s="2850"/>
      <c r="LKM25" s="2846"/>
      <c r="LKN25" s="2851"/>
      <c r="LKO25" s="2850"/>
      <c r="LKP25" s="2846"/>
      <c r="LKQ25" s="2851"/>
      <c r="LKR25" s="2850"/>
      <c r="LKS25" s="2846"/>
      <c r="LKT25" s="2851"/>
      <c r="LKU25" s="2850"/>
      <c r="LKV25" s="2846"/>
      <c r="LKW25" s="2851"/>
      <c r="LKX25" s="2850"/>
      <c r="LKY25" s="2846"/>
      <c r="LKZ25" s="2851"/>
      <c r="LLA25" s="2850"/>
      <c r="LLB25" s="2846"/>
      <c r="LLC25" s="2851"/>
      <c r="LLD25" s="2850"/>
      <c r="LLE25" s="2846"/>
      <c r="LLF25" s="2851"/>
      <c r="LLG25" s="2850"/>
      <c r="LLH25" s="2846"/>
      <c r="LLI25" s="2851"/>
      <c r="LLJ25" s="2850"/>
      <c r="LLK25" s="2846"/>
      <c r="LLL25" s="2851"/>
      <c r="LLM25" s="2850"/>
      <c r="LLN25" s="2846"/>
      <c r="LLO25" s="2851"/>
      <c r="LLP25" s="2850"/>
      <c r="LLQ25" s="2846"/>
      <c r="LLR25" s="2851"/>
      <c r="LLS25" s="2850"/>
      <c r="LLT25" s="2846"/>
      <c r="LLU25" s="2851"/>
      <c r="LLV25" s="2850"/>
      <c r="LLW25" s="2846"/>
      <c r="LLX25" s="2851"/>
      <c r="LLY25" s="2850"/>
      <c r="LLZ25" s="2846"/>
      <c r="LMA25" s="2851"/>
      <c r="LMB25" s="2850"/>
      <c r="LMC25" s="2846"/>
      <c r="LMD25" s="2851"/>
      <c r="LME25" s="2850"/>
      <c r="LMF25" s="2846"/>
      <c r="LMG25" s="2851"/>
      <c r="LMH25" s="2850"/>
      <c r="LMI25" s="2846"/>
      <c r="LMJ25" s="2851"/>
      <c r="LMK25" s="2850"/>
      <c r="LML25" s="2846"/>
      <c r="LMM25" s="2851"/>
      <c r="LMN25" s="2850"/>
      <c r="LMO25" s="2846"/>
      <c r="LMP25" s="2851"/>
      <c r="LMQ25" s="2850"/>
      <c r="LMR25" s="2846"/>
      <c r="LMS25" s="2851"/>
      <c r="LMT25" s="2850"/>
      <c r="LMU25" s="2846"/>
      <c r="LMV25" s="2851"/>
      <c r="LMW25" s="2850"/>
      <c r="LMX25" s="2846"/>
      <c r="LMY25" s="2851"/>
      <c r="LMZ25" s="2850"/>
      <c r="LNA25" s="2846"/>
      <c r="LNB25" s="2851"/>
      <c r="LNC25" s="2850"/>
      <c r="LND25" s="2846"/>
      <c r="LNE25" s="2851"/>
      <c r="LNF25" s="2850"/>
      <c r="LNG25" s="2846"/>
      <c r="LNH25" s="2851"/>
      <c r="LNI25" s="2850"/>
      <c r="LNJ25" s="2846"/>
      <c r="LNK25" s="2851"/>
      <c r="LNL25" s="2850"/>
      <c r="LNM25" s="2846"/>
      <c r="LNN25" s="2851"/>
      <c r="LNO25" s="2850"/>
      <c r="LNP25" s="2846"/>
      <c r="LNQ25" s="2851"/>
      <c r="LNR25" s="2850"/>
      <c r="LNS25" s="2846"/>
      <c r="LNT25" s="2851"/>
      <c r="LNU25" s="2850"/>
      <c r="LNV25" s="2846"/>
      <c r="LNW25" s="2851"/>
      <c r="LNX25" s="2850"/>
      <c r="LNY25" s="2846"/>
      <c r="LNZ25" s="2851"/>
      <c r="LOA25" s="2850"/>
      <c r="LOB25" s="2846"/>
      <c r="LOC25" s="2851"/>
      <c r="LOD25" s="2850"/>
      <c r="LOE25" s="2846"/>
      <c r="LOF25" s="2851"/>
      <c r="LOG25" s="2850"/>
      <c r="LOH25" s="2846"/>
      <c r="LOI25" s="2851"/>
      <c r="LOJ25" s="2850"/>
      <c r="LOK25" s="2846"/>
      <c r="LOL25" s="2851"/>
      <c r="LOM25" s="2850"/>
      <c r="LON25" s="2846"/>
      <c r="LOO25" s="2851"/>
      <c r="LOP25" s="2850"/>
      <c r="LOQ25" s="2846"/>
      <c r="LOR25" s="2851"/>
      <c r="LOS25" s="2850"/>
      <c r="LOT25" s="2846"/>
      <c r="LOU25" s="2851"/>
      <c r="LOV25" s="2850"/>
      <c r="LOW25" s="2846"/>
      <c r="LOX25" s="2851"/>
      <c r="LOY25" s="2850"/>
      <c r="LOZ25" s="2846"/>
      <c r="LPA25" s="2851"/>
      <c r="LPB25" s="2850"/>
      <c r="LPC25" s="2846"/>
      <c r="LPD25" s="2851"/>
      <c r="LPE25" s="2850"/>
      <c r="LPF25" s="2846"/>
      <c r="LPG25" s="2851"/>
      <c r="LPH25" s="2850"/>
      <c r="LPI25" s="2846"/>
      <c r="LPJ25" s="2851"/>
      <c r="LPK25" s="2850"/>
      <c r="LPL25" s="2846"/>
      <c r="LPM25" s="2851"/>
      <c r="LPN25" s="2850"/>
      <c r="LPO25" s="2846"/>
      <c r="LPP25" s="2851"/>
      <c r="LPQ25" s="2850"/>
      <c r="LPR25" s="2846"/>
      <c r="LPS25" s="2851"/>
      <c r="LPT25" s="2850"/>
      <c r="LPU25" s="2846"/>
      <c r="LPV25" s="2851"/>
      <c r="LPW25" s="2850"/>
      <c r="LPX25" s="2846"/>
      <c r="LPY25" s="2851"/>
      <c r="LPZ25" s="2850"/>
      <c r="LQA25" s="2846"/>
      <c r="LQB25" s="2851"/>
      <c r="LQC25" s="2850"/>
      <c r="LQD25" s="2846"/>
      <c r="LQE25" s="2851"/>
      <c r="LQF25" s="2850"/>
      <c r="LQG25" s="2846"/>
      <c r="LQH25" s="2851"/>
      <c r="LQI25" s="2850"/>
      <c r="LQJ25" s="2846"/>
      <c r="LQK25" s="2851"/>
      <c r="LQL25" s="2850"/>
      <c r="LQM25" s="2846"/>
      <c r="LQN25" s="2851"/>
      <c r="LQO25" s="2850"/>
      <c r="LQP25" s="2846"/>
      <c r="LQQ25" s="2851"/>
      <c r="LQR25" s="2850"/>
      <c r="LQS25" s="2846"/>
      <c r="LQT25" s="2851"/>
      <c r="LQU25" s="2850"/>
      <c r="LQV25" s="2846"/>
      <c r="LQW25" s="2851"/>
      <c r="LQX25" s="2850"/>
      <c r="LQY25" s="2846"/>
      <c r="LQZ25" s="2851"/>
      <c r="LRA25" s="2850"/>
      <c r="LRB25" s="2846"/>
      <c r="LRC25" s="2851"/>
      <c r="LRD25" s="2850"/>
      <c r="LRE25" s="2846"/>
      <c r="LRF25" s="2851"/>
      <c r="LRG25" s="2850"/>
      <c r="LRH25" s="2846"/>
      <c r="LRI25" s="2851"/>
      <c r="LRJ25" s="2850"/>
      <c r="LRK25" s="2846"/>
      <c r="LRL25" s="2851"/>
      <c r="LRM25" s="2850"/>
      <c r="LRN25" s="2846"/>
      <c r="LRO25" s="2851"/>
      <c r="LRP25" s="2850"/>
      <c r="LRQ25" s="2846"/>
      <c r="LRR25" s="2851"/>
      <c r="LRS25" s="2850"/>
      <c r="LRT25" s="2846"/>
      <c r="LRU25" s="2851"/>
      <c r="LRV25" s="2850"/>
      <c r="LRW25" s="2846"/>
      <c r="LRX25" s="2851"/>
      <c r="LRY25" s="2850"/>
      <c r="LRZ25" s="2846"/>
      <c r="LSA25" s="2851"/>
      <c r="LSB25" s="2850"/>
      <c r="LSC25" s="2846"/>
      <c r="LSD25" s="2851"/>
      <c r="LSE25" s="2850"/>
      <c r="LSF25" s="2846"/>
      <c r="LSG25" s="2851"/>
      <c r="LSH25" s="2850"/>
      <c r="LSI25" s="2846"/>
      <c r="LSJ25" s="2851"/>
      <c r="LSK25" s="2850"/>
      <c r="LSL25" s="2846"/>
      <c r="LSM25" s="2851"/>
      <c r="LSN25" s="2850"/>
      <c r="LSO25" s="2846"/>
      <c r="LSP25" s="2851"/>
      <c r="LSQ25" s="2850"/>
      <c r="LSR25" s="2846"/>
      <c r="LSS25" s="2851"/>
      <c r="LST25" s="2850"/>
      <c r="LSU25" s="2846"/>
      <c r="LSV25" s="2851"/>
      <c r="LSW25" s="2850"/>
      <c r="LSX25" s="2846"/>
      <c r="LSY25" s="2851"/>
      <c r="LSZ25" s="2850"/>
      <c r="LTA25" s="2846"/>
      <c r="LTB25" s="2851"/>
      <c r="LTC25" s="2850"/>
      <c r="LTD25" s="2846"/>
      <c r="LTE25" s="2851"/>
      <c r="LTF25" s="2850"/>
      <c r="LTG25" s="2846"/>
      <c r="LTH25" s="2851"/>
      <c r="LTI25" s="2850"/>
      <c r="LTJ25" s="2846"/>
      <c r="LTK25" s="2851"/>
      <c r="LTL25" s="2850"/>
      <c r="LTM25" s="2846"/>
      <c r="LTN25" s="2851"/>
      <c r="LTO25" s="2850"/>
      <c r="LTP25" s="2846"/>
      <c r="LTQ25" s="2851"/>
      <c r="LTR25" s="2850"/>
      <c r="LTS25" s="2846"/>
      <c r="LTT25" s="2851"/>
      <c r="LTU25" s="2850"/>
      <c r="LTV25" s="2846"/>
      <c r="LTW25" s="2851"/>
      <c r="LTX25" s="2850"/>
      <c r="LTY25" s="2846"/>
      <c r="LTZ25" s="2851"/>
      <c r="LUA25" s="2850"/>
      <c r="LUB25" s="2846"/>
      <c r="LUC25" s="2851"/>
      <c r="LUD25" s="2850"/>
      <c r="LUE25" s="2846"/>
      <c r="LUF25" s="2851"/>
      <c r="LUG25" s="2850"/>
      <c r="LUH25" s="2846"/>
      <c r="LUI25" s="2851"/>
      <c r="LUJ25" s="2850"/>
      <c r="LUK25" s="2846"/>
      <c r="LUL25" s="2851"/>
      <c r="LUM25" s="2850"/>
      <c r="LUN25" s="2846"/>
      <c r="LUO25" s="2851"/>
      <c r="LUP25" s="2850"/>
      <c r="LUQ25" s="2846"/>
      <c r="LUR25" s="2851"/>
      <c r="LUS25" s="2850"/>
      <c r="LUT25" s="2846"/>
      <c r="LUU25" s="2851"/>
      <c r="LUV25" s="2850"/>
      <c r="LUW25" s="2846"/>
      <c r="LUX25" s="2851"/>
      <c r="LUY25" s="2850"/>
      <c r="LUZ25" s="2846"/>
      <c r="LVA25" s="2851"/>
      <c r="LVB25" s="2850"/>
      <c r="LVC25" s="2846"/>
      <c r="LVD25" s="2851"/>
      <c r="LVE25" s="2850"/>
      <c r="LVF25" s="2846"/>
      <c r="LVG25" s="2851"/>
      <c r="LVH25" s="2850"/>
      <c r="LVI25" s="2846"/>
      <c r="LVJ25" s="2851"/>
      <c r="LVK25" s="2850"/>
      <c r="LVL25" s="2846"/>
      <c r="LVM25" s="2851"/>
      <c r="LVN25" s="2850"/>
      <c r="LVO25" s="2846"/>
      <c r="LVP25" s="2851"/>
      <c r="LVQ25" s="2850"/>
      <c r="LVR25" s="2846"/>
      <c r="LVS25" s="2851"/>
      <c r="LVT25" s="2850"/>
      <c r="LVU25" s="2846"/>
      <c r="LVV25" s="2851"/>
      <c r="LVW25" s="2850"/>
      <c r="LVX25" s="2846"/>
      <c r="LVY25" s="2851"/>
      <c r="LVZ25" s="2850"/>
      <c r="LWA25" s="2846"/>
      <c r="LWB25" s="2851"/>
      <c r="LWC25" s="2850"/>
      <c r="LWD25" s="2846"/>
      <c r="LWE25" s="2851"/>
      <c r="LWF25" s="2850"/>
      <c r="LWG25" s="2846"/>
      <c r="LWH25" s="2851"/>
      <c r="LWI25" s="2850"/>
      <c r="LWJ25" s="2846"/>
      <c r="LWK25" s="2851"/>
      <c r="LWL25" s="2850"/>
      <c r="LWM25" s="2846"/>
      <c r="LWN25" s="2851"/>
      <c r="LWO25" s="2850"/>
      <c r="LWP25" s="2846"/>
      <c r="LWQ25" s="2851"/>
      <c r="LWR25" s="2850"/>
      <c r="LWS25" s="2846"/>
      <c r="LWT25" s="2851"/>
      <c r="LWU25" s="2850"/>
      <c r="LWV25" s="2846"/>
      <c r="LWW25" s="2851"/>
      <c r="LWX25" s="2850"/>
      <c r="LWY25" s="2846"/>
      <c r="LWZ25" s="2851"/>
      <c r="LXA25" s="2850"/>
      <c r="LXB25" s="2846"/>
      <c r="LXC25" s="2851"/>
      <c r="LXD25" s="2850"/>
      <c r="LXE25" s="2846"/>
      <c r="LXF25" s="2851"/>
      <c r="LXG25" s="2850"/>
      <c r="LXH25" s="2846"/>
      <c r="LXI25" s="2851"/>
      <c r="LXJ25" s="2850"/>
      <c r="LXK25" s="2846"/>
      <c r="LXL25" s="2851"/>
      <c r="LXM25" s="2850"/>
      <c r="LXN25" s="2846"/>
      <c r="LXO25" s="2851"/>
      <c r="LXP25" s="2850"/>
      <c r="LXQ25" s="2846"/>
      <c r="LXR25" s="2851"/>
      <c r="LXS25" s="2850"/>
      <c r="LXT25" s="2846"/>
      <c r="LXU25" s="2851"/>
      <c r="LXV25" s="2850"/>
      <c r="LXW25" s="2846"/>
      <c r="LXX25" s="2851"/>
      <c r="LXY25" s="2850"/>
      <c r="LXZ25" s="2846"/>
      <c r="LYA25" s="2851"/>
      <c r="LYB25" s="2850"/>
      <c r="LYC25" s="2846"/>
      <c r="LYD25" s="2851"/>
      <c r="LYE25" s="2850"/>
      <c r="LYF25" s="2846"/>
      <c r="LYG25" s="2851"/>
      <c r="LYH25" s="2850"/>
      <c r="LYI25" s="2846"/>
      <c r="LYJ25" s="2851"/>
      <c r="LYK25" s="2850"/>
      <c r="LYL25" s="2846"/>
      <c r="LYM25" s="2851"/>
      <c r="LYN25" s="2850"/>
      <c r="LYO25" s="2846"/>
      <c r="LYP25" s="2851"/>
      <c r="LYQ25" s="2850"/>
      <c r="LYR25" s="2846"/>
      <c r="LYS25" s="2851"/>
      <c r="LYT25" s="2850"/>
      <c r="LYU25" s="2846"/>
      <c r="LYV25" s="2851"/>
      <c r="LYW25" s="2850"/>
      <c r="LYX25" s="2846"/>
      <c r="LYY25" s="2851"/>
      <c r="LYZ25" s="2850"/>
      <c r="LZA25" s="2846"/>
      <c r="LZB25" s="2851"/>
      <c r="LZC25" s="2850"/>
      <c r="LZD25" s="2846"/>
      <c r="LZE25" s="2851"/>
      <c r="LZF25" s="2850"/>
      <c r="LZG25" s="2846"/>
      <c r="LZH25" s="2851"/>
      <c r="LZI25" s="2850"/>
      <c r="LZJ25" s="2846"/>
      <c r="LZK25" s="2851"/>
      <c r="LZL25" s="2850"/>
      <c r="LZM25" s="2846"/>
      <c r="LZN25" s="2851"/>
      <c r="LZO25" s="2850"/>
      <c r="LZP25" s="2846"/>
      <c r="LZQ25" s="2851"/>
      <c r="LZR25" s="2850"/>
      <c r="LZS25" s="2846"/>
      <c r="LZT25" s="2851"/>
      <c r="LZU25" s="2850"/>
      <c r="LZV25" s="2846"/>
      <c r="LZW25" s="2851"/>
      <c r="LZX25" s="2850"/>
      <c r="LZY25" s="2846"/>
      <c r="LZZ25" s="2851"/>
      <c r="MAA25" s="2850"/>
      <c r="MAB25" s="2846"/>
      <c r="MAC25" s="2851"/>
      <c r="MAD25" s="2850"/>
      <c r="MAE25" s="2846"/>
      <c r="MAF25" s="2851"/>
      <c r="MAG25" s="2850"/>
      <c r="MAH25" s="2846"/>
      <c r="MAI25" s="2851"/>
      <c r="MAJ25" s="2850"/>
      <c r="MAK25" s="2846"/>
      <c r="MAL25" s="2851"/>
      <c r="MAM25" s="2850"/>
      <c r="MAN25" s="2846"/>
      <c r="MAO25" s="2851"/>
      <c r="MAP25" s="2850"/>
      <c r="MAQ25" s="2846"/>
      <c r="MAR25" s="2851"/>
      <c r="MAS25" s="2850"/>
      <c r="MAT25" s="2846"/>
      <c r="MAU25" s="2851"/>
      <c r="MAV25" s="2850"/>
      <c r="MAW25" s="2846"/>
      <c r="MAX25" s="2851"/>
      <c r="MAY25" s="2850"/>
      <c r="MAZ25" s="2846"/>
      <c r="MBA25" s="2851"/>
      <c r="MBB25" s="2850"/>
      <c r="MBC25" s="2846"/>
      <c r="MBD25" s="2851"/>
      <c r="MBE25" s="2850"/>
      <c r="MBF25" s="2846"/>
      <c r="MBG25" s="2851"/>
      <c r="MBH25" s="2850"/>
      <c r="MBI25" s="2846"/>
      <c r="MBJ25" s="2851"/>
      <c r="MBK25" s="2850"/>
      <c r="MBL25" s="2846"/>
      <c r="MBM25" s="2851"/>
      <c r="MBN25" s="2850"/>
      <c r="MBO25" s="2846"/>
      <c r="MBP25" s="2851"/>
      <c r="MBQ25" s="2850"/>
      <c r="MBR25" s="2846"/>
      <c r="MBS25" s="2851"/>
      <c r="MBT25" s="2850"/>
      <c r="MBU25" s="2846"/>
      <c r="MBV25" s="2851"/>
      <c r="MBW25" s="2850"/>
      <c r="MBX25" s="2846"/>
      <c r="MBY25" s="2851"/>
      <c r="MBZ25" s="2850"/>
      <c r="MCA25" s="2846"/>
      <c r="MCB25" s="2851"/>
      <c r="MCC25" s="2850"/>
      <c r="MCD25" s="2846"/>
      <c r="MCE25" s="2851"/>
      <c r="MCF25" s="2850"/>
      <c r="MCG25" s="2846"/>
      <c r="MCH25" s="2851"/>
      <c r="MCI25" s="2850"/>
      <c r="MCJ25" s="2846"/>
      <c r="MCK25" s="2851"/>
      <c r="MCL25" s="2850"/>
      <c r="MCM25" s="2846"/>
      <c r="MCN25" s="2851"/>
      <c r="MCO25" s="2850"/>
      <c r="MCP25" s="2846"/>
      <c r="MCQ25" s="2851"/>
      <c r="MCR25" s="2850"/>
      <c r="MCS25" s="2846"/>
      <c r="MCT25" s="2851"/>
      <c r="MCU25" s="2850"/>
      <c r="MCV25" s="2846"/>
      <c r="MCW25" s="2851"/>
      <c r="MCX25" s="2850"/>
      <c r="MCY25" s="2846"/>
      <c r="MCZ25" s="2851"/>
      <c r="MDA25" s="2850"/>
      <c r="MDB25" s="2846"/>
      <c r="MDC25" s="2851"/>
      <c r="MDD25" s="2850"/>
      <c r="MDE25" s="2846"/>
      <c r="MDF25" s="2851"/>
      <c r="MDG25" s="2850"/>
      <c r="MDH25" s="2846"/>
      <c r="MDI25" s="2851"/>
      <c r="MDJ25" s="2850"/>
      <c r="MDK25" s="2846"/>
      <c r="MDL25" s="2851"/>
      <c r="MDM25" s="2850"/>
      <c r="MDN25" s="2846"/>
      <c r="MDO25" s="2851"/>
      <c r="MDP25" s="2850"/>
      <c r="MDQ25" s="2846"/>
      <c r="MDR25" s="2851"/>
      <c r="MDS25" s="2850"/>
      <c r="MDT25" s="2846"/>
      <c r="MDU25" s="2851"/>
      <c r="MDV25" s="2850"/>
      <c r="MDW25" s="2846"/>
      <c r="MDX25" s="2851"/>
      <c r="MDY25" s="2850"/>
      <c r="MDZ25" s="2846"/>
      <c r="MEA25" s="2851"/>
      <c r="MEB25" s="2850"/>
      <c r="MEC25" s="2846"/>
      <c r="MED25" s="2851"/>
      <c r="MEE25" s="2850"/>
      <c r="MEF25" s="2846"/>
      <c r="MEG25" s="2851"/>
      <c r="MEH25" s="2850"/>
      <c r="MEI25" s="2846"/>
      <c r="MEJ25" s="2851"/>
      <c r="MEK25" s="2850"/>
      <c r="MEL25" s="2846"/>
      <c r="MEM25" s="2851"/>
      <c r="MEN25" s="2850"/>
      <c r="MEO25" s="2846"/>
      <c r="MEP25" s="2851"/>
      <c r="MEQ25" s="2850"/>
      <c r="MER25" s="2846"/>
      <c r="MES25" s="2851"/>
      <c r="MET25" s="2850"/>
      <c r="MEU25" s="2846"/>
      <c r="MEV25" s="2851"/>
      <c r="MEW25" s="2850"/>
      <c r="MEX25" s="2846"/>
      <c r="MEY25" s="2851"/>
      <c r="MEZ25" s="2850"/>
      <c r="MFA25" s="2846"/>
      <c r="MFB25" s="2851"/>
      <c r="MFC25" s="2850"/>
      <c r="MFD25" s="2846"/>
      <c r="MFE25" s="2851"/>
      <c r="MFF25" s="2850"/>
      <c r="MFG25" s="2846"/>
      <c r="MFH25" s="2851"/>
      <c r="MFI25" s="2850"/>
      <c r="MFJ25" s="2846"/>
      <c r="MFK25" s="2851"/>
      <c r="MFL25" s="2850"/>
      <c r="MFM25" s="2846"/>
      <c r="MFN25" s="2851"/>
      <c r="MFO25" s="2850"/>
      <c r="MFP25" s="2846"/>
      <c r="MFQ25" s="2851"/>
      <c r="MFR25" s="2850"/>
      <c r="MFS25" s="2846"/>
      <c r="MFT25" s="2851"/>
      <c r="MFU25" s="2850"/>
      <c r="MFV25" s="2846"/>
      <c r="MFW25" s="2851"/>
      <c r="MFX25" s="2850"/>
      <c r="MFY25" s="2846"/>
      <c r="MFZ25" s="2851"/>
      <c r="MGA25" s="2850"/>
      <c r="MGB25" s="2846"/>
      <c r="MGC25" s="2851"/>
      <c r="MGD25" s="2850"/>
      <c r="MGE25" s="2846"/>
      <c r="MGF25" s="2851"/>
      <c r="MGG25" s="2850"/>
      <c r="MGH25" s="2846"/>
      <c r="MGI25" s="2851"/>
      <c r="MGJ25" s="2850"/>
      <c r="MGK25" s="2846"/>
      <c r="MGL25" s="2851"/>
      <c r="MGM25" s="2850"/>
      <c r="MGN25" s="2846"/>
      <c r="MGO25" s="2851"/>
      <c r="MGP25" s="2850"/>
      <c r="MGQ25" s="2846"/>
      <c r="MGR25" s="2851"/>
      <c r="MGS25" s="2850"/>
      <c r="MGT25" s="2846"/>
      <c r="MGU25" s="2851"/>
      <c r="MGV25" s="2850"/>
      <c r="MGW25" s="2846"/>
      <c r="MGX25" s="2851"/>
      <c r="MGY25" s="2850"/>
      <c r="MGZ25" s="2846"/>
      <c r="MHA25" s="2851"/>
      <c r="MHB25" s="2850"/>
      <c r="MHC25" s="2846"/>
      <c r="MHD25" s="2851"/>
      <c r="MHE25" s="2850"/>
      <c r="MHF25" s="2846"/>
      <c r="MHG25" s="2851"/>
      <c r="MHH25" s="2850"/>
      <c r="MHI25" s="2846"/>
      <c r="MHJ25" s="2851"/>
      <c r="MHK25" s="2850"/>
      <c r="MHL25" s="2846"/>
      <c r="MHM25" s="2851"/>
      <c r="MHN25" s="2850"/>
      <c r="MHO25" s="2846"/>
      <c r="MHP25" s="2851"/>
      <c r="MHQ25" s="2850"/>
      <c r="MHR25" s="2846"/>
      <c r="MHS25" s="2851"/>
      <c r="MHT25" s="2850"/>
      <c r="MHU25" s="2846"/>
      <c r="MHV25" s="2851"/>
      <c r="MHW25" s="2850"/>
      <c r="MHX25" s="2846"/>
      <c r="MHY25" s="2851"/>
      <c r="MHZ25" s="2850"/>
      <c r="MIA25" s="2846"/>
      <c r="MIB25" s="2851"/>
      <c r="MIC25" s="2850"/>
      <c r="MID25" s="2846"/>
      <c r="MIE25" s="2851"/>
      <c r="MIF25" s="2850"/>
      <c r="MIG25" s="2846"/>
      <c r="MIH25" s="2851"/>
      <c r="MII25" s="2850"/>
      <c r="MIJ25" s="2846"/>
      <c r="MIK25" s="2851"/>
      <c r="MIL25" s="2850"/>
      <c r="MIM25" s="2846"/>
      <c r="MIN25" s="2851"/>
      <c r="MIO25" s="2850"/>
      <c r="MIP25" s="2846"/>
      <c r="MIQ25" s="2851"/>
      <c r="MIR25" s="2850"/>
      <c r="MIS25" s="2846"/>
      <c r="MIT25" s="2851"/>
      <c r="MIU25" s="2850"/>
      <c r="MIV25" s="2846"/>
      <c r="MIW25" s="2851"/>
      <c r="MIX25" s="2850"/>
      <c r="MIY25" s="2846"/>
      <c r="MIZ25" s="2851"/>
      <c r="MJA25" s="2850"/>
      <c r="MJB25" s="2846"/>
      <c r="MJC25" s="2851"/>
      <c r="MJD25" s="2850"/>
      <c r="MJE25" s="2846"/>
      <c r="MJF25" s="2851"/>
      <c r="MJG25" s="2850"/>
      <c r="MJH25" s="2846"/>
      <c r="MJI25" s="2851"/>
      <c r="MJJ25" s="2850"/>
      <c r="MJK25" s="2846"/>
      <c r="MJL25" s="2851"/>
      <c r="MJM25" s="2850"/>
      <c r="MJN25" s="2846"/>
      <c r="MJO25" s="2851"/>
      <c r="MJP25" s="2850"/>
      <c r="MJQ25" s="2846"/>
      <c r="MJR25" s="2851"/>
      <c r="MJS25" s="2850"/>
      <c r="MJT25" s="2846"/>
      <c r="MJU25" s="2851"/>
      <c r="MJV25" s="2850"/>
      <c r="MJW25" s="2846"/>
      <c r="MJX25" s="2851"/>
      <c r="MJY25" s="2850"/>
      <c r="MJZ25" s="2846"/>
      <c r="MKA25" s="2851"/>
      <c r="MKB25" s="2850"/>
      <c r="MKC25" s="2846"/>
      <c r="MKD25" s="2851"/>
      <c r="MKE25" s="2850"/>
      <c r="MKF25" s="2846"/>
      <c r="MKG25" s="2851"/>
      <c r="MKH25" s="2850"/>
      <c r="MKI25" s="2846"/>
      <c r="MKJ25" s="2851"/>
      <c r="MKK25" s="2850"/>
      <c r="MKL25" s="2846"/>
      <c r="MKM25" s="2851"/>
      <c r="MKN25" s="2850"/>
      <c r="MKO25" s="2846"/>
      <c r="MKP25" s="2851"/>
      <c r="MKQ25" s="2850"/>
      <c r="MKR25" s="2846"/>
      <c r="MKS25" s="2851"/>
      <c r="MKT25" s="2850"/>
      <c r="MKU25" s="2846"/>
      <c r="MKV25" s="2851"/>
      <c r="MKW25" s="2850"/>
      <c r="MKX25" s="2846"/>
      <c r="MKY25" s="2851"/>
      <c r="MKZ25" s="2850"/>
      <c r="MLA25" s="2846"/>
      <c r="MLB25" s="2851"/>
      <c r="MLC25" s="2850"/>
      <c r="MLD25" s="2846"/>
      <c r="MLE25" s="2851"/>
      <c r="MLF25" s="2850"/>
      <c r="MLG25" s="2846"/>
      <c r="MLH25" s="2851"/>
      <c r="MLI25" s="2850"/>
      <c r="MLJ25" s="2846"/>
      <c r="MLK25" s="2851"/>
      <c r="MLL25" s="2850"/>
      <c r="MLM25" s="2846"/>
      <c r="MLN25" s="2851"/>
      <c r="MLO25" s="2850"/>
      <c r="MLP25" s="2846"/>
      <c r="MLQ25" s="2851"/>
      <c r="MLR25" s="2850"/>
      <c r="MLS25" s="2846"/>
      <c r="MLT25" s="2851"/>
      <c r="MLU25" s="2850"/>
      <c r="MLV25" s="2846"/>
      <c r="MLW25" s="2851"/>
      <c r="MLX25" s="2850"/>
      <c r="MLY25" s="2846"/>
      <c r="MLZ25" s="2851"/>
      <c r="MMA25" s="2850"/>
      <c r="MMB25" s="2846"/>
      <c r="MMC25" s="2851"/>
      <c r="MMD25" s="2850"/>
      <c r="MME25" s="2846"/>
      <c r="MMF25" s="2851"/>
      <c r="MMG25" s="2850"/>
      <c r="MMH25" s="2846"/>
      <c r="MMI25" s="2851"/>
      <c r="MMJ25" s="2850"/>
      <c r="MMK25" s="2846"/>
      <c r="MML25" s="2851"/>
      <c r="MMM25" s="2850"/>
      <c r="MMN25" s="2846"/>
      <c r="MMO25" s="2851"/>
      <c r="MMP25" s="2850"/>
      <c r="MMQ25" s="2846"/>
      <c r="MMR25" s="2851"/>
      <c r="MMS25" s="2850"/>
      <c r="MMT25" s="2846"/>
      <c r="MMU25" s="2851"/>
      <c r="MMV25" s="2850"/>
      <c r="MMW25" s="2846"/>
      <c r="MMX25" s="2851"/>
      <c r="MMY25" s="2850"/>
      <c r="MMZ25" s="2846"/>
      <c r="MNA25" s="2851"/>
      <c r="MNB25" s="2850"/>
      <c r="MNC25" s="2846"/>
      <c r="MND25" s="2851"/>
      <c r="MNE25" s="2850"/>
      <c r="MNF25" s="2846"/>
      <c r="MNG25" s="2851"/>
      <c r="MNH25" s="2850"/>
      <c r="MNI25" s="2846"/>
      <c r="MNJ25" s="2851"/>
      <c r="MNK25" s="2850"/>
      <c r="MNL25" s="2846"/>
      <c r="MNM25" s="2851"/>
      <c r="MNN25" s="2850"/>
      <c r="MNO25" s="2846"/>
      <c r="MNP25" s="2851"/>
      <c r="MNQ25" s="2850"/>
      <c r="MNR25" s="2846"/>
      <c r="MNS25" s="2851"/>
      <c r="MNT25" s="2850"/>
      <c r="MNU25" s="2846"/>
      <c r="MNV25" s="2851"/>
      <c r="MNW25" s="2850"/>
      <c r="MNX25" s="2846"/>
      <c r="MNY25" s="2851"/>
      <c r="MNZ25" s="2850"/>
      <c r="MOA25" s="2846"/>
      <c r="MOB25" s="2851"/>
      <c r="MOC25" s="2850"/>
      <c r="MOD25" s="2846"/>
      <c r="MOE25" s="2851"/>
      <c r="MOF25" s="2850"/>
      <c r="MOG25" s="2846"/>
      <c r="MOH25" s="2851"/>
      <c r="MOI25" s="2850"/>
      <c r="MOJ25" s="2846"/>
      <c r="MOK25" s="2851"/>
      <c r="MOL25" s="2850"/>
      <c r="MOM25" s="2846"/>
      <c r="MON25" s="2851"/>
      <c r="MOO25" s="2850"/>
      <c r="MOP25" s="2846"/>
      <c r="MOQ25" s="2851"/>
      <c r="MOR25" s="2850"/>
      <c r="MOS25" s="2846"/>
      <c r="MOT25" s="2851"/>
      <c r="MOU25" s="2850"/>
      <c r="MOV25" s="2846"/>
      <c r="MOW25" s="2851"/>
      <c r="MOX25" s="2850"/>
      <c r="MOY25" s="2846"/>
      <c r="MOZ25" s="2851"/>
      <c r="MPA25" s="2850"/>
      <c r="MPB25" s="2846"/>
      <c r="MPC25" s="2851"/>
      <c r="MPD25" s="2850"/>
      <c r="MPE25" s="2846"/>
      <c r="MPF25" s="2851"/>
      <c r="MPG25" s="2850"/>
      <c r="MPH25" s="2846"/>
      <c r="MPI25" s="2851"/>
      <c r="MPJ25" s="2850"/>
      <c r="MPK25" s="2846"/>
      <c r="MPL25" s="2851"/>
      <c r="MPM25" s="2850"/>
      <c r="MPN25" s="2846"/>
      <c r="MPO25" s="2851"/>
      <c r="MPP25" s="2850"/>
      <c r="MPQ25" s="2846"/>
      <c r="MPR25" s="2851"/>
      <c r="MPS25" s="2850"/>
      <c r="MPT25" s="2846"/>
      <c r="MPU25" s="2851"/>
      <c r="MPV25" s="2850"/>
      <c r="MPW25" s="2846"/>
      <c r="MPX25" s="2851"/>
      <c r="MPY25" s="2850"/>
      <c r="MPZ25" s="2846"/>
      <c r="MQA25" s="2851"/>
      <c r="MQB25" s="2850"/>
      <c r="MQC25" s="2846"/>
      <c r="MQD25" s="2851"/>
      <c r="MQE25" s="2850"/>
      <c r="MQF25" s="2846"/>
      <c r="MQG25" s="2851"/>
      <c r="MQH25" s="2850"/>
      <c r="MQI25" s="2846"/>
      <c r="MQJ25" s="2851"/>
      <c r="MQK25" s="2850"/>
      <c r="MQL25" s="2846"/>
      <c r="MQM25" s="2851"/>
      <c r="MQN25" s="2850"/>
      <c r="MQO25" s="2846"/>
      <c r="MQP25" s="2851"/>
      <c r="MQQ25" s="2850"/>
      <c r="MQR25" s="2846"/>
      <c r="MQS25" s="2851"/>
      <c r="MQT25" s="2850"/>
      <c r="MQU25" s="2846"/>
      <c r="MQV25" s="2851"/>
      <c r="MQW25" s="2850"/>
      <c r="MQX25" s="2846"/>
      <c r="MQY25" s="2851"/>
      <c r="MQZ25" s="2850"/>
      <c r="MRA25" s="2846"/>
      <c r="MRB25" s="2851"/>
      <c r="MRC25" s="2850"/>
      <c r="MRD25" s="2846"/>
      <c r="MRE25" s="2851"/>
      <c r="MRF25" s="2850"/>
      <c r="MRG25" s="2846"/>
      <c r="MRH25" s="2851"/>
      <c r="MRI25" s="2850"/>
      <c r="MRJ25" s="2846"/>
      <c r="MRK25" s="2851"/>
      <c r="MRL25" s="2850"/>
      <c r="MRM25" s="2846"/>
      <c r="MRN25" s="2851"/>
      <c r="MRO25" s="2850"/>
      <c r="MRP25" s="2846"/>
      <c r="MRQ25" s="2851"/>
      <c r="MRR25" s="2850"/>
      <c r="MRS25" s="2846"/>
      <c r="MRT25" s="2851"/>
      <c r="MRU25" s="2850"/>
      <c r="MRV25" s="2846"/>
      <c r="MRW25" s="2851"/>
      <c r="MRX25" s="2850"/>
      <c r="MRY25" s="2846"/>
      <c r="MRZ25" s="2851"/>
      <c r="MSA25" s="2850"/>
      <c r="MSB25" s="2846"/>
      <c r="MSC25" s="2851"/>
      <c r="MSD25" s="2850"/>
      <c r="MSE25" s="2846"/>
      <c r="MSF25" s="2851"/>
      <c r="MSG25" s="2850"/>
      <c r="MSH25" s="2846"/>
      <c r="MSI25" s="2851"/>
      <c r="MSJ25" s="2850"/>
      <c r="MSK25" s="2846"/>
      <c r="MSL25" s="2851"/>
      <c r="MSM25" s="2850"/>
      <c r="MSN25" s="2846"/>
      <c r="MSO25" s="2851"/>
      <c r="MSP25" s="2850"/>
      <c r="MSQ25" s="2846"/>
      <c r="MSR25" s="2851"/>
      <c r="MSS25" s="2850"/>
      <c r="MST25" s="2846"/>
      <c r="MSU25" s="2851"/>
      <c r="MSV25" s="2850"/>
      <c r="MSW25" s="2846"/>
      <c r="MSX25" s="2851"/>
      <c r="MSY25" s="2850"/>
      <c r="MSZ25" s="2846"/>
      <c r="MTA25" s="2851"/>
      <c r="MTB25" s="2850"/>
      <c r="MTC25" s="2846"/>
      <c r="MTD25" s="2851"/>
      <c r="MTE25" s="2850"/>
      <c r="MTF25" s="2846"/>
      <c r="MTG25" s="2851"/>
      <c r="MTH25" s="2850"/>
      <c r="MTI25" s="2846"/>
      <c r="MTJ25" s="2851"/>
      <c r="MTK25" s="2850"/>
      <c r="MTL25" s="2846"/>
      <c r="MTM25" s="2851"/>
      <c r="MTN25" s="2850"/>
      <c r="MTO25" s="2846"/>
      <c r="MTP25" s="2851"/>
      <c r="MTQ25" s="2850"/>
      <c r="MTR25" s="2846"/>
      <c r="MTS25" s="2851"/>
      <c r="MTT25" s="2850"/>
      <c r="MTU25" s="2846"/>
      <c r="MTV25" s="2851"/>
      <c r="MTW25" s="2850"/>
      <c r="MTX25" s="2846"/>
      <c r="MTY25" s="2851"/>
      <c r="MTZ25" s="2850"/>
      <c r="MUA25" s="2846"/>
      <c r="MUB25" s="2851"/>
      <c r="MUC25" s="2850"/>
      <c r="MUD25" s="2846"/>
      <c r="MUE25" s="2851"/>
      <c r="MUF25" s="2850"/>
      <c r="MUG25" s="2846"/>
      <c r="MUH25" s="2851"/>
      <c r="MUI25" s="2850"/>
      <c r="MUJ25" s="2846"/>
      <c r="MUK25" s="2851"/>
      <c r="MUL25" s="2850"/>
      <c r="MUM25" s="2846"/>
      <c r="MUN25" s="2851"/>
      <c r="MUO25" s="2850"/>
      <c r="MUP25" s="2846"/>
      <c r="MUQ25" s="2851"/>
      <c r="MUR25" s="2850"/>
      <c r="MUS25" s="2846"/>
      <c r="MUT25" s="2851"/>
      <c r="MUU25" s="2850"/>
      <c r="MUV25" s="2846"/>
      <c r="MUW25" s="2851"/>
      <c r="MUX25" s="2850"/>
      <c r="MUY25" s="2846"/>
      <c r="MUZ25" s="2851"/>
      <c r="MVA25" s="2850"/>
      <c r="MVB25" s="2846"/>
      <c r="MVC25" s="2851"/>
      <c r="MVD25" s="2850"/>
      <c r="MVE25" s="2846"/>
      <c r="MVF25" s="2851"/>
      <c r="MVG25" s="2850"/>
      <c r="MVH25" s="2846"/>
      <c r="MVI25" s="2851"/>
      <c r="MVJ25" s="2850"/>
      <c r="MVK25" s="2846"/>
      <c r="MVL25" s="2851"/>
      <c r="MVM25" s="2850"/>
      <c r="MVN25" s="2846"/>
      <c r="MVO25" s="2851"/>
      <c r="MVP25" s="2850"/>
      <c r="MVQ25" s="2846"/>
      <c r="MVR25" s="2851"/>
      <c r="MVS25" s="2850"/>
      <c r="MVT25" s="2846"/>
      <c r="MVU25" s="2851"/>
      <c r="MVV25" s="2850"/>
      <c r="MVW25" s="2846"/>
      <c r="MVX25" s="2851"/>
      <c r="MVY25" s="2850"/>
      <c r="MVZ25" s="2846"/>
      <c r="MWA25" s="2851"/>
      <c r="MWB25" s="2850"/>
      <c r="MWC25" s="2846"/>
      <c r="MWD25" s="2851"/>
      <c r="MWE25" s="2850"/>
      <c r="MWF25" s="2846"/>
      <c r="MWG25" s="2851"/>
      <c r="MWH25" s="2850"/>
      <c r="MWI25" s="2846"/>
      <c r="MWJ25" s="2851"/>
      <c r="MWK25" s="2850"/>
      <c r="MWL25" s="2846"/>
      <c r="MWM25" s="2851"/>
      <c r="MWN25" s="2850"/>
      <c r="MWO25" s="2846"/>
      <c r="MWP25" s="2851"/>
      <c r="MWQ25" s="2850"/>
      <c r="MWR25" s="2846"/>
      <c r="MWS25" s="2851"/>
      <c r="MWT25" s="2850"/>
      <c r="MWU25" s="2846"/>
      <c r="MWV25" s="2851"/>
      <c r="MWW25" s="2850"/>
      <c r="MWX25" s="2846"/>
      <c r="MWY25" s="2851"/>
      <c r="MWZ25" s="2850"/>
      <c r="MXA25" s="2846"/>
      <c r="MXB25" s="2851"/>
      <c r="MXC25" s="2850"/>
      <c r="MXD25" s="2846"/>
      <c r="MXE25" s="2851"/>
      <c r="MXF25" s="2850"/>
      <c r="MXG25" s="2846"/>
      <c r="MXH25" s="2851"/>
      <c r="MXI25" s="2850"/>
      <c r="MXJ25" s="2846"/>
      <c r="MXK25" s="2851"/>
      <c r="MXL25" s="2850"/>
      <c r="MXM25" s="2846"/>
      <c r="MXN25" s="2851"/>
      <c r="MXO25" s="2850"/>
      <c r="MXP25" s="2846"/>
      <c r="MXQ25" s="2851"/>
      <c r="MXR25" s="2850"/>
      <c r="MXS25" s="2846"/>
      <c r="MXT25" s="2851"/>
      <c r="MXU25" s="2850"/>
      <c r="MXV25" s="2846"/>
      <c r="MXW25" s="2851"/>
      <c r="MXX25" s="2850"/>
      <c r="MXY25" s="2846"/>
      <c r="MXZ25" s="2851"/>
      <c r="MYA25" s="2850"/>
      <c r="MYB25" s="2846"/>
      <c r="MYC25" s="2851"/>
      <c r="MYD25" s="2850"/>
      <c r="MYE25" s="2846"/>
      <c r="MYF25" s="2851"/>
      <c r="MYG25" s="2850"/>
      <c r="MYH25" s="2846"/>
      <c r="MYI25" s="2851"/>
      <c r="MYJ25" s="2850"/>
      <c r="MYK25" s="2846"/>
      <c r="MYL25" s="2851"/>
      <c r="MYM25" s="2850"/>
      <c r="MYN25" s="2846"/>
      <c r="MYO25" s="2851"/>
      <c r="MYP25" s="2850"/>
      <c r="MYQ25" s="2846"/>
      <c r="MYR25" s="2851"/>
      <c r="MYS25" s="2850"/>
      <c r="MYT25" s="2846"/>
      <c r="MYU25" s="2851"/>
      <c r="MYV25" s="2850"/>
      <c r="MYW25" s="2846"/>
      <c r="MYX25" s="2851"/>
      <c r="MYY25" s="2850"/>
      <c r="MYZ25" s="2846"/>
      <c r="MZA25" s="2851"/>
      <c r="MZB25" s="2850"/>
      <c r="MZC25" s="2846"/>
      <c r="MZD25" s="2851"/>
      <c r="MZE25" s="2850"/>
      <c r="MZF25" s="2846"/>
      <c r="MZG25" s="2851"/>
      <c r="MZH25" s="2850"/>
      <c r="MZI25" s="2846"/>
      <c r="MZJ25" s="2851"/>
      <c r="MZK25" s="2850"/>
      <c r="MZL25" s="2846"/>
      <c r="MZM25" s="2851"/>
      <c r="MZN25" s="2850"/>
      <c r="MZO25" s="2846"/>
      <c r="MZP25" s="2851"/>
      <c r="MZQ25" s="2850"/>
      <c r="MZR25" s="2846"/>
      <c r="MZS25" s="2851"/>
      <c r="MZT25" s="2850"/>
      <c r="MZU25" s="2846"/>
      <c r="MZV25" s="2851"/>
      <c r="MZW25" s="2850"/>
      <c r="MZX25" s="2846"/>
      <c r="MZY25" s="2851"/>
      <c r="MZZ25" s="2850"/>
      <c r="NAA25" s="2846"/>
      <c r="NAB25" s="2851"/>
      <c r="NAC25" s="2850"/>
      <c r="NAD25" s="2846"/>
      <c r="NAE25" s="2851"/>
      <c r="NAF25" s="2850"/>
      <c r="NAG25" s="2846"/>
      <c r="NAH25" s="2851"/>
      <c r="NAI25" s="2850"/>
      <c r="NAJ25" s="2846"/>
      <c r="NAK25" s="2851"/>
      <c r="NAL25" s="2850"/>
      <c r="NAM25" s="2846"/>
      <c r="NAN25" s="2851"/>
      <c r="NAO25" s="2850"/>
      <c r="NAP25" s="2846"/>
      <c r="NAQ25" s="2851"/>
      <c r="NAR25" s="2850"/>
      <c r="NAS25" s="2846"/>
      <c r="NAT25" s="2851"/>
      <c r="NAU25" s="2850"/>
      <c r="NAV25" s="2846"/>
      <c r="NAW25" s="2851"/>
      <c r="NAX25" s="2850"/>
      <c r="NAY25" s="2846"/>
      <c r="NAZ25" s="2851"/>
      <c r="NBA25" s="2850"/>
      <c r="NBB25" s="2846"/>
      <c r="NBC25" s="2851"/>
      <c r="NBD25" s="2850"/>
      <c r="NBE25" s="2846"/>
      <c r="NBF25" s="2851"/>
      <c r="NBG25" s="2850"/>
      <c r="NBH25" s="2846"/>
      <c r="NBI25" s="2851"/>
      <c r="NBJ25" s="2850"/>
      <c r="NBK25" s="2846"/>
      <c r="NBL25" s="2851"/>
      <c r="NBM25" s="2850"/>
      <c r="NBN25" s="2846"/>
      <c r="NBO25" s="2851"/>
      <c r="NBP25" s="2850"/>
      <c r="NBQ25" s="2846"/>
      <c r="NBR25" s="2851"/>
      <c r="NBS25" s="2850"/>
      <c r="NBT25" s="2846"/>
      <c r="NBU25" s="2851"/>
      <c r="NBV25" s="2850"/>
      <c r="NBW25" s="2846"/>
      <c r="NBX25" s="2851"/>
      <c r="NBY25" s="2850"/>
      <c r="NBZ25" s="2846"/>
      <c r="NCA25" s="2851"/>
      <c r="NCB25" s="2850"/>
      <c r="NCC25" s="2846"/>
      <c r="NCD25" s="2851"/>
      <c r="NCE25" s="2850"/>
      <c r="NCF25" s="2846"/>
      <c r="NCG25" s="2851"/>
      <c r="NCH25" s="2850"/>
      <c r="NCI25" s="2846"/>
      <c r="NCJ25" s="2851"/>
      <c r="NCK25" s="2850"/>
      <c r="NCL25" s="2846"/>
      <c r="NCM25" s="2851"/>
      <c r="NCN25" s="2850"/>
      <c r="NCO25" s="2846"/>
      <c r="NCP25" s="2851"/>
      <c r="NCQ25" s="2850"/>
      <c r="NCR25" s="2846"/>
      <c r="NCS25" s="2851"/>
      <c r="NCT25" s="2850"/>
      <c r="NCU25" s="2846"/>
      <c r="NCV25" s="2851"/>
      <c r="NCW25" s="2850"/>
      <c r="NCX25" s="2846"/>
      <c r="NCY25" s="2851"/>
      <c r="NCZ25" s="2850"/>
      <c r="NDA25" s="2846"/>
      <c r="NDB25" s="2851"/>
      <c r="NDC25" s="2850"/>
      <c r="NDD25" s="2846"/>
      <c r="NDE25" s="2851"/>
      <c r="NDF25" s="2850"/>
      <c r="NDG25" s="2846"/>
      <c r="NDH25" s="2851"/>
      <c r="NDI25" s="2850"/>
      <c r="NDJ25" s="2846"/>
      <c r="NDK25" s="2851"/>
      <c r="NDL25" s="2850"/>
      <c r="NDM25" s="2846"/>
      <c r="NDN25" s="2851"/>
      <c r="NDO25" s="2850"/>
      <c r="NDP25" s="2846"/>
      <c r="NDQ25" s="2851"/>
      <c r="NDR25" s="2850"/>
      <c r="NDS25" s="2846"/>
      <c r="NDT25" s="2851"/>
      <c r="NDU25" s="2850"/>
      <c r="NDV25" s="2846"/>
      <c r="NDW25" s="2851"/>
      <c r="NDX25" s="2850"/>
      <c r="NDY25" s="2846"/>
      <c r="NDZ25" s="2851"/>
      <c r="NEA25" s="2850"/>
      <c r="NEB25" s="2846"/>
      <c r="NEC25" s="2851"/>
      <c r="NED25" s="2850"/>
      <c r="NEE25" s="2846"/>
      <c r="NEF25" s="2851"/>
      <c r="NEG25" s="2850"/>
      <c r="NEH25" s="2846"/>
      <c r="NEI25" s="2851"/>
      <c r="NEJ25" s="2850"/>
      <c r="NEK25" s="2846"/>
      <c r="NEL25" s="2851"/>
      <c r="NEM25" s="2850"/>
      <c r="NEN25" s="2846"/>
      <c r="NEO25" s="2851"/>
      <c r="NEP25" s="2850"/>
      <c r="NEQ25" s="2846"/>
      <c r="NER25" s="2851"/>
      <c r="NES25" s="2850"/>
      <c r="NET25" s="2846"/>
      <c r="NEU25" s="2851"/>
      <c r="NEV25" s="2850"/>
      <c r="NEW25" s="2846"/>
      <c r="NEX25" s="2851"/>
      <c r="NEY25" s="2850"/>
      <c r="NEZ25" s="2846"/>
      <c r="NFA25" s="2851"/>
      <c r="NFB25" s="2850"/>
      <c r="NFC25" s="2846"/>
      <c r="NFD25" s="2851"/>
      <c r="NFE25" s="2850"/>
      <c r="NFF25" s="2846"/>
      <c r="NFG25" s="2851"/>
      <c r="NFH25" s="2850"/>
      <c r="NFI25" s="2846"/>
      <c r="NFJ25" s="2851"/>
      <c r="NFK25" s="2850"/>
      <c r="NFL25" s="2846"/>
      <c r="NFM25" s="2851"/>
      <c r="NFN25" s="2850"/>
      <c r="NFO25" s="2846"/>
      <c r="NFP25" s="2851"/>
      <c r="NFQ25" s="2850"/>
      <c r="NFR25" s="2846"/>
      <c r="NFS25" s="2851"/>
      <c r="NFT25" s="2850"/>
      <c r="NFU25" s="2846"/>
      <c r="NFV25" s="2851"/>
      <c r="NFW25" s="2850"/>
      <c r="NFX25" s="2846"/>
      <c r="NFY25" s="2851"/>
      <c r="NFZ25" s="2850"/>
      <c r="NGA25" s="2846"/>
      <c r="NGB25" s="2851"/>
      <c r="NGC25" s="2850"/>
      <c r="NGD25" s="2846"/>
      <c r="NGE25" s="2851"/>
      <c r="NGF25" s="2850"/>
      <c r="NGG25" s="2846"/>
      <c r="NGH25" s="2851"/>
      <c r="NGI25" s="2850"/>
      <c r="NGJ25" s="2846"/>
      <c r="NGK25" s="2851"/>
      <c r="NGL25" s="2850"/>
      <c r="NGM25" s="2846"/>
      <c r="NGN25" s="2851"/>
      <c r="NGO25" s="2850"/>
      <c r="NGP25" s="2846"/>
      <c r="NGQ25" s="2851"/>
      <c r="NGR25" s="2850"/>
      <c r="NGS25" s="2846"/>
      <c r="NGT25" s="2851"/>
      <c r="NGU25" s="2850"/>
      <c r="NGV25" s="2846"/>
      <c r="NGW25" s="2851"/>
      <c r="NGX25" s="2850"/>
      <c r="NGY25" s="2846"/>
      <c r="NGZ25" s="2851"/>
      <c r="NHA25" s="2850"/>
      <c r="NHB25" s="2846"/>
      <c r="NHC25" s="2851"/>
      <c r="NHD25" s="2850"/>
      <c r="NHE25" s="2846"/>
      <c r="NHF25" s="2851"/>
      <c r="NHG25" s="2850"/>
      <c r="NHH25" s="2846"/>
      <c r="NHI25" s="2851"/>
      <c r="NHJ25" s="2850"/>
      <c r="NHK25" s="2846"/>
      <c r="NHL25" s="2851"/>
      <c r="NHM25" s="2850"/>
      <c r="NHN25" s="2846"/>
      <c r="NHO25" s="2851"/>
      <c r="NHP25" s="2850"/>
      <c r="NHQ25" s="2846"/>
      <c r="NHR25" s="2851"/>
      <c r="NHS25" s="2850"/>
      <c r="NHT25" s="2846"/>
      <c r="NHU25" s="2851"/>
      <c r="NHV25" s="2850"/>
      <c r="NHW25" s="2846"/>
      <c r="NHX25" s="2851"/>
      <c r="NHY25" s="2850"/>
      <c r="NHZ25" s="2846"/>
      <c r="NIA25" s="2851"/>
      <c r="NIB25" s="2850"/>
      <c r="NIC25" s="2846"/>
      <c r="NID25" s="2851"/>
      <c r="NIE25" s="2850"/>
      <c r="NIF25" s="2846"/>
      <c r="NIG25" s="2851"/>
      <c r="NIH25" s="2850"/>
      <c r="NII25" s="2846"/>
      <c r="NIJ25" s="2851"/>
      <c r="NIK25" s="2850"/>
      <c r="NIL25" s="2846"/>
      <c r="NIM25" s="2851"/>
      <c r="NIN25" s="2850"/>
      <c r="NIO25" s="2846"/>
      <c r="NIP25" s="2851"/>
      <c r="NIQ25" s="2850"/>
      <c r="NIR25" s="2846"/>
      <c r="NIS25" s="2851"/>
      <c r="NIT25" s="2850"/>
      <c r="NIU25" s="2846"/>
      <c r="NIV25" s="2851"/>
      <c r="NIW25" s="2850"/>
      <c r="NIX25" s="2846"/>
      <c r="NIY25" s="2851"/>
      <c r="NIZ25" s="2850"/>
      <c r="NJA25" s="2846"/>
      <c r="NJB25" s="2851"/>
      <c r="NJC25" s="2850"/>
      <c r="NJD25" s="2846"/>
      <c r="NJE25" s="2851"/>
      <c r="NJF25" s="2850"/>
      <c r="NJG25" s="2846"/>
      <c r="NJH25" s="2851"/>
      <c r="NJI25" s="2850"/>
      <c r="NJJ25" s="2846"/>
      <c r="NJK25" s="2851"/>
      <c r="NJL25" s="2850"/>
      <c r="NJM25" s="2846"/>
      <c r="NJN25" s="2851"/>
      <c r="NJO25" s="2850"/>
      <c r="NJP25" s="2846"/>
      <c r="NJQ25" s="2851"/>
      <c r="NJR25" s="2850"/>
      <c r="NJS25" s="2846"/>
      <c r="NJT25" s="2851"/>
      <c r="NJU25" s="2850"/>
      <c r="NJV25" s="2846"/>
      <c r="NJW25" s="2851"/>
      <c r="NJX25" s="2850"/>
      <c r="NJY25" s="2846"/>
      <c r="NJZ25" s="2851"/>
      <c r="NKA25" s="2850"/>
      <c r="NKB25" s="2846"/>
      <c r="NKC25" s="2851"/>
      <c r="NKD25" s="2850"/>
      <c r="NKE25" s="2846"/>
      <c r="NKF25" s="2851"/>
      <c r="NKG25" s="2850"/>
      <c r="NKH25" s="2846"/>
      <c r="NKI25" s="2851"/>
      <c r="NKJ25" s="2850"/>
      <c r="NKK25" s="2846"/>
      <c r="NKL25" s="2851"/>
      <c r="NKM25" s="2850"/>
      <c r="NKN25" s="2846"/>
      <c r="NKO25" s="2851"/>
      <c r="NKP25" s="2850"/>
      <c r="NKQ25" s="2846"/>
      <c r="NKR25" s="2851"/>
      <c r="NKS25" s="2850"/>
      <c r="NKT25" s="2846"/>
      <c r="NKU25" s="2851"/>
      <c r="NKV25" s="2850"/>
      <c r="NKW25" s="2846"/>
      <c r="NKX25" s="2851"/>
      <c r="NKY25" s="2850"/>
      <c r="NKZ25" s="2846"/>
      <c r="NLA25" s="2851"/>
      <c r="NLB25" s="2850"/>
      <c r="NLC25" s="2846"/>
      <c r="NLD25" s="2851"/>
      <c r="NLE25" s="2850"/>
      <c r="NLF25" s="2846"/>
      <c r="NLG25" s="2851"/>
      <c r="NLH25" s="2850"/>
      <c r="NLI25" s="2846"/>
      <c r="NLJ25" s="2851"/>
      <c r="NLK25" s="2850"/>
      <c r="NLL25" s="2846"/>
      <c r="NLM25" s="2851"/>
      <c r="NLN25" s="2850"/>
      <c r="NLO25" s="2846"/>
      <c r="NLP25" s="2851"/>
      <c r="NLQ25" s="2850"/>
      <c r="NLR25" s="2846"/>
      <c r="NLS25" s="2851"/>
      <c r="NLT25" s="2850"/>
      <c r="NLU25" s="2846"/>
      <c r="NLV25" s="2851"/>
      <c r="NLW25" s="2850"/>
      <c r="NLX25" s="2846"/>
      <c r="NLY25" s="2851"/>
      <c r="NLZ25" s="2850"/>
      <c r="NMA25" s="2846"/>
      <c r="NMB25" s="2851"/>
      <c r="NMC25" s="2850"/>
      <c r="NMD25" s="2846"/>
      <c r="NME25" s="2851"/>
      <c r="NMF25" s="2850"/>
      <c r="NMG25" s="2846"/>
      <c r="NMH25" s="2851"/>
      <c r="NMI25" s="2850"/>
      <c r="NMJ25" s="2846"/>
      <c r="NMK25" s="2851"/>
      <c r="NML25" s="2850"/>
      <c r="NMM25" s="2846"/>
      <c r="NMN25" s="2851"/>
      <c r="NMO25" s="2850"/>
      <c r="NMP25" s="2846"/>
      <c r="NMQ25" s="2851"/>
      <c r="NMR25" s="2850"/>
      <c r="NMS25" s="2846"/>
      <c r="NMT25" s="2851"/>
      <c r="NMU25" s="2850"/>
      <c r="NMV25" s="2846"/>
      <c r="NMW25" s="2851"/>
      <c r="NMX25" s="2850"/>
      <c r="NMY25" s="2846"/>
      <c r="NMZ25" s="2851"/>
      <c r="NNA25" s="2850"/>
      <c r="NNB25" s="2846"/>
      <c r="NNC25" s="2851"/>
      <c r="NND25" s="2850"/>
      <c r="NNE25" s="2846"/>
      <c r="NNF25" s="2851"/>
      <c r="NNG25" s="2850"/>
      <c r="NNH25" s="2846"/>
      <c r="NNI25" s="2851"/>
      <c r="NNJ25" s="2850"/>
      <c r="NNK25" s="2846"/>
      <c r="NNL25" s="2851"/>
      <c r="NNM25" s="2850"/>
      <c r="NNN25" s="2846"/>
      <c r="NNO25" s="2851"/>
      <c r="NNP25" s="2850"/>
      <c r="NNQ25" s="2846"/>
      <c r="NNR25" s="2851"/>
      <c r="NNS25" s="2850"/>
      <c r="NNT25" s="2846"/>
      <c r="NNU25" s="2851"/>
      <c r="NNV25" s="2850"/>
      <c r="NNW25" s="2846"/>
      <c r="NNX25" s="2851"/>
      <c r="NNY25" s="2850"/>
      <c r="NNZ25" s="2846"/>
      <c r="NOA25" s="2851"/>
      <c r="NOB25" s="2850"/>
      <c r="NOC25" s="2846"/>
      <c r="NOD25" s="2851"/>
      <c r="NOE25" s="2850"/>
      <c r="NOF25" s="2846"/>
      <c r="NOG25" s="2851"/>
      <c r="NOH25" s="2850"/>
      <c r="NOI25" s="2846"/>
      <c r="NOJ25" s="2851"/>
      <c r="NOK25" s="2850"/>
      <c r="NOL25" s="2846"/>
      <c r="NOM25" s="2851"/>
      <c r="NON25" s="2850"/>
      <c r="NOO25" s="2846"/>
      <c r="NOP25" s="2851"/>
      <c r="NOQ25" s="2850"/>
      <c r="NOR25" s="2846"/>
      <c r="NOS25" s="2851"/>
      <c r="NOT25" s="2850"/>
      <c r="NOU25" s="2846"/>
      <c r="NOV25" s="2851"/>
      <c r="NOW25" s="2850"/>
      <c r="NOX25" s="2846"/>
      <c r="NOY25" s="2851"/>
      <c r="NOZ25" s="2850"/>
      <c r="NPA25" s="2846"/>
      <c r="NPB25" s="2851"/>
      <c r="NPC25" s="2850"/>
      <c r="NPD25" s="2846"/>
      <c r="NPE25" s="2851"/>
      <c r="NPF25" s="2850"/>
      <c r="NPG25" s="2846"/>
      <c r="NPH25" s="2851"/>
      <c r="NPI25" s="2850"/>
      <c r="NPJ25" s="2846"/>
      <c r="NPK25" s="2851"/>
      <c r="NPL25" s="2850"/>
      <c r="NPM25" s="2846"/>
      <c r="NPN25" s="2851"/>
      <c r="NPO25" s="2850"/>
      <c r="NPP25" s="2846"/>
      <c r="NPQ25" s="2851"/>
      <c r="NPR25" s="2850"/>
      <c r="NPS25" s="2846"/>
      <c r="NPT25" s="2851"/>
      <c r="NPU25" s="2850"/>
      <c r="NPV25" s="2846"/>
      <c r="NPW25" s="2851"/>
      <c r="NPX25" s="2850"/>
      <c r="NPY25" s="2846"/>
      <c r="NPZ25" s="2851"/>
      <c r="NQA25" s="2850"/>
      <c r="NQB25" s="2846"/>
      <c r="NQC25" s="2851"/>
      <c r="NQD25" s="2850"/>
      <c r="NQE25" s="2846"/>
      <c r="NQF25" s="2851"/>
      <c r="NQG25" s="2850"/>
      <c r="NQH25" s="2846"/>
      <c r="NQI25" s="2851"/>
      <c r="NQJ25" s="2850"/>
      <c r="NQK25" s="2846"/>
      <c r="NQL25" s="2851"/>
      <c r="NQM25" s="2850"/>
      <c r="NQN25" s="2846"/>
      <c r="NQO25" s="2851"/>
      <c r="NQP25" s="2850"/>
      <c r="NQQ25" s="2846"/>
      <c r="NQR25" s="2851"/>
      <c r="NQS25" s="2850"/>
      <c r="NQT25" s="2846"/>
      <c r="NQU25" s="2851"/>
      <c r="NQV25" s="2850"/>
      <c r="NQW25" s="2846"/>
      <c r="NQX25" s="2851"/>
      <c r="NQY25" s="2850"/>
      <c r="NQZ25" s="2846"/>
      <c r="NRA25" s="2851"/>
      <c r="NRB25" s="2850"/>
      <c r="NRC25" s="2846"/>
      <c r="NRD25" s="2851"/>
      <c r="NRE25" s="2850"/>
      <c r="NRF25" s="2846"/>
      <c r="NRG25" s="2851"/>
      <c r="NRH25" s="2850"/>
      <c r="NRI25" s="2846"/>
      <c r="NRJ25" s="2851"/>
      <c r="NRK25" s="2850"/>
      <c r="NRL25" s="2846"/>
      <c r="NRM25" s="2851"/>
      <c r="NRN25" s="2850"/>
      <c r="NRO25" s="2846"/>
      <c r="NRP25" s="2851"/>
      <c r="NRQ25" s="2850"/>
      <c r="NRR25" s="2846"/>
      <c r="NRS25" s="2851"/>
      <c r="NRT25" s="2850"/>
      <c r="NRU25" s="2846"/>
      <c r="NRV25" s="2851"/>
      <c r="NRW25" s="2850"/>
      <c r="NRX25" s="2846"/>
      <c r="NRY25" s="2851"/>
      <c r="NRZ25" s="2850"/>
      <c r="NSA25" s="2846"/>
      <c r="NSB25" s="2851"/>
      <c r="NSC25" s="2850"/>
      <c r="NSD25" s="2846"/>
      <c r="NSE25" s="2851"/>
      <c r="NSF25" s="2850"/>
      <c r="NSG25" s="2846"/>
      <c r="NSH25" s="2851"/>
      <c r="NSI25" s="2850"/>
      <c r="NSJ25" s="2846"/>
      <c r="NSK25" s="2851"/>
      <c r="NSL25" s="2850"/>
      <c r="NSM25" s="2846"/>
      <c r="NSN25" s="2851"/>
      <c r="NSO25" s="2850"/>
      <c r="NSP25" s="2846"/>
      <c r="NSQ25" s="2851"/>
      <c r="NSR25" s="2850"/>
      <c r="NSS25" s="2846"/>
      <c r="NST25" s="2851"/>
      <c r="NSU25" s="2850"/>
      <c r="NSV25" s="2846"/>
      <c r="NSW25" s="2851"/>
      <c r="NSX25" s="2850"/>
      <c r="NSY25" s="2846"/>
      <c r="NSZ25" s="2851"/>
      <c r="NTA25" s="2850"/>
      <c r="NTB25" s="2846"/>
      <c r="NTC25" s="2851"/>
      <c r="NTD25" s="2850"/>
      <c r="NTE25" s="2846"/>
      <c r="NTF25" s="2851"/>
      <c r="NTG25" s="2850"/>
      <c r="NTH25" s="2846"/>
      <c r="NTI25" s="2851"/>
      <c r="NTJ25" s="2850"/>
      <c r="NTK25" s="2846"/>
      <c r="NTL25" s="2851"/>
      <c r="NTM25" s="2850"/>
      <c r="NTN25" s="2846"/>
      <c r="NTO25" s="2851"/>
      <c r="NTP25" s="2850"/>
      <c r="NTQ25" s="2846"/>
      <c r="NTR25" s="2851"/>
      <c r="NTS25" s="2850"/>
      <c r="NTT25" s="2846"/>
      <c r="NTU25" s="2851"/>
      <c r="NTV25" s="2850"/>
      <c r="NTW25" s="2846"/>
      <c r="NTX25" s="2851"/>
      <c r="NTY25" s="2850"/>
      <c r="NTZ25" s="2846"/>
      <c r="NUA25" s="2851"/>
      <c r="NUB25" s="2850"/>
      <c r="NUC25" s="2846"/>
      <c r="NUD25" s="2851"/>
      <c r="NUE25" s="2850"/>
      <c r="NUF25" s="2846"/>
      <c r="NUG25" s="2851"/>
      <c r="NUH25" s="2850"/>
      <c r="NUI25" s="2846"/>
      <c r="NUJ25" s="2851"/>
      <c r="NUK25" s="2850"/>
      <c r="NUL25" s="2846"/>
      <c r="NUM25" s="2851"/>
      <c r="NUN25" s="2850"/>
      <c r="NUO25" s="2846"/>
      <c r="NUP25" s="2851"/>
      <c r="NUQ25" s="2850"/>
      <c r="NUR25" s="2846"/>
      <c r="NUS25" s="2851"/>
      <c r="NUT25" s="2850"/>
      <c r="NUU25" s="2846"/>
      <c r="NUV25" s="2851"/>
      <c r="NUW25" s="2850"/>
      <c r="NUX25" s="2846"/>
      <c r="NUY25" s="2851"/>
      <c r="NUZ25" s="2850"/>
      <c r="NVA25" s="2846"/>
      <c r="NVB25" s="2851"/>
      <c r="NVC25" s="2850"/>
      <c r="NVD25" s="2846"/>
      <c r="NVE25" s="2851"/>
      <c r="NVF25" s="2850"/>
      <c r="NVG25" s="2846"/>
      <c r="NVH25" s="2851"/>
      <c r="NVI25" s="2850"/>
      <c r="NVJ25" s="2846"/>
      <c r="NVK25" s="2851"/>
      <c r="NVL25" s="2850"/>
      <c r="NVM25" s="2846"/>
      <c r="NVN25" s="2851"/>
      <c r="NVO25" s="2850"/>
      <c r="NVP25" s="2846"/>
      <c r="NVQ25" s="2851"/>
      <c r="NVR25" s="2850"/>
      <c r="NVS25" s="2846"/>
      <c r="NVT25" s="2851"/>
      <c r="NVU25" s="2850"/>
      <c r="NVV25" s="2846"/>
      <c r="NVW25" s="2851"/>
      <c r="NVX25" s="2850"/>
      <c r="NVY25" s="2846"/>
      <c r="NVZ25" s="2851"/>
      <c r="NWA25" s="2850"/>
      <c r="NWB25" s="2846"/>
      <c r="NWC25" s="2851"/>
      <c r="NWD25" s="2850"/>
      <c r="NWE25" s="2846"/>
      <c r="NWF25" s="2851"/>
      <c r="NWG25" s="2850"/>
      <c r="NWH25" s="2846"/>
      <c r="NWI25" s="2851"/>
      <c r="NWJ25" s="2850"/>
      <c r="NWK25" s="2846"/>
      <c r="NWL25" s="2851"/>
      <c r="NWM25" s="2850"/>
      <c r="NWN25" s="2846"/>
      <c r="NWO25" s="2851"/>
      <c r="NWP25" s="2850"/>
      <c r="NWQ25" s="2846"/>
      <c r="NWR25" s="2851"/>
      <c r="NWS25" s="2850"/>
      <c r="NWT25" s="2846"/>
      <c r="NWU25" s="2851"/>
      <c r="NWV25" s="2850"/>
      <c r="NWW25" s="2846"/>
      <c r="NWX25" s="2851"/>
      <c r="NWY25" s="2850"/>
      <c r="NWZ25" s="2846"/>
      <c r="NXA25" s="2851"/>
      <c r="NXB25" s="2850"/>
      <c r="NXC25" s="2846"/>
      <c r="NXD25" s="2851"/>
      <c r="NXE25" s="2850"/>
      <c r="NXF25" s="2846"/>
      <c r="NXG25" s="2851"/>
      <c r="NXH25" s="2850"/>
      <c r="NXI25" s="2846"/>
      <c r="NXJ25" s="2851"/>
      <c r="NXK25" s="2850"/>
      <c r="NXL25" s="2846"/>
      <c r="NXM25" s="2851"/>
      <c r="NXN25" s="2850"/>
      <c r="NXO25" s="2846"/>
      <c r="NXP25" s="2851"/>
      <c r="NXQ25" s="2850"/>
      <c r="NXR25" s="2846"/>
      <c r="NXS25" s="2851"/>
      <c r="NXT25" s="2850"/>
      <c r="NXU25" s="2846"/>
      <c r="NXV25" s="2851"/>
      <c r="NXW25" s="2850"/>
      <c r="NXX25" s="2846"/>
      <c r="NXY25" s="2851"/>
      <c r="NXZ25" s="2850"/>
      <c r="NYA25" s="2846"/>
      <c r="NYB25" s="2851"/>
      <c r="NYC25" s="2850"/>
      <c r="NYD25" s="2846"/>
      <c r="NYE25" s="2851"/>
      <c r="NYF25" s="2850"/>
      <c r="NYG25" s="2846"/>
      <c r="NYH25" s="2851"/>
      <c r="NYI25" s="2850"/>
      <c r="NYJ25" s="2846"/>
      <c r="NYK25" s="2851"/>
      <c r="NYL25" s="2850"/>
      <c r="NYM25" s="2846"/>
      <c r="NYN25" s="2851"/>
      <c r="NYO25" s="2850"/>
      <c r="NYP25" s="2846"/>
      <c r="NYQ25" s="2851"/>
      <c r="NYR25" s="2850"/>
      <c r="NYS25" s="2846"/>
      <c r="NYT25" s="2851"/>
      <c r="NYU25" s="2850"/>
      <c r="NYV25" s="2846"/>
      <c r="NYW25" s="2851"/>
      <c r="NYX25" s="2850"/>
      <c r="NYY25" s="2846"/>
      <c r="NYZ25" s="2851"/>
      <c r="NZA25" s="2850"/>
      <c r="NZB25" s="2846"/>
      <c r="NZC25" s="2851"/>
      <c r="NZD25" s="2850"/>
      <c r="NZE25" s="2846"/>
      <c r="NZF25" s="2851"/>
      <c r="NZG25" s="2850"/>
      <c r="NZH25" s="2846"/>
      <c r="NZI25" s="2851"/>
      <c r="NZJ25" s="2850"/>
      <c r="NZK25" s="2846"/>
      <c r="NZL25" s="2851"/>
      <c r="NZM25" s="2850"/>
      <c r="NZN25" s="2846"/>
      <c r="NZO25" s="2851"/>
      <c r="NZP25" s="2850"/>
      <c r="NZQ25" s="2846"/>
      <c r="NZR25" s="2851"/>
      <c r="NZS25" s="2850"/>
      <c r="NZT25" s="2846"/>
      <c r="NZU25" s="2851"/>
      <c r="NZV25" s="2850"/>
      <c r="NZW25" s="2846"/>
      <c r="NZX25" s="2851"/>
      <c r="NZY25" s="2850"/>
      <c r="NZZ25" s="2846"/>
      <c r="OAA25" s="2851"/>
      <c r="OAB25" s="2850"/>
      <c r="OAC25" s="2846"/>
      <c r="OAD25" s="2851"/>
      <c r="OAE25" s="2850"/>
      <c r="OAF25" s="2846"/>
      <c r="OAG25" s="2851"/>
      <c r="OAH25" s="2850"/>
      <c r="OAI25" s="2846"/>
      <c r="OAJ25" s="2851"/>
      <c r="OAK25" s="2850"/>
      <c r="OAL25" s="2846"/>
      <c r="OAM25" s="2851"/>
      <c r="OAN25" s="2850"/>
      <c r="OAO25" s="2846"/>
      <c r="OAP25" s="2851"/>
      <c r="OAQ25" s="2850"/>
      <c r="OAR25" s="2846"/>
      <c r="OAS25" s="2851"/>
      <c r="OAT25" s="2850"/>
      <c r="OAU25" s="2846"/>
      <c r="OAV25" s="2851"/>
      <c r="OAW25" s="2850"/>
      <c r="OAX25" s="2846"/>
      <c r="OAY25" s="2851"/>
      <c r="OAZ25" s="2850"/>
      <c r="OBA25" s="2846"/>
      <c r="OBB25" s="2851"/>
      <c r="OBC25" s="2850"/>
      <c r="OBD25" s="2846"/>
      <c r="OBE25" s="2851"/>
      <c r="OBF25" s="2850"/>
      <c r="OBG25" s="2846"/>
      <c r="OBH25" s="2851"/>
      <c r="OBI25" s="2850"/>
      <c r="OBJ25" s="2846"/>
      <c r="OBK25" s="2851"/>
      <c r="OBL25" s="2850"/>
      <c r="OBM25" s="2846"/>
      <c r="OBN25" s="2851"/>
      <c r="OBO25" s="2850"/>
      <c r="OBP25" s="2846"/>
      <c r="OBQ25" s="2851"/>
      <c r="OBR25" s="2850"/>
      <c r="OBS25" s="2846"/>
      <c r="OBT25" s="2851"/>
      <c r="OBU25" s="2850"/>
      <c r="OBV25" s="2846"/>
      <c r="OBW25" s="2851"/>
      <c r="OBX25" s="2850"/>
      <c r="OBY25" s="2846"/>
      <c r="OBZ25" s="2851"/>
      <c r="OCA25" s="2850"/>
      <c r="OCB25" s="2846"/>
      <c r="OCC25" s="2851"/>
      <c r="OCD25" s="2850"/>
      <c r="OCE25" s="2846"/>
      <c r="OCF25" s="2851"/>
      <c r="OCG25" s="2850"/>
      <c r="OCH25" s="2846"/>
      <c r="OCI25" s="2851"/>
      <c r="OCJ25" s="2850"/>
      <c r="OCK25" s="2846"/>
      <c r="OCL25" s="2851"/>
      <c r="OCM25" s="2850"/>
      <c r="OCN25" s="2846"/>
      <c r="OCO25" s="2851"/>
      <c r="OCP25" s="2850"/>
      <c r="OCQ25" s="2846"/>
      <c r="OCR25" s="2851"/>
      <c r="OCS25" s="2850"/>
      <c r="OCT25" s="2846"/>
      <c r="OCU25" s="2851"/>
      <c r="OCV25" s="2850"/>
      <c r="OCW25" s="2846"/>
      <c r="OCX25" s="2851"/>
      <c r="OCY25" s="2850"/>
      <c r="OCZ25" s="2846"/>
      <c r="ODA25" s="2851"/>
      <c r="ODB25" s="2850"/>
      <c r="ODC25" s="2846"/>
      <c r="ODD25" s="2851"/>
      <c r="ODE25" s="2850"/>
      <c r="ODF25" s="2846"/>
      <c r="ODG25" s="2851"/>
      <c r="ODH25" s="2850"/>
      <c r="ODI25" s="2846"/>
      <c r="ODJ25" s="2851"/>
      <c r="ODK25" s="2850"/>
      <c r="ODL25" s="2846"/>
      <c r="ODM25" s="2851"/>
      <c r="ODN25" s="2850"/>
      <c r="ODO25" s="2846"/>
      <c r="ODP25" s="2851"/>
      <c r="ODQ25" s="2850"/>
      <c r="ODR25" s="2846"/>
      <c r="ODS25" s="2851"/>
      <c r="ODT25" s="2850"/>
      <c r="ODU25" s="2846"/>
      <c r="ODV25" s="2851"/>
      <c r="ODW25" s="2850"/>
      <c r="ODX25" s="2846"/>
      <c r="ODY25" s="2851"/>
      <c r="ODZ25" s="2850"/>
      <c r="OEA25" s="2846"/>
      <c r="OEB25" s="2851"/>
      <c r="OEC25" s="2850"/>
      <c r="OED25" s="2846"/>
      <c r="OEE25" s="2851"/>
      <c r="OEF25" s="2850"/>
      <c r="OEG25" s="2846"/>
      <c r="OEH25" s="2851"/>
      <c r="OEI25" s="2850"/>
      <c r="OEJ25" s="2846"/>
      <c r="OEK25" s="2851"/>
      <c r="OEL25" s="2850"/>
      <c r="OEM25" s="2846"/>
      <c r="OEN25" s="2851"/>
      <c r="OEO25" s="2850"/>
      <c r="OEP25" s="2846"/>
      <c r="OEQ25" s="2851"/>
      <c r="OER25" s="2850"/>
      <c r="OES25" s="2846"/>
      <c r="OET25" s="2851"/>
      <c r="OEU25" s="2850"/>
      <c r="OEV25" s="2846"/>
      <c r="OEW25" s="2851"/>
      <c r="OEX25" s="2850"/>
      <c r="OEY25" s="2846"/>
      <c r="OEZ25" s="2851"/>
      <c r="OFA25" s="2850"/>
      <c r="OFB25" s="2846"/>
      <c r="OFC25" s="2851"/>
      <c r="OFD25" s="2850"/>
      <c r="OFE25" s="2846"/>
      <c r="OFF25" s="2851"/>
      <c r="OFG25" s="2850"/>
      <c r="OFH25" s="2846"/>
      <c r="OFI25" s="2851"/>
      <c r="OFJ25" s="2850"/>
      <c r="OFK25" s="2846"/>
      <c r="OFL25" s="2851"/>
      <c r="OFM25" s="2850"/>
      <c r="OFN25" s="2846"/>
      <c r="OFO25" s="2851"/>
      <c r="OFP25" s="2850"/>
      <c r="OFQ25" s="2846"/>
      <c r="OFR25" s="2851"/>
      <c r="OFS25" s="2850"/>
      <c r="OFT25" s="2846"/>
      <c r="OFU25" s="2851"/>
      <c r="OFV25" s="2850"/>
      <c r="OFW25" s="2846"/>
      <c r="OFX25" s="2851"/>
      <c r="OFY25" s="2850"/>
      <c r="OFZ25" s="2846"/>
      <c r="OGA25" s="2851"/>
      <c r="OGB25" s="2850"/>
      <c r="OGC25" s="2846"/>
      <c r="OGD25" s="2851"/>
      <c r="OGE25" s="2850"/>
      <c r="OGF25" s="2846"/>
      <c r="OGG25" s="2851"/>
      <c r="OGH25" s="2850"/>
      <c r="OGI25" s="2846"/>
      <c r="OGJ25" s="2851"/>
      <c r="OGK25" s="2850"/>
      <c r="OGL25" s="2846"/>
      <c r="OGM25" s="2851"/>
      <c r="OGN25" s="2850"/>
      <c r="OGO25" s="2846"/>
      <c r="OGP25" s="2851"/>
      <c r="OGQ25" s="2850"/>
      <c r="OGR25" s="2846"/>
      <c r="OGS25" s="2851"/>
      <c r="OGT25" s="2850"/>
      <c r="OGU25" s="2846"/>
      <c r="OGV25" s="2851"/>
      <c r="OGW25" s="2850"/>
      <c r="OGX25" s="2846"/>
      <c r="OGY25" s="2851"/>
      <c r="OGZ25" s="2850"/>
      <c r="OHA25" s="2846"/>
      <c r="OHB25" s="2851"/>
      <c r="OHC25" s="2850"/>
      <c r="OHD25" s="2846"/>
      <c r="OHE25" s="2851"/>
      <c r="OHF25" s="2850"/>
      <c r="OHG25" s="2846"/>
      <c r="OHH25" s="2851"/>
      <c r="OHI25" s="2850"/>
      <c r="OHJ25" s="2846"/>
      <c r="OHK25" s="2851"/>
      <c r="OHL25" s="2850"/>
      <c r="OHM25" s="2846"/>
      <c r="OHN25" s="2851"/>
      <c r="OHO25" s="2850"/>
      <c r="OHP25" s="2846"/>
      <c r="OHQ25" s="2851"/>
      <c r="OHR25" s="2850"/>
      <c r="OHS25" s="2846"/>
      <c r="OHT25" s="2851"/>
      <c r="OHU25" s="2850"/>
      <c r="OHV25" s="2846"/>
      <c r="OHW25" s="2851"/>
      <c r="OHX25" s="2850"/>
      <c r="OHY25" s="2846"/>
      <c r="OHZ25" s="2851"/>
      <c r="OIA25" s="2850"/>
      <c r="OIB25" s="2846"/>
      <c r="OIC25" s="2851"/>
      <c r="OID25" s="2850"/>
      <c r="OIE25" s="2846"/>
      <c r="OIF25" s="2851"/>
      <c r="OIG25" s="2850"/>
      <c r="OIH25" s="2846"/>
      <c r="OII25" s="2851"/>
      <c r="OIJ25" s="2850"/>
      <c r="OIK25" s="2846"/>
      <c r="OIL25" s="2851"/>
      <c r="OIM25" s="2850"/>
      <c r="OIN25" s="2846"/>
      <c r="OIO25" s="2851"/>
      <c r="OIP25" s="2850"/>
      <c r="OIQ25" s="2846"/>
      <c r="OIR25" s="2851"/>
      <c r="OIS25" s="2850"/>
      <c r="OIT25" s="2846"/>
      <c r="OIU25" s="2851"/>
      <c r="OIV25" s="2850"/>
      <c r="OIW25" s="2846"/>
      <c r="OIX25" s="2851"/>
      <c r="OIY25" s="2850"/>
      <c r="OIZ25" s="2846"/>
      <c r="OJA25" s="2851"/>
      <c r="OJB25" s="2850"/>
      <c r="OJC25" s="2846"/>
      <c r="OJD25" s="2851"/>
      <c r="OJE25" s="2850"/>
      <c r="OJF25" s="2846"/>
      <c r="OJG25" s="2851"/>
      <c r="OJH25" s="2850"/>
      <c r="OJI25" s="2846"/>
      <c r="OJJ25" s="2851"/>
      <c r="OJK25" s="2850"/>
      <c r="OJL25" s="2846"/>
      <c r="OJM25" s="2851"/>
      <c r="OJN25" s="2850"/>
      <c r="OJO25" s="2846"/>
      <c r="OJP25" s="2851"/>
      <c r="OJQ25" s="2850"/>
      <c r="OJR25" s="2846"/>
      <c r="OJS25" s="2851"/>
      <c r="OJT25" s="2850"/>
      <c r="OJU25" s="2846"/>
      <c r="OJV25" s="2851"/>
      <c r="OJW25" s="2850"/>
      <c r="OJX25" s="2846"/>
      <c r="OJY25" s="2851"/>
      <c r="OJZ25" s="2850"/>
      <c r="OKA25" s="2846"/>
      <c r="OKB25" s="2851"/>
      <c r="OKC25" s="2850"/>
      <c r="OKD25" s="2846"/>
      <c r="OKE25" s="2851"/>
      <c r="OKF25" s="2850"/>
      <c r="OKG25" s="2846"/>
      <c r="OKH25" s="2851"/>
      <c r="OKI25" s="2850"/>
      <c r="OKJ25" s="2846"/>
      <c r="OKK25" s="2851"/>
      <c r="OKL25" s="2850"/>
      <c r="OKM25" s="2846"/>
      <c r="OKN25" s="2851"/>
      <c r="OKO25" s="2850"/>
      <c r="OKP25" s="2846"/>
      <c r="OKQ25" s="2851"/>
      <c r="OKR25" s="2850"/>
      <c r="OKS25" s="2846"/>
      <c r="OKT25" s="2851"/>
      <c r="OKU25" s="2850"/>
      <c r="OKV25" s="2846"/>
      <c r="OKW25" s="2851"/>
      <c r="OKX25" s="2850"/>
      <c r="OKY25" s="2846"/>
      <c r="OKZ25" s="2851"/>
      <c r="OLA25" s="2850"/>
      <c r="OLB25" s="2846"/>
      <c r="OLC25" s="2851"/>
      <c r="OLD25" s="2850"/>
      <c r="OLE25" s="2846"/>
      <c r="OLF25" s="2851"/>
      <c r="OLG25" s="2850"/>
      <c r="OLH25" s="2846"/>
      <c r="OLI25" s="2851"/>
      <c r="OLJ25" s="2850"/>
      <c r="OLK25" s="2846"/>
      <c r="OLL25" s="2851"/>
      <c r="OLM25" s="2850"/>
      <c r="OLN25" s="2846"/>
      <c r="OLO25" s="2851"/>
      <c r="OLP25" s="2850"/>
      <c r="OLQ25" s="2846"/>
      <c r="OLR25" s="2851"/>
      <c r="OLS25" s="2850"/>
      <c r="OLT25" s="2846"/>
      <c r="OLU25" s="2851"/>
      <c r="OLV25" s="2850"/>
      <c r="OLW25" s="2846"/>
      <c r="OLX25" s="2851"/>
      <c r="OLY25" s="2850"/>
      <c r="OLZ25" s="2846"/>
      <c r="OMA25" s="2851"/>
      <c r="OMB25" s="2850"/>
      <c r="OMC25" s="2846"/>
      <c r="OMD25" s="2851"/>
      <c r="OME25" s="2850"/>
      <c r="OMF25" s="2846"/>
      <c r="OMG25" s="2851"/>
      <c r="OMH25" s="2850"/>
      <c r="OMI25" s="2846"/>
      <c r="OMJ25" s="2851"/>
      <c r="OMK25" s="2850"/>
      <c r="OML25" s="2846"/>
      <c r="OMM25" s="2851"/>
      <c r="OMN25" s="2850"/>
      <c r="OMO25" s="2846"/>
      <c r="OMP25" s="2851"/>
      <c r="OMQ25" s="2850"/>
      <c r="OMR25" s="2846"/>
      <c r="OMS25" s="2851"/>
      <c r="OMT25" s="2850"/>
      <c r="OMU25" s="2846"/>
      <c r="OMV25" s="2851"/>
      <c r="OMW25" s="2850"/>
      <c r="OMX25" s="2846"/>
      <c r="OMY25" s="2851"/>
      <c r="OMZ25" s="2850"/>
      <c r="ONA25" s="2846"/>
      <c r="ONB25" s="2851"/>
      <c r="ONC25" s="2850"/>
      <c r="OND25" s="2846"/>
      <c r="ONE25" s="2851"/>
      <c r="ONF25" s="2850"/>
      <c r="ONG25" s="2846"/>
      <c r="ONH25" s="2851"/>
      <c r="ONI25" s="2850"/>
      <c r="ONJ25" s="2846"/>
      <c r="ONK25" s="2851"/>
      <c r="ONL25" s="2850"/>
      <c r="ONM25" s="2846"/>
      <c r="ONN25" s="2851"/>
      <c r="ONO25" s="2850"/>
      <c r="ONP25" s="2846"/>
      <c r="ONQ25" s="2851"/>
      <c r="ONR25" s="2850"/>
      <c r="ONS25" s="2846"/>
      <c r="ONT25" s="2851"/>
      <c r="ONU25" s="2850"/>
      <c r="ONV25" s="2846"/>
      <c r="ONW25" s="2851"/>
      <c r="ONX25" s="2850"/>
      <c r="ONY25" s="2846"/>
      <c r="ONZ25" s="2851"/>
      <c r="OOA25" s="2850"/>
      <c r="OOB25" s="2846"/>
      <c r="OOC25" s="2851"/>
      <c r="OOD25" s="2850"/>
      <c r="OOE25" s="2846"/>
      <c r="OOF25" s="2851"/>
      <c r="OOG25" s="2850"/>
      <c r="OOH25" s="2846"/>
      <c r="OOI25" s="2851"/>
      <c r="OOJ25" s="2850"/>
      <c r="OOK25" s="2846"/>
      <c r="OOL25" s="2851"/>
      <c r="OOM25" s="2850"/>
      <c r="OON25" s="2846"/>
      <c r="OOO25" s="2851"/>
      <c r="OOP25" s="2850"/>
      <c r="OOQ25" s="2846"/>
      <c r="OOR25" s="2851"/>
      <c r="OOS25" s="2850"/>
      <c r="OOT25" s="2846"/>
      <c r="OOU25" s="2851"/>
      <c r="OOV25" s="2850"/>
      <c r="OOW25" s="2846"/>
      <c r="OOX25" s="2851"/>
      <c r="OOY25" s="2850"/>
      <c r="OOZ25" s="2846"/>
      <c r="OPA25" s="2851"/>
      <c r="OPB25" s="2850"/>
      <c r="OPC25" s="2846"/>
      <c r="OPD25" s="2851"/>
      <c r="OPE25" s="2850"/>
      <c r="OPF25" s="2846"/>
      <c r="OPG25" s="2851"/>
      <c r="OPH25" s="2850"/>
      <c r="OPI25" s="2846"/>
      <c r="OPJ25" s="2851"/>
      <c r="OPK25" s="2850"/>
      <c r="OPL25" s="2846"/>
      <c r="OPM25" s="2851"/>
      <c r="OPN25" s="2850"/>
      <c r="OPO25" s="2846"/>
      <c r="OPP25" s="2851"/>
      <c r="OPQ25" s="2850"/>
      <c r="OPR25" s="2846"/>
      <c r="OPS25" s="2851"/>
      <c r="OPT25" s="2850"/>
      <c r="OPU25" s="2846"/>
      <c r="OPV25" s="2851"/>
      <c r="OPW25" s="2850"/>
      <c r="OPX25" s="2846"/>
      <c r="OPY25" s="2851"/>
      <c r="OPZ25" s="2850"/>
      <c r="OQA25" s="2846"/>
      <c r="OQB25" s="2851"/>
      <c r="OQC25" s="2850"/>
      <c r="OQD25" s="2846"/>
      <c r="OQE25" s="2851"/>
      <c r="OQF25" s="2850"/>
      <c r="OQG25" s="2846"/>
      <c r="OQH25" s="2851"/>
      <c r="OQI25" s="2850"/>
      <c r="OQJ25" s="2846"/>
      <c r="OQK25" s="2851"/>
      <c r="OQL25" s="2850"/>
      <c r="OQM25" s="2846"/>
      <c r="OQN25" s="2851"/>
      <c r="OQO25" s="2850"/>
      <c r="OQP25" s="2846"/>
      <c r="OQQ25" s="2851"/>
      <c r="OQR25" s="2850"/>
      <c r="OQS25" s="2846"/>
      <c r="OQT25" s="2851"/>
      <c r="OQU25" s="2850"/>
      <c r="OQV25" s="2846"/>
      <c r="OQW25" s="2851"/>
      <c r="OQX25" s="2850"/>
      <c r="OQY25" s="2846"/>
      <c r="OQZ25" s="2851"/>
      <c r="ORA25" s="2850"/>
      <c r="ORB25" s="2846"/>
      <c r="ORC25" s="2851"/>
      <c r="ORD25" s="2850"/>
      <c r="ORE25" s="2846"/>
      <c r="ORF25" s="2851"/>
      <c r="ORG25" s="2850"/>
      <c r="ORH25" s="2846"/>
      <c r="ORI25" s="2851"/>
      <c r="ORJ25" s="2850"/>
      <c r="ORK25" s="2846"/>
      <c r="ORL25" s="2851"/>
      <c r="ORM25" s="2850"/>
      <c r="ORN25" s="2846"/>
      <c r="ORO25" s="2851"/>
      <c r="ORP25" s="2850"/>
      <c r="ORQ25" s="2846"/>
      <c r="ORR25" s="2851"/>
      <c r="ORS25" s="2850"/>
      <c r="ORT25" s="2846"/>
      <c r="ORU25" s="2851"/>
      <c r="ORV25" s="2850"/>
      <c r="ORW25" s="2846"/>
      <c r="ORX25" s="2851"/>
      <c r="ORY25" s="2850"/>
      <c r="ORZ25" s="2846"/>
      <c r="OSA25" s="2851"/>
      <c r="OSB25" s="2850"/>
      <c r="OSC25" s="2846"/>
      <c r="OSD25" s="2851"/>
      <c r="OSE25" s="2850"/>
      <c r="OSF25" s="2846"/>
      <c r="OSG25" s="2851"/>
      <c r="OSH25" s="2850"/>
      <c r="OSI25" s="2846"/>
      <c r="OSJ25" s="2851"/>
      <c r="OSK25" s="2850"/>
      <c r="OSL25" s="2846"/>
      <c r="OSM25" s="2851"/>
      <c r="OSN25" s="2850"/>
      <c r="OSO25" s="2846"/>
      <c r="OSP25" s="2851"/>
      <c r="OSQ25" s="2850"/>
      <c r="OSR25" s="2846"/>
      <c r="OSS25" s="2851"/>
      <c r="OST25" s="2850"/>
      <c r="OSU25" s="2846"/>
      <c r="OSV25" s="2851"/>
      <c r="OSW25" s="2850"/>
      <c r="OSX25" s="2846"/>
      <c r="OSY25" s="2851"/>
      <c r="OSZ25" s="2850"/>
      <c r="OTA25" s="2846"/>
      <c r="OTB25" s="2851"/>
      <c r="OTC25" s="2850"/>
      <c r="OTD25" s="2846"/>
      <c r="OTE25" s="2851"/>
      <c r="OTF25" s="2850"/>
      <c r="OTG25" s="2846"/>
      <c r="OTH25" s="2851"/>
      <c r="OTI25" s="2850"/>
      <c r="OTJ25" s="2846"/>
      <c r="OTK25" s="2851"/>
      <c r="OTL25" s="2850"/>
      <c r="OTM25" s="2846"/>
      <c r="OTN25" s="2851"/>
      <c r="OTO25" s="2850"/>
      <c r="OTP25" s="2846"/>
      <c r="OTQ25" s="2851"/>
      <c r="OTR25" s="2850"/>
      <c r="OTS25" s="2846"/>
      <c r="OTT25" s="2851"/>
      <c r="OTU25" s="2850"/>
      <c r="OTV25" s="2846"/>
      <c r="OTW25" s="2851"/>
      <c r="OTX25" s="2850"/>
      <c r="OTY25" s="2846"/>
      <c r="OTZ25" s="2851"/>
      <c r="OUA25" s="2850"/>
      <c r="OUB25" s="2846"/>
      <c r="OUC25" s="2851"/>
      <c r="OUD25" s="2850"/>
      <c r="OUE25" s="2846"/>
      <c r="OUF25" s="2851"/>
      <c r="OUG25" s="2850"/>
      <c r="OUH25" s="2846"/>
      <c r="OUI25" s="2851"/>
      <c r="OUJ25" s="2850"/>
      <c r="OUK25" s="2846"/>
      <c r="OUL25" s="2851"/>
      <c r="OUM25" s="2850"/>
      <c r="OUN25" s="2846"/>
      <c r="OUO25" s="2851"/>
      <c r="OUP25" s="2850"/>
      <c r="OUQ25" s="2846"/>
      <c r="OUR25" s="2851"/>
      <c r="OUS25" s="2850"/>
      <c r="OUT25" s="2846"/>
      <c r="OUU25" s="2851"/>
      <c r="OUV25" s="2850"/>
      <c r="OUW25" s="2846"/>
      <c r="OUX25" s="2851"/>
      <c r="OUY25" s="2850"/>
      <c r="OUZ25" s="2846"/>
      <c r="OVA25" s="2851"/>
      <c r="OVB25" s="2850"/>
      <c r="OVC25" s="2846"/>
      <c r="OVD25" s="2851"/>
      <c r="OVE25" s="2850"/>
      <c r="OVF25" s="2846"/>
      <c r="OVG25" s="2851"/>
      <c r="OVH25" s="2850"/>
      <c r="OVI25" s="2846"/>
      <c r="OVJ25" s="2851"/>
      <c r="OVK25" s="2850"/>
      <c r="OVL25" s="2846"/>
      <c r="OVM25" s="2851"/>
      <c r="OVN25" s="2850"/>
      <c r="OVO25" s="2846"/>
      <c r="OVP25" s="2851"/>
      <c r="OVQ25" s="2850"/>
      <c r="OVR25" s="2846"/>
      <c r="OVS25" s="2851"/>
      <c r="OVT25" s="2850"/>
      <c r="OVU25" s="2846"/>
      <c r="OVV25" s="2851"/>
      <c r="OVW25" s="2850"/>
      <c r="OVX25" s="2846"/>
      <c r="OVY25" s="2851"/>
      <c r="OVZ25" s="2850"/>
      <c r="OWA25" s="2846"/>
      <c r="OWB25" s="2851"/>
      <c r="OWC25" s="2850"/>
      <c r="OWD25" s="2846"/>
      <c r="OWE25" s="2851"/>
      <c r="OWF25" s="2850"/>
      <c r="OWG25" s="2846"/>
      <c r="OWH25" s="2851"/>
      <c r="OWI25" s="2850"/>
      <c r="OWJ25" s="2846"/>
      <c r="OWK25" s="2851"/>
      <c r="OWL25" s="2850"/>
      <c r="OWM25" s="2846"/>
      <c r="OWN25" s="2851"/>
      <c r="OWO25" s="2850"/>
      <c r="OWP25" s="2846"/>
      <c r="OWQ25" s="2851"/>
      <c r="OWR25" s="2850"/>
      <c r="OWS25" s="2846"/>
      <c r="OWT25" s="2851"/>
      <c r="OWU25" s="2850"/>
      <c r="OWV25" s="2846"/>
      <c r="OWW25" s="2851"/>
      <c r="OWX25" s="2850"/>
      <c r="OWY25" s="2846"/>
      <c r="OWZ25" s="2851"/>
      <c r="OXA25" s="2850"/>
      <c r="OXB25" s="2846"/>
      <c r="OXC25" s="2851"/>
      <c r="OXD25" s="2850"/>
      <c r="OXE25" s="2846"/>
      <c r="OXF25" s="2851"/>
      <c r="OXG25" s="2850"/>
      <c r="OXH25" s="2846"/>
      <c r="OXI25" s="2851"/>
      <c r="OXJ25" s="2850"/>
      <c r="OXK25" s="2846"/>
      <c r="OXL25" s="2851"/>
      <c r="OXM25" s="2850"/>
      <c r="OXN25" s="2846"/>
      <c r="OXO25" s="2851"/>
      <c r="OXP25" s="2850"/>
      <c r="OXQ25" s="2846"/>
      <c r="OXR25" s="2851"/>
      <c r="OXS25" s="2850"/>
      <c r="OXT25" s="2846"/>
      <c r="OXU25" s="2851"/>
      <c r="OXV25" s="2850"/>
      <c r="OXW25" s="2846"/>
      <c r="OXX25" s="2851"/>
      <c r="OXY25" s="2850"/>
      <c r="OXZ25" s="2846"/>
      <c r="OYA25" s="2851"/>
      <c r="OYB25" s="2850"/>
      <c r="OYC25" s="2846"/>
      <c r="OYD25" s="2851"/>
      <c r="OYE25" s="2850"/>
      <c r="OYF25" s="2846"/>
      <c r="OYG25" s="2851"/>
      <c r="OYH25" s="2850"/>
      <c r="OYI25" s="2846"/>
      <c r="OYJ25" s="2851"/>
      <c r="OYK25" s="2850"/>
      <c r="OYL25" s="2846"/>
      <c r="OYM25" s="2851"/>
      <c r="OYN25" s="2850"/>
      <c r="OYO25" s="2846"/>
      <c r="OYP25" s="2851"/>
      <c r="OYQ25" s="2850"/>
      <c r="OYR25" s="2846"/>
      <c r="OYS25" s="2851"/>
      <c r="OYT25" s="2850"/>
      <c r="OYU25" s="2846"/>
      <c r="OYV25" s="2851"/>
      <c r="OYW25" s="2850"/>
      <c r="OYX25" s="2846"/>
      <c r="OYY25" s="2851"/>
      <c r="OYZ25" s="2850"/>
      <c r="OZA25" s="2846"/>
      <c r="OZB25" s="2851"/>
      <c r="OZC25" s="2850"/>
      <c r="OZD25" s="2846"/>
      <c r="OZE25" s="2851"/>
      <c r="OZF25" s="2850"/>
      <c r="OZG25" s="2846"/>
      <c r="OZH25" s="2851"/>
      <c r="OZI25" s="2850"/>
      <c r="OZJ25" s="2846"/>
      <c r="OZK25" s="2851"/>
      <c r="OZL25" s="2850"/>
      <c r="OZM25" s="2846"/>
      <c r="OZN25" s="2851"/>
      <c r="OZO25" s="2850"/>
      <c r="OZP25" s="2846"/>
      <c r="OZQ25" s="2851"/>
      <c r="OZR25" s="2850"/>
      <c r="OZS25" s="2846"/>
      <c r="OZT25" s="2851"/>
      <c r="OZU25" s="2850"/>
      <c r="OZV25" s="2846"/>
      <c r="OZW25" s="2851"/>
      <c r="OZX25" s="2850"/>
      <c r="OZY25" s="2846"/>
      <c r="OZZ25" s="2851"/>
      <c r="PAA25" s="2850"/>
      <c r="PAB25" s="2846"/>
      <c r="PAC25" s="2851"/>
      <c r="PAD25" s="2850"/>
      <c r="PAE25" s="2846"/>
      <c r="PAF25" s="2851"/>
      <c r="PAG25" s="2850"/>
      <c r="PAH25" s="2846"/>
      <c r="PAI25" s="2851"/>
      <c r="PAJ25" s="2850"/>
      <c r="PAK25" s="2846"/>
      <c r="PAL25" s="2851"/>
      <c r="PAM25" s="2850"/>
      <c r="PAN25" s="2846"/>
      <c r="PAO25" s="2851"/>
      <c r="PAP25" s="2850"/>
      <c r="PAQ25" s="2846"/>
      <c r="PAR25" s="2851"/>
      <c r="PAS25" s="2850"/>
      <c r="PAT25" s="2846"/>
      <c r="PAU25" s="2851"/>
      <c r="PAV25" s="2850"/>
      <c r="PAW25" s="2846"/>
      <c r="PAX25" s="2851"/>
      <c r="PAY25" s="2850"/>
      <c r="PAZ25" s="2846"/>
      <c r="PBA25" s="2851"/>
      <c r="PBB25" s="2850"/>
      <c r="PBC25" s="2846"/>
      <c r="PBD25" s="2851"/>
      <c r="PBE25" s="2850"/>
      <c r="PBF25" s="2846"/>
      <c r="PBG25" s="2851"/>
      <c r="PBH25" s="2850"/>
      <c r="PBI25" s="2846"/>
      <c r="PBJ25" s="2851"/>
      <c r="PBK25" s="2850"/>
      <c r="PBL25" s="2846"/>
      <c r="PBM25" s="2851"/>
      <c r="PBN25" s="2850"/>
      <c r="PBO25" s="2846"/>
      <c r="PBP25" s="2851"/>
      <c r="PBQ25" s="2850"/>
      <c r="PBR25" s="2846"/>
      <c r="PBS25" s="2851"/>
      <c r="PBT25" s="2850"/>
      <c r="PBU25" s="2846"/>
      <c r="PBV25" s="2851"/>
      <c r="PBW25" s="2850"/>
      <c r="PBX25" s="2846"/>
      <c r="PBY25" s="2851"/>
      <c r="PBZ25" s="2850"/>
      <c r="PCA25" s="2846"/>
      <c r="PCB25" s="2851"/>
      <c r="PCC25" s="2850"/>
      <c r="PCD25" s="2846"/>
      <c r="PCE25" s="2851"/>
      <c r="PCF25" s="2850"/>
      <c r="PCG25" s="2846"/>
      <c r="PCH25" s="2851"/>
      <c r="PCI25" s="2850"/>
      <c r="PCJ25" s="2846"/>
      <c r="PCK25" s="2851"/>
      <c r="PCL25" s="2850"/>
      <c r="PCM25" s="2846"/>
      <c r="PCN25" s="2851"/>
      <c r="PCO25" s="2850"/>
      <c r="PCP25" s="2846"/>
      <c r="PCQ25" s="2851"/>
      <c r="PCR25" s="2850"/>
      <c r="PCS25" s="2846"/>
      <c r="PCT25" s="2851"/>
      <c r="PCU25" s="2850"/>
      <c r="PCV25" s="2846"/>
      <c r="PCW25" s="2851"/>
      <c r="PCX25" s="2850"/>
      <c r="PCY25" s="2846"/>
      <c r="PCZ25" s="2851"/>
      <c r="PDA25" s="2850"/>
      <c r="PDB25" s="2846"/>
      <c r="PDC25" s="2851"/>
      <c r="PDD25" s="2850"/>
      <c r="PDE25" s="2846"/>
      <c r="PDF25" s="2851"/>
      <c r="PDG25" s="2850"/>
      <c r="PDH25" s="2846"/>
      <c r="PDI25" s="2851"/>
      <c r="PDJ25" s="2850"/>
      <c r="PDK25" s="2846"/>
      <c r="PDL25" s="2851"/>
      <c r="PDM25" s="2850"/>
      <c r="PDN25" s="2846"/>
      <c r="PDO25" s="2851"/>
      <c r="PDP25" s="2850"/>
      <c r="PDQ25" s="2846"/>
      <c r="PDR25" s="2851"/>
      <c r="PDS25" s="2850"/>
      <c r="PDT25" s="2846"/>
      <c r="PDU25" s="2851"/>
      <c r="PDV25" s="2850"/>
      <c r="PDW25" s="2846"/>
      <c r="PDX25" s="2851"/>
      <c r="PDY25" s="2850"/>
      <c r="PDZ25" s="2846"/>
      <c r="PEA25" s="2851"/>
      <c r="PEB25" s="2850"/>
      <c r="PEC25" s="2846"/>
      <c r="PED25" s="2851"/>
      <c r="PEE25" s="2850"/>
      <c r="PEF25" s="2846"/>
      <c r="PEG25" s="2851"/>
      <c r="PEH25" s="2850"/>
      <c r="PEI25" s="2846"/>
      <c r="PEJ25" s="2851"/>
      <c r="PEK25" s="2850"/>
      <c r="PEL25" s="2846"/>
      <c r="PEM25" s="2851"/>
      <c r="PEN25" s="2850"/>
      <c r="PEO25" s="2846"/>
      <c r="PEP25" s="2851"/>
      <c r="PEQ25" s="2850"/>
      <c r="PER25" s="2846"/>
      <c r="PES25" s="2851"/>
      <c r="PET25" s="2850"/>
      <c r="PEU25" s="2846"/>
      <c r="PEV25" s="2851"/>
      <c r="PEW25" s="2850"/>
      <c r="PEX25" s="2846"/>
      <c r="PEY25" s="2851"/>
      <c r="PEZ25" s="2850"/>
      <c r="PFA25" s="2846"/>
      <c r="PFB25" s="2851"/>
      <c r="PFC25" s="2850"/>
      <c r="PFD25" s="2846"/>
      <c r="PFE25" s="2851"/>
      <c r="PFF25" s="2850"/>
      <c r="PFG25" s="2846"/>
      <c r="PFH25" s="2851"/>
      <c r="PFI25" s="2850"/>
      <c r="PFJ25" s="2846"/>
      <c r="PFK25" s="2851"/>
      <c r="PFL25" s="2850"/>
      <c r="PFM25" s="2846"/>
      <c r="PFN25" s="2851"/>
      <c r="PFO25" s="2850"/>
      <c r="PFP25" s="2846"/>
      <c r="PFQ25" s="2851"/>
      <c r="PFR25" s="2850"/>
      <c r="PFS25" s="2846"/>
      <c r="PFT25" s="2851"/>
      <c r="PFU25" s="2850"/>
      <c r="PFV25" s="2846"/>
      <c r="PFW25" s="2851"/>
      <c r="PFX25" s="2850"/>
      <c r="PFY25" s="2846"/>
      <c r="PFZ25" s="2851"/>
      <c r="PGA25" s="2850"/>
      <c r="PGB25" s="2846"/>
      <c r="PGC25" s="2851"/>
      <c r="PGD25" s="2850"/>
      <c r="PGE25" s="2846"/>
      <c r="PGF25" s="2851"/>
      <c r="PGG25" s="2850"/>
      <c r="PGH25" s="2846"/>
      <c r="PGI25" s="2851"/>
      <c r="PGJ25" s="2850"/>
      <c r="PGK25" s="2846"/>
      <c r="PGL25" s="2851"/>
      <c r="PGM25" s="2850"/>
      <c r="PGN25" s="2846"/>
      <c r="PGO25" s="2851"/>
      <c r="PGP25" s="2850"/>
      <c r="PGQ25" s="2846"/>
      <c r="PGR25" s="2851"/>
      <c r="PGS25" s="2850"/>
      <c r="PGT25" s="2846"/>
      <c r="PGU25" s="2851"/>
      <c r="PGV25" s="2850"/>
      <c r="PGW25" s="2846"/>
      <c r="PGX25" s="2851"/>
      <c r="PGY25" s="2850"/>
      <c r="PGZ25" s="2846"/>
      <c r="PHA25" s="2851"/>
      <c r="PHB25" s="2850"/>
      <c r="PHC25" s="2846"/>
      <c r="PHD25" s="2851"/>
      <c r="PHE25" s="2850"/>
      <c r="PHF25" s="2846"/>
      <c r="PHG25" s="2851"/>
      <c r="PHH25" s="2850"/>
      <c r="PHI25" s="2846"/>
      <c r="PHJ25" s="2851"/>
      <c r="PHK25" s="2850"/>
      <c r="PHL25" s="2846"/>
      <c r="PHM25" s="2851"/>
      <c r="PHN25" s="2850"/>
      <c r="PHO25" s="2846"/>
      <c r="PHP25" s="2851"/>
      <c r="PHQ25" s="2850"/>
      <c r="PHR25" s="2846"/>
      <c r="PHS25" s="2851"/>
      <c r="PHT25" s="2850"/>
      <c r="PHU25" s="2846"/>
      <c r="PHV25" s="2851"/>
      <c r="PHW25" s="2850"/>
      <c r="PHX25" s="2846"/>
      <c r="PHY25" s="2851"/>
      <c r="PHZ25" s="2850"/>
      <c r="PIA25" s="2846"/>
      <c r="PIB25" s="2851"/>
      <c r="PIC25" s="2850"/>
      <c r="PID25" s="2846"/>
      <c r="PIE25" s="2851"/>
      <c r="PIF25" s="2850"/>
      <c r="PIG25" s="2846"/>
      <c r="PIH25" s="2851"/>
      <c r="PII25" s="2850"/>
      <c r="PIJ25" s="2846"/>
      <c r="PIK25" s="2851"/>
      <c r="PIL25" s="2850"/>
      <c r="PIM25" s="2846"/>
      <c r="PIN25" s="2851"/>
      <c r="PIO25" s="2850"/>
      <c r="PIP25" s="2846"/>
      <c r="PIQ25" s="2851"/>
      <c r="PIR25" s="2850"/>
      <c r="PIS25" s="2846"/>
      <c r="PIT25" s="2851"/>
      <c r="PIU25" s="2850"/>
      <c r="PIV25" s="2846"/>
      <c r="PIW25" s="2851"/>
      <c r="PIX25" s="2850"/>
      <c r="PIY25" s="2846"/>
      <c r="PIZ25" s="2851"/>
      <c r="PJA25" s="2850"/>
      <c r="PJB25" s="2846"/>
      <c r="PJC25" s="2851"/>
      <c r="PJD25" s="2850"/>
      <c r="PJE25" s="2846"/>
      <c r="PJF25" s="2851"/>
      <c r="PJG25" s="2850"/>
      <c r="PJH25" s="2846"/>
      <c r="PJI25" s="2851"/>
      <c r="PJJ25" s="2850"/>
      <c r="PJK25" s="2846"/>
      <c r="PJL25" s="2851"/>
      <c r="PJM25" s="2850"/>
      <c r="PJN25" s="2846"/>
      <c r="PJO25" s="2851"/>
      <c r="PJP25" s="2850"/>
      <c r="PJQ25" s="2846"/>
      <c r="PJR25" s="2851"/>
      <c r="PJS25" s="2850"/>
      <c r="PJT25" s="2846"/>
      <c r="PJU25" s="2851"/>
      <c r="PJV25" s="2850"/>
      <c r="PJW25" s="2846"/>
      <c r="PJX25" s="2851"/>
      <c r="PJY25" s="2850"/>
      <c r="PJZ25" s="2846"/>
      <c r="PKA25" s="2851"/>
      <c r="PKB25" s="2850"/>
      <c r="PKC25" s="2846"/>
      <c r="PKD25" s="2851"/>
      <c r="PKE25" s="2850"/>
      <c r="PKF25" s="2846"/>
      <c r="PKG25" s="2851"/>
      <c r="PKH25" s="2850"/>
      <c r="PKI25" s="2846"/>
      <c r="PKJ25" s="2851"/>
      <c r="PKK25" s="2850"/>
      <c r="PKL25" s="2846"/>
      <c r="PKM25" s="2851"/>
      <c r="PKN25" s="2850"/>
      <c r="PKO25" s="2846"/>
      <c r="PKP25" s="2851"/>
      <c r="PKQ25" s="2850"/>
      <c r="PKR25" s="2846"/>
      <c r="PKS25" s="2851"/>
      <c r="PKT25" s="2850"/>
      <c r="PKU25" s="2846"/>
      <c r="PKV25" s="2851"/>
      <c r="PKW25" s="2850"/>
      <c r="PKX25" s="2846"/>
      <c r="PKY25" s="2851"/>
      <c r="PKZ25" s="2850"/>
      <c r="PLA25" s="2846"/>
      <c r="PLB25" s="2851"/>
      <c r="PLC25" s="2850"/>
      <c r="PLD25" s="2846"/>
      <c r="PLE25" s="2851"/>
      <c r="PLF25" s="2850"/>
      <c r="PLG25" s="2846"/>
      <c r="PLH25" s="2851"/>
      <c r="PLI25" s="2850"/>
      <c r="PLJ25" s="2846"/>
      <c r="PLK25" s="2851"/>
      <c r="PLL25" s="2850"/>
      <c r="PLM25" s="2846"/>
      <c r="PLN25" s="2851"/>
      <c r="PLO25" s="2850"/>
      <c r="PLP25" s="2846"/>
      <c r="PLQ25" s="2851"/>
      <c r="PLR25" s="2850"/>
      <c r="PLS25" s="2846"/>
      <c r="PLT25" s="2851"/>
      <c r="PLU25" s="2850"/>
      <c r="PLV25" s="2846"/>
      <c r="PLW25" s="2851"/>
      <c r="PLX25" s="2850"/>
      <c r="PLY25" s="2846"/>
      <c r="PLZ25" s="2851"/>
      <c r="PMA25" s="2850"/>
      <c r="PMB25" s="2846"/>
      <c r="PMC25" s="2851"/>
      <c r="PMD25" s="2850"/>
      <c r="PME25" s="2846"/>
      <c r="PMF25" s="2851"/>
      <c r="PMG25" s="2850"/>
      <c r="PMH25" s="2846"/>
      <c r="PMI25" s="2851"/>
      <c r="PMJ25" s="2850"/>
      <c r="PMK25" s="2846"/>
      <c r="PML25" s="2851"/>
      <c r="PMM25" s="2850"/>
      <c r="PMN25" s="2846"/>
      <c r="PMO25" s="2851"/>
      <c r="PMP25" s="2850"/>
      <c r="PMQ25" s="2846"/>
      <c r="PMR25" s="2851"/>
      <c r="PMS25" s="2850"/>
      <c r="PMT25" s="2846"/>
      <c r="PMU25" s="2851"/>
      <c r="PMV25" s="2850"/>
      <c r="PMW25" s="2846"/>
      <c r="PMX25" s="2851"/>
      <c r="PMY25" s="2850"/>
      <c r="PMZ25" s="2846"/>
      <c r="PNA25" s="2851"/>
      <c r="PNB25" s="2850"/>
      <c r="PNC25" s="2846"/>
      <c r="PND25" s="2851"/>
      <c r="PNE25" s="2850"/>
      <c r="PNF25" s="2846"/>
      <c r="PNG25" s="2851"/>
      <c r="PNH25" s="2850"/>
      <c r="PNI25" s="2846"/>
      <c r="PNJ25" s="2851"/>
      <c r="PNK25" s="2850"/>
      <c r="PNL25" s="2846"/>
      <c r="PNM25" s="2851"/>
      <c r="PNN25" s="2850"/>
      <c r="PNO25" s="2846"/>
      <c r="PNP25" s="2851"/>
      <c r="PNQ25" s="2850"/>
      <c r="PNR25" s="2846"/>
      <c r="PNS25" s="2851"/>
      <c r="PNT25" s="2850"/>
      <c r="PNU25" s="2846"/>
      <c r="PNV25" s="2851"/>
      <c r="PNW25" s="2850"/>
      <c r="PNX25" s="2846"/>
      <c r="PNY25" s="2851"/>
      <c r="PNZ25" s="2850"/>
      <c r="POA25" s="2846"/>
      <c r="POB25" s="2851"/>
      <c r="POC25" s="2850"/>
      <c r="POD25" s="2846"/>
      <c r="POE25" s="2851"/>
      <c r="POF25" s="2850"/>
      <c r="POG25" s="2846"/>
      <c r="POH25" s="2851"/>
      <c r="POI25" s="2850"/>
      <c r="POJ25" s="2846"/>
      <c r="POK25" s="2851"/>
      <c r="POL25" s="2850"/>
      <c r="POM25" s="2846"/>
      <c r="PON25" s="2851"/>
      <c r="POO25" s="2850"/>
      <c r="POP25" s="2846"/>
      <c r="POQ25" s="2851"/>
      <c r="POR25" s="2850"/>
      <c r="POS25" s="2846"/>
      <c r="POT25" s="2851"/>
      <c r="POU25" s="2850"/>
      <c r="POV25" s="2846"/>
      <c r="POW25" s="2851"/>
      <c r="POX25" s="2850"/>
      <c r="POY25" s="2846"/>
      <c r="POZ25" s="2851"/>
      <c r="PPA25" s="2850"/>
      <c r="PPB25" s="2846"/>
      <c r="PPC25" s="2851"/>
      <c r="PPD25" s="2850"/>
      <c r="PPE25" s="2846"/>
      <c r="PPF25" s="2851"/>
      <c r="PPG25" s="2850"/>
      <c r="PPH25" s="2846"/>
      <c r="PPI25" s="2851"/>
      <c r="PPJ25" s="2850"/>
      <c r="PPK25" s="2846"/>
      <c r="PPL25" s="2851"/>
      <c r="PPM25" s="2850"/>
      <c r="PPN25" s="2846"/>
      <c r="PPO25" s="2851"/>
      <c r="PPP25" s="2850"/>
      <c r="PPQ25" s="2846"/>
      <c r="PPR25" s="2851"/>
      <c r="PPS25" s="2850"/>
      <c r="PPT25" s="2846"/>
      <c r="PPU25" s="2851"/>
      <c r="PPV25" s="2850"/>
      <c r="PPW25" s="2846"/>
      <c r="PPX25" s="2851"/>
      <c r="PPY25" s="2850"/>
      <c r="PPZ25" s="2846"/>
      <c r="PQA25" s="2851"/>
      <c r="PQB25" s="2850"/>
      <c r="PQC25" s="2846"/>
      <c r="PQD25" s="2851"/>
      <c r="PQE25" s="2850"/>
      <c r="PQF25" s="2846"/>
      <c r="PQG25" s="2851"/>
      <c r="PQH25" s="2850"/>
      <c r="PQI25" s="2846"/>
      <c r="PQJ25" s="2851"/>
      <c r="PQK25" s="2850"/>
      <c r="PQL25" s="2846"/>
      <c r="PQM25" s="2851"/>
      <c r="PQN25" s="2850"/>
      <c r="PQO25" s="2846"/>
      <c r="PQP25" s="2851"/>
      <c r="PQQ25" s="2850"/>
      <c r="PQR25" s="2846"/>
      <c r="PQS25" s="2851"/>
      <c r="PQT25" s="2850"/>
      <c r="PQU25" s="2846"/>
      <c r="PQV25" s="2851"/>
      <c r="PQW25" s="2850"/>
      <c r="PQX25" s="2846"/>
      <c r="PQY25" s="2851"/>
      <c r="PQZ25" s="2850"/>
      <c r="PRA25" s="2846"/>
      <c r="PRB25" s="2851"/>
      <c r="PRC25" s="2850"/>
      <c r="PRD25" s="2846"/>
      <c r="PRE25" s="2851"/>
      <c r="PRF25" s="2850"/>
      <c r="PRG25" s="2846"/>
      <c r="PRH25" s="2851"/>
      <c r="PRI25" s="2850"/>
      <c r="PRJ25" s="2846"/>
      <c r="PRK25" s="2851"/>
      <c r="PRL25" s="2850"/>
      <c r="PRM25" s="2846"/>
      <c r="PRN25" s="2851"/>
      <c r="PRO25" s="2850"/>
      <c r="PRP25" s="2846"/>
      <c r="PRQ25" s="2851"/>
      <c r="PRR25" s="2850"/>
      <c r="PRS25" s="2846"/>
      <c r="PRT25" s="2851"/>
      <c r="PRU25" s="2850"/>
      <c r="PRV25" s="2846"/>
      <c r="PRW25" s="2851"/>
      <c r="PRX25" s="2850"/>
      <c r="PRY25" s="2846"/>
      <c r="PRZ25" s="2851"/>
      <c r="PSA25" s="2850"/>
      <c r="PSB25" s="2846"/>
      <c r="PSC25" s="2851"/>
      <c r="PSD25" s="2850"/>
      <c r="PSE25" s="2846"/>
      <c r="PSF25" s="2851"/>
      <c r="PSG25" s="2850"/>
      <c r="PSH25" s="2846"/>
      <c r="PSI25" s="2851"/>
      <c r="PSJ25" s="2850"/>
      <c r="PSK25" s="2846"/>
      <c r="PSL25" s="2851"/>
      <c r="PSM25" s="2850"/>
      <c r="PSN25" s="2846"/>
      <c r="PSO25" s="2851"/>
      <c r="PSP25" s="2850"/>
      <c r="PSQ25" s="2846"/>
      <c r="PSR25" s="2851"/>
      <c r="PSS25" s="2850"/>
      <c r="PST25" s="2846"/>
      <c r="PSU25" s="2851"/>
      <c r="PSV25" s="2850"/>
      <c r="PSW25" s="2846"/>
      <c r="PSX25" s="2851"/>
      <c r="PSY25" s="2850"/>
      <c r="PSZ25" s="2846"/>
      <c r="PTA25" s="2851"/>
      <c r="PTB25" s="2850"/>
      <c r="PTC25" s="2846"/>
      <c r="PTD25" s="2851"/>
      <c r="PTE25" s="2850"/>
      <c r="PTF25" s="2846"/>
      <c r="PTG25" s="2851"/>
      <c r="PTH25" s="2850"/>
      <c r="PTI25" s="2846"/>
      <c r="PTJ25" s="2851"/>
      <c r="PTK25" s="2850"/>
      <c r="PTL25" s="2846"/>
      <c r="PTM25" s="2851"/>
      <c r="PTN25" s="2850"/>
      <c r="PTO25" s="2846"/>
      <c r="PTP25" s="2851"/>
      <c r="PTQ25" s="2850"/>
      <c r="PTR25" s="2846"/>
      <c r="PTS25" s="2851"/>
      <c r="PTT25" s="2850"/>
      <c r="PTU25" s="2846"/>
      <c r="PTV25" s="2851"/>
      <c r="PTW25" s="2850"/>
      <c r="PTX25" s="2846"/>
      <c r="PTY25" s="2851"/>
      <c r="PTZ25" s="2850"/>
      <c r="PUA25" s="2846"/>
      <c r="PUB25" s="2851"/>
      <c r="PUC25" s="2850"/>
      <c r="PUD25" s="2846"/>
      <c r="PUE25" s="2851"/>
      <c r="PUF25" s="2850"/>
      <c r="PUG25" s="2846"/>
      <c r="PUH25" s="2851"/>
      <c r="PUI25" s="2850"/>
      <c r="PUJ25" s="2846"/>
      <c r="PUK25" s="2851"/>
      <c r="PUL25" s="2850"/>
      <c r="PUM25" s="2846"/>
      <c r="PUN25" s="2851"/>
      <c r="PUO25" s="2850"/>
      <c r="PUP25" s="2846"/>
      <c r="PUQ25" s="2851"/>
      <c r="PUR25" s="2850"/>
      <c r="PUS25" s="2846"/>
      <c r="PUT25" s="2851"/>
      <c r="PUU25" s="2850"/>
      <c r="PUV25" s="2846"/>
      <c r="PUW25" s="2851"/>
      <c r="PUX25" s="2850"/>
      <c r="PUY25" s="2846"/>
      <c r="PUZ25" s="2851"/>
      <c r="PVA25" s="2850"/>
      <c r="PVB25" s="2846"/>
      <c r="PVC25" s="2851"/>
      <c r="PVD25" s="2850"/>
      <c r="PVE25" s="2846"/>
      <c r="PVF25" s="2851"/>
      <c r="PVG25" s="2850"/>
      <c r="PVH25" s="2846"/>
      <c r="PVI25" s="2851"/>
      <c r="PVJ25" s="2850"/>
      <c r="PVK25" s="2846"/>
      <c r="PVL25" s="2851"/>
      <c r="PVM25" s="2850"/>
      <c r="PVN25" s="2846"/>
      <c r="PVO25" s="2851"/>
      <c r="PVP25" s="2850"/>
      <c r="PVQ25" s="2846"/>
      <c r="PVR25" s="2851"/>
      <c r="PVS25" s="2850"/>
      <c r="PVT25" s="2846"/>
      <c r="PVU25" s="2851"/>
      <c r="PVV25" s="2850"/>
      <c r="PVW25" s="2846"/>
      <c r="PVX25" s="2851"/>
      <c r="PVY25" s="2850"/>
      <c r="PVZ25" s="2846"/>
      <c r="PWA25" s="2851"/>
      <c r="PWB25" s="2850"/>
      <c r="PWC25" s="2846"/>
      <c r="PWD25" s="2851"/>
      <c r="PWE25" s="2850"/>
      <c r="PWF25" s="2846"/>
      <c r="PWG25" s="2851"/>
      <c r="PWH25" s="2850"/>
      <c r="PWI25" s="2846"/>
      <c r="PWJ25" s="2851"/>
      <c r="PWK25" s="2850"/>
      <c r="PWL25" s="2846"/>
      <c r="PWM25" s="2851"/>
      <c r="PWN25" s="2850"/>
      <c r="PWO25" s="2846"/>
      <c r="PWP25" s="2851"/>
      <c r="PWQ25" s="2850"/>
      <c r="PWR25" s="2846"/>
      <c r="PWS25" s="2851"/>
      <c r="PWT25" s="2850"/>
      <c r="PWU25" s="2846"/>
      <c r="PWV25" s="2851"/>
      <c r="PWW25" s="2850"/>
      <c r="PWX25" s="2846"/>
      <c r="PWY25" s="2851"/>
      <c r="PWZ25" s="2850"/>
      <c r="PXA25" s="2846"/>
      <c r="PXB25" s="2851"/>
      <c r="PXC25" s="2850"/>
      <c r="PXD25" s="2846"/>
      <c r="PXE25" s="2851"/>
      <c r="PXF25" s="2850"/>
      <c r="PXG25" s="2846"/>
      <c r="PXH25" s="2851"/>
      <c r="PXI25" s="2850"/>
      <c r="PXJ25" s="2846"/>
      <c r="PXK25" s="2851"/>
      <c r="PXL25" s="2850"/>
      <c r="PXM25" s="2846"/>
      <c r="PXN25" s="2851"/>
      <c r="PXO25" s="2850"/>
      <c r="PXP25" s="2846"/>
      <c r="PXQ25" s="2851"/>
      <c r="PXR25" s="2850"/>
      <c r="PXS25" s="2846"/>
      <c r="PXT25" s="2851"/>
      <c r="PXU25" s="2850"/>
      <c r="PXV25" s="2846"/>
      <c r="PXW25" s="2851"/>
      <c r="PXX25" s="2850"/>
      <c r="PXY25" s="2846"/>
      <c r="PXZ25" s="2851"/>
      <c r="PYA25" s="2850"/>
      <c r="PYB25" s="2846"/>
      <c r="PYC25" s="2851"/>
      <c r="PYD25" s="2850"/>
      <c r="PYE25" s="2846"/>
      <c r="PYF25" s="2851"/>
      <c r="PYG25" s="2850"/>
      <c r="PYH25" s="2846"/>
      <c r="PYI25" s="2851"/>
      <c r="PYJ25" s="2850"/>
      <c r="PYK25" s="2846"/>
      <c r="PYL25" s="2851"/>
      <c r="PYM25" s="2850"/>
      <c r="PYN25" s="2846"/>
      <c r="PYO25" s="2851"/>
      <c r="PYP25" s="2850"/>
      <c r="PYQ25" s="2846"/>
      <c r="PYR25" s="2851"/>
      <c r="PYS25" s="2850"/>
      <c r="PYT25" s="2846"/>
      <c r="PYU25" s="2851"/>
      <c r="PYV25" s="2850"/>
      <c r="PYW25" s="2846"/>
      <c r="PYX25" s="2851"/>
      <c r="PYY25" s="2850"/>
      <c r="PYZ25" s="2846"/>
      <c r="PZA25" s="2851"/>
      <c r="PZB25" s="2850"/>
      <c r="PZC25" s="2846"/>
      <c r="PZD25" s="2851"/>
      <c r="PZE25" s="2850"/>
      <c r="PZF25" s="2846"/>
      <c r="PZG25" s="2851"/>
      <c r="PZH25" s="2850"/>
      <c r="PZI25" s="2846"/>
      <c r="PZJ25" s="2851"/>
      <c r="PZK25" s="2850"/>
      <c r="PZL25" s="2846"/>
      <c r="PZM25" s="2851"/>
      <c r="PZN25" s="2850"/>
      <c r="PZO25" s="2846"/>
      <c r="PZP25" s="2851"/>
      <c r="PZQ25" s="2850"/>
      <c r="PZR25" s="2846"/>
      <c r="PZS25" s="2851"/>
      <c r="PZT25" s="2850"/>
      <c r="PZU25" s="2846"/>
      <c r="PZV25" s="2851"/>
      <c r="PZW25" s="2850"/>
      <c r="PZX25" s="2846"/>
      <c r="PZY25" s="2851"/>
      <c r="PZZ25" s="2850"/>
      <c r="QAA25" s="2846"/>
      <c r="QAB25" s="2851"/>
      <c r="QAC25" s="2850"/>
      <c r="QAD25" s="2846"/>
      <c r="QAE25" s="2851"/>
      <c r="QAF25" s="2850"/>
      <c r="QAG25" s="2846"/>
      <c r="QAH25" s="2851"/>
      <c r="QAI25" s="2850"/>
      <c r="QAJ25" s="2846"/>
      <c r="QAK25" s="2851"/>
      <c r="QAL25" s="2850"/>
      <c r="QAM25" s="2846"/>
      <c r="QAN25" s="2851"/>
      <c r="QAO25" s="2850"/>
      <c r="QAP25" s="2846"/>
      <c r="QAQ25" s="2851"/>
      <c r="QAR25" s="2850"/>
      <c r="QAS25" s="2846"/>
      <c r="QAT25" s="2851"/>
      <c r="QAU25" s="2850"/>
      <c r="QAV25" s="2846"/>
      <c r="QAW25" s="2851"/>
      <c r="QAX25" s="2850"/>
      <c r="QAY25" s="2846"/>
      <c r="QAZ25" s="2851"/>
      <c r="QBA25" s="2850"/>
      <c r="QBB25" s="2846"/>
      <c r="QBC25" s="2851"/>
      <c r="QBD25" s="2850"/>
      <c r="QBE25" s="2846"/>
      <c r="QBF25" s="2851"/>
      <c r="QBG25" s="2850"/>
      <c r="QBH25" s="2846"/>
      <c r="QBI25" s="2851"/>
      <c r="QBJ25" s="2850"/>
      <c r="QBK25" s="2846"/>
      <c r="QBL25" s="2851"/>
      <c r="QBM25" s="2850"/>
      <c r="QBN25" s="2846"/>
      <c r="QBO25" s="2851"/>
      <c r="QBP25" s="2850"/>
      <c r="QBQ25" s="2846"/>
      <c r="QBR25" s="2851"/>
      <c r="QBS25" s="2850"/>
      <c r="QBT25" s="2846"/>
      <c r="QBU25" s="2851"/>
      <c r="QBV25" s="2850"/>
      <c r="QBW25" s="2846"/>
      <c r="QBX25" s="2851"/>
      <c r="QBY25" s="2850"/>
      <c r="QBZ25" s="2846"/>
      <c r="QCA25" s="2851"/>
      <c r="QCB25" s="2850"/>
      <c r="QCC25" s="2846"/>
      <c r="QCD25" s="2851"/>
      <c r="QCE25" s="2850"/>
      <c r="QCF25" s="2846"/>
      <c r="QCG25" s="2851"/>
      <c r="QCH25" s="2850"/>
      <c r="QCI25" s="2846"/>
      <c r="QCJ25" s="2851"/>
      <c r="QCK25" s="2850"/>
      <c r="QCL25" s="2846"/>
      <c r="QCM25" s="2851"/>
      <c r="QCN25" s="2850"/>
      <c r="QCO25" s="2846"/>
      <c r="QCP25" s="2851"/>
      <c r="QCQ25" s="2850"/>
      <c r="QCR25" s="2846"/>
      <c r="QCS25" s="2851"/>
      <c r="QCT25" s="2850"/>
      <c r="QCU25" s="2846"/>
      <c r="QCV25" s="2851"/>
      <c r="QCW25" s="2850"/>
      <c r="QCX25" s="2846"/>
      <c r="QCY25" s="2851"/>
      <c r="QCZ25" s="2850"/>
      <c r="QDA25" s="2846"/>
      <c r="QDB25" s="2851"/>
      <c r="QDC25" s="2850"/>
      <c r="QDD25" s="2846"/>
      <c r="QDE25" s="2851"/>
      <c r="QDF25" s="2850"/>
      <c r="QDG25" s="2846"/>
      <c r="QDH25" s="2851"/>
      <c r="QDI25" s="2850"/>
      <c r="QDJ25" s="2846"/>
      <c r="QDK25" s="2851"/>
      <c r="QDL25" s="2850"/>
      <c r="QDM25" s="2846"/>
      <c r="QDN25" s="2851"/>
      <c r="QDO25" s="2850"/>
      <c r="QDP25" s="2846"/>
      <c r="QDQ25" s="2851"/>
      <c r="QDR25" s="2850"/>
      <c r="QDS25" s="2846"/>
      <c r="QDT25" s="2851"/>
      <c r="QDU25" s="2850"/>
      <c r="QDV25" s="2846"/>
      <c r="QDW25" s="2851"/>
      <c r="QDX25" s="2850"/>
      <c r="QDY25" s="2846"/>
      <c r="QDZ25" s="2851"/>
      <c r="QEA25" s="2850"/>
      <c r="QEB25" s="2846"/>
      <c r="QEC25" s="2851"/>
      <c r="QED25" s="2850"/>
      <c r="QEE25" s="2846"/>
      <c r="QEF25" s="2851"/>
      <c r="QEG25" s="2850"/>
      <c r="QEH25" s="2846"/>
      <c r="QEI25" s="2851"/>
      <c r="QEJ25" s="2850"/>
      <c r="QEK25" s="2846"/>
      <c r="QEL25" s="2851"/>
      <c r="QEM25" s="2850"/>
      <c r="QEN25" s="2846"/>
      <c r="QEO25" s="2851"/>
      <c r="QEP25" s="2850"/>
      <c r="QEQ25" s="2846"/>
      <c r="QER25" s="2851"/>
      <c r="QES25" s="2850"/>
      <c r="QET25" s="2846"/>
      <c r="QEU25" s="2851"/>
      <c r="QEV25" s="2850"/>
      <c r="QEW25" s="2846"/>
      <c r="QEX25" s="2851"/>
      <c r="QEY25" s="2850"/>
      <c r="QEZ25" s="2846"/>
      <c r="QFA25" s="2851"/>
      <c r="QFB25" s="2850"/>
      <c r="QFC25" s="2846"/>
      <c r="QFD25" s="2851"/>
      <c r="QFE25" s="2850"/>
      <c r="QFF25" s="2846"/>
      <c r="QFG25" s="2851"/>
      <c r="QFH25" s="2850"/>
      <c r="QFI25" s="2846"/>
      <c r="QFJ25" s="2851"/>
      <c r="QFK25" s="2850"/>
      <c r="QFL25" s="2846"/>
      <c r="QFM25" s="2851"/>
      <c r="QFN25" s="2850"/>
      <c r="QFO25" s="2846"/>
      <c r="QFP25" s="2851"/>
      <c r="QFQ25" s="2850"/>
      <c r="QFR25" s="2846"/>
      <c r="QFS25" s="2851"/>
      <c r="QFT25" s="2850"/>
      <c r="QFU25" s="2846"/>
      <c r="QFV25" s="2851"/>
      <c r="QFW25" s="2850"/>
      <c r="QFX25" s="2846"/>
      <c r="QFY25" s="2851"/>
      <c r="QFZ25" s="2850"/>
      <c r="QGA25" s="2846"/>
      <c r="QGB25" s="2851"/>
      <c r="QGC25" s="2850"/>
      <c r="QGD25" s="2846"/>
      <c r="QGE25" s="2851"/>
      <c r="QGF25" s="2850"/>
      <c r="QGG25" s="2846"/>
      <c r="QGH25" s="2851"/>
      <c r="QGI25" s="2850"/>
      <c r="QGJ25" s="2846"/>
      <c r="QGK25" s="2851"/>
      <c r="QGL25" s="2850"/>
      <c r="QGM25" s="2846"/>
      <c r="QGN25" s="2851"/>
      <c r="QGO25" s="2850"/>
      <c r="QGP25" s="2846"/>
      <c r="QGQ25" s="2851"/>
      <c r="QGR25" s="2850"/>
      <c r="QGS25" s="2846"/>
      <c r="QGT25" s="2851"/>
      <c r="QGU25" s="2850"/>
      <c r="QGV25" s="2846"/>
      <c r="QGW25" s="2851"/>
      <c r="QGX25" s="2850"/>
      <c r="QGY25" s="2846"/>
      <c r="QGZ25" s="2851"/>
      <c r="QHA25" s="2850"/>
      <c r="QHB25" s="2846"/>
      <c r="QHC25" s="2851"/>
      <c r="QHD25" s="2850"/>
      <c r="QHE25" s="2846"/>
      <c r="QHF25" s="2851"/>
      <c r="QHG25" s="2850"/>
      <c r="QHH25" s="2846"/>
      <c r="QHI25" s="2851"/>
      <c r="QHJ25" s="2850"/>
      <c r="QHK25" s="2846"/>
      <c r="QHL25" s="2851"/>
      <c r="QHM25" s="2850"/>
      <c r="QHN25" s="2846"/>
      <c r="QHO25" s="2851"/>
      <c r="QHP25" s="2850"/>
      <c r="QHQ25" s="2846"/>
      <c r="QHR25" s="2851"/>
      <c r="QHS25" s="2850"/>
      <c r="QHT25" s="2846"/>
      <c r="QHU25" s="2851"/>
      <c r="QHV25" s="2850"/>
      <c r="QHW25" s="2846"/>
      <c r="QHX25" s="2851"/>
      <c r="QHY25" s="2850"/>
      <c r="QHZ25" s="2846"/>
      <c r="QIA25" s="2851"/>
      <c r="QIB25" s="2850"/>
      <c r="QIC25" s="2846"/>
      <c r="QID25" s="2851"/>
      <c r="QIE25" s="2850"/>
      <c r="QIF25" s="2846"/>
      <c r="QIG25" s="2851"/>
      <c r="QIH25" s="2850"/>
      <c r="QII25" s="2846"/>
      <c r="QIJ25" s="2851"/>
      <c r="QIK25" s="2850"/>
      <c r="QIL25" s="2846"/>
      <c r="QIM25" s="2851"/>
      <c r="QIN25" s="2850"/>
      <c r="QIO25" s="2846"/>
      <c r="QIP25" s="2851"/>
      <c r="QIQ25" s="2850"/>
      <c r="QIR25" s="2846"/>
      <c r="QIS25" s="2851"/>
      <c r="QIT25" s="2850"/>
      <c r="QIU25" s="2846"/>
      <c r="QIV25" s="2851"/>
      <c r="QIW25" s="2850"/>
      <c r="QIX25" s="2846"/>
      <c r="QIY25" s="2851"/>
      <c r="QIZ25" s="2850"/>
      <c r="QJA25" s="2846"/>
      <c r="QJB25" s="2851"/>
      <c r="QJC25" s="2850"/>
      <c r="QJD25" s="2846"/>
      <c r="QJE25" s="2851"/>
      <c r="QJF25" s="2850"/>
      <c r="QJG25" s="2846"/>
      <c r="QJH25" s="2851"/>
      <c r="QJI25" s="2850"/>
      <c r="QJJ25" s="2846"/>
      <c r="QJK25" s="2851"/>
      <c r="QJL25" s="2850"/>
      <c r="QJM25" s="2846"/>
      <c r="QJN25" s="2851"/>
      <c r="QJO25" s="2850"/>
      <c r="QJP25" s="2846"/>
      <c r="QJQ25" s="2851"/>
      <c r="QJR25" s="2850"/>
      <c r="QJS25" s="2846"/>
      <c r="QJT25" s="2851"/>
      <c r="QJU25" s="2850"/>
      <c r="QJV25" s="2846"/>
      <c r="QJW25" s="2851"/>
      <c r="QJX25" s="2850"/>
      <c r="QJY25" s="2846"/>
      <c r="QJZ25" s="2851"/>
      <c r="QKA25" s="2850"/>
      <c r="QKB25" s="2846"/>
      <c r="QKC25" s="2851"/>
      <c r="QKD25" s="2850"/>
      <c r="QKE25" s="2846"/>
      <c r="QKF25" s="2851"/>
      <c r="QKG25" s="2850"/>
      <c r="QKH25" s="2846"/>
      <c r="QKI25" s="2851"/>
      <c r="QKJ25" s="2850"/>
      <c r="QKK25" s="2846"/>
      <c r="QKL25" s="2851"/>
      <c r="QKM25" s="2850"/>
      <c r="QKN25" s="2846"/>
      <c r="QKO25" s="2851"/>
      <c r="QKP25" s="2850"/>
      <c r="QKQ25" s="2846"/>
      <c r="QKR25" s="2851"/>
      <c r="QKS25" s="2850"/>
      <c r="QKT25" s="2846"/>
      <c r="QKU25" s="2851"/>
      <c r="QKV25" s="2850"/>
      <c r="QKW25" s="2846"/>
      <c r="QKX25" s="2851"/>
      <c r="QKY25" s="2850"/>
      <c r="QKZ25" s="2846"/>
      <c r="QLA25" s="2851"/>
      <c r="QLB25" s="2850"/>
      <c r="QLC25" s="2846"/>
      <c r="QLD25" s="2851"/>
      <c r="QLE25" s="2850"/>
      <c r="QLF25" s="2846"/>
      <c r="QLG25" s="2851"/>
      <c r="QLH25" s="2850"/>
      <c r="QLI25" s="2846"/>
      <c r="QLJ25" s="2851"/>
      <c r="QLK25" s="2850"/>
      <c r="QLL25" s="2846"/>
      <c r="QLM25" s="2851"/>
      <c r="QLN25" s="2850"/>
      <c r="QLO25" s="2846"/>
      <c r="QLP25" s="2851"/>
      <c r="QLQ25" s="2850"/>
      <c r="QLR25" s="2846"/>
      <c r="QLS25" s="2851"/>
      <c r="QLT25" s="2850"/>
      <c r="QLU25" s="2846"/>
      <c r="QLV25" s="2851"/>
      <c r="QLW25" s="2850"/>
      <c r="QLX25" s="2846"/>
      <c r="QLY25" s="2851"/>
      <c r="QLZ25" s="2850"/>
      <c r="QMA25" s="2846"/>
      <c r="QMB25" s="2851"/>
      <c r="QMC25" s="2850"/>
      <c r="QMD25" s="2846"/>
      <c r="QME25" s="2851"/>
      <c r="QMF25" s="2850"/>
      <c r="QMG25" s="2846"/>
      <c r="QMH25" s="2851"/>
      <c r="QMI25" s="2850"/>
      <c r="QMJ25" s="2846"/>
      <c r="QMK25" s="2851"/>
      <c r="QML25" s="2850"/>
      <c r="QMM25" s="2846"/>
      <c r="QMN25" s="2851"/>
      <c r="QMO25" s="2850"/>
      <c r="QMP25" s="2846"/>
      <c r="QMQ25" s="2851"/>
      <c r="QMR25" s="2850"/>
      <c r="QMS25" s="2846"/>
      <c r="QMT25" s="2851"/>
      <c r="QMU25" s="2850"/>
      <c r="QMV25" s="2846"/>
      <c r="QMW25" s="2851"/>
      <c r="QMX25" s="2850"/>
      <c r="QMY25" s="2846"/>
      <c r="QMZ25" s="2851"/>
      <c r="QNA25" s="2850"/>
      <c r="QNB25" s="2846"/>
      <c r="QNC25" s="2851"/>
      <c r="QND25" s="2850"/>
      <c r="QNE25" s="2846"/>
      <c r="QNF25" s="2851"/>
      <c r="QNG25" s="2850"/>
      <c r="QNH25" s="2846"/>
      <c r="QNI25" s="2851"/>
      <c r="QNJ25" s="2850"/>
      <c r="QNK25" s="2846"/>
      <c r="QNL25" s="2851"/>
      <c r="QNM25" s="2850"/>
      <c r="QNN25" s="2846"/>
      <c r="QNO25" s="2851"/>
      <c r="QNP25" s="2850"/>
      <c r="QNQ25" s="2846"/>
      <c r="QNR25" s="2851"/>
      <c r="QNS25" s="2850"/>
      <c r="QNT25" s="2846"/>
      <c r="QNU25" s="2851"/>
      <c r="QNV25" s="2850"/>
      <c r="QNW25" s="2846"/>
      <c r="QNX25" s="2851"/>
      <c r="QNY25" s="2850"/>
      <c r="QNZ25" s="2846"/>
      <c r="QOA25" s="2851"/>
      <c r="QOB25" s="2850"/>
      <c r="QOC25" s="2846"/>
      <c r="QOD25" s="2851"/>
      <c r="QOE25" s="2850"/>
      <c r="QOF25" s="2846"/>
      <c r="QOG25" s="2851"/>
      <c r="QOH25" s="2850"/>
      <c r="QOI25" s="2846"/>
      <c r="QOJ25" s="2851"/>
      <c r="QOK25" s="2850"/>
      <c r="QOL25" s="2846"/>
      <c r="QOM25" s="2851"/>
      <c r="QON25" s="2850"/>
      <c r="QOO25" s="2846"/>
      <c r="QOP25" s="2851"/>
      <c r="QOQ25" s="2850"/>
      <c r="QOR25" s="2846"/>
      <c r="QOS25" s="2851"/>
      <c r="QOT25" s="2850"/>
      <c r="QOU25" s="2846"/>
      <c r="QOV25" s="2851"/>
      <c r="QOW25" s="2850"/>
      <c r="QOX25" s="2846"/>
      <c r="QOY25" s="2851"/>
      <c r="QOZ25" s="2850"/>
      <c r="QPA25" s="2846"/>
      <c r="QPB25" s="2851"/>
      <c r="QPC25" s="2850"/>
      <c r="QPD25" s="2846"/>
      <c r="QPE25" s="2851"/>
      <c r="QPF25" s="2850"/>
      <c r="QPG25" s="2846"/>
      <c r="QPH25" s="2851"/>
      <c r="QPI25" s="2850"/>
      <c r="QPJ25" s="2846"/>
      <c r="QPK25" s="2851"/>
      <c r="QPL25" s="2850"/>
      <c r="QPM25" s="2846"/>
      <c r="QPN25" s="2851"/>
      <c r="QPO25" s="2850"/>
      <c r="QPP25" s="2846"/>
      <c r="QPQ25" s="2851"/>
      <c r="QPR25" s="2850"/>
      <c r="QPS25" s="2846"/>
      <c r="QPT25" s="2851"/>
      <c r="QPU25" s="2850"/>
      <c r="QPV25" s="2846"/>
      <c r="QPW25" s="2851"/>
      <c r="QPX25" s="2850"/>
      <c r="QPY25" s="2846"/>
      <c r="QPZ25" s="2851"/>
      <c r="QQA25" s="2850"/>
      <c r="QQB25" s="2846"/>
      <c r="QQC25" s="2851"/>
      <c r="QQD25" s="2850"/>
      <c r="QQE25" s="2846"/>
      <c r="QQF25" s="2851"/>
      <c r="QQG25" s="2850"/>
      <c r="QQH25" s="2846"/>
      <c r="QQI25" s="2851"/>
      <c r="QQJ25" s="2850"/>
      <c r="QQK25" s="2846"/>
      <c r="QQL25" s="2851"/>
      <c r="QQM25" s="2850"/>
      <c r="QQN25" s="2846"/>
      <c r="QQO25" s="2851"/>
      <c r="QQP25" s="2850"/>
      <c r="QQQ25" s="2846"/>
      <c r="QQR25" s="2851"/>
      <c r="QQS25" s="2850"/>
      <c r="QQT25" s="2846"/>
      <c r="QQU25" s="2851"/>
      <c r="QQV25" s="2850"/>
      <c r="QQW25" s="2846"/>
      <c r="QQX25" s="2851"/>
      <c r="QQY25" s="2850"/>
      <c r="QQZ25" s="2846"/>
      <c r="QRA25" s="2851"/>
      <c r="QRB25" s="2850"/>
      <c r="QRC25" s="2846"/>
      <c r="QRD25" s="2851"/>
      <c r="QRE25" s="2850"/>
      <c r="QRF25" s="2846"/>
      <c r="QRG25" s="2851"/>
      <c r="QRH25" s="2850"/>
      <c r="QRI25" s="2846"/>
      <c r="QRJ25" s="2851"/>
      <c r="QRK25" s="2850"/>
      <c r="QRL25" s="2846"/>
      <c r="QRM25" s="2851"/>
      <c r="QRN25" s="2850"/>
      <c r="QRO25" s="2846"/>
      <c r="QRP25" s="2851"/>
      <c r="QRQ25" s="2850"/>
      <c r="QRR25" s="2846"/>
      <c r="QRS25" s="2851"/>
      <c r="QRT25" s="2850"/>
      <c r="QRU25" s="2846"/>
      <c r="QRV25" s="2851"/>
      <c r="QRW25" s="2850"/>
      <c r="QRX25" s="2846"/>
      <c r="QRY25" s="2851"/>
      <c r="QRZ25" s="2850"/>
      <c r="QSA25" s="2846"/>
      <c r="QSB25" s="2851"/>
      <c r="QSC25" s="2850"/>
      <c r="QSD25" s="2846"/>
      <c r="QSE25" s="2851"/>
      <c r="QSF25" s="2850"/>
      <c r="QSG25" s="2846"/>
      <c r="QSH25" s="2851"/>
      <c r="QSI25" s="2850"/>
      <c r="QSJ25" s="2846"/>
      <c r="QSK25" s="2851"/>
      <c r="QSL25" s="2850"/>
      <c r="QSM25" s="2846"/>
      <c r="QSN25" s="2851"/>
      <c r="QSO25" s="2850"/>
      <c r="QSP25" s="2846"/>
      <c r="QSQ25" s="2851"/>
      <c r="QSR25" s="2850"/>
      <c r="QSS25" s="2846"/>
      <c r="QST25" s="2851"/>
      <c r="QSU25" s="2850"/>
      <c r="QSV25" s="2846"/>
      <c r="QSW25" s="2851"/>
      <c r="QSX25" s="2850"/>
      <c r="QSY25" s="2846"/>
      <c r="QSZ25" s="2851"/>
      <c r="QTA25" s="2850"/>
      <c r="QTB25" s="2846"/>
      <c r="QTC25" s="2851"/>
      <c r="QTD25" s="2850"/>
      <c r="QTE25" s="2846"/>
      <c r="QTF25" s="2851"/>
      <c r="QTG25" s="2850"/>
      <c r="QTH25" s="2846"/>
      <c r="QTI25" s="2851"/>
      <c r="QTJ25" s="2850"/>
      <c r="QTK25" s="2846"/>
      <c r="QTL25" s="2851"/>
      <c r="QTM25" s="2850"/>
      <c r="QTN25" s="2846"/>
      <c r="QTO25" s="2851"/>
      <c r="QTP25" s="2850"/>
      <c r="QTQ25" s="2846"/>
      <c r="QTR25" s="2851"/>
      <c r="QTS25" s="2850"/>
      <c r="QTT25" s="2846"/>
      <c r="QTU25" s="2851"/>
      <c r="QTV25" s="2850"/>
      <c r="QTW25" s="2846"/>
      <c r="QTX25" s="2851"/>
      <c r="QTY25" s="2850"/>
      <c r="QTZ25" s="2846"/>
      <c r="QUA25" s="2851"/>
      <c r="QUB25" s="2850"/>
      <c r="QUC25" s="2846"/>
      <c r="QUD25" s="2851"/>
      <c r="QUE25" s="2850"/>
      <c r="QUF25" s="2846"/>
      <c r="QUG25" s="2851"/>
      <c r="QUH25" s="2850"/>
      <c r="QUI25" s="2846"/>
      <c r="QUJ25" s="2851"/>
      <c r="QUK25" s="2850"/>
      <c r="QUL25" s="2846"/>
      <c r="QUM25" s="2851"/>
      <c r="QUN25" s="2850"/>
      <c r="QUO25" s="2846"/>
      <c r="QUP25" s="2851"/>
      <c r="QUQ25" s="2850"/>
      <c r="QUR25" s="2846"/>
      <c r="QUS25" s="2851"/>
      <c r="QUT25" s="2850"/>
      <c r="QUU25" s="2846"/>
      <c r="QUV25" s="2851"/>
      <c r="QUW25" s="2850"/>
      <c r="QUX25" s="2846"/>
      <c r="QUY25" s="2851"/>
      <c r="QUZ25" s="2850"/>
      <c r="QVA25" s="2846"/>
      <c r="QVB25" s="2851"/>
      <c r="QVC25" s="2850"/>
      <c r="QVD25" s="2846"/>
      <c r="QVE25" s="2851"/>
      <c r="QVF25" s="2850"/>
      <c r="QVG25" s="2846"/>
      <c r="QVH25" s="2851"/>
      <c r="QVI25" s="2850"/>
      <c r="QVJ25" s="2846"/>
      <c r="QVK25" s="2851"/>
      <c r="QVL25" s="2850"/>
      <c r="QVM25" s="2846"/>
      <c r="QVN25" s="2851"/>
      <c r="QVO25" s="2850"/>
      <c r="QVP25" s="2846"/>
      <c r="QVQ25" s="2851"/>
      <c r="QVR25" s="2850"/>
      <c r="QVS25" s="2846"/>
      <c r="QVT25" s="2851"/>
      <c r="QVU25" s="2850"/>
      <c r="QVV25" s="2846"/>
      <c r="QVW25" s="2851"/>
      <c r="QVX25" s="2850"/>
      <c r="QVY25" s="2846"/>
      <c r="QVZ25" s="2851"/>
      <c r="QWA25" s="2850"/>
      <c r="QWB25" s="2846"/>
      <c r="QWC25" s="2851"/>
      <c r="QWD25" s="2850"/>
      <c r="QWE25" s="2846"/>
      <c r="QWF25" s="2851"/>
      <c r="QWG25" s="2850"/>
      <c r="QWH25" s="2846"/>
      <c r="QWI25" s="2851"/>
      <c r="QWJ25" s="2850"/>
      <c r="QWK25" s="2846"/>
      <c r="QWL25" s="2851"/>
      <c r="QWM25" s="2850"/>
      <c r="QWN25" s="2846"/>
      <c r="QWO25" s="2851"/>
      <c r="QWP25" s="2850"/>
      <c r="QWQ25" s="2846"/>
      <c r="QWR25" s="2851"/>
      <c r="QWS25" s="2850"/>
      <c r="QWT25" s="2846"/>
      <c r="QWU25" s="2851"/>
      <c r="QWV25" s="2850"/>
      <c r="QWW25" s="2846"/>
      <c r="QWX25" s="2851"/>
      <c r="QWY25" s="2850"/>
      <c r="QWZ25" s="2846"/>
      <c r="QXA25" s="2851"/>
      <c r="QXB25" s="2850"/>
      <c r="QXC25" s="2846"/>
      <c r="QXD25" s="2851"/>
      <c r="QXE25" s="2850"/>
      <c r="QXF25" s="2846"/>
      <c r="QXG25" s="2851"/>
      <c r="QXH25" s="2850"/>
      <c r="QXI25" s="2846"/>
      <c r="QXJ25" s="2851"/>
      <c r="QXK25" s="2850"/>
      <c r="QXL25" s="2846"/>
      <c r="QXM25" s="2851"/>
      <c r="QXN25" s="2850"/>
      <c r="QXO25" s="2846"/>
      <c r="QXP25" s="2851"/>
      <c r="QXQ25" s="2850"/>
      <c r="QXR25" s="2846"/>
      <c r="QXS25" s="2851"/>
      <c r="QXT25" s="2850"/>
      <c r="QXU25" s="2846"/>
      <c r="QXV25" s="2851"/>
      <c r="QXW25" s="2850"/>
      <c r="QXX25" s="2846"/>
      <c r="QXY25" s="2851"/>
      <c r="QXZ25" s="2850"/>
      <c r="QYA25" s="2846"/>
      <c r="QYB25" s="2851"/>
      <c r="QYC25" s="2850"/>
      <c r="QYD25" s="2846"/>
      <c r="QYE25" s="2851"/>
      <c r="QYF25" s="2850"/>
      <c r="QYG25" s="2846"/>
      <c r="QYH25" s="2851"/>
      <c r="QYI25" s="2850"/>
      <c r="QYJ25" s="2846"/>
      <c r="QYK25" s="2851"/>
      <c r="QYL25" s="2850"/>
      <c r="QYM25" s="2846"/>
      <c r="QYN25" s="2851"/>
      <c r="QYO25" s="2850"/>
      <c r="QYP25" s="2846"/>
      <c r="QYQ25" s="2851"/>
      <c r="QYR25" s="2850"/>
      <c r="QYS25" s="2846"/>
      <c r="QYT25" s="2851"/>
      <c r="QYU25" s="2850"/>
      <c r="QYV25" s="2846"/>
      <c r="QYW25" s="2851"/>
      <c r="QYX25" s="2850"/>
      <c r="QYY25" s="2846"/>
      <c r="QYZ25" s="2851"/>
      <c r="QZA25" s="2850"/>
      <c r="QZB25" s="2846"/>
      <c r="QZC25" s="2851"/>
      <c r="QZD25" s="2850"/>
      <c r="QZE25" s="2846"/>
      <c r="QZF25" s="2851"/>
      <c r="QZG25" s="2850"/>
      <c r="QZH25" s="2846"/>
      <c r="QZI25" s="2851"/>
      <c r="QZJ25" s="2850"/>
      <c r="QZK25" s="2846"/>
      <c r="QZL25" s="2851"/>
      <c r="QZM25" s="2850"/>
      <c r="QZN25" s="2846"/>
      <c r="QZO25" s="2851"/>
      <c r="QZP25" s="2850"/>
      <c r="QZQ25" s="2846"/>
      <c r="QZR25" s="2851"/>
      <c r="QZS25" s="2850"/>
      <c r="QZT25" s="2846"/>
      <c r="QZU25" s="2851"/>
      <c r="QZV25" s="2850"/>
      <c r="QZW25" s="2846"/>
      <c r="QZX25" s="2851"/>
      <c r="QZY25" s="2850"/>
      <c r="QZZ25" s="2846"/>
      <c r="RAA25" s="2851"/>
      <c r="RAB25" s="2850"/>
      <c r="RAC25" s="2846"/>
      <c r="RAD25" s="2851"/>
      <c r="RAE25" s="2850"/>
      <c r="RAF25" s="2846"/>
      <c r="RAG25" s="2851"/>
      <c r="RAH25" s="2850"/>
      <c r="RAI25" s="2846"/>
      <c r="RAJ25" s="2851"/>
      <c r="RAK25" s="2850"/>
      <c r="RAL25" s="2846"/>
      <c r="RAM25" s="2851"/>
      <c r="RAN25" s="2850"/>
      <c r="RAO25" s="2846"/>
      <c r="RAP25" s="2851"/>
      <c r="RAQ25" s="2850"/>
      <c r="RAR25" s="2846"/>
      <c r="RAS25" s="2851"/>
      <c r="RAT25" s="2850"/>
      <c r="RAU25" s="2846"/>
      <c r="RAV25" s="2851"/>
      <c r="RAW25" s="2850"/>
      <c r="RAX25" s="2846"/>
      <c r="RAY25" s="2851"/>
      <c r="RAZ25" s="2850"/>
      <c r="RBA25" s="2846"/>
      <c r="RBB25" s="2851"/>
      <c r="RBC25" s="2850"/>
      <c r="RBD25" s="2846"/>
      <c r="RBE25" s="2851"/>
      <c r="RBF25" s="2850"/>
      <c r="RBG25" s="2846"/>
      <c r="RBH25" s="2851"/>
      <c r="RBI25" s="2850"/>
      <c r="RBJ25" s="2846"/>
      <c r="RBK25" s="2851"/>
      <c r="RBL25" s="2850"/>
      <c r="RBM25" s="2846"/>
      <c r="RBN25" s="2851"/>
      <c r="RBO25" s="2850"/>
      <c r="RBP25" s="2846"/>
      <c r="RBQ25" s="2851"/>
      <c r="RBR25" s="2850"/>
      <c r="RBS25" s="2846"/>
      <c r="RBT25" s="2851"/>
      <c r="RBU25" s="2850"/>
      <c r="RBV25" s="2846"/>
      <c r="RBW25" s="2851"/>
      <c r="RBX25" s="2850"/>
      <c r="RBY25" s="2846"/>
      <c r="RBZ25" s="2851"/>
      <c r="RCA25" s="2850"/>
      <c r="RCB25" s="2846"/>
      <c r="RCC25" s="2851"/>
      <c r="RCD25" s="2850"/>
      <c r="RCE25" s="2846"/>
      <c r="RCF25" s="2851"/>
      <c r="RCG25" s="2850"/>
      <c r="RCH25" s="2846"/>
      <c r="RCI25" s="2851"/>
      <c r="RCJ25" s="2850"/>
      <c r="RCK25" s="2846"/>
      <c r="RCL25" s="2851"/>
      <c r="RCM25" s="2850"/>
      <c r="RCN25" s="2846"/>
      <c r="RCO25" s="2851"/>
      <c r="RCP25" s="2850"/>
      <c r="RCQ25" s="2846"/>
      <c r="RCR25" s="2851"/>
      <c r="RCS25" s="2850"/>
      <c r="RCT25" s="2846"/>
      <c r="RCU25" s="2851"/>
      <c r="RCV25" s="2850"/>
      <c r="RCW25" s="2846"/>
      <c r="RCX25" s="2851"/>
      <c r="RCY25" s="2850"/>
      <c r="RCZ25" s="2846"/>
      <c r="RDA25" s="2851"/>
      <c r="RDB25" s="2850"/>
      <c r="RDC25" s="2846"/>
      <c r="RDD25" s="2851"/>
      <c r="RDE25" s="2850"/>
      <c r="RDF25" s="2846"/>
      <c r="RDG25" s="2851"/>
      <c r="RDH25" s="2850"/>
      <c r="RDI25" s="2846"/>
      <c r="RDJ25" s="2851"/>
      <c r="RDK25" s="2850"/>
      <c r="RDL25" s="2846"/>
      <c r="RDM25" s="2851"/>
      <c r="RDN25" s="2850"/>
      <c r="RDO25" s="2846"/>
      <c r="RDP25" s="2851"/>
      <c r="RDQ25" s="2850"/>
      <c r="RDR25" s="2846"/>
      <c r="RDS25" s="2851"/>
      <c r="RDT25" s="2850"/>
      <c r="RDU25" s="2846"/>
      <c r="RDV25" s="2851"/>
      <c r="RDW25" s="2850"/>
      <c r="RDX25" s="2846"/>
      <c r="RDY25" s="2851"/>
      <c r="RDZ25" s="2850"/>
      <c r="REA25" s="2846"/>
      <c r="REB25" s="2851"/>
      <c r="REC25" s="2850"/>
      <c r="RED25" s="2846"/>
      <c r="REE25" s="2851"/>
      <c r="REF25" s="2850"/>
      <c r="REG25" s="2846"/>
      <c r="REH25" s="2851"/>
      <c r="REI25" s="2850"/>
      <c r="REJ25" s="2846"/>
      <c r="REK25" s="2851"/>
      <c r="REL25" s="2850"/>
      <c r="REM25" s="2846"/>
      <c r="REN25" s="2851"/>
      <c r="REO25" s="2850"/>
      <c r="REP25" s="2846"/>
      <c r="REQ25" s="2851"/>
      <c r="RER25" s="2850"/>
      <c r="RES25" s="2846"/>
      <c r="RET25" s="2851"/>
      <c r="REU25" s="2850"/>
      <c r="REV25" s="2846"/>
      <c r="REW25" s="2851"/>
      <c r="REX25" s="2850"/>
      <c r="REY25" s="2846"/>
      <c r="REZ25" s="2851"/>
      <c r="RFA25" s="2850"/>
      <c r="RFB25" s="2846"/>
      <c r="RFC25" s="2851"/>
      <c r="RFD25" s="2850"/>
      <c r="RFE25" s="2846"/>
      <c r="RFF25" s="2851"/>
      <c r="RFG25" s="2850"/>
      <c r="RFH25" s="2846"/>
      <c r="RFI25" s="2851"/>
      <c r="RFJ25" s="2850"/>
      <c r="RFK25" s="2846"/>
      <c r="RFL25" s="2851"/>
      <c r="RFM25" s="2850"/>
      <c r="RFN25" s="2846"/>
      <c r="RFO25" s="2851"/>
      <c r="RFP25" s="2850"/>
      <c r="RFQ25" s="2846"/>
      <c r="RFR25" s="2851"/>
      <c r="RFS25" s="2850"/>
      <c r="RFT25" s="2846"/>
      <c r="RFU25" s="2851"/>
      <c r="RFV25" s="2850"/>
      <c r="RFW25" s="2846"/>
      <c r="RFX25" s="2851"/>
      <c r="RFY25" s="2850"/>
      <c r="RFZ25" s="2846"/>
      <c r="RGA25" s="2851"/>
      <c r="RGB25" s="2850"/>
      <c r="RGC25" s="2846"/>
      <c r="RGD25" s="2851"/>
      <c r="RGE25" s="2850"/>
      <c r="RGF25" s="2846"/>
      <c r="RGG25" s="2851"/>
      <c r="RGH25" s="2850"/>
      <c r="RGI25" s="2846"/>
      <c r="RGJ25" s="2851"/>
      <c r="RGK25" s="2850"/>
      <c r="RGL25" s="2846"/>
      <c r="RGM25" s="2851"/>
      <c r="RGN25" s="2850"/>
      <c r="RGO25" s="2846"/>
      <c r="RGP25" s="2851"/>
      <c r="RGQ25" s="2850"/>
      <c r="RGR25" s="2846"/>
      <c r="RGS25" s="2851"/>
      <c r="RGT25" s="2850"/>
      <c r="RGU25" s="2846"/>
      <c r="RGV25" s="2851"/>
      <c r="RGW25" s="2850"/>
      <c r="RGX25" s="2846"/>
      <c r="RGY25" s="2851"/>
      <c r="RGZ25" s="2850"/>
      <c r="RHA25" s="2846"/>
      <c r="RHB25" s="2851"/>
      <c r="RHC25" s="2850"/>
      <c r="RHD25" s="2846"/>
      <c r="RHE25" s="2851"/>
      <c r="RHF25" s="2850"/>
      <c r="RHG25" s="2846"/>
      <c r="RHH25" s="2851"/>
      <c r="RHI25" s="2850"/>
      <c r="RHJ25" s="2846"/>
      <c r="RHK25" s="2851"/>
      <c r="RHL25" s="2850"/>
      <c r="RHM25" s="2846"/>
      <c r="RHN25" s="2851"/>
      <c r="RHO25" s="2850"/>
      <c r="RHP25" s="2846"/>
      <c r="RHQ25" s="2851"/>
      <c r="RHR25" s="2850"/>
      <c r="RHS25" s="2846"/>
      <c r="RHT25" s="2851"/>
      <c r="RHU25" s="2850"/>
      <c r="RHV25" s="2846"/>
      <c r="RHW25" s="2851"/>
      <c r="RHX25" s="2850"/>
      <c r="RHY25" s="2846"/>
      <c r="RHZ25" s="2851"/>
      <c r="RIA25" s="2850"/>
      <c r="RIB25" s="2846"/>
      <c r="RIC25" s="2851"/>
      <c r="RID25" s="2850"/>
      <c r="RIE25" s="2846"/>
      <c r="RIF25" s="2851"/>
      <c r="RIG25" s="2850"/>
      <c r="RIH25" s="2846"/>
      <c r="RII25" s="2851"/>
      <c r="RIJ25" s="2850"/>
      <c r="RIK25" s="2846"/>
      <c r="RIL25" s="2851"/>
      <c r="RIM25" s="2850"/>
      <c r="RIN25" s="2846"/>
      <c r="RIO25" s="2851"/>
      <c r="RIP25" s="2850"/>
      <c r="RIQ25" s="2846"/>
      <c r="RIR25" s="2851"/>
      <c r="RIS25" s="2850"/>
      <c r="RIT25" s="2846"/>
      <c r="RIU25" s="2851"/>
      <c r="RIV25" s="2850"/>
      <c r="RIW25" s="2846"/>
      <c r="RIX25" s="2851"/>
      <c r="RIY25" s="2850"/>
      <c r="RIZ25" s="2846"/>
      <c r="RJA25" s="2851"/>
      <c r="RJB25" s="2850"/>
      <c r="RJC25" s="2846"/>
      <c r="RJD25" s="2851"/>
      <c r="RJE25" s="2850"/>
      <c r="RJF25" s="2846"/>
      <c r="RJG25" s="2851"/>
      <c r="RJH25" s="2850"/>
      <c r="RJI25" s="2846"/>
      <c r="RJJ25" s="2851"/>
      <c r="RJK25" s="2850"/>
      <c r="RJL25" s="2846"/>
      <c r="RJM25" s="2851"/>
      <c r="RJN25" s="2850"/>
      <c r="RJO25" s="2846"/>
      <c r="RJP25" s="2851"/>
      <c r="RJQ25" s="2850"/>
      <c r="RJR25" s="2846"/>
      <c r="RJS25" s="2851"/>
      <c r="RJT25" s="2850"/>
      <c r="RJU25" s="2846"/>
      <c r="RJV25" s="2851"/>
      <c r="RJW25" s="2850"/>
      <c r="RJX25" s="2846"/>
      <c r="RJY25" s="2851"/>
      <c r="RJZ25" s="2850"/>
      <c r="RKA25" s="2846"/>
      <c r="RKB25" s="2851"/>
      <c r="RKC25" s="2850"/>
      <c r="RKD25" s="2846"/>
      <c r="RKE25" s="2851"/>
      <c r="RKF25" s="2850"/>
      <c r="RKG25" s="2846"/>
      <c r="RKH25" s="2851"/>
      <c r="RKI25" s="2850"/>
      <c r="RKJ25" s="2846"/>
      <c r="RKK25" s="2851"/>
      <c r="RKL25" s="2850"/>
      <c r="RKM25" s="2846"/>
      <c r="RKN25" s="2851"/>
      <c r="RKO25" s="2850"/>
      <c r="RKP25" s="2846"/>
      <c r="RKQ25" s="2851"/>
      <c r="RKR25" s="2850"/>
      <c r="RKS25" s="2846"/>
      <c r="RKT25" s="2851"/>
      <c r="RKU25" s="2850"/>
      <c r="RKV25" s="2846"/>
      <c r="RKW25" s="2851"/>
      <c r="RKX25" s="2850"/>
      <c r="RKY25" s="2846"/>
      <c r="RKZ25" s="2851"/>
      <c r="RLA25" s="2850"/>
      <c r="RLB25" s="2846"/>
      <c r="RLC25" s="2851"/>
      <c r="RLD25" s="2850"/>
      <c r="RLE25" s="2846"/>
      <c r="RLF25" s="2851"/>
      <c r="RLG25" s="2850"/>
      <c r="RLH25" s="2846"/>
      <c r="RLI25" s="2851"/>
      <c r="RLJ25" s="2850"/>
      <c r="RLK25" s="2846"/>
      <c r="RLL25" s="2851"/>
      <c r="RLM25" s="2850"/>
      <c r="RLN25" s="2846"/>
      <c r="RLO25" s="2851"/>
      <c r="RLP25" s="2850"/>
      <c r="RLQ25" s="2846"/>
      <c r="RLR25" s="2851"/>
      <c r="RLS25" s="2850"/>
      <c r="RLT25" s="2846"/>
      <c r="RLU25" s="2851"/>
      <c r="RLV25" s="2850"/>
      <c r="RLW25" s="2846"/>
      <c r="RLX25" s="2851"/>
      <c r="RLY25" s="2850"/>
      <c r="RLZ25" s="2846"/>
      <c r="RMA25" s="2851"/>
      <c r="RMB25" s="2850"/>
      <c r="RMC25" s="2846"/>
      <c r="RMD25" s="2851"/>
      <c r="RME25" s="2850"/>
      <c r="RMF25" s="2846"/>
      <c r="RMG25" s="2851"/>
      <c r="RMH25" s="2850"/>
      <c r="RMI25" s="2846"/>
      <c r="RMJ25" s="2851"/>
      <c r="RMK25" s="2850"/>
      <c r="RML25" s="2846"/>
      <c r="RMM25" s="2851"/>
      <c r="RMN25" s="2850"/>
      <c r="RMO25" s="2846"/>
      <c r="RMP25" s="2851"/>
      <c r="RMQ25" s="2850"/>
      <c r="RMR25" s="2846"/>
      <c r="RMS25" s="2851"/>
      <c r="RMT25" s="2850"/>
      <c r="RMU25" s="2846"/>
      <c r="RMV25" s="2851"/>
      <c r="RMW25" s="2850"/>
      <c r="RMX25" s="2846"/>
      <c r="RMY25" s="2851"/>
      <c r="RMZ25" s="2850"/>
      <c r="RNA25" s="2846"/>
      <c r="RNB25" s="2851"/>
      <c r="RNC25" s="2850"/>
      <c r="RND25" s="2846"/>
      <c r="RNE25" s="2851"/>
      <c r="RNF25" s="2850"/>
      <c r="RNG25" s="2846"/>
      <c r="RNH25" s="2851"/>
      <c r="RNI25" s="2850"/>
      <c r="RNJ25" s="2846"/>
      <c r="RNK25" s="2851"/>
      <c r="RNL25" s="2850"/>
      <c r="RNM25" s="2846"/>
      <c r="RNN25" s="2851"/>
      <c r="RNO25" s="2850"/>
      <c r="RNP25" s="2846"/>
      <c r="RNQ25" s="2851"/>
      <c r="RNR25" s="2850"/>
      <c r="RNS25" s="2846"/>
      <c r="RNT25" s="2851"/>
      <c r="RNU25" s="2850"/>
      <c r="RNV25" s="2846"/>
      <c r="RNW25" s="2851"/>
      <c r="RNX25" s="2850"/>
      <c r="RNY25" s="2846"/>
      <c r="RNZ25" s="2851"/>
      <c r="ROA25" s="2850"/>
      <c r="ROB25" s="2846"/>
      <c r="ROC25" s="2851"/>
      <c r="ROD25" s="2850"/>
      <c r="ROE25" s="2846"/>
      <c r="ROF25" s="2851"/>
      <c r="ROG25" s="2850"/>
      <c r="ROH25" s="2846"/>
      <c r="ROI25" s="2851"/>
      <c r="ROJ25" s="2850"/>
      <c r="ROK25" s="2846"/>
      <c r="ROL25" s="2851"/>
      <c r="ROM25" s="2850"/>
      <c r="RON25" s="2846"/>
      <c r="ROO25" s="2851"/>
      <c r="ROP25" s="2850"/>
      <c r="ROQ25" s="2846"/>
      <c r="ROR25" s="2851"/>
      <c r="ROS25" s="2850"/>
      <c r="ROT25" s="2846"/>
      <c r="ROU25" s="2851"/>
      <c r="ROV25" s="2850"/>
      <c r="ROW25" s="2846"/>
      <c r="ROX25" s="2851"/>
      <c r="ROY25" s="2850"/>
      <c r="ROZ25" s="2846"/>
      <c r="RPA25" s="2851"/>
      <c r="RPB25" s="2850"/>
      <c r="RPC25" s="2846"/>
      <c r="RPD25" s="2851"/>
      <c r="RPE25" s="2850"/>
      <c r="RPF25" s="2846"/>
      <c r="RPG25" s="2851"/>
      <c r="RPH25" s="2850"/>
      <c r="RPI25" s="2846"/>
      <c r="RPJ25" s="2851"/>
      <c r="RPK25" s="2850"/>
      <c r="RPL25" s="2846"/>
      <c r="RPM25" s="2851"/>
      <c r="RPN25" s="2850"/>
      <c r="RPO25" s="2846"/>
      <c r="RPP25" s="2851"/>
      <c r="RPQ25" s="2850"/>
      <c r="RPR25" s="2846"/>
      <c r="RPS25" s="2851"/>
      <c r="RPT25" s="2850"/>
      <c r="RPU25" s="2846"/>
      <c r="RPV25" s="2851"/>
      <c r="RPW25" s="2850"/>
      <c r="RPX25" s="2846"/>
      <c r="RPY25" s="2851"/>
      <c r="RPZ25" s="2850"/>
      <c r="RQA25" s="2846"/>
      <c r="RQB25" s="2851"/>
      <c r="RQC25" s="2850"/>
      <c r="RQD25" s="2846"/>
      <c r="RQE25" s="2851"/>
      <c r="RQF25" s="2850"/>
      <c r="RQG25" s="2846"/>
      <c r="RQH25" s="2851"/>
      <c r="RQI25" s="2850"/>
      <c r="RQJ25" s="2846"/>
      <c r="RQK25" s="2851"/>
      <c r="RQL25" s="2850"/>
      <c r="RQM25" s="2846"/>
      <c r="RQN25" s="2851"/>
      <c r="RQO25" s="2850"/>
      <c r="RQP25" s="2846"/>
      <c r="RQQ25" s="2851"/>
      <c r="RQR25" s="2850"/>
      <c r="RQS25" s="2846"/>
      <c r="RQT25" s="2851"/>
      <c r="RQU25" s="2850"/>
      <c r="RQV25" s="2846"/>
      <c r="RQW25" s="2851"/>
      <c r="RQX25" s="2850"/>
      <c r="RQY25" s="2846"/>
      <c r="RQZ25" s="2851"/>
      <c r="RRA25" s="2850"/>
      <c r="RRB25" s="2846"/>
      <c r="RRC25" s="2851"/>
      <c r="RRD25" s="2850"/>
      <c r="RRE25" s="2846"/>
      <c r="RRF25" s="2851"/>
      <c r="RRG25" s="2850"/>
      <c r="RRH25" s="2846"/>
      <c r="RRI25" s="2851"/>
      <c r="RRJ25" s="2850"/>
      <c r="RRK25" s="2846"/>
      <c r="RRL25" s="2851"/>
      <c r="RRM25" s="2850"/>
      <c r="RRN25" s="2846"/>
      <c r="RRO25" s="2851"/>
      <c r="RRP25" s="2850"/>
      <c r="RRQ25" s="2846"/>
      <c r="RRR25" s="2851"/>
      <c r="RRS25" s="2850"/>
      <c r="RRT25" s="2846"/>
      <c r="RRU25" s="2851"/>
      <c r="RRV25" s="2850"/>
      <c r="RRW25" s="2846"/>
      <c r="RRX25" s="2851"/>
      <c r="RRY25" s="2850"/>
      <c r="RRZ25" s="2846"/>
      <c r="RSA25" s="2851"/>
      <c r="RSB25" s="2850"/>
      <c r="RSC25" s="2846"/>
      <c r="RSD25" s="2851"/>
      <c r="RSE25" s="2850"/>
      <c r="RSF25" s="2846"/>
      <c r="RSG25" s="2851"/>
      <c r="RSH25" s="2850"/>
      <c r="RSI25" s="2846"/>
      <c r="RSJ25" s="2851"/>
      <c r="RSK25" s="2850"/>
      <c r="RSL25" s="2846"/>
      <c r="RSM25" s="2851"/>
      <c r="RSN25" s="2850"/>
      <c r="RSO25" s="2846"/>
      <c r="RSP25" s="2851"/>
      <c r="RSQ25" s="2850"/>
      <c r="RSR25" s="2846"/>
      <c r="RSS25" s="2851"/>
      <c r="RST25" s="2850"/>
      <c r="RSU25" s="2846"/>
      <c r="RSV25" s="2851"/>
      <c r="RSW25" s="2850"/>
      <c r="RSX25" s="2846"/>
      <c r="RSY25" s="2851"/>
      <c r="RSZ25" s="2850"/>
      <c r="RTA25" s="2846"/>
      <c r="RTB25" s="2851"/>
      <c r="RTC25" s="2850"/>
      <c r="RTD25" s="2846"/>
      <c r="RTE25" s="2851"/>
      <c r="RTF25" s="2850"/>
      <c r="RTG25" s="2846"/>
      <c r="RTH25" s="2851"/>
      <c r="RTI25" s="2850"/>
      <c r="RTJ25" s="2846"/>
      <c r="RTK25" s="2851"/>
      <c r="RTL25" s="2850"/>
      <c r="RTM25" s="2846"/>
      <c r="RTN25" s="2851"/>
      <c r="RTO25" s="2850"/>
      <c r="RTP25" s="2846"/>
      <c r="RTQ25" s="2851"/>
      <c r="RTR25" s="2850"/>
      <c r="RTS25" s="2846"/>
      <c r="RTT25" s="2851"/>
      <c r="RTU25" s="2850"/>
      <c r="RTV25" s="2846"/>
      <c r="RTW25" s="2851"/>
      <c r="RTX25" s="2850"/>
      <c r="RTY25" s="2846"/>
      <c r="RTZ25" s="2851"/>
      <c r="RUA25" s="2850"/>
      <c r="RUB25" s="2846"/>
      <c r="RUC25" s="2851"/>
      <c r="RUD25" s="2850"/>
      <c r="RUE25" s="2846"/>
      <c r="RUF25" s="2851"/>
      <c r="RUG25" s="2850"/>
      <c r="RUH25" s="2846"/>
      <c r="RUI25" s="2851"/>
      <c r="RUJ25" s="2850"/>
      <c r="RUK25" s="2846"/>
      <c r="RUL25" s="2851"/>
      <c r="RUM25" s="2850"/>
      <c r="RUN25" s="2846"/>
      <c r="RUO25" s="2851"/>
      <c r="RUP25" s="2850"/>
      <c r="RUQ25" s="2846"/>
      <c r="RUR25" s="2851"/>
      <c r="RUS25" s="2850"/>
      <c r="RUT25" s="2846"/>
      <c r="RUU25" s="2851"/>
      <c r="RUV25" s="2850"/>
      <c r="RUW25" s="2846"/>
      <c r="RUX25" s="2851"/>
      <c r="RUY25" s="2850"/>
      <c r="RUZ25" s="2846"/>
      <c r="RVA25" s="2851"/>
      <c r="RVB25" s="2850"/>
      <c r="RVC25" s="2846"/>
      <c r="RVD25" s="2851"/>
      <c r="RVE25" s="2850"/>
      <c r="RVF25" s="2846"/>
      <c r="RVG25" s="2851"/>
      <c r="RVH25" s="2850"/>
      <c r="RVI25" s="2846"/>
      <c r="RVJ25" s="2851"/>
      <c r="RVK25" s="2850"/>
      <c r="RVL25" s="2846"/>
      <c r="RVM25" s="2851"/>
      <c r="RVN25" s="2850"/>
      <c r="RVO25" s="2846"/>
      <c r="RVP25" s="2851"/>
      <c r="RVQ25" s="2850"/>
      <c r="RVR25" s="2846"/>
      <c r="RVS25" s="2851"/>
      <c r="RVT25" s="2850"/>
      <c r="RVU25" s="2846"/>
      <c r="RVV25" s="2851"/>
      <c r="RVW25" s="2850"/>
      <c r="RVX25" s="2846"/>
      <c r="RVY25" s="2851"/>
      <c r="RVZ25" s="2850"/>
      <c r="RWA25" s="2846"/>
      <c r="RWB25" s="2851"/>
      <c r="RWC25" s="2850"/>
      <c r="RWD25" s="2846"/>
      <c r="RWE25" s="2851"/>
      <c r="RWF25" s="2850"/>
      <c r="RWG25" s="2846"/>
      <c r="RWH25" s="2851"/>
      <c r="RWI25" s="2850"/>
      <c r="RWJ25" s="2846"/>
      <c r="RWK25" s="2851"/>
      <c r="RWL25" s="2850"/>
      <c r="RWM25" s="2846"/>
      <c r="RWN25" s="2851"/>
      <c r="RWO25" s="2850"/>
      <c r="RWP25" s="2846"/>
      <c r="RWQ25" s="2851"/>
      <c r="RWR25" s="2850"/>
      <c r="RWS25" s="2846"/>
      <c r="RWT25" s="2851"/>
      <c r="RWU25" s="2850"/>
      <c r="RWV25" s="2846"/>
      <c r="RWW25" s="2851"/>
      <c r="RWX25" s="2850"/>
      <c r="RWY25" s="2846"/>
      <c r="RWZ25" s="2851"/>
      <c r="RXA25" s="2850"/>
      <c r="RXB25" s="2846"/>
      <c r="RXC25" s="2851"/>
      <c r="RXD25" s="2850"/>
      <c r="RXE25" s="2846"/>
      <c r="RXF25" s="2851"/>
      <c r="RXG25" s="2850"/>
      <c r="RXH25" s="2846"/>
      <c r="RXI25" s="2851"/>
      <c r="RXJ25" s="2850"/>
      <c r="RXK25" s="2846"/>
      <c r="RXL25" s="2851"/>
      <c r="RXM25" s="2850"/>
      <c r="RXN25" s="2846"/>
      <c r="RXO25" s="2851"/>
      <c r="RXP25" s="2850"/>
      <c r="RXQ25" s="2846"/>
      <c r="RXR25" s="2851"/>
      <c r="RXS25" s="2850"/>
      <c r="RXT25" s="2846"/>
      <c r="RXU25" s="2851"/>
      <c r="RXV25" s="2850"/>
      <c r="RXW25" s="2846"/>
      <c r="RXX25" s="2851"/>
      <c r="RXY25" s="2850"/>
      <c r="RXZ25" s="2846"/>
      <c r="RYA25" s="2851"/>
      <c r="RYB25" s="2850"/>
      <c r="RYC25" s="2846"/>
      <c r="RYD25" s="2851"/>
      <c r="RYE25" s="2850"/>
      <c r="RYF25" s="2846"/>
      <c r="RYG25" s="2851"/>
      <c r="RYH25" s="2850"/>
      <c r="RYI25" s="2846"/>
      <c r="RYJ25" s="2851"/>
      <c r="RYK25" s="2850"/>
      <c r="RYL25" s="2846"/>
      <c r="RYM25" s="2851"/>
      <c r="RYN25" s="2850"/>
      <c r="RYO25" s="2846"/>
      <c r="RYP25" s="2851"/>
      <c r="RYQ25" s="2850"/>
      <c r="RYR25" s="2846"/>
      <c r="RYS25" s="2851"/>
      <c r="RYT25" s="2850"/>
      <c r="RYU25" s="2846"/>
      <c r="RYV25" s="2851"/>
      <c r="RYW25" s="2850"/>
      <c r="RYX25" s="2846"/>
      <c r="RYY25" s="2851"/>
      <c r="RYZ25" s="2850"/>
      <c r="RZA25" s="2846"/>
      <c r="RZB25" s="2851"/>
      <c r="RZC25" s="2850"/>
      <c r="RZD25" s="2846"/>
      <c r="RZE25" s="2851"/>
      <c r="RZF25" s="2850"/>
      <c r="RZG25" s="2846"/>
      <c r="RZH25" s="2851"/>
      <c r="RZI25" s="2850"/>
      <c r="RZJ25" s="2846"/>
      <c r="RZK25" s="2851"/>
      <c r="RZL25" s="2850"/>
      <c r="RZM25" s="2846"/>
      <c r="RZN25" s="2851"/>
      <c r="RZO25" s="2850"/>
      <c r="RZP25" s="2846"/>
      <c r="RZQ25" s="2851"/>
      <c r="RZR25" s="2850"/>
      <c r="RZS25" s="2846"/>
      <c r="RZT25" s="2851"/>
      <c r="RZU25" s="2850"/>
      <c r="RZV25" s="2846"/>
      <c r="RZW25" s="2851"/>
      <c r="RZX25" s="2850"/>
      <c r="RZY25" s="2846"/>
      <c r="RZZ25" s="2851"/>
      <c r="SAA25" s="2850"/>
      <c r="SAB25" s="2846"/>
      <c r="SAC25" s="2851"/>
      <c r="SAD25" s="2850"/>
      <c r="SAE25" s="2846"/>
      <c r="SAF25" s="2851"/>
      <c r="SAG25" s="2850"/>
      <c r="SAH25" s="2846"/>
      <c r="SAI25" s="2851"/>
      <c r="SAJ25" s="2850"/>
      <c r="SAK25" s="2846"/>
      <c r="SAL25" s="2851"/>
      <c r="SAM25" s="2850"/>
      <c r="SAN25" s="2846"/>
      <c r="SAO25" s="2851"/>
      <c r="SAP25" s="2850"/>
      <c r="SAQ25" s="2846"/>
      <c r="SAR25" s="2851"/>
      <c r="SAS25" s="2850"/>
      <c r="SAT25" s="2846"/>
      <c r="SAU25" s="2851"/>
      <c r="SAV25" s="2850"/>
      <c r="SAW25" s="2846"/>
      <c r="SAX25" s="2851"/>
      <c r="SAY25" s="2850"/>
      <c r="SAZ25" s="2846"/>
      <c r="SBA25" s="2851"/>
      <c r="SBB25" s="2850"/>
      <c r="SBC25" s="2846"/>
      <c r="SBD25" s="2851"/>
      <c r="SBE25" s="2850"/>
      <c r="SBF25" s="2846"/>
      <c r="SBG25" s="2851"/>
      <c r="SBH25" s="2850"/>
      <c r="SBI25" s="2846"/>
      <c r="SBJ25" s="2851"/>
      <c r="SBK25" s="2850"/>
      <c r="SBL25" s="2846"/>
      <c r="SBM25" s="2851"/>
      <c r="SBN25" s="2850"/>
      <c r="SBO25" s="2846"/>
      <c r="SBP25" s="2851"/>
      <c r="SBQ25" s="2850"/>
      <c r="SBR25" s="2846"/>
      <c r="SBS25" s="2851"/>
      <c r="SBT25" s="2850"/>
      <c r="SBU25" s="2846"/>
      <c r="SBV25" s="2851"/>
      <c r="SBW25" s="2850"/>
      <c r="SBX25" s="2846"/>
      <c r="SBY25" s="2851"/>
      <c r="SBZ25" s="2850"/>
      <c r="SCA25" s="2846"/>
      <c r="SCB25" s="2851"/>
      <c r="SCC25" s="2850"/>
      <c r="SCD25" s="2846"/>
      <c r="SCE25" s="2851"/>
      <c r="SCF25" s="2850"/>
      <c r="SCG25" s="2846"/>
      <c r="SCH25" s="2851"/>
      <c r="SCI25" s="2850"/>
      <c r="SCJ25" s="2846"/>
      <c r="SCK25" s="2851"/>
      <c r="SCL25" s="2850"/>
      <c r="SCM25" s="2846"/>
      <c r="SCN25" s="2851"/>
      <c r="SCO25" s="2850"/>
      <c r="SCP25" s="2846"/>
      <c r="SCQ25" s="2851"/>
      <c r="SCR25" s="2850"/>
      <c r="SCS25" s="2846"/>
      <c r="SCT25" s="2851"/>
      <c r="SCU25" s="2850"/>
      <c r="SCV25" s="2846"/>
      <c r="SCW25" s="2851"/>
      <c r="SCX25" s="2850"/>
      <c r="SCY25" s="2846"/>
      <c r="SCZ25" s="2851"/>
      <c r="SDA25" s="2850"/>
      <c r="SDB25" s="2846"/>
      <c r="SDC25" s="2851"/>
      <c r="SDD25" s="2850"/>
      <c r="SDE25" s="2846"/>
      <c r="SDF25" s="2851"/>
      <c r="SDG25" s="2850"/>
      <c r="SDH25" s="2846"/>
      <c r="SDI25" s="2851"/>
      <c r="SDJ25" s="2850"/>
      <c r="SDK25" s="2846"/>
      <c r="SDL25" s="2851"/>
      <c r="SDM25" s="2850"/>
      <c r="SDN25" s="2846"/>
      <c r="SDO25" s="2851"/>
      <c r="SDP25" s="2850"/>
      <c r="SDQ25" s="2846"/>
      <c r="SDR25" s="2851"/>
      <c r="SDS25" s="2850"/>
      <c r="SDT25" s="2846"/>
      <c r="SDU25" s="2851"/>
      <c r="SDV25" s="2850"/>
      <c r="SDW25" s="2846"/>
      <c r="SDX25" s="2851"/>
      <c r="SDY25" s="2850"/>
      <c r="SDZ25" s="2846"/>
      <c r="SEA25" s="2851"/>
      <c r="SEB25" s="2850"/>
      <c r="SEC25" s="2846"/>
      <c r="SED25" s="2851"/>
      <c r="SEE25" s="2850"/>
      <c r="SEF25" s="2846"/>
      <c r="SEG25" s="2851"/>
      <c r="SEH25" s="2850"/>
      <c r="SEI25" s="2846"/>
      <c r="SEJ25" s="2851"/>
      <c r="SEK25" s="2850"/>
      <c r="SEL25" s="2846"/>
      <c r="SEM25" s="2851"/>
      <c r="SEN25" s="2850"/>
      <c r="SEO25" s="2846"/>
      <c r="SEP25" s="2851"/>
      <c r="SEQ25" s="2850"/>
      <c r="SER25" s="2846"/>
      <c r="SES25" s="2851"/>
      <c r="SET25" s="2850"/>
      <c r="SEU25" s="2846"/>
      <c r="SEV25" s="2851"/>
      <c r="SEW25" s="2850"/>
      <c r="SEX25" s="2846"/>
      <c r="SEY25" s="2851"/>
      <c r="SEZ25" s="2850"/>
      <c r="SFA25" s="2846"/>
      <c r="SFB25" s="2851"/>
      <c r="SFC25" s="2850"/>
      <c r="SFD25" s="2846"/>
      <c r="SFE25" s="2851"/>
      <c r="SFF25" s="2850"/>
      <c r="SFG25" s="2846"/>
      <c r="SFH25" s="2851"/>
      <c r="SFI25" s="2850"/>
      <c r="SFJ25" s="2846"/>
      <c r="SFK25" s="2851"/>
      <c r="SFL25" s="2850"/>
      <c r="SFM25" s="2846"/>
      <c r="SFN25" s="2851"/>
      <c r="SFO25" s="2850"/>
      <c r="SFP25" s="2846"/>
      <c r="SFQ25" s="2851"/>
      <c r="SFR25" s="2850"/>
      <c r="SFS25" s="2846"/>
      <c r="SFT25" s="2851"/>
      <c r="SFU25" s="2850"/>
      <c r="SFV25" s="2846"/>
      <c r="SFW25" s="2851"/>
      <c r="SFX25" s="2850"/>
      <c r="SFY25" s="2846"/>
      <c r="SFZ25" s="2851"/>
      <c r="SGA25" s="2850"/>
      <c r="SGB25" s="2846"/>
      <c r="SGC25" s="2851"/>
      <c r="SGD25" s="2850"/>
      <c r="SGE25" s="2846"/>
      <c r="SGF25" s="2851"/>
      <c r="SGG25" s="2850"/>
      <c r="SGH25" s="2846"/>
      <c r="SGI25" s="2851"/>
      <c r="SGJ25" s="2850"/>
      <c r="SGK25" s="2846"/>
      <c r="SGL25" s="2851"/>
      <c r="SGM25" s="2850"/>
      <c r="SGN25" s="2846"/>
      <c r="SGO25" s="2851"/>
      <c r="SGP25" s="2850"/>
      <c r="SGQ25" s="2846"/>
      <c r="SGR25" s="2851"/>
      <c r="SGS25" s="2850"/>
      <c r="SGT25" s="2846"/>
      <c r="SGU25" s="2851"/>
      <c r="SGV25" s="2850"/>
      <c r="SGW25" s="2846"/>
      <c r="SGX25" s="2851"/>
      <c r="SGY25" s="2850"/>
      <c r="SGZ25" s="2846"/>
      <c r="SHA25" s="2851"/>
      <c r="SHB25" s="2850"/>
      <c r="SHC25" s="2846"/>
      <c r="SHD25" s="2851"/>
      <c r="SHE25" s="2850"/>
      <c r="SHF25" s="2846"/>
      <c r="SHG25" s="2851"/>
      <c r="SHH25" s="2850"/>
      <c r="SHI25" s="2846"/>
      <c r="SHJ25" s="2851"/>
      <c r="SHK25" s="2850"/>
      <c r="SHL25" s="2846"/>
      <c r="SHM25" s="2851"/>
      <c r="SHN25" s="2850"/>
      <c r="SHO25" s="2846"/>
      <c r="SHP25" s="2851"/>
      <c r="SHQ25" s="2850"/>
      <c r="SHR25" s="2846"/>
      <c r="SHS25" s="2851"/>
      <c r="SHT25" s="2850"/>
      <c r="SHU25" s="2846"/>
      <c r="SHV25" s="2851"/>
      <c r="SHW25" s="2850"/>
      <c r="SHX25" s="2846"/>
      <c r="SHY25" s="2851"/>
      <c r="SHZ25" s="2850"/>
      <c r="SIA25" s="2846"/>
      <c r="SIB25" s="2851"/>
      <c r="SIC25" s="2850"/>
      <c r="SID25" s="2846"/>
      <c r="SIE25" s="2851"/>
      <c r="SIF25" s="2850"/>
      <c r="SIG25" s="2846"/>
      <c r="SIH25" s="2851"/>
      <c r="SII25" s="2850"/>
      <c r="SIJ25" s="2846"/>
      <c r="SIK25" s="2851"/>
      <c r="SIL25" s="2850"/>
      <c r="SIM25" s="2846"/>
      <c r="SIN25" s="2851"/>
      <c r="SIO25" s="2850"/>
      <c r="SIP25" s="2846"/>
      <c r="SIQ25" s="2851"/>
      <c r="SIR25" s="2850"/>
      <c r="SIS25" s="2846"/>
      <c r="SIT25" s="2851"/>
      <c r="SIU25" s="2850"/>
      <c r="SIV25" s="2846"/>
      <c r="SIW25" s="2851"/>
      <c r="SIX25" s="2850"/>
      <c r="SIY25" s="2846"/>
      <c r="SIZ25" s="2851"/>
      <c r="SJA25" s="2850"/>
      <c r="SJB25" s="2846"/>
      <c r="SJC25" s="2851"/>
      <c r="SJD25" s="2850"/>
      <c r="SJE25" s="2846"/>
      <c r="SJF25" s="2851"/>
      <c r="SJG25" s="2850"/>
      <c r="SJH25" s="2846"/>
      <c r="SJI25" s="2851"/>
      <c r="SJJ25" s="2850"/>
      <c r="SJK25" s="2846"/>
      <c r="SJL25" s="2851"/>
      <c r="SJM25" s="2850"/>
      <c r="SJN25" s="2846"/>
      <c r="SJO25" s="2851"/>
      <c r="SJP25" s="2850"/>
      <c r="SJQ25" s="2846"/>
      <c r="SJR25" s="2851"/>
      <c r="SJS25" s="2850"/>
      <c r="SJT25" s="2846"/>
      <c r="SJU25" s="2851"/>
      <c r="SJV25" s="2850"/>
      <c r="SJW25" s="2846"/>
      <c r="SJX25" s="2851"/>
      <c r="SJY25" s="2850"/>
      <c r="SJZ25" s="2846"/>
      <c r="SKA25" s="2851"/>
      <c r="SKB25" s="2850"/>
      <c r="SKC25" s="2846"/>
      <c r="SKD25" s="2851"/>
      <c r="SKE25" s="2850"/>
      <c r="SKF25" s="2846"/>
      <c r="SKG25" s="2851"/>
      <c r="SKH25" s="2850"/>
      <c r="SKI25" s="2846"/>
      <c r="SKJ25" s="2851"/>
      <c r="SKK25" s="2850"/>
      <c r="SKL25" s="2846"/>
      <c r="SKM25" s="2851"/>
      <c r="SKN25" s="2850"/>
      <c r="SKO25" s="2846"/>
      <c r="SKP25" s="2851"/>
      <c r="SKQ25" s="2850"/>
      <c r="SKR25" s="2846"/>
      <c r="SKS25" s="2851"/>
      <c r="SKT25" s="2850"/>
      <c r="SKU25" s="2846"/>
      <c r="SKV25" s="2851"/>
      <c r="SKW25" s="2850"/>
      <c r="SKX25" s="2846"/>
      <c r="SKY25" s="2851"/>
      <c r="SKZ25" s="2850"/>
      <c r="SLA25" s="2846"/>
      <c r="SLB25" s="2851"/>
      <c r="SLC25" s="2850"/>
      <c r="SLD25" s="2846"/>
      <c r="SLE25" s="2851"/>
      <c r="SLF25" s="2850"/>
      <c r="SLG25" s="2846"/>
      <c r="SLH25" s="2851"/>
      <c r="SLI25" s="2850"/>
      <c r="SLJ25" s="2846"/>
      <c r="SLK25" s="2851"/>
      <c r="SLL25" s="2850"/>
      <c r="SLM25" s="2846"/>
      <c r="SLN25" s="2851"/>
      <c r="SLO25" s="2850"/>
      <c r="SLP25" s="2846"/>
      <c r="SLQ25" s="2851"/>
      <c r="SLR25" s="2850"/>
      <c r="SLS25" s="2846"/>
      <c r="SLT25" s="2851"/>
      <c r="SLU25" s="2850"/>
      <c r="SLV25" s="2846"/>
      <c r="SLW25" s="2851"/>
      <c r="SLX25" s="2850"/>
      <c r="SLY25" s="2846"/>
      <c r="SLZ25" s="2851"/>
      <c r="SMA25" s="2850"/>
      <c r="SMB25" s="2846"/>
      <c r="SMC25" s="2851"/>
      <c r="SMD25" s="2850"/>
      <c r="SME25" s="2846"/>
      <c r="SMF25" s="2851"/>
      <c r="SMG25" s="2850"/>
      <c r="SMH25" s="2846"/>
      <c r="SMI25" s="2851"/>
      <c r="SMJ25" s="2850"/>
      <c r="SMK25" s="2846"/>
      <c r="SML25" s="2851"/>
      <c r="SMM25" s="2850"/>
      <c r="SMN25" s="2846"/>
      <c r="SMO25" s="2851"/>
      <c r="SMP25" s="2850"/>
      <c r="SMQ25" s="2846"/>
      <c r="SMR25" s="2851"/>
      <c r="SMS25" s="2850"/>
      <c r="SMT25" s="2846"/>
      <c r="SMU25" s="2851"/>
      <c r="SMV25" s="2850"/>
      <c r="SMW25" s="2846"/>
      <c r="SMX25" s="2851"/>
      <c r="SMY25" s="2850"/>
      <c r="SMZ25" s="2846"/>
      <c r="SNA25" s="2851"/>
      <c r="SNB25" s="2850"/>
      <c r="SNC25" s="2846"/>
      <c r="SND25" s="2851"/>
      <c r="SNE25" s="2850"/>
      <c r="SNF25" s="2846"/>
      <c r="SNG25" s="2851"/>
      <c r="SNH25" s="2850"/>
      <c r="SNI25" s="2846"/>
      <c r="SNJ25" s="2851"/>
      <c r="SNK25" s="2850"/>
      <c r="SNL25" s="2846"/>
      <c r="SNM25" s="2851"/>
      <c r="SNN25" s="2850"/>
      <c r="SNO25" s="2846"/>
      <c r="SNP25" s="2851"/>
      <c r="SNQ25" s="2850"/>
      <c r="SNR25" s="2846"/>
      <c r="SNS25" s="2851"/>
      <c r="SNT25" s="2850"/>
      <c r="SNU25" s="2846"/>
      <c r="SNV25" s="2851"/>
      <c r="SNW25" s="2850"/>
      <c r="SNX25" s="2846"/>
      <c r="SNY25" s="2851"/>
      <c r="SNZ25" s="2850"/>
      <c r="SOA25" s="2846"/>
      <c r="SOB25" s="2851"/>
      <c r="SOC25" s="2850"/>
      <c r="SOD25" s="2846"/>
      <c r="SOE25" s="2851"/>
      <c r="SOF25" s="2850"/>
      <c r="SOG25" s="2846"/>
      <c r="SOH25" s="2851"/>
      <c r="SOI25" s="2850"/>
      <c r="SOJ25" s="2846"/>
      <c r="SOK25" s="2851"/>
      <c r="SOL25" s="2850"/>
      <c r="SOM25" s="2846"/>
      <c r="SON25" s="2851"/>
      <c r="SOO25" s="2850"/>
      <c r="SOP25" s="2846"/>
      <c r="SOQ25" s="2851"/>
      <c r="SOR25" s="2850"/>
      <c r="SOS25" s="2846"/>
      <c r="SOT25" s="2851"/>
      <c r="SOU25" s="2850"/>
      <c r="SOV25" s="2846"/>
      <c r="SOW25" s="2851"/>
      <c r="SOX25" s="2850"/>
      <c r="SOY25" s="2846"/>
      <c r="SOZ25" s="2851"/>
      <c r="SPA25" s="2850"/>
      <c r="SPB25" s="2846"/>
      <c r="SPC25" s="2851"/>
      <c r="SPD25" s="2850"/>
      <c r="SPE25" s="2846"/>
      <c r="SPF25" s="2851"/>
      <c r="SPG25" s="2850"/>
      <c r="SPH25" s="2846"/>
      <c r="SPI25" s="2851"/>
      <c r="SPJ25" s="2850"/>
      <c r="SPK25" s="2846"/>
      <c r="SPL25" s="2851"/>
      <c r="SPM25" s="2850"/>
      <c r="SPN25" s="2846"/>
      <c r="SPO25" s="2851"/>
      <c r="SPP25" s="2850"/>
      <c r="SPQ25" s="2846"/>
      <c r="SPR25" s="2851"/>
      <c r="SPS25" s="2850"/>
      <c r="SPT25" s="2846"/>
      <c r="SPU25" s="2851"/>
      <c r="SPV25" s="2850"/>
      <c r="SPW25" s="2846"/>
      <c r="SPX25" s="2851"/>
      <c r="SPY25" s="2850"/>
      <c r="SPZ25" s="2846"/>
      <c r="SQA25" s="2851"/>
      <c r="SQB25" s="2850"/>
      <c r="SQC25" s="2846"/>
      <c r="SQD25" s="2851"/>
      <c r="SQE25" s="2850"/>
      <c r="SQF25" s="2846"/>
      <c r="SQG25" s="2851"/>
      <c r="SQH25" s="2850"/>
      <c r="SQI25" s="2846"/>
      <c r="SQJ25" s="2851"/>
      <c r="SQK25" s="2850"/>
      <c r="SQL25" s="2846"/>
      <c r="SQM25" s="2851"/>
      <c r="SQN25" s="2850"/>
      <c r="SQO25" s="2846"/>
      <c r="SQP25" s="2851"/>
      <c r="SQQ25" s="2850"/>
      <c r="SQR25" s="2846"/>
      <c r="SQS25" s="2851"/>
      <c r="SQT25" s="2850"/>
      <c r="SQU25" s="2846"/>
      <c r="SQV25" s="2851"/>
      <c r="SQW25" s="2850"/>
      <c r="SQX25" s="2846"/>
      <c r="SQY25" s="2851"/>
      <c r="SQZ25" s="2850"/>
      <c r="SRA25" s="2846"/>
      <c r="SRB25" s="2851"/>
      <c r="SRC25" s="2850"/>
      <c r="SRD25" s="2846"/>
      <c r="SRE25" s="2851"/>
      <c r="SRF25" s="2850"/>
      <c r="SRG25" s="2846"/>
      <c r="SRH25" s="2851"/>
      <c r="SRI25" s="2850"/>
      <c r="SRJ25" s="2846"/>
      <c r="SRK25" s="2851"/>
      <c r="SRL25" s="2850"/>
      <c r="SRM25" s="2846"/>
      <c r="SRN25" s="2851"/>
      <c r="SRO25" s="2850"/>
      <c r="SRP25" s="2846"/>
      <c r="SRQ25" s="2851"/>
      <c r="SRR25" s="2850"/>
      <c r="SRS25" s="2846"/>
      <c r="SRT25" s="2851"/>
      <c r="SRU25" s="2850"/>
      <c r="SRV25" s="2846"/>
      <c r="SRW25" s="2851"/>
      <c r="SRX25" s="2850"/>
      <c r="SRY25" s="2846"/>
      <c r="SRZ25" s="2851"/>
      <c r="SSA25" s="2850"/>
      <c r="SSB25" s="2846"/>
      <c r="SSC25" s="2851"/>
      <c r="SSD25" s="2850"/>
      <c r="SSE25" s="2846"/>
      <c r="SSF25" s="2851"/>
      <c r="SSG25" s="2850"/>
      <c r="SSH25" s="2846"/>
      <c r="SSI25" s="2851"/>
      <c r="SSJ25" s="2850"/>
      <c r="SSK25" s="2846"/>
      <c r="SSL25" s="2851"/>
      <c r="SSM25" s="2850"/>
      <c r="SSN25" s="2846"/>
      <c r="SSO25" s="2851"/>
      <c r="SSP25" s="2850"/>
      <c r="SSQ25" s="2846"/>
      <c r="SSR25" s="2851"/>
      <c r="SSS25" s="2850"/>
      <c r="SST25" s="2846"/>
      <c r="SSU25" s="2851"/>
      <c r="SSV25" s="2850"/>
      <c r="SSW25" s="2846"/>
      <c r="SSX25" s="2851"/>
      <c r="SSY25" s="2850"/>
      <c r="SSZ25" s="2846"/>
      <c r="STA25" s="2851"/>
      <c r="STB25" s="2850"/>
      <c r="STC25" s="2846"/>
      <c r="STD25" s="2851"/>
      <c r="STE25" s="2850"/>
      <c r="STF25" s="2846"/>
      <c r="STG25" s="2851"/>
      <c r="STH25" s="2850"/>
      <c r="STI25" s="2846"/>
      <c r="STJ25" s="2851"/>
      <c r="STK25" s="2850"/>
      <c r="STL25" s="2846"/>
      <c r="STM25" s="2851"/>
      <c r="STN25" s="2850"/>
      <c r="STO25" s="2846"/>
      <c r="STP25" s="2851"/>
      <c r="STQ25" s="2850"/>
      <c r="STR25" s="2846"/>
      <c r="STS25" s="2851"/>
      <c r="STT25" s="2850"/>
      <c r="STU25" s="2846"/>
      <c r="STV25" s="2851"/>
      <c r="STW25" s="2850"/>
      <c r="STX25" s="2846"/>
      <c r="STY25" s="2851"/>
      <c r="STZ25" s="2850"/>
      <c r="SUA25" s="2846"/>
      <c r="SUB25" s="2851"/>
      <c r="SUC25" s="2850"/>
      <c r="SUD25" s="2846"/>
      <c r="SUE25" s="2851"/>
      <c r="SUF25" s="2850"/>
      <c r="SUG25" s="2846"/>
      <c r="SUH25" s="2851"/>
      <c r="SUI25" s="2850"/>
      <c r="SUJ25" s="2846"/>
      <c r="SUK25" s="2851"/>
      <c r="SUL25" s="2850"/>
      <c r="SUM25" s="2846"/>
      <c r="SUN25" s="2851"/>
      <c r="SUO25" s="2850"/>
      <c r="SUP25" s="2846"/>
      <c r="SUQ25" s="2851"/>
      <c r="SUR25" s="2850"/>
      <c r="SUS25" s="2846"/>
      <c r="SUT25" s="2851"/>
      <c r="SUU25" s="2850"/>
      <c r="SUV25" s="2846"/>
      <c r="SUW25" s="2851"/>
      <c r="SUX25" s="2850"/>
      <c r="SUY25" s="2846"/>
      <c r="SUZ25" s="2851"/>
      <c r="SVA25" s="2850"/>
      <c r="SVB25" s="2846"/>
      <c r="SVC25" s="2851"/>
      <c r="SVD25" s="2850"/>
      <c r="SVE25" s="2846"/>
      <c r="SVF25" s="2851"/>
      <c r="SVG25" s="2850"/>
      <c r="SVH25" s="2846"/>
      <c r="SVI25" s="2851"/>
      <c r="SVJ25" s="2850"/>
      <c r="SVK25" s="2846"/>
      <c r="SVL25" s="2851"/>
      <c r="SVM25" s="2850"/>
      <c r="SVN25" s="2846"/>
      <c r="SVO25" s="2851"/>
      <c r="SVP25" s="2850"/>
      <c r="SVQ25" s="2846"/>
      <c r="SVR25" s="2851"/>
      <c r="SVS25" s="2850"/>
      <c r="SVT25" s="2846"/>
      <c r="SVU25" s="2851"/>
      <c r="SVV25" s="2850"/>
      <c r="SVW25" s="2846"/>
      <c r="SVX25" s="2851"/>
      <c r="SVY25" s="2850"/>
      <c r="SVZ25" s="2846"/>
      <c r="SWA25" s="2851"/>
      <c r="SWB25" s="2850"/>
      <c r="SWC25" s="2846"/>
      <c r="SWD25" s="2851"/>
      <c r="SWE25" s="2850"/>
      <c r="SWF25" s="2846"/>
      <c r="SWG25" s="2851"/>
      <c r="SWH25" s="2850"/>
      <c r="SWI25" s="2846"/>
      <c r="SWJ25" s="2851"/>
      <c r="SWK25" s="2850"/>
      <c r="SWL25" s="2846"/>
      <c r="SWM25" s="2851"/>
      <c r="SWN25" s="2850"/>
      <c r="SWO25" s="2846"/>
      <c r="SWP25" s="2851"/>
      <c r="SWQ25" s="2850"/>
      <c r="SWR25" s="2846"/>
      <c r="SWS25" s="2851"/>
      <c r="SWT25" s="2850"/>
      <c r="SWU25" s="2846"/>
      <c r="SWV25" s="2851"/>
      <c r="SWW25" s="2850"/>
      <c r="SWX25" s="2846"/>
      <c r="SWY25" s="2851"/>
      <c r="SWZ25" s="2850"/>
      <c r="SXA25" s="2846"/>
      <c r="SXB25" s="2851"/>
      <c r="SXC25" s="2850"/>
      <c r="SXD25" s="2846"/>
      <c r="SXE25" s="2851"/>
      <c r="SXF25" s="2850"/>
      <c r="SXG25" s="2846"/>
      <c r="SXH25" s="2851"/>
      <c r="SXI25" s="2850"/>
      <c r="SXJ25" s="2846"/>
      <c r="SXK25" s="2851"/>
      <c r="SXL25" s="2850"/>
      <c r="SXM25" s="2846"/>
      <c r="SXN25" s="2851"/>
      <c r="SXO25" s="2850"/>
      <c r="SXP25" s="2846"/>
      <c r="SXQ25" s="2851"/>
      <c r="SXR25" s="2850"/>
      <c r="SXS25" s="2846"/>
      <c r="SXT25" s="2851"/>
      <c r="SXU25" s="2850"/>
      <c r="SXV25" s="2846"/>
      <c r="SXW25" s="2851"/>
      <c r="SXX25" s="2850"/>
      <c r="SXY25" s="2846"/>
      <c r="SXZ25" s="2851"/>
      <c r="SYA25" s="2850"/>
      <c r="SYB25" s="2846"/>
      <c r="SYC25" s="2851"/>
      <c r="SYD25" s="2850"/>
      <c r="SYE25" s="2846"/>
      <c r="SYF25" s="2851"/>
      <c r="SYG25" s="2850"/>
      <c r="SYH25" s="2846"/>
      <c r="SYI25" s="2851"/>
      <c r="SYJ25" s="2850"/>
      <c r="SYK25" s="2846"/>
      <c r="SYL25" s="2851"/>
      <c r="SYM25" s="2850"/>
      <c r="SYN25" s="2846"/>
      <c r="SYO25" s="2851"/>
      <c r="SYP25" s="2850"/>
      <c r="SYQ25" s="2846"/>
      <c r="SYR25" s="2851"/>
      <c r="SYS25" s="2850"/>
      <c r="SYT25" s="2846"/>
      <c r="SYU25" s="2851"/>
      <c r="SYV25" s="2850"/>
      <c r="SYW25" s="2846"/>
      <c r="SYX25" s="2851"/>
      <c r="SYY25" s="2850"/>
      <c r="SYZ25" s="2846"/>
      <c r="SZA25" s="2851"/>
      <c r="SZB25" s="2850"/>
      <c r="SZC25" s="2846"/>
      <c r="SZD25" s="2851"/>
      <c r="SZE25" s="2850"/>
      <c r="SZF25" s="2846"/>
      <c r="SZG25" s="2851"/>
      <c r="SZH25" s="2850"/>
      <c r="SZI25" s="2846"/>
      <c r="SZJ25" s="2851"/>
      <c r="SZK25" s="2850"/>
      <c r="SZL25" s="2846"/>
      <c r="SZM25" s="2851"/>
      <c r="SZN25" s="2850"/>
      <c r="SZO25" s="2846"/>
      <c r="SZP25" s="2851"/>
      <c r="SZQ25" s="2850"/>
      <c r="SZR25" s="2846"/>
      <c r="SZS25" s="2851"/>
      <c r="SZT25" s="2850"/>
      <c r="SZU25" s="2846"/>
      <c r="SZV25" s="2851"/>
      <c r="SZW25" s="2850"/>
      <c r="SZX25" s="2846"/>
      <c r="SZY25" s="2851"/>
      <c r="SZZ25" s="2850"/>
      <c r="TAA25" s="2846"/>
      <c r="TAB25" s="2851"/>
      <c r="TAC25" s="2850"/>
      <c r="TAD25" s="2846"/>
      <c r="TAE25" s="2851"/>
      <c r="TAF25" s="2850"/>
      <c r="TAG25" s="2846"/>
      <c r="TAH25" s="2851"/>
      <c r="TAI25" s="2850"/>
      <c r="TAJ25" s="2846"/>
      <c r="TAK25" s="2851"/>
      <c r="TAL25" s="2850"/>
      <c r="TAM25" s="2846"/>
      <c r="TAN25" s="2851"/>
      <c r="TAO25" s="2850"/>
      <c r="TAP25" s="2846"/>
      <c r="TAQ25" s="2851"/>
      <c r="TAR25" s="2850"/>
      <c r="TAS25" s="2846"/>
      <c r="TAT25" s="2851"/>
      <c r="TAU25" s="2850"/>
      <c r="TAV25" s="2846"/>
      <c r="TAW25" s="2851"/>
      <c r="TAX25" s="2850"/>
      <c r="TAY25" s="2846"/>
      <c r="TAZ25" s="2851"/>
      <c r="TBA25" s="2850"/>
      <c r="TBB25" s="2846"/>
      <c r="TBC25" s="2851"/>
      <c r="TBD25" s="2850"/>
      <c r="TBE25" s="2846"/>
      <c r="TBF25" s="2851"/>
      <c r="TBG25" s="2850"/>
      <c r="TBH25" s="2846"/>
      <c r="TBI25" s="2851"/>
      <c r="TBJ25" s="2850"/>
      <c r="TBK25" s="2846"/>
      <c r="TBL25" s="2851"/>
      <c r="TBM25" s="2850"/>
      <c r="TBN25" s="2846"/>
      <c r="TBO25" s="2851"/>
      <c r="TBP25" s="2850"/>
      <c r="TBQ25" s="2846"/>
      <c r="TBR25" s="2851"/>
      <c r="TBS25" s="2850"/>
      <c r="TBT25" s="2846"/>
      <c r="TBU25" s="2851"/>
      <c r="TBV25" s="2850"/>
      <c r="TBW25" s="2846"/>
      <c r="TBX25" s="2851"/>
      <c r="TBY25" s="2850"/>
      <c r="TBZ25" s="2846"/>
      <c r="TCA25" s="2851"/>
      <c r="TCB25" s="2850"/>
      <c r="TCC25" s="2846"/>
      <c r="TCD25" s="2851"/>
      <c r="TCE25" s="2850"/>
      <c r="TCF25" s="2846"/>
      <c r="TCG25" s="2851"/>
      <c r="TCH25" s="2850"/>
      <c r="TCI25" s="2846"/>
      <c r="TCJ25" s="2851"/>
      <c r="TCK25" s="2850"/>
      <c r="TCL25" s="2846"/>
      <c r="TCM25" s="2851"/>
      <c r="TCN25" s="2850"/>
      <c r="TCO25" s="2846"/>
      <c r="TCP25" s="2851"/>
      <c r="TCQ25" s="2850"/>
      <c r="TCR25" s="2846"/>
      <c r="TCS25" s="2851"/>
      <c r="TCT25" s="2850"/>
      <c r="TCU25" s="2846"/>
      <c r="TCV25" s="2851"/>
      <c r="TCW25" s="2850"/>
      <c r="TCX25" s="2846"/>
      <c r="TCY25" s="2851"/>
      <c r="TCZ25" s="2850"/>
      <c r="TDA25" s="2846"/>
      <c r="TDB25" s="2851"/>
      <c r="TDC25" s="2850"/>
      <c r="TDD25" s="2846"/>
      <c r="TDE25" s="2851"/>
      <c r="TDF25" s="2850"/>
      <c r="TDG25" s="2846"/>
      <c r="TDH25" s="2851"/>
      <c r="TDI25" s="2850"/>
      <c r="TDJ25" s="2846"/>
      <c r="TDK25" s="2851"/>
      <c r="TDL25" s="2850"/>
      <c r="TDM25" s="2846"/>
      <c r="TDN25" s="2851"/>
      <c r="TDO25" s="2850"/>
      <c r="TDP25" s="2846"/>
      <c r="TDQ25" s="2851"/>
      <c r="TDR25" s="2850"/>
      <c r="TDS25" s="2846"/>
      <c r="TDT25" s="2851"/>
      <c r="TDU25" s="2850"/>
      <c r="TDV25" s="2846"/>
      <c r="TDW25" s="2851"/>
      <c r="TDX25" s="2850"/>
      <c r="TDY25" s="2846"/>
      <c r="TDZ25" s="2851"/>
      <c r="TEA25" s="2850"/>
      <c r="TEB25" s="2846"/>
      <c r="TEC25" s="2851"/>
      <c r="TED25" s="2850"/>
      <c r="TEE25" s="2846"/>
      <c r="TEF25" s="2851"/>
      <c r="TEG25" s="2850"/>
      <c r="TEH25" s="2846"/>
      <c r="TEI25" s="2851"/>
      <c r="TEJ25" s="2850"/>
      <c r="TEK25" s="2846"/>
      <c r="TEL25" s="2851"/>
      <c r="TEM25" s="2850"/>
      <c r="TEN25" s="2846"/>
      <c r="TEO25" s="2851"/>
      <c r="TEP25" s="2850"/>
      <c r="TEQ25" s="2846"/>
      <c r="TER25" s="2851"/>
      <c r="TES25" s="2850"/>
      <c r="TET25" s="2846"/>
      <c r="TEU25" s="2851"/>
      <c r="TEV25" s="2850"/>
      <c r="TEW25" s="2846"/>
      <c r="TEX25" s="2851"/>
      <c r="TEY25" s="2850"/>
      <c r="TEZ25" s="2846"/>
      <c r="TFA25" s="2851"/>
      <c r="TFB25" s="2850"/>
      <c r="TFC25" s="2846"/>
      <c r="TFD25" s="2851"/>
      <c r="TFE25" s="2850"/>
      <c r="TFF25" s="2846"/>
      <c r="TFG25" s="2851"/>
      <c r="TFH25" s="2850"/>
      <c r="TFI25" s="2846"/>
      <c r="TFJ25" s="2851"/>
      <c r="TFK25" s="2850"/>
      <c r="TFL25" s="2846"/>
      <c r="TFM25" s="2851"/>
      <c r="TFN25" s="2850"/>
      <c r="TFO25" s="2846"/>
      <c r="TFP25" s="2851"/>
      <c r="TFQ25" s="2850"/>
      <c r="TFR25" s="2846"/>
      <c r="TFS25" s="2851"/>
      <c r="TFT25" s="2850"/>
      <c r="TFU25" s="2846"/>
      <c r="TFV25" s="2851"/>
      <c r="TFW25" s="2850"/>
      <c r="TFX25" s="2846"/>
      <c r="TFY25" s="2851"/>
      <c r="TFZ25" s="2850"/>
      <c r="TGA25" s="2846"/>
      <c r="TGB25" s="2851"/>
      <c r="TGC25" s="2850"/>
      <c r="TGD25" s="2846"/>
      <c r="TGE25" s="2851"/>
      <c r="TGF25" s="2850"/>
      <c r="TGG25" s="2846"/>
      <c r="TGH25" s="2851"/>
      <c r="TGI25" s="2850"/>
      <c r="TGJ25" s="2846"/>
      <c r="TGK25" s="2851"/>
      <c r="TGL25" s="2850"/>
      <c r="TGM25" s="2846"/>
      <c r="TGN25" s="2851"/>
      <c r="TGO25" s="2850"/>
      <c r="TGP25" s="2846"/>
      <c r="TGQ25" s="2851"/>
      <c r="TGR25" s="2850"/>
      <c r="TGS25" s="2846"/>
      <c r="TGT25" s="2851"/>
      <c r="TGU25" s="2850"/>
      <c r="TGV25" s="2846"/>
      <c r="TGW25" s="2851"/>
      <c r="TGX25" s="2850"/>
      <c r="TGY25" s="2846"/>
      <c r="TGZ25" s="2851"/>
      <c r="THA25" s="2850"/>
      <c r="THB25" s="2846"/>
      <c r="THC25" s="2851"/>
      <c r="THD25" s="2850"/>
      <c r="THE25" s="2846"/>
      <c r="THF25" s="2851"/>
      <c r="THG25" s="2850"/>
      <c r="THH25" s="2846"/>
      <c r="THI25" s="2851"/>
      <c r="THJ25" s="2850"/>
      <c r="THK25" s="2846"/>
      <c r="THL25" s="2851"/>
      <c r="THM25" s="2850"/>
      <c r="THN25" s="2846"/>
      <c r="THO25" s="2851"/>
      <c r="THP25" s="2850"/>
      <c r="THQ25" s="2846"/>
      <c r="THR25" s="2851"/>
      <c r="THS25" s="2850"/>
      <c r="THT25" s="2846"/>
      <c r="THU25" s="2851"/>
      <c r="THV25" s="2850"/>
      <c r="THW25" s="2846"/>
      <c r="THX25" s="2851"/>
      <c r="THY25" s="2850"/>
      <c r="THZ25" s="2846"/>
      <c r="TIA25" s="2851"/>
      <c r="TIB25" s="2850"/>
      <c r="TIC25" s="2846"/>
      <c r="TID25" s="2851"/>
      <c r="TIE25" s="2850"/>
      <c r="TIF25" s="2846"/>
      <c r="TIG25" s="2851"/>
      <c r="TIH25" s="2850"/>
      <c r="TII25" s="2846"/>
      <c r="TIJ25" s="2851"/>
      <c r="TIK25" s="2850"/>
      <c r="TIL25" s="2846"/>
      <c r="TIM25" s="2851"/>
      <c r="TIN25" s="2850"/>
      <c r="TIO25" s="2846"/>
      <c r="TIP25" s="2851"/>
      <c r="TIQ25" s="2850"/>
      <c r="TIR25" s="2846"/>
      <c r="TIS25" s="2851"/>
      <c r="TIT25" s="2850"/>
      <c r="TIU25" s="2846"/>
      <c r="TIV25" s="2851"/>
      <c r="TIW25" s="2850"/>
      <c r="TIX25" s="2846"/>
      <c r="TIY25" s="2851"/>
      <c r="TIZ25" s="2850"/>
      <c r="TJA25" s="2846"/>
      <c r="TJB25" s="2851"/>
      <c r="TJC25" s="2850"/>
      <c r="TJD25" s="2846"/>
      <c r="TJE25" s="2851"/>
      <c r="TJF25" s="2850"/>
      <c r="TJG25" s="2846"/>
      <c r="TJH25" s="2851"/>
      <c r="TJI25" s="2850"/>
      <c r="TJJ25" s="2846"/>
      <c r="TJK25" s="2851"/>
      <c r="TJL25" s="2850"/>
      <c r="TJM25" s="2846"/>
      <c r="TJN25" s="2851"/>
      <c r="TJO25" s="2850"/>
      <c r="TJP25" s="2846"/>
      <c r="TJQ25" s="2851"/>
      <c r="TJR25" s="2850"/>
      <c r="TJS25" s="2846"/>
      <c r="TJT25" s="2851"/>
      <c r="TJU25" s="2850"/>
      <c r="TJV25" s="2846"/>
      <c r="TJW25" s="2851"/>
      <c r="TJX25" s="2850"/>
      <c r="TJY25" s="2846"/>
      <c r="TJZ25" s="2851"/>
      <c r="TKA25" s="2850"/>
      <c r="TKB25" s="2846"/>
      <c r="TKC25" s="2851"/>
      <c r="TKD25" s="2850"/>
      <c r="TKE25" s="2846"/>
      <c r="TKF25" s="2851"/>
      <c r="TKG25" s="2850"/>
      <c r="TKH25" s="2846"/>
      <c r="TKI25" s="2851"/>
      <c r="TKJ25" s="2850"/>
      <c r="TKK25" s="2846"/>
      <c r="TKL25" s="2851"/>
      <c r="TKM25" s="2850"/>
      <c r="TKN25" s="2846"/>
      <c r="TKO25" s="2851"/>
      <c r="TKP25" s="2850"/>
      <c r="TKQ25" s="2846"/>
      <c r="TKR25" s="2851"/>
      <c r="TKS25" s="2850"/>
      <c r="TKT25" s="2846"/>
      <c r="TKU25" s="2851"/>
      <c r="TKV25" s="2850"/>
      <c r="TKW25" s="2846"/>
      <c r="TKX25" s="2851"/>
      <c r="TKY25" s="2850"/>
      <c r="TKZ25" s="2846"/>
      <c r="TLA25" s="2851"/>
      <c r="TLB25" s="2850"/>
      <c r="TLC25" s="2846"/>
      <c r="TLD25" s="2851"/>
      <c r="TLE25" s="2850"/>
      <c r="TLF25" s="2846"/>
      <c r="TLG25" s="2851"/>
      <c r="TLH25" s="2850"/>
      <c r="TLI25" s="2846"/>
      <c r="TLJ25" s="2851"/>
      <c r="TLK25" s="2850"/>
      <c r="TLL25" s="2846"/>
      <c r="TLM25" s="2851"/>
      <c r="TLN25" s="2850"/>
      <c r="TLO25" s="2846"/>
      <c r="TLP25" s="2851"/>
      <c r="TLQ25" s="2850"/>
      <c r="TLR25" s="2846"/>
      <c r="TLS25" s="2851"/>
      <c r="TLT25" s="2850"/>
      <c r="TLU25" s="2846"/>
      <c r="TLV25" s="2851"/>
      <c r="TLW25" s="2850"/>
      <c r="TLX25" s="2846"/>
      <c r="TLY25" s="2851"/>
      <c r="TLZ25" s="2850"/>
      <c r="TMA25" s="2846"/>
      <c r="TMB25" s="2851"/>
      <c r="TMC25" s="2850"/>
      <c r="TMD25" s="2846"/>
      <c r="TME25" s="2851"/>
      <c r="TMF25" s="2850"/>
      <c r="TMG25" s="2846"/>
      <c r="TMH25" s="2851"/>
      <c r="TMI25" s="2850"/>
      <c r="TMJ25" s="2846"/>
      <c r="TMK25" s="2851"/>
      <c r="TML25" s="2850"/>
      <c r="TMM25" s="2846"/>
      <c r="TMN25" s="2851"/>
      <c r="TMO25" s="2850"/>
      <c r="TMP25" s="2846"/>
      <c r="TMQ25" s="2851"/>
      <c r="TMR25" s="2850"/>
      <c r="TMS25" s="2846"/>
      <c r="TMT25" s="2851"/>
      <c r="TMU25" s="2850"/>
      <c r="TMV25" s="2846"/>
      <c r="TMW25" s="2851"/>
      <c r="TMX25" s="2850"/>
      <c r="TMY25" s="2846"/>
      <c r="TMZ25" s="2851"/>
      <c r="TNA25" s="2850"/>
      <c r="TNB25" s="2846"/>
      <c r="TNC25" s="2851"/>
      <c r="TND25" s="2850"/>
      <c r="TNE25" s="2846"/>
      <c r="TNF25" s="2851"/>
      <c r="TNG25" s="2850"/>
      <c r="TNH25" s="2846"/>
      <c r="TNI25" s="2851"/>
      <c r="TNJ25" s="2850"/>
      <c r="TNK25" s="2846"/>
      <c r="TNL25" s="2851"/>
      <c r="TNM25" s="2850"/>
      <c r="TNN25" s="2846"/>
      <c r="TNO25" s="2851"/>
      <c r="TNP25" s="2850"/>
      <c r="TNQ25" s="2846"/>
      <c r="TNR25" s="2851"/>
      <c r="TNS25" s="2850"/>
      <c r="TNT25" s="2846"/>
      <c r="TNU25" s="2851"/>
      <c r="TNV25" s="2850"/>
      <c r="TNW25" s="2846"/>
      <c r="TNX25" s="2851"/>
      <c r="TNY25" s="2850"/>
      <c r="TNZ25" s="2846"/>
      <c r="TOA25" s="2851"/>
      <c r="TOB25" s="2850"/>
      <c r="TOC25" s="2846"/>
      <c r="TOD25" s="2851"/>
      <c r="TOE25" s="2850"/>
      <c r="TOF25" s="2846"/>
      <c r="TOG25" s="2851"/>
      <c r="TOH25" s="2850"/>
      <c r="TOI25" s="2846"/>
      <c r="TOJ25" s="2851"/>
      <c r="TOK25" s="2850"/>
      <c r="TOL25" s="2846"/>
      <c r="TOM25" s="2851"/>
      <c r="TON25" s="2850"/>
      <c r="TOO25" s="2846"/>
      <c r="TOP25" s="2851"/>
      <c r="TOQ25" s="2850"/>
      <c r="TOR25" s="2846"/>
      <c r="TOS25" s="2851"/>
      <c r="TOT25" s="2850"/>
      <c r="TOU25" s="2846"/>
      <c r="TOV25" s="2851"/>
      <c r="TOW25" s="2850"/>
      <c r="TOX25" s="2846"/>
      <c r="TOY25" s="2851"/>
      <c r="TOZ25" s="2850"/>
      <c r="TPA25" s="2846"/>
      <c r="TPB25" s="2851"/>
      <c r="TPC25" s="2850"/>
      <c r="TPD25" s="2846"/>
      <c r="TPE25" s="2851"/>
      <c r="TPF25" s="2850"/>
      <c r="TPG25" s="2846"/>
      <c r="TPH25" s="2851"/>
      <c r="TPI25" s="2850"/>
      <c r="TPJ25" s="2846"/>
      <c r="TPK25" s="2851"/>
      <c r="TPL25" s="2850"/>
      <c r="TPM25" s="2846"/>
      <c r="TPN25" s="2851"/>
      <c r="TPO25" s="2850"/>
      <c r="TPP25" s="2846"/>
      <c r="TPQ25" s="2851"/>
      <c r="TPR25" s="2850"/>
      <c r="TPS25" s="2846"/>
      <c r="TPT25" s="2851"/>
      <c r="TPU25" s="2850"/>
      <c r="TPV25" s="2846"/>
      <c r="TPW25" s="2851"/>
      <c r="TPX25" s="2850"/>
      <c r="TPY25" s="2846"/>
      <c r="TPZ25" s="2851"/>
      <c r="TQA25" s="2850"/>
      <c r="TQB25" s="2846"/>
      <c r="TQC25" s="2851"/>
      <c r="TQD25" s="2850"/>
      <c r="TQE25" s="2846"/>
      <c r="TQF25" s="2851"/>
      <c r="TQG25" s="2850"/>
      <c r="TQH25" s="2846"/>
      <c r="TQI25" s="2851"/>
      <c r="TQJ25" s="2850"/>
      <c r="TQK25" s="2846"/>
      <c r="TQL25" s="2851"/>
      <c r="TQM25" s="2850"/>
      <c r="TQN25" s="2846"/>
      <c r="TQO25" s="2851"/>
      <c r="TQP25" s="2850"/>
      <c r="TQQ25" s="2846"/>
      <c r="TQR25" s="2851"/>
      <c r="TQS25" s="2850"/>
      <c r="TQT25" s="2846"/>
      <c r="TQU25" s="2851"/>
      <c r="TQV25" s="2850"/>
      <c r="TQW25" s="2846"/>
      <c r="TQX25" s="2851"/>
      <c r="TQY25" s="2850"/>
      <c r="TQZ25" s="2846"/>
      <c r="TRA25" s="2851"/>
      <c r="TRB25" s="2850"/>
      <c r="TRC25" s="2846"/>
      <c r="TRD25" s="2851"/>
      <c r="TRE25" s="2850"/>
      <c r="TRF25" s="2846"/>
      <c r="TRG25" s="2851"/>
      <c r="TRH25" s="2850"/>
      <c r="TRI25" s="2846"/>
      <c r="TRJ25" s="2851"/>
      <c r="TRK25" s="2850"/>
      <c r="TRL25" s="2846"/>
      <c r="TRM25" s="2851"/>
      <c r="TRN25" s="2850"/>
      <c r="TRO25" s="2846"/>
      <c r="TRP25" s="2851"/>
      <c r="TRQ25" s="2850"/>
      <c r="TRR25" s="2846"/>
      <c r="TRS25" s="2851"/>
      <c r="TRT25" s="2850"/>
      <c r="TRU25" s="2846"/>
      <c r="TRV25" s="2851"/>
      <c r="TRW25" s="2850"/>
      <c r="TRX25" s="2846"/>
      <c r="TRY25" s="2851"/>
      <c r="TRZ25" s="2850"/>
      <c r="TSA25" s="2846"/>
      <c r="TSB25" s="2851"/>
      <c r="TSC25" s="2850"/>
      <c r="TSD25" s="2846"/>
      <c r="TSE25" s="2851"/>
      <c r="TSF25" s="2850"/>
      <c r="TSG25" s="2846"/>
      <c r="TSH25" s="2851"/>
      <c r="TSI25" s="2850"/>
      <c r="TSJ25" s="2846"/>
      <c r="TSK25" s="2851"/>
      <c r="TSL25" s="2850"/>
      <c r="TSM25" s="2846"/>
      <c r="TSN25" s="2851"/>
      <c r="TSO25" s="2850"/>
      <c r="TSP25" s="2846"/>
      <c r="TSQ25" s="2851"/>
      <c r="TSR25" s="2850"/>
      <c r="TSS25" s="2846"/>
      <c r="TST25" s="2851"/>
      <c r="TSU25" s="2850"/>
      <c r="TSV25" s="2846"/>
      <c r="TSW25" s="2851"/>
      <c r="TSX25" s="2850"/>
      <c r="TSY25" s="2846"/>
      <c r="TSZ25" s="2851"/>
      <c r="TTA25" s="2850"/>
      <c r="TTB25" s="2846"/>
      <c r="TTC25" s="2851"/>
      <c r="TTD25" s="2850"/>
      <c r="TTE25" s="2846"/>
      <c r="TTF25" s="2851"/>
      <c r="TTG25" s="2850"/>
      <c r="TTH25" s="2846"/>
      <c r="TTI25" s="2851"/>
      <c r="TTJ25" s="2850"/>
      <c r="TTK25" s="2846"/>
      <c r="TTL25" s="2851"/>
      <c r="TTM25" s="2850"/>
      <c r="TTN25" s="2846"/>
      <c r="TTO25" s="2851"/>
      <c r="TTP25" s="2850"/>
      <c r="TTQ25" s="2846"/>
      <c r="TTR25" s="2851"/>
      <c r="TTS25" s="2850"/>
      <c r="TTT25" s="2846"/>
      <c r="TTU25" s="2851"/>
      <c r="TTV25" s="2850"/>
      <c r="TTW25" s="2846"/>
      <c r="TTX25" s="2851"/>
      <c r="TTY25" s="2850"/>
      <c r="TTZ25" s="2846"/>
      <c r="TUA25" s="2851"/>
      <c r="TUB25" s="2850"/>
      <c r="TUC25" s="2846"/>
      <c r="TUD25" s="2851"/>
      <c r="TUE25" s="2850"/>
      <c r="TUF25" s="2846"/>
      <c r="TUG25" s="2851"/>
      <c r="TUH25" s="2850"/>
      <c r="TUI25" s="2846"/>
      <c r="TUJ25" s="2851"/>
      <c r="TUK25" s="2850"/>
      <c r="TUL25" s="2846"/>
      <c r="TUM25" s="2851"/>
      <c r="TUN25" s="2850"/>
      <c r="TUO25" s="2846"/>
      <c r="TUP25" s="2851"/>
      <c r="TUQ25" s="2850"/>
      <c r="TUR25" s="2846"/>
      <c r="TUS25" s="2851"/>
      <c r="TUT25" s="2850"/>
      <c r="TUU25" s="2846"/>
      <c r="TUV25" s="2851"/>
      <c r="TUW25" s="2850"/>
      <c r="TUX25" s="2846"/>
      <c r="TUY25" s="2851"/>
      <c r="TUZ25" s="2850"/>
      <c r="TVA25" s="2846"/>
      <c r="TVB25" s="2851"/>
      <c r="TVC25" s="2850"/>
      <c r="TVD25" s="2846"/>
      <c r="TVE25" s="2851"/>
      <c r="TVF25" s="2850"/>
      <c r="TVG25" s="2846"/>
      <c r="TVH25" s="2851"/>
      <c r="TVI25" s="2850"/>
      <c r="TVJ25" s="2846"/>
      <c r="TVK25" s="2851"/>
      <c r="TVL25" s="2850"/>
      <c r="TVM25" s="2846"/>
      <c r="TVN25" s="2851"/>
      <c r="TVO25" s="2850"/>
      <c r="TVP25" s="2846"/>
      <c r="TVQ25" s="2851"/>
      <c r="TVR25" s="2850"/>
      <c r="TVS25" s="2846"/>
      <c r="TVT25" s="2851"/>
      <c r="TVU25" s="2850"/>
      <c r="TVV25" s="2846"/>
      <c r="TVW25" s="2851"/>
      <c r="TVX25" s="2850"/>
      <c r="TVY25" s="2846"/>
      <c r="TVZ25" s="2851"/>
      <c r="TWA25" s="2850"/>
      <c r="TWB25" s="2846"/>
      <c r="TWC25" s="2851"/>
      <c r="TWD25" s="2850"/>
      <c r="TWE25" s="2846"/>
      <c r="TWF25" s="2851"/>
      <c r="TWG25" s="2850"/>
      <c r="TWH25" s="2846"/>
      <c r="TWI25" s="2851"/>
      <c r="TWJ25" s="2850"/>
      <c r="TWK25" s="2846"/>
      <c r="TWL25" s="2851"/>
      <c r="TWM25" s="2850"/>
      <c r="TWN25" s="2846"/>
      <c r="TWO25" s="2851"/>
      <c r="TWP25" s="2850"/>
      <c r="TWQ25" s="2846"/>
      <c r="TWR25" s="2851"/>
      <c r="TWS25" s="2850"/>
      <c r="TWT25" s="2846"/>
      <c r="TWU25" s="2851"/>
      <c r="TWV25" s="2850"/>
      <c r="TWW25" s="2846"/>
      <c r="TWX25" s="2851"/>
      <c r="TWY25" s="2850"/>
      <c r="TWZ25" s="2846"/>
      <c r="TXA25" s="2851"/>
      <c r="TXB25" s="2850"/>
      <c r="TXC25" s="2846"/>
      <c r="TXD25" s="2851"/>
      <c r="TXE25" s="2850"/>
      <c r="TXF25" s="2846"/>
      <c r="TXG25" s="2851"/>
      <c r="TXH25" s="2850"/>
      <c r="TXI25" s="2846"/>
      <c r="TXJ25" s="2851"/>
      <c r="TXK25" s="2850"/>
      <c r="TXL25" s="2846"/>
      <c r="TXM25" s="2851"/>
      <c r="TXN25" s="2850"/>
      <c r="TXO25" s="2846"/>
      <c r="TXP25" s="2851"/>
      <c r="TXQ25" s="2850"/>
      <c r="TXR25" s="2846"/>
      <c r="TXS25" s="2851"/>
      <c r="TXT25" s="2850"/>
      <c r="TXU25" s="2846"/>
      <c r="TXV25" s="2851"/>
      <c r="TXW25" s="2850"/>
      <c r="TXX25" s="2846"/>
      <c r="TXY25" s="2851"/>
      <c r="TXZ25" s="2850"/>
      <c r="TYA25" s="2846"/>
      <c r="TYB25" s="2851"/>
      <c r="TYC25" s="2850"/>
      <c r="TYD25" s="2846"/>
      <c r="TYE25" s="2851"/>
      <c r="TYF25" s="2850"/>
      <c r="TYG25" s="2846"/>
      <c r="TYH25" s="2851"/>
      <c r="TYI25" s="2850"/>
      <c r="TYJ25" s="2846"/>
      <c r="TYK25" s="2851"/>
      <c r="TYL25" s="2850"/>
      <c r="TYM25" s="2846"/>
      <c r="TYN25" s="2851"/>
      <c r="TYO25" s="2850"/>
      <c r="TYP25" s="2846"/>
      <c r="TYQ25" s="2851"/>
      <c r="TYR25" s="2850"/>
      <c r="TYS25" s="2846"/>
      <c r="TYT25" s="2851"/>
      <c r="TYU25" s="2850"/>
      <c r="TYV25" s="2846"/>
      <c r="TYW25" s="2851"/>
      <c r="TYX25" s="2850"/>
      <c r="TYY25" s="2846"/>
      <c r="TYZ25" s="2851"/>
      <c r="TZA25" s="2850"/>
      <c r="TZB25" s="2846"/>
      <c r="TZC25" s="2851"/>
      <c r="TZD25" s="2850"/>
      <c r="TZE25" s="2846"/>
      <c r="TZF25" s="2851"/>
      <c r="TZG25" s="2850"/>
      <c r="TZH25" s="2846"/>
      <c r="TZI25" s="2851"/>
      <c r="TZJ25" s="2850"/>
      <c r="TZK25" s="2846"/>
      <c r="TZL25" s="2851"/>
      <c r="TZM25" s="2850"/>
      <c r="TZN25" s="2846"/>
      <c r="TZO25" s="2851"/>
      <c r="TZP25" s="2850"/>
      <c r="TZQ25" s="2846"/>
      <c r="TZR25" s="2851"/>
      <c r="TZS25" s="2850"/>
      <c r="TZT25" s="2846"/>
      <c r="TZU25" s="2851"/>
      <c r="TZV25" s="2850"/>
      <c r="TZW25" s="2846"/>
      <c r="TZX25" s="2851"/>
      <c r="TZY25" s="2850"/>
      <c r="TZZ25" s="2846"/>
      <c r="UAA25" s="2851"/>
      <c r="UAB25" s="2850"/>
      <c r="UAC25" s="2846"/>
      <c r="UAD25" s="2851"/>
      <c r="UAE25" s="2850"/>
      <c r="UAF25" s="2846"/>
      <c r="UAG25" s="2851"/>
      <c r="UAH25" s="2850"/>
      <c r="UAI25" s="2846"/>
      <c r="UAJ25" s="2851"/>
      <c r="UAK25" s="2850"/>
      <c r="UAL25" s="2846"/>
      <c r="UAM25" s="2851"/>
      <c r="UAN25" s="2850"/>
      <c r="UAO25" s="2846"/>
      <c r="UAP25" s="2851"/>
      <c r="UAQ25" s="2850"/>
      <c r="UAR25" s="2846"/>
      <c r="UAS25" s="2851"/>
      <c r="UAT25" s="2850"/>
      <c r="UAU25" s="2846"/>
      <c r="UAV25" s="2851"/>
      <c r="UAW25" s="2850"/>
      <c r="UAX25" s="2846"/>
      <c r="UAY25" s="2851"/>
      <c r="UAZ25" s="2850"/>
      <c r="UBA25" s="2846"/>
      <c r="UBB25" s="2851"/>
      <c r="UBC25" s="2850"/>
      <c r="UBD25" s="2846"/>
      <c r="UBE25" s="2851"/>
      <c r="UBF25" s="2850"/>
      <c r="UBG25" s="2846"/>
      <c r="UBH25" s="2851"/>
      <c r="UBI25" s="2850"/>
      <c r="UBJ25" s="2846"/>
      <c r="UBK25" s="2851"/>
      <c r="UBL25" s="2850"/>
      <c r="UBM25" s="2846"/>
      <c r="UBN25" s="2851"/>
      <c r="UBO25" s="2850"/>
      <c r="UBP25" s="2846"/>
      <c r="UBQ25" s="2851"/>
      <c r="UBR25" s="2850"/>
      <c r="UBS25" s="2846"/>
      <c r="UBT25" s="2851"/>
      <c r="UBU25" s="2850"/>
      <c r="UBV25" s="2846"/>
      <c r="UBW25" s="2851"/>
      <c r="UBX25" s="2850"/>
      <c r="UBY25" s="2846"/>
      <c r="UBZ25" s="2851"/>
      <c r="UCA25" s="2850"/>
      <c r="UCB25" s="2846"/>
      <c r="UCC25" s="2851"/>
      <c r="UCD25" s="2850"/>
      <c r="UCE25" s="2846"/>
      <c r="UCF25" s="2851"/>
      <c r="UCG25" s="2850"/>
      <c r="UCH25" s="2846"/>
      <c r="UCI25" s="2851"/>
      <c r="UCJ25" s="2850"/>
      <c r="UCK25" s="2846"/>
      <c r="UCL25" s="2851"/>
      <c r="UCM25" s="2850"/>
      <c r="UCN25" s="2846"/>
      <c r="UCO25" s="2851"/>
      <c r="UCP25" s="2850"/>
      <c r="UCQ25" s="2846"/>
      <c r="UCR25" s="2851"/>
      <c r="UCS25" s="2850"/>
      <c r="UCT25" s="2846"/>
      <c r="UCU25" s="2851"/>
      <c r="UCV25" s="2850"/>
      <c r="UCW25" s="2846"/>
      <c r="UCX25" s="2851"/>
      <c r="UCY25" s="2850"/>
      <c r="UCZ25" s="2846"/>
      <c r="UDA25" s="2851"/>
      <c r="UDB25" s="2850"/>
      <c r="UDC25" s="2846"/>
      <c r="UDD25" s="2851"/>
      <c r="UDE25" s="2850"/>
      <c r="UDF25" s="2846"/>
      <c r="UDG25" s="2851"/>
      <c r="UDH25" s="2850"/>
      <c r="UDI25" s="2846"/>
      <c r="UDJ25" s="2851"/>
      <c r="UDK25" s="2850"/>
      <c r="UDL25" s="2846"/>
      <c r="UDM25" s="2851"/>
      <c r="UDN25" s="2850"/>
      <c r="UDO25" s="2846"/>
      <c r="UDP25" s="2851"/>
      <c r="UDQ25" s="2850"/>
      <c r="UDR25" s="2846"/>
      <c r="UDS25" s="2851"/>
      <c r="UDT25" s="2850"/>
      <c r="UDU25" s="2846"/>
      <c r="UDV25" s="2851"/>
      <c r="UDW25" s="2850"/>
      <c r="UDX25" s="2846"/>
      <c r="UDY25" s="2851"/>
      <c r="UDZ25" s="2850"/>
      <c r="UEA25" s="2846"/>
      <c r="UEB25" s="2851"/>
      <c r="UEC25" s="2850"/>
      <c r="UED25" s="2846"/>
      <c r="UEE25" s="2851"/>
      <c r="UEF25" s="2850"/>
      <c r="UEG25" s="2846"/>
      <c r="UEH25" s="2851"/>
      <c r="UEI25" s="2850"/>
      <c r="UEJ25" s="2846"/>
      <c r="UEK25" s="2851"/>
      <c r="UEL25" s="2850"/>
      <c r="UEM25" s="2846"/>
      <c r="UEN25" s="2851"/>
      <c r="UEO25" s="2850"/>
      <c r="UEP25" s="2846"/>
      <c r="UEQ25" s="2851"/>
      <c r="UER25" s="2850"/>
      <c r="UES25" s="2846"/>
      <c r="UET25" s="2851"/>
      <c r="UEU25" s="2850"/>
      <c r="UEV25" s="2846"/>
      <c r="UEW25" s="2851"/>
      <c r="UEX25" s="2850"/>
      <c r="UEY25" s="2846"/>
      <c r="UEZ25" s="2851"/>
      <c r="UFA25" s="2850"/>
      <c r="UFB25" s="2846"/>
      <c r="UFC25" s="2851"/>
      <c r="UFD25" s="2850"/>
      <c r="UFE25" s="2846"/>
      <c r="UFF25" s="2851"/>
      <c r="UFG25" s="2850"/>
      <c r="UFH25" s="2846"/>
      <c r="UFI25" s="2851"/>
      <c r="UFJ25" s="2850"/>
      <c r="UFK25" s="2846"/>
      <c r="UFL25" s="2851"/>
      <c r="UFM25" s="2850"/>
      <c r="UFN25" s="2846"/>
      <c r="UFO25" s="2851"/>
      <c r="UFP25" s="2850"/>
      <c r="UFQ25" s="2846"/>
      <c r="UFR25" s="2851"/>
      <c r="UFS25" s="2850"/>
      <c r="UFT25" s="2846"/>
      <c r="UFU25" s="2851"/>
      <c r="UFV25" s="2850"/>
      <c r="UFW25" s="2846"/>
      <c r="UFX25" s="2851"/>
      <c r="UFY25" s="2850"/>
      <c r="UFZ25" s="2846"/>
      <c r="UGA25" s="2851"/>
      <c r="UGB25" s="2850"/>
      <c r="UGC25" s="2846"/>
      <c r="UGD25" s="2851"/>
      <c r="UGE25" s="2850"/>
      <c r="UGF25" s="2846"/>
      <c r="UGG25" s="2851"/>
      <c r="UGH25" s="2850"/>
      <c r="UGI25" s="2846"/>
      <c r="UGJ25" s="2851"/>
      <c r="UGK25" s="2850"/>
      <c r="UGL25" s="2846"/>
      <c r="UGM25" s="2851"/>
      <c r="UGN25" s="2850"/>
      <c r="UGO25" s="2846"/>
      <c r="UGP25" s="2851"/>
      <c r="UGQ25" s="2850"/>
      <c r="UGR25" s="2846"/>
      <c r="UGS25" s="2851"/>
      <c r="UGT25" s="2850"/>
      <c r="UGU25" s="2846"/>
      <c r="UGV25" s="2851"/>
      <c r="UGW25" s="2850"/>
      <c r="UGX25" s="2846"/>
      <c r="UGY25" s="2851"/>
      <c r="UGZ25" s="2850"/>
      <c r="UHA25" s="2846"/>
      <c r="UHB25" s="2851"/>
      <c r="UHC25" s="2850"/>
      <c r="UHD25" s="2846"/>
      <c r="UHE25" s="2851"/>
      <c r="UHF25" s="2850"/>
      <c r="UHG25" s="2846"/>
      <c r="UHH25" s="2851"/>
      <c r="UHI25" s="2850"/>
      <c r="UHJ25" s="2846"/>
      <c r="UHK25" s="2851"/>
      <c r="UHL25" s="2850"/>
      <c r="UHM25" s="2846"/>
      <c r="UHN25" s="2851"/>
      <c r="UHO25" s="2850"/>
      <c r="UHP25" s="2846"/>
      <c r="UHQ25" s="2851"/>
      <c r="UHR25" s="2850"/>
      <c r="UHS25" s="2846"/>
      <c r="UHT25" s="2851"/>
      <c r="UHU25" s="2850"/>
      <c r="UHV25" s="2846"/>
      <c r="UHW25" s="2851"/>
      <c r="UHX25" s="2850"/>
      <c r="UHY25" s="2846"/>
      <c r="UHZ25" s="2851"/>
      <c r="UIA25" s="2850"/>
      <c r="UIB25" s="2846"/>
      <c r="UIC25" s="2851"/>
      <c r="UID25" s="2850"/>
      <c r="UIE25" s="2846"/>
      <c r="UIF25" s="2851"/>
      <c r="UIG25" s="2850"/>
      <c r="UIH25" s="2846"/>
      <c r="UII25" s="2851"/>
      <c r="UIJ25" s="2850"/>
      <c r="UIK25" s="2846"/>
      <c r="UIL25" s="2851"/>
      <c r="UIM25" s="2850"/>
      <c r="UIN25" s="2846"/>
      <c r="UIO25" s="2851"/>
      <c r="UIP25" s="2850"/>
      <c r="UIQ25" s="2846"/>
      <c r="UIR25" s="2851"/>
      <c r="UIS25" s="2850"/>
      <c r="UIT25" s="2846"/>
      <c r="UIU25" s="2851"/>
      <c r="UIV25" s="2850"/>
      <c r="UIW25" s="2846"/>
      <c r="UIX25" s="2851"/>
      <c r="UIY25" s="2850"/>
      <c r="UIZ25" s="2846"/>
      <c r="UJA25" s="2851"/>
      <c r="UJB25" s="2850"/>
      <c r="UJC25" s="2846"/>
      <c r="UJD25" s="2851"/>
      <c r="UJE25" s="2850"/>
      <c r="UJF25" s="2846"/>
      <c r="UJG25" s="2851"/>
      <c r="UJH25" s="2850"/>
      <c r="UJI25" s="2846"/>
      <c r="UJJ25" s="2851"/>
      <c r="UJK25" s="2850"/>
      <c r="UJL25" s="2846"/>
      <c r="UJM25" s="2851"/>
      <c r="UJN25" s="2850"/>
      <c r="UJO25" s="2846"/>
      <c r="UJP25" s="2851"/>
      <c r="UJQ25" s="2850"/>
      <c r="UJR25" s="2846"/>
      <c r="UJS25" s="2851"/>
      <c r="UJT25" s="2850"/>
      <c r="UJU25" s="2846"/>
      <c r="UJV25" s="2851"/>
      <c r="UJW25" s="2850"/>
      <c r="UJX25" s="2846"/>
      <c r="UJY25" s="2851"/>
      <c r="UJZ25" s="2850"/>
      <c r="UKA25" s="2846"/>
      <c r="UKB25" s="2851"/>
      <c r="UKC25" s="2850"/>
      <c r="UKD25" s="2846"/>
      <c r="UKE25" s="2851"/>
      <c r="UKF25" s="2850"/>
      <c r="UKG25" s="2846"/>
      <c r="UKH25" s="2851"/>
      <c r="UKI25" s="2850"/>
      <c r="UKJ25" s="2846"/>
      <c r="UKK25" s="2851"/>
      <c r="UKL25" s="2850"/>
      <c r="UKM25" s="2846"/>
      <c r="UKN25" s="2851"/>
      <c r="UKO25" s="2850"/>
      <c r="UKP25" s="2846"/>
      <c r="UKQ25" s="2851"/>
      <c r="UKR25" s="2850"/>
      <c r="UKS25" s="2846"/>
      <c r="UKT25" s="2851"/>
      <c r="UKU25" s="2850"/>
      <c r="UKV25" s="2846"/>
      <c r="UKW25" s="2851"/>
      <c r="UKX25" s="2850"/>
      <c r="UKY25" s="2846"/>
      <c r="UKZ25" s="2851"/>
      <c r="ULA25" s="2850"/>
      <c r="ULB25" s="2846"/>
      <c r="ULC25" s="2851"/>
      <c r="ULD25" s="2850"/>
      <c r="ULE25" s="2846"/>
      <c r="ULF25" s="2851"/>
      <c r="ULG25" s="2850"/>
      <c r="ULH25" s="2846"/>
      <c r="ULI25" s="2851"/>
      <c r="ULJ25" s="2850"/>
      <c r="ULK25" s="2846"/>
      <c r="ULL25" s="2851"/>
      <c r="ULM25" s="2850"/>
      <c r="ULN25" s="2846"/>
      <c r="ULO25" s="2851"/>
      <c r="ULP25" s="2850"/>
      <c r="ULQ25" s="2846"/>
      <c r="ULR25" s="2851"/>
      <c r="ULS25" s="2850"/>
      <c r="ULT25" s="2846"/>
      <c r="ULU25" s="2851"/>
      <c r="ULV25" s="2850"/>
      <c r="ULW25" s="2846"/>
      <c r="ULX25" s="2851"/>
      <c r="ULY25" s="2850"/>
      <c r="ULZ25" s="2846"/>
      <c r="UMA25" s="2851"/>
      <c r="UMB25" s="2850"/>
      <c r="UMC25" s="2846"/>
      <c r="UMD25" s="2851"/>
      <c r="UME25" s="2850"/>
      <c r="UMF25" s="2846"/>
      <c r="UMG25" s="2851"/>
      <c r="UMH25" s="2850"/>
      <c r="UMI25" s="2846"/>
      <c r="UMJ25" s="2851"/>
      <c r="UMK25" s="2850"/>
      <c r="UML25" s="2846"/>
      <c r="UMM25" s="2851"/>
      <c r="UMN25" s="2850"/>
      <c r="UMO25" s="2846"/>
      <c r="UMP25" s="2851"/>
      <c r="UMQ25" s="2850"/>
      <c r="UMR25" s="2846"/>
      <c r="UMS25" s="2851"/>
      <c r="UMT25" s="2850"/>
      <c r="UMU25" s="2846"/>
      <c r="UMV25" s="2851"/>
      <c r="UMW25" s="2850"/>
      <c r="UMX25" s="2846"/>
      <c r="UMY25" s="2851"/>
      <c r="UMZ25" s="2850"/>
      <c r="UNA25" s="2846"/>
      <c r="UNB25" s="2851"/>
      <c r="UNC25" s="2850"/>
      <c r="UND25" s="2846"/>
      <c r="UNE25" s="2851"/>
      <c r="UNF25" s="2850"/>
      <c r="UNG25" s="2846"/>
      <c r="UNH25" s="2851"/>
      <c r="UNI25" s="2850"/>
      <c r="UNJ25" s="2846"/>
      <c r="UNK25" s="2851"/>
      <c r="UNL25" s="2850"/>
      <c r="UNM25" s="2846"/>
      <c r="UNN25" s="2851"/>
      <c r="UNO25" s="2850"/>
      <c r="UNP25" s="2846"/>
      <c r="UNQ25" s="2851"/>
      <c r="UNR25" s="2850"/>
      <c r="UNS25" s="2846"/>
      <c r="UNT25" s="2851"/>
      <c r="UNU25" s="2850"/>
      <c r="UNV25" s="2846"/>
      <c r="UNW25" s="2851"/>
      <c r="UNX25" s="2850"/>
      <c r="UNY25" s="2846"/>
      <c r="UNZ25" s="2851"/>
      <c r="UOA25" s="2850"/>
      <c r="UOB25" s="2846"/>
      <c r="UOC25" s="2851"/>
      <c r="UOD25" s="2850"/>
      <c r="UOE25" s="2846"/>
      <c r="UOF25" s="2851"/>
      <c r="UOG25" s="2850"/>
      <c r="UOH25" s="2846"/>
      <c r="UOI25" s="2851"/>
      <c r="UOJ25" s="2850"/>
      <c r="UOK25" s="2846"/>
      <c r="UOL25" s="2851"/>
      <c r="UOM25" s="2850"/>
      <c r="UON25" s="2846"/>
      <c r="UOO25" s="2851"/>
      <c r="UOP25" s="2850"/>
      <c r="UOQ25" s="2846"/>
      <c r="UOR25" s="2851"/>
      <c r="UOS25" s="2850"/>
      <c r="UOT25" s="2846"/>
      <c r="UOU25" s="2851"/>
      <c r="UOV25" s="2850"/>
      <c r="UOW25" s="2846"/>
      <c r="UOX25" s="2851"/>
      <c r="UOY25" s="2850"/>
      <c r="UOZ25" s="2846"/>
      <c r="UPA25" s="2851"/>
      <c r="UPB25" s="2850"/>
      <c r="UPC25" s="2846"/>
      <c r="UPD25" s="2851"/>
      <c r="UPE25" s="2850"/>
      <c r="UPF25" s="2846"/>
      <c r="UPG25" s="2851"/>
      <c r="UPH25" s="2850"/>
      <c r="UPI25" s="2846"/>
      <c r="UPJ25" s="2851"/>
      <c r="UPK25" s="2850"/>
      <c r="UPL25" s="2846"/>
      <c r="UPM25" s="2851"/>
      <c r="UPN25" s="2850"/>
      <c r="UPO25" s="2846"/>
      <c r="UPP25" s="2851"/>
      <c r="UPQ25" s="2850"/>
      <c r="UPR25" s="2846"/>
      <c r="UPS25" s="2851"/>
      <c r="UPT25" s="2850"/>
      <c r="UPU25" s="2846"/>
      <c r="UPV25" s="2851"/>
      <c r="UPW25" s="2850"/>
      <c r="UPX25" s="2846"/>
      <c r="UPY25" s="2851"/>
      <c r="UPZ25" s="2850"/>
      <c r="UQA25" s="2846"/>
      <c r="UQB25" s="2851"/>
      <c r="UQC25" s="2850"/>
      <c r="UQD25" s="2846"/>
      <c r="UQE25" s="2851"/>
      <c r="UQF25" s="2850"/>
      <c r="UQG25" s="2846"/>
      <c r="UQH25" s="2851"/>
      <c r="UQI25" s="2850"/>
      <c r="UQJ25" s="2846"/>
      <c r="UQK25" s="2851"/>
      <c r="UQL25" s="2850"/>
      <c r="UQM25" s="2846"/>
      <c r="UQN25" s="2851"/>
      <c r="UQO25" s="2850"/>
      <c r="UQP25" s="2846"/>
      <c r="UQQ25" s="2851"/>
      <c r="UQR25" s="2850"/>
      <c r="UQS25" s="2846"/>
      <c r="UQT25" s="2851"/>
      <c r="UQU25" s="2850"/>
      <c r="UQV25" s="2846"/>
      <c r="UQW25" s="2851"/>
      <c r="UQX25" s="2850"/>
      <c r="UQY25" s="2846"/>
      <c r="UQZ25" s="2851"/>
      <c r="URA25" s="2850"/>
      <c r="URB25" s="2846"/>
      <c r="URC25" s="2851"/>
      <c r="URD25" s="2850"/>
      <c r="URE25" s="2846"/>
      <c r="URF25" s="2851"/>
      <c r="URG25" s="2850"/>
      <c r="URH25" s="2846"/>
      <c r="URI25" s="2851"/>
      <c r="URJ25" s="2850"/>
      <c r="URK25" s="2846"/>
      <c r="URL25" s="2851"/>
      <c r="URM25" s="2850"/>
      <c r="URN25" s="2846"/>
      <c r="URO25" s="2851"/>
      <c r="URP25" s="2850"/>
      <c r="URQ25" s="2846"/>
      <c r="URR25" s="2851"/>
      <c r="URS25" s="2850"/>
      <c r="URT25" s="2846"/>
      <c r="URU25" s="2851"/>
      <c r="URV25" s="2850"/>
      <c r="URW25" s="2846"/>
      <c r="URX25" s="2851"/>
      <c r="URY25" s="2850"/>
      <c r="URZ25" s="2846"/>
      <c r="USA25" s="2851"/>
      <c r="USB25" s="2850"/>
      <c r="USC25" s="2846"/>
      <c r="USD25" s="2851"/>
      <c r="USE25" s="2850"/>
      <c r="USF25" s="2846"/>
      <c r="USG25" s="2851"/>
      <c r="USH25" s="2850"/>
      <c r="USI25" s="2846"/>
      <c r="USJ25" s="2851"/>
      <c r="USK25" s="2850"/>
      <c r="USL25" s="2846"/>
      <c r="USM25" s="2851"/>
      <c r="USN25" s="2850"/>
      <c r="USO25" s="2846"/>
      <c r="USP25" s="2851"/>
      <c r="USQ25" s="2850"/>
      <c r="USR25" s="2846"/>
      <c r="USS25" s="2851"/>
      <c r="UST25" s="2850"/>
      <c r="USU25" s="2846"/>
      <c r="USV25" s="2851"/>
      <c r="USW25" s="2850"/>
      <c r="USX25" s="2846"/>
      <c r="USY25" s="2851"/>
      <c r="USZ25" s="2850"/>
      <c r="UTA25" s="2846"/>
      <c r="UTB25" s="2851"/>
      <c r="UTC25" s="2850"/>
      <c r="UTD25" s="2846"/>
      <c r="UTE25" s="2851"/>
      <c r="UTF25" s="2850"/>
      <c r="UTG25" s="2846"/>
      <c r="UTH25" s="2851"/>
      <c r="UTI25" s="2850"/>
      <c r="UTJ25" s="2846"/>
      <c r="UTK25" s="2851"/>
      <c r="UTL25" s="2850"/>
      <c r="UTM25" s="2846"/>
      <c r="UTN25" s="2851"/>
      <c r="UTO25" s="2850"/>
      <c r="UTP25" s="2846"/>
      <c r="UTQ25" s="2851"/>
      <c r="UTR25" s="2850"/>
      <c r="UTS25" s="2846"/>
      <c r="UTT25" s="2851"/>
      <c r="UTU25" s="2850"/>
      <c r="UTV25" s="2846"/>
      <c r="UTW25" s="2851"/>
      <c r="UTX25" s="2850"/>
      <c r="UTY25" s="2846"/>
      <c r="UTZ25" s="2851"/>
      <c r="UUA25" s="2850"/>
      <c r="UUB25" s="2846"/>
      <c r="UUC25" s="2851"/>
      <c r="UUD25" s="2850"/>
      <c r="UUE25" s="2846"/>
      <c r="UUF25" s="2851"/>
      <c r="UUG25" s="2850"/>
      <c r="UUH25" s="2846"/>
      <c r="UUI25" s="2851"/>
      <c r="UUJ25" s="2850"/>
      <c r="UUK25" s="2846"/>
      <c r="UUL25" s="2851"/>
      <c r="UUM25" s="2850"/>
      <c r="UUN25" s="2846"/>
      <c r="UUO25" s="2851"/>
      <c r="UUP25" s="2850"/>
      <c r="UUQ25" s="2846"/>
      <c r="UUR25" s="2851"/>
      <c r="UUS25" s="2850"/>
      <c r="UUT25" s="2846"/>
      <c r="UUU25" s="2851"/>
      <c r="UUV25" s="2850"/>
      <c r="UUW25" s="2846"/>
      <c r="UUX25" s="2851"/>
      <c r="UUY25" s="2850"/>
      <c r="UUZ25" s="2846"/>
      <c r="UVA25" s="2851"/>
      <c r="UVB25" s="2850"/>
      <c r="UVC25" s="2846"/>
      <c r="UVD25" s="2851"/>
      <c r="UVE25" s="2850"/>
      <c r="UVF25" s="2846"/>
      <c r="UVG25" s="2851"/>
      <c r="UVH25" s="2850"/>
      <c r="UVI25" s="2846"/>
      <c r="UVJ25" s="2851"/>
      <c r="UVK25" s="2850"/>
      <c r="UVL25" s="2846"/>
      <c r="UVM25" s="2851"/>
      <c r="UVN25" s="2850"/>
      <c r="UVO25" s="2846"/>
      <c r="UVP25" s="2851"/>
      <c r="UVQ25" s="2850"/>
      <c r="UVR25" s="2846"/>
      <c r="UVS25" s="2851"/>
      <c r="UVT25" s="2850"/>
      <c r="UVU25" s="2846"/>
      <c r="UVV25" s="2851"/>
      <c r="UVW25" s="2850"/>
      <c r="UVX25" s="2846"/>
      <c r="UVY25" s="2851"/>
      <c r="UVZ25" s="2850"/>
      <c r="UWA25" s="2846"/>
      <c r="UWB25" s="2851"/>
      <c r="UWC25" s="2850"/>
      <c r="UWD25" s="2846"/>
      <c r="UWE25" s="2851"/>
      <c r="UWF25" s="2850"/>
      <c r="UWG25" s="2846"/>
      <c r="UWH25" s="2851"/>
      <c r="UWI25" s="2850"/>
      <c r="UWJ25" s="2846"/>
      <c r="UWK25" s="2851"/>
      <c r="UWL25" s="2850"/>
      <c r="UWM25" s="2846"/>
      <c r="UWN25" s="2851"/>
      <c r="UWO25" s="2850"/>
      <c r="UWP25" s="2846"/>
      <c r="UWQ25" s="2851"/>
      <c r="UWR25" s="2850"/>
      <c r="UWS25" s="2846"/>
      <c r="UWT25" s="2851"/>
      <c r="UWU25" s="2850"/>
      <c r="UWV25" s="2846"/>
      <c r="UWW25" s="2851"/>
      <c r="UWX25" s="2850"/>
      <c r="UWY25" s="2846"/>
      <c r="UWZ25" s="2851"/>
      <c r="UXA25" s="2850"/>
      <c r="UXB25" s="2846"/>
      <c r="UXC25" s="2851"/>
      <c r="UXD25" s="2850"/>
      <c r="UXE25" s="2846"/>
      <c r="UXF25" s="2851"/>
      <c r="UXG25" s="2850"/>
      <c r="UXH25" s="2846"/>
      <c r="UXI25" s="2851"/>
      <c r="UXJ25" s="2850"/>
      <c r="UXK25" s="2846"/>
      <c r="UXL25" s="2851"/>
      <c r="UXM25" s="2850"/>
      <c r="UXN25" s="2846"/>
      <c r="UXO25" s="2851"/>
      <c r="UXP25" s="2850"/>
      <c r="UXQ25" s="2846"/>
      <c r="UXR25" s="2851"/>
      <c r="UXS25" s="2850"/>
      <c r="UXT25" s="2846"/>
      <c r="UXU25" s="2851"/>
      <c r="UXV25" s="2850"/>
      <c r="UXW25" s="2846"/>
      <c r="UXX25" s="2851"/>
      <c r="UXY25" s="2850"/>
      <c r="UXZ25" s="2846"/>
      <c r="UYA25" s="2851"/>
      <c r="UYB25" s="2850"/>
      <c r="UYC25" s="2846"/>
      <c r="UYD25" s="2851"/>
      <c r="UYE25" s="2850"/>
      <c r="UYF25" s="2846"/>
      <c r="UYG25" s="2851"/>
      <c r="UYH25" s="2850"/>
      <c r="UYI25" s="2846"/>
      <c r="UYJ25" s="2851"/>
      <c r="UYK25" s="2850"/>
      <c r="UYL25" s="2846"/>
      <c r="UYM25" s="2851"/>
      <c r="UYN25" s="2850"/>
      <c r="UYO25" s="2846"/>
      <c r="UYP25" s="2851"/>
      <c r="UYQ25" s="2850"/>
      <c r="UYR25" s="2846"/>
      <c r="UYS25" s="2851"/>
      <c r="UYT25" s="2850"/>
      <c r="UYU25" s="2846"/>
      <c r="UYV25" s="2851"/>
      <c r="UYW25" s="2850"/>
      <c r="UYX25" s="2846"/>
      <c r="UYY25" s="2851"/>
      <c r="UYZ25" s="2850"/>
      <c r="UZA25" s="2846"/>
      <c r="UZB25" s="2851"/>
      <c r="UZC25" s="2850"/>
      <c r="UZD25" s="2846"/>
      <c r="UZE25" s="2851"/>
      <c r="UZF25" s="2850"/>
      <c r="UZG25" s="2846"/>
      <c r="UZH25" s="2851"/>
      <c r="UZI25" s="2850"/>
      <c r="UZJ25" s="2846"/>
      <c r="UZK25" s="2851"/>
      <c r="UZL25" s="2850"/>
      <c r="UZM25" s="2846"/>
      <c r="UZN25" s="2851"/>
      <c r="UZO25" s="2850"/>
      <c r="UZP25" s="2846"/>
      <c r="UZQ25" s="2851"/>
      <c r="UZR25" s="2850"/>
      <c r="UZS25" s="2846"/>
      <c r="UZT25" s="2851"/>
      <c r="UZU25" s="2850"/>
      <c r="UZV25" s="2846"/>
      <c r="UZW25" s="2851"/>
      <c r="UZX25" s="2850"/>
      <c r="UZY25" s="2846"/>
      <c r="UZZ25" s="2851"/>
      <c r="VAA25" s="2850"/>
      <c r="VAB25" s="2846"/>
      <c r="VAC25" s="2851"/>
      <c r="VAD25" s="2850"/>
      <c r="VAE25" s="2846"/>
      <c r="VAF25" s="2851"/>
      <c r="VAG25" s="2850"/>
      <c r="VAH25" s="2846"/>
      <c r="VAI25" s="2851"/>
      <c r="VAJ25" s="2850"/>
      <c r="VAK25" s="2846"/>
      <c r="VAL25" s="2851"/>
      <c r="VAM25" s="2850"/>
      <c r="VAN25" s="2846"/>
      <c r="VAO25" s="2851"/>
      <c r="VAP25" s="2850"/>
      <c r="VAQ25" s="2846"/>
      <c r="VAR25" s="2851"/>
      <c r="VAS25" s="2850"/>
      <c r="VAT25" s="2846"/>
      <c r="VAU25" s="2851"/>
      <c r="VAV25" s="2850"/>
      <c r="VAW25" s="2846"/>
      <c r="VAX25" s="2851"/>
      <c r="VAY25" s="2850"/>
      <c r="VAZ25" s="2846"/>
      <c r="VBA25" s="2851"/>
      <c r="VBB25" s="2850"/>
      <c r="VBC25" s="2846"/>
      <c r="VBD25" s="2851"/>
      <c r="VBE25" s="2850"/>
      <c r="VBF25" s="2846"/>
      <c r="VBG25" s="2851"/>
      <c r="VBH25" s="2850"/>
      <c r="VBI25" s="2846"/>
      <c r="VBJ25" s="2851"/>
      <c r="VBK25" s="2850"/>
      <c r="VBL25" s="2846"/>
      <c r="VBM25" s="2851"/>
      <c r="VBN25" s="2850"/>
      <c r="VBO25" s="2846"/>
      <c r="VBP25" s="2851"/>
      <c r="VBQ25" s="2850"/>
      <c r="VBR25" s="2846"/>
      <c r="VBS25" s="2851"/>
      <c r="VBT25" s="2850"/>
      <c r="VBU25" s="2846"/>
      <c r="VBV25" s="2851"/>
      <c r="VBW25" s="2850"/>
      <c r="VBX25" s="2846"/>
      <c r="VBY25" s="2851"/>
      <c r="VBZ25" s="2850"/>
      <c r="VCA25" s="2846"/>
      <c r="VCB25" s="2851"/>
      <c r="VCC25" s="2850"/>
      <c r="VCD25" s="2846"/>
      <c r="VCE25" s="2851"/>
      <c r="VCF25" s="2850"/>
      <c r="VCG25" s="2846"/>
      <c r="VCH25" s="2851"/>
      <c r="VCI25" s="2850"/>
      <c r="VCJ25" s="2846"/>
      <c r="VCK25" s="2851"/>
      <c r="VCL25" s="2850"/>
      <c r="VCM25" s="2846"/>
      <c r="VCN25" s="2851"/>
      <c r="VCO25" s="2850"/>
      <c r="VCP25" s="2846"/>
      <c r="VCQ25" s="2851"/>
      <c r="VCR25" s="2850"/>
      <c r="VCS25" s="2846"/>
      <c r="VCT25" s="2851"/>
      <c r="VCU25" s="2850"/>
      <c r="VCV25" s="2846"/>
      <c r="VCW25" s="2851"/>
      <c r="VCX25" s="2850"/>
      <c r="VCY25" s="2846"/>
      <c r="VCZ25" s="2851"/>
      <c r="VDA25" s="2850"/>
      <c r="VDB25" s="2846"/>
      <c r="VDC25" s="2851"/>
      <c r="VDD25" s="2850"/>
      <c r="VDE25" s="2846"/>
      <c r="VDF25" s="2851"/>
      <c r="VDG25" s="2850"/>
      <c r="VDH25" s="2846"/>
      <c r="VDI25" s="2851"/>
      <c r="VDJ25" s="2850"/>
      <c r="VDK25" s="2846"/>
      <c r="VDL25" s="2851"/>
      <c r="VDM25" s="2850"/>
      <c r="VDN25" s="2846"/>
      <c r="VDO25" s="2851"/>
      <c r="VDP25" s="2850"/>
      <c r="VDQ25" s="2846"/>
      <c r="VDR25" s="2851"/>
      <c r="VDS25" s="2850"/>
      <c r="VDT25" s="2846"/>
      <c r="VDU25" s="2851"/>
      <c r="VDV25" s="2850"/>
      <c r="VDW25" s="2846"/>
      <c r="VDX25" s="2851"/>
      <c r="VDY25" s="2850"/>
      <c r="VDZ25" s="2846"/>
      <c r="VEA25" s="2851"/>
      <c r="VEB25" s="2850"/>
      <c r="VEC25" s="2846"/>
      <c r="VED25" s="2851"/>
      <c r="VEE25" s="2850"/>
      <c r="VEF25" s="2846"/>
      <c r="VEG25" s="2851"/>
      <c r="VEH25" s="2850"/>
      <c r="VEI25" s="2846"/>
      <c r="VEJ25" s="2851"/>
      <c r="VEK25" s="2850"/>
      <c r="VEL25" s="2846"/>
      <c r="VEM25" s="2851"/>
      <c r="VEN25" s="2850"/>
      <c r="VEO25" s="2846"/>
      <c r="VEP25" s="2851"/>
      <c r="VEQ25" s="2850"/>
      <c r="VER25" s="2846"/>
      <c r="VES25" s="2851"/>
      <c r="VET25" s="2850"/>
      <c r="VEU25" s="2846"/>
      <c r="VEV25" s="2851"/>
      <c r="VEW25" s="2850"/>
      <c r="VEX25" s="2846"/>
      <c r="VEY25" s="2851"/>
      <c r="VEZ25" s="2850"/>
      <c r="VFA25" s="2846"/>
      <c r="VFB25" s="2851"/>
      <c r="VFC25" s="2850"/>
      <c r="VFD25" s="2846"/>
      <c r="VFE25" s="2851"/>
      <c r="VFF25" s="2850"/>
      <c r="VFG25" s="2846"/>
      <c r="VFH25" s="2851"/>
      <c r="VFI25" s="2850"/>
      <c r="VFJ25" s="2846"/>
      <c r="VFK25" s="2851"/>
      <c r="VFL25" s="2850"/>
      <c r="VFM25" s="2846"/>
      <c r="VFN25" s="2851"/>
      <c r="VFO25" s="2850"/>
      <c r="VFP25" s="2846"/>
      <c r="VFQ25" s="2851"/>
      <c r="VFR25" s="2850"/>
      <c r="VFS25" s="2846"/>
      <c r="VFT25" s="2851"/>
      <c r="VFU25" s="2850"/>
      <c r="VFV25" s="2846"/>
      <c r="VFW25" s="2851"/>
      <c r="VFX25" s="2850"/>
      <c r="VFY25" s="2846"/>
      <c r="VFZ25" s="2851"/>
      <c r="VGA25" s="2850"/>
      <c r="VGB25" s="2846"/>
      <c r="VGC25" s="2851"/>
      <c r="VGD25" s="2850"/>
      <c r="VGE25" s="2846"/>
      <c r="VGF25" s="2851"/>
      <c r="VGG25" s="2850"/>
      <c r="VGH25" s="2846"/>
      <c r="VGI25" s="2851"/>
      <c r="VGJ25" s="2850"/>
      <c r="VGK25" s="2846"/>
      <c r="VGL25" s="2851"/>
      <c r="VGM25" s="2850"/>
      <c r="VGN25" s="2846"/>
      <c r="VGO25" s="2851"/>
      <c r="VGP25" s="2850"/>
      <c r="VGQ25" s="2846"/>
      <c r="VGR25" s="2851"/>
      <c r="VGS25" s="2850"/>
      <c r="VGT25" s="2846"/>
      <c r="VGU25" s="2851"/>
      <c r="VGV25" s="2850"/>
      <c r="VGW25" s="2846"/>
      <c r="VGX25" s="2851"/>
      <c r="VGY25" s="2850"/>
      <c r="VGZ25" s="2846"/>
      <c r="VHA25" s="2851"/>
      <c r="VHB25" s="2850"/>
      <c r="VHC25" s="2846"/>
      <c r="VHD25" s="2851"/>
      <c r="VHE25" s="2850"/>
      <c r="VHF25" s="2846"/>
      <c r="VHG25" s="2851"/>
      <c r="VHH25" s="2850"/>
      <c r="VHI25" s="2846"/>
      <c r="VHJ25" s="2851"/>
      <c r="VHK25" s="2850"/>
      <c r="VHL25" s="2846"/>
      <c r="VHM25" s="2851"/>
      <c r="VHN25" s="2850"/>
      <c r="VHO25" s="2846"/>
      <c r="VHP25" s="2851"/>
      <c r="VHQ25" s="2850"/>
      <c r="VHR25" s="2846"/>
      <c r="VHS25" s="2851"/>
      <c r="VHT25" s="2850"/>
      <c r="VHU25" s="2846"/>
      <c r="VHV25" s="2851"/>
      <c r="VHW25" s="2850"/>
      <c r="VHX25" s="2846"/>
      <c r="VHY25" s="2851"/>
      <c r="VHZ25" s="2850"/>
      <c r="VIA25" s="2846"/>
      <c r="VIB25" s="2851"/>
      <c r="VIC25" s="2850"/>
      <c r="VID25" s="2846"/>
      <c r="VIE25" s="2851"/>
      <c r="VIF25" s="2850"/>
      <c r="VIG25" s="2846"/>
      <c r="VIH25" s="2851"/>
      <c r="VII25" s="2850"/>
      <c r="VIJ25" s="2846"/>
      <c r="VIK25" s="2851"/>
      <c r="VIL25" s="2850"/>
      <c r="VIM25" s="2846"/>
      <c r="VIN25" s="2851"/>
      <c r="VIO25" s="2850"/>
      <c r="VIP25" s="2846"/>
      <c r="VIQ25" s="2851"/>
      <c r="VIR25" s="2850"/>
      <c r="VIS25" s="2846"/>
      <c r="VIT25" s="2851"/>
      <c r="VIU25" s="2850"/>
      <c r="VIV25" s="2846"/>
      <c r="VIW25" s="2851"/>
      <c r="VIX25" s="2850"/>
      <c r="VIY25" s="2846"/>
      <c r="VIZ25" s="2851"/>
      <c r="VJA25" s="2850"/>
      <c r="VJB25" s="2846"/>
      <c r="VJC25" s="2851"/>
      <c r="VJD25" s="2850"/>
      <c r="VJE25" s="2846"/>
      <c r="VJF25" s="2851"/>
      <c r="VJG25" s="2850"/>
      <c r="VJH25" s="2846"/>
      <c r="VJI25" s="2851"/>
      <c r="VJJ25" s="2850"/>
      <c r="VJK25" s="2846"/>
      <c r="VJL25" s="2851"/>
      <c r="VJM25" s="2850"/>
      <c r="VJN25" s="2846"/>
      <c r="VJO25" s="2851"/>
      <c r="VJP25" s="2850"/>
      <c r="VJQ25" s="2846"/>
      <c r="VJR25" s="2851"/>
      <c r="VJS25" s="2850"/>
      <c r="VJT25" s="2846"/>
      <c r="VJU25" s="2851"/>
      <c r="VJV25" s="2850"/>
      <c r="VJW25" s="2846"/>
      <c r="VJX25" s="2851"/>
      <c r="VJY25" s="2850"/>
      <c r="VJZ25" s="2846"/>
      <c r="VKA25" s="2851"/>
      <c r="VKB25" s="2850"/>
      <c r="VKC25" s="2846"/>
      <c r="VKD25" s="2851"/>
      <c r="VKE25" s="2850"/>
      <c r="VKF25" s="2846"/>
      <c r="VKG25" s="2851"/>
      <c r="VKH25" s="2850"/>
      <c r="VKI25" s="2846"/>
      <c r="VKJ25" s="2851"/>
      <c r="VKK25" s="2850"/>
      <c r="VKL25" s="2846"/>
      <c r="VKM25" s="2851"/>
      <c r="VKN25" s="2850"/>
      <c r="VKO25" s="2846"/>
      <c r="VKP25" s="2851"/>
      <c r="VKQ25" s="2850"/>
      <c r="VKR25" s="2846"/>
      <c r="VKS25" s="2851"/>
      <c r="VKT25" s="2850"/>
      <c r="VKU25" s="2846"/>
      <c r="VKV25" s="2851"/>
      <c r="VKW25" s="2850"/>
      <c r="VKX25" s="2846"/>
      <c r="VKY25" s="2851"/>
      <c r="VKZ25" s="2850"/>
      <c r="VLA25" s="2846"/>
      <c r="VLB25" s="2851"/>
      <c r="VLC25" s="2850"/>
      <c r="VLD25" s="2846"/>
      <c r="VLE25" s="2851"/>
      <c r="VLF25" s="2850"/>
      <c r="VLG25" s="2846"/>
      <c r="VLH25" s="2851"/>
      <c r="VLI25" s="2850"/>
      <c r="VLJ25" s="2846"/>
      <c r="VLK25" s="2851"/>
      <c r="VLL25" s="2850"/>
      <c r="VLM25" s="2846"/>
      <c r="VLN25" s="2851"/>
      <c r="VLO25" s="2850"/>
      <c r="VLP25" s="2846"/>
      <c r="VLQ25" s="2851"/>
      <c r="VLR25" s="2850"/>
      <c r="VLS25" s="2846"/>
      <c r="VLT25" s="2851"/>
      <c r="VLU25" s="2850"/>
      <c r="VLV25" s="2846"/>
      <c r="VLW25" s="2851"/>
      <c r="VLX25" s="2850"/>
      <c r="VLY25" s="2846"/>
      <c r="VLZ25" s="2851"/>
      <c r="VMA25" s="2850"/>
      <c r="VMB25" s="2846"/>
      <c r="VMC25" s="2851"/>
      <c r="VMD25" s="2850"/>
      <c r="VME25" s="2846"/>
      <c r="VMF25" s="2851"/>
      <c r="VMG25" s="2850"/>
      <c r="VMH25" s="2846"/>
      <c r="VMI25" s="2851"/>
      <c r="VMJ25" s="2850"/>
      <c r="VMK25" s="2846"/>
      <c r="VML25" s="2851"/>
      <c r="VMM25" s="2850"/>
      <c r="VMN25" s="2846"/>
      <c r="VMO25" s="2851"/>
      <c r="VMP25" s="2850"/>
      <c r="VMQ25" s="2846"/>
      <c r="VMR25" s="2851"/>
      <c r="VMS25" s="2850"/>
      <c r="VMT25" s="2846"/>
      <c r="VMU25" s="2851"/>
      <c r="VMV25" s="2850"/>
      <c r="VMW25" s="2846"/>
      <c r="VMX25" s="2851"/>
      <c r="VMY25" s="2850"/>
      <c r="VMZ25" s="2846"/>
      <c r="VNA25" s="2851"/>
      <c r="VNB25" s="2850"/>
      <c r="VNC25" s="2846"/>
      <c r="VND25" s="2851"/>
      <c r="VNE25" s="2850"/>
      <c r="VNF25" s="2846"/>
      <c r="VNG25" s="2851"/>
      <c r="VNH25" s="2850"/>
      <c r="VNI25" s="2846"/>
      <c r="VNJ25" s="2851"/>
      <c r="VNK25" s="2850"/>
      <c r="VNL25" s="2846"/>
      <c r="VNM25" s="2851"/>
      <c r="VNN25" s="2850"/>
      <c r="VNO25" s="2846"/>
      <c r="VNP25" s="2851"/>
      <c r="VNQ25" s="2850"/>
      <c r="VNR25" s="2846"/>
      <c r="VNS25" s="2851"/>
      <c r="VNT25" s="2850"/>
      <c r="VNU25" s="2846"/>
      <c r="VNV25" s="2851"/>
      <c r="VNW25" s="2850"/>
      <c r="VNX25" s="2846"/>
      <c r="VNY25" s="2851"/>
      <c r="VNZ25" s="2850"/>
      <c r="VOA25" s="2846"/>
      <c r="VOB25" s="2851"/>
      <c r="VOC25" s="2850"/>
      <c r="VOD25" s="2846"/>
      <c r="VOE25" s="2851"/>
      <c r="VOF25" s="2850"/>
      <c r="VOG25" s="2846"/>
      <c r="VOH25" s="2851"/>
      <c r="VOI25" s="2850"/>
      <c r="VOJ25" s="2846"/>
      <c r="VOK25" s="2851"/>
      <c r="VOL25" s="2850"/>
      <c r="VOM25" s="2846"/>
      <c r="VON25" s="2851"/>
      <c r="VOO25" s="2850"/>
      <c r="VOP25" s="2846"/>
      <c r="VOQ25" s="2851"/>
      <c r="VOR25" s="2850"/>
      <c r="VOS25" s="2846"/>
      <c r="VOT25" s="2851"/>
      <c r="VOU25" s="2850"/>
      <c r="VOV25" s="2846"/>
      <c r="VOW25" s="2851"/>
      <c r="VOX25" s="2850"/>
      <c r="VOY25" s="2846"/>
      <c r="VOZ25" s="2851"/>
      <c r="VPA25" s="2850"/>
      <c r="VPB25" s="2846"/>
      <c r="VPC25" s="2851"/>
      <c r="VPD25" s="2850"/>
      <c r="VPE25" s="2846"/>
      <c r="VPF25" s="2851"/>
      <c r="VPG25" s="2850"/>
      <c r="VPH25" s="2846"/>
      <c r="VPI25" s="2851"/>
      <c r="VPJ25" s="2850"/>
      <c r="VPK25" s="2846"/>
      <c r="VPL25" s="2851"/>
      <c r="VPM25" s="2850"/>
      <c r="VPN25" s="2846"/>
      <c r="VPO25" s="2851"/>
      <c r="VPP25" s="2850"/>
      <c r="VPQ25" s="2846"/>
      <c r="VPR25" s="2851"/>
      <c r="VPS25" s="2850"/>
      <c r="VPT25" s="2846"/>
      <c r="VPU25" s="2851"/>
      <c r="VPV25" s="2850"/>
      <c r="VPW25" s="2846"/>
      <c r="VPX25" s="2851"/>
      <c r="VPY25" s="2850"/>
      <c r="VPZ25" s="2846"/>
      <c r="VQA25" s="2851"/>
      <c r="VQB25" s="2850"/>
      <c r="VQC25" s="2846"/>
      <c r="VQD25" s="2851"/>
      <c r="VQE25" s="2850"/>
      <c r="VQF25" s="2846"/>
      <c r="VQG25" s="2851"/>
      <c r="VQH25" s="2850"/>
      <c r="VQI25" s="2846"/>
      <c r="VQJ25" s="2851"/>
      <c r="VQK25" s="2850"/>
      <c r="VQL25" s="2846"/>
      <c r="VQM25" s="2851"/>
      <c r="VQN25" s="2850"/>
      <c r="VQO25" s="2846"/>
      <c r="VQP25" s="2851"/>
      <c r="VQQ25" s="2850"/>
      <c r="VQR25" s="2846"/>
      <c r="VQS25" s="2851"/>
      <c r="VQT25" s="2850"/>
      <c r="VQU25" s="2846"/>
      <c r="VQV25" s="2851"/>
      <c r="VQW25" s="2850"/>
      <c r="VQX25" s="2846"/>
      <c r="VQY25" s="2851"/>
      <c r="VQZ25" s="2850"/>
      <c r="VRA25" s="2846"/>
      <c r="VRB25" s="2851"/>
      <c r="VRC25" s="2850"/>
      <c r="VRD25" s="2846"/>
      <c r="VRE25" s="2851"/>
      <c r="VRF25" s="2850"/>
      <c r="VRG25" s="2846"/>
      <c r="VRH25" s="2851"/>
      <c r="VRI25" s="2850"/>
      <c r="VRJ25" s="2846"/>
      <c r="VRK25" s="2851"/>
      <c r="VRL25" s="2850"/>
      <c r="VRM25" s="2846"/>
      <c r="VRN25" s="2851"/>
      <c r="VRO25" s="2850"/>
      <c r="VRP25" s="2846"/>
      <c r="VRQ25" s="2851"/>
      <c r="VRR25" s="2850"/>
      <c r="VRS25" s="2846"/>
      <c r="VRT25" s="2851"/>
      <c r="VRU25" s="2850"/>
      <c r="VRV25" s="2846"/>
      <c r="VRW25" s="2851"/>
      <c r="VRX25" s="2850"/>
      <c r="VRY25" s="2846"/>
      <c r="VRZ25" s="2851"/>
      <c r="VSA25" s="2850"/>
      <c r="VSB25" s="2846"/>
      <c r="VSC25" s="2851"/>
      <c r="VSD25" s="2850"/>
      <c r="VSE25" s="2846"/>
      <c r="VSF25" s="2851"/>
      <c r="VSG25" s="2850"/>
      <c r="VSH25" s="2846"/>
      <c r="VSI25" s="2851"/>
      <c r="VSJ25" s="2850"/>
      <c r="VSK25" s="2846"/>
      <c r="VSL25" s="2851"/>
      <c r="VSM25" s="2850"/>
      <c r="VSN25" s="2846"/>
      <c r="VSO25" s="2851"/>
      <c r="VSP25" s="2850"/>
      <c r="VSQ25" s="2846"/>
      <c r="VSR25" s="2851"/>
      <c r="VSS25" s="2850"/>
      <c r="VST25" s="2846"/>
      <c r="VSU25" s="2851"/>
      <c r="VSV25" s="2850"/>
      <c r="VSW25" s="2846"/>
      <c r="VSX25" s="2851"/>
      <c r="VSY25" s="2850"/>
      <c r="VSZ25" s="2846"/>
      <c r="VTA25" s="2851"/>
      <c r="VTB25" s="2850"/>
      <c r="VTC25" s="2846"/>
      <c r="VTD25" s="2851"/>
      <c r="VTE25" s="2850"/>
      <c r="VTF25" s="2846"/>
      <c r="VTG25" s="2851"/>
      <c r="VTH25" s="2850"/>
      <c r="VTI25" s="2846"/>
      <c r="VTJ25" s="2851"/>
      <c r="VTK25" s="2850"/>
      <c r="VTL25" s="2846"/>
      <c r="VTM25" s="2851"/>
      <c r="VTN25" s="2850"/>
      <c r="VTO25" s="2846"/>
      <c r="VTP25" s="2851"/>
      <c r="VTQ25" s="2850"/>
      <c r="VTR25" s="2846"/>
      <c r="VTS25" s="2851"/>
      <c r="VTT25" s="2850"/>
      <c r="VTU25" s="2846"/>
      <c r="VTV25" s="2851"/>
      <c r="VTW25" s="2850"/>
      <c r="VTX25" s="2846"/>
      <c r="VTY25" s="2851"/>
      <c r="VTZ25" s="2850"/>
      <c r="VUA25" s="2846"/>
      <c r="VUB25" s="2851"/>
      <c r="VUC25" s="2850"/>
      <c r="VUD25" s="2846"/>
      <c r="VUE25" s="2851"/>
      <c r="VUF25" s="2850"/>
      <c r="VUG25" s="2846"/>
      <c r="VUH25" s="2851"/>
      <c r="VUI25" s="2850"/>
      <c r="VUJ25" s="2846"/>
      <c r="VUK25" s="2851"/>
      <c r="VUL25" s="2850"/>
      <c r="VUM25" s="2846"/>
      <c r="VUN25" s="2851"/>
      <c r="VUO25" s="2850"/>
      <c r="VUP25" s="2846"/>
      <c r="VUQ25" s="2851"/>
      <c r="VUR25" s="2850"/>
      <c r="VUS25" s="2846"/>
      <c r="VUT25" s="2851"/>
      <c r="VUU25" s="2850"/>
      <c r="VUV25" s="2846"/>
      <c r="VUW25" s="2851"/>
      <c r="VUX25" s="2850"/>
      <c r="VUY25" s="2846"/>
      <c r="VUZ25" s="2851"/>
      <c r="VVA25" s="2850"/>
      <c r="VVB25" s="2846"/>
      <c r="VVC25" s="2851"/>
      <c r="VVD25" s="2850"/>
      <c r="VVE25" s="2846"/>
      <c r="VVF25" s="2851"/>
      <c r="VVG25" s="2850"/>
      <c r="VVH25" s="2846"/>
      <c r="VVI25" s="2851"/>
      <c r="VVJ25" s="2850"/>
      <c r="VVK25" s="2846"/>
      <c r="VVL25" s="2851"/>
      <c r="VVM25" s="2850"/>
      <c r="VVN25" s="2846"/>
      <c r="VVO25" s="2851"/>
      <c r="VVP25" s="2850"/>
      <c r="VVQ25" s="2846"/>
      <c r="VVR25" s="2851"/>
      <c r="VVS25" s="2850"/>
      <c r="VVT25" s="2846"/>
      <c r="VVU25" s="2851"/>
      <c r="VVV25" s="2850"/>
      <c r="VVW25" s="2846"/>
      <c r="VVX25" s="2851"/>
      <c r="VVY25" s="2850"/>
      <c r="VVZ25" s="2846"/>
      <c r="VWA25" s="2851"/>
      <c r="VWB25" s="2850"/>
      <c r="VWC25" s="2846"/>
      <c r="VWD25" s="2851"/>
      <c r="VWE25" s="2850"/>
      <c r="VWF25" s="2846"/>
      <c r="VWG25" s="2851"/>
      <c r="VWH25" s="2850"/>
      <c r="VWI25" s="2846"/>
      <c r="VWJ25" s="2851"/>
      <c r="VWK25" s="2850"/>
      <c r="VWL25" s="2846"/>
      <c r="VWM25" s="2851"/>
      <c r="VWN25" s="2850"/>
      <c r="VWO25" s="2846"/>
      <c r="VWP25" s="2851"/>
      <c r="VWQ25" s="2850"/>
      <c r="VWR25" s="2846"/>
      <c r="VWS25" s="2851"/>
      <c r="VWT25" s="2850"/>
      <c r="VWU25" s="2846"/>
      <c r="VWV25" s="2851"/>
      <c r="VWW25" s="2850"/>
      <c r="VWX25" s="2846"/>
      <c r="VWY25" s="2851"/>
      <c r="VWZ25" s="2850"/>
      <c r="VXA25" s="2846"/>
      <c r="VXB25" s="2851"/>
      <c r="VXC25" s="2850"/>
      <c r="VXD25" s="2846"/>
      <c r="VXE25" s="2851"/>
      <c r="VXF25" s="2850"/>
      <c r="VXG25" s="2846"/>
      <c r="VXH25" s="2851"/>
      <c r="VXI25" s="2850"/>
      <c r="VXJ25" s="2846"/>
      <c r="VXK25" s="2851"/>
      <c r="VXL25" s="2850"/>
      <c r="VXM25" s="2846"/>
      <c r="VXN25" s="2851"/>
      <c r="VXO25" s="2850"/>
      <c r="VXP25" s="2846"/>
      <c r="VXQ25" s="2851"/>
      <c r="VXR25" s="2850"/>
      <c r="VXS25" s="2846"/>
      <c r="VXT25" s="2851"/>
      <c r="VXU25" s="2850"/>
      <c r="VXV25" s="2846"/>
      <c r="VXW25" s="2851"/>
      <c r="VXX25" s="2850"/>
      <c r="VXY25" s="2846"/>
      <c r="VXZ25" s="2851"/>
      <c r="VYA25" s="2850"/>
      <c r="VYB25" s="2846"/>
      <c r="VYC25" s="2851"/>
      <c r="VYD25" s="2850"/>
      <c r="VYE25" s="2846"/>
      <c r="VYF25" s="2851"/>
      <c r="VYG25" s="2850"/>
      <c r="VYH25" s="2846"/>
      <c r="VYI25" s="2851"/>
      <c r="VYJ25" s="2850"/>
      <c r="VYK25" s="2846"/>
      <c r="VYL25" s="2851"/>
      <c r="VYM25" s="2850"/>
      <c r="VYN25" s="2846"/>
      <c r="VYO25" s="2851"/>
      <c r="VYP25" s="2850"/>
      <c r="VYQ25" s="2846"/>
      <c r="VYR25" s="2851"/>
      <c r="VYS25" s="2850"/>
      <c r="VYT25" s="2846"/>
      <c r="VYU25" s="2851"/>
      <c r="VYV25" s="2850"/>
      <c r="VYW25" s="2846"/>
      <c r="VYX25" s="2851"/>
      <c r="VYY25" s="2850"/>
      <c r="VYZ25" s="2846"/>
      <c r="VZA25" s="2851"/>
      <c r="VZB25" s="2850"/>
      <c r="VZC25" s="2846"/>
      <c r="VZD25" s="2851"/>
      <c r="VZE25" s="2850"/>
      <c r="VZF25" s="2846"/>
      <c r="VZG25" s="2851"/>
      <c r="VZH25" s="2850"/>
      <c r="VZI25" s="2846"/>
      <c r="VZJ25" s="2851"/>
      <c r="VZK25" s="2850"/>
      <c r="VZL25" s="2846"/>
      <c r="VZM25" s="2851"/>
      <c r="VZN25" s="2850"/>
      <c r="VZO25" s="2846"/>
      <c r="VZP25" s="2851"/>
      <c r="VZQ25" s="2850"/>
      <c r="VZR25" s="2846"/>
      <c r="VZS25" s="2851"/>
      <c r="VZT25" s="2850"/>
      <c r="VZU25" s="2846"/>
      <c r="VZV25" s="2851"/>
      <c r="VZW25" s="2850"/>
      <c r="VZX25" s="2846"/>
      <c r="VZY25" s="2851"/>
      <c r="VZZ25" s="2850"/>
      <c r="WAA25" s="2846"/>
      <c r="WAB25" s="2851"/>
      <c r="WAC25" s="2850"/>
      <c r="WAD25" s="2846"/>
      <c r="WAE25" s="2851"/>
      <c r="WAF25" s="2850"/>
      <c r="WAG25" s="2846"/>
      <c r="WAH25" s="2851"/>
      <c r="WAI25" s="2850"/>
      <c r="WAJ25" s="2846"/>
      <c r="WAK25" s="2851"/>
      <c r="WAL25" s="2850"/>
      <c r="WAM25" s="2846"/>
      <c r="WAN25" s="2851"/>
      <c r="WAO25" s="2850"/>
      <c r="WAP25" s="2846"/>
      <c r="WAQ25" s="2851"/>
      <c r="WAR25" s="2850"/>
      <c r="WAS25" s="2846"/>
      <c r="WAT25" s="2851"/>
      <c r="WAU25" s="2850"/>
      <c r="WAV25" s="2846"/>
      <c r="WAW25" s="2851"/>
      <c r="WAX25" s="2850"/>
      <c r="WAY25" s="2846"/>
      <c r="WAZ25" s="2851"/>
      <c r="WBA25" s="2850"/>
      <c r="WBB25" s="2846"/>
      <c r="WBC25" s="2851"/>
      <c r="WBD25" s="2850"/>
      <c r="WBE25" s="2846"/>
      <c r="WBF25" s="2851"/>
      <c r="WBG25" s="2850"/>
      <c r="WBH25" s="2846"/>
      <c r="WBI25" s="2851"/>
      <c r="WBJ25" s="2850"/>
      <c r="WBK25" s="2846"/>
      <c r="WBL25" s="2851"/>
      <c r="WBM25" s="2850"/>
      <c r="WBN25" s="2846"/>
      <c r="WBO25" s="2851"/>
      <c r="WBP25" s="2850"/>
      <c r="WBQ25" s="2846"/>
      <c r="WBR25" s="2851"/>
      <c r="WBS25" s="2850"/>
      <c r="WBT25" s="2846"/>
      <c r="WBU25" s="2851"/>
      <c r="WBV25" s="2850"/>
      <c r="WBW25" s="2846"/>
      <c r="WBX25" s="2851"/>
      <c r="WBY25" s="2850"/>
      <c r="WBZ25" s="2846"/>
      <c r="WCA25" s="2851"/>
      <c r="WCB25" s="2850"/>
      <c r="WCC25" s="2846"/>
      <c r="WCD25" s="2851"/>
      <c r="WCE25" s="2850"/>
      <c r="WCF25" s="2846"/>
      <c r="WCG25" s="2851"/>
      <c r="WCH25" s="2850"/>
      <c r="WCI25" s="2846"/>
      <c r="WCJ25" s="2851"/>
      <c r="WCK25" s="2850"/>
      <c r="WCL25" s="2846"/>
      <c r="WCM25" s="2851"/>
      <c r="WCN25" s="2850"/>
      <c r="WCO25" s="2846"/>
      <c r="WCP25" s="2851"/>
      <c r="WCQ25" s="2850"/>
      <c r="WCR25" s="2846"/>
      <c r="WCS25" s="2851"/>
      <c r="WCT25" s="2850"/>
      <c r="WCU25" s="2846"/>
      <c r="WCV25" s="2851"/>
      <c r="WCW25" s="2850"/>
      <c r="WCX25" s="2846"/>
      <c r="WCY25" s="2851"/>
      <c r="WCZ25" s="2850"/>
      <c r="WDA25" s="2846"/>
      <c r="WDB25" s="2851"/>
      <c r="WDC25" s="2850"/>
      <c r="WDD25" s="2846"/>
      <c r="WDE25" s="2851"/>
      <c r="WDF25" s="2850"/>
      <c r="WDG25" s="2846"/>
      <c r="WDH25" s="2851"/>
      <c r="WDI25" s="2850"/>
      <c r="WDJ25" s="2846"/>
      <c r="WDK25" s="2851"/>
      <c r="WDL25" s="2850"/>
      <c r="WDM25" s="2846"/>
      <c r="WDN25" s="2851"/>
      <c r="WDO25" s="2850"/>
      <c r="WDP25" s="2846"/>
      <c r="WDQ25" s="2851"/>
      <c r="WDR25" s="2850"/>
      <c r="WDS25" s="2846"/>
      <c r="WDT25" s="2851"/>
      <c r="WDU25" s="2850"/>
      <c r="WDV25" s="2846"/>
      <c r="WDW25" s="2851"/>
      <c r="WDX25" s="2850"/>
      <c r="WDY25" s="2846"/>
      <c r="WDZ25" s="2851"/>
      <c r="WEA25" s="2850"/>
      <c r="WEB25" s="2846"/>
      <c r="WEC25" s="2851"/>
      <c r="WED25" s="2850"/>
      <c r="WEE25" s="2846"/>
      <c r="WEF25" s="2851"/>
      <c r="WEG25" s="2850"/>
      <c r="WEH25" s="2846"/>
      <c r="WEI25" s="2851"/>
      <c r="WEJ25" s="2850"/>
      <c r="WEK25" s="2846"/>
      <c r="WEL25" s="2851"/>
      <c r="WEM25" s="2850"/>
      <c r="WEN25" s="2846"/>
      <c r="WEO25" s="2851"/>
      <c r="WEP25" s="2850"/>
      <c r="WEQ25" s="2846"/>
      <c r="WER25" s="2851"/>
      <c r="WES25" s="2850"/>
      <c r="WET25" s="2846"/>
      <c r="WEU25" s="2851"/>
      <c r="WEV25" s="2850"/>
      <c r="WEW25" s="2846"/>
      <c r="WEX25" s="2851"/>
      <c r="WEY25" s="2850"/>
      <c r="WEZ25" s="2846"/>
      <c r="WFA25" s="2851"/>
      <c r="WFB25" s="2850"/>
      <c r="WFC25" s="2846"/>
      <c r="WFD25" s="2851"/>
      <c r="WFE25" s="2850"/>
      <c r="WFF25" s="2846"/>
      <c r="WFG25" s="2851"/>
      <c r="WFH25" s="2850"/>
      <c r="WFI25" s="2846"/>
      <c r="WFJ25" s="2851"/>
      <c r="WFK25" s="2850"/>
      <c r="WFL25" s="2846"/>
      <c r="WFM25" s="2851"/>
      <c r="WFN25" s="2850"/>
      <c r="WFO25" s="2846"/>
      <c r="WFP25" s="2851"/>
      <c r="WFQ25" s="2850"/>
      <c r="WFR25" s="2846"/>
      <c r="WFS25" s="2851"/>
      <c r="WFT25" s="2850"/>
      <c r="WFU25" s="2846"/>
      <c r="WFV25" s="2851"/>
      <c r="WFW25" s="2850"/>
      <c r="WFX25" s="2846"/>
      <c r="WFY25" s="2851"/>
      <c r="WFZ25" s="2850"/>
      <c r="WGA25" s="2846"/>
      <c r="WGB25" s="2851"/>
      <c r="WGC25" s="2850"/>
      <c r="WGD25" s="2846"/>
      <c r="WGE25" s="2851"/>
      <c r="WGF25" s="2850"/>
      <c r="WGG25" s="2846"/>
      <c r="WGH25" s="2851"/>
      <c r="WGI25" s="2850"/>
      <c r="WGJ25" s="2846"/>
      <c r="WGK25" s="2851"/>
      <c r="WGL25" s="2850"/>
      <c r="WGM25" s="2846"/>
      <c r="WGN25" s="2851"/>
      <c r="WGO25" s="2850"/>
      <c r="WGP25" s="2846"/>
      <c r="WGQ25" s="2851"/>
      <c r="WGR25" s="2850"/>
      <c r="WGS25" s="2846"/>
      <c r="WGT25" s="2851"/>
      <c r="WGU25" s="2850"/>
      <c r="WGV25" s="2846"/>
      <c r="WGW25" s="2851"/>
      <c r="WGX25" s="2850"/>
      <c r="WGY25" s="2846"/>
      <c r="WGZ25" s="2851"/>
      <c r="WHA25" s="2850"/>
      <c r="WHB25" s="2846"/>
      <c r="WHC25" s="2851"/>
      <c r="WHD25" s="2850"/>
      <c r="WHE25" s="2846"/>
      <c r="WHF25" s="2851"/>
      <c r="WHG25" s="2850"/>
      <c r="WHH25" s="2846"/>
      <c r="WHI25" s="2851"/>
      <c r="WHJ25" s="2850"/>
      <c r="WHK25" s="2846"/>
      <c r="WHL25" s="2851"/>
      <c r="WHM25" s="2850"/>
      <c r="WHN25" s="2846"/>
      <c r="WHO25" s="2851"/>
      <c r="WHP25" s="2850"/>
      <c r="WHQ25" s="2846"/>
      <c r="WHR25" s="2851"/>
      <c r="WHS25" s="2850"/>
      <c r="WHT25" s="2846"/>
      <c r="WHU25" s="2851"/>
      <c r="WHV25" s="2850"/>
      <c r="WHW25" s="2846"/>
      <c r="WHX25" s="2851"/>
      <c r="WHY25" s="2850"/>
      <c r="WHZ25" s="2846"/>
      <c r="WIA25" s="2851"/>
      <c r="WIB25" s="2850"/>
      <c r="WIC25" s="2846"/>
      <c r="WID25" s="2851"/>
      <c r="WIE25" s="2850"/>
      <c r="WIF25" s="2846"/>
      <c r="WIG25" s="2851"/>
      <c r="WIH25" s="2850"/>
      <c r="WII25" s="2846"/>
      <c r="WIJ25" s="2851"/>
      <c r="WIK25" s="2850"/>
      <c r="WIL25" s="2846"/>
      <c r="WIM25" s="2851"/>
      <c r="WIN25" s="2850"/>
      <c r="WIO25" s="2846"/>
      <c r="WIP25" s="2851"/>
      <c r="WIQ25" s="2850"/>
      <c r="WIR25" s="2846"/>
      <c r="WIS25" s="2851"/>
      <c r="WIT25" s="2850"/>
      <c r="WIU25" s="2846"/>
      <c r="WIV25" s="2851"/>
      <c r="WIW25" s="2850"/>
      <c r="WIX25" s="2846"/>
      <c r="WIY25" s="2851"/>
      <c r="WIZ25" s="2850"/>
      <c r="WJA25" s="2846"/>
      <c r="WJB25" s="2851"/>
      <c r="WJC25" s="2850"/>
      <c r="WJD25" s="2846"/>
      <c r="WJE25" s="2851"/>
      <c r="WJF25" s="2850"/>
      <c r="WJG25" s="2846"/>
      <c r="WJH25" s="2851"/>
      <c r="WJI25" s="2850"/>
      <c r="WJJ25" s="2846"/>
      <c r="WJK25" s="2851"/>
      <c r="WJL25" s="2850"/>
      <c r="WJM25" s="2846"/>
      <c r="WJN25" s="2851"/>
      <c r="WJO25" s="2850"/>
      <c r="WJP25" s="2846"/>
      <c r="WJQ25" s="2851"/>
      <c r="WJR25" s="2850"/>
      <c r="WJS25" s="2846"/>
      <c r="WJT25" s="2851"/>
      <c r="WJU25" s="2850"/>
      <c r="WJV25" s="2846"/>
      <c r="WJW25" s="2851"/>
      <c r="WJX25" s="2850"/>
      <c r="WJY25" s="2846"/>
      <c r="WJZ25" s="2851"/>
      <c r="WKA25" s="2850"/>
      <c r="WKB25" s="2846"/>
      <c r="WKC25" s="2851"/>
      <c r="WKD25" s="2850"/>
      <c r="WKE25" s="2846"/>
      <c r="WKF25" s="2851"/>
      <c r="WKG25" s="2850"/>
      <c r="WKH25" s="2846"/>
      <c r="WKI25" s="2851"/>
      <c r="WKJ25" s="2850"/>
      <c r="WKK25" s="2846"/>
      <c r="WKL25" s="2851"/>
      <c r="WKM25" s="2850"/>
      <c r="WKN25" s="2846"/>
      <c r="WKO25" s="2851"/>
      <c r="WKP25" s="2850"/>
      <c r="WKQ25" s="2846"/>
      <c r="WKR25" s="2851"/>
      <c r="WKS25" s="2850"/>
      <c r="WKT25" s="2846"/>
      <c r="WKU25" s="2851"/>
      <c r="WKV25" s="2850"/>
      <c r="WKW25" s="2846"/>
      <c r="WKX25" s="2851"/>
      <c r="WKY25" s="2850"/>
      <c r="WKZ25" s="2846"/>
      <c r="WLA25" s="2851"/>
      <c r="WLB25" s="2850"/>
      <c r="WLC25" s="2846"/>
      <c r="WLD25" s="2851"/>
      <c r="WLE25" s="2850"/>
      <c r="WLF25" s="2846"/>
      <c r="WLG25" s="2851"/>
      <c r="WLH25" s="2850"/>
      <c r="WLI25" s="2846"/>
      <c r="WLJ25" s="2851"/>
      <c r="WLK25" s="2850"/>
      <c r="WLL25" s="2846"/>
      <c r="WLM25" s="2851"/>
      <c r="WLN25" s="2850"/>
      <c r="WLO25" s="2846"/>
      <c r="WLP25" s="2851"/>
      <c r="WLQ25" s="2850"/>
      <c r="WLR25" s="2846"/>
      <c r="WLS25" s="2851"/>
      <c r="WLT25" s="2850"/>
      <c r="WLU25" s="2846"/>
      <c r="WLV25" s="2851"/>
      <c r="WLW25" s="2850"/>
      <c r="WLX25" s="2846"/>
      <c r="WLY25" s="2851"/>
      <c r="WLZ25" s="2850"/>
      <c r="WMA25" s="2846"/>
      <c r="WMB25" s="2851"/>
      <c r="WMC25" s="2850"/>
      <c r="WMD25" s="2846"/>
      <c r="WME25" s="2851"/>
      <c r="WMF25" s="2850"/>
      <c r="WMG25" s="2846"/>
      <c r="WMH25" s="2851"/>
      <c r="WMI25" s="2850"/>
      <c r="WMJ25" s="2846"/>
      <c r="WMK25" s="2851"/>
      <c r="WML25" s="2850"/>
      <c r="WMM25" s="2846"/>
      <c r="WMN25" s="2851"/>
      <c r="WMO25" s="2850"/>
      <c r="WMP25" s="2846"/>
      <c r="WMQ25" s="2851"/>
      <c r="WMR25" s="2850"/>
      <c r="WMS25" s="2846"/>
      <c r="WMT25" s="2851"/>
      <c r="WMU25" s="2850"/>
      <c r="WMV25" s="2846"/>
      <c r="WMW25" s="2851"/>
      <c r="WMX25" s="2850"/>
      <c r="WMY25" s="2846"/>
      <c r="WMZ25" s="2851"/>
      <c r="WNA25" s="2850"/>
      <c r="WNB25" s="2846"/>
      <c r="WNC25" s="2851"/>
      <c r="WND25" s="2850"/>
      <c r="WNE25" s="2846"/>
      <c r="WNF25" s="2851"/>
      <c r="WNG25" s="2850"/>
      <c r="WNH25" s="2846"/>
      <c r="WNI25" s="2851"/>
      <c r="WNJ25" s="2850"/>
      <c r="WNK25" s="2846"/>
      <c r="WNL25" s="2851"/>
      <c r="WNM25" s="2850"/>
      <c r="WNN25" s="2846"/>
      <c r="WNO25" s="2851"/>
      <c r="WNP25" s="2850"/>
      <c r="WNQ25" s="2846"/>
      <c r="WNR25" s="2851"/>
      <c r="WNS25" s="2850"/>
      <c r="WNT25" s="2846"/>
      <c r="WNU25" s="2851"/>
      <c r="WNV25" s="2850"/>
      <c r="WNW25" s="2846"/>
      <c r="WNX25" s="2851"/>
      <c r="WNY25" s="2850"/>
      <c r="WNZ25" s="2846"/>
      <c r="WOA25" s="2851"/>
      <c r="WOB25" s="2850"/>
      <c r="WOC25" s="2846"/>
      <c r="WOD25" s="2851"/>
      <c r="WOE25" s="2850"/>
      <c r="WOF25" s="2846"/>
      <c r="WOG25" s="2851"/>
      <c r="WOH25" s="2850"/>
      <c r="WOI25" s="2846"/>
      <c r="WOJ25" s="2851"/>
      <c r="WOK25" s="2850"/>
      <c r="WOL25" s="2846"/>
      <c r="WOM25" s="2851"/>
      <c r="WON25" s="2850"/>
      <c r="WOO25" s="2846"/>
      <c r="WOP25" s="2851"/>
      <c r="WOQ25" s="2850"/>
      <c r="WOR25" s="2846"/>
      <c r="WOS25" s="2851"/>
      <c r="WOT25" s="2850"/>
      <c r="WOU25" s="2846"/>
      <c r="WOV25" s="2851"/>
      <c r="WOW25" s="2850"/>
      <c r="WOX25" s="2846"/>
      <c r="WOY25" s="2851"/>
      <c r="WOZ25" s="2850"/>
      <c r="WPA25" s="2846"/>
      <c r="WPB25" s="2851"/>
      <c r="WPC25" s="2850"/>
      <c r="WPD25" s="2846"/>
      <c r="WPE25" s="2851"/>
      <c r="WPF25" s="2850"/>
      <c r="WPG25" s="2846"/>
      <c r="WPH25" s="2851"/>
      <c r="WPI25" s="2850"/>
      <c r="WPJ25" s="2846"/>
      <c r="WPK25" s="2851"/>
      <c r="WPL25" s="2850"/>
      <c r="WPM25" s="2846"/>
      <c r="WPN25" s="2851"/>
      <c r="WPO25" s="2850"/>
      <c r="WPP25" s="2846"/>
      <c r="WPQ25" s="2851"/>
      <c r="WPR25" s="2850"/>
      <c r="WPS25" s="2846"/>
      <c r="WPT25" s="2851"/>
      <c r="WPU25" s="2850"/>
      <c r="WPV25" s="2846"/>
      <c r="WPW25" s="2851"/>
      <c r="WPX25" s="2850"/>
      <c r="WPY25" s="2846"/>
      <c r="WPZ25" s="2851"/>
      <c r="WQA25" s="2850"/>
      <c r="WQB25" s="2846"/>
      <c r="WQC25" s="2851"/>
      <c r="WQD25" s="2850"/>
      <c r="WQE25" s="2846"/>
      <c r="WQF25" s="2851"/>
      <c r="WQG25" s="2850"/>
      <c r="WQH25" s="2846"/>
      <c r="WQI25" s="2851"/>
      <c r="WQJ25" s="2850"/>
      <c r="WQK25" s="2846"/>
      <c r="WQL25" s="2851"/>
      <c r="WQM25" s="2850"/>
      <c r="WQN25" s="2846"/>
      <c r="WQO25" s="2851"/>
      <c r="WQP25" s="2850"/>
      <c r="WQQ25" s="2846"/>
      <c r="WQR25" s="2851"/>
      <c r="WQS25" s="2850"/>
      <c r="WQT25" s="2846"/>
      <c r="WQU25" s="2851"/>
      <c r="WQV25" s="2850"/>
      <c r="WQW25" s="2846"/>
      <c r="WQX25" s="2851"/>
      <c r="WQY25" s="2850"/>
      <c r="WQZ25" s="2846"/>
      <c r="WRA25" s="2851"/>
      <c r="WRB25" s="2850"/>
      <c r="WRC25" s="2846"/>
      <c r="WRD25" s="2851"/>
      <c r="WRE25" s="2850"/>
      <c r="WRF25" s="2846"/>
      <c r="WRG25" s="2851"/>
      <c r="WRH25" s="2850"/>
      <c r="WRI25" s="2846"/>
      <c r="WRJ25" s="2851"/>
      <c r="WRK25" s="2850"/>
      <c r="WRL25" s="2846"/>
      <c r="WRM25" s="2851"/>
      <c r="WRN25" s="2850"/>
      <c r="WRO25" s="2846"/>
      <c r="WRP25" s="2851"/>
      <c r="WRQ25" s="2850"/>
      <c r="WRR25" s="2846"/>
      <c r="WRS25" s="2851"/>
      <c r="WRT25" s="2850"/>
      <c r="WRU25" s="2846"/>
      <c r="WRV25" s="2851"/>
      <c r="WRW25" s="2850"/>
      <c r="WRX25" s="2846"/>
      <c r="WRY25" s="2851"/>
      <c r="WRZ25" s="2850"/>
      <c r="WSA25" s="2846"/>
      <c r="WSB25" s="2851"/>
      <c r="WSC25" s="2850"/>
      <c r="WSD25" s="2846"/>
      <c r="WSE25" s="2851"/>
      <c r="WSF25" s="2850"/>
      <c r="WSG25" s="2846"/>
      <c r="WSH25" s="2851"/>
      <c r="WSI25" s="2850"/>
      <c r="WSJ25" s="2846"/>
      <c r="WSK25" s="2851"/>
      <c r="WSL25" s="2850"/>
      <c r="WSM25" s="2846"/>
      <c r="WSN25" s="2851"/>
      <c r="WSO25" s="2850"/>
      <c r="WSP25" s="2846"/>
      <c r="WSQ25" s="2851"/>
      <c r="WSR25" s="2850"/>
      <c r="WSS25" s="2846"/>
      <c r="WST25" s="2851"/>
      <c r="WSU25" s="2850"/>
      <c r="WSV25" s="2846"/>
      <c r="WSW25" s="2851"/>
      <c r="WSX25" s="2850"/>
      <c r="WSY25" s="2846"/>
      <c r="WSZ25" s="2851"/>
      <c r="WTA25" s="2850"/>
      <c r="WTB25" s="2846"/>
      <c r="WTC25" s="2851"/>
      <c r="WTD25" s="2850"/>
      <c r="WTE25" s="2846"/>
      <c r="WTF25" s="2851"/>
      <c r="WTG25" s="2850"/>
      <c r="WTH25" s="2846"/>
      <c r="WTI25" s="2851"/>
      <c r="WTJ25" s="2850"/>
      <c r="WTK25" s="2846"/>
      <c r="WTL25" s="2851"/>
      <c r="WTM25" s="2850"/>
      <c r="WTN25" s="2846"/>
      <c r="WTO25" s="2851"/>
      <c r="WTP25" s="2850"/>
      <c r="WTQ25" s="2846"/>
      <c r="WTR25" s="2851"/>
      <c r="WTS25" s="2850"/>
      <c r="WTT25" s="2846"/>
      <c r="WTU25" s="2851"/>
      <c r="WTV25" s="2850"/>
      <c r="WTW25" s="2846"/>
      <c r="WTX25" s="2851"/>
      <c r="WTY25" s="2850"/>
      <c r="WTZ25" s="2846"/>
      <c r="WUA25" s="2851"/>
      <c r="WUB25" s="2850"/>
      <c r="WUC25" s="2846"/>
      <c r="WUD25" s="2851"/>
      <c r="WUE25" s="2850"/>
      <c r="WUF25" s="2846"/>
      <c r="WUG25" s="2851"/>
      <c r="WUH25" s="2850"/>
      <c r="WUI25" s="2846"/>
      <c r="WUJ25" s="2851"/>
      <c r="WUK25" s="2850"/>
      <c r="WUL25" s="2846"/>
      <c r="WUM25" s="2851"/>
      <c r="WUN25" s="2850"/>
      <c r="WUO25" s="2846"/>
      <c r="WUP25" s="2851"/>
      <c r="WUQ25" s="2850"/>
      <c r="WUR25" s="2846"/>
      <c r="WUS25" s="2851"/>
      <c r="WUT25" s="2850"/>
      <c r="WUU25" s="2846"/>
      <c r="WUV25" s="2851"/>
      <c r="WUW25" s="2850"/>
      <c r="WUX25" s="2846"/>
      <c r="WUY25" s="2851"/>
      <c r="WUZ25" s="2850"/>
      <c r="WVA25" s="2846"/>
      <c r="WVB25" s="2851"/>
      <c r="WVC25" s="2850"/>
      <c r="WVD25" s="2846"/>
      <c r="WVE25" s="2851"/>
      <c r="WVF25" s="2850"/>
      <c r="WVG25" s="2846"/>
      <c r="WVH25" s="2851"/>
      <c r="WVI25" s="2850"/>
      <c r="WVJ25" s="2846"/>
      <c r="WVK25" s="2851"/>
      <c r="WVL25" s="2850"/>
      <c r="WVM25" s="2846"/>
      <c r="WVN25" s="2851"/>
      <c r="WVO25" s="2850"/>
      <c r="WVP25" s="2846"/>
      <c r="WVQ25" s="2851"/>
      <c r="WVR25" s="2850"/>
      <c r="WVS25" s="2846"/>
      <c r="WVT25" s="2851"/>
      <c r="WVU25" s="2850"/>
      <c r="WVV25" s="2846"/>
      <c r="WVW25" s="2851"/>
      <c r="WVX25" s="2850"/>
      <c r="WVY25" s="2846"/>
      <c r="WVZ25" s="2851"/>
      <c r="WWA25" s="2850"/>
      <c r="WWB25" s="2846"/>
      <c r="WWC25" s="2851"/>
      <c r="WWD25" s="2850"/>
      <c r="WWE25" s="2846"/>
      <c r="WWF25" s="2851"/>
      <c r="WWG25" s="2850"/>
      <c r="WWH25" s="2846"/>
      <c r="WWI25" s="2851"/>
      <c r="WWJ25" s="2850"/>
      <c r="WWK25" s="2846"/>
      <c r="WWL25" s="2851"/>
      <c r="WWM25" s="2850"/>
      <c r="WWN25" s="2846"/>
      <c r="WWO25" s="2851"/>
      <c r="WWP25" s="2850"/>
      <c r="WWQ25" s="2846"/>
      <c r="WWR25" s="2851"/>
      <c r="WWS25" s="2850"/>
      <c r="WWT25" s="2846"/>
      <c r="WWU25" s="2851"/>
      <c r="WWV25" s="2850"/>
      <c r="WWW25" s="2846"/>
      <c r="WWX25" s="2851"/>
      <c r="WWY25" s="2850"/>
      <c r="WWZ25" s="2846"/>
      <c r="WXA25" s="2851"/>
      <c r="WXB25" s="2850"/>
      <c r="WXC25" s="2846"/>
      <c r="WXD25" s="2851"/>
      <c r="WXE25" s="2850"/>
      <c r="WXF25" s="2846"/>
      <c r="WXG25" s="2851"/>
      <c r="WXH25" s="2850"/>
      <c r="WXI25" s="2846"/>
      <c r="WXJ25" s="2851"/>
      <c r="WXK25" s="2850"/>
      <c r="WXL25" s="2846"/>
      <c r="WXM25" s="2851"/>
      <c r="WXN25" s="2850"/>
      <c r="WXO25" s="2846"/>
      <c r="WXP25" s="2851"/>
      <c r="WXQ25" s="2850"/>
      <c r="WXR25" s="2846"/>
      <c r="WXS25" s="2851"/>
      <c r="WXT25" s="2850"/>
      <c r="WXU25" s="2846"/>
      <c r="WXV25" s="2851"/>
      <c r="WXW25" s="2850"/>
      <c r="WXX25" s="2846"/>
      <c r="WXY25" s="2851"/>
      <c r="WXZ25" s="2850"/>
      <c r="WYA25" s="2846"/>
      <c r="WYB25" s="2851"/>
      <c r="WYC25" s="2850"/>
      <c r="WYD25" s="2846"/>
      <c r="WYE25" s="2851"/>
      <c r="WYF25" s="2850"/>
      <c r="WYG25" s="2846"/>
      <c r="WYH25" s="2851"/>
      <c r="WYI25" s="2850"/>
      <c r="WYJ25" s="2846"/>
      <c r="WYK25" s="2851"/>
      <c r="WYL25" s="2850"/>
      <c r="WYM25" s="2846"/>
      <c r="WYN25" s="2851"/>
      <c r="WYO25" s="2850"/>
      <c r="WYP25" s="2846"/>
      <c r="WYQ25" s="2851"/>
      <c r="WYR25" s="2850"/>
      <c r="WYS25" s="2846"/>
      <c r="WYT25" s="2851"/>
      <c r="WYU25" s="2850"/>
      <c r="WYV25" s="2846"/>
      <c r="WYW25" s="2851"/>
      <c r="WYX25" s="2850"/>
      <c r="WYY25" s="2846"/>
      <c r="WYZ25" s="2851"/>
      <c r="WZA25" s="2850"/>
      <c r="WZB25" s="2846"/>
      <c r="WZC25" s="2851"/>
      <c r="WZD25" s="2850"/>
      <c r="WZE25" s="2846"/>
      <c r="WZF25" s="2851"/>
      <c r="WZG25" s="2850"/>
      <c r="WZH25" s="2846"/>
      <c r="WZI25" s="2851"/>
      <c r="WZJ25" s="2850"/>
      <c r="WZK25" s="2846"/>
      <c r="WZL25" s="2851"/>
      <c r="WZM25" s="2850"/>
      <c r="WZN25" s="2846"/>
      <c r="WZO25" s="2851"/>
      <c r="WZP25" s="2850"/>
      <c r="WZQ25" s="2846"/>
      <c r="WZR25" s="2851"/>
      <c r="WZS25" s="2850"/>
      <c r="WZT25" s="2846"/>
      <c r="WZU25" s="2851"/>
      <c r="WZV25" s="2850"/>
      <c r="WZW25" s="2846"/>
      <c r="WZX25" s="2851"/>
      <c r="WZY25" s="2850"/>
      <c r="WZZ25" s="2846"/>
      <c r="XAA25" s="2851"/>
      <c r="XAB25" s="2850"/>
      <c r="XAC25" s="2846"/>
      <c r="XAD25" s="2851"/>
      <c r="XAE25" s="2850"/>
      <c r="XAF25" s="2846"/>
      <c r="XAG25" s="2851"/>
      <c r="XAH25" s="2850"/>
      <c r="XAI25" s="2846"/>
      <c r="XAJ25" s="2851"/>
      <c r="XAK25" s="2850"/>
      <c r="XAL25" s="2846"/>
      <c r="XAM25" s="2851"/>
      <c r="XAN25" s="2850"/>
      <c r="XAO25" s="2846"/>
      <c r="XAP25" s="2851"/>
      <c r="XAQ25" s="2850"/>
      <c r="XAR25" s="2846"/>
      <c r="XAS25" s="2851"/>
      <c r="XAT25" s="2850"/>
      <c r="XAU25" s="2846"/>
      <c r="XAV25" s="2851"/>
      <c r="XAW25" s="2850"/>
      <c r="XAX25" s="2846"/>
      <c r="XAY25" s="2851"/>
      <c r="XAZ25" s="2850"/>
      <c r="XBA25" s="2846"/>
      <c r="XBB25" s="2851"/>
      <c r="XBC25" s="2850"/>
      <c r="XBD25" s="2846"/>
      <c r="XBE25" s="2851"/>
      <c r="XBF25" s="2850"/>
      <c r="XBG25" s="2846"/>
      <c r="XBH25" s="2851"/>
      <c r="XBI25" s="2850"/>
      <c r="XBJ25" s="2846"/>
      <c r="XBK25" s="2851"/>
      <c r="XBL25" s="2850"/>
      <c r="XBM25" s="2846"/>
      <c r="XBN25" s="2851"/>
      <c r="XBO25" s="2850"/>
      <c r="XBP25" s="2846"/>
      <c r="XBQ25" s="2851"/>
      <c r="XBR25" s="2850"/>
      <c r="XBS25" s="2846"/>
      <c r="XBT25" s="2851"/>
      <c r="XBU25" s="2850"/>
      <c r="XBV25" s="2846"/>
      <c r="XBW25" s="2851"/>
      <c r="XBX25" s="2850"/>
      <c r="XBY25" s="2846"/>
      <c r="XBZ25" s="2851"/>
      <c r="XCA25" s="2850"/>
      <c r="XCB25" s="2846"/>
      <c r="XCC25" s="2851"/>
      <c r="XCD25" s="2850"/>
      <c r="XCE25" s="2846"/>
      <c r="XCF25" s="2851"/>
      <c r="XCG25" s="2850"/>
      <c r="XCH25" s="2846"/>
      <c r="XCI25" s="2851"/>
      <c r="XCJ25" s="2850"/>
      <c r="XCK25" s="2846"/>
      <c r="XCL25" s="2851"/>
      <c r="XCM25" s="2850"/>
      <c r="XCN25" s="2846"/>
      <c r="XCO25" s="2851"/>
      <c r="XCP25" s="2850"/>
      <c r="XCQ25" s="2846"/>
      <c r="XCR25" s="2851"/>
      <c r="XCS25" s="2850"/>
      <c r="XCT25" s="2846"/>
      <c r="XCU25" s="2851"/>
      <c r="XCV25" s="2850"/>
      <c r="XCW25" s="2846"/>
      <c r="XCX25" s="2851"/>
      <c r="XCY25" s="2850"/>
      <c r="XCZ25" s="2846"/>
      <c r="XDA25" s="2851"/>
      <c r="XDB25" s="2850"/>
      <c r="XDC25" s="2846"/>
      <c r="XDD25" s="2851"/>
      <c r="XDE25" s="2850"/>
      <c r="XDF25" s="2846"/>
      <c r="XDG25" s="2851"/>
      <c r="XDH25" s="2850"/>
      <c r="XDI25" s="2846"/>
      <c r="XDJ25" s="2851"/>
      <c r="XDK25" s="2850"/>
      <c r="XDL25" s="2846"/>
      <c r="XDM25" s="2851"/>
      <c r="XDN25" s="2850"/>
      <c r="XDO25" s="2846"/>
      <c r="XDP25" s="2851"/>
      <c r="XDQ25" s="2850"/>
      <c r="XDR25" s="2846"/>
      <c r="XDS25" s="2851"/>
      <c r="XDT25" s="2850"/>
      <c r="XDU25" s="2846"/>
      <c r="XDV25" s="2851"/>
      <c r="XDW25" s="2850"/>
      <c r="XDX25" s="2846"/>
      <c r="XDY25" s="2851"/>
      <c r="XDZ25" s="2850"/>
      <c r="XEA25" s="2846"/>
      <c r="XEB25" s="2851"/>
      <c r="XEC25" s="2850"/>
      <c r="XED25" s="2846"/>
      <c r="XEE25" s="2851"/>
      <c r="XEF25" s="2850"/>
      <c r="XEG25" s="2846"/>
      <c r="XEH25" s="2851"/>
      <c r="XEI25" s="2850"/>
      <c r="XEJ25" s="2846"/>
      <c r="XEK25" s="2851"/>
      <c r="XEL25" s="2850"/>
      <c r="XEM25" s="2846"/>
      <c r="XEN25" s="2851"/>
      <c r="XEO25" s="2850"/>
      <c r="XEP25" s="2846"/>
      <c r="XEQ25" s="2851"/>
      <c r="XER25" s="2850"/>
      <c r="XES25" s="2846"/>
      <c r="XET25" s="2851"/>
      <c r="XEU25" s="2850"/>
      <c r="XEV25" s="2846"/>
      <c r="XEW25" s="2851"/>
      <c r="XEX25" s="2850"/>
      <c r="XEY25" s="2846"/>
      <c r="XEZ25" s="2851"/>
      <c r="XFA25" s="2850"/>
      <c r="XFB25" s="2846"/>
      <c r="XFC25" s="2851"/>
      <c r="XFD25" s="850"/>
    </row>
    <row r="26" spans="1:16384" s="851" customFormat="1" x14ac:dyDescent="0.3">
      <c r="A26" s="2806" t="s">
        <v>1511</v>
      </c>
      <c r="B26" s="2807"/>
      <c r="C26" s="2808"/>
    </row>
    <row r="27" spans="1:16384" s="851" customFormat="1" x14ac:dyDescent="0.3">
      <c r="A27" s="2806" t="s">
        <v>1512</v>
      </c>
      <c r="B27" s="2807"/>
      <c r="C27" s="2808"/>
    </row>
    <row r="28" spans="1:16384" s="851" customFormat="1" x14ac:dyDescent="0.3">
      <c r="A28" s="2806" t="s">
        <v>1513</v>
      </c>
      <c r="B28" s="2807"/>
      <c r="C28" s="2808"/>
    </row>
    <row r="29" spans="1:16384" x14ac:dyDescent="0.3">
      <c r="A29" s="214"/>
      <c r="B29" s="220"/>
      <c r="C29" s="223"/>
    </row>
    <row r="30" spans="1:16384" x14ac:dyDescent="0.3">
      <c r="A30" s="221" t="s">
        <v>49</v>
      </c>
      <c r="B30" s="220"/>
      <c r="C30" s="223"/>
    </row>
    <row r="31" spans="1:16384" x14ac:dyDescent="0.3">
      <c r="A31" s="214" t="s">
        <v>1840</v>
      </c>
      <c r="B31" s="220"/>
      <c r="C31" s="223"/>
    </row>
    <row r="32" spans="1:16384" x14ac:dyDescent="0.3">
      <c r="A32" s="214" t="s">
        <v>1890</v>
      </c>
      <c r="B32" s="220"/>
      <c r="C32" s="223"/>
    </row>
    <row r="33" spans="1:3" x14ac:dyDescent="0.3">
      <c r="A33" s="2806" t="s">
        <v>1841</v>
      </c>
      <c r="B33" s="2807"/>
      <c r="C33" s="2808"/>
    </row>
    <row r="34" spans="1:3" ht="16.2" thickBot="1" x14ac:dyDescent="0.35">
      <c r="A34" s="224" t="s">
        <v>3729</v>
      </c>
      <c r="B34" s="218"/>
      <c r="C34" s="219"/>
    </row>
  </sheetData>
  <mergeCells count="5476">
    <mergeCell ref="A14:C14"/>
    <mergeCell ref="A15:C15"/>
    <mergeCell ref="A16:C16"/>
    <mergeCell ref="A17:C17"/>
    <mergeCell ref="A18:C18"/>
    <mergeCell ref="A20:C20"/>
    <mergeCell ref="A21:C21"/>
    <mergeCell ref="A22:C22"/>
    <mergeCell ref="AB25:AD25"/>
    <mergeCell ref="AE25:AG25"/>
    <mergeCell ref="AH25:AJ25"/>
    <mergeCell ref="AK25:AM25"/>
    <mergeCell ref="AN25:AP25"/>
    <mergeCell ref="M25:O25"/>
    <mergeCell ref="P25:R25"/>
    <mergeCell ref="S25:U25"/>
    <mergeCell ref="V25:X25"/>
    <mergeCell ref="Y25:AA25"/>
    <mergeCell ref="A24:C24"/>
    <mergeCell ref="A25:C25"/>
    <mergeCell ref="D25:F25"/>
    <mergeCell ref="G25:I25"/>
    <mergeCell ref="J25:L25"/>
    <mergeCell ref="A19:C19"/>
    <mergeCell ref="A23:C23"/>
    <mergeCell ref="CJ25:CL25"/>
    <mergeCell ref="CM25:CO25"/>
    <mergeCell ref="CP25:CR25"/>
    <mergeCell ref="CS25:CU25"/>
    <mergeCell ref="CV25:CX25"/>
    <mergeCell ref="BU25:BW25"/>
    <mergeCell ref="BX25:BZ25"/>
    <mergeCell ref="CA25:CC25"/>
    <mergeCell ref="CD25:CF25"/>
    <mergeCell ref="CG25:CI25"/>
    <mergeCell ref="BF25:BH25"/>
    <mergeCell ref="BI25:BK25"/>
    <mergeCell ref="BL25:BN25"/>
    <mergeCell ref="BO25:BQ25"/>
    <mergeCell ref="BR25:BT25"/>
    <mergeCell ref="AQ25:AS25"/>
    <mergeCell ref="AT25:AV25"/>
    <mergeCell ref="AW25:AY25"/>
    <mergeCell ref="AZ25:BB25"/>
    <mergeCell ref="BC25:BE25"/>
    <mergeCell ref="ER25:ET25"/>
    <mergeCell ref="EU25:EW25"/>
    <mergeCell ref="EX25:EZ25"/>
    <mergeCell ref="FA25:FC25"/>
    <mergeCell ref="FD25:FF25"/>
    <mergeCell ref="EC25:EE25"/>
    <mergeCell ref="EF25:EH25"/>
    <mergeCell ref="EI25:EK25"/>
    <mergeCell ref="EL25:EN25"/>
    <mergeCell ref="EO25:EQ25"/>
    <mergeCell ref="DN25:DP25"/>
    <mergeCell ref="DQ25:DS25"/>
    <mergeCell ref="DT25:DV25"/>
    <mergeCell ref="DW25:DY25"/>
    <mergeCell ref="DZ25:EB25"/>
    <mergeCell ref="CY25:DA25"/>
    <mergeCell ref="DB25:DD25"/>
    <mergeCell ref="DE25:DG25"/>
    <mergeCell ref="DH25:DJ25"/>
    <mergeCell ref="DK25:DM25"/>
    <mergeCell ref="GZ25:HB25"/>
    <mergeCell ref="HC25:HE25"/>
    <mergeCell ref="HF25:HH25"/>
    <mergeCell ref="HI25:HK25"/>
    <mergeCell ref="HL25:HN25"/>
    <mergeCell ref="GK25:GM25"/>
    <mergeCell ref="GN25:GP25"/>
    <mergeCell ref="GQ25:GS25"/>
    <mergeCell ref="GT25:GV25"/>
    <mergeCell ref="GW25:GY25"/>
    <mergeCell ref="FV25:FX25"/>
    <mergeCell ref="FY25:GA25"/>
    <mergeCell ref="GB25:GD25"/>
    <mergeCell ref="GE25:GG25"/>
    <mergeCell ref="GH25:GJ25"/>
    <mergeCell ref="FG25:FI25"/>
    <mergeCell ref="FJ25:FL25"/>
    <mergeCell ref="FM25:FO25"/>
    <mergeCell ref="FP25:FR25"/>
    <mergeCell ref="FS25:FU25"/>
    <mergeCell ref="JH25:JJ25"/>
    <mergeCell ref="JK25:JM25"/>
    <mergeCell ref="JN25:JP25"/>
    <mergeCell ref="JQ25:JS25"/>
    <mergeCell ref="JT25:JV25"/>
    <mergeCell ref="IS25:IU25"/>
    <mergeCell ref="IV25:IX25"/>
    <mergeCell ref="IY25:JA25"/>
    <mergeCell ref="JB25:JD25"/>
    <mergeCell ref="JE25:JG25"/>
    <mergeCell ref="ID25:IF25"/>
    <mergeCell ref="IG25:II25"/>
    <mergeCell ref="IJ25:IL25"/>
    <mergeCell ref="IM25:IO25"/>
    <mergeCell ref="IP25:IR25"/>
    <mergeCell ref="HO25:HQ25"/>
    <mergeCell ref="HR25:HT25"/>
    <mergeCell ref="HU25:HW25"/>
    <mergeCell ref="HX25:HZ25"/>
    <mergeCell ref="IA25:IC25"/>
    <mergeCell ref="LP25:LR25"/>
    <mergeCell ref="LS25:LU25"/>
    <mergeCell ref="LV25:LX25"/>
    <mergeCell ref="LY25:MA25"/>
    <mergeCell ref="MB25:MD25"/>
    <mergeCell ref="LA25:LC25"/>
    <mergeCell ref="LD25:LF25"/>
    <mergeCell ref="LG25:LI25"/>
    <mergeCell ref="LJ25:LL25"/>
    <mergeCell ref="LM25:LO25"/>
    <mergeCell ref="KL25:KN25"/>
    <mergeCell ref="KO25:KQ25"/>
    <mergeCell ref="KR25:KT25"/>
    <mergeCell ref="KU25:KW25"/>
    <mergeCell ref="KX25:KZ25"/>
    <mergeCell ref="JW25:JY25"/>
    <mergeCell ref="JZ25:KB25"/>
    <mergeCell ref="KC25:KE25"/>
    <mergeCell ref="KF25:KH25"/>
    <mergeCell ref="KI25:KK25"/>
    <mergeCell ref="NX25:NZ25"/>
    <mergeCell ref="OA25:OC25"/>
    <mergeCell ref="OD25:OF25"/>
    <mergeCell ref="OG25:OI25"/>
    <mergeCell ref="OJ25:OL25"/>
    <mergeCell ref="NI25:NK25"/>
    <mergeCell ref="NL25:NN25"/>
    <mergeCell ref="NO25:NQ25"/>
    <mergeCell ref="NR25:NT25"/>
    <mergeCell ref="NU25:NW25"/>
    <mergeCell ref="MT25:MV25"/>
    <mergeCell ref="MW25:MY25"/>
    <mergeCell ref="MZ25:NB25"/>
    <mergeCell ref="NC25:NE25"/>
    <mergeCell ref="NF25:NH25"/>
    <mergeCell ref="ME25:MG25"/>
    <mergeCell ref="MH25:MJ25"/>
    <mergeCell ref="MK25:MM25"/>
    <mergeCell ref="MN25:MP25"/>
    <mergeCell ref="MQ25:MS25"/>
    <mergeCell ref="QF25:QH25"/>
    <mergeCell ref="QI25:QK25"/>
    <mergeCell ref="QL25:QN25"/>
    <mergeCell ref="QO25:QQ25"/>
    <mergeCell ref="QR25:QT25"/>
    <mergeCell ref="PQ25:PS25"/>
    <mergeCell ref="PT25:PV25"/>
    <mergeCell ref="PW25:PY25"/>
    <mergeCell ref="PZ25:QB25"/>
    <mergeCell ref="QC25:QE25"/>
    <mergeCell ref="PB25:PD25"/>
    <mergeCell ref="PE25:PG25"/>
    <mergeCell ref="PH25:PJ25"/>
    <mergeCell ref="PK25:PM25"/>
    <mergeCell ref="PN25:PP25"/>
    <mergeCell ref="OM25:OO25"/>
    <mergeCell ref="OP25:OR25"/>
    <mergeCell ref="OS25:OU25"/>
    <mergeCell ref="OV25:OX25"/>
    <mergeCell ref="OY25:PA25"/>
    <mergeCell ref="SN25:SP25"/>
    <mergeCell ref="SQ25:SS25"/>
    <mergeCell ref="ST25:SV25"/>
    <mergeCell ref="SW25:SY25"/>
    <mergeCell ref="SZ25:TB25"/>
    <mergeCell ref="RY25:SA25"/>
    <mergeCell ref="SB25:SD25"/>
    <mergeCell ref="SE25:SG25"/>
    <mergeCell ref="SH25:SJ25"/>
    <mergeCell ref="SK25:SM25"/>
    <mergeCell ref="RJ25:RL25"/>
    <mergeCell ref="RM25:RO25"/>
    <mergeCell ref="RP25:RR25"/>
    <mergeCell ref="RS25:RU25"/>
    <mergeCell ref="RV25:RX25"/>
    <mergeCell ref="QU25:QW25"/>
    <mergeCell ref="QX25:QZ25"/>
    <mergeCell ref="RA25:RC25"/>
    <mergeCell ref="RD25:RF25"/>
    <mergeCell ref="RG25:RI25"/>
    <mergeCell ref="UV25:UX25"/>
    <mergeCell ref="UY25:VA25"/>
    <mergeCell ref="VB25:VD25"/>
    <mergeCell ref="VE25:VG25"/>
    <mergeCell ref="VH25:VJ25"/>
    <mergeCell ref="UG25:UI25"/>
    <mergeCell ref="UJ25:UL25"/>
    <mergeCell ref="UM25:UO25"/>
    <mergeCell ref="UP25:UR25"/>
    <mergeCell ref="US25:UU25"/>
    <mergeCell ref="TR25:TT25"/>
    <mergeCell ref="TU25:TW25"/>
    <mergeCell ref="TX25:TZ25"/>
    <mergeCell ref="UA25:UC25"/>
    <mergeCell ref="UD25:UF25"/>
    <mergeCell ref="TC25:TE25"/>
    <mergeCell ref="TF25:TH25"/>
    <mergeCell ref="TI25:TK25"/>
    <mergeCell ref="TL25:TN25"/>
    <mergeCell ref="TO25:TQ25"/>
    <mergeCell ref="XD25:XF25"/>
    <mergeCell ref="XG25:XI25"/>
    <mergeCell ref="XJ25:XL25"/>
    <mergeCell ref="XM25:XO25"/>
    <mergeCell ref="XP25:XR25"/>
    <mergeCell ref="WO25:WQ25"/>
    <mergeCell ref="WR25:WT25"/>
    <mergeCell ref="WU25:WW25"/>
    <mergeCell ref="WX25:WZ25"/>
    <mergeCell ref="XA25:XC25"/>
    <mergeCell ref="VZ25:WB25"/>
    <mergeCell ref="WC25:WE25"/>
    <mergeCell ref="WF25:WH25"/>
    <mergeCell ref="WI25:WK25"/>
    <mergeCell ref="WL25:WN25"/>
    <mergeCell ref="VK25:VM25"/>
    <mergeCell ref="VN25:VP25"/>
    <mergeCell ref="VQ25:VS25"/>
    <mergeCell ref="VT25:VV25"/>
    <mergeCell ref="VW25:VY25"/>
    <mergeCell ref="ZL25:ZN25"/>
    <mergeCell ref="ZO25:ZQ25"/>
    <mergeCell ref="ZR25:ZT25"/>
    <mergeCell ref="ZU25:ZW25"/>
    <mergeCell ref="ZX25:ZZ25"/>
    <mergeCell ref="YW25:YY25"/>
    <mergeCell ref="YZ25:ZB25"/>
    <mergeCell ref="ZC25:ZE25"/>
    <mergeCell ref="ZF25:ZH25"/>
    <mergeCell ref="ZI25:ZK25"/>
    <mergeCell ref="YH25:YJ25"/>
    <mergeCell ref="YK25:YM25"/>
    <mergeCell ref="YN25:YP25"/>
    <mergeCell ref="YQ25:YS25"/>
    <mergeCell ref="YT25:YV25"/>
    <mergeCell ref="XS25:XU25"/>
    <mergeCell ref="XV25:XX25"/>
    <mergeCell ref="XY25:YA25"/>
    <mergeCell ref="YB25:YD25"/>
    <mergeCell ref="YE25:YG25"/>
    <mergeCell ref="ABT25:ABV25"/>
    <mergeCell ref="ABW25:ABY25"/>
    <mergeCell ref="ABZ25:ACB25"/>
    <mergeCell ref="ACC25:ACE25"/>
    <mergeCell ref="ACF25:ACH25"/>
    <mergeCell ref="ABE25:ABG25"/>
    <mergeCell ref="ABH25:ABJ25"/>
    <mergeCell ref="ABK25:ABM25"/>
    <mergeCell ref="ABN25:ABP25"/>
    <mergeCell ref="ABQ25:ABS25"/>
    <mergeCell ref="AAP25:AAR25"/>
    <mergeCell ref="AAS25:AAU25"/>
    <mergeCell ref="AAV25:AAX25"/>
    <mergeCell ref="AAY25:ABA25"/>
    <mergeCell ref="ABB25:ABD25"/>
    <mergeCell ref="AAA25:AAC25"/>
    <mergeCell ref="AAD25:AAF25"/>
    <mergeCell ref="AAG25:AAI25"/>
    <mergeCell ref="AAJ25:AAL25"/>
    <mergeCell ref="AAM25:AAO25"/>
    <mergeCell ref="AEB25:AED25"/>
    <mergeCell ref="AEE25:AEG25"/>
    <mergeCell ref="AEH25:AEJ25"/>
    <mergeCell ref="AEK25:AEM25"/>
    <mergeCell ref="AEN25:AEP25"/>
    <mergeCell ref="ADM25:ADO25"/>
    <mergeCell ref="ADP25:ADR25"/>
    <mergeCell ref="ADS25:ADU25"/>
    <mergeCell ref="ADV25:ADX25"/>
    <mergeCell ref="ADY25:AEA25"/>
    <mergeCell ref="ACX25:ACZ25"/>
    <mergeCell ref="ADA25:ADC25"/>
    <mergeCell ref="ADD25:ADF25"/>
    <mergeCell ref="ADG25:ADI25"/>
    <mergeCell ref="ADJ25:ADL25"/>
    <mergeCell ref="ACI25:ACK25"/>
    <mergeCell ref="ACL25:ACN25"/>
    <mergeCell ref="ACO25:ACQ25"/>
    <mergeCell ref="ACR25:ACT25"/>
    <mergeCell ref="ACU25:ACW25"/>
    <mergeCell ref="AGJ25:AGL25"/>
    <mergeCell ref="AGM25:AGO25"/>
    <mergeCell ref="AGP25:AGR25"/>
    <mergeCell ref="AGS25:AGU25"/>
    <mergeCell ref="AGV25:AGX25"/>
    <mergeCell ref="AFU25:AFW25"/>
    <mergeCell ref="AFX25:AFZ25"/>
    <mergeCell ref="AGA25:AGC25"/>
    <mergeCell ref="AGD25:AGF25"/>
    <mergeCell ref="AGG25:AGI25"/>
    <mergeCell ref="AFF25:AFH25"/>
    <mergeCell ref="AFI25:AFK25"/>
    <mergeCell ref="AFL25:AFN25"/>
    <mergeCell ref="AFO25:AFQ25"/>
    <mergeCell ref="AFR25:AFT25"/>
    <mergeCell ref="AEQ25:AES25"/>
    <mergeCell ref="AET25:AEV25"/>
    <mergeCell ref="AEW25:AEY25"/>
    <mergeCell ref="AEZ25:AFB25"/>
    <mergeCell ref="AFC25:AFE25"/>
    <mergeCell ref="AIR25:AIT25"/>
    <mergeCell ref="AIU25:AIW25"/>
    <mergeCell ref="AIX25:AIZ25"/>
    <mergeCell ref="AJA25:AJC25"/>
    <mergeCell ref="AJD25:AJF25"/>
    <mergeCell ref="AIC25:AIE25"/>
    <mergeCell ref="AIF25:AIH25"/>
    <mergeCell ref="AII25:AIK25"/>
    <mergeCell ref="AIL25:AIN25"/>
    <mergeCell ref="AIO25:AIQ25"/>
    <mergeCell ref="AHN25:AHP25"/>
    <mergeCell ref="AHQ25:AHS25"/>
    <mergeCell ref="AHT25:AHV25"/>
    <mergeCell ref="AHW25:AHY25"/>
    <mergeCell ref="AHZ25:AIB25"/>
    <mergeCell ref="AGY25:AHA25"/>
    <mergeCell ref="AHB25:AHD25"/>
    <mergeCell ref="AHE25:AHG25"/>
    <mergeCell ref="AHH25:AHJ25"/>
    <mergeCell ref="AHK25:AHM25"/>
    <mergeCell ref="AKZ25:ALB25"/>
    <mergeCell ref="ALC25:ALE25"/>
    <mergeCell ref="ALF25:ALH25"/>
    <mergeCell ref="ALI25:ALK25"/>
    <mergeCell ref="ALL25:ALN25"/>
    <mergeCell ref="AKK25:AKM25"/>
    <mergeCell ref="AKN25:AKP25"/>
    <mergeCell ref="AKQ25:AKS25"/>
    <mergeCell ref="AKT25:AKV25"/>
    <mergeCell ref="AKW25:AKY25"/>
    <mergeCell ref="AJV25:AJX25"/>
    <mergeCell ref="AJY25:AKA25"/>
    <mergeCell ref="AKB25:AKD25"/>
    <mergeCell ref="AKE25:AKG25"/>
    <mergeCell ref="AKH25:AKJ25"/>
    <mergeCell ref="AJG25:AJI25"/>
    <mergeCell ref="AJJ25:AJL25"/>
    <mergeCell ref="AJM25:AJO25"/>
    <mergeCell ref="AJP25:AJR25"/>
    <mergeCell ref="AJS25:AJU25"/>
    <mergeCell ref="ANH25:ANJ25"/>
    <mergeCell ref="ANK25:ANM25"/>
    <mergeCell ref="ANN25:ANP25"/>
    <mergeCell ref="ANQ25:ANS25"/>
    <mergeCell ref="ANT25:ANV25"/>
    <mergeCell ref="AMS25:AMU25"/>
    <mergeCell ref="AMV25:AMX25"/>
    <mergeCell ref="AMY25:ANA25"/>
    <mergeCell ref="ANB25:AND25"/>
    <mergeCell ref="ANE25:ANG25"/>
    <mergeCell ref="AMD25:AMF25"/>
    <mergeCell ref="AMG25:AMI25"/>
    <mergeCell ref="AMJ25:AML25"/>
    <mergeCell ref="AMM25:AMO25"/>
    <mergeCell ref="AMP25:AMR25"/>
    <mergeCell ref="ALO25:ALQ25"/>
    <mergeCell ref="ALR25:ALT25"/>
    <mergeCell ref="ALU25:ALW25"/>
    <mergeCell ref="ALX25:ALZ25"/>
    <mergeCell ref="AMA25:AMC25"/>
    <mergeCell ref="APP25:APR25"/>
    <mergeCell ref="APS25:APU25"/>
    <mergeCell ref="APV25:APX25"/>
    <mergeCell ref="APY25:AQA25"/>
    <mergeCell ref="AQB25:AQD25"/>
    <mergeCell ref="APA25:APC25"/>
    <mergeCell ref="APD25:APF25"/>
    <mergeCell ref="APG25:API25"/>
    <mergeCell ref="APJ25:APL25"/>
    <mergeCell ref="APM25:APO25"/>
    <mergeCell ref="AOL25:AON25"/>
    <mergeCell ref="AOO25:AOQ25"/>
    <mergeCell ref="AOR25:AOT25"/>
    <mergeCell ref="AOU25:AOW25"/>
    <mergeCell ref="AOX25:AOZ25"/>
    <mergeCell ref="ANW25:ANY25"/>
    <mergeCell ref="ANZ25:AOB25"/>
    <mergeCell ref="AOC25:AOE25"/>
    <mergeCell ref="AOF25:AOH25"/>
    <mergeCell ref="AOI25:AOK25"/>
    <mergeCell ref="ARX25:ARZ25"/>
    <mergeCell ref="ASA25:ASC25"/>
    <mergeCell ref="ASD25:ASF25"/>
    <mergeCell ref="ASG25:ASI25"/>
    <mergeCell ref="ASJ25:ASL25"/>
    <mergeCell ref="ARI25:ARK25"/>
    <mergeCell ref="ARL25:ARN25"/>
    <mergeCell ref="ARO25:ARQ25"/>
    <mergeCell ref="ARR25:ART25"/>
    <mergeCell ref="ARU25:ARW25"/>
    <mergeCell ref="AQT25:AQV25"/>
    <mergeCell ref="AQW25:AQY25"/>
    <mergeCell ref="AQZ25:ARB25"/>
    <mergeCell ref="ARC25:ARE25"/>
    <mergeCell ref="ARF25:ARH25"/>
    <mergeCell ref="AQE25:AQG25"/>
    <mergeCell ref="AQH25:AQJ25"/>
    <mergeCell ref="AQK25:AQM25"/>
    <mergeCell ref="AQN25:AQP25"/>
    <mergeCell ref="AQQ25:AQS25"/>
    <mergeCell ref="AUF25:AUH25"/>
    <mergeCell ref="AUI25:AUK25"/>
    <mergeCell ref="AUL25:AUN25"/>
    <mergeCell ref="AUO25:AUQ25"/>
    <mergeCell ref="AUR25:AUT25"/>
    <mergeCell ref="ATQ25:ATS25"/>
    <mergeCell ref="ATT25:ATV25"/>
    <mergeCell ref="ATW25:ATY25"/>
    <mergeCell ref="ATZ25:AUB25"/>
    <mergeCell ref="AUC25:AUE25"/>
    <mergeCell ref="ATB25:ATD25"/>
    <mergeCell ref="ATE25:ATG25"/>
    <mergeCell ref="ATH25:ATJ25"/>
    <mergeCell ref="ATK25:ATM25"/>
    <mergeCell ref="ATN25:ATP25"/>
    <mergeCell ref="ASM25:ASO25"/>
    <mergeCell ref="ASP25:ASR25"/>
    <mergeCell ref="ASS25:ASU25"/>
    <mergeCell ref="ASV25:ASX25"/>
    <mergeCell ref="ASY25:ATA25"/>
    <mergeCell ref="AWN25:AWP25"/>
    <mergeCell ref="AWQ25:AWS25"/>
    <mergeCell ref="AWT25:AWV25"/>
    <mergeCell ref="AWW25:AWY25"/>
    <mergeCell ref="AWZ25:AXB25"/>
    <mergeCell ref="AVY25:AWA25"/>
    <mergeCell ref="AWB25:AWD25"/>
    <mergeCell ref="AWE25:AWG25"/>
    <mergeCell ref="AWH25:AWJ25"/>
    <mergeCell ref="AWK25:AWM25"/>
    <mergeCell ref="AVJ25:AVL25"/>
    <mergeCell ref="AVM25:AVO25"/>
    <mergeCell ref="AVP25:AVR25"/>
    <mergeCell ref="AVS25:AVU25"/>
    <mergeCell ref="AVV25:AVX25"/>
    <mergeCell ref="AUU25:AUW25"/>
    <mergeCell ref="AUX25:AUZ25"/>
    <mergeCell ref="AVA25:AVC25"/>
    <mergeCell ref="AVD25:AVF25"/>
    <mergeCell ref="AVG25:AVI25"/>
    <mergeCell ref="AYV25:AYX25"/>
    <mergeCell ref="AYY25:AZA25"/>
    <mergeCell ref="AZB25:AZD25"/>
    <mergeCell ref="AZE25:AZG25"/>
    <mergeCell ref="AZH25:AZJ25"/>
    <mergeCell ref="AYG25:AYI25"/>
    <mergeCell ref="AYJ25:AYL25"/>
    <mergeCell ref="AYM25:AYO25"/>
    <mergeCell ref="AYP25:AYR25"/>
    <mergeCell ref="AYS25:AYU25"/>
    <mergeCell ref="AXR25:AXT25"/>
    <mergeCell ref="AXU25:AXW25"/>
    <mergeCell ref="AXX25:AXZ25"/>
    <mergeCell ref="AYA25:AYC25"/>
    <mergeCell ref="AYD25:AYF25"/>
    <mergeCell ref="AXC25:AXE25"/>
    <mergeCell ref="AXF25:AXH25"/>
    <mergeCell ref="AXI25:AXK25"/>
    <mergeCell ref="AXL25:AXN25"/>
    <mergeCell ref="AXO25:AXQ25"/>
    <mergeCell ref="BBD25:BBF25"/>
    <mergeCell ref="BBG25:BBI25"/>
    <mergeCell ref="BBJ25:BBL25"/>
    <mergeCell ref="BBM25:BBO25"/>
    <mergeCell ref="BBP25:BBR25"/>
    <mergeCell ref="BAO25:BAQ25"/>
    <mergeCell ref="BAR25:BAT25"/>
    <mergeCell ref="BAU25:BAW25"/>
    <mergeCell ref="BAX25:BAZ25"/>
    <mergeCell ref="BBA25:BBC25"/>
    <mergeCell ref="AZZ25:BAB25"/>
    <mergeCell ref="BAC25:BAE25"/>
    <mergeCell ref="BAF25:BAH25"/>
    <mergeCell ref="BAI25:BAK25"/>
    <mergeCell ref="BAL25:BAN25"/>
    <mergeCell ref="AZK25:AZM25"/>
    <mergeCell ref="AZN25:AZP25"/>
    <mergeCell ref="AZQ25:AZS25"/>
    <mergeCell ref="AZT25:AZV25"/>
    <mergeCell ref="AZW25:AZY25"/>
    <mergeCell ref="BDL25:BDN25"/>
    <mergeCell ref="BDO25:BDQ25"/>
    <mergeCell ref="BDR25:BDT25"/>
    <mergeCell ref="BDU25:BDW25"/>
    <mergeCell ref="BDX25:BDZ25"/>
    <mergeCell ref="BCW25:BCY25"/>
    <mergeCell ref="BCZ25:BDB25"/>
    <mergeCell ref="BDC25:BDE25"/>
    <mergeCell ref="BDF25:BDH25"/>
    <mergeCell ref="BDI25:BDK25"/>
    <mergeCell ref="BCH25:BCJ25"/>
    <mergeCell ref="BCK25:BCM25"/>
    <mergeCell ref="BCN25:BCP25"/>
    <mergeCell ref="BCQ25:BCS25"/>
    <mergeCell ref="BCT25:BCV25"/>
    <mergeCell ref="BBS25:BBU25"/>
    <mergeCell ref="BBV25:BBX25"/>
    <mergeCell ref="BBY25:BCA25"/>
    <mergeCell ref="BCB25:BCD25"/>
    <mergeCell ref="BCE25:BCG25"/>
    <mergeCell ref="BFT25:BFV25"/>
    <mergeCell ref="BFW25:BFY25"/>
    <mergeCell ref="BFZ25:BGB25"/>
    <mergeCell ref="BGC25:BGE25"/>
    <mergeCell ref="BGF25:BGH25"/>
    <mergeCell ref="BFE25:BFG25"/>
    <mergeCell ref="BFH25:BFJ25"/>
    <mergeCell ref="BFK25:BFM25"/>
    <mergeCell ref="BFN25:BFP25"/>
    <mergeCell ref="BFQ25:BFS25"/>
    <mergeCell ref="BEP25:BER25"/>
    <mergeCell ref="BES25:BEU25"/>
    <mergeCell ref="BEV25:BEX25"/>
    <mergeCell ref="BEY25:BFA25"/>
    <mergeCell ref="BFB25:BFD25"/>
    <mergeCell ref="BEA25:BEC25"/>
    <mergeCell ref="BED25:BEF25"/>
    <mergeCell ref="BEG25:BEI25"/>
    <mergeCell ref="BEJ25:BEL25"/>
    <mergeCell ref="BEM25:BEO25"/>
    <mergeCell ref="BIB25:BID25"/>
    <mergeCell ref="BIE25:BIG25"/>
    <mergeCell ref="BIH25:BIJ25"/>
    <mergeCell ref="BIK25:BIM25"/>
    <mergeCell ref="BIN25:BIP25"/>
    <mergeCell ref="BHM25:BHO25"/>
    <mergeCell ref="BHP25:BHR25"/>
    <mergeCell ref="BHS25:BHU25"/>
    <mergeCell ref="BHV25:BHX25"/>
    <mergeCell ref="BHY25:BIA25"/>
    <mergeCell ref="BGX25:BGZ25"/>
    <mergeCell ref="BHA25:BHC25"/>
    <mergeCell ref="BHD25:BHF25"/>
    <mergeCell ref="BHG25:BHI25"/>
    <mergeCell ref="BHJ25:BHL25"/>
    <mergeCell ref="BGI25:BGK25"/>
    <mergeCell ref="BGL25:BGN25"/>
    <mergeCell ref="BGO25:BGQ25"/>
    <mergeCell ref="BGR25:BGT25"/>
    <mergeCell ref="BGU25:BGW25"/>
    <mergeCell ref="BKJ25:BKL25"/>
    <mergeCell ref="BKM25:BKO25"/>
    <mergeCell ref="BKP25:BKR25"/>
    <mergeCell ref="BKS25:BKU25"/>
    <mergeCell ref="BKV25:BKX25"/>
    <mergeCell ref="BJU25:BJW25"/>
    <mergeCell ref="BJX25:BJZ25"/>
    <mergeCell ref="BKA25:BKC25"/>
    <mergeCell ref="BKD25:BKF25"/>
    <mergeCell ref="BKG25:BKI25"/>
    <mergeCell ref="BJF25:BJH25"/>
    <mergeCell ref="BJI25:BJK25"/>
    <mergeCell ref="BJL25:BJN25"/>
    <mergeCell ref="BJO25:BJQ25"/>
    <mergeCell ref="BJR25:BJT25"/>
    <mergeCell ref="BIQ25:BIS25"/>
    <mergeCell ref="BIT25:BIV25"/>
    <mergeCell ref="BIW25:BIY25"/>
    <mergeCell ref="BIZ25:BJB25"/>
    <mergeCell ref="BJC25:BJE25"/>
    <mergeCell ref="BMR25:BMT25"/>
    <mergeCell ref="BMU25:BMW25"/>
    <mergeCell ref="BMX25:BMZ25"/>
    <mergeCell ref="BNA25:BNC25"/>
    <mergeCell ref="BND25:BNF25"/>
    <mergeCell ref="BMC25:BME25"/>
    <mergeCell ref="BMF25:BMH25"/>
    <mergeCell ref="BMI25:BMK25"/>
    <mergeCell ref="BML25:BMN25"/>
    <mergeCell ref="BMO25:BMQ25"/>
    <mergeCell ref="BLN25:BLP25"/>
    <mergeCell ref="BLQ25:BLS25"/>
    <mergeCell ref="BLT25:BLV25"/>
    <mergeCell ref="BLW25:BLY25"/>
    <mergeCell ref="BLZ25:BMB25"/>
    <mergeCell ref="BKY25:BLA25"/>
    <mergeCell ref="BLB25:BLD25"/>
    <mergeCell ref="BLE25:BLG25"/>
    <mergeCell ref="BLH25:BLJ25"/>
    <mergeCell ref="BLK25:BLM25"/>
    <mergeCell ref="BOZ25:BPB25"/>
    <mergeCell ref="BPC25:BPE25"/>
    <mergeCell ref="BPF25:BPH25"/>
    <mergeCell ref="BPI25:BPK25"/>
    <mergeCell ref="BPL25:BPN25"/>
    <mergeCell ref="BOK25:BOM25"/>
    <mergeCell ref="BON25:BOP25"/>
    <mergeCell ref="BOQ25:BOS25"/>
    <mergeCell ref="BOT25:BOV25"/>
    <mergeCell ref="BOW25:BOY25"/>
    <mergeCell ref="BNV25:BNX25"/>
    <mergeCell ref="BNY25:BOA25"/>
    <mergeCell ref="BOB25:BOD25"/>
    <mergeCell ref="BOE25:BOG25"/>
    <mergeCell ref="BOH25:BOJ25"/>
    <mergeCell ref="BNG25:BNI25"/>
    <mergeCell ref="BNJ25:BNL25"/>
    <mergeCell ref="BNM25:BNO25"/>
    <mergeCell ref="BNP25:BNR25"/>
    <mergeCell ref="BNS25:BNU25"/>
    <mergeCell ref="BRH25:BRJ25"/>
    <mergeCell ref="BRK25:BRM25"/>
    <mergeCell ref="BRN25:BRP25"/>
    <mergeCell ref="BRQ25:BRS25"/>
    <mergeCell ref="BRT25:BRV25"/>
    <mergeCell ref="BQS25:BQU25"/>
    <mergeCell ref="BQV25:BQX25"/>
    <mergeCell ref="BQY25:BRA25"/>
    <mergeCell ref="BRB25:BRD25"/>
    <mergeCell ref="BRE25:BRG25"/>
    <mergeCell ref="BQD25:BQF25"/>
    <mergeCell ref="BQG25:BQI25"/>
    <mergeCell ref="BQJ25:BQL25"/>
    <mergeCell ref="BQM25:BQO25"/>
    <mergeCell ref="BQP25:BQR25"/>
    <mergeCell ref="BPO25:BPQ25"/>
    <mergeCell ref="BPR25:BPT25"/>
    <mergeCell ref="BPU25:BPW25"/>
    <mergeCell ref="BPX25:BPZ25"/>
    <mergeCell ref="BQA25:BQC25"/>
    <mergeCell ref="BTP25:BTR25"/>
    <mergeCell ref="BTS25:BTU25"/>
    <mergeCell ref="BTV25:BTX25"/>
    <mergeCell ref="BTY25:BUA25"/>
    <mergeCell ref="BUB25:BUD25"/>
    <mergeCell ref="BTA25:BTC25"/>
    <mergeCell ref="BTD25:BTF25"/>
    <mergeCell ref="BTG25:BTI25"/>
    <mergeCell ref="BTJ25:BTL25"/>
    <mergeCell ref="BTM25:BTO25"/>
    <mergeCell ref="BSL25:BSN25"/>
    <mergeCell ref="BSO25:BSQ25"/>
    <mergeCell ref="BSR25:BST25"/>
    <mergeCell ref="BSU25:BSW25"/>
    <mergeCell ref="BSX25:BSZ25"/>
    <mergeCell ref="BRW25:BRY25"/>
    <mergeCell ref="BRZ25:BSB25"/>
    <mergeCell ref="BSC25:BSE25"/>
    <mergeCell ref="BSF25:BSH25"/>
    <mergeCell ref="BSI25:BSK25"/>
    <mergeCell ref="BVX25:BVZ25"/>
    <mergeCell ref="BWA25:BWC25"/>
    <mergeCell ref="BWD25:BWF25"/>
    <mergeCell ref="BWG25:BWI25"/>
    <mergeCell ref="BWJ25:BWL25"/>
    <mergeCell ref="BVI25:BVK25"/>
    <mergeCell ref="BVL25:BVN25"/>
    <mergeCell ref="BVO25:BVQ25"/>
    <mergeCell ref="BVR25:BVT25"/>
    <mergeCell ref="BVU25:BVW25"/>
    <mergeCell ref="BUT25:BUV25"/>
    <mergeCell ref="BUW25:BUY25"/>
    <mergeCell ref="BUZ25:BVB25"/>
    <mergeCell ref="BVC25:BVE25"/>
    <mergeCell ref="BVF25:BVH25"/>
    <mergeCell ref="BUE25:BUG25"/>
    <mergeCell ref="BUH25:BUJ25"/>
    <mergeCell ref="BUK25:BUM25"/>
    <mergeCell ref="BUN25:BUP25"/>
    <mergeCell ref="BUQ25:BUS25"/>
    <mergeCell ref="BYF25:BYH25"/>
    <mergeCell ref="BYI25:BYK25"/>
    <mergeCell ref="BYL25:BYN25"/>
    <mergeCell ref="BYO25:BYQ25"/>
    <mergeCell ref="BYR25:BYT25"/>
    <mergeCell ref="BXQ25:BXS25"/>
    <mergeCell ref="BXT25:BXV25"/>
    <mergeCell ref="BXW25:BXY25"/>
    <mergeCell ref="BXZ25:BYB25"/>
    <mergeCell ref="BYC25:BYE25"/>
    <mergeCell ref="BXB25:BXD25"/>
    <mergeCell ref="BXE25:BXG25"/>
    <mergeCell ref="BXH25:BXJ25"/>
    <mergeCell ref="BXK25:BXM25"/>
    <mergeCell ref="BXN25:BXP25"/>
    <mergeCell ref="BWM25:BWO25"/>
    <mergeCell ref="BWP25:BWR25"/>
    <mergeCell ref="BWS25:BWU25"/>
    <mergeCell ref="BWV25:BWX25"/>
    <mergeCell ref="BWY25:BXA25"/>
    <mergeCell ref="CAN25:CAP25"/>
    <mergeCell ref="CAQ25:CAS25"/>
    <mergeCell ref="CAT25:CAV25"/>
    <mergeCell ref="CAW25:CAY25"/>
    <mergeCell ref="CAZ25:CBB25"/>
    <mergeCell ref="BZY25:CAA25"/>
    <mergeCell ref="CAB25:CAD25"/>
    <mergeCell ref="CAE25:CAG25"/>
    <mergeCell ref="CAH25:CAJ25"/>
    <mergeCell ref="CAK25:CAM25"/>
    <mergeCell ref="BZJ25:BZL25"/>
    <mergeCell ref="BZM25:BZO25"/>
    <mergeCell ref="BZP25:BZR25"/>
    <mergeCell ref="BZS25:BZU25"/>
    <mergeCell ref="BZV25:BZX25"/>
    <mergeCell ref="BYU25:BYW25"/>
    <mergeCell ref="BYX25:BYZ25"/>
    <mergeCell ref="BZA25:BZC25"/>
    <mergeCell ref="BZD25:BZF25"/>
    <mergeCell ref="BZG25:BZI25"/>
    <mergeCell ref="CCV25:CCX25"/>
    <mergeCell ref="CCY25:CDA25"/>
    <mergeCell ref="CDB25:CDD25"/>
    <mergeCell ref="CDE25:CDG25"/>
    <mergeCell ref="CDH25:CDJ25"/>
    <mergeCell ref="CCG25:CCI25"/>
    <mergeCell ref="CCJ25:CCL25"/>
    <mergeCell ref="CCM25:CCO25"/>
    <mergeCell ref="CCP25:CCR25"/>
    <mergeCell ref="CCS25:CCU25"/>
    <mergeCell ref="CBR25:CBT25"/>
    <mergeCell ref="CBU25:CBW25"/>
    <mergeCell ref="CBX25:CBZ25"/>
    <mergeCell ref="CCA25:CCC25"/>
    <mergeCell ref="CCD25:CCF25"/>
    <mergeCell ref="CBC25:CBE25"/>
    <mergeCell ref="CBF25:CBH25"/>
    <mergeCell ref="CBI25:CBK25"/>
    <mergeCell ref="CBL25:CBN25"/>
    <mergeCell ref="CBO25:CBQ25"/>
    <mergeCell ref="CFD25:CFF25"/>
    <mergeCell ref="CFG25:CFI25"/>
    <mergeCell ref="CFJ25:CFL25"/>
    <mergeCell ref="CFM25:CFO25"/>
    <mergeCell ref="CFP25:CFR25"/>
    <mergeCell ref="CEO25:CEQ25"/>
    <mergeCell ref="CER25:CET25"/>
    <mergeCell ref="CEU25:CEW25"/>
    <mergeCell ref="CEX25:CEZ25"/>
    <mergeCell ref="CFA25:CFC25"/>
    <mergeCell ref="CDZ25:CEB25"/>
    <mergeCell ref="CEC25:CEE25"/>
    <mergeCell ref="CEF25:CEH25"/>
    <mergeCell ref="CEI25:CEK25"/>
    <mergeCell ref="CEL25:CEN25"/>
    <mergeCell ref="CDK25:CDM25"/>
    <mergeCell ref="CDN25:CDP25"/>
    <mergeCell ref="CDQ25:CDS25"/>
    <mergeCell ref="CDT25:CDV25"/>
    <mergeCell ref="CDW25:CDY25"/>
    <mergeCell ref="CHL25:CHN25"/>
    <mergeCell ref="CHO25:CHQ25"/>
    <mergeCell ref="CHR25:CHT25"/>
    <mergeCell ref="CHU25:CHW25"/>
    <mergeCell ref="CHX25:CHZ25"/>
    <mergeCell ref="CGW25:CGY25"/>
    <mergeCell ref="CGZ25:CHB25"/>
    <mergeCell ref="CHC25:CHE25"/>
    <mergeCell ref="CHF25:CHH25"/>
    <mergeCell ref="CHI25:CHK25"/>
    <mergeCell ref="CGH25:CGJ25"/>
    <mergeCell ref="CGK25:CGM25"/>
    <mergeCell ref="CGN25:CGP25"/>
    <mergeCell ref="CGQ25:CGS25"/>
    <mergeCell ref="CGT25:CGV25"/>
    <mergeCell ref="CFS25:CFU25"/>
    <mergeCell ref="CFV25:CFX25"/>
    <mergeCell ref="CFY25:CGA25"/>
    <mergeCell ref="CGB25:CGD25"/>
    <mergeCell ref="CGE25:CGG25"/>
    <mergeCell ref="CJT25:CJV25"/>
    <mergeCell ref="CJW25:CJY25"/>
    <mergeCell ref="CJZ25:CKB25"/>
    <mergeCell ref="CKC25:CKE25"/>
    <mergeCell ref="CKF25:CKH25"/>
    <mergeCell ref="CJE25:CJG25"/>
    <mergeCell ref="CJH25:CJJ25"/>
    <mergeCell ref="CJK25:CJM25"/>
    <mergeCell ref="CJN25:CJP25"/>
    <mergeCell ref="CJQ25:CJS25"/>
    <mergeCell ref="CIP25:CIR25"/>
    <mergeCell ref="CIS25:CIU25"/>
    <mergeCell ref="CIV25:CIX25"/>
    <mergeCell ref="CIY25:CJA25"/>
    <mergeCell ref="CJB25:CJD25"/>
    <mergeCell ref="CIA25:CIC25"/>
    <mergeCell ref="CID25:CIF25"/>
    <mergeCell ref="CIG25:CII25"/>
    <mergeCell ref="CIJ25:CIL25"/>
    <mergeCell ref="CIM25:CIO25"/>
    <mergeCell ref="CMB25:CMD25"/>
    <mergeCell ref="CME25:CMG25"/>
    <mergeCell ref="CMH25:CMJ25"/>
    <mergeCell ref="CMK25:CMM25"/>
    <mergeCell ref="CMN25:CMP25"/>
    <mergeCell ref="CLM25:CLO25"/>
    <mergeCell ref="CLP25:CLR25"/>
    <mergeCell ref="CLS25:CLU25"/>
    <mergeCell ref="CLV25:CLX25"/>
    <mergeCell ref="CLY25:CMA25"/>
    <mergeCell ref="CKX25:CKZ25"/>
    <mergeCell ref="CLA25:CLC25"/>
    <mergeCell ref="CLD25:CLF25"/>
    <mergeCell ref="CLG25:CLI25"/>
    <mergeCell ref="CLJ25:CLL25"/>
    <mergeCell ref="CKI25:CKK25"/>
    <mergeCell ref="CKL25:CKN25"/>
    <mergeCell ref="CKO25:CKQ25"/>
    <mergeCell ref="CKR25:CKT25"/>
    <mergeCell ref="CKU25:CKW25"/>
    <mergeCell ref="COJ25:COL25"/>
    <mergeCell ref="COM25:COO25"/>
    <mergeCell ref="COP25:COR25"/>
    <mergeCell ref="COS25:COU25"/>
    <mergeCell ref="COV25:COX25"/>
    <mergeCell ref="CNU25:CNW25"/>
    <mergeCell ref="CNX25:CNZ25"/>
    <mergeCell ref="COA25:COC25"/>
    <mergeCell ref="COD25:COF25"/>
    <mergeCell ref="COG25:COI25"/>
    <mergeCell ref="CNF25:CNH25"/>
    <mergeCell ref="CNI25:CNK25"/>
    <mergeCell ref="CNL25:CNN25"/>
    <mergeCell ref="CNO25:CNQ25"/>
    <mergeCell ref="CNR25:CNT25"/>
    <mergeCell ref="CMQ25:CMS25"/>
    <mergeCell ref="CMT25:CMV25"/>
    <mergeCell ref="CMW25:CMY25"/>
    <mergeCell ref="CMZ25:CNB25"/>
    <mergeCell ref="CNC25:CNE25"/>
    <mergeCell ref="CQR25:CQT25"/>
    <mergeCell ref="CQU25:CQW25"/>
    <mergeCell ref="CQX25:CQZ25"/>
    <mergeCell ref="CRA25:CRC25"/>
    <mergeCell ref="CRD25:CRF25"/>
    <mergeCell ref="CQC25:CQE25"/>
    <mergeCell ref="CQF25:CQH25"/>
    <mergeCell ref="CQI25:CQK25"/>
    <mergeCell ref="CQL25:CQN25"/>
    <mergeCell ref="CQO25:CQQ25"/>
    <mergeCell ref="CPN25:CPP25"/>
    <mergeCell ref="CPQ25:CPS25"/>
    <mergeCell ref="CPT25:CPV25"/>
    <mergeCell ref="CPW25:CPY25"/>
    <mergeCell ref="CPZ25:CQB25"/>
    <mergeCell ref="COY25:CPA25"/>
    <mergeCell ref="CPB25:CPD25"/>
    <mergeCell ref="CPE25:CPG25"/>
    <mergeCell ref="CPH25:CPJ25"/>
    <mergeCell ref="CPK25:CPM25"/>
    <mergeCell ref="CSZ25:CTB25"/>
    <mergeCell ref="CTC25:CTE25"/>
    <mergeCell ref="CTF25:CTH25"/>
    <mergeCell ref="CTI25:CTK25"/>
    <mergeCell ref="CTL25:CTN25"/>
    <mergeCell ref="CSK25:CSM25"/>
    <mergeCell ref="CSN25:CSP25"/>
    <mergeCell ref="CSQ25:CSS25"/>
    <mergeCell ref="CST25:CSV25"/>
    <mergeCell ref="CSW25:CSY25"/>
    <mergeCell ref="CRV25:CRX25"/>
    <mergeCell ref="CRY25:CSA25"/>
    <mergeCell ref="CSB25:CSD25"/>
    <mergeCell ref="CSE25:CSG25"/>
    <mergeCell ref="CSH25:CSJ25"/>
    <mergeCell ref="CRG25:CRI25"/>
    <mergeCell ref="CRJ25:CRL25"/>
    <mergeCell ref="CRM25:CRO25"/>
    <mergeCell ref="CRP25:CRR25"/>
    <mergeCell ref="CRS25:CRU25"/>
    <mergeCell ref="CVH25:CVJ25"/>
    <mergeCell ref="CVK25:CVM25"/>
    <mergeCell ref="CVN25:CVP25"/>
    <mergeCell ref="CVQ25:CVS25"/>
    <mergeCell ref="CVT25:CVV25"/>
    <mergeCell ref="CUS25:CUU25"/>
    <mergeCell ref="CUV25:CUX25"/>
    <mergeCell ref="CUY25:CVA25"/>
    <mergeCell ref="CVB25:CVD25"/>
    <mergeCell ref="CVE25:CVG25"/>
    <mergeCell ref="CUD25:CUF25"/>
    <mergeCell ref="CUG25:CUI25"/>
    <mergeCell ref="CUJ25:CUL25"/>
    <mergeCell ref="CUM25:CUO25"/>
    <mergeCell ref="CUP25:CUR25"/>
    <mergeCell ref="CTO25:CTQ25"/>
    <mergeCell ref="CTR25:CTT25"/>
    <mergeCell ref="CTU25:CTW25"/>
    <mergeCell ref="CTX25:CTZ25"/>
    <mergeCell ref="CUA25:CUC25"/>
    <mergeCell ref="CXP25:CXR25"/>
    <mergeCell ref="CXS25:CXU25"/>
    <mergeCell ref="CXV25:CXX25"/>
    <mergeCell ref="CXY25:CYA25"/>
    <mergeCell ref="CYB25:CYD25"/>
    <mergeCell ref="CXA25:CXC25"/>
    <mergeCell ref="CXD25:CXF25"/>
    <mergeCell ref="CXG25:CXI25"/>
    <mergeCell ref="CXJ25:CXL25"/>
    <mergeCell ref="CXM25:CXO25"/>
    <mergeCell ref="CWL25:CWN25"/>
    <mergeCell ref="CWO25:CWQ25"/>
    <mergeCell ref="CWR25:CWT25"/>
    <mergeCell ref="CWU25:CWW25"/>
    <mergeCell ref="CWX25:CWZ25"/>
    <mergeCell ref="CVW25:CVY25"/>
    <mergeCell ref="CVZ25:CWB25"/>
    <mergeCell ref="CWC25:CWE25"/>
    <mergeCell ref="CWF25:CWH25"/>
    <mergeCell ref="CWI25:CWK25"/>
    <mergeCell ref="CZX25:CZZ25"/>
    <mergeCell ref="DAA25:DAC25"/>
    <mergeCell ref="DAD25:DAF25"/>
    <mergeCell ref="DAG25:DAI25"/>
    <mergeCell ref="DAJ25:DAL25"/>
    <mergeCell ref="CZI25:CZK25"/>
    <mergeCell ref="CZL25:CZN25"/>
    <mergeCell ref="CZO25:CZQ25"/>
    <mergeCell ref="CZR25:CZT25"/>
    <mergeCell ref="CZU25:CZW25"/>
    <mergeCell ref="CYT25:CYV25"/>
    <mergeCell ref="CYW25:CYY25"/>
    <mergeCell ref="CYZ25:CZB25"/>
    <mergeCell ref="CZC25:CZE25"/>
    <mergeCell ref="CZF25:CZH25"/>
    <mergeCell ref="CYE25:CYG25"/>
    <mergeCell ref="CYH25:CYJ25"/>
    <mergeCell ref="CYK25:CYM25"/>
    <mergeCell ref="CYN25:CYP25"/>
    <mergeCell ref="CYQ25:CYS25"/>
    <mergeCell ref="DCF25:DCH25"/>
    <mergeCell ref="DCI25:DCK25"/>
    <mergeCell ref="DCL25:DCN25"/>
    <mergeCell ref="DCO25:DCQ25"/>
    <mergeCell ref="DCR25:DCT25"/>
    <mergeCell ref="DBQ25:DBS25"/>
    <mergeCell ref="DBT25:DBV25"/>
    <mergeCell ref="DBW25:DBY25"/>
    <mergeCell ref="DBZ25:DCB25"/>
    <mergeCell ref="DCC25:DCE25"/>
    <mergeCell ref="DBB25:DBD25"/>
    <mergeCell ref="DBE25:DBG25"/>
    <mergeCell ref="DBH25:DBJ25"/>
    <mergeCell ref="DBK25:DBM25"/>
    <mergeCell ref="DBN25:DBP25"/>
    <mergeCell ref="DAM25:DAO25"/>
    <mergeCell ref="DAP25:DAR25"/>
    <mergeCell ref="DAS25:DAU25"/>
    <mergeCell ref="DAV25:DAX25"/>
    <mergeCell ref="DAY25:DBA25"/>
    <mergeCell ref="DEN25:DEP25"/>
    <mergeCell ref="DEQ25:DES25"/>
    <mergeCell ref="DET25:DEV25"/>
    <mergeCell ref="DEW25:DEY25"/>
    <mergeCell ref="DEZ25:DFB25"/>
    <mergeCell ref="DDY25:DEA25"/>
    <mergeCell ref="DEB25:DED25"/>
    <mergeCell ref="DEE25:DEG25"/>
    <mergeCell ref="DEH25:DEJ25"/>
    <mergeCell ref="DEK25:DEM25"/>
    <mergeCell ref="DDJ25:DDL25"/>
    <mergeCell ref="DDM25:DDO25"/>
    <mergeCell ref="DDP25:DDR25"/>
    <mergeCell ref="DDS25:DDU25"/>
    <mergeCell ref="DDV25:DDX25"/>
    <mergeCell ref="DCU25:DCW25"/>
    <mergeCell ref="DCX25:DCZ25"/>
    <mergeCell ref="DDA25:DDC25"/>
    <mergeCell ref="DDD25:DDF25"/>
    <mergeCell ref="DDG25:DDI25"/>
    <mergeCell ref="DGV25:DGX25"/>
    <mergeCell ref="DGY25:DHA25"/>
    <mergeCell ref="DHB25:DHD25"/>
    <mergeCell ref="DHE25:DHG25"/>
    <mergeCell ref="DHH25:DHJ25"/>
    <mergeCell ref="DGG25:DGI25"/>
    <mergeCell ref="DGJ25:DGL25"/>
    <mergeCell ref="DGM25:DGO25"/>
    <mergeCell ref="DGP25:DGR25"/>
    <mergeCell ref="DGS25:DGU25"/>
    <mergeCell ref="DFR25:DFT25"/>
    <mergeCell ref="DFU25:DFW25"/>
    <mergeCell ref="DFX25:DFZ25"/>
    <mergeCell ref="DGA25:DGC25"/>
    <mergeCell ref="DGD25:DGF25"/>
    <mergeCell ref="DFC25:DFE25"/>
    <mergeCell ref="DFF25:DFH25"/>
    <mergeCell ref="DFI25:DFK25"/>
    <mergeCell ref="DFL25:DFN25"/>
    <mergeCell ref="DFO25:DFQ25"/>
    <mergeCell ref="DJD25:DJF25"/>
    <mergeCell ref="DJG25:DJI25"/>
    <mergeCell ref="DJJ25:DJL25"/>
    <mergeCell ref="DJM25:DJO25"/>
    <mergeCell ref="DJP25:DJR25"/>
    <mergeCell ref="DIO25:DIQ25"/>
    <mergeCell ref="DIR25:DIT25"/>
    <mergeCell ref="DIU25:DIW25"/>
    <mergeCell ref="DIX25:DIZ25"/>
    <mergeCell ref="DJA25:DJC25"/>
    <mergeCell ref="DHZ25:DIB25"/>
    <mergeCell ref="DIC25:DIE25"/>
    <mergeCell ref="DIF25:DIH25"/>
    <mergeCell ref="DII25:DIK25"/>
    <mergeCell ref="DIL25:DIN25"/>
    <mergeCell ref="DHK25:DHM25"/>
    <mergeCell ref="DHN25:DHP25"/>
    <mergeCell ref="DHQ25:DHS25"/>
    <mergeCell ref="DHT25:DHV25"/>
    <mergeCell ref="DHW25:DHY25"/>
    <mergeCell ref="DLL25:DLN25"/>
    <mergeCell ref="DLO25:DLQ25"/>
    <mergeCell ref="DLR25:DLT25"/>
    <mergeCell ref="DLU25:DLW25"/>
    <mergeCell ref="DLX25:DLZ25"/>
    <mergeCell ref="DKW25:DKY25"/>
    <mergeCell ref="DKZ25:DLB25"/>
    <mergeCell ref="DLC25:DLE25"/>
    <mergeCell ref="DLF25:DLH25"/>
    <mergeCell ref="DLI25:DLK25"/>
    <mergeCell ref="DKH25:DKJ25"/>
    <mergeCell ref="DKK25:DKM25"/>
    <mergeCell ref="DKN25:DKP25"/>
    <mergeCell ref="DKQ25:DKS25"/>
    <mergeCell ref="DKT25:DKV25"/>
    <mergeCell ref="DJS25:DJU25"/>
    <mergeCell ref="DJV25:DJX25"/>
    <mergeCell ref="DJY25:DKA25"/>
    <mergeCell ref="DKB25:DKD25"/>
    <mergeCell ref="DKE25:DKG25"/>
    <mergeCell ref="DNT25:DNV25"/>
    <mergeCell ref="DNW25:DNY25"/>
    <mergeCell ref="DNZ25:DOB25"/>
    <mergeCell ref="DOC25:DOE25"/>
    <mergeCell ref="DOF25:DOH25"/>
    <mergeCell ref="DNE25:DNG25"/>
    <mergeCell ref="DNH25:DNJ25"/>
    <mergeCell ref="DNK25:DNM25"/>
    <mergeCell ref="DNN25:DNP25"/>
    <mergeCell ref="DNQ25:DNS25"/>
    <mergeCell ref="DMP25:DMR25"/>
    <mergeCell ref="DMS25:DMU25"/>
    <mergeCell ref="DMV25:DMX25"/>
    <mergeCell ref="DMY25:DNA25"/>
    <mergeCell ref="DNB25:DND25"/>
    <mergeCell ref="DMA25:DMC25"/>
    <mergeCell ref="DMD25:DMF25"/>
    <mergeCell ref="DMG25:DMI25"/>
    <mergeCell ref="DMJ25:DML25"/>
    <mergeCell ref="DMM25:DMO25"/>
    <mergeCell ref="DQB25:DQD25"/>
    <mergeCell ref="DQE25:DQG25"/>
    <mergeCell ref="DQH25:DQJ25"/>
    <mergeCell ref="DQK25:DQM25"/>
    <mergeCell ref="DQN25:DQP25"/>
    <mergeCell ref="DPM25:DPO25"/>
    <mergeCell ref="DPP25:DPR25"/>
    <mergeCell ref="DPS25:DPU25"/>
    <mergeCell ref="DPV25:DPX25"/>
    <mergeCell ref="DPY25:DQA25"/>
    <mergeCell ref="DOX25:DOZ25"/>
    <mergeCell ref="DPA25:DPC25"/>
    <mergeCell ref="DPD25:DPF25"/>
    <mergeCell ref="DPG25:DPI25"/>
    <mergeCell ref="DPJ25:DPL25"/>
    <mergeCell ref="DOI25:DOK25"/>
    <mergeCell ref="DOL25:DON25"/>
    <mergeCell ref="DOO25:DOQ25"/>
    <mergeCell ref="DOR25:DOT25"/>
    <mergeCell ref="DOU25:DOW25"/>
    <mergeCell ref="DSJ25:DSL25"/>
    <mergeCell ref="DSM25:DSO25"/>
    <mergeCell ref="DSP25:DSR25"/>
    <mergeCell ref="DSS25:DSU25"/>
    <mergeCell ref="DSV25:DSX25"/>
    <mergeCell ref="DRU25:DRW25"/>
    <mergeCell ref="DRX25:DRZ25"/>
    <mergeCell ref="DSA25:DSC25"/>
    <mergeCell ref="DSD25:DSF25"/>
    <mergeCell ref="DSG25:DSI25"/>
    <mergeCell ref="DRF25:DRH25"/>
    <mergeCell ref="DRI25:DRK25"/>
    <mergeCell ref="DRL25:DRN25"/>
    <mergeCell ref="DRO25:DRQ25"/>
    <mergeCell ref="DRR25:DRT25"/>
    <mergeCell ref="DQQ25:DQS25"/>
    <mergeCell ref="DQT25:DQV25"/>
    <mergeCell ref="DQW25:DQY25"/>
    <mergeCell ref="DQZ25:DRB25"/>
    <mergeCell ref="DRC25:DRE25"/>
    <mergeCell ref="DUR25:DUT25"/>
    <mergeCell ref="DUU25:DUW25"/>
    <mergeCell ref="DUX25:DUZ25"/>
    <mergeCell ref="DVA25:DVC25"/>
    <mergeCell ref="DVD25:DVF25"/>
    <mergeCell ref="DUC25:DUE25"/>
    <mergeCell ref="DUF25:DUH25"/>
    <mergeCell ref="DUI25:DUK25"/>
    <mergeCell ref="DUL25:DUN25"/>
    <mergeCell ref="DUO25:DUQ25"/>
    <mergeCell ref="DTN25:DTP25"/>
    <mergeCell ref="DTQ25:DTS25"/>
    <mergeCell ref="DTT25:DTV25"/>
    <mergeCell ref="DTW25:DTY25"/>
    <mergeCell ref="DTZ25:DUB25"/>
    <mergeCell ref="DSY25:DTA25"/>
    <mergeCell ref="DTB25:DTD25"/>
    <mergeCell ref="DTE25:DTG25"/>
    <mergeCell ref="DTH25:DTJ25"/>
    <mergeCell ref="DTK25:DTM25"/>
    <mergeCell ref="DWZ25:DXB25"/>
    <mergeCell ref="DXC25:DXE25"/>
    <mergeCell ref="DXF25:DXH25"/>
    <mergeCell ref="DXI25:DXK25"/>
    <mergeCell ref="DXL25:DXN25"/>
    <mergeCell ref="DWK25:DWM25"/>
    <mergeCell ref="DWN25:DWP25"/>
    <mergeCell ref="DWQ25:DWS25"/>
    <mergeCell ref="DWT25:DWV25"/>
    <mergeCell ref="DWW25:DWY25"/>
    <mergeCell ref="DVV25:DVX25"/>
    <mergeCell ref="DVY25:DWA25"/>
    <mergeCell ref="DWB25:DWD25"/>
    <mergeCell ref="DWE25:DWG25"/>
    <mergeCell ref="DWH25:DWJ25"/>
    <mergeCell ref="DVG25:DVI25"/>
    <mergeCell ref="DVJ25:DVL25"/>
    <mergeCell ref="DVM25:DVO25"/>
    <mergeCell ref="DVP25:DVR25"/>
    <mergeCell ref="DVS25:DVU25"/>
    <mergeCell ref="DZH25:DZJ25"/>
    <mergeCell ref="DZK25:DZM25"/>
    <mergeCell ref="DZN25:DZP25"/>
    <mergeCell ref="DZQ25:DZS25"/>
    <mergeCell ref="DZT25:DZV25"/>
    <mergeCell ref="DYS25:DYU25"/>
    <mergeCell ref="DYV25:DYX25"/>
    <mergeCell ref="DYY25:DZA25"/>
    <mergeCell ref="DZB25:DZD25"/>
    <mergeCell ref="DZE25:DZG25"/>
    <mergeCell ref="DYD25:DYF25"/>
    <mergeCell ref="DYG25:DYI25"/>
    <mergeCell ref="DYJ25:DYL25"/>
    <mergeCell ref="DYM25:DYO25"/>
    <mergeCell ref="DYP25:DYR25"/>
    <mergeCell ref="DXO25:DXQ25"/>
    <mergeCell ref="DXR25:DXT25"/>
    <mergeCell ref="DXU25:DXW25"/>
    <mergeCell ref="DXX25:DXZ25"/>
    <mergeCell ref="DYA25:DYC25"/>
    <mergeCell ref="EBP25:EBR25"/>
    <mergeCell ref="EBS25:EBU25"/>
    <mergeCell ref="EBV25:EBX25"/>
    <mergeCell ref="EBY25:ECA25"/>
    <mergeCell ref="ECB25:ECD25"/>
    <mergeCell ref="EBA25:EBC25"/>
    <mergeCell ref="EBD25:EBF25"/>
    <mergeCell ref="EBG25:EBI25"/>
    <mergeCell ref="EBJ25:EBL25"/>
    <mergeCell ref="EBM25:EBO25"/>
    <mergeCell ref="EAL25:EAN25"/>
    <mergeCell ref="EAO25:EAQ25"/>
    <mergeCell ref="EAR25:EAT25"/>
    <mergeCell ref="EAU25:EAW25"/>
    <mergeCell ref="EAX25:EAZ25"/>
    <mergeCell ref="DZW25:DZY25"/>
    <mergeCell ref="DZZ25:EAB25"/>
    <mergeCell ref="EAC25:EAE25"/>
    <mergeCell ref="EAF25:EAH25"/>
    <mergeCell ref="EAI25:EAK25"/>
    <mergeCell ref="EDX25:EDZ25"/>
    <mergeCell ref="EEA25:EEC25"/>
    <mergeCell ref="EED25:EEF25"/>
    <mergeCell ref="EEG25:EEI25"/>
    <mergeCell ref="EEJ25:EEL25"/>
    <mergeCell ref="EDI25:EDK25"/>
    <mergeCell ref="EDL25:EDN25"/>
    <mergeCell ref="EDO25:EDQ25"/>
    <mergeCell ref="EDR25:EDT25"/>
    <mergeCell ref="EDU25:EDW25"/>
    <mergeCell ref="ECT25:ECV25"/>
    <mergeCell ref="ECW25:ECY25"/>
    <mergeCell ref="ECZ25:EDB25"/>
    <mergeCell ref="EDC25:EDE25"/>
    <mergeCell ref="EDF25:EDH25"/>
    <mergeCell ref="ECE25:ECG25"/>
    <mergeCell ref="ECH25:ECJ25"/>
    <mergeCell ref="ECK25:ECM25"/>
    <mergeCell ref="ECN25:ECP25"/>
    <mergeCell ref="ECQ25:ECS25"/>
    <mergeCell ref="EGF25:EGH25"/>
    <mergeCell ref="EGI25:EGK25"/>
    <mergeCell ref="EGL25:EGN25"/>
    <mergeCell ref="EGO25:EGQ25"/>
    <mergeCell ref="EGR25:EGT25"/>
    <mergeCell ref="EFQ25:EFS25"/>
    <mergeCell ref="EFT25:EFV25"/>
    <mergeCell ref="EFW25:EFY25"/>
    <mergeCell ref="EFZ25:EGB25"/>
    <mergeCell ref="EGC25:EGE25"/>
    <mergeCell ref="EFB25:EFD25"/>
    <mergeCell ref="EFE25:EFG25"/>
    <mergeCell ref="EFH25:EFJ25"/>
    <mergeCell ref="EFK25:EFM25"/>
    <mergeCell ref="EFN25:EFP25"/>
    <mergeCell ref="EEM25:EEO25"/>
    <mergeCell ref="EEP25:EER25"/>
    <mergeCell ref="EES25:EEU25"/>
    <mergeCell ref="EEV25:EEX25"/>
    <mergeCell ref="EEY25:EFA25"/>
    <mergeCell ref="EIN25:EIP25"/>
    <mergeCell ref="EIQ25:EIS25"/>
    <mergeCell ref="EIT25:EIV25"/>
    <mergeCell ref="EIW25:EIY25"/>
    <mergeCell ref="EIZ25:EJB25"/>
    <mergeCell ref="EHY25:EIA25"/>
    <mergeCell ref="EIB25:EID25"/>
    <mergeCell ref="EIE25:EIG25"/>
    <mergeCell ref="EIH25:EIJ25"/>
    <mergeCell ref="EIK25:EIM25"/>
    <mergeCell ref="EHJ25:EHL25"/>
    <mergeCell ref="EHM25:EHO25"/>
    <mergeCell ref="EHP25:EHR25"/>
    <mergeCell ref="EHS25:EHU25"/>
    <mergeCell ref="EHV25:EHX25"/>
    <mergeCell ref="EGU25:EGW25"/>
    <mergeCell ref="EGX25:EGZ25"/>
    <mergeCell ref="EHA25:EHC25"/>
    <mergeCell ref="EHD25:EHF25"/>
    <mergeCell ref="EHG25:EHI25"/>
    <mergeCell ref="EKV25:EKX25"/>
    <mergeCell ref="EKY25:ELA25"/>
    <mergeCell ref="ELB25:ELD25"/>
    <mergeCell ref="ELE25:ELG25"/>
    <mergeCell ref="ELH25:ELJ25"/>
    <mergeCell ref="EKG25:EKI25"/>
    <mergeCell ref="EKJ25:EKL25"/>
    <mergeCell ref="EKM25:EKO25"/>
    <mergeCell ref="EKP25:EKR25"/>
    <mergeCell ref="EKS25:EKU25"/>
    <mergeCell ref="EJR25:EJT25"/>
    <mergeCell ref="EJU25:EJW25"/>
    <mergeCell ref="EJX25:EJZ25"/>
    <mergeCell ref="EKA25:EKC25"/>
    <mergeCell ref="EKD25:EKF25"/>
    <mergeCell ref="EJC25:EJE25"/>
    <mergeCell ref="EJF25:EJH25"/>
    <mergeCell ref="EJI25:EJK25"/>
    <mergeCell ref="EJL25:EJN25"/>
    <mergeCell ref="EJO25:EJQ25"/>
    <mergeCell ref="END25:ENF25"/>
    <mergeCell ref="ENG25:ENI25"/>
    <mergeCell ref="ENJ25:ENL25"/>
    <mergeCell ref="ENM25:ENO25"/>
    <mergeCell ref="ENP25:ENR25"/>
    <mergeCell ref="EMO25:EMQ25"/>
    <mergeCell ref="EMR25:EMT25"/>
    <mergeCell ref="EMU25:EMW25"/>
    <mergeCell ref="EMX25:EMZ25"/>
    <mergeCell ref="ENA25:ENC25"/>
    <mergeCell ref="ELZ25:EMB25"/>
    <mergeCell ref="EMC25:EME25"/>
    <mergeCell ref="EMF25:EMH25"/>
    <mergeCell ref="EMI25:EMK25"/>
    <mergeCell ref="EML25:EMN25"/>
    <mergeCell ref="ELK25:ELM25"/>
    <mergeCell ref="ELN25:ELP25"/>
    <mergeCell ref="ELQ25:ELS25"/>
    <mergeCell ref="ELT25:ELV25"/>
    <mergeCell ref="ELW25:ELY25"/>
    <mergeCell ref="EPL25:EPN25"/>
    <mergeCell ref="EPO25:EPQ25"/>
    <mergeCell ref="EPR25:EPT25"/>
    <mergeCell ref="EPU25:EPW25"/>
    <mergeCell ref="EPX25:EPZ25"/>
    <mergeCell ref="EOW25:EOY25"/>
    <mergeCell ref="EOZ25:EPB25"/>
    <mergeCell ref="EPC25:EPE25"/>
    <mergeCell ref="EPF25:EPH25"/>
    <mergeCell ref="EPI25:EPK25"/>
    <mergeCell ref="EOH25:EOJ25"/>
    <mergeCell ref="EOK25:EOM25"/>
    <mergeCell ref="EON25:EOP25"/>
    <mergeCell ref="EOQ25:EOS25"/>
    <mergeCell ref="EOT25:EOV25"/>
    <mergeCell ref="ENS25:ENU25"/>
    <mergeCell ref="ENV25:ENX25"/>
    <mergeCell ref="ENY25:EOA25"/>
    <mergeCell ref="EOB25:EOD25"/>
    <mergeCell ref="EOE25:EOG25"/>
    <mergeCell ref="ERT25:ERV25"/>
    <mergeCell ref="ERW25:ERY25"/>
    <mergeCell ref="ERZ25:ESB25"/>
    <mergeCell ref="ESC25:ESE25"/>
    <mergeCell ref="ESF25:ESH25"/>
    <mergeCell ref="ERE25:ERG25"/>
    <mergeCell ref="ERH25:ERJ25"/>
    <mergeCell ref="ERK25:ERM25"/>
    <mergeCell ref="ERN25:ERP25"/>
    <mergeCell ref="ERQ25:ERS25"/>
    <mergeCell ref="EQP25:EQR25"/>
    <mergeCell ref="EQS25:EQU25"/>
    <mergeCell ref="EQV25:EQX25"/>
    <mergeCell ref="EQY25:ERA25"/>
    <mergeCell ref="ERB25:ERD25"/>
    <mergeCell ref="EQA25:EQC25"/>
    <mergeCell ref="EQD25:EQF25"/>
    <mergeCell ref="EQG25:EQI25"/>
    <mergeCell ref="EQJ25:EQL25"/>
    <mergeCell ref="EQM25:EQO25"/>
    <mergeCell ref="EUB25:EUD25"/>
    <mergeCell ref="EUE25:EUG25"/>
    <mergeCell ref="EUH25:EUJ25"/>
    <mergeCell ref="EUK25:EUM25"/>
    <mergeCell ref="EUN25:EUP25"/>
    <mergeCell ref="ETM25:ETO25"/>
    <mergeCell ref="ETP25:ETR25"/>
    <mergeCell ref="ETS25:ETU25"/>
    <mergeCell ref="ETV25:ETX25"/>
    <mergeCell ref="ETY25:EUA25"/>
    <mergeCell ref="ESX25:ESZ25"/>
    <mergeCell ref="ETA25:ETC25"/>
    <mergeCell ref="ETD25:ETF25"/>
    <mergeCell ref="ETG25:ETI25"/>
    <mergeCell ref="ETJ25:ETL25"/>
    <mergeCell ref="ESI25:ESK25"/>
    <mergeCell ref="ESL25:ESN25"/>
    <mergeCell ref="ESO25:ESQ25"/>
    <mergeCell ref="ESR25:EST25"/>
    <mergeCell ref="ESU25:ESW25"/>
    <mergeCell ref="EWJ25:EWL25"/>
    <mergeCell ref="EWM25:EWO25"/>
    <mergeCell ref="EWP25:EWR25"/>
    <mergeCell ref="EWS25:EWU25"/>
    <mergeCell ref="EWV25:EWX25"/>
    <mergeCell ref="EVU25:EVW25"/>
    <mergeCell ref="EVX25:EVZ25"/>
    <mergeCell ref="EWA25:EWC25"/>
    <mergeCell ref="EWD25:EWF25"/>
    <mergeCell ref="EWG25:EWI25"/>
    <mergeCell ref="EVF25:EVH25"/>
    <mergeCell ref="EVI25:EVK25"/>
    <mergeCell ref="EVL25:EVN25"/>
    <mergeCell ref="EVO25:EVQ25"/>
    <mergeCell ref="EVR25:EVT25"/>
    <mergeCell ref="EUQ25:EUS25"/>
    <mergeCell ref="EUT25:EUV25"/>
    <mergeCell ref="EUW25:EUY25"/>
    <mergeCell ref="EUZ25:EVB25"/>
    <mergeCell ref="EVC25:EVE25"/>
    <mergeCell ref="EYR25:EYT25"/>
    <mergeCell ref="EYU25:EYW25"/>
    <mergeCell ref="EYX25:EYZ25"/>
    <mergeCell ref="EZA25:EZC25"/>
    <mergeCell ref="EZD25:EZF25"/>
    <mergeCell ref="EYC25:EYE25"/>
    <mergeCell ref="EYF25:EYH25"/>
    <mergeCell ref="EYI25:EYK25"/>
    <mergeCell ref="EYL25:EYN25"/>
    <mergeCell ref="EYO25:EYQ25"/>
    <mergeCell ref="EXN25:EXP25"/>
    <mergeCell ref="EXQ25:EXS25"/>
    <mergeCell ref="EXT25:EXV25"/>
    <mergeCell ref="EXW25:EXY25"/>
    <mergeCell ref="EXZ25:EYB25"/>
    <mergeCell ref="EWY25:EXA25"/>
    <mergeCell ref="EXB25:EXD25"/>
    <mergeCell ref="EXE25:EXG25"/>
    <mergeCell ref="EXH25:EXJ25"/>
    <mergeCell ref="EXK25:EXM25"/>
    <mergeCell ref="FAZ25:FBB25"/>
    <mergeCell ref="FBC25:FBE25"/>
    <mergeCell ref="FBF25:FBH25"/>
    <mergeCell ref="FBI25:FBK25"/>
    <mergeCell ref="FBL25:FBN25"/>
    <mergeCell ref="FAK25:FAM25"/>
    <mergeCell ref="FAN25:FAP25"/>
    <mergeCell ref="FAQ25:FAS25"/>
    <mergeCell ref="FAT25:FAV25"/>
    <mergeCell ref="FAW25:FAY25"/>
    <mergeCell ref="EZV25:EZX25"/>
    <mergeCell ref="EZY25:FAA25"/>
    <mergeCell ref="FAB25:FAD25"/>
    <mergeCell ref="FAE25:FAG25"/>
    <mergeCell ref="FAH25:FAJ25"/>
    <mergeCell ref="EZG25:EZI25"/>
    <mergeCell ref="EZJ25:EZL25"/>
    <mergeCell ref="EZM25:EZO25"/>
    <mergeCell ref="EZP25:EZR25"/>
    <mergeCell ref="EZS25:EZU25"/>
    <mergeCell ref="FDH25:FDJ25"/>
    <mergeCell ref="FDK25:FDM25"/>
    <mergeCell ref="FDN25:FDP25"/>
    <mergeCell ref="FDQ25:FDS25"/>
    <mergeCell ref="FDT25:FDV25"/>
    <mergeCell ref="FCS25:FCU25"/>
    <mergeCell ref="FCV25:FCX25"/>
    <mergeCell ref="FCY25:FDA25"/>
    <mergeCell ref="FDB25:FDD25"/>
    <mergeCell ref="FDE25:FDG25"/>
    <mergeCell ref="FCD25:FCF25"/>
    <mergeCell ref="FCG25:FCI25"/>
    <mergeCell ref="FCJ25:FCL25"/>
    <mergeCell ref="FCM25:FCO25"/>
    <mergeCell ref="FCP25:FCR25"/>
    <mergeCell ref="FBO25:FBQ25"/>
    <mergeCell ref="FBR25:FBT25"/>
    <mergeCell ref="FBU25:FBW25"/>
    <mergeCell ref="FBX25:FBZ25"/>
    <mergeCell ref="FCA25:FCC25"/>
    <mergeCell ref="FFP25:FFR25"/>
    <mergeCell ref="FFS25:FFU25"/>
    <mergeCell ref="FFV25:FFX25"/>
    <mergeCell ref="FFY25:FGA25"/>
    <mergeCell ref="FGB25:FGD25"/>
    <mergeCell ref="FFA25:FFC25"/>
    <mergeCell ref="FFD25:FFF25"/>
    <mergeCell ref="FFG25:FFI25"/>
    <mergeCell ref="FFJ25:FFL25"/>
    <mergeCell ref="FFM25:FFO25"/>
    <mergeCell ref="FEL25:FEN25"/>
    <mergeCell ref="FEO25:FEQ25"/>
    <mergeCell ref="FER25:FET25"/>
    <mergeCell ref="FEU25:FEW25"/>
    <mergeCell ref="FEX25:FEZ25"/>
    <mergeCell ref="FDW25:FDY25"/>
    <mergeCell ref="FDZ25:FEB25"/>
    <mergeCell ref="FEC25:FEE25"/>
    <mergeCell ref="FEF25:FEH25"/>
    <mergeCell ref="FEI25:FEK25"/>
    <mergeCell ref="FHX25:FHZ25"/>
    <mergeCell ref="FIA25:FIC25"/>
    <mergeCell ref="FID25:FIF25"/>
    <mergeCell ref="FIG25:FII25"/>
    <mergeCell ref="FIJ25:FIL25"/>
    <mergeCell ref="FHI25:FHK25"/>
    <mergeCell ref="FHL25:FHN25"/>
    <mergeCell ref="FHO25:FHQ25"/>
    <mergeCell ref="FHR25:FHT25"/>
    <mergeCell ref="FHU25:FHW25"/>
    <mergeCell ref="FGT25:FGV25"/>
    <mergeCell ref="FGW25:FGY25"/>
    <mergeCell ref="FGZ25:FHB25"/>
    <mergeCell ref="FHC25:FHE25"/>
    <mergeCell ref="FHF25:FHH25"/>
    <mergeCell ref="FGE25:FGG25"/>
    <mergeCell ref="FGH25:FGJ25"/>
    <mergeCell ref="FGK25:FGM25"/>
    <mergeCell ref="FGN25:FGP25"/>
    <mergeCell ref="FGQ25:FGS25"/>
    <mergeCell ref="FKF25:FKH25"/>
    <mergeCell ref="FKI25:FKK25"/>
    <mergeCell ref="FKL25:FKN25"/>
    <mergeCell ref="FKO25:FKQ25"/>
    <mergeCell ref="FKR25:FKT25"/>
    <mergeCell ref="FJQ25:FJS25"/>
    <mergeCell ref="FJT25:FJV25"/>
    <mergeCell ref="FJW25:FJY25"/>
    <mergeCell ref="FJZ25:FKB25"/>
    <mergeCell ref="FKC25:FKE25"/>
    <mergeCell ref="FJB25:FJD25"/>
    <mergeCell ref="FJE25:FJG25"/>
    <mergeCell ref="FJH25:FJJ25"/>
    <mergeCell ref="FJK25:FJM25"/>
    <mergeCell ref="FJN25:FJP25"/>
    <mergeCell ref="FIM25:FIO25"/>
    <mergeCell ref="FIP25:FIR25"/>
    <mergeCell ref="FIS25:FIU25"/>
    <mergeCell ref="FIV25:FIX25"/>
    <mergeCell ref="FIY25:FJA25"/>
    <mergeCell ref="FMN25:FMP25"/>
    <mergeCell ref="FMQ25:FMS25"/>
    <mergeCell ref="FMT25:FMV25"/>
    <mergeCell ref="FMW25:FMY25"/>
    <mergeCell ref="FMZ25:FNB25"/>
    <mergeCell ref="FLY25:FMA25"/>
    <mergeCell ref="FMB25:FMD25"/>
    <mergeCell ref="FME25:FMG25"/>
    <mergeCell ref="FMH25:FMJ25"/>
    <mergeCell ref="FMK25:FMM25"/>
    <mergeCell ref="FLJ25:FLL25"/>
    <mergeCell ref="FLM25:FLO25"/>
    <mergeCell ref="FLP25:FLR25"/>
    <mergeCell ref="FLS25:FLU25"/>
    <mergeCell ref="FLV25:FLX25"/>
    <mergeCell ref="FKU25:FKW25"/>
    <mergeCell ref="FKX25:FKZ25"/>
    <mergeCell ref="FLA25:FLC25"/>
    <mergeCell ref="FLD25:FLF25"/>
    <mergeCell ref="FLG25:FLI25"/>
    <mergeCell ref="FOV25:FOX25"/>
    <mergeCell ref="FOY25:FPA25"/>
    <mergeCell ref="FPB25:FPD25"/>
    <mergeCell ref="FPE25:FPG25"/>
    <mergeCell ref="FPH25:FPJ25"/>
    <mergeCell ref="FOG25:FOI25"/>
    <mergeCell ref="FOJ25:FOL25"/>
    <mergeCell ref="FOM25:FOO25"/>
    <mergeCell ref="FOP25:FOR25"/>
    <mergeCell ref="FOS25:FOU25"/>
    <mergeCell ref="FNR25:FNT25"/>
    <mergeCell ref="FNU25:FNW25"/>
    <mergeCell ref="FNX25:FNZ25"/>
    <mergeCell ref="FOA25:FOC25"/>
    <mergeCell ref="FOD25:FOF25"/>
    <mergeCell ref="FNC25:FNE25"/>
    <mergeCell ref="FNF25:FNH25"/>
    <mergeCell ref="FNI25:FNK25"/>
    <mergeCell ref="FNL25:FNN25"/>
    <mergeCell ref="FNO25:FNQ25"/>
    <mergeCell ref="FRD25:FRF25"/>
    <mergeCell ref="FRG25:FRI25"/>
    <mergeCell ref="FRJ25:FRL25"/>
    <mergeCell ref="FRM25:FRO25"/>
    <mergeCell ref="FRP25:FRR25"/>
    <mergeCell ref="FQO25:FQQ25"/>
    <mergeCell ref="FQR25:FQT25"/>
    <mergeCell ref="FQU25:FQW25"/>
    <mergeCell ref="FQX25:FQZ25"/>
    <mergeCell ref="FRA25:FRC25"/>
    <mergeCell ref="FPZ25:FQB25"/>
    <mergeCell ref="FQC25:FQE25"/>
    <mergeCell ref="FQF25:FQH25"/>
    <mergeCell ref="FQI25:FQK25"/>
    <mergeCell ref="FQL25:FQN25"/>
    <mergeCell ref="FPK25:FPM25"/>
    <mergeCell ref="FPN25:FPP25"/>
    <mergeCell ref="FPQ25:FPS25"/>
    <mergeCell ref="FPT25:FPV25"/>
    <mergeCell ref="FPW25:FPY25"/>
    <mergeCell ref="FTL25:FTN25"/>
    <mergeCell ref="FTO25:FTQ25"/>
    <mergeCell ref="FTR25:FTT25"/>
    <mergeCell ref="FTU25:FTW25"/>
    <mergeCell ref="FTX25:FTZ25"/>
    <mergeCell ref="FSW25:FSY25"/>
    <mergeCell ref="FSZ25:FTB25"/>
    <mergeCell ref="FTC25:FTE25"/>
    <mergeCell ref="FTF25:FTH25"/>
    <mergeCell ref="FTI25:FTK25"/>
    <mergeCell ref="FSH25:FSJ25"/>
    <mergeCell ref="FSK25:FSM25"/>
    <mergeCell ref="FSN25:FSP25"/>
    <mergeCell ref="FSQ25:FSS25"/>
    <mergeCell ref="FST25:FSV25"/>
    <mergeCell ref="FRS25:FRU25"/>
    <mergeCell ref="FRV25:FRX25"/>
    <mergeCell ref="FRY25:FSA25"/>
    <mergeCell ref="FSB25:FSD25"/>
    <mergeCell ref="FSE25:FSG25"/>
    <mergeCell ref="FVT25:FVV25"/>
    <mergeCell ref="FVW25:FVY25"/>
    <mergeCell ref="FVZ25:FWB25"/>
    <mergeCell ref="FWC25:FWE25"/>
    <mergeCell ref="FWF25:FWH25"/>
    <mergeCell ref="FVE25:FVG25"/>
    <mergeCell ref="FVH25:FVJ25"/>
    <mergeCell ref="FVK25:FVM25"/>
    <mergeCell ref="FVN25:FVP25"/>
    <mergeCell ref="FVQ25:FVS25"/>
    <mergeCell ref="FUP25:FUR25"/>
    <mergeCell ref="FUS25:FUU25"/>
    <mergeCell ref="FUV25:FUX25"/>
    <mergeCell ref="FUY25:FVA25"/>
    <mergeCell ref="FVB25:FVD25"/>
    <mergeCell ref="FUA25:FUC25"/>
    <mergeCell ref="FUD25:FUF25"/>
    <mergeCell ref="FUG25:FUI25"/>
    <mergeCell ref="FUJ25:FUL25"/>
    <mergeCell ref="FUM25:FUO25"/>
    <mergeCell ref="FYB25:FYD25"/>
    <mergeCell ref="FYE25:FYG25"/>
    <mergeCell ref="FYH25:FYJ25"/>
    <mergeCell ref="FYK25:FYM25"/>
    <mergeCell ref="FYN25:FYP25"/>
    <mergeCell ref="FXM25:FXO25"/>
    <mergeCell ref="FXP25:FXR25"/>
    <mergeCell ref="FXS25:FXU25"/>
    <mergeCell ref="FXV25:FXX25"/>
    <mergeCell ref="FXY25:FYA25"/>
    <mergeCell ref="FWX25:FWZ25"/>
    <mergeCell ref="FXA25:FXC25"/>
    <mergeCell ref="FXD25:FXF25"/>
    <mergeCell ref="FXG25:FXI25"/>
    <mergeCell ref="FXJ25:FXL25"/>
    <mergeCell ref="FWI25:FWK25"/>
    <mergeCell ref="FWL25:FWN25"/>
    <mergeCell ref="FWO25:FWQ25"/>
    <mergeCell ref="FWR25:FWT25"/>
    <mergeCell ref="FWU25:FWW25"/>
    <mergeCell ref="GAJ25:GAL25"/>
    <mergeCell ref="GAM25:GAO25"/>
    <mergeCell ref="GAP25:GAR25"/>
    <mergeCell ref="GAS25:GAU25"/>
    <mergeCell ref="GAV25:GAX25"/>
    <mergeCell ref="FZU25:FZW25"/>
    <mergeCell ref="FZX25:FZZ25"/>
    <mergeCell ref="GAA25:GAC25"/>
    <mergeCell ref="GAD25:GAF25"/>
    <mergeCell ref="GAG25:GAI25"/>
    <mergeCell ref="FZF25:FZH25"/>
    <mergeCell ref="FZI25:FZK25"/>
    <mergeCell ref="FZL25:FZN25"/>
    <mergeCell ref="FZO25:FZQ25"/>
    <mergeCell ref="FZR25:FZT25"/>
    <mergeCell ref="FYQ25:FYS25"/>
    <mergeCell ref="FYT25:FYV25"/>
    <mergeCell ref="FYW25:FYY25"/>
    <mergeCell ref="FYZ25:FZB25"/>
    <mergeCell ref="FZC25:FZE25"/>
    <mergeCell ref="GCR25:GCT25"/>
    <mergeCell ref="GCU25:GCW25"/>
    <mergeCell ref="GCX25:GCZ25"/>
    <mergeCell ref="GDA25:GDC25"/>
    <mergeCell ref="GDD25:GDF25"/>
    <mergeCell ref="GCC25:GCE25"/>
    <mergeCell ref="GCF25:GCH25"/>
    <mergeCell ref="GCI25:GCK25"/>
    <mergeCell ref="GCL25:GCN25"/>
    <mergeCell ref="GCO25:GCQ25"/>
    <mergeCell ref="GBN25:GBP25"/>
    <mergeCell ref="GBQ25:GBS25"/>
    <mergeCell ref="GBT25:GBV25"/>
    <mergeCell ref="GBW25:GBY25"/>
    <mergeCell ref="GBZ25:GCB25"/>
    <mergeCell ref="GAY25:GBA25"/>
    <mergeCell ref="GBB25:GBD25"/>
    <mergeCell ref="GBE25:GBG25"/>
    <mergeCell ref="GBH25:GBJ25"/>
    <mergeCell ref="GBK25:GBM25"/>
    <mergeCell ref="GEZ25:GFB25"/>
    <mergeCell ref="GFC25:GFE25"/>
    <mergeCell ref="GFF25:GFH25"/>
    <mergeCell ref="GFI25:GFK25"/>
    <mergeCell ref="GFL25:GFN25"/>
    <mergeCell ref="GEK25:GEM25"/>
    <mergeCell ref="GEN25:GEP25"/>
    <mergeCell ref="GEQ25:GES25"/>
    <mergeCell ref="GET25:GEV25"/>
    <mergeCell ref="GEW25:GEY25"/>
    <mergeCell ref="GDV25:GDX25"/>
    <mergeCell ref="GDY25:GEA25"/>
    <mergeCell ref="GEB25:GED25"/>
    <mergeCell ref="GEE25:GEG25"/>
    <mergeCell ref="GEH25:GEJ25"/>
    <mergeCell ref="GDG25:GDI25"/>
    <mergeCell ref="GDJ25:GDL25"/>
    <mergeCell ref="GDM25:GDO25"/>
    <mergeCell ref="GDP25:GDR25"/>
    <mergeCell ref="GDS25:GDU25"/>
    <mergeCell ref="GHH25:GHJ25"/>
    <mergeCell ref="GHK25:GHM25"/>
    <mergeCell ref="GHN25:GHP25"/>
    <mergeCell ref="GHQ25:GHS25"/>
    <mergeCell ref="GHT25:GHV25"/>
    <mergeCell ref="GGS25:GGU25"/>
    <mergeCell ref="GGV25:GGX25"/>
    <mergeCell ref="GGY25:GHA25"/>
    <mergeCell ref="GHB25:GHD25"/>
    <mergeCell ref="GHE25:GHG25"/>
    <mergeCell ref="GGD25:GGF25"/>
    <mergeCell ref="GGG25:GGI25"/>
    <mergeCell ref="GGJ25:GGL25"/>
    <mergeCell ref="GGM25:GGO25"/>
    <mergeCell ref="GGP25:GGR25"/>
    <mergeCell ref="GFO25:GFQ25"/>
    <mergeCell ref="GFR25:GFT25"/>
    <mergeCell ref="GFU25:GFW25"/>
    <mergeCell ref="GFX25:GFZ25"/>
    <mergeCell ref="GGA25:GGC25"/>
    <mergeCell ref="GJP25:GJR25"/>
    <mergeCell ref="GJS25:GJU25"/>
    <mergeCell ref="GJV25:GJX25"/>
    <mergeCell ref="GJY25:GKA25"/>
    <mergeCell ref="GKB25:GKD25"/>
    <mergeCell ref="GJA25:GJC25"/>
    <mergeCell ref="GJD25:GJF25"/>
    <mergeCell ref="GJG25:GJI25"/>
    <mergeCell ref="GJJ25:GJL25"/>
    <mergeCell ref="GJM25:GJO25"/>
    <mergeCell ref="GIL25:GIN25"/>
    <mergeCell ref="GIO25:GIQ25"/>
    <mergeCell ref="GIR25:GIT25"/>
    <mergeCell ref="GIU25:GIW25"/>
    <mergeCell ref="GIX25:GIZ25"/>
    <mergeCell ref="GHW25:GHY25"/>
    <mergeCell ref="GHZ25:GIB25"/>
    <mergeCell ref="GIC25:GIE25"/>
    <mergeCell ref="GIF25:GIH25"/>
    <mergeCell ref="GII25:GIK25"/>
    <mergeCell ref="GLX25:GLZ25"/>
    <mergeCell ref="GMA25:GMC25"/>
    <mergeCell ref="GMD25:GMF25"/>
    <mergeCell ref="GMG25:GMI25"/>
    <mergeCell ref="GMJ25:GML25"/>
    <mergeCell ref="GLI25:GLK25"/>
    <mergeCell ref="GLL25:GLN25"/>
    <mergeCell ref="GLO25:GLQ25"/>
    <mergeCell ref="GLR25:GLT25"/>
    <mergeCell ref="GLU25:GLW25"/>
    <mergeCell ref="GKT25:GKV25"/>
    <mergeCell ref="GKW25:GKY25"/>
    <mergeCell ref="GKZ25:GLB25"/>
    <mergeCell ref="GLC25:GLE25"/>
    <mergeCell ref="GLF25:GLH25"/>
    <mergeCell ref="GKE25:GKG25"/>
    <mergeCell ref="GKH25:GKJ25"/>
    <mergeCell ref="GKK25:GKM25"/>
    <mergeCell ref="GKN25:GKP25"/>
    <mergeCell ref="GKQ25:GKS25"/>
    <mergeCell ref="GOF25:GOH25"/>
    <mergeCell ref="GOI25:GOK25"/>
    <mergeCell ref="GOL25:GON25"/>
    <mergeCell ref="GOO25:GOQ25"/>
    <mergeCell ref="GOR25:GOT25"/>
    <mergeCell ref="GNQ25:GNS25"/>
    <mergeCell ref="GNT25:GNV25"/>
    <mergeCell ref="GNW25:GNY25"/>
    <mergeCell ref="GNZ25:GOB25"/>
    <mergeCell ref="GOC25:GOE25"/>
    <mergeCell ref="GNB25:GND25"/>
    <mergeCell ref="GNE25:GNG25"/>
    <mergeCell ref="GNH25:GNJ25"/>
    <mergeCell ref="GNK25:GNM25"/>
    <mergeCell ref="GNN25:GNP25"/>
    <mergeCell ref="GMM25:GMO25"/>
    <mergeCell ref="GMP25:GMR25"/>
    <mergeCell ref="GMS25:GMU25"/>
    <mergeCell ref="GMV25:GMX25"/>
    <mergeCell ref="GMY25:GNA25"/>
    <mergeCell ref="GQN25:GQP25"/>
    <mergeCell ref="GQQ25:GQS25"/>
    <mergeCell ref="GQT25:GQV25"/>
    <mergeCell ref="GQW25:GQY25"/>
    <mergeCell ref="GQZ25:GRB25"/>
    <mergeCell ref="GPY25:GQA25"/>
    <mergeCell ref="GQB25:GQD25"/>
    <mergeCell ref="GQE25:GQG25"/>
    <mergeCell ref="GQH25:GQJ25"/>
    <mergeCell ref="GQK25:GQM25"/>
    <mergeCell ref="GPJ25:GPL25"/>
    <mergeCell ref="GPM25:GPO25"/>
    <mergeCell ref="GPP25:GPR25"/>
    <mergeCell ref="GPS25:GPU25"/>
    <mergeCell ref="GPV25:GPX25"/>
    <mergeCell ref="GOU25:GOW25"/>
    <mergeCell ref="GOX25:GOZ25"/>
    <mergeCell ref="GPA25:GPC25"/>
    <mergeCell ref="GPD25:GPF25"/>
    <mergeCell ref="GPG25:GPI25"/>
    <mergeCell ref="GSV25:GSX25"/>
    <mergeCell ref="GSY25:GTA25"/>
    <mergeCell ref="GTB25:GTD25"/>
    <mergeCell ref="GTE25:GTG25"/>
    <mergeCell ref="GTH25:GTJ25"/>
    <mergeCell ref="GSG25:GSI25"/>
    <mergeCell ref="GSJ25:GSL25"/>
    <mergeCell ref="GSM25:GSO25"/>
    <mergeCell ref="GSP25:GSR25"/>
    <mergeCell ref="GSS25:GSU25"/>
    <mergeCell ref="GRR25:GRT25"/>
    <mergeCell ref="GRU25:GRW25"/>
    <mergeCell ref="GRX25:GRZ25"/>
    <mergeCell ref="GSA25:GSC25"/>
    <mergeCell ref="GSD25:GSF25"/>
    <mergeCell ref="GRC25:GRE25"/>
    <mergeCell ref="GRF25:GRH25"/>
    <mergeCell ref="GRI25:GRK25"/>
    <mergeCell ref="GRL25:GRN25"/>
    <mergeCell ref="GRO25:GRQ25"/>
    <mergeCell ref="GVD25:GVF25"/>
    <mergeCell ref="GVG25:GVI25"/>
    <mergeCell ref="GVJ25:GVL25"/>
    <mergeCell ref="GVM25:GVO25"/>
    <mergeCell ref="GVP25:GVR25"/>
    <mergeCell ref="GUO25:GUQ25"/>
    <mergeCell ref="GUR25:GUT25"/>
    <mergeCell ref="GUU25:GUW25"/>
    <mergeCell ref="GUX25:GUZ25"/>
    <mergeCell ref="GVA25:GVC25"/>
    <mergeCell ref="GTZ25:GUB25"/>
    <mergeCell ref="GUC25:GUE25"/>
    <mergeCell ref="GUF25:GUH25"/>
    <mergeCell ref="GUI25:GUK25"/>
    <mergeCell ref="GUL25:GUN25"/>
    <mergeCell ref="GTK25:GTM25"/>
    <mergeCell ref="GTN25:GTP25"/>
    <mergeCell ref="GTQ25:GTS25"/>
    <mergeCell ref="GTT25:GTV25"/>
    <mergeCell ref="GTW25:GTY25"/>
    <mergeCell ref="GXL25:GXN25"/>
    <mergeCell ref="GXO25:GXQ25"/>
    <mergeCell ref="GXR25:GXT25"/>
    <mergeCell ref="GXU25:GXW25"/>
    <mergeCell ref="GXX25:GXZ25"/>
    <mergeCell ref="GWW25:GWY25"/>
    <mergeCell ref="GWZ25:GXB25"/>
    <mergeCell ref="GXC25:GXE25"/>
    <mergeCell ref="GXF25:GXH25"/>
    <mergeCell ref="GXI25:GXK25"/>
    <mergeCell ref="GWH25:GWJ25"/>
    <mergeCell ref="GWK25:GWM25"/>
    <mergeCell ref="GWN25:GWP25"/>
    <mergeCell ref="GWQ25:GWS25"/>
    <mergeCell ref="GWT25:GWV25"/>
    <mergeCell ref="GVS25:GVU25"/>
    <mergeCell ref="GVV25:GVX25"/>
    <mergeCell ref="GVY25:GWA25"/>
    <mergeCell ref="GWB25:GWD25"/>
    <mergeCell ref="GWE25:GWG25"/>
    <mergeCell ref="GZT25:GZV25"/>
    <mergeCell ref="GZW25:GZY25"/>
    <mergeCell ref="GZZ25:HAB25"/>
    <mergeCell ref="HAC25:HAE25"/>
    <mergeCell ref="HAF25:HAH25"/>
    <mergeCell ref="GZE25:GZG25"/>
    <mergeCell ref="GZH25:GZJ25"/>
    <mergeCell ref="GZK25:GZM25"/>
    <mergeCell ref="GZN25:GZP25"/>
    <mergeCell ref="GZQ25:GZS25"/>
    <mergeCell ref="GYP25:GYR25"/>
    <mergeCell ref="GYS25:GYU25"/>
    <mergeCell ref="GYV25:GYX25"/>
    <mergeCell ref="GYY25:GZA25"/>
    <mergeCell ref="GZB25:GZD25"/>
    <mergeCell ref="GYA25:GYC25"/>
    <mergeCell ref="GYD25:GYF25"/>
    <mergeCell ref="GYG25:GYI25"/>
    <mergeCell ref="GYJ25:GYL25"/>
    <mergeCell ref="GYM25:GYO25"/>
    <mergeCell ref="HCB25:HCD25"/>
    <mergeCell ref="HCE25:HCG25"/>
    <mergeCell ref="HCH25:HCJ25"/>
    <mergeCell ref="HCK25:HCM25"/>
    <mergeCell ref="HCN25:HCP25"/>
    <mergeCell ref="HBM25:HBO25"/>
    <mergeCell ref="HBP25:HBR25"/>
    <mergeCell ref="HBS25:HBU25"/>
    <mergeCell ref="HBV25:HBX25"/>
    <mergeCell ref="HBY25:HCA25"/>
    <mergeCell ref="HAX25:HAZ25"/>
    <mergeCell ref="HBA25:HBC25"/>
    <mergeCell ref="HBD25:HBF25"/>
    <mergeCell ref="HBG25:HBI25"/>
    <mergeCell ref="HBJ25:HBL25"/>
    <mergeCell ref="HAI25:HAK25"/>
    <mergeCell ref="HAL25:HAN25"/>
    <mergeCell ref="HAO25:HAQ25"/>
    <mergeCell ref="HAR25:HAT25"/>
    <mergeCell ref="HAU25:HAW25"/>
    <mergeCell ref="HEJ25:HEL25"/>
    <mergeCell ref="HEM25:HEO25"/>
    <mergeCell ref="HEP25:HER25"/>
    <mergeCell ref="HES25:HEU25"/>
    <mergeCell ref="HEV25:HEX25"/>
    <mergeCell ref="HDU25:HDW25"/>
    <mergeCell ref="HDX25:HDZ25"/>
    <mergeCell ref="HEA25:HEC25"/>
    <mergeCell ref="HED25:HEF25"/>
    <mergeCell ref="HEG25:HEI25"/>
    <mergeCell ref="HDF25:HDH25"/>
    <mergeCell ref="HDI25:HDK25"/>
    <mergeCell ref="HDL25:HDN25"/>
    <mergeCell ref="HDO25:HDQ25"/>
    <mergeCell ref="HDR25:HDT25"/>
    <mergeCell ref="HCQ25:HCS25"/>
    <mergeCell ref="HCT25:HCV25"/>
    <mergeCell ref="HCW25:HCY25"/>
    <mergeCell ref="HCZ25:HDB25"/>
    <mergeCell ref="HDC25:HDE25"/>
    <mergeCell ref="HGR25:HGT25"/>
    <mergeCell ref="HGU25:HGW25"/>
    <mergeCell ref="HGX25:HGZ25"/>
    <mergeCell ref="HHA25:HHC25"/>
    <mergeCell ref="HHD25:HHF25"/>
    <mergeCell ref="HGC25:HGE25"/>
    <mergeCell ref="HGF25:HGH25"/>
    <mergeCell ref="HGI25:HGK25"/>
    <mergeCell ref="HGL25:HGN25"/>
    <mergeCell ref="HGO25:HGQ25"/>
    <mergeCell ref="HFN25:HFP25"/>
    <mergeCell ref="HFQ25:HFS25"/>
    <mergeCell ref="HFT25:HFV25"/>
    <mergeCell ref="HFW25:HFY25"/>
    <mergeCell ref="HFZ25:HGB25"/>
    <mergeCell ref="HEY25:HFA25"/>
    <mergeCell ref="HFB25:HFD25"/>
    <mergeCell ref="HFE25:HFG25"/>
    <mergeCell ref="HFH25:HFJ25"/>
    <mergeCell ref="HFK25:HFM25"/>
    <mergeCell ref="HIZ25:HJB25"/>
    <mergeCell ref="HJC25:HJE25"/>
    <mergeCell ref="HJF25:HJH25"/>
    <mergeCell ref="HJI25:HJK25"/>
    <mergeCell ref="HJL25:HJN25"/>
    <mergeCell ref="HIK25:HIM25"/>
    <mergeCell ref="HIN25:HIP25"/>
    <mergeCell ref="HIQ25:HIS25"/>
    <mergeCell ref="HIT25:HIV25"/>
    <mergeCell ref="HIW25:HIY25"/>
    <mergeCell ref="HHV25:HHX25"/>
    <mergeCell ref="HHY25:HIA25"/>
    <mergeCell ref="HIB25:HID25"/>
    <mergeCell ref="HIE25:HIG25"/>
    <mergeCell ref="HIH25:HIJ25"/>
    <mergeCell ref="HHG25:HHI25"/>
    <mergeCell ref="HHJ25:HHL25"/>
    <mergeCell ref="HHM25:HHO25"/>
    <mergeCell ref="HHP25:HHR25"/>
    <mergeCell ref="HHS25:HHU25"/>
    <mergeCell ref="HLH25:HLJ25"/>
    <mergeCell ref="HLK25:HLM25"/>
    <mergeCell ref="HLN25:HLP25"/>
    <mergeCell ref="HLQ25:HLS25"/>
    <mergeCell ref="HLT25:HLV25"/>
    <mergeCell ref="HKS25:HKU25"/>
    <mergeCell ref="HKV25:HKX25"/>
    <mergeCell ref="HKY25:HLA25"/>
    <mergeCell ref="HLB25:HLD25"/>
    <mergeCell ref="HLE25:HLG25"/>
    <mergeCell ref="HKD25:HKF25"/>
    <mergeCell ref="HKG25:HKI25"/>
    <mergeCell ref="HKJ25:HKL25"/>
    <mergeCell ref="HKM25:HKO25"/>
    <mergeCell ref="HKP25:HKR25"/>
    <mergeCell ref="HJO25:HJQ25"/>
    <mergeCell ref="HJR25:HJT25"/>
    <mergeCell ref="HJU25:HJW25"/>
    <mergeCell ref="HJX25:HJZ25"/>
    <mergeCell ref="HKA25:HKC25"/>
    <mergeCell ref="HNP25:HNR25"/>
    <mergeCell ref="HNS25:HNU25"/>
    <mergeCell ref="HNV25:HNX25"/>
    <mergeCell ref="HNY25:HOA25"/>
    <mergeCell ref="HOB25:HOD25"/>
    <mergeCell ref="HNA25:HNC25"/>
    <mergeCell ref="HND25:HNF25"/>
    <mergeCell ref="HNG25:HNI25"/>
    <mergeCell ref="HNJ25:HNL25"/>
    <mergeCell ref="HNM25:HNO25"/>
    <mergeCell ref="HML25:HMN25"/>
    <mergeCell ref="HMO25:HMQ25"/>
    <mergeCell ref="HMR25:HMT25"/>
    <mergeCell ref="HMU25:HMW25"/>
    <mergeCell ref="HMX25:HMZ25"/>
    <mergeCell ref="HLW25:HLY25"/>
    <mergeCell ref="HLZ25:HMB25"/>
    <mergeCell ref="HMC25:HME25"/>
    <mergeCell ref="HMF25:HMH25"/>
    <mergeCell ref="HMI25:HMK25"/>
    <mergeCell ref="HPX25:HPZ25"/>
    <mergeCell ref="HQA25:HQC25"/>
    <mergeCell ref="HQD25:HQF25"/>
    <mergeCell ref="HQG25:HQI25"/>
    <mergeCell ref="HQJ25:HQL25"/>
    <mergeCell ref="HPI25:HPK25"/>
    <mergeCell ref="HPL25:HPN25"/>
    <mergeCell ref="HPO25:HPQ25"/>
    <mergeCell ref="HPR25:HPT25"/>
    <mergeCell ref="HPU25:HPW25"/>
    <mergeCell ref="HOT25:HOV25"/>
    <mergeCell ref="HOW25:HOY25"/>
    <mergeCell ref="HOZ25:HPB25"/>
    <mergeCell ref="HPC25:HPE25"/>
    <mergeCell ref="HPF25:HPH25"/>
    <mergeCell ref="HOE25:HOG25"/>
    <mergeCell ref="HOH25:HOJ25"/>
    <mergeCell ref="HOK25:HOM25"/>
    <mergeCell ref="HON25:HOP25"/>
    <mergeCell ref="HOQ25:HOS25"/>
    <mergeCell ref="HSF25:HSH25"/>
    <mergeCell ref="HSI25:HSK25"/>
    <mergeCell ref="HSL25:HSN25"/>
    <mergeCell ref="HSO25:HSQ25"/>
    <mergeCell ref="HSR25:HST25"/>
    <mergeCell ref="HRQ25:HRS25"/>
    <mergeCell ref="HRT25:HRV25"/>
    <mergeCell ref="HRW25:HRY25"/>
    <mergeCell ref="HRZ25:HSB25"/>
    <mergeCell ref="HSC25:HSE25"/>
    <mergeCell ref="HRB25:HRD25"/>
    <mergeCell ref="HRE25:HRG25"/>
    <mergeCell ref="HRH25:HRJ25"/>
    <mergeCell ref="HRK25:HRM25"/>
    <mergeCell ref="HRN25:HRP25"/>
    <mergeCell ref="HQM25:HQO25"/>
    <mergeCell ref="HQP25:HQR25"/>
    <mergeCell ref="HQS25:HQU25"/>
    <mergeCell ref="HQV25:HQX25"/>
    <mergeCell ref="HQY25:HRA25"/>
    <mergeCell ref="HUN25:HUP25"/>
    <mergeCell ref="HUQ25:HUS25"/>
    <mergeCell ref="HUT25:HUV25"/>
    <mergeCell ref="HUW25:HUY25"/>
    <mergeCell ref="HUZ25:HVB25"/>
    <mergeCell ref="HTY25:HUA25"/>
    <mergeCell ref="HUB25:HUD25"/>
    <mergeCell ref="HUE25:HUG25"/>
    <mergeCell ref="HUH25:HUJ25"/>
    <mergeCell ref="HUK25:HUM25"/>
    <mergeCell ref="HTJ25:HTL25"/>
    <mergeCell ref="HTM25:HTO25"/>
    <mergeCell ref="HTP25:HTR25"/>
    <mergeCell ref="HTS25:HTU25"/>
    <mergeCell ref="HTV25:HTX25"/>
    <mergeCell ref="HSU25:HSW25"/>
    <mergeCell ref="HSX25:HSZ25"/>
    <mergeCell ref="HTA25:HTC25"/>
    <mergeCell ref="HTD25:HTF25"/>
    <mergeCell ref="HTG25:HTI25"/>
    <mergeCell ref="HWV25:HWX25"/>
    <mergeCell ref="HWY25:HXA25"/>
    <mergeCell ref="HXB25:HXD25"/>
    <mergeCell ref="HXE25:HXG25"/>
    <mergeCell ref="HXH25:HXJ25"/>
    <mergeCell ref="HWG25:HWI25"/>
    <mergeCell ref="HWJ25:HWL25"/>
    <mergeCell ref="HWM25:HWO25"/>
    <mergeCell ref="HWP25:HWR25"/>
    <mergeCell ref="HWS25:HWU25"/>
    <mergeCell ref="HVR25:HVT25"/>
    <mergeCell ref="HVU25:HVW25"/>
    <mergeCell ref="HVX25:HVZ25"/>
    <mergeCell ref="HWA25:HWC25"/>
    <mergeCell ref="HWD25:HWF25"/>
    <mergeCell ref="HVC25:HVE25"/>
    <mergeCell ref="HVF25:HVH25"/>
    <mergeCell ref="HVI25:HVK25"/>
    <mergeCell ref="HVL25:HVN25"/>
    <mergeCell ref="HVO25:HVQ25"/>
    <mergeCell ref="HZD25:HZF25"/>
    <mergeCell ref="HZG25:HZI25"/>
    <mergeCell ref="HZJ25:HZL25"/>
    <mergeCell ref="HZM25:HZO25"/>
    <mergeCell ref="HZP25:HZR25"/>
    <mergeCell ref="HYO25:HYQ25"/>
    <mergeCell ref="HYR25:HYT25"/>
    <mergeCell ref="HYU25:HYW25"/>
    <mergeCell ref="HYX25:HYZ25"/>
    <mergeCell ref="HZA25:HZC25"/>
    <mergeCell ref="HXZ25:HYB25"/>
    <mergeCell ref="HYC25:HYE25"/>
    <mergeCell ref="HYF25:HYH25"/>
    <mergeCell ref="HYI25:HYK25"/>
    <mergeCell ref="HYL25:HYN25"/>
    <mergeCell ref="HXK25:HXM25"/>
    <mergeCell ref="HXN25:HXP25"/>
    <mergeCell ref="HXQ25:HXS25"/>
    <mergeCell ref="HXT25:HXV25"/>
    <mergeCell ref="HXW25:HXY25"/>
    <mergeCell ref="IBL25:IBN25"/>
    <mergeCell ref="IBO25:IBQ25"/>
    <mergeCell ref="IBR25:IBT25"/>
    <mergeCell ref="IBU25:IBW25"/>
    <mergeCell ref="IBX25:IBZ25"/>
    <mergeCell ref="IAW25:IAY25"/>
    <mergeCell ref="IAZ25:IBB25"/>
    <mergeCell ref="IBC25:IBE25"/>
    <mergeCell ref="IBF25:IBH25"/>
    <mergeCell ref="IBI25:IBK25"/>
    <mergeCell ref="IAH25:IAJ25"/>
    <mergeCell ref="IAK25:IAM25"/>
    <mergeCell ref="IAN25:IAP25"/>
    <mergeCell ref="IAQ25:IAS25"/>
    <mergeCell ref="IAT25:IAV25"/>
    <mergeCell ref="HZS25:HZU25"/>
    <mergeCell ref="HZV25:HZX25"/>
    <mergeCell ref="HZY25:IAA25"/>
    <mergeCell ref="IAB25:IAD25"/>
    <mergeCell ref="IAE25:IAG25"/>
    <mergeCell ref="IDT25:IDV25"/>
    <mergeCell ref="IDW25:IDY25"/>
    <mergeCell ref="IDZ25:IEB25"/>
    <mergeCell ref="IEC25:IEE25"/>
    <mergeCell ref="IEF25:IEH25"/>
    <mergeCell ref="IDE25:IDG25"/>
    <mergeCell ref="IDH25:IDJ25"/>
    <mergeCell ref="IDK25:IDM25"/>
    <mergeCell ref="IDN25:IDP25"/>
    <mergeCell ref="IDQ25:IDS25"/>
    <mergeCell ref="ICP25:ICR25"/>
    <mergeCell ref="ICS25:ICU25"/>
    <mergeCell ref="ICV25:ICX25"/>
    <mergeCell ref="ICY25:IDA25"/>
    <mergeCell ref="IDB25:IDD25"/>
    <mergeCell ref="ICA25:ICC25"/>
    <mergeCell ref="ICD25:ICF25"/>
    <mergeCell ref="ICG25:ICI25"/>
    <mergeCell ref="ICJ25:ICL25"/>
    <mergeCell ref="ICM25:ICO25"/>
    <mergeCell ref="IGB25:IGD25"/>
    <mergeCell ref="IGE25:IGG25"/>
    <mergeCell ref="IGH25:IGJ25"/>
    <mergeCell ref="IGK25:IGM25"/>
    <mergeCell ref="IGN25:IGP25"/>
    <mergeCell ref="IFM25:IFO25"/>
    <mergeCell ref="IFP25:IFR25"/>
    <mergeCell ref="IFS25:IFU25"/>
    <mergeCell ref="IFV25:IFX25"/>
    <mergeCell ref="IFY25:IGA25"/>
    <mergeCell ref="IEX25:IEZ25"/>
    <mergeCell ref="IFA25:IFC25"/>
    <mergeCell ref="IFD25:IFF25"/>
    <mergeCell ref="IFG25:IFI25"/>
    <mergeCell ref="IFJ25:IFL25"/>
    <mergeCell ref="IEI25:IEK25"/>
    <mergeCell ref="IEL25:IEN25"/>
    <mergeCell ref="IEO25:IEQ25"/>
    <mergeCell ref="IER25:IET25"/>
    <mergeCell ref="IEU25:IEW25"/>
    <mergeCell ref="IIJ25:IIL25"/>
    <mergeCell ref="IIM25:IIO25"/>
    <mergeCell ref="IIP25:IIR25"/>
    <mergeCell ref="IIS25:IIU25"/>
    <mergeCell ref="IIV25:IIX25"/>
    <mergeCell ref="IHU25:IHW25"/>
    <mergeCell ref="IHX25:IHZ25"/>
    <mergeCell ref="IIA25:IIC25"/>
    <mergeCell ref="IID25:IIF25"/>
    <mergeCell ref="IIG25:III25"/>
    <mergeCell ref="IHF25:IHH25"/>
    <mergeCell ref="IHI25:IHK25"/>
    <mergeCell ref="IHL25:IHN25"/>
    <mergeCell ref="IHO25:IHQ25"/>
    <mergeCell ref="IHR25:IHT25"/>
    <mergeCell ref="IGQ25:IGS25"/>
    <mergeCell ref="IGT25:IGV25"/>
    <mergeCell ref="IGW25:IGY25"/>
    <mergeCell ref="IGZ25:IHB25"/>
    <mergeCell ref="IHC25:IHE25"/>
    <mergeCell ref="IKR25:IKT25"/>
    <mergeCell ref="IKU25:IKW25"/>
    <mergeCell ref="IKX25:IKZ25"/>
    <mergeCell ref="ILA25:ILC25"/>
    <mergeCell ref="ILD25:ILF25"/>
    <mergeCell ref="IKC25:IKE25"/>
    <mergeCell ref="IKF25:IKH25"/>
    <mergeCell ref="IKI25:IKK25"/>
    <mergeCell ref="IKL25:IKN25"/>
    <mergeCell ref="IKO25:IKQ25"/>
    <mergeCell ref="IJN25:IJP25"/>
    <mergeCell ref="IJQ25:IJS25"/>
    <mergeCell ref="IJT25:IJV25"/>
    <mergeCell ref="IJW25:IJY25"/>
    <mergeCell ref="IJZ25:IKB25"/>
    <mergeCell ref="IIY25:IJA25"/>
    <mergeCell ref="IJB25:IJD25"/>
    <mergeCell ref="IJE25:IJG25"/>
    <mergeCell ref="IJH25:IJJ25"/>
    <mergeCell ref="IJK25:IJM25"/>
    <mergeCell ref="IMZ25:INB25"/>
    <mergeCell ref="INC25:INE25"/>
    <mergeCell ref="INF25:INH25"/>
    <mergeCell ref="INI25:INK25"/>
    <mergeCell ref="INL25:INN25"/>
    <mergeCell ref="IMK25:IMM25"/>
    <mergeCell ref="IMN25:IMP25"/>
    <mergeCell ref="IMQ25:IMS25"/>
    <mergeCell ref="IMT25:IMV25"/>
    <mergeCell ref="IMW25:IMY25"/>
    <mergeCell ref="ILV25:ILX25"/>
    <mergeCell ref="ILY25:IMA25"/>
    <mergeCell ref="IMB25:IMD25"/>
    <mergeCell ref="IME25:IMG25"/>
    <mergeCell ref="IMH25:IMJ25"/>
    <mergeCell ref="ILG25:ILI25"/>
    <mergeCell ref="ILJ25:ILL25"/>
    <mergeCell ref="ILM25:ILO25"/>
    <mergeCell ref="ILP25:ILR25"/>
    <mergeCell ref="ILS25:ILU25"/>
    <mergeCell ref="IPH25:IPJ25"/>
    <mergeCell ref="IPK25:IPM25"/>
    <mergeCell ref="IPN25:IPP25"/>
    <mergeCell ref="IPQ25:IPS25"/>
    <mergeCell ref="IPT25:IPV25"/>
    <mergeCell ref="IOS25:IOU25"/>
    <mergeCell ref="IOV25:IOX25"/>
    <mergeCell ref="IOY25:IPA25"/>
    <mergeCell ref="IPB25:IPD25"/>
    <mergeCell ref="IPE25:IPG25"/>
    <mergeCell ref="IOD25:IOF25"/>
    <mergeCell ref="IOG25:IOI25"/>
    <mergeCell ref="IOJ25:IOL25"/>
    <mergeCell ref="IOM25:IOO25"/>
    <mergeCell ref="IOP25:IOR25"/>
    <mergeCell ref="INO25:INQ25"/>
    <mergeCell ref="INR25:INT25"/>
    <mergeCell ref="INU25:INW25"/>
    <mergeCell ref="INX25:INZ25"/>
    <mergeCell ref="IOA25:IOC25"/>
    <mergeCell ref="IRP25:IRR25"/>
    <mergeCell ref="IRS25:IRU25"/>
    <mergeCell ref="IRV25:IRX25"/>
    <mergeCell ref="IRY25:ISA25"/>
    <mergeCell ref="ISB25:ISD25"/>
    <mergeCell ref="IRA25:IRC25"/>
    <mergeCell ref="IRD25:IRF25"/>
    <mergeCell ref="IRG25:IRI25"/>
    <mergeCell ref="IRJ25:IRL25"/>
    <mergeCell ref="IRM25:IRO25"/>
    <mergeCell ref="IQL25:IQN25"/>
    <mergeCell ref="IQO25:IQQ25"/>
    <mergeCell ref="IQR25:IQT25"/>
    <mergeCell ref="IQU25:IQW25"/>
    <mergeCell ref="IQX25:IQZ25"/>
    <mergeCell ref="IPW25:IPY25"/>
    <mergeCell ref="IPZ25:IQB25"/>
    <mergeCell ref="IQC25:IQE25"/>
    <mergeCell ref="IQF25:IQH25"/>
    <mergeCell ref="IQI25:IQK25"/>
    <mergeCell ref="ITX25:ITZ25"/>
    <mergeCell ref="IUA25:IUC25"/>
    <mergeCell ref="IUD25:IUF25"/>
    <mergeCell ref="IUG25:IUI25"/>
    <mergeCell ref="IUJ25:IUL25"/>
    <mergeCell ref="ITI25:ITK25"/>
    <mergeCell ref="ITL25:ITN25"/>
    <mergeCell ref="ITO25:ITQ25"/>
    <mergeCell ref="ITR25:ITT25"/>
    <mergeCell ref="ITU25:ITW25"/>
    <mergeCell ref="IST25:ISV25"/>
    <mergeCell ref="ISW25:ISY25"/>
    <mergeCell ref="ISZ25:ITB25"/>
    <mergeCell ref="ITC25:ITE25"/>
    <mergeCell ref="ITF25:ITH25"/>
    <mergeCell ref="ISE25:ISG25"/>
    <mergeCell ref="ISH25:ISJ25"/>
    <mergeCell ref="ISK25:ISM25"/>
    <mergeCell ref="ISN25:ISP25"/>
    <mergeCell ref="ISQ25:ISS25"/>
    <mergeCell ref="IWF25:IWH25"/>
    <mergeCell ref="IWI25:IWK25"/>
    <mergeCell ref="IWL25:IWN25"/>
    <mergeCell ref="IWO25:IWQ25"/>
    <mergeCell ref="IWR25:IWT25"/>
    <mergeCell ref="IVQ25:IVS25"/>
    <mergeCell ref="IVT25:IVV25"/>
    <mergeCell ref="IVW25:IVY25"/>
    <mergeCell ref="IVZ25:IWB25"/>
    <mergeCell ref="IWC25:IWE25"/>
    <mergeCell ref="IVB25:IVD25"/>
    <mergeCell ref="IVE25:IVG25"/>
    <mergeCell ref="IVH25:IVJ25"/>
    <mergeCell ref="IVK25:IVM25"/>
    <mergeCell ref="IVN25:IVP25"/>
    <mergeCell ref="IUM25:IUO25"/>
    <mergeCell ref="IUP25:IUR25"/>
    <mergeCell ref="IUS25:IUU25"/>
    <mergeCell ref="IUV25:IUX25"/>
    <mergeCell ref="IUY25:IVA25"/>
    <mergeCell ref="IYN25:IYP25"/>
    <mergeCell ref="IYQ25:IYS25"/>
    <mergeCell ref="IYT25:IYV25"/>
    <mergeCell ref="IYW25:IYY25"/>
    <mergeCell ref="IYZ25:IZB25"/>
    <mergeCell ref="IXY25:IYA25"/>
    <mergeCell ref="IYB25:IYD25"/>
    <mergeCell ref="IYE25:IYG25"/>
    <mergeCell ref="IYH25:IYJ25"/>
    <mergeCell ref="IYK25:IYM25"/>
    <mergeCell ref="IXJ25:IXL25"/>
    <mergeCell ref="IXM25:IXO25"/>
    <mergeCell ref="IXP25:IXR25"/>
    <mergeCell ref="IXS25:IXU25"/>
    <mergeCell ref="IXV25:IXX25"/>
    <mergeCell ref="IWU25:IWW25"/>
    <mergeCell ref="IWX25:IWZ25"/>
    <mergeCell ref="IXA25:IXC25"/>
    <mergeCell ref="IXD25:IXF25"/>
    <mergeCell ref="IXG25:IXI25"/>
    <mergeCell ref="JAV25:JAX25"/>
    <mergeCell ref="JAY25:JBA25"/>
    <mergeCell ref="JBB25:JBD25"/>
    <mergeCell ref="JBE25:JBG25"/>
    <mergeCell ref="JBH25:JBJ25"/>
    <mergeCell ref="JAG25:JAI25"/>
    <mergeCell ref="JAJ25:JAL25"/>
    <mergeCell ref="JAM25:JAO25"/>
    <mergeCell ref="JAP25:JAR25"/>
    <mergeCell ref="JAS25:JAU25"/>
    <mergeCell ref="IZR25:IZT25"/>
    <mergeCell ref="IZU25:IZW25"/>
    <mergeCell ref="IZX25:IZZ25"/>
    <mergeCell ref="JAA25:JAC25"/>
    <mergeCell ref="JAD25:JAF25"/>
    <mergeCell ref="IZC25:IZE25"/>
    <mergeCell ref="IZF25:IZH25"/>
    <mergeCell ref="IZI25:IZK25"/>
    <mergeCell ref="IZL25:IZN25"/>
    <mergeCell ref="IZO25:IZQ25"/>
    <mergeCell ref="JDD25:JDF25"/>
    <mergeCell ref="JDG25:JDI25"/>
    <mergeCell ref="JDJ25:JDL25"/>
    <mergeCell ref="JDM25:JDO25"/>
    <mergeCell ref="JDP25:JDR25"/>
    <mergeCell ref="JCO25:JCQ25"/>
    <mergeCell ref="JCR25:JCT25"/>
    <mergeCell ref="JCU25:JCW25"/>
    <mergeCell ref="JCX25:JCZ25"/>
    <mergeCell ref="JDA25:JDC25"/>
    <mergeCell ref="JBZ25:JCB25"/>
    <mergeCell ref="JCC25:JCE25"/>
    <mergeCell ref="JCF25:JCH25"/>
    <mergeCell ref="JCI25:JCK25"/>
    <mergeCell ref="JCL25:JCN25"/>
    <mergeCell ref="JBK25:JBM25"/>
    <mergeCell ref="JBN25:JBP25"/>
    <mergeCell ref="JBQ25:JBS25"/>
    <mergeCell ref="JBT25:JBV25"/>
    <mergeCell ref="JBW25:JBY25"/>
    <mergeCell ref="JFL25:JFN25"/>
    <mergeCell ref="JFO25:JFQ25"/>
    <mergeCell ref="JFR25:JFT25"/>
    <mergeCell ref="JFU25:JFW25"/>
    <mergeCell ref="JFX25:JFZ25"/>
    <mergeCell ref="JEW25:JEY25"/>
    <mergeCell ref="JEZ25:JFB25"/>
    <mergeCell ref="JFC25:JFE25"/>
    <mergeCell ref="JFF25:JFH25"/>
    <mergeCell ref="JFI25:JFK25"/>
    <mergeCell ref="JEH25:JEJ25"/>
    <mergeCell ref="JEK25:JEM25"/>
    <mergeCell ref="JEN25:JEP25"/>
    <mergeCell ref="JEQ25:JES25"/>
    <mergeCell ref="JET25:JEV25"/>
    <mergeCell ref="JDS25:JDU25"/>
    <mergeCell ref="JDV25:JDX25"/>
    <mergeCell ref="JDY25:JEA25"/>
    <mergeCell ref="JEB25:JED25"/>
    <mergeCell ref="JEE25:JEG25"/>
    <mergeCell ref="JHT25:JHV25"/>
    <mergeCell ref="JHW25:JHY25"/>
    <mergeCell ref="JHZ25:JIB25"/>
    <mergeCell ref="JIC25:JIE25"/>
    <mergeCell ref="JIF25:JIH25"/>
    <mergeCell ref="JHE25:JHG25"/>
    <mergeCell ref="JHH25:JHJ25"/>
    <mergeCell ref="JHK25:JHM25"/>
    <mergeCell ref="JHN25:JHP25"/>
    <mergeCell ref="JHQ25:JHS25"/>
    <mergeCell ref="JGP25:JGR25"/>
    <mergeCell ref="JGS25:JGU25"/>
    <mergeCell ref="JGV25:JGX25"/>
    <mergeCell ref="JGY25:JHA25"/>
    <mergeCell ref="JHB25:JHD25"/>
    <mergeCell ref="JGA25:JGC25"/>
    <mergeCell ref="JGD25:JGF25"/>
    <mergeCell ref="JGG25:JGI25"/>
    <mergeCell ref="JGJ25:JGL25"/>
    <mergeCell ref="JGM25:JGO25"/>
    <mergeCell ref="JKB25:JKD25"/>
    <mergeCell ref="JKE25:JKG25"/>
    <mergeCell ref="JKH25:JKJ25"/>
    <mergeCell ref="JKK25:JKM25"/>
    <mergeCell ref="JKN25:JKP25"/>
    <mergeCell ref="JJM25:JJO25"/>
    <mergeCell ref="JJP25:JJR25"/>
    <mergeCell ref="JJS25:JJU25"/>
    <mergeCell ref="JJV25:JJX25"/>
    <mergeCell ref="JJY25:JKA25"/>
    <mergeCell ref="JIX25:JIZ25"/>
    <mergeCell ref="JJA25:JJC25"/>
    <mergeCell ref="JJD25:JJF25"/>
    <mergeCell ref="JJG25:JJI25"/>
    <mergeCell ref="JJJ25:JJL25"/>
    <mergeCell ref="JII25:JIK25"/>
    <mergeCell ref="JIL25:JIN25"/>
    <mergeCell ref="JIO25:JIQ25"/>
    <mergeCell ref="JIR25:JIT25"/>
    <mergeCell ref="JIU25:JIW25"/>
    <mergeCell ref="JMJ25:JML25"/>
    <mergeCell ref="JMM25:JMO25"/>
    <mergeCell ref="JMP25:JMR25"/>
    <mergeCell ref="JMS25:JMU25"/>
    <mergeCell ref="JMV25:JMX25"/>
    <mergeCell ref="JLU25:JLW25"/>
    <mergeCell ref="JLX25:JLZ25"/>
    <mergeCell ref="JMA25:JMC25"/>
    <mergeCell ref="JMD25:JMF25"/>
    <mergeCell ref="JMG25:JMI25"/>
    <mergeCell ref="JLF25:JLH25"/>
    <mergeCell ref="JLI25:JLK25"/>
    <mergeCell ref="JLL25:JLN25"/>
    <mergeCell ref="JLO25:JLQ25"/>
    <mergeCell ref="JLR25:JLT25"/>
    <mergeCell ref="JKQ25:JKS25"/>
    <mergeCell ref="JKT25:JKV25"/>
    <mergeCell ref="JKW25:JKY25"/>
    <mergeCell ref="JKZ25:JLB25"/>
    <mergeCell ref="JLC25:JLE25"/>
    <mergeCell ref="JOR25:JOT25"/>
    <mergeCell ref="JOU25:JOW25"/>
    <mergeCell ref="JOX25:JOZ25"/>
    <mergeCell ref="JPA25:JPC25"/>
    <mergeCell ref="JPD25:JPF25"/>
    <mergeCell ref="JOC25:JOE25"/>
    <mergeCell ref="JOF25:JOH25"/>
    <mergeCell ref="JOI25:JOK25"/>
    <mergeCell ref="JOL25:JON25"/>
    <mergeCell ref="JOO25:JOQ25"/>
    <mergeCell ref="JNN25:JNP25"/>
    <mergeCell ref="JNQ25:JNS25"/>
    <mergeCell ref="JNT25:JNV25"/>
    <mergeCell ref="JNW25:JNY25"/>
    <mergeCell ref="JNZ25:JOB25"/>
    <mergeCell ref="JMY25:JNA25"/>
    <mergeCell ref="JNB25:JND25"/>
    <mergeCell ref="JNE25:JNG25"/>
    <mergeCell ref="JNH25:JNJ25"/>
    <mergeCell ref="JNK25:JNM25"/>
    <mergeCell ref="JQZ25:JRB25"/>
    <mergeCell ref="JRC25:JRE25"/>
    <mergeCell ref="JRF25:JRH25"/>
    <mergeCell ref="JRI25:JRK25"/>
    <mergeCell ref="JRL25:JRN25"/>
    <mergeCell ref="JQK25:JQM25"/>
    <mergeCell ref="JQN25:JQP25"/>
    <mergeCell ref="JQQ25:JQS25"/>
    <mergeCell ref="JQT25:JQV25"/>
    <mergeCell ref="JQW25:JQY25"/>
    <mergeCell ref="JPV25:JPX25"/>
    <mergeCell ref="JPY25:JQA25"/>
    <mergeCell ref="JQB25:JQD25"/>
    <mergeCell ref="JQE25:JQG25"/>
    <mergeCell ref="JQH25:JQJ25"/>
    <mergeCell ref="JPG25:JPI25"/>
    <mergeCell ref="JPJ25:JPL25"/>
    <mergeCell ref="JPM25:JPO25"/>
    <mergeCell ref="JPP25:JPR25"/>
    <mergeCell ref="JPS25:JPU25"/>
    <mergeCell ref="JTH25:JTJ25"/>
    <mergeCell ref="JTK25:JTM25"/>
    <mergeCell ref="JTN25:JTP25"/>
    <mergeCell ref="JTQ25:JTS25"/>
    <mergeCell ref="JTT25:JTV25"/>
    <mergeCell ref="JSS25:JSU25"/>
    <mergeCell ref="JSV25:JSX25"/>
    <mergeCell ref="JSY25:JTA25"/>
    <mergeCell ref="JTB25:JTD25"/>
    <mergeCell ref="JTE25:JTG25"/>
    <mergeCell ref="JSD25:JSF25"/>
    <mergeCell ref="JSG25:JSI25"/>
    <mergeCell ref="JSJ25:JSL25"/>
    <mergeCell ref="JSM25:JSO25"/>
    <mergeCell ref="JSP25:JSR25"/>
    <mergeCell ref="JRO25:JRQ25"/>
    <mergeCell ref="JRR25:JRT25"/>
    <mergeCell ref="JRU25:JRW25"/>
    <mergeCell ref="JRX25:JRZ25"/>
    <mergeCell ref="JSA25:JSC25"/>
    <mergeCell ref="JVP25:JVR25"/>
    <mergeCell ref="JVS25:JVU25"/>
    <mergeCell ref="JVV25:JVX25"/>
    <mergeCell ref="JVY25:JWA25"/>
    <mergeCell ref="JWB25:JWD25"/>
    <mergeCell ref="JVA25:JVC25"/>
    <mergeCell ref="JVD25:JVF25"/>
    <mergeCell ref="JVG25:JVI25"/>
    <mergeCell ref="JVJ25:JVL25"/>
    <mergeCell ref="JVM25:JVO25"/>
    <mergeCell ref="JUL25:JUN25"/>
    <mergeCell ref="JUO25:JUQ25"/>
    <mergeCell ref="JUR25:JUT25"/>
    <mergeCell ref="JUU25:JUW25"/>
    <mergeCell ref="JUX25:JUZ25"/>
    <mergeCell ref="JTW25:JTY25"/>
    <mergeCell ref="JTZ25:JUB25"/>
    <mergeCell ref="JUC25:JUE25"/>
    <mergeCell ref="JUF25:JUH25"/>
    <mergeCell ref="JUI25:JUK25"/>
    <mergeCell ref="JXX25:JXZ25"/>
    <mergeCell ref="JYA25:JYC25"/>
    <mergeCell ref="JYD25:JYF25"/>
    <mergeCell ref="JYG25:JYI25"/>
    <mergeCell ref="JYJ25:JYL25"/>
    <mergeCell ref="JXI25:JXK25"/>
    <mergeCell ref="JXL25:JXN25"/>
    <mergeCell ref="JXO25:JXQ25"/>
    <mergeCell ref="JXR25:JXT25"/>
    <mergeCell ref="JXU25:JXW25"/>
    <mergeCell ref="JWT25:JWV25"/>
    <mergeCell ref="JWW25:JWY25"/>
    <mergeCell ref="JWZ25:JXB25"/>
    <mergeCell ref="JXC25:JXE25"/>
    <mergeCell ref="JXF25:JXH25"/>
    <mergeCell ref="JWE25:JWG25"/>
    <mergeCell ref="JWH25:JWJ25"/>
    <mergeCell ref="JWK25:JWM25"/>
    <mergeCell ref="JWN25:JWP25"/>
    <mergeCell ref="JWQ25:JWS25"/>
    <mergeCell ref="KAF25:KAH25"/>
    <mergeCell ref="KAI25:KAK25"/>
    <mergeCell ref="KAL25:KAN25"/>
    <mergeCell ref="KAO25:KAQ25"/>
    <mergeCell ref="KAR25:KAT25"/>
    <mergeCell ref="JZQ25:JZS25"/>
    <mergeCell ref="JZT25:JZV25"/>
    <mergeCell ref="JZW25:JZY25"/>
    <mergeCell ref="JZZ25:KAB25"/>
    <mergeCell ref="KAC25:KAE25"/>
    <mergeCell ref="JZB25:JZD25"/>
    <mergeCell ref="JZE25:JZG25"/>
    <mergeCell ref="JZH25:JZJ25"/>
    <mergeCell ref="JZK25:JZM25"/>
    <mergeCell ref="JZN25:JZP25"/>
    <mergeCell ref="JYM25:JYO25"/>
    <mergeCell ref="JYP25:JYR25"/>
    <mergeCell ref="JYS25:JYU25"/>
    <mergeCell ref="JYV25:JYX25"/>
    <mergeCell ref="JYY25:JZA25"/>
    <mergeCell ref="KCN25:KCP25"/>
    <mergeCell ref="KCQ25:KCS25"/>
    <mergeCell ref="KCT25:KCV25"/>
    <mergeCell ref="KCW25:KCY25"/>
    <mergeCell ref="KCZ25:KDB25"/>
    <mergeCell ref="KBY25:KCA25"/>
    <mergeCell ref="KCB25:KCD25"/>
    <mergeCell ref="KCE25:KCG25"/>
    <mergeCell ref="KCH25:KCJ25"/>
    <mergeCell ref="KCK25:KCM25"/>
    <mergeCell ref="KBJ25:KBL25"/>
    <mergeCell ref="KBM25:KBO25"/>
    <mergeCell ref="KBP25:KBR25"/>
    <mergeCell ref="KBS25:KBU25"/>
    <mergeCell ref="KBV25:KBX25"/>
    <mergeCell ref="KAU25:KAW25"/>
    <mergeCell ref="KAX25:KAZ25"/>
    <mergeCell ref="KBA25:KBC25"/>
    <mergeCell ref="KBD25:KBF25"/>
    <mergeCell ref="KBG25:KBI25"/>
    <mergeCell ref="KEV25:KEX25"/>
    <mergeCell ref="KEY25:KFA25"/>
    <mergeCell ref="KFB25:KFD25"/>
    <mergeCell ref="KFE25:KFG25"/>
    <mergeCell ref="KFH25:KFJ25"/>
    <mergeCell ref="KEG25:KEI25"/>
    <mergeCell ref="KEJ25:KEL25"/>
    <mergeCell ref="KEM25:KEO25"/>
    <mergeCell ref="KEP25:KER25"/>
    <mergeCell ref="KES25:KEU25"/>
    <mergeCell ref="KDR25:KDT25"/>
    <mergeCell ref="KDU25:KDW25"/>
    <mergeCell ref="KDX25:KDZ25"/>
    <mergeCell ref="KEA25:KEC25"/>
    <mergeCell ref="KED25:KEF25"/>
    <mergeCell ref="KDC25:KDE25"/>
    <mergeCell ref="KDF25:KDH25"/>
    <mergeCell ref="KDI25:KDK25"/>
    <mergeCell ref="KDL25:KDN25"/>
    <mergeCell ref="KDO25:KDQ25"/>
    <mergeCell ref="KHD25:KHF25"/>
    <mergeCell ref="KHG25:KHI25"/>
    <mergeCell ref="KHJ25:KHL25"/>
    <mergeCell ref="KHM25:KHO25"/>
    <mergeCell ref="KHP25:KHR25"/>
    <mergeCell ref="KGO25:KGQ25"/>
    <mergeCell ref="KGR25:KGT25"/>
    <mergeCell ref="KGU25:KGW25"/>
    <mergeCell ref="KGX25:KGZ25"/>
    <mergeCell ref="KHA25:KHC25"/>
    <mergeCell ref="KFZ25:KGB25"/>
    <mergeCell ref="KGC25:KGE25"/>
    <mergeCell ref="KGF25:KGH25"/>
    <mergeCell ref="KGI25:KGK25"/>
    <mergeCell ref="KGL25:KGN25"/>
    <mergeCell ref="KFK25:KFM25"/>
    <mergeCell ref="KFN25:KFP25"/>
    <mergeCell ref="KFQ25:KFS25"/>
    <mergeCell ref="KFT25:KFV25"/>
    <mergeCell ref="KFW25:KFY25"/>
    <mergeCell ref="KJL25:KJN25"/>
    <mergeCell ref="KJO25:KJQ25"/>
    <mergeCell ref="KJR25:KJT25"/>
    <mergeCell ref="KJU25:KJW25"/>
    <mergeCell ref="KJX25:KJZ25"/>
    <mergeCell ref="KIW25:KIY25"/>
    <mergeCell ref="KIZ25:KJB25"/>
    <mergeCell ref="KJC25:KJE25"/>
    <mergeCell ref="KJF25:KJH25"/>
    <mergeCell ref="KJI25:KJK25"/>
    <mergeCell ref="KIH25:KIJ25"/>
    <mergeCell ref="KIK25:KIM25"/>
    <mergeCell ref="KIN25:KIP25"/>
    <mergeCell ref="KIQ25:KIS25"/>
    <mergeCell ref="KIT25:KIV25"/>
    <mergeCell ref="KHS25:KHU25"/>
    <mergeCell ref="KHV25:KHX25"/>
    <mergeCell ref="KHY25:KIA25"/>
    <mergeCell ref="KIB25:KID25"/>
    <mergeCell ref="KIE25:KIG25"/>
    <mergeCell ref="KLT25:KLV25"/>
    <mergeCell ref="KLW25:KLY25"/>
    <mergeCell ref="KLZ25:KMB25"/>
    <mergeCell ref="KMC25:KME25"/>
    <mergeCell ref="KMF25:KMH25"/>
    <mergeCell ref="KLE25:KLG25"/>
    <mergeCell ref="KLH25:KLJ25"/>
    <mergeCell ref="KLK25:KLM25"/>
    <mergeCell ref="KLN25:KLP25"/>
    <mergeCell ref="KLQ25:KLS25"/>
    <mergeCell ref="KKP25:KKR25"/>
    <mergeCell ref="KKS25:KKU25"/>
    <mergeCell ref="KKV25:KKX25"/>
    <mergeCell ref="KKY25:KLA25"/>
    <mergeCell ref="KLB25:KLD25"/>
    <mergeCell ref="KKA25:KKC25"/>
    <mergeCell ref="KKD25:KKF25"/>
    <mergeCell ref="KKG25:KKI25"/>
    <mergeCell ref="KKJ25:KKL25"/>
    <mergeCell ref="KKM25:KKO25"/>
    <mergeCell ref="KOB25:KOD25"/>
    <mergeCell ref="KOE25:KOG25"/>
    <mergeCell ref="KOH25:KOJ25"/>
    <mergeCell ref="KOK25:KOM25"/>
    <mergeCell ref="KON25:KOP25"/>
    <mergeCell ref="KNM25:KNO25"/>
    <mergeCell ref="KNP25:KNR25"/>
    <mergeCell ref="KNS25:KNU25"/>
    <mergeCell ref="KNV25:KNX25"/>
    <mergeCell ref="KNY25:KOA25"/>
    <mergeCell ref="KMX25:KMZ25"/>
    <mergeCell ref="KNA25:KNC25"/>
    <mergeCell ref="KND25:KNF25"/>
    <mergeCell ref="KNG25:KNI25"/>
    <mergeCell ref="KNJ25:KNL25"/>
    <mergeCell ref="KMI25:KMK25"/>
    <mergeCell ref="KML25:KMN25"/>
    <mergeCell ref="KMO25:KMQ25"/>
    <mergeCell ref="KMR25:KMT25"/>
    <mergeCell ref="KMU25:KMW25"/>
    <mergeCell ref="KQJ25:KQL25"/>
    <mergeCell ref="KQM25:KQO25"/>
    <mergeCell ref="KQP25:KQR25"/>
    <mergeCell ref="KQS25:KQU25"/>
    <mergeCell ref="KQV25:KQX25"/>
    <mergeCell ref="KPU25:KPW25"/>
    <mergeCell ref="KPX25:KPZ25"/>
    <mergeCell ref="KQA25:KQC25"/>
    <mergeCell ref="KQD25:KQF25"/>
    <mergeCell ref="KQG25:KQI25"/>
    <mergeCell ref="KPF25:KPH25"/>
    <mergeCell ref="KPI25:KPK25"/>
    <mergeCell ref="KPL25:KPN25"/>
    <mergeCell ref="KPO25:KPQ25"/>
    <mergeCell ref="KPR25:KPT25"/>
    <mergeCell ref="KOQ25:KOS25"/>
    <mergeCell ref="KOT25:KOV25"/>
    <mergeCell ref="KOW25:KOY25"/>
    <mergeCell ref="KOZ25:KPB25"/>
    <mergeCell ref="KPC25:KPE25"/>
    <mergeCell ref="KSR25:KST25"/>
    <mergeCell ref="KSU25:KSW25"/>
    <mergeCell ref="KSX25:KSZ25"/>
    <mergeCell ref="KTA25:KTC25"/>
    <mergeCell ref="KTD25:KTF25"/>
    <mergeCell ref="KSC25:KSE25"/>
    <mergeCell ref="KSF25:KSH25"/>
    <mergeCell ref="KSI25:KSK25"/>
    <mergeCell ref="KSL25:KSN25"/>
    <mergeCell ref="KSO25:KSQ25"/>
    <mergeCell ref="KRN25:KRP25"/>
    <mergeCell ref="KRQ25:KRS25"/>
    <mergeCell ref="KRT25:KRV25"/>
    <mergeCell ref="KRW25:KRY25"/>
    <mergeCell ref="KRZ25:KSB25"/>
    <mergeCell ref="KQY25:KRA25"/>
    <mergeCell ref="KRB25:KRD25"/>
    <mergeCell ref="KRE25:KRG25"/>
    <mergeCell ref="KRH25:KRJ25"/>
    <mergeCell ref="KRK25:KRM25"/>
    <mergeCell ref="KUZ25:KVB25"/>
    <mergeCell ref="KVC25:KVE25"/>
    <mergeCell ref="KVF25:KVH25"/>
    <mergeCell ref="KVI25:KVK25"/>
    <mergeCell ref="KVL25:KVN25"/>
    <mergeCell ref="KUK25:KUM25"/>
    <mergeCell ref="KUN25:KUP25"/>
    <mergeCell ref="KUQ25:KUS25"/>
    <mergeCell ref="KUT25:KUV25"/>
    <mergeCell ref="KUW25:KUY25"/>
    <mergeCell ref="KTV25:KTX25"/>
    <mergeCell ref="KTY25:KUA25"/>
    <mergeCell ref="KUB25:KUD25"/>
    <mergeCell ref="KUE25:KUG25"/>
    <mergeCell ref="KUH25:KUJ25"/>
    <mergeCell ref="KTG25:KTI25"/>
    <mergeCell ref="KTJ25:KTL25"/>
    <mergeCell ref="KTM25:KTO25"/>
    <mergeCell ref="KTP25:KTR25"/>
    <mergeCell ref="KTS25:KTU25"/>
    <mergeCell ref="KXH25:KXJ25"/>
    <mergeCell ref="KXK25:KXM25"/>
    <mergeCell ref="KXN25:KXP25"/>
    <mergeCell ref="KXQ25:KXS25"/>
    <mergeCell ref="KXT25:KXV25"/>
    <mergeCell ref="KWS25:KWU25"/>
    <mergeCell ref="KWV25:KWX25"/>
    <mergeCell ref="KWY25:KXA25"/>
    <mergeCell ref="KXB25:KXD25"/>
    <mergeCell ref="KXE25:KXG25"/>
    <mergeCell ref="KWD25:KWF25"/>
    <mergeCell ref="KWG25:KWI25"/>
    <mergeCell ref="KWJ25:KWL25"/>
    <mergeCell ref="KWM25:KWO25"/>
    <mergeCell ref="KWP25:KWR25"/>
    <mergeCell ref="KVO25:KVQ25"/>
    <mergeCell ref="KVR25:KVT25"/>
    <mergeCell ref="KVU25:KVW25"/>
    <mergeCell ref="KVX25:KVZ25"/>
    <mergeCell ref="KWA25:KWC25"/>
    <mergeCell ref="KZP25:KZR25"/>
    <mergeCell ref="KZS25:KZU25"/>
    <mergeCell ref="KZV25:KZX25"/>
    <mergeCell ref="KZY25:LAA25"/>
    <mergeCell ref="LAB25:LAD25"/>
    <mergeCell ref="KZA25:KZC25"/>
    <mergeCell ref="KZD25:KZF25"/>
    <mergeCell ref="KZG25:KZI25"/>
    <mergeCell ref="KZJ25:KZL25"/>
    <mergeCell ref="KZM25:KZO25"/>
    <mergeCell ref="KYL25:KYN25"/>
    <mergeCell ref="KYO25:KYQ25"/>
    <mergeCell ref="KYR25:KYT25"/>
    <mergeCell ref="KYU25:KYW25"/>
    <mergeCell ref="KYX25:KYZ25"/>
    <mergeCell ref="KXW25:KXY25"/>
    <mergeCell ref="KXZ25:KYB25"/>
    <mergeCell ref="KYC25:KYE25"/>
    <mergeCell ref="KYF25:KYH25"/>
    <mergeCell ref="KYI25:KYK25"/>
    <mergeCell ref="LBX25:LBZ25"/>
    <mergeCell ref="LCA25:LCC25"/>
    <mergeCell ref="LCD25:LCF25"/>
    <mergeCell ref="LCG25:LCI25"/>
    <mergeCell ref="LCJ25:LCL25"/>
    <mergeCell ref="LBI25:LBK25"/>
    <mergeCell ref="LBL25:LBN25"/>
    <mergeCell ref="LBO25:LBQ25"/>
    <mergeCell ref="LBR25:LBT25"/>
    <mergeCell ref="LBU25:LBW25"/>
    <mergeCell ref="LAT25:LAV25"/>
    <mergeCell ref="LAW25:LAY25"/>
    <mergeCell ref="LAZ25:LBB25"/>
    <mergeCell ref="LBC25:LBE25"/>
    <mergeCell ref="LBF25:LBH25"/>
    <mergeCell ref="LAE25:LAG25"/>
    <mergeCell ref="LAH25:LAJ25"/>
    <mergeCell ref="LAK25:LAM25"/>
    <mergeCell ref="LAN25:LAP25"/>
    <mergeCell ref="LAQ25:LAS25"/>
    <mergeCell ref="LEF25:LEH25"/>
    <mergeCell ref="LEI25:LEK25"/>
    <mergeCell ref="LEL25:LEN25"/>
    <mergeCell ref="LEO25:LEQ25"/>
    <mergeCell ref="LER25:LET25"/>
    <mergeCell ref="LDQ25:LDS25"/>
    <mergeCell ref="LDT25:LDV25"/>
    <mergeCell ref="LDW25:LDY25"/>
    <mergeCell ref="LDZ25:LEB25"/>
    <mergeCell ref="LEC25:LEE25"/>
    <mergeCell ref="LDB25:LDD25"/>
    <mergeCell ref="LDE25:LDG25"/>
    <mergeCell ref="LDH25:LDJ25"/>
    <mergeCell ref="LDK25:LDM25"/>
    <mergeCell ref="LDN25:LDP25"/>
    <mergeCell ref="LCM25:LCO25"/>
    <mergeCell ref="LCP25:LCR25"/>
    <mergeCell ref="LCS25:LCU25"/>
    <mergeCell ref="LCV25:LCX25"/>
    <mergeCell ref="LCY25:LDA25"/>
    <mergeCell ref="LGN25:LGP25"/>
    <mergeCell ref="LGQ25:LGS25"/>
    <mergeCell ref="LGT25:LGV25"/>
    <mergeCell ref="LGW25:LGY25"/>
    <mergeCell ref="LGZ25:LHB25"/>
    <mergeCell ref="LFY25:LGA25"/>
    <mergeCell ref="LGB25:LGD25"/>
    <mergeCell ref="LGE25:LGG25"/>
    <mergeCell ref="LGH25:LGJ25"/>
    <mergeCell ref="LGK25:LGM25"/>
    <mergeCell ref="LFJ25:LFL25"/>
    <mergeCell ref="LFM25:LFO25"/>
    <mergeCell ref="LFP25:LFR25"/>
    <mergeCell ref="LFS25:LFU25"/>
    <mergeCell ref="LFV25:LFX25"/>
    <mergeCell ref="LEU25:LEW25"/>
    <mergeCell ref="LEX25:LEZ25"/>
    <mergeCell ref="LFA25:LFC25"/>
    <mergeCell ref="LFD25:LFF25"/>
    <mergeCell ref="LFG25:LFI25"/>
    <mergeCell ref="LIV25:LIX25"/>
    <mergeCell ref="LIY25:LJA25"/>
    <mergeCell ref="LJB25:LJD25"/>
    <mergeCell ref="LJE25:LJG25"/>
    <mergeCell ref="LJH25:LJJ25"/>
    <mergeCell ref="LIG25:LII25"/>
    <mergeCell ref="LIJ25:LIL25"/>
    <mergeCell ref="LIM25:LIO25"/>
    <mergeCell ref="LIP25:LIR25"/>
    <mergeCell ref="LIS25:LIU25"/>
    <mergeCell ref="LHR25:LHT25"/>
    <mergeCell ref="LHU25:LHW25"/>
    <mergeCell ref="LHX25:LHZ25"/>
    <mergeCell ref="LIA25:LIC25"/>
    <mergeCell ref="LID25:LIF25"/>
    <mergeCell ref="LHC25:LHE25"/>
    <mergeCell ref="LHF25:LHH25"/>
    <mergeCell ref="LHI25:LHK25"/>
    <mergeCell ref="LHL25:LHN25"/>
    <mergeCell ref="LHO25:LHQ25"/>
    <mergeCell ref="LLD25:LLF25"/>
    <mergeCell ref="LLG25:LLI25"/>
    <mergeCell ref="LLJ25:LLL25"/>
    <mergeCell ref="LLM25:LLO25"/>
    <mergeCell ref="LLP25:LLR25"/>
    <mergeCell ref="LKO25:LKQ25"/>
    <mergeCell ref="LKR25:LKT25"/>
    <mergeCell ref="LKU25:LKW25"/>
    <mergeCell ref="LKX25:LKZ25"/>
    <mergeCell ref="LLA25:LLC25"/>
    <mergeCell ref="LJZ25:LKB25"/>
    <mergeCell ref="LKC25:LKE25"/>
    <mergeCell ref="LKF25:LKH25"/>
    <mergeCell ref="LKI25:LKK25"/>
    <mergeCell ref="LKL25:LKN25"/>
    <mergeCell ref="LJK25:LJM25"/>
    <mergeCell ref="LJN25:LJP25"/>
    <mergeCell ref="LJQ25:LJS25"/>
    <mergeCell ref="LJT25:LJV25"/>
    <mergeCell ref="LJW25:LJY25"/>
    <mergeCell ref="LNL25:LNN25"/>
    <mergeCell ref="LNO25:LNQ25"/>
    <mergeCell ref="LNR25:LNT25"/>
    <mergeCell ref="LNU25:LNW25"/>
    <mergeCell ref="LNX25:LNZ25"/>
    <mergeCell ref="LMW25:LMY25"/>
    <mergeCell ref="LMZ25:LNB25"/>
    <mergeCell ref="LNC25:LNE25"/>
    <mergeCell ref="LNF25:LNH25"/>
    <mergeCell ref="LNI25:LNK25"/>
    <mergeCell ref="LMH25:LMJ25"/>
    <mergeCell ref="LMK25:LMM25"/>
    <mergeCell ref="LMN25:LMP25"/>
    <mergeCell ref="LMQ25:LMS25"/>
    <mergeCell ref="LMT25:LMV25"/>
    <mergeCell ref="LLS25:LLU25"/>
    <mergeCell ref="LLV25:LLX25"/>
    <mergeCell ref="LLY25:LMA25"/>
    <mergeCell ref="LMB25:LMD25"/>
    <mergeCell ref="LME25:LMG25"/>
    <mergeCell ref="LPT25:LPV25"/>
    <mergeCell ref="LPW25:LPY25"/>
    <mergeCell ref="LPZ25:LQB25"/>
    <mergeCell ref="LQC25:LQE25"/>
    <mergeCell ref="LQF25:LQH25"/>
    <mergeCell ref="LPE25:LPG25"/>
    <mergeCell ref="LPH25:LPJ25"/>
    <mergeCell ref="LPK25:LPM25"/>
    <mergeCell ref="LPN25:LPP25"/>
    <mergeCell ref="LPQ25:LPS25"/>
    <mergeCell ref="LOP25:LOR25"/>
    <mergeCell ref="LOS25:LOU25"/>
    <mergeCell ref="LOV25:LOX25"/>
    <mergeCell ref="LOY25:LPA25"/>
    <mergeCell ref="LPB25:LPD25"/>
    <mergeCell ref="LOA25:LOC25"/>
    <mergeCell ref="LOD25:LOF25"/>
    <mergeCell ref="LOG25:LOI25"/>
    <mergeCell ref="LOJ25:LOL25"/>
    <mergeCell ref="LOM25:LOO25"/>
    <mergeCell ref="LSB25:LSD25"/>
    <mergeCell ref="LSE25:LSG25"/>
    <mergeCell ref="LSH25:LSJ25"/>
    <mergeCell ref="LSK25:LSM25"/>
    <mergeCell ref="LSN25:LSP25"/>
    <mergeCell ref="LRM25:LRO25"/>
    <mergeCell ref="LRP25:LRR25"/>
    <mergeCell ref="LRS25:LRU25"/>
    <mergeCell ref="LRV25:LRX25"/>
    <mergeCell ref="LRY25:LSA25"/>
    <mergeCell ref="LQX25:LQZ25"/>
    <mergeCell ref="LRA25:LRC25"/>
    <mergeCell ref="LRD25:LRF25"/>
    <mergeCell ref="LRG25:LRI25"/>
    <mergeCell ref="LRJ25:LRL25"/>
    <mergeCell ref="LQI25:LQK25"/>
    <mergeCell ref="LQL25:LQN25"/>
    <mergeCell ref="LQO25:LQQ25"/>
    <mergeCell ref="LQR25:LQT25"/>
    <mergeCell ref="LQU25:LQW25"/>
    <mergeCell ref="LUJ25:LUL25"/>
    <mergeCell ref="LUM25:LUO25"/>
    <mergeCell ref="LUP25:LUR25"/>
    <mergeCell ref="LUS25:LUU25"/>
    <mergeCell ref="LUV25:LUX25"/>
    <mergeCell ref="LTU25:LTW25"/>
    <mergeCell ref="LTX25:LTZ25"/>
    <mergeCell ref="LUA25:LUC25"/>
    <mergeCell ref="LUD25:LUF25"/>
    <mergeCell ref="LUG25:LUI25"/>
    <mergeCell ref="LTF25:LTH25"/>
    <mergeCell ref="LTI25:LTK25"/>
    <mergeCell ref="LTL25:LTN25"/>
    <mergeCell ref="LTO25:LTQ25"/>
    <mergeCell ref="LTR25:LTT25"/>
    <mergeCell ref="LSQ25:LSS25"/>
    <mergeCell ref="LST25:LSV25"/>
    <mergeCell ref="LSW25:LSY25"/>
    <mergeCell ref="LSZ25:LTB25"/>
    <mergeCell ref="LTC25:LTE25"/>
    <mergeCell ref="LWR25:LWT25"/>
    <mergeCell ref="LWU25:LWW25"/>
    <mergeCell ref="LWX25:LWZ25"/>
    <mergeCell ref="LXA25:LXC25"/>
    <mergeCell ref="LXD25:LXF25"/>
    <mergeCell ref="LWC25:LWE25"/>
    <mergeCell ref="LWF25:LWH25"/>
    <mergeCell ref="LWI25:LWK25"/>
    <mergeCell ref="LWL25:LWN25"/>
    <mergeCell ref="LWO25:LWQ25"/>
    <mergeCell ref="LVN25:LVP25"/>
    <mergeCell ref="LVQ25:LVS25"/>
    <mergeCell ref="LVT25:LVV25"/>
    <mergeCell ref="LVW25:LVY25"/>
    <mergeCell ref="LVZ25:LWB25"/>
    <mergeCell ref="LUY25:LVA25"/>
    <mergeCell ref="LVB25:LVD25"/>
    <mergeCell ref="LVE25:LVG25"/>
    <mergeCell ref="LVH25:LVJ25"/>
    <mergeCell ref="LVK25:LVM25"/>
    <mergeCell ref="LYZ25:LZB25"/>
    <mergeCell ref="LZC25:LZE25"/>
    <mergeCell ref="LZF25:LZH25"/>
    <mergeCell ref="LZI25:LZK25"/>
    <mergeCell ref="LZL25:LZN25"/>
    <mergeCell ref="LYK25:LYM25"/>
    <mergeCell ref="LYN25:LYP25"/>
    <mergeCell ref="LYQ25:LYS25"/>
    <mergeCell ref="LYT25:LYV25"/>
    <mergeCell ref="LYW25:LYY25"/>
    <mergeCell ref="LXV25:LXX25"/>
    <mergeCell ref="LXY25:LYA25"/>
    <mergeCell ref="LYB25:LYD25"/>
    <mergeCell ref="LYE25:LYG25"/>
    <mergeCell ref="LYH25:LYJ25"/>
    <mergeCell ref="LXG25:LXI25"/>
    <mergeCell ref="LXJ25:LXL25"/>
    <mergeCell ref="LXM25:LXO25"/>
    <mergeCell ref="LXP25:LXR25"/>
    <mergeCell ref="LXS25:LXU25"/>
    <mergeCell ref="MBH25:MBJ25"/>
    <mergeCell ref="MBK25:MBM25"/>
    <mergeCell ref="MBN25:MBP25"/>
    <mergeCell ref="MBQ25:MBS25"/>
    <mergeCell ref="MBT25:MBV25"/>
    <mergeCell ref="MAS25:MAU25"/>
    <mergeCell ref="MAV25:MAX25"/>
    <mergeCell ref="MAY25:MBA25"/>
    <mergeCell ref="MBB25:MBD25"/>
    <mergeCell ref="MBE25:MBG25"/>
    <mergeCell ref="MAD25:MAF25"/>
    <mergeCell ref="MAG25:MAI25"/>
    <mergeCell ref="MAJ25:MAL25"/>
    <mergeCell ref="MAM25:MAO25"/>
    <mergeCell ref="MAP25:MAR25"/>
    <mergeCell ref="LZO25:LZQ25"/>
    <mergeCell ref="LZR25:LZT25"/>
    <mergeCell ref="LZU25:LZW25"/>
    <mergeCell ref="LZX25:LZZ25"/>
    <mergeCell ref="MAA25:MAC25"/>
    <mergeCell ref="MDP25:MDR25"/>
    <mergeCell ref="MDS25:MDU25"/>
    <mergeCell ref="MDV25:MDX25"/>
    <mergeCell ref="MDY25:MEA25"/>
    <mergeCell ref="MEB25:MED25"/>
    <mergeCell ref="MDA25:MDC25"/>
    <mergeCell ref="MDD25:MDF25"/>
    <mergeCell ref="MDG25:MDI25"/>
    <mergeCell ref="MDJ25:MDL25"/>
    <mergeCell ref="MDM25:MDO25"/>
    <mergeCell ref="MCL25:MCN25"/>
    <mergeCell ref="MCO25:MCQ25"/>
    <mergeCell ref="MCR25:MCT25"/>
    <mergeCell ref="MCU25:MCW25"/>
    <mergeCell ref="MCX25:MCZ25"/>
    <mergeCell ref="MBW25:MBY25"/>
    <mergeCell ref="MBZ25:MCB25"/>
    <mergeCell ref="MCC25:MCE25"/>
    <mergeCell ref="MCF25:MCH25"/>
    <mergeCell ref="MCI25:MCK25"/>
    <mergeCell ref="MFX25:MFZ25"/>
    <mergeCell ref="MGA25:MGC25"/>
    <mergeCell ref="MGD25:MGF25"/>
    <mergeCell ref="MGG25:MGI25"/>
    <mergeCell ref="MGJ25:MGL25"/>
    <mergeCell ref="MFI25:MFK25"/>
    <mergeCell ref="MFL25:MFN25"/>
    <mergeCell ref="MFO25:MFQ25"/>
    <mergeCell ref="MFR25:MFT25"/>
    <mergeCell ref="MFU25:MFW25"/>
    <mergeCell ref="MET25:MEV25"/>
    <mergeCell ref="MEW25:MEY25"/>
    <mergeCell ref="MEZ25:MFB25"/>
    <mergeCell ref="MFC25:MFE25"/>
    <mergeCell ref="MFF25:MFH25"/>
    <mergeCell ref="MEE25:MEG25"/>
    <mergeCell ref="MEH25:MEJ25"/>
    <mergeCell ref="MEK25:MEM25"/>
    <mergeCell ref="MEN25:MEP25"/>
    <mergeCell ref="MEQ25:MES25"/>
    <mergeCell ref="MIF25:MIH25"/>
    <mergeCell ref="MII25:MIK25"/>
    <mergeCell ref="MIL25:MIN25"/>
    <mergeCell ref="MIO25:MIQ25"/>
    <mergeCell ref="MIR25:MIT25"/>
    <mergeCell ref="MHQ25:MHS25"/>
    <mergeCell ref="MHT25:MHV25"/>
    <mergeCell ref="MHW25:MHY25"/>
    <mergeCell ref="MHZ25:MIB25"/>
    <mergeCell ref="MIC25:MIE25"/>
    <mergeCell ref="MHB25:MHD25"/>
    <mergeCell ref="MHE25:MHG25"/>
    <mergeCell ref="MHH25:MHJ25"/>
    <mergeCell ref="MHK25:MHM25"/>
    <mergeCell ref="MHN25:MHP25"/>
    <mergeCell ref="MGM25:MGO25"/>
    <mergeCell ref="MGP25:MGR25"/>
    <mergeCell ref="MGS25:MGU25"/>
    <mergeCell ref="MGV25:MGX25"/>
    <mergeCell ref="MGY25:MHA25"/>
    <mergeCell ref="MKN25:MKP25"/>
    <mergeCell ref="MKQ25:MKS25"/>
    <mergeCell ref="MKT25:MKV25"/>
    <mergeCell ref="MKW25:MKY25"/>
    <mergeCell ref="MKZ25:MLB25"/>
    <mergeCell ref="MJY25:MKA25"/>
    <mergeCell ref="MKB25:MKD25"/>
    <mergeCell ref="MKE25:MKG25"/>
    <mergeCell ref="MKH25:MKJ25"/>
    <mergeCell ref="MKK25:MKM25"/>
    <mergeCell ref="MJJ25:MJL25"/>
    <mergeCell ref="MJM25:MJO25"/>
    <mergeCell ref="MJP25:MJR25"/>
    <mergeCell ref="MJS25:MJU25"/>
    <mergeCell ref="MJV25:MJX25"/>
    <mergeCell ref="MIU25:MIW25"/>
    <mergeCell ref="MIX25:MIZ25"/>
    <mergeCell ref="MJA25:MJC25"/>
    <mergeCell ref="MJD25:MJF25"/>
    <mergeCell ref="MJG25:MJI25"/>
    <mergeCell ref="MMV25:MMX25"/>
    <mergeCell ref="MMY25:MNA25"/>
    <mergeCell ref="MNB25:MND25"/>
    <mergeCell ref="MNE25:MNG25"/>
    <mergeCell ref="MNH25:MNJ25"/>
    <mergeCell ref="MMG25:MMI25"/>
    <mergeCell ref="MMJ25:MML25"/>
    <mergeCell ref="MMM25:MMO25"/>
    <mergeCell ref="MMP25:MMR25"/>
    <mergeCell ref="MMS25:MMU25"/>
    <mergeCell ref="MLR25:MLT25"/>
    <mergeCell ref="MLU25:MLW25"/>
    <mergeCell ref="MLX25:MLZ25"/>
    <mergeCell ref="MMA25:MMC25"/>
    <mergeCell ref="MMD25:MMF25"/>
    <mergeCell ref="MLC25:MLE25"/>
    <mergeCell ref="MLF25:MLH25"/>
    <mergeCell ref="MLI25:MLK25"/>
    <mergeCell ref="MLL25:MLN25"/>
    <mergeCell ref="MLO25:MLQ25"/>
    <mergeCell ref="MPD25:MPF25"/>
    <mergeCell ref="MPG25:MPI25"/>
    <mergeCell ref="MPJ25:MPL25"/>
    <mergeCell ref="MPM25:MPO25"/>
    <mergeCell ref="MPP25:MPR25"/>
    <mergeCell ref="MOO25:MOQ25"/>
    <mergeCell ref="MOR25:MOT25"/>
    <mergeCell ref="MOU25:MOW25"/>
    <mergeCell ref="MOX25:MOZ25"/>
    <mergeCell ref="MPA25:MPC25"/>
    <mergeCell ref="MNZ25:MOB25"/>
    <mergeCell ref="MOC25:MOE25"/>
    <mergeCell ref="MOF25:MOH25"/>
    <mergeCell ref="MOI25:MOK25"/>
    <mergeCell ref="MOL25:MON25"/>
    <mergeCell ref="MNK25:MNM25"/>
    <mergeCell ref="MNN25:MNP25"/>
    <mergeCell ref="MNQ25:MNS25"/>
    <mergeCell ref="MNT25:MNV25"/>
    <mergeCell ref="MNW25:MNY25"/>
    <mergeCell ref="MRL25:MRN25"/>
    <mergeCell ref="MRO25:MRQ25"/>
    <mergeCell ref="MRR25:MRT25"/>
    <mergeCell ref="MRU25:MRW25"/>
    <mergeCell ref="MRX25:MRZ25"/>
    <mergeCell ref="MQW25:MQY25"/>
    <mergeCell ref="MQZ25:MRB25"/>
    <mergeCell ref="MRC25:MRE25"/>
    <mergeCell ref="MRF25:MRH25"/>
    <mergeCell ref="MRI25:MRK25"/>
    <mergeCell ref="MQH25:MQJ25"/>
    <mergeCell ref="MQK25:MQM25"/>
    <mergeCell ref="MQN25:MQP25"/>
    <mergeCell ref="MQQ25:MQS25"/>
    <mergeCell ref="MQT25:MQV25"/>
    <mergeCell ref="MPS25:MPU25"/>
    <mergeCell ref="MPV25:MPX25"/>
    <mergeCell ref="MPY25:MQA25"/>
    <mergeCell ref="MQB25:MQD25"/>
    <mergeCell ref="MQE25:MQG25"/>
    <mergeCell ref="MTT25:MTV25"/>
    <mergeCell ref="MTW25:MTY25"/>
    <mergeCell ref="MTZ25:MUB25"/>
    <mergeCell ref="MUC25:MUE25"/>
    <mergeCell ref="MUF25:MUH25"/>
    <mergeCell ref="MTE25:MTG25"/>
    <mergeCell ref="MTH25:MTJ25"/>
    <mergeCell ref="MTK25:MTM25"/>
    <mergeCell ref="MTN25:MTP25"/>
    <mergeCell ref="MTQ25:MTS25"/>
    <mergeCell ref="MSP25:MSR25"/>
    <mergeCell ref="MSS25:MSU25"/>
    <mergeCell ref="MSV25:MSX25"/>
    <mergeCell ref="MSY25:MTA25"/>
    <mergeCell ref="MTB25:MTD25"/>
    <mergeCell ref="MSA25:MSC25"/>
    <mergeCell ref="MSD25:MSF25"/>
    <mergeCell ref="MSG25:MSI25"/>
    <mergeCell ref="MSJ25:MSL25"/>
    <mergeCell ref="MSM25:MSO25"/>
    <mergeCell ref="MWB25:MWD25"/>
    <mergeCell ref="MWE25:MWG25"/>
    <mergeCell ref="MWH25:MWJ25"/>
    <mergeCell ref="MWK25:MWM25"/>
    <mergeCell ref="MWN25:MWP25"/>
    <mergeCell ref="MVM25:MVO25"/>
    <mergeCell ref="MVP25:MVR25"/>
    <mergeCell ref="MVS25:MVU25"/>
    <mergeCell ref="MVV25:MVX25"/>
    <mergeCell ref="MVY25:MWA25"/>
    <mergeCell ref="MUX25:MUZ25"/>
    <mergeCell ref="MVA25:MVC25"/>
    <mergeCell ref="MVD25:MVF25"/>
    <mergeCell ref="MVG25:MVI25"/>
    <mergeCell ref="MVJ25:MVL25"/>
    <mergeCell ref="MUI25:MUK25"/>
    <mergeCell ref="MUL25:MUN25"/>
    <mergeCell ref="MUO25:MUQ25"/>
    <mergeCell ref="MUR25:MUT25"/>
    <mergeCell ref="MUU25:MUW25"/>
    <mergeCell ref="MYJ25:MYL25"/>
    <mergeCell ref="MYM25:MYO25"/>
    <mergeCell ref="MYP25:MYR25"/>
    <mergeCell ref="MYS25:MYU25"/>
    <mergeCell ref="MYV25:MYX25"/>
    <mergeCell ref="MXU25:MXW25"/>
    <mergeCell ref="MXX25:MXZ25"/>
    <mergeCell ref="MYA25:MYC25"/>
    <mergeCell ref="MYD25:MYF25"/>
    <mergeCell ref="MYG25:MYI25"/>
    <mergeCell ref="MXF25:MXH25"/>
    <mergeCell ref="MXI25:MXK25"/>
    <mergeCell ref="MXL25:MXN25"/>
    <mergeCell ref="MXO25:MXQ25"/>
    <mergeCell ref="MXR25:MXT25"/>
    <mergeCell ref="MWQ25:MWS25"/>
    <mergeCell ref="MWT25:MWV25"/>
    <mergeCell ref="MWW25:MWY25"/>
    <mergeCell ref="MWZ25:MXB25"/>
    <mergeCell ref="MXC25:MXE25"/>
    <mergeCell ref="NAR25:NAT25"/>
    <mergeCell ref="NAU25:NAW25"/>
    <mergeCell ref="NAX25:NAZ25"/>
    <mergeCell ref="NBA25:NBC25"/>
    <mergeCell ref="NBD25:NBF25"/>
    <mergeCell ref="NAC25:NAE25"/>
    <mergeCell ref="NAF25:NAH25"/>
    <mergeCell ref="NAI25:NAK25"/>
    <mergeCell ref="NAL25:NAN25"/>
    <mergeCell ref="NAO25:NAQ25"/>
    <mergeCell ref="MZN25:MZP25"/>
    <mergeCell ref="MZQ25:MZS25"/>
    <mergeCell ref="MZT25:MZV25"/>
    <mergeCell ref="MZW25:MZY25"/>
    <mergeCell ref="MZZ25:NAB25"/>
    <mergeCell ref="MYY25:MZA25"/>
    <mergeCell ref="MZB25:MZD25"/>
    <mergeCell ref="MZE25:MZG25"/>
    <mergeCell ref="MZH25:MZJ25"/>
    <mergeCell ref="MZK25:MZM25"/>
    <mergeCell ref="NCZ25:NDB25"/>
    <mergeCell ref="NDC25:NDE25"/>
    <mergeCell ref="NDF25:NDH25"/>
    <mergeCell ref="NDI25:NDK25"/>
    <mergeCell ref="NDL25:NDN25"/>
    <mergeCell ref="NCK25:NCM25"/>
    <mergeCell ref="NCN25:NCP25"/>
    <mergeCell ref="NCQ25:NCS25"/>
    <mergeCell ref="NCT25:NCV25"/>
    <mergeCell ref="NCW25:NCY25"/>
    <mergeCell ref="NBV25:NBX25"/>
    <mergeCell ref="NBY25:NCA25"/>
    <mergeCell ref="NCB25:NCD25"/>
    <mergeCell ref="NCE25:NCG25"/>
    <mergeCell ref="NCH25:NCJ25"/>
    <mergeCell ref="NBG25:NBI25"/>
    <mergeCell ref="NBJ25:NBL25"/>
    <mergeCell ref="NBM25:NBO25"/>
    <mergeCell ref="NBP25:NBR25"/>
    <mergeCell ref="NBS25:NBU25"/>
    <mergeCell ref="NFH25:NFJ25"/>
    <mergeCell ref="NFK25:NFM25"/>
    <mergeCell ref="NFN25:NFP25"/>
    <mergeCell ref="NFQ25:NFS25"/>
    <mergeCell ref="NFT25:NFV25"/>
    <mergeCell ref="NES25:NEU25"/>
    <mergeCell ref="NEV25:NEX25"/>
    <mergeCell ref="NEY25:NFA25"/>
    <mergeCell ref="NFB25:NFD25"/>
    <mergeCell ref="NFE25:NFG25"/>
    <mergeCell ref="NED25:NEF25"/>
    <mergeCell ref="NEG25:NEI25"/>
    <mergeCell ref="NEJ25:NEL25"/>
    <mergeCell ref="NEM25:NEO25"/>
    <mergeCell ref="NEP25:NER25"/>
    <mergeCell ref="NDO25:NDQ25"/>
    <mergeCell ref="NDR25:NDT25"/>
    <mergeCell ref="NDU25:NDW25"/>
    <mergeCell ref="NDX25:NDZ25"/>
    <mergeCell ref="NEA25:NEC25"/>
    <mergeCell ref="NHP25:NHR25"/>
    <mergeCell ref="NHS25:NHU25"/>
    <mergeCell ref="NHV25:NHX25"/>
    <mergeCell ref="NHY25:NIA25"/>
    <mergeCell ref="NIB25:NID25"/>
    <mergeCell ref="NHA25:NHC25"/>
    <mergeCell ref="NHD25:NHF25"/>
    <mergeCell ref="NHG25:NHI25"/>
    <mergeCell ref="NHJ25:NHL25"/>
    <mergeCell ref="NHM25:NHO25"/>
    <mergeCell ref="NGL25:NGN25"/>
    <mergeCell ref="NGO25:NGQ25"/>
    <mergeCell ref="NGR25:NGT25"/>
    <mergeCell ref="NGU25:NGW25"/>
    <mergeCell ref="NGX25:NGZ25"/>
    <mergeCell ref="NFW25:NFY25"/>
    <mergeCell ref="NFZ25:NGB25"/>
    <mergeCell ref="NGC25:NGE25"/>
    <mergeCell ref="NGF25:NGH25"/>
    <mergeCell ref="NGI25:NGK25"/>
    <mergeCell ref="NJX25:NJZ25"/>
    <mergeCell ref="NKA25:NKC25"/>
    <mergeCell ref="NKD25:NKF25"/>
    <mergeCell ref="NKG25:NKI25"/>
    <mergeCell ref="NKJ25:NKL25"/>
    <mergeCell ref="NJI25:NJK25"/>
    <mergeCell ref="NJL25:NJN25"/>
    <mergeCell ref="NJO25:NJQ25"/>
    <mergeCell ref="NJR25:NJT25"/>
    <mergeCell ref="NJU25:NJW25"/>
    <mergeCell ref="NIT25:NIV25"/>
    <mergeCell ref="NIW25:NIY25"/>
    <mergeCell ref="NIZ25:NJB25"/>
    <mergeCell ref="NJC25:NJE25"/>
    <mergeCell ref="NJF25:NJH25"/>
    <mergeCell ref="NIE25:NIG25"/>
    <mergeCell ref="NIH25:NIJ25"/>
    <mergeCell ref="NIK25:NIM25"/>
    <mergeCell ref="NIN25:NIP25"/>
    <mergeCell ref="NIQ25:NIS25"/>
    <mergeCell ref="NMF25:NMH25"/>
    <mergeCell ref="NMI25:NMK25"/>
    <mergeCell ref="NML25:NMN25"/>
    <mergeCell ref="NMO25:NMQ25"/>
    <mergeCell ref="NMR25:NMT25"/>
    <mergeCell ref="NLQ25:NLS25"/>
    <mergeCell ref="NLT25:NLV25"/>
    <mergeCell ref="NLW25:NLY25"/>
    <mergeCell ref="NLZ25:NMB25"/>
    <mergeCell ref="NMC25:NME25"/>
    <mergeCell ref="NLB25:NLD25"/>
    <mergeCell ref="NLE25:NLG25"/>
    <mergeCell ref="NLH25:NLJ25"/>
    <mergeCell ref="NLK25:NLM25"/>
    <mergeCell ref="NLN25:NLP25"/>
    <mergeCell ref="NKM25:NKO25"/>
    <mergeCell ref="NKP25:NKR25"/>
    <mergeCell ref="NKS25:NKU25"/>
    <mergeCell ref="NKV25:NKX25"/>
    <mergeCell ref="NKY25:NLA25"/>
    <mergeCell ref="NON25:NOP25"/>
    <mergeCell ref="NOQ25:NOS25"/>
    <mergeCell ref="NOT25:NOV25"/>
    <mergeCell ref="NOW25:NOY25"/>
    <mergeCell ref="NOZ25:NPB25"/>
    <mergeCell ref="NNY25:NOA25"/>
    <mergeCell ref="NOB25:NOD25"/>
    <mergeCell ref="NOE25:NOG25"/>
    <mergeCell ref="NOH25:NOJ25"/>
    <mergeCell ref="NOK25:NOM25"/>
    <mergeCell ref="NNJ25:NNL25"/>
    <mergeCell ref="NNM25:NNO25"/>
    <mergeCell ref="NNP25:NNR25"/>
    <mergeCell ref="NNS25:NNU25"/>
    <mergeCell ref="NNV25:NNX25"/>
    <mergeCell ref="NMU25:NMW25"/>
    <mergeCell ref="NMX25:NMZ25"/>
    <mergeCell ref="NNA25:NNC25"/>
    <mergeCell ref="NND25:NNF25"/>
    <mergeCell ref="NNG25:NNI25"/>
    <mergeCell ref="NQV25:NQX25"/>
    <mergeCell ref="NQY25:NRA25"/>
    <mergeCell ref="NRB25:NRD25"/>
    <mergeCell ref="NRE25:NRG25"/>
    <mergeCell ref="NRH25:NRJ25"/>
    <mergeCell ref="NQG25:NQI25"/>
    <mergeCell ref="NQJ25:NQL25"/>
    <mergeCell ref="NQM25:NQO25"/>
    <mergeCell ref="NQP25:NQR25"/>
    <mergeCell ref="NQS25:NQU25"/>
    <mergeCell ref="NPR25:NPT25"/>
    <mergeCell ref="NPU25:NPW25"/>
    <mergeCell ref="NPX25:NPZ25"/>
    <mergeCell ref="NQA25:NQC25"/>
    <mergeCell ref="NQD25:NQF25"/>
    <mergeCell ref="NPC25:NPE25"/>
    <mergeCell ref="NPF25:NPH25"/>
    <mergeCell ref="NPI25:NPK25"/>
    <mergeCell ref="NPL25:NPN25"/>
    <mergeCell ref="NPO25:NPQ25"/>
    <mergeCell ref="NTD25:NTF25"/>
    <mergeCell ref="NTG25:NTI25"/>
    <mergeCell ref="NTJ25:NTL25"/>
    <mergeCell ref="NTM25:NTO25"/>
    <mergeCell ref="NTP25:NTR25"/>
    <mergeCell ref="NSO25:NSQ25"/>
    <mergeCell ref="NSR25:NST25"/>
    <mergeCell ref="NSU25:NSW25"/>
    <mergeCell ref="NSX25:NSZ25"/>
    <mergeCell ref="NTA25:NTC25"/>
    <mergeCell ref="NRZ25:NSB25"/>
    <mergeCell ref="NSC25:NSE25"/>
    <mergeCell ref="NSF25:NSH25"/>
    <mergeCell ref="NSI25:NSK25"/>
    <mergeCell ref="NSL25:NSN25"/>
    <mergeCell ref="NRK25:NRM25"/>
    <mergeCell ref="NRN25:NRP25"/>
    <mergeCell ref="NRQ25:NRS25"/>
    <mergeCell ref="NRT25:NRV25"/>
    <mergeCell ref="NRW25:NRY25"/>
    <mergeCell ref="NVL25:NVN25"/>
    <mergeCell ref="NVO25:NVQ25"/>
    <mergeCell ref="NVR25:NVT25"/>
    <mergeCell ref="NVU25:NVW25"/>
    <mergeCell ref="NVX25:NVZ25"/>
    <mergeCell ref="NUW25:NUY25"/>
    <mergeCell ref="NUZ25:NVB25"/>
    <mergeCell ref="NVC25:NVE25"/>
    <mergeCell ref="NVF25:NVH25"/>
    <mergeCell ref="NVI25:NVK25"/>
    <mergeCell ref="NUH25:NUJ25"/>
    <mergeCell ref="NUK25:NUM25"/>
    <mergeCell ref="NUN25:NUP25"/>
    <mergeCell ref="NUQ25:NUS25"/>
    <mergeCell ref="NUT25:NUV25"/>
    <mergeCell ref="NTS25:NTU25"/>
    <mergeCell ref="NTV25:NTX25"/>
    <mergeCell ref="NTY25:NUA25"/>
    <mergeCell ref="NUB25:NUD25"/>
    <mergeCell ref="NUE25:NUG25"/>
    <mergeCell ref="NXT25:NXV25"/>
    <mergeCell ref="NXW25:NXY25"/>
    <mergeCell ref="NXZ25:NYB25"/>
    <mergeCell ref="NYC25:NYE25"/>
    <mergeCell ref="NYF25:NYH25"/>
    <mergeCell ref="NXE25:NXG25"/>
    <mergeCell ref="NXH25:NXJ25"/>
    <mergeCell ref="NXK25:NXM25"/>
    <mergeCell ref="NXN25:NXP25"/>
    <mergeCell ref="NXQ25:NXS25"/>
    <mergeCell ref="NWP25:NWR25"/>
    <mergeCell ref="NWS25:NWU25"/>
    <mergeCell ref="NWV25:NWX25"/>
    <mergeCell ref="NWY25:NXA25"/>
    <mergeCell ref="NXB25:NXD25"/>
    <mergeCell ref="NWA25:NWC25"/>
    <mergeCell ref="NWD25:NWF25"/>
    <mergeCell ref="NWG25:NWI25"/>
    <mergeCell ref="NWJ25:NWL25"/>
    <mergeCell ref="NWM25:NWO25"/>
    <mergeCell ref="OAB25:OAD25"/>
    <mergeCell ref="OAE25:OAG25"/>
    <mergeCell ref="OAH25:OAJ25"/>
    <mergeCell ref="OAK25:OAM25"/>
    <mergeCell ref="OAN25:OAP25"/>
    <mergeCell ref="NZM25:NZO25"/>
    <mergeCell ref="NZP25:NZR25"/>
    <mergeCell ref="NZS25:NZU25"/>
    <mergeCell ref="NZV25:NZX25"/>
    <mergeCell ref="NZY25:OAA25"/>
    <mergeCell ref="NYX25:NYZ25"/>
    <mergeCell ref="NZA25:NZC25"/>
    <mergeCell ref="NZD25:NZF25"/>
    <mergeCell ref="NZG25:NZI25"/>
    <mergeCell ref="NZJ25:NZL25"/>
    <mergeCell ref="NYI25:NYK25"/>
    <mergeCell ref="NYL25:NYN25"/>
    <mergeCell ref="NYO25:NYQ25"/>
    <mergeCell ref="NYR25:NYT25"/>
    <mergeCell ref="NYU25:NYW25"/>
    <mergeCell ref="OCJ25:OCL25"/>
    <mergeCell ref="OCM25:OCO25"/>
    <mergeCell ref="OCP25:OCR25"/>
    <mergeCell ref="OCS25:OCU25"/>
    <mergeCell ref="OCV25:OCX25"/>
    <mergeCell ref="OBU25:OBW25"/>
    <mergeCell ref="OBX25:OBZ25"/>
    <mergeCell ref="OCA25:OCC25"/>
    <mergeCell ref="OCD25:OCF25"/>
    <mergeCell ref="OCG25:OCI25"/>
    <mergeCell ref="OBF25:OBH25"/>
    <mergeCell ref="OBI25:OBK25"/>
    <mergeCell ref="OBL25:OBN25"/>
    <mergeCell ref="OBO25:OBQ25"/>
    <mergeCell ref="OBR25:OBT25"/>
    <mergeCell ref="OAQ25:OAS25"/>
    <mergeCell ref="OAT25:OAV25"/>
    <mergeCell ref="OAW25:OAY25"/>
    <mergeCell ref="OAZ25:OBB25"/>
    <mergeCell ref="OBC25:OBE25"/>
    <mergeCell ref="OER25:OET25"/>
    <mergeCell ref="OEU25:OEW25"/>
    <mergeCell ref="OEX25:OEZ25"/>
    <mergeCell ref="OFA25:OFC25"/>
    <mergeCell ref="OFD25:OFF25"/>
    <mergeCell ref="OEC25:OEE25"/>
    <mergeCell ref="OEF25:OEH25"/>
    <mergeCell ref="OEI25:OEK25"/>
    <mergeCell ref="OEL25:OEN25"/>
    <mergeCell ref="OEO25:OEQ25"/>
    <mergeCell ref="ODN25:ODP25"/>
    <mergeCell ref="ODQ25:ODS25"/>
    <mergeCell ref="ODT25:ODV25"/>
    <mergeCell ref="ODW25:ODY25"/>
    <mergeCell ref="ODZ25:OEB25"/>
    <mergeCell ref="OCY25:ODA25"/>
    <mergeCell ref="ODB25:ODD25"/>
    <mergeCell ref="ODE25:ODG25"/>
    <mergeCell ref="ODH25:ODJ25"/>
    <mergeCell ref="ODK25:ODM25"/>
    <mergeCell ref="OGZ25:OHB25"/>
    <mergeCell ref="OHC25:OHE25"/>
    <mergeCell ref="OHF25:OHH25"/>
    <mergeCell ref="OHI25:OHK25"/>
    <mergeCell ref="OHL25:OHN25"/>
    <mergeCell ref="OGK25:OGM25"/>
    <mergeCell ref="OGN25:OGP25"/>
    <mergeCell ref="OGQ25:OGS25"/>
    <mergeCell ref="OGT25:OGV25"/>
    <mergeCell ref="OGW25:OGY25"/>
    <mergeCell ref="OFV25:OFX25"/>
    <mergeCell ref="OFY25:OGA25"/>
    <mergeCell ref="OGB25:OGD25"/>
    <mergeCell ref="OGE25:OGG25"/>
    <mergeCell ref="OGH25:OGJ25"/>
    <mergeCell ref="OFG25:OFI25"/>
    <mergeCell ref="OFJ25:OFL25"/>
    <mergeCell ref="OFM25:OFO25"/>
    <mergeCell ref="OFP25:OFR25"/>
    <mergeCell ref="OFS25:OFU25"/>
    <mergeCell ref="OJH25:OJJ25"/>
    <mergeCell ref="OJK25:OJM25"/>
    <mergeCell ref="OJN25:OJP25"/>
    <mergeCell ref="OJQ25:OJS25"/>
    <mergeCell ref="OJT25:OJV25"/>
    <mergeCell ref="OIS25:OIU25"/>
    <mergeCell ref="OIV25:OIX25"/>
    <mergeCell ref="OIY25:OJA25"/>
    <mergeCell ref="OJB25:OJD25"/>
    <mergeCell ref="OJE25:OJG25"/>
    <mergeCell ref="OID25:OIF25"/>
    <mergeCell ref="OIG25:OII25"/>
    <mergeCell ref="OIJ25:OIL25"/>
    <mergeCell ref="OIM25:OIO25"/>
    <mergeCell ref="OIP25:OIR25"/>
    <mergeCell ref="OHO25:OHQ25"/>
    <mergeCell ref="OHR25:OHT25"/>
    <mergeCell ref="OHU25:OHW25"/>
    <mergeCell ref="OHX25:OHZ25"/>
    <mergeCell ref="OIA25:OIC25"/>
    <mergeCell ref="OLP25:OLR25"/>
    <mergeCell ref="OLS25:OLU25"/>
    <mergeCell ref="OLV25:OLX25"/>
    <mergeCell ref="OLY25:OMA25"/>
    <mergeCell ref="OMB25:OMD25"/>
    <mergeCell ref="OLA25:OLC25"/>
    <mergeCell ref="OLD25:OLF25"/>
    <mergeCell ref="OLG25:OLI25"/>
    <mergeCell ref="OLJ25:OLL25"/>
    <mergeCell ref="OLM25:OLO25"/>
    <mergeCell ref="OKL25:OKN25"/>
    <mergeCell ref="OKO25:OKQ25"/>
    <mergeCell ref="OKR25:OKT25"/>
    <mergeCell ref="OKU25:OKW25"/>
    <mergeCell ref="OKX25:OKZ25"/>
    <mergeCell ref="OJW25:OJY25"/>
    <mergeCell ref="OJZ25:OKB25"/>
    <mergeCell ref="OKC25:OKE25"/>
    <mergeCell ref="OKF25:OKH25"/>
    <mergeCell ref="OKI25:OKK25"/>
    <mergeCell ref="ONX25:ONZ25"/>
    <mergeCell ref="OOA25:OOC25"/>
    <mergeCell ref="OOD25:OOF25"/>
    <mergeCell ref="OOG25:OOI25"/>
    <mergeCell ref="OOJ25:OOL25"/>
    <mergeCell ref="ONI25:ONK25"/>
    <mergeCell ref="ONL25:ONN25"/>
    <mergeCell ref="ONO25:ONQ25"/>
    <mergeCell ref="ONR25:ONT25"/>
    <mergeCell ref="ONU25:ONW25"/>
    <mergeCell ref="OMT25:OMV25"/>
    <mergeCell ref="OMW25:OMY25"/>
    <mergeCell ref="OMZ25:ONB25"/>
    <mergeCell ref="ONC25:ONE25"/>
    <mergeCell ref="ONF25:ONH25"/>
    <mergeCell ref="OME25:OMG25"/>
    <mergeCell ref="OMH25:OMJ25"/>
    <mergeCell ref="OMK25:OMM25"/>
    <mergeCell ref="OMN25:OMP25"/>
    <mergeCell ref="OMQ25:OMS25"/>
    <mergeCell ref="OQF25:OQH25"/>
    <mergeCell ref="OQI25:OQK25"/>
    <mergeCell ref="OQL25:OQN25"/>
    <mergeCell ref="OQO25:OQQ25"/>
    <mergeCell ref="OQR25:OQT25"/>
    <mergeCell ref="OPQ25:OPS25"/>
    <mergeCell ref="OPT25:OPV25"/>
    <mergeCell ref="OPW25:OPY25"/>
    <mergeCell ref="OPZ25:OQB25"/>
    <mergeCell ref="OQC25:OQE25"/>
    <mergeCell ref="OPB25:OPD25"/>
    <mergeCell ref="OPE25:OPG25"/>
    <mergeCell ref="OPH25:OPJ25"/>
    <mergeCell ref="OPK25:OPM25"/>
    <mergeCell ref="OPN25:OPP25"/>
    <mergeCell ref="OOM25:OOO25"/>
    <mergeCell ref="OOP25:OOR25"/>
    <mergeCell ref="OOS25:OOU25"/>
    <mergeCell ref="OOV25:OOX25"/>
    <mergeCell ref="OOY25:OPA25"/>
    <mergeCell ref="OSN25:OSP25"/>
    <mergeCell ref="OSQ25:OSS25"/>
    <mergeCell ref="OST25:OSV25"/>
    <mergeCell ref="OSW25:OSY25"/>
    <mergeCell ref="OSZ25:OTB25"/>
    <mergeCell ref="ORY25:OSA25"/>
    <mergeCell ref="OSB25:OSD25"/>
    <mergeCell ref="OSE25:OSG25"/>
    <mergeCell ref="OSH25:OSJ25"/>
    <mergeCell ref="OSK25:OSM25"/>
    <mergeCell ref="ORJ25:ORL25"/>
    <mergeCell ref="ORM25:ORO25"/>
    <mergeCell ref="ORP25:ORR25"/>
    <mergeCell ref="ORS25:ORU25"/>
    <mergeCell ref="ORV25:ORX25"/>
    <mergeCell ref="OQU25:OQW25"/>
    <mergeCell ref="OQX25:OQZ25"/>
    <mergeCell ref="ORA25:ORC25"/>
    <mergeCell ref="ORD25:ORF25"/>
    <mergeCell ref="ORG25:ORI25"/>
    <mergeCell ref="OUV25:OUX25"/>
    <mergeCell ref="OUY25:OVA25"/>
    <mergeCell ref="OVB25:OVD25"/>
    <mergeCell ref="OVE25:OVG25"/>
    <mergeCell ref="OVH25:OVJ25"/>
    <mergeCell ref="OUG25:OUI25"/>
    <mergeCell ref="OUJ25:OUL25"/>
    <mergeCell ref="OUM25:OUO25"/>
    <mergeCell ref="OUP25:OUR25"/>
    <mergeCell ref="OUS25:OUU25"/>
    <mergeCell ref="OTR25:OTT25"/>
    <mergeCell ref="OTU25:OTW25"/>
    <mergeCell ref="OTX25:OTZ25"/>
    <mergeCell ref="OUA25:OUC25"/>
    <mergeCell ref="OUD25:OUF25"/>
    <mergeCell ref="OTC25:OTE25"/>
    <mergeCell ref="OTF25:OTH25"/>
    <mergeCell ref="OTI25:OTK25"/>
    <mergeCell ref="OTL25:OTN25"/>
    <mergeCell ref="OTO25:OTQ25"/>
    <mergeCell ref="OXD25:OXF25"/>
    <mergeCell ref="OXG25:OXI25"/>
    <mergeCell ref="OXJ25:OXL25"/>
    <mergeCell ref="OXM25:OXO25"/>
    <mergeCell ref="OXP25:OXR25"/>
    <mergeCell ref="OWO25:OWQ25"/>
    <mergeCell ref="OWR25:OWT25"/>
    <mergeCell ref="OWU25:OWW25"/>
    <mergeCell ref="OWX25:OWZ25"/>
    <mergeCell ref="OXA25:OXC25"/>
    <mergeCell ref="OVZ25:OWB25"/>
    <mergeCell ref="OWC25:OWE25"/>
    <mergeCell ref="OWF25:OWH25"/>
    <mergeCell ref="OWI25:OWK25"/>
    <mergeCell ref="OWL25:OWN25"/>
    <mergeCell ref="OVK25:OVM25"/>
    <mergeCell ref="OVN25:OVP25"/>
    <mergeCell ref="OVQ25:OVS25"/>
    <mergeCell ref="OVT25:OVV25"/>
    <mergeCell ref="OVW25:OVY25"/>
    <mergeCell ref="OZL25:OZN25"/>
    <mergeCell ref="OZO25:OZQ25"/>
    <mergeCell ref="OZR25:OZT25"/>
    <mergeCell ref="OZU25:OZW25"/>
    <mergeCell ref="OZX25:OZZ25"/>
    <mergeCell ref="OYW25:OYY25"/>
    <mergeCell ref="OYZ25:OZB25"/>
    <mergeCell ref="OZC25:OZE25"/>
    <mergeCell ref="OZF25:OZH25"/>
    <mergeCell ref="OZI25:OZK25"/>
    <mergeCell ref="OYH25:OYJ25"/>
    <mergeCell ref="OYK25:OYM25"/>
    <mergeCell ref="OYN25:OYP25"/>
    <mergeCell ref="OYQ25:OYS25"/>
    <mergeCell ref="OYT25:OYV25"/>
    <mergeCell ref="OXS25:OXU25"/>
    <mergeCell ref="OXV25:OXX25"/>
    <mergeCell ref="OXY25:OYA25"/>
    <mergeCell ref="OYB25:OYD25"/>
    <mergeCell ref="OYE25:OYG25"/>
    <mergeCell ref="PBT25:PBV25"/>
    <mergeCell ref="PBW25:PBY25"/>
    <mergeCell ref="PBZ25:PCB25"/>
    <mergeCell ref="PCC25:PCE25"/>
    <mergeCell ref="PCF25:PCH25"/>
    <mergeCell ref="PBE25:PBG25"/>
    <mergeCell ref="PBH25:PBJ25"/>
    <mergeCell ref="PBK25:PBM25"/>
    <mergeCell ref="PBN25:PBP25"/>
    <mergeCell ref="PBQ25:PBS25"/>
    <mergeCell ref="PAP25:PAR25"/>
    <mergeCell ref="PAS25:PAU25"/>
    <mergeCell ref="PAV25:PAX25"/>
    <mergeCell ref="PAY25:PBA25"/>
    <mergeCell ref="PBB25:PBD25"/>
    <mergeCell ref="PAA25:PAC25"/>
    <mergeCell ref="PAD25:PAF25"/>
    <mergeCell ref="PAG25:PAI25"/>
    <mergeCell ref="PAJ25:PAL25"/>
    <mergeCell ref="PAM25:PAO25"/>
    <mergeCell ref="PEB25:PED25"/>
    <mergeCell ref="PEE25:PEG25"/>
    <mergeCell ref="PEH25:PEJ25"/>
    <mergeCell ref="PEK25:PEM25"/>
    <mergeCell ref="PEN25:PEP25"/>
    <mergeCell ref="PDM25:PDO25"/>
    <mergeCell ref="PDP25:PDR25"/>
    <mergeCell ref="PDS25:PDU25"/>
    <mergeCell ref="PDV25:PDX25"/>
    <mergeCell ref="PDY25:PEA25"/>
    <mergeCell ref="PCX25:PCZ25"/>
    <mergeCell ref="PDA25:PDC25"/>
    <mergeCell ref="PDD25:PDF25"/>
    <mergeCell ref="PDG25:PDI25"/>
    <mergeCell ref="PDJ25:PDL25"/>
    <mergeCell ref="PCI25:PCK25"/>
    <mergeCell ref="PCL25:PCN25"/>
    <mergeCell ref="PCO25:PCQ25"/>
    <mergeCell ref="PCR25:PCT25"/>
    <mergeCell ref="PCU25:PCW25"/>
    <mergeCell ref="PGJ25:PGL25"/>
    <mergeCell ref="PGM25:PGO25"/>
    <mergeCell ref="PGP25:PGR25"/>
    <mergeCell ref="PGS25:PGU25"/>
    <mergeCell ref="PGV25:PGX25"/>
    <mergeCell ref="PFU25:PFW25"/>
    <mergeCell ref="PFX25:PFZ25"/>
    <mergeCell ref="PGA25:PGC25"/>
    <mergeCell ref="PGD25:PGF25"/>
    <mergeCell ref="PGG25:PGI25"/>
    <mergeCell ref="PFF25:PFH25"/>
    <mergeCell ref="PFI25:PFK25"/>
    <mergeCell ref="PFL25:PFN25"/>
    <mergeCell ref="PFO25:PFQ25"/>
    <mergeCell ref="PFR25:PFT25"/>
    <mergeCell ref="PEQ25:PES25"/>
    <mergeCell ref="PET25:PEV25"/>
    <mergeCell ref="PEW25:PEY25"/>
    <mergeCell ref="PEZ25:PFB25"/>
    <mergeCell ref="PFC25:PFE25"/>
    <mergeCell ref="PIR25:PIT25"/>
    <mergeCell ref="PIU25:PIW25"/>
    <mergeCell ref="PIX25:PIZ25"/>
    <mergeCell ref="PJA25:PJC25"/>
    <mergeCell ref="PJD25:PJF25"/>
    <mergeCell ref="PIC25:PIE25"/>
    <mergeCell ref="PIF25:PIH25"/>
    <mergeCell ref="PII25:PIK25"/>
    <mergeCell ref="PIL25:PIN25"/>
    <mergeCell ref="PIO25:PIQ25"/>
    <mergeCell ref="PHN25:PHP25"/>
    <mergeCell ref="PHQ25:PHS25"/>
    <mergeCell ref="PHT25:PHV25"/>
    <mergeCell ref="PHW25:PHY25"/>
    <mergeCell ref="PHZ25:PIB25"/>
    <mergeCell ref="PGY25:PHA25"/>
    <mergeCell ref="PHB25:PHD25"/>
    <mergeCell ref="PHE25:PHG25"/>
    <mergeCell ref="PHH25:PHJ25"/>
    <mergeCell ref="PHK25:PHM25"/>
    <mergeCell ref="PKZ25:PLB25"/>
    <mergeCell ref="PLC25:PLE25"/>
    <mergeCell ref="PLF25:PLH25"/>
    <mergeCell ref="PLI25:PLK25"/>
    <mergeCell ref="PLL25:PLN25"/>
    <mergeCell ref="PKK25:PKM25"/>
    <mergeCell ref="PKN25:PKP25"/>
    <mergeCell ref="PKQ25:PKS25"/>
    <mergeCell ref="PKT25:PKV25"/>
    <mergeCell ref="PKW25:PKY25"/>
    <mergeCell ref="PJV25:PJX25"/>
    <mergeCell ref="PJY25:PKA25"/>
    <mergeCell ref="PKB25:PKD25"/>
    <mergeCell ref="PKE25:PKG25"/>
    <mergeCell ref="PKH25:PKJ25"/>
    <mergeCell ref="PJG25:PJI25"/>
    <mergeCell ref="PJJ25:PJL25"/>
    <mergeCell ref="PJM25:PJO25"/>
    <mergeCell ref="PJP25:PJR25"/>
    <mergeCell ref="PJS25:PJU25"/>
    <mergeCell ref="PNH25:PNJ25"/>
    <mergeCell ref="PNK25:PNM25"/>
    <mergeCell ref="PNN25:PNP25"/>
    <mergeCell ref="PNQ25:PNS25"/>
    <mergeCell ref="PNT25:PNV25"/>
    <mergeCell ref="PMS25:PMU25"/>
    <mergeCell ref="PMV25:PMX25"/>
    <mergeCell ref="PMY25:PNA25"/>
    <mergeCell ref="PNB25:PND25"/>
    <mergeCell ref="PNE25:PNG25"/>
    <mergeCell ref="PMD25:PMF25"/>
    <mergeCell ref="PMG25:PMI25"/>
    <mergeCell ref="PMJ25:PML25"/>
    <mergeCell ref="PMM25:PMO25"/>
    <mergeCell ref="PMP25:PMR25"/>
    <mergeCell ref="PLO25:PLQ25"/>
    <mergeCell ref="PLR25:PLT25"/>
    <mergeCell ref="PLU25:PLW25"/>
    <mergeCell ref="PLX25:PLZ25"/>
    <mergeCell ref="PMA25:PMC25"/>
    <mergeCell ref="PPP25:PPR25"/>
    <mergeCell ref="PPS25:PPU25"/>
    <mergeCell ref="PPV25:PPX25"/>
    <mergeCell ref="PPY25:PQA25"/>
    <mergeCell ref="PQB25:PQD25"/>
    <mergeCell ref="PPA25:PPC25"/>
    <mergeCell ref="PPD25:PPF25"/>
    <mergeCell ref="PPG25:PPI25"/>
    <mergeCell ref="PPJ25:PPL25"/>
    <mergeCell ref="PPM25:PPO25"/>
    <mergeCell ref="POL25:PON25"/>
    <mergeCell ref="POO25:POQ25"/>
    <mergeCell ref="POR25:POT25"/>
    <mergeCell ref="POU25:POW25"/>
    <mergeCell ref="POX25:POZ25"/>
    <mergeCell ref="PNW25:PNY25"/>
    <mergeCell ref="PNZ25:POB25"/>
    <mergeCell ref="POC25:POE25"/>
    <mergeCell ref="POF25:POH25"/>
    <mergeCell ref="POI25:POK25"/>
    <mergeCell ref="PRX25:PRZ25"/>
    <mergeCell ref="PSA25:PSC25"/>
    <mergeCell ref="PSD25:PSF25"/>
    <mergeCell ref="PSG25:PSI25"/>
    <mergeCell ref="PSJ25:PSL25"/>
    <mergeCell ref="PRI25:PRK25"/>
    <mergeCell ref="PRL25:PRN25"/>
    <mergeCell ref="PRO25:PRQ25"/>
    <mergeCell ref="PRR25:PRT25"/>
    <mergeCell ref="PRU25:PRW25"/>
    <mergeCell ref="PQT25:PQV25"/>
    <mergeCell ref="PQW25:PQY25"/>
    <mergeCell ref="PQZ25:PRB25"/>
    <mergeCell ref="PRC25:PRE25"/>
    <mergeCell ref="PRF25:PRH25"/>
    <mergeCell ref="PQE25:PQG25"/>
    <mergeCell ref="PQH25:PQJ25"/>
    <mergeCell ref="PQK25:PQM25"/>
    <mergeCell ref="PQN25:PQP25"/>
    <mergeCell ref="PQQ25:PQS25"/>
    <mergeCell ref="PUF25:PUH25"/>
    <mergeCell ref="PUI25:PUK25"/>
    <mergeCell ref="PUL25:PUN25"/>
    <mergeCell ref="PUO25:PUQ25"/>
    <mergeCell ref="PUR25:PUT25"/>
    <mergeCell ref="PTQ25:PTS25"/>
    <mergeCell ref="PTT25:PTV25"/>
    <mergeCell ref="PTW25:PTY25"/>
    <mergeCell ref="PTZ25:PUB25"/>
    <mergeCell ref="PUC25:PUE25"/>
    <mergeCell ref="PTB25:PTD25"/>
    <mergeCell ref="PTE25:PTG25"/>
    <mergeCell ref="PTH25:PTJ25"/>
    <mergeCell ref="PTK25:PTM25"/>
    <mergeCell ref="PTN25:PTP25"/>
    <mergeCell ref="PSM25:PSO25"/>
    <mergeCell ref="PSP25:PSR25"/>
    <mergeCell ref="PSS25:PSU25"/>
    <mergeCell ref="PSV25:PSX25"/>
    <mergeCell ref="PSY25:PTA25"/>
    <mergeCell ref="PWN25:PWP25"/>
    <mergeCell ref="PWQ25:PWS25"/>
    <mergeCell ref="PWT25:PWV25"/>
    <mergeCell ref="PWW25:PWY25"/>
    <mergeCell ref="PWZ25:PXB25"/>
    <mergeCell ref="PVY25:PWA25"/>
    <mergeCell ref="PWB25:PWD25"/>
    <mergeCell ref="PWE25:PWG25"/>
    <mergeCell ref="PWH25:PWJ25"/>
    <mergeCell ref="PWK25:PWM25"/>
    <mergeCell ref="PVJ25:PVL25"/>
    <mergeCell ref="PVM25:PVO25"/>
    <mergeCell ref="PVP25:PVR25"/>
    <mergeCell ref="PVS25:PVU25"/>
    <mergeCell ref="PVV25:PVX25"/>
    <mergeCell ref="PUU25:PUW25"/>
    <mergeCell ref="PUX25:PUZ25"/>
    <mergeCell ref="PVA25:PVC25"/>
    <mergeCell ref="PVD25:PVF25"/>
    <mergeCell ref="PVG25:PVI25"/>
    <mergeCell ref="PYV25:PYX25"/>
    <mergeCell ref="PYY25:PZA25"/>
    <mergeCell ref="PZB25:PZD25"/>
    <mergeCell ref="PZE25:PZG25"/>
    <mergeCell ref="PZH25:PZJ25"/>
    <mergeCell ref="PYG25:PYI25"/>
    <mergeCell ref="PYJ25:PYL25"/>
    <mergeCell ref="PYM25:PYO25"/>
    <mergeCell ref="PYP25:PYR25"/>
    <mergeCell ref="PYS25:PYU25"/>
    <mergeCell ref="PXR25:PXT25"/>
    <mergeCell ref="PXU25:PXW25"/>
    <mergeCell ref="PXX25:PXZ25"/>
    <mergeCell ref="PYA25:PYC25"/>
    <mergeCell ref="PYD25:PYF25"/>
    <mergeCell ref="PXC25:PXE25"/>
    <mergeCell ref="PXF25:PXH25"/>
    <mergeCell ref="PXI25:PXK25"/>
    <mergeCell ref="PXL25:PXN25"/>
    <mergeCell ref="PXO25:PXQ25"/>
    <mergeCell ref="QBD25:QBF25"/>
    <mergeCell ref="QBG25:QBI25"/>
    <mergeCell ref="QBJ25:QBL25"/>
    <mergeCell ref="QBM25:QBO25"/>
    <mergeCell ref="QBP25:QBR25"/>
    <mergeCell ref="QAO25:QAQ25"/>
    <mergeCell ref="QAR25:QAT25"/>
    <mergeCell ref="QAU25:QAW25"/>
    <mergeCell ref="QAX25:QAZ25"/>
    <mergeCell ref="QBA25:QBC25"/>
    <mergeCell ref="PZZ25:QAB25"/>
    <mergeCell ref="QAC25:QAE25"/>
    <mergeCell ref="QAF25:QAH25"/>
    <mergeCell ref="QAI25:QAK25"/>
    <mergeCell ref="QAL25:QAN25"/>
    <mergeCell ref="PZK25:PZM25"/>
    <mergeCell ref="PZN25:PZP25"/>
    <mergeCell ref="PZQ25:PZS25"/>
    <mergeCell ref="PZT25:PZV25"/>
    <mergeCell ref="PZW25:PZY25"/>
    <mergeCell ref="QDL25:QDN25"/>
    <mergeCell ref="QDO25:QDQ25"/>
    <mergeCell ref="QDR25:QDT25"/>
    <mergeCell ref="QDU25:QDW25"/>
    <mergeCell ref="QDX25:QDZ25"/>
    <mergeCell ref="QCW25:QCY25"/>
    <mergeCell ref="QCZ25:QDB25"/>
    <mergeCell ref="QDC25:QDE25"/>
    <mergeCell ref="QDF25:QDH25"/>
    <mergeCell ref="QDI25:QDK25"/>
    <mergeCell ref="QCH25:QCJ25"/>
    <mergeCell ref="QCK25:QCM25"/>
    <mergeCell ref="QCN25:QCP25"/>
    <mergeCell ref="QCQ25:QCS25"/>
    <mergeCell ref="QCT25:QCV25"/>
    <mergeCell ref="QBS25:QBU25"/>
    <mergeCell ref="QBV25:QBX25"/>
    <mergeCell ref="QBY25:QCA25"/>
    <mergeCell ref="QCB25:QCD25"/>
    <mergeCell ref="QCE25:QCG25"/>
    <mergeCell ref="QFT25:QFV25"/>
    <mergeCell ref="QFW25:QFY25"/>
    <mergeCell ref="QFZ25:QGB25"/>
    <mergeCell ref="QGC25:QGE25"/>
    <mergeCell ref="QGF25:QGH25"/>
    <mergeCell ref="QFE25:QFG25"/>
    <mergeCell ref="QFH25:QFJ25"/>
    <mergeCell ref="QFK25:QFM25"/>
    <mergeCell ref="QFN25:QFP25"/>
    <mergeCell ref="QFQ25:QFS25"/>
    <mergeCell ref="QEP25:QER25"/>
    <mergeCell ref="QES25:QEU25"/>
    <mergeCell ref="QEV25:QEX25"/>
    <mergeCell ref="QEY25:QFA25"/>
    <mergeCell ref="QFB25:QFD25"/>
    <mergeCell ref="QEA25:QEC25"/>
    <mergeCell ref="QED25:QEF25"/>
    <mergeCell ref="QEG25:QEI25"/>
    <mergeCell ref="QEJ25:QEL25"/>
    <mergeCell ref="QEM25:QEO25"/>
    <mergeCell ref="QIB25:QID25"/>
    <mergeCell ref="QIE25:QIG25"/>
    <mergeCell ref="QIH25:QIJ25"/>
    <mergeCell ref="QIK25:QIM25"/>
    <mergeCell ref="QIN25:QIP25"/>
    <mergeCell ref="QHM25:QHO25"/>
    <mergeCell ref="QHP25:QHR25"/>
    <mergeCell ref="QHS25:QHU25"/>
    <mergeCell ref="QHV25:QHX25"/>
    <mergeCell ref="QHY25:QIA25"/>
    <mergeCell ref="QGX25:QGZ25"/>
    <mergeCell ref="QHA25:QHC25"/>
    <mergeCell ref="QHD25:QHF25"/>
    <mergeCell ref="QHG25:QHI25"/>
    <mergeCell ref="QHJ25:QHL25"/>
    <mergeCell ref="QGI25:QGK25"/>
    <mergeCell ref="QGL25:QGN25"/>
    <mergeCell ref="QGO25:QGQ25"/>
    <mergeCell ref="QGR25:QGT25"/>
    <mergeCell ref="QGU25:QGW25"/>
    <mergeCell ref="QKJ25:QKL25"/>
    <mergeCell ref="QKM25:QKO25"/>
    <mergeCell ref="QKP25:QKR25"/>
    <mergeCell ref="QKS25:QKU25"/>
    <mergeCell ref="QKV25:QKX25"/>
    <mergeCell ref="QJU25:QJW25"/>
    <mergeCell ref="QJX25:QJZ25"/>
    <mergeCell ref="QKA25:QKC25"/>
    <mergeCell ref="QKD25:QKF25"/>
    <mergeCell ref="QKG25:QKI25"/>
    <mergeCell ref="QJF25:QJH25"/>
    <mergeCell ref="QJI25:QJK25"/>
    <mergeCell ref="QJL25:QJN25"/>
    <mergeCell ref="QJO25:QJQ25"/>
    <mergeCell ref="QJR25:QJT25"/>
    <mergeCell ref="QIQ25:QIS25"/>
    <mergeCell ref="QIT25:QIV25"/>
    <mergeCell ref="QIW25:QIY25"/>
    <mergeCell ref="QIZ25:QJB25"/>
    <mergeCell ref="QJC25:QJE25"/>
    <mergeCell ref="QMR25:QMT25"/>
    <mergeCell ref="QMU25:QMW25"/>
    <mergeCell ref="QMX25:QMZ25"/>
    <mergeCell ref="QNA25:QNC25"/>
    <mergeCell ref="QND25:QNF25"/>
    <mergeCell ref="QMC25:QME25"/>
    <mergeCell ref="QMF25:QMH25"/>
    <mergeCell ref="QMI25:QMK25"/>
    <mergeCell ref="QML25:QMN25"/>
    <mergeCell ref="QMO25:QMQ25"/>
    <mergeCell ref="QLN25:QLP25"/>
    <mergeCell ref="QLQ25:QLS25"/>
    <mergeCell ref="QLT25:QLV25"/>
    <mergeCell ref="QLW25:QLY25"/>
    <mergeCell ref="QLZ25:QMB25"/>
    <mergeCell ref="QKY25:QLA25"/>
    <mergeCell ref="QLB25:QLD25"/>
    <mergeCell ref="QLE25:QLG25"/>
    <mergeCell ref="QLH25:QLJ25"/>
    <mergeCell ref="QLK25:QLM25"/>
    <mergeCell ref="QOZ25:QPB25"/>
    <mergeCell ref="QPC25:QPE25"/>
    <mergeCell ref="QPF25:QPH25"/>
    <mergeCell ref="QPI25:QPK25"/>
    <mergeCell ref="QPL25:QPN25"/>
    <mergeCell ref="QOK25:QOM25"/>
    <mergeCell ref="QON25:QOP25"/>
    <mergeCell ref="QOQ25:QOS25"/>
    <mergeCell ref="QOT25:QOV25"/>
    <mergeCell ref="QOW25:QOY25"/>
    <mergeCell ref="QNV25:QNX25"/>
    <mergeCell ref="QNY25:QOA25"/>
    <mergeCell ref="QOB25:QOD25"/>
    <mergeCell ref="QOE25:QOG25"/>
    <mergeCell ref="QOH25:QOJ25"/>
    <mergeCell ref="QNG25:QNI25"/>
    <mergeCell ref="QNJ25:QNL25"/>
    <mergeCell ref="QNM25:QNO25"/>
    <mergeCell ref="QNP25:QNR25"/>
    <mergeCell ref="QNS25:QNU25"/>
    <mergeCell ref="QRH25:QRJ25"/>
    <mergeCell ref="QRK25:QRM25"/>
    <mergeCell ref="QRN25:QRP25"/>
    <mergeCell ref="QRQ25:QRS25"/>
    <mergeCell ref="QRT25:QRV25"/>
    <mergeCell ref="QQS25:QQU25"/>
    <mergeCell ref="QQV25:QQX25"/>
    <mergeCell ref="QQY25:QRA25"/>
    <mergeCell ref="QRB25:QRD25"/>
    <mergeCell ref="QRE25:QRG25"/>
    <mergeCell ref="QQD25:QQF25"/>
    <mergeCell ref="QQG25:QQI25"/>
    <mergeCell ref="QQJ25:QQL25"/>
    <mergeCell ref="QQM25:QQO25"/>
    <mergeCell ref="QQP25:QQR25"/>
    <mergeCell ref="QPO25:QPQ25"/>
    <mergeCell ref="QPR25:QPT25"/>
    <mergeCell ref="QPU25:QPW25"/>
    <mergeCell ref="QPX25:QPZ25"/>
    <mergeCell ref="QQA25:QQC25"/>
    <mergeCell ref="QTP25:QTR25"/>
    <mergeCell ref="QTS25:QTU25"/>
    <mergeCell ref="QTV25:QTX25"/>
    <mergeCell ref="QTY25:QUA25"/>
    <mergeCell ref="QUB25:QUD25"/>
    <mergeCell ref="QTA25:QTC25"/>
    <mergeCell ref="QTD25:QTF25"/>
    <mergeCell ref="QTG25:QTI25"/>
    <mergeCell ref="QTJ25:QTL25"/>
    <mergeCell ref="QTM25:QTO25"/>
    <mergeCell ref="QSL25:QSN25"/>
    <mergeCell ref="QSO25:QSQ25"/>
    <mergeCell ref="QSR25:QST25"/>
    <mergeCell ref="QSU25:QSW25"/>
    <mergeCell ref="QSX25:QSZ25"/>
    <mergeCell ref="QRW25:QRY25"/>
    <mergeCell ref="QRZ25:QSB25"/>
    <mergeCell ref="QSC25:QSE25"/>
    <mergeCell ref="QSF25:QSH25"/>
    <mergeCell ref="QSI25:QSK25"/>
    <mergeCell ref="QVX25:QVZ25"/>
    <mergeCell ref="QWA25:QWC25"/>
    <mergeCell ref="QWD25:QWF25"/>
    <mergeCell ref="QWG25:QWI25"/>
    <mergeCell ref="QWJ25:QWL25"/>
    <mergeCell ref="QVI25:QVK25"/>
    <mergeCell ref="QVL25:QVN25"/>
    <mergeCell ref="QVO25:QVQ25"/>
    <mergeCell ref="QVR25:QVT25"/>
    <mergeCell ref="QVU25:QVW25"/>
    <mergeCell ref="QUT25:QUV25"/>
    <mergeCell ref="QUW25:QUY25"/>
    <mergeCell ref="QUZ25:QVB25"/>
    <mergeCell ref="QVC25:QVE25"/>
    <mergeCell ref="QVF25:QVH25"/>
    <mergeCell ref="QUE25:QUG25"/>
    <mergeCell ref="QUH25:QUJ25"/>
    <mergeCell ref="QUK25:QUM25"/>
    <mergeCell ref="QUN25:QUP25"/>
    <mergeCell ref="QUQ25:QUS25"/>
    <mergeCell ref="QYF25:QYH25"/>
    <mergeCell ref="QYI25:QYK25"/>
    <mergeCell ref="QYL25:QYN25"/>
    <mergeCell ref="QYO25:QYQ25"/>
    <mergeCell ref="QYR25:QYT25"/>
    <mergeCell ref="QXQ25:QXS25"/>
    <mergeCell ref="QXT25:QXV25"/>
    <mergeCell ref="QXW25:QXY25"/>
    <mergeCell ref="QXZ25:QYB25"/>
    <mergeCell ref="QYC25:QYE25"/>
    <mergeCell ref="QXB25:QXD25"/>
    <mergeCell ref="QXE25:QXG25"/>
    <mergeCell ref="QXH25:QXJ25"/>
    <mergeCell ref="QXK25:QXM25"/>
    <mergeCell ref="QXN25:QXP25"/>
    <mergeCell ref="QWM25:QWO25"/>
    <mergeCell ref="QWP25:QWR25"/>
    <mergeCell ref="QWS25:QWU25"/>
    <mergeCell ref="QWV25:QWX25"/>
    <mergeCell ref="QWY25:QXA25"/>
    <mergeCell ref="RAN25:RAP25"/>
    <mergeCell ref="RAQ25:RAS25"/>
    <mergeCell ref="RAT25:RAV25"/>
    <mergeCell ref="RAW25:RAY25"/>
    <mergeCell ref="RAZ25:RBB25"/>
    <mergeCell ref="QZY25:RAA25"/>
    <mergeCell ref="RAB25:RAD25"/>
    <mergeCell ref="RAE25:RAG25"/>
    <mergeCell ref="RAH25:RAJ25"/>
    <mergeCell ref="RAK25:RAM25"/>
    <mergeCell ref="QZJ25:QZL25"/>
    <mergeCell ref="QZM25:QZO25"/>
    <mergeCell ref="QZP25:QZR25"/>
    <mergeCell ref="QZS25:QZU25"/>
    <mergeCell ref="QZV25:QZX25"/>
    <mergeCell ref="QYU25:QYW25"/>
    <mergeCell ref="QYX25:QYZ25"/>
    <mergeCell ref="QZA25:QZC25"/>
    <mergeCell ref="QZD25:QZF25"/>
    <mergeCell ref="QZG25:QZI25"/>
    <mergeCell ref="RCV25:RCX25"/>
    <mergeCell ref="RCY25:RDA25"/>
    <mergeCell ref="RDB25:RDD25"/>
    <mergeCell ref="RDE25:RDG25"/>
    <mergeCell ref="RDH25:RDJ25"/>
    <mergeCell ref="RCG25:RCI25"/>
    <mergeCell ref="RCJ25:RCL25"/>
    <mergeCell ref="RCM25:RCO25"/>
    <mergeCell ref="RCP25:RCR25"/>
    <mergeCell ref="RCS25:RCU25"/>
    <mergeCell ref="RBR25:RBT25"/>
    <mergeCell ref="RBU25:RBW25"/>
    <mergeCell ref="RBX25:RBZ25"/>
    <mergeCell ref="RCA25:RCC25"/>
    <mergeCell ref="RCD25:RCF25"/>
    <mergeCell ref="RBC25:RBE25"/>
    <mergeCell ref="RBF25:RBH25"/>
    <mergeCell ref="RBI25:RBK25"/>
    <mergeCell ref="RBL25:RBN25"/>
    <mergeCell ref="RBO25:RBQ25"/>
    <mergeCell ref="RFD25:RFF25"/>
    <mergeCell ref="RFG25:RFI25"/>
    <mergeCell ref="RFJ25:RFL25"/>
    <mergeCell ref="RFM25:RFO25"/>
    <mergeCell ref="RFP25:RFR25"/>
    <mergeCell ref="REO25:REQ25"/>
    <mergeCell ref="RER25:RET25"/>
    <mergeCell ref="REU25:REW25"/>
    <mergeCell ref="REX25:REZ25"/>
    <mergeCell ref="RFA25:RFC25"/>
    <mergeCell ref="RDZ25:REB25"/>
    <mergeCell ref="REC25:REE25"/>
    <mergeCell ref="REF25:REH25"/>
    <mergeCell ref="REI25:REK25"/>
    <mergeCell ref="REL25:REN25"/>
    <mergeCell ref="RDK25:RDM25"/>
    <mergeCell ref="RDN25:RDP25"/>
    <mergeCell ref="RDQ25:RDS25"/>
    <mergeCell ref="RDT25:RDV25"/>
    <mergeCell ref="RDW25:RDY25"/>
    <mergeCell ref="RHL25:RHN25"/>
    <mergeCell ref="RHO25:RHQ25"/>
    <mergeCell ref="RHR25:RHT25"/>
    <mergeCell ref="RHU25:RHW25"/>
    <mergeCell ref="RHX25:RHZ25"/>
    <mergeCell ref="RGW25:RGY25"/>
    <mergeCell ref="RGZ25:RHB25"/>
    <mergeCell ref="RHC25:RHE25"/>
    <mergeCell ref="RHF25:RHH25"/>
    <mergeCell ref="RHI25:RHK25"/>
    <mergeCell ref="RGH25:RGJ25"/>
    <mergeCell ref="RGK25:RGM25"/>
    <mergeCell ref="RGN25:RGP25"/>
    <mergeCell ref="RGQ25:RGS25"/>
    <mergeCell ref="RGT25:RGV25"/>
    <mergeCell ref="RFS25:RFU25"/>
    <mergeCell ref="RFV25:RFX25"/>
    <mergeCell ref="RFY25:RGA25"/>
    <mergeCell ref="RGB25:RGD25"/>
    <mergeCell ref="RGE25:RGG25"/>
    <mergeCell ref="RJT25:RJV25"/>
    <mergeCell ref="RJW25:RJY25"/>
    <mergeCell ref="RJZ25:RKB25"/>
    <mergeCell ref="RKC25:RKE25"/>
    <mergeCell ref="RKF25:RKH25"/>
    <mergeCell ref="RJE25:RJG25"/>
    <mergeCell ref="RJH25:RJJ25"/>
    <mergeCell ref="RJK25:RJM25"/>
    <mergeCell ref="RJN25:RJP25"/>
    <mergeCell ref="RJQ25:RJS25"/>
    <mergeCell ref="RIP25:RIR25"/>
    <mergeCell ref="RIS25:RIU25"/>
    <mergeCell ref="RIV25:RIX25"/>
    <mergeCell ref="RIY25:RJA25"/>
    <mergeCell ref="RJB25:RJD25"/>
    <mergeCell ref="RIA25:RIC25"/>
    <mergeCell ref="RID25:RIF25"/>
    <mergeCell ref="RIG25:RII25"/>
    <mergeCell ref="RIJ25:RIL25"/>
    <mergeCell ref="RIM25:RIO25"/>
    <mergeCell ref="RMB25:RMD25"/>
    <mergeCell ref="RME25:RMG25"/>
    <mergeCell ref="RMH25:RMJ25"/>
    <mergeCell ref="RMK25:RMM25"/>
    <mergeCell ref="RMN25:RMP25"/>
    <mergeCell ref="RLM25:RLO25"/>
    <mergeCell ref="RLP25:RLR25"/>
    <mergeCell ref="RLS25:RLU25"/>
    <mergeCell ref="RLV25:RLX25"/>
    <mergeCell ref="RLY25:RMA25"/>
    <mergeCell ref="RKX25:RKZ25"/>
    <mergeCell ref="RLA25:RLC25"/>
    <mergeCell ref="RLD25:RLF25"/>
    <mergeCell ref="RLG25:RLI25"/>
    <mergeCell ref="RLJ25:RLL25"/>
    <mergeCell ref="RKI25:RKK25"/>
    <mergeCell ref="RKL25:RKN25"/>
    <mergeCell ref="RKO25:RKQ25"/>
    <mergeCell ref="RKR25:RKT25"/>
    <mergeCell ref="RKU25:RKW25"/>
    <mergeCell ref="ROJ25:ROL25"/>
    <mergeCell ref="ROM25:ROO25"/>
    <mergeCell ref="ROP25:ROR25"/>
    <mergeCell ref="ROS25:ROU25"/>
    <mergeCell ref="ROV25:ROX25"/>
    <mergeCell ref="RNU25:RNW25"/>
    <mergeCell ref="RNX25:RNZ25"/>
    <mergeCell ref="ROA25:ROC25"/>
    <mergeCell ref="ROD25:ROF25"/>
    <mergeCell ref="ROG25:ROI25"/>
    <mergeCell ref="RNF25:RNH25"/>
    <mergeCell ref="RNI25:RNK25"/>
    <mergeCell ref="RNL25:RNN25"/>
    <mergeCell ref="RNO25:RNQ25"/>
    <mergeCell ref="RNR25:RNT25"/>
    <mergeCell ref="RMQ25:RMS25"/>
    <mergeCell ref="RMT25:RMV25"/>
    <mergeCell ref="RMW25:RMY25"/>
    <mergeCell ref="RMZ25:RNB25"/>
    <mergeCell ref="RNC25:RNE25"/>
    <mergeCell ref="RQR25:RQT25"/>
    <mergeCell ref="RQU25:RQW25"/>
    <mergeCell ref="RQX25:RQZ25"/>
    <mergeCell ref="RRA25:RRC25"/>
    <mergeCell ref="RRD25:RRF25"/>
    <mergeCell ref="RQC25:RQE25"/>
    <mergeCell ref="RQF25:RQH25"/>
    <mergeCell ref="RQI25:RQK25"/>
    <mergeCell ref="RQL25:RQN25"/>
    <mergeCell ref="RQO25:RQQ25"/>
    <mergeCell ref="RPN25:RPP25"/>
    <mergeCell ref="RPQ25:RPS25"/>
    <mergeCell ref="RPT25:RPV25"/>
    <mergeCell ref="RPW25:RPY25"/>
    <mergeCell ref="RPZ25:RQB25"/>
    <mergeCell ref="ROY25:RPA25"/>
    <mergeCell ref="RPB25:RPD25"/>
    <mergeCell ref="RPE25:RPG25"/>
    <mergeCell ref="RPH25:RPJ25"/>
    <mergeCell ref="RPK25:RPM25"/>
    <mergeCell ref="RSZ25:RTB25"/>
    <mergeCell ref="RTC25:RTE25"/>
    <mergeCell ref="RTF25:RTH25"/>
    <mergeCell ref="RTI25:RTK25"/>
    <mergeCell ref="RTL25:RTN25"/>
    <mergeCell ref="RSK25:RSM25"/>
    <mergeCell ref="RSN25:RSP25"/>
    <mergeCell ref="RSQ25:RSS25"/>
    <mergeCell ref="RST25:RSV25"/>
    <mergeCell ref="RSW25:RSY25"/>
    <mergeCell ref="RRV25:RRX25"/>
    <mergeCell ref="RRY25:RSA25"/>
    <mergeCell ref="RSB25:RSD25"/>
    <mergeCell ref="RSE25:RSG25"/>
    <mergeCell ref="RSH25:RSJ25"/>
    <mergeCell ref="RRG25:RRI25"/>
    <mergeCell ref="RRJ25:RRL25"/>
    <mergeCell ref="RRM25:RRO25"/>
    <mergeCell ref="RRP25:RRR25"/>
    <mergeCell ref="RRS25:RRU25"/>
    <mergeCell ref="RVH25:RVJ25"/>
    <mergeCell ref="RVK25:RVM25"/>
    <mergeCell ref="RVN25:RVP25"/>
    <mergeCell ref="RVQ25:RVS25"/>
    <mergeCell ref="RVT25:RVV25"/>
    <mergeCell ref="RUS25:RUU25"/>
    <mergeCell ref="RUV25:RUX25"/>
    <mergeCell ref="RUY25:RVA25"/>
    <mergeCell ref="RVB25:RVD25"/>
    <mergeCell ref="RVE25:RVG25"/>
    <mergeCell ref="RUD25:RUF25"/>
    <mergeCell ref="RUG25:RUI25"/>
    <mergeCell ref="RUJ25:RUL25"/>
    <mergeCell ref="RUM25:RUO25"/>
    <mergeCell ref="RUP25:RUR25"/>
    <mergeCell ref="RTO25:RTQ25"/>
    <mergeCell ref="RTR25:RTT25"/>
    <mergeCell ref="RTU25:RTW25"/>
    <mergeCell ref="RTX25:RTZ25"/>
    <mergeCell ref="RUA25:RUC25"/>
    <mergeCell ref="RXP25:RXR25"/>
    <mergeCell ref="RXS25:RXU25"/>
    <mergeCell ref="RXV25:RXX25"/>
    <mergeCell ref="RXY25:RYA25"/>
    <mergeCell ref="RYB25:RYD25"/>
    <mergeCell ref="RXA25:RXC25"/>
    <mergeCell ref="RXD25:RXF25"/>
    <mergeCell ref="RXG25:RXI25"/>
    <mergeCell ref="RXJ25:RXL25"/>
    <mergeCell ref="RXM25:RXO25"/>
    <mergeCell ref="RWL25:RWN25"/>
    <mergeCell ref="RWO25:RWQ25"/>
    <mergeCell ref="RWR25:RWT25"/>
    <mergeCell ref="RWU25:RWW25"/>
    <mergeCell ref="RWX25:RWZ25"/>
    <mergeCell ref="RVW25:RVY25"/>
    <mergeCell ref="RVZ25:RWB25"/>
    <mergeCell ref="RWC25:RWE25"/>
    <mergeCell ref="RWF25:RWH25"/>
    <mergeCell ref="RWI25:RWK25"/>
    <mergeCell ref="RZX25:RZZ25"/>
    <mergeCell ref="SAA25:SAC25"/>
    <mergeCell ref="SAD25:SAF25"/>
    <mergeCell ref="SAG25:SAI25"/>
    <mergeCell ref="SAJ25:SAL25"/>
    <mergeCell ref="RZI25:RZK25"/>
    <mergeCell ref="RZL25:RZN25"/>
    <mergeCell ref="RZO25:RZQ25"/>
    <mergeCell ref="RZR25:RZT25"/>
    <mergeCell ref="RZU25:RZW25"/>
    <mergeCell ref="RYT25:RYV25"/>
    <mergeCell ref="RYW25:RYY25"/>
    <mergeCell ref="RYZ25:RZB25"/>
    <mergeCell ref="RZC25:RZE25"/>
    <mergeCell ref="RZF25:RZH25"/>
    <mergeCell ref="RYE25:RYG25"/>
    <mergeCell ref="RYH25:RYJ25"/>
    <mergeCell ref="RYK25:RYM25"/>
    <mergeCell ref="RYN25:RYP25"/>
    <mergeCell ref="RYQ25:RYS25"/>
    <mergeCell ref="SCF25:SCH25"/>
    <mergeCell ref="SCI25:SCK25"/>
    <mergeCell ref="SCL25:SCN25"/>
    <mergeCell ref="SCO25:SCQ25"/>
    <mergeCell ref="SCR25:SCT25"/>
    <mergeCell ref="SBQ25:SBS25"/>
    <mergeCell ref="SBT25:SBV25"/>
    <mergeCell ref="SBW25:SBY25"/>
    <mergeCell ref="SBZ25:SCB25"/>
    <mergeCell ref="SCC25:SCE25"/>
    <mergeCell ref="SBB25:SBD25"/>
    <mergeCell ref="SBE25:SBG25"/>
    <mergeCell ref="SBH25:SBJ25"/>
    <mergeCell ref="SBK25:SBM25"/>
    <mergeCell ref="SBN25:SBP25"/>
    <mergeCell ref="SAM25:SAO25"/>
    <mergeCell ref="SAP25:SAR25"/>
    <mergeCell ref="SAS25:SAU25"/>
    <mergeCell ref="SAV25:SAX25"/>
    <mergeCell ref="SAY25:SBA25"/>
    <mergeCell ref="SEN25:SEP25"/>
    <mergeCell ref="SEQ25:SES25"/>
    <mergeCell ref="SET25:SEV25"/>
    <mergeCell ref="SEW25:SEY25"/>
    <mergeCell ref="SEZ25:SFB25"/>
    <mergeCell ref="SDY25:SEA25"/>
    <mergeCell ref="SEB25:SED25"/>
    <mergeCell ref="SEE25:SEG25"/>
    <mergeCell ref="SEH25:SEJ25"/>
    <mergeCell ref="SEK25:SEM25"/>
    <mergeCell ref="SDJ25:SDL25"/>
    <mergeCell ref="SDM25:SDO25"/>
    <mergeCell ref="SDP25:SDR25"/>
    <mergeCell ref="SDS25:SDU25"/>
    <mergeCell ref="SDV25:SDX25"/>
    <mergeCell ref="SCU25:SCW25"/>
    <mergeCell ref="SCX25:SCZ25"/>
    <mergeCell ref="SDA25:SDC25"/>
    <mergeCell ref="SDD25:SDF25"/>
    <mergeCell ref="SDG25:SDI25"/>
    <mergeCell ref="SGV25:SGX25"/>
    <mergeCell ref="SGY25:SHA25"/>
    <mergeCell ref="SHB25:SHD25"/>
    <mergeCell ref="SHE25:SHG25"/>
    <mergeCell ref="SHH25:SHJ25"/>
    <mergeCell ref="SGG25:SGI25"/>
    <mergeCell ref="SGJ25:SGL25"/>
    <mergeCell ref="SGM25:SGO25"/>
    <mergeCell ref="SGP25:SGR25"/>
    <mergeCell ref="SGS25:SGU25"/>
    <mergeCell ref="SFR25:SFT25"/>
    <mergeCell ref="SFU25:SFW25"/>
    <mergeCell ref="SFX25:SFZ25"/>
    <mergeCell ref="SGA25:SGC25"/>
    <mergeCell ref="SGD25:SGF25"/>
    <mergeCell ref="SFC25:SFE25"/>
    <mergeCell ref="SFF25:SFH25"/>
    <mergeCell ref="SFI25:SFK25"/>
    <mergeCell ref="SFL25:SFN25"/>
    <mergeCell ref="SFO25:SFQ25"/>
    <mergeCell ref="SJD25:SJF25"/>
    <mergeCell ref="SJG25:SJI25"/>
    <mergeCell ref="SJJ25:SJL25"/>
    <mergeCell ref="SJM25:SJO25"/>
    <mergeCell ref="SJP25:SJR25"/>
    <mergeCell ref="SIO25:SIQ25"/>
    <mergeCell ref="SIR25:SIT25"/>
    <mergeCell ref="SIU25:SIW25"/>
    <mergeCell ref="SIX25:SIZ25"/>
    <mergeCell ref="SJA25:SJC25"/>
    <mergeCell ref="SHZ25:SIB25"/>
    <mergeCell ref="SIC25:SIE25"/>
    <mergeCell ref="SIF25:SIH25"/>
    <mergeCell ref="SII25:SIK25"/>
    <mergeCell ref="SIL25:SIN25"/>
    <mergeCell ref="SHK25:SHM25"/>
    <mergeCell ref="SHN25:SHP25"/>
    <mergeCell ref="SHQ25:SHS25"/>
    <mergeCell ref="SHT25:SHV25"/>
    <mergeCell ref="SHW25:SHY25"/>
    <mergeCell ref="SLL25:SLN25"/>
    <mergeCell ref="SLO25:SLQ25"/>
    <mergeCell ref="SLR25:SLT25"/>
    <mergeCell ref="SLU25:SLW25"/>
    <mergeCell ref="SLX25:SLZ25"/>
    <mergeCell ref="SKW25:SKY25"/>
    <mergeCell ref="SKZ25:SLB25"/>
    <mergeCell ref="SLC25:SLE25"/>
    <mergeCell ref="SLF25:SLH25"/>
    <mergeCell ref="SLI25:SLK25"/>
    <mergeCell ref="SKH25:SKJ25"/>
    <mergeCell ref="SKK25:SKM25"/>
    <mergeCell ref="SKN25:SKP25"/>
    <mergeCell ref="SKQ25:SKS25"/>
    <mergeCell ref="SKT25:SKV25"/>
    <mergeCell ref="SJS25:SJU25"/>
    <mergeCell ref="SJV25:SJX25"/>
    <mergeCell ref="SJY25:SKA25"/>
    <mergeCell ref="SKB25:SKD25"/>
    <mergeCell ref="SKE25:SKG25"/>
    <mergeCell ref="SNT25:SNV25"/>
    <mergeCell ref="SNW25:SNY25"/>
    <mergeCell ref="SNZ25:SOB25"/>
    <mergeCell ref="SOC25:SOE25"/>
    <mergeCell ref="SOF25:SOH25"/>
    <mergeCell ref="SNE25:SNG25"/>
    <mergeCell ref="SNH25:SNJ25"/>
    <mergeCell ref="SNK25:SNM25"/>
    <mergeCell ref="SNN25:SNP25"/>
    <mergeCell ref="SNQ25:SNS25"/>
    <mergeCell ref="SMP25:SMR25"/>
    <mergeCell ref="SMS25:SMU25"/>
    <mergeCell ref="SMV25:SMX25"/>
    <mergeCell ref="SMY25:SNA25"/>
    <mergeCell ref="SNB25:SND25"/>
    <mergeCell ref="SMA25:SMC25"/>
    <mergeCell ref="SMD25:SMF25"/>
    <mergeCell ref="SMG25:SMI25"/>
    <mergeCell ref="SMJ25:SML25"/>
    <mergeCell ref="SMM25:SMO25"/>
    <mergeCell ref="SQB25:SQD25"/>
    <mergeCell ref="SQE25:SQG25"/>
    <mergeCell ref="SQH25:SQJ25"/>
    <mergeCell ref="SQK25:SQM25"/>
    <mergeCell ref="SQN25:SQP25"/>
    <mergeCell ref="SPM25:SPO25"/>
    <mergeCell ref="SPP25:SPR25"/>
    <mergeCell ref="SPS25:SPU25"/>
    <mergeCell ref="SPV25:SPX25"/>
    <mergeCell ref="SPY25:SQA25"/>
    <mergeCell ref="SOX25:SOZ25"/>
    <mergeCell ref="SPA25:SPC25"/>
    <mergeCell ref="SPD25:SPF25"/>
    <mergeCell ref="SPG25:SPI25"/>
    <mergeCell ref="SPJ25:SPL25"/>
    <mergeCell ref="SOI25:SOK25"/>
    <mergeCell ref="SOL25:SON25"/>
    <mergeCell ref="SOO25:SOQ25"/>
    <mergeCell ref="SOR25:SOT25"/>
    <mergeCell ref="SOU25:SOW25"/>
    <mergeCell ref="SSJ25:SSL25"/>
    <mergeCell ref="SSM25:SSO25"/>
    <mergeCell ref="SSP25:SSR25"/>
    <mergeCell ref="SSS25:SSU25"/>
    <mergeCell ref="SSV25:SSX25"/>
    <mergeCell ref="SRU25:SRW25"/>
    <mergeCell ref="SRX25:SRZ25"/>
    <mergeCell ref="SSA25:SSC25"/>
    <mergeCell ref="SSD25:SSF25"/>
    <mergeCell ref="SSG25:SSI25"/>
    <mergeCell ref="SRF25:SRH25"/>
    <mergeCell ref="SRI25:SRK25"/>
    <mergeCell ref="SRL25:SRN25"/>
    <mergeCell ref="SRO25:SRQ25"/>
    <mergeCell ref="SRR25:SRT25"/>
    <mergeCell ref="SQQ25:SQS25"/>
    <mergeCell ref="SQT25:SQV25"/>
    <mergeCell ref="SQW25:SQY25"/>
    <mergeCell ref="SQZ25:SRB25"/>
    <mergeCell ref="SRC25:SRE25"/>
    <mergeCell ref="SUR25:SUT25"/>
    <mergeCell ref="SUU25:SUW25"/>
    <mergeCell ref="SUX25:SUZ25"/>
    <mergeCell ref="SVA25:SVC25"/>
    <mergeCell ref="SVD25:SVF25"/>
    <mergeCell ref="SUC25:SUE25"/>
    <mergeCell ref="SUF25:SUH25"/>
    <mergeCell ref="SUI25:SUK25"/>
    <mergeCell ref="SUL25:SUN25"/>
    <mergeCell ref="SUO25:SUQ25"/>
    <mergeCell ref="STN25:STP25"/>
    <mergeCell ref="STQ25:STS25"/>
    <mergeCell ref="STT25:STV25"/>
    <mergeCell ref="STW25:STY25"/>
    <mergeCell ref="STZ25:SUB25"/>
    <mergeCell ref="SSY25:STA25"/>
    <mergeCell ref="STB25:STD25"/>
    <mergeCell ref="STE25:STG25"/>
    <mergeCell ref="STH25:STJ25"/>
    <mergeCell ref="STK25:STM25"/>
    <mergeCell ref="SWZ25:SXB25"/>
    <mergeCell ref="SXC25:SXE25"/>
    <mergeCell ref="SXF25:SXH25"/>
    <mergeCell ref="SXI25:SXK25"/>
    <mergeCell ref="SXL25:SXN25"/>
    <mergeCell ref="SWK25:SWM25"/>
    <mergeCell ref="SWN25:SWP25"/>
    <mergeCell ref="SWQ25:SWS25"/>
    <mergeCell ref="SWT25:SWV25"/>
    <mergeCell ref="SWW25:SWY25"/>
    <mergeCell ref="SVV25:SVX25"/>
    <mergeCell ref="SVY25:SWA25"/>
    <mergeCell ref="SWB25:SWD25"/>
    <mergeCell ref="SWE25:SWG25"/>
    <mergeCell ref="SWH25:SWJ25"/>
    <mergeCell ref="SVG25:SVI25"/>
    <mergeCell ref="SVJ25:SVL25"/>
    <mergeCell ref="SVM25:SVO25"/>
    <mergeCell ref="SVP25:SVR25"/>
    <mergeCell ref="SVS25:SVU25"/>
    <mergeCell ref="SZH25:SZJ25"/>
    <mergeCell ref="SZK25:SZM25"/>
    <mergeCell ref="SZN25:SZP25"/>
    <mergeCell ref="SZQ25:SZS25"/>
    <mergeCell ref="SZT25:SZV25"/>
    <mergeCell ref="SYS25:SYU25"/>
    <mergeCell ref="SYV25:SYX25"/>
    <mergeCell ref="SYY25:SZA25"/>
    <mergeCell ref="SZB25:SZD25"/>
    <mergeCell ref="SZE25:SZG25"/>
    <mergeCell ref="SYD25:SYF25"/>
    <mergeCell ref="SYG25:SYI25"/>
    <mergeCell ref="SYJ25:SYL25"/>
    <mergeCell ref="SYM25:SYO25"/>
    <mergeCell ref="SYP25:SYR25"/>
    <mergeCell ref="SXO25:SXQ25"/>
    <mergeCell ref="SXR25:SXT25"/>
    <mergeCell ref="SXU25:SXW25"/>
    <mergeCell ref="SXX25:SXZ25"/>
    <mergeCell ref="SYA25:SYC25"/>
    <mergeCell ref="TBP25:TBR25"/>
    <mergeCell ref="TBS25:TBU25"/>
    <mergeCell ref="TBV25:TBX25"/>
    <mergeCell ref="TBY25:TCA25"/>
    <mergeCell ref="TCB25:TCD25"/>
    <mergeCell ref="TBA25:TBC25"/>
    <mergeCell ref="TBD25:TBF25"/>
    <mergeCell ref="TBG25:TBI25"/>
    <mergeCell ref="TBJ25:TBL25"/>
    <mergeCell ref="TBM25:TBO25"/>
    <mergeCell ref="TAL25:TAN25"/>
    <mergeCell ref="TAO25:TAQ25"/>
    <mergeCell ref="TAR25:TAT25"/>
    <mergeCell ref="TAU25:TAW25"/>
    <mergeCell ref="TAX25:TAZ25"/>
    <mergeCell ref="SZW25:SZY25"/>
    <mergeCell ref="SZZ25:TAB25"/>
    <mergeCell ref="TAC25:TAE25"/>
    <mergeCell ref="TAF25:TAH25"/>
    <mergeCell ref="TAI25:TAK25"/>
    <mergeCell ref="TDX25:TDZ25"/>
    <mergeCell ref="TEA25:TEC25"/>
    <mergeCell ref="TED25:TEF25"/>
    <mergeCell ref="TEG25:TEI25"/>
    <mergeCell ref="TEJ25:TEL25"/>
    <mergeCell ref="TDI25:TDK25"/>
    <mergeCell ref="TDL25:TDN25"/>
    <mergeCell ref="TDO25:TDQ25"/>
    <mergeCell ref="TDR25:TDT25"/>
    <mergeCell ref="TDU25:TDW25"/>
    <mergeCell ref="TCT25:TCV25"/>
    <mergeCell ref="TCW25:TCY25"/>
    <mergeCell ref="TCZ25:TDB25"/>
    <mergeCell ref="TDC25:TDE25"/>
    <mergeCell ref="TDF25:TDH25"/>
    <mergeCell ref="TCE25:TCG25"/>
    <mergeCell ref="TCH25:TCJ25"/>
    <mergeCell ref="TCK25:TCM25"/>
    <mergeCell ref="TCN25:TCP25"/>
    <mergeCell ref="TCQ25:TCS25"/>
    <mergeCell ref="TGF25:TGH25"/>
    <mergeCell ref="TGI25:TGK25"/>
    <mergeCell ref="TGL25:TGN25"/>
    <mergeCell ref="TGO25:TGQ25"/>
    <mergeCell ref="TGR25:TGT25"/>
    <mergeCell ref="TFQ25:TFS25"/>
    <mergeCell ref="TFT25:TFV25"/>
    <mergeCell ref="TFW25:TFY25"/>
    <mergeCell ref="TFZ25:TGB25"/>
    <mergeCell ref="TGC25:TGE25"/>
    <mergeCell ref="TFB25:TFD25"/>
    <mergeCell ref="TFE25:TFG25"/>
    <mergeCell ref="TFH25:TFJ25"/>
    <mergeCell ref="TFK25:TFM25"/>
    <mergeCell ref="TFN25:TFP25"/>
    <mergeCell ref="TEM25:TEO25"/>
    <mergeCell ref="TEP25:TER25"/>
    <mergeCell ref="TES25:TEU25"/>
    <mergeCell ref="TEV25:TEX25"/>
    <mergeCell ref="TEY25:TFA25"/>
    <mergeCell ref="TIN25:TIP25"/>
    <mergeCell ref="TIQ25:TIS25"/>
    <mergeCell ref="TIT25:TIV25"/>
    <mergeCell ref="TIW25:TIY25"/>
    <mergeCell ref="TIZ25:TJB25"/>
    <mergeCell ref="THY25:TIA25"/>
    <mergeCell ref="TIB25:TID25"/>
    <mergeCell ref="TIE25:TIG25"/>
    <mergeCell ref="TIH25:TIJ25"/>
    <mergeCell ref="TIK25:TIM25"/>
    <mergeCell ref="THJ25:THL25"/>
    <mergeCell ref="THM25:THO25"/>
    <mergeCell ref="THP25:THR25"/>
    <mergeCell ref="THS25:THU25"/>
    <mergeCell ref="THV25:THX25"/>
    <mergeCell ref="TGU25:TGW25"/>
    <mergeCell ref="TGX25:TGZ25"/>
    <mergeCell ref="THA25:THC25"/>
    <mergeCell ref="THD25:THF25"/>
    <mergeCell ref="THG25:THI25"/>
    <mergeCell ref="TKV25:TKX25"/>
    <mergeCell ref="TKY25:TLA25"/>
    <mergeCell ref="TLB25:TLD25"/>
    <mergeCell ref="TLE25:TLG25"/>
    <mergeCell ref="TLH25:TLJ25"/>
    <mergeCell ref="TKG25:TKI25"/>
    <mergeCell ref="TKJ25:TKL25"/>
    <mergeCell ref="TKM25:TKO25"/>
    <mergeCell ref="TKP25:TKR25"/>
    <mergeCell ref="TKS25:TKU25"/>
    <mergeCell ref="TJR25:TJT25"/>
    <mergeCell ref="TJU25:TJW25"/>
    <mergeCell ref="TJX25:TJZ25"/>
    <mergeCell ref="TKA25:TKC25"/>
    <mergeCell ref="TKD25:TKF25"/>
    <mergeCell ref="TJC25:TJE25"/>
    <mergeCell ref="TJF25:TJH25"/>
    <mergeCell ref="TJI25:TJK25"/>
    <mergeCell ref="TJL25:TJN25"/>
    <mergeCell ref="TJO25:TJQ25"/>
    <mergeCell ref="TND25:TNF25"/>
    <mergeCell ref="TNG25:TNI25"/>
    <mergeCell ref="TNJ25:TNL25"/>
    <mergeCell ref="TNM25:TNO25"/>
    <mergeCell ref="TNP25:TNR25"/>
    <mergeCell ref="TMO25:TMQ25"/>
    <mergeCell ref="TMR25:TMT25"/>
    <mergeCell ref="TMU25:TMW25"/>
    <mergeCell ref="TMX25:TMZ25"/>
    <mergeCell ref="TNA25:TNC25"/>
    <mergeCell ref="TLZ25:TMB25"/>
    <mergeCell ref="TMC25:TME25"/>
    <mergeCell ref="TMF25:TMH25"/>
    <mergeCell ref="TMI25:TMK25"/>
    <mergeCell ref="TML25:TMN25"/>
    <mergeCell ref="TLK25:TLM25"/>
    <mergeCell ref="TLN25:TLP25"/>
    <mergeCell ref="TLQ25:TLS25"/>
    <mergeCell ref="TLT25:TLV25"/>
    <mergeCell ref="TLW25:TLY25"/>
    <mergeCell ref="TPL25:TPN25"/>
    <mergeCell ref="TPO25:TPQ25"/>
    <mergeCell ref="TPR25:TPT25"/>
    <mergeCell ref="TPU25:TPW25"/>
    <mergeCell ref="TPX25:TPZ25"/>
    <mergeCell ref="TOW25:TOY25"/>
    <mergeCell ref="TOZ25:TPB25"/>
    <mergeCell ref="TPC25:TPE25"/>
    <mergeCell ref="TPF25:TPH25"/>
    <mergeCell ref="TPI25:TPK25"/>
    <mergeCell ref="TOH25:TOJ25"/>
    <mergeCell ref="TOK25:TOM25"/>
    <mergeCell ref="TON25:TOP25"/>
    <mergeCell ref="TOQ25:TOS25"/>
    <mergeCell ref="TOT25:TOV25"/>
    <mergeCell ref="TNS25:TNU25"/>
    <mergeCell ref="TNV25:TNX25"/>
    <mergeCell ref="TNY25:TOA25"/>
    <mergeCell ref="TOB25:TOD25"/>
    <mergeCell ref="TOE25:TOG25"/>
    <mergeCell ref="TRT25:TRV25"/>
    <mergeCell ref="TRW25:TRY25"/>
    <mergeCell ref="TRZ25:TSB25"/>
    <mergeCell ref="TSC25:TSE25"/>
    <mergeCell ref="TSF25:TSH25"/>
    <mergeCell ref="TRE25:TRG25"/>
    <mergeCell ref="TRH25:TRJ25"/>
    <mergeCell ref="TRK25:TRM25"/>
    <mergeCell ref="TRN25:TRP25"/>
    <mergeCell ref="TRQ25:TRS25"/>
    <mergeCell ref="TQP25:TQR25"/>
    <mergeCell ref="TQS25:TQU25"/>
    <mergeCell ref="TQV25:TQX25"/>
    <mergeCell ref="TQY25:TRA25"/>
    <mergeCell ref="TRB25:TRD25"/>
    <mergeCell ref="TQA25:TQC25"/>
    <mergeCell ref="TQD25:TQF25"/>
    <mergeCell ref="TQG25:TQI25"/>
    <mergeCell ref="TQJ25:TQL25"/>
    <mergeCell ref="TQM25:TQO25"/>
    <mergeCell ref="TUB25:TUD25"/>
    <mergeCell ref="TUE25:TUG25"/>
    <mergeCell ref="TUH25:TUJ25"/>
    <mergeCell ref="TUK25:TUM25"/>
    <mergeCell ref="TUN25:TUP25"/>
    <mergeCell ref="TTM25:TTO25"/>
    <mergeCell ref="TTP25:TTR25"/>
    <mergeCell ref="TTS25:TTU25"/>
    <mergeCell ref="TTV25:TTX25"/>
    <mergeCell ref="TTY25:TUA25"/>
    <mergeCell ref="TSX25:TSZ25"/>
    <mergeCell ref="TTA25:TTC25"/>
    <mergeCell ref="TTD25:TTF25"/>
    <mergeCell ref="TTG25:TTI25"/>
    <mergeCell ref="TTJ25:TTL25"/>
    <mergeCell ref="TSI25:TSK25"/>
    <mergeCell ref="TSL25:TSN25"/>
    <mergeCell ref="TSO25:TSQ25"/>
    <mergeCell ref="TSR25:TST25"/>
    <mergeCell ref="TSU25:TSW25"/>
    <mergeCell ref="TWJ25:TWL25"/>
    <mergeCell ref="TWM25:TWO25"/>
    <mergeCell ref="TWP25:TWR25"/>
    <mergeCell ref="TWS25:TWU25"/>
    <mergeCell ref="TWV25:TWX25"/>
    <mergeCell ref="TVU25:TVW25"/>
    <mergeCell ref="TVX25:TVZ25"/>
    <mergeCell ref="TWA25:TWC25"/>
    <mergeCell ref="TWD25:TWF25"/>
    <mergeCell ref="TWG25:TWI25"/>
    <mergeCell ref="TVF25:TVH25"/>
    <mergeCell ref="TVI25:TVK25"/>
    <mergeCell ref="TVL25:TVN25"/>
    <mergeCell ref="TVO25:TVQ25"/>
    <mergeCell ref="TVR25:TVT25"/>
    <mergeCell ref="TUQ25:TUS25"/>
    <mergeCell ref="TUT25:TUV25"/>
    <mergeCell ref="TUW25:TUY25"/>
    <mergeCell ref="TUZ25:TVB25"/>
    <mergeCell ref="TVC25:TVE25"/>
    <mergeCell ref="TYR25:TYT25"/>
    <mergeCell ref="TYU25:TYW25"/>
    <mergeCell ref="TYX25:TYZ25"/>
    <mergeCell ref="TZA25:TZC25"/>
    <mergeCell ref="TZD25:TZF25"/>
    <mergeCell ref="TYC25:TYE25"/>
    <mergeCell ref="TYF25:TYH25"/>
    <mergeCell ref="TYI25:TYK25"/>
    <mergeCell ref="TYL25:TYN25"/>
    <mergeCell ref="TYO25:TYQ25"/>
    <mergeCell ref="TXN25:TXP25"/>
    <mergeCell ref="TXQ25:TXS25"/>
    <mergeCell ref="TXT25:TXV25"/>
    <mergeCell ref="TXW25:TXY25"/>
    <mergeCell ref="TXZ25:TYB25"/>
    <mergeCell ref="TWY25:TXA25"/>
    <mergeCell ref="TXB25:TXD25"/>
    <mergeCell ref="TXE25:TXG25"/>
    <mergeCell ref="TXH25:TXJ25"/>
    <mergeCell ref="TXK25:TXM25"/>
    <mergeCell ref="UAZ25:UBB25"/>
    <mergeCell ref="UBC25:UBE25"/>
    <mergeCell ref="UBF25:UBH25"/>
    <mergeCell ref="UBI25:UBK25"/>
    <mergeCell ref="UBL25:UBN25"/>
    <mergeCell ref="UAK25:UAM25"/>
    <mergeCell ref="UAN25:UAP25"/>
    <mergeCell ref="UAQ25:UAS25"/>
    <mergeCell ref="UAT25:UAV25"/>
    <mergeCell ref="UAW25:UAY25"/>
    <mergeCell ref="TZV25:TZX25"/>
    <mergeCell ref="TZY25:UAA25"/>
    <mergeCell ref="UAB25:UAD25"/>
    <mergeCell ref="UAE25:UAG25"/>
    <mergeCell ref="UAH25:UAJ25"/>
    <mergeCell ref="TZG25:TZI25"/>
    <mergeCell ref="TZJ25:TZL25"/>
    <mergeCell ref="TZM25:TZO25"/>
    <mergeCell ref="TZP25:TZR25"/>
    <mergeCell ref="TZS25:TZU25"/>
    <mergeCell ref="UDH25:UDJ25"/>
    <mergeCell ref="UDK25:UDM25"/>
    <mergeCell ref="UDN25:UDP25"/>
    <mergeCell ref="UDQ25:UDS25"/>
    <mergeCell ref="UDT25:UDV25"/>
    <mergeCell ref="UCS25:UCU25"/>
    <mergeCell ref="UCV25:UCX25"/>
    <mergeCell ref="UCY25:UDA25"/>
    <mergeCell ref="UDB25:UDD25"/>
    <mergeCell ref="UDE25:UDG25"/>
    <mergeCell ref="UCD25:UCF25"/>
    <mergeCell ref="UCG25:UCI25"/>
    <mergeCell ref="UCJ25:UCL25"/>
    <mergeCell ref="UCM25:UCO25"/>
    <mergeCell ref="UCP25:UCR25"/>
    <mergeCell ref="UBO25:UBQ25"/>
    <mergeCell ref="UBR25:UBT25"/>
    <mergeCell ref="UBU25:UBW25"/>
    <mergeCell ref="UBX25:UBZ25"/>
    <mergeCell ref="UCA25:UCC25"/>
    <mergeCell ref="UFP25:UFR25"/>
    <mergeCell ref="UFS25:UFU25"/>
    <mergeCell ref="UFV25:UFX25"/>
    <mergeCell ref="UFY25:UGA25"/>
    <mergeCell ref="UGB25:UGD25"/>
    <mergeCell ref="UFA25:UFC25"/>
    <mergeCell ref="UFD25:UFF25"/>
    <mergeCell ref="UFG25:UFI25"/>
    <mergeCell ref="UFJ25:UFL25"/>
    <mergeCell ref="UFM25:UFO25"/>
    <mergeCell ref="UEL25:UEN25"/>
    <mergeCell ref="UEO25:UEQ25"/>
    <mergeCell ref="UER25:UET25"/>
    <mergeCell ref="UEU25:UEW25"/>
    <mergeCell ref="UEX25:UEZ25"/>
    <mergeCell ref="UDW25:UDY25"/>
    <mergeCell ref="UDZ25:UEB25"/>
    <mergeCell ref="UEC25:UEE25"/>
    <mergeCell ref="UEF25:UEH25"/>
    <mergeCell ref="UEI25:UEK25"/>
    <mergeCell ref="UHX25:UHZ25"/>
    <mergeCell ref="UIA25:UIC25"/>
    <mergeCell ref="UID25:UIF25"/>
    <mergeCell ref="UIG25:UII25"/>
    <mergeCell ref="UIJ25:UIL25"/>
    <mergeCell ref="UHI25:UHK25"/>
    <mergeCell ref="UHL25:UHN25"/>
    <mergeCell ref="UHO25:UHQ25"/>
    <mergeCell ref="UHR25:UHT25"/>
    <mergeCell ref="UHU25:UHW25"/>
    <mergeCell ref="UGT25:UGV25"/>
    <mergeCell ref="UGW25:UGY25"/>
    <mergeCell ref="UGZ25:UHB25"/>
    <mergeCell ref="UHC25:UHE25"/>
    <mergeCell ref="UHF25:UHH25"/>
    <mergeCell ref="UGE25:UGG25"/>
    <mergeCell ref="UGH25:UGJ25"/>
    <mergeCell ref="UGK25:UGM25"/>
    <mergeCell ref="UGN25:UGP25"/>
    <mergeCell ref="UGQ25:UGS25"/>
    <mergeCell ref="UKF25:UKH25"/>
    <mergeCell ref="UKI25:UKK25"/>
    <mergeCell ref="UKL25:UKN25"/>
    <mergeCell ref="UKO25:UKQ25"/>
    <mergeCell ref="UKR25:UKT25"/>
    <mergeCell ref="UJQ25:UJS25"/>
    <mergeCell ref="UJT25:UJV25"/>
    <mergeCell ref="UJW25:UJY25"/>
    <mergeCell ref="UJZ25:UKB25"/>
    <mergeCell ref="UKC25:UKE25"/>
    <mergeCell ref="UJB25:UJD25"/>
    <mergeCell ref="UJE25:UJG25"/>
    <mergeCell ref="UJH25:UJJ25"/>
    <mergeCell ref="UJK25:UJM25"/>
    <mergeCell ref="UJN25:UJP25"/>
    <mergeCell ref="UIM25:UIO25"/>
    <mergeCell ref="UIP25:UIR25"/>
    <mergeCell ref="UIS25:UIU25"/>
    <mergeCell ref="UIV25:UIX25"/>
    <mergeCell ref="UIY25:UJA25"/>
    <mergeCell ref="UMN25:UMP25"/>
    <mergeCell ref="UMQ25:UMS25"/>
    <mergeCell ref="UMT25:UMV25"/>
    <mergeCell ref="UMW25:UMY25"/>
    <mergeCell ref="UMZ25:UNB25"/>
    <mergeCell ref="ULY25:UMA25"/>
    <mergeCell ref="UMB25:UMD25"/>
    <mergeCell ref="UME25:UMG25"/>
    <mergeCell ref="UMH25:UMJ25"/>
    <mergeCell ref="UMK25:UMM25"/>
    <mergeCell ref="ULJ25:ULL25"/>
    <mergeCell ref="ULM25:ULO25"/>
    <mergeCell ref="ULP25:ULR25"/>
    <mergeCell ref="ULS25:ULU25"/>
    <mergeCell ref="ULV25:ULX25"/>
    <mergeCell ref="UKU25:UKW25"/>
    <mergeCell ref="UKX25:UKZ25"/>
    <mergeCell ref="ULA25:ULC25"/>
    <mergeCell ref="ULD25:ULF25"/>
    <mergeCell ref="ULG25:ULI25"/>
    <mergeCell ref="UOV25:UOX25"/>
    <mergeCell ref="UOY25:UPA25"/>
    <mergeCell ref="UPB25:UPD25"/>
    <mergeCell ref="UPE25:UPG25"/>
    <mergeCell ref="UPH25:UPJ25"/>
    <mergeCell ref="UOG25:UOI25"/>
    <mergeCell ref="UOJ25:UOL25"/>
    <mergeCell ref="UOM25:UOO25"/>
    <mergeCell ref="UOP25:UOR25"/>
    <mergeCell ref="UOS25:UOU25"/>
    <mergeCell ref="UNR25:UNT25"/>
    <mergeCell ref="UNU25:UNW25"/>
    <mergeCell ref="UNX25:UNZ25"/>
    <mergeCell ref="UOA25:UOC25"/>
    <mergeCell ref="UOD25:UOF25"/>
    <mergeCell ref="UNC25:UNE25"/>
    <mergeCell ref="UNF25:UNH25"/>
    <mergeCell ref="UNI25:UNK25"/>
    <mergeCell ref="UNL25:UNN25"/>
    <mergeCell ref="UNO25:UNQ25"/>
    <mergeCell ref="URD25:URF25"/>
    <mergeCell ref="URG25:URI25"/>
    <mergeCell ref="URJ25:URL25"/>
    <mergeCell ref="URM25:URO25"/>
    <mergeCell ref="URP25:URR25"/>
    <mergeCell ref="UQO25:UQQ25"/>
    <mergeCell ref="UQR25:UQT25"/>
    <mergeCell ref="UQU25:UQW25"/>
    <mergeCell ref="UQX25:UQZ25"/>
    <mergeCell ref="URA25:URC25"/>
    <mergeCell ref="UPZ25:UQB25"/>
    <mergeCell ref="UQC25:UQE25"/>
    <mergeCell ref="UQF25:UQH25"/>
    <mergeCell ref="UQI25:UQK25"/>
    <mergeCell ref="UQL25:UQN25"/>
    <mergeCell ref="UPK25:UPM25"/>
    <mergeCell ref="UPN25:UPP25"/>
    <mergeCell ref="UPQ25:UPS25"/>
    <mergeCell ref="UPT25:UPV25"/>
    <mergeCell ref="UPW25:UPY25"/>
    <mergeCell ref="UTL25:UTN25"/>
    <mergeCell ref="UTO25:UTQ25"/>
    <mergeCell ref="UTR25:UTT25"/>
    <mergeCell ref="UTU25:UTW25"/>
    <mergeCell ref="UTX25:UTZ25"/>
    <mergeCell ref="USW25:USY25"/>
    <mergeCell ref="USZ25:UTB25"/>
    <mergeCell ref="UTC25:UTE25"/>
    <mergeCell ref="UTF25:UTH25"/>
    <mergeCell ref="UTI25:UTK25"/>
    <mergeCell ref="USH25:USJ25"/>
    <mergeCell ref="USK25:USM25"/>
    <mergeCell ref="USN25:USP25"/>
    <mergeCell ref="USQ25:USS25"/>
    <mergeCell ref="UST25:USV25"/>
    <mergeCell ref="URS25:URU25"/>
    <mergeCell ref="URV25:URX25"/>
    <mergeCell ref="URY25:USA25"/>
    <mergeCell ref="USB25:USD25"/>
    <mergeCell ref="USE25:USG25"/>
    <mergeCell ref="UVT25:UVV25"/>
    <mergeCell ref="UVW25:UVY25"/>
    <mergeCell ref="UVZ25:UWB25"/>
    <mergeCell ref="UWC25:UWE25"/>
    <mergeCell ref="UWF25:UWH25"/>
    <mergeCell ref="UVE25:UVG25"/>
    <mergeCell ref="UVH25:UVJ25"/>
    <mergeCell ref="UVK25:UVM25"/>
    <mergeCell ref="UVN25:UVP25"/>
    <mergeCell ref="UVQ25:UVS25"/>
    <mergeCell ref="UUP25:UUR25"/>
    <mergeCell ref="UUS25:UUU25"/>
    <mergeCell ref="UUV25:UUX25"/>
    <mergeCell ref="UUY25:UVA25"/>
    <mergeCell ref="UVB25:UVD25"/>
    <mergeCell ref="UUA25:UUC25"/>
    <mergeCell ref="UUD25:UUF25"/>
    <mergeCell ref="UUG25:UUI25"/>
    <mergeCell ref="UUJ25:UUL25"/>
    <mergeCell ref="UUM25:UUO25"/>
    <mergeCell ref="UYB25:UYD25"/>
    <mergeCell ref="UYE25:UYG25"/>
    <mergeCell ref="UYH25:UYJ25"/>
    <mergeCell ref="UYK25:UYM25"/>
    <mergeCell ref="UYN25:UYP25"/>
    <mergeCell ref="UXM25:UXO25"/>
    <mergeCell ref="UXP25:UXR25"/>
    <mergeCell ref="UXS25:UXU25"/>
    <mergeCell ref="UXV25:UXX25"/>
    <mergeCell ref="UXY25:UYA25"/>
    <mergeCell ref="UWX25:UWZ25"/>
    <mergeCell ref="UXA25:UXC25"/>
    <mergeCell ref="UXD25:UXF25"/>
    <mergeCell ref="UXG25:UXI25"/>
    <mergeCell ref="UXJ25:UXL25"/>
    <mergeCell ref="UWI25:UWK25"/>
    <mergeCell ref="UWL25:UWN25"/>
    <mergeCell ref="UWO25:UWQ25"/>
    <mergeCell ref="UWR25:UWT25"/>
    <mergeCell ref="UWU25:UWW25"/>
    <mergeCell ref="VAJ25:VAL25"/>
    <mergeCell ref="VAM25:VAO25"/>
    <mergeCell ref="VAP25:VAR25"/>
    <mergeCell ref="VAS25:VAU25"/>
    <mergeCell ref="VAV25:VAX25"/>
    <mergeCell ref="UZU25:UZW25"/>
    <mergeCell ref="UZX25:UZZ25"/>
    <mergeCell ref="VAA25:VAC25"/>
    <mergeCell ref="VAD25:VAF25"/>
    <mergeCell ref="VAG25:VAI25"/>
    <mergeCell ref="UZF25:UZH25"/>
    <mergeCell ref="UZI25:UZK25"/>
    <mergeCell ref="UZL25:UZN25"/>
    <mergeCell ref="UZO25:UZQ25"/>
    <mergeCell ref="UZR25:UZT25"/>
    <mergeCell ref="UYQ25:UYS25"/>
    <mergeCell ref="UYT25:UYV25"/>
    <mergeCell ref="UYW25:UYY25"/>
    <mergeCell ref="UYZ25:UZB25"/>
    <mergeCell ref="UZC25:UZE25"/>
    <mergeCell ref="VCR25:VCT25"/>
    <mergeCell ref="VCU25:VCW25"/>
    <mergeCell ref="VCX25:VCZ25"/>
    <mergeCell ref="VDA25:VDC25"/>
    <mergeCell ref="VDD25:VDF25"/>
    <mergeCell ref="VCC25:VCE25"/>
    <mergeCell ref="VCF25:VCH25"/>
    <mergeCell ref="VCI25:VCK25"/>
    <mergeCell ref="VCL25:VCN25"/>
    <mergeCell ref="VCO25:VCQ25"/>
    <mergeCell ref="VBN25:VBP25"/>
    <mergeCell ref="VBQ25:VBS25"/>
    <mergeCell ref="VBT25:VBV25"/>
    <mergeCell ref="VBW25:VBY25"/>
    <mergeCell ref="VBZ25:VCB25"/>
    <mergeCell ref="VAY25:VBA25"/>
    <mergeCell ref="VBB25:VBD25"/>
    <mergeCell ref="VBE25:VBG25"/>
    <mergeCell ref="VBH25:VBJ25"/>
    <mergeCell ref="VBK25:VBM25"/>
    <mergeCell ref="VEZ25:VFB25"/>
    <mergeCell ref="VFC25:VFE25"/>
    <mergeCell ref="VFF25:VFH25"/>
    <mergeCell ref="VFI25:VFK25"/>
    <mergeCell ref="VFL25:VFN25"/>
    <mergeCell ref="VEK25:VEM25"/>
    <mergeCell ref="VEN25:VEP25"/>
    <mergeCell ref="VEQ25:VES25"/>
    <mergeCell ref="VET25:VEV25"/>
    <mergeCell ref="VEW25:VEY25"/>
    <mergeCell ref="VDV25:VDX25"/>
    <mergeCell ref="VDY25:VEA25"/>
    <mergeCell ref="VEB25:VED25"/>
    <mergeCell ref="VEE25:VEG25"/>
    <mergeCell ref="VEH25:VEJ25"/>
    <mergeCell ref="VDG25:VDI25"/>
    <mergeCell ref="VDJ25:VDL25"/>
    <mergeCell ref="VDM25:VDO25"/>
    <mergeCell ref="VDP25:VDR25"/>
    <mergeCell ref="VDS25:VDU25"/>
    <mergeCell ref="VHH25:VHJ25"/>
    <mergeCell ref="VHK25:VHM25"/>
    <mergeCell ref="VHN25:VHP25"/>
    <mergeCell ref="VHQ25:VHS25"/>
    <mergeCell ref="VHT25:VHV25"/>
    <mergeCell ref="VGS25:VGU25"/>
    <mergeCell ref="VGV25:VGX25"/>
    <mergeCell ref="VGY25:VHA25"/>
    <mergeCell ref="VHB25:VHD25"/>
    <mergeCell ref="VHE25:VHG25"/>
    <mergeCell ref="VGD25:VGF25"/>
    <mergeCell ref="VGG25:VGI25"/>
    <mergeCell ref="VGJ25:VGL25"/>
    <mergeCell ref="VGM25:VGO25"/>
    <mergeCell ref="VGP25:VGR25"/>
    <mergeCell ref="VFO25:VFQ25"/>
    <mergeCell ref="VFR25:VFT25"/>
    <mergeCell ref="VFU25:VFW25"/>
    <mergeCell ref="VFX25:VFZ25"/>
    <mergeCell ref="VGA25:VGC25"/>
    <mergeCell ref="VJP25:VJR25"/>
    <mergeCell ref="VJS25:VJU25"/>
    <mergeCell ref="VJV25:VJX25"/>
    <mergeCell ref="VJY25:VKA25"/>
    <mergeCell ref="VKB25:VKD25"/>
    <mergeCell ref="VJA25:VJC25"/>
    <mergeCell ref="VJD25:VJF25"/>
    <mergeCell ref="VJG25:VJI25"/>
    <mergeCell ref="VJJ25:VJL25"/>
    <mergeCell ref="VJM25:VJO25"/>
    <mergeCell ref="VIL25:VIN25"/>
    <mergeCell ref="VIO25:VIQ25"/>
    <mergeCell ref="VIR25:VIT25"/>
    <mergeCell ref="VIU25:VIW25"/>
    <mergeCell ref="VIX25:VIZ25"/>
    <mergeCell ref="VHW25:VHY25"/>
    <mergeCell ref="VHZ25:VIB25"/>
    <mergeCell ref="VIC25:VIE25"/>
    <mergeCell ref="VIF25:VIH25"/>
    <mergeCell ref="VII25:VIK25"/>
    <mergeCell ref="VLX25:VLZ25"/>
    <mergeCell ref="VMA25:VMC25"/>
    <mergeCell ref="VMD25:VMF25"/>
    <mergeCell ref="VMG25:VMI25"/>
    <mergeCell ref="VMJ25:VML25"/>
    <mergeCell ref="VLI25:VLK25"/>
    <mergeCell ref="VLL25:VLN25"/>
    <mergeCell ref="VLO25:VLQ25"/>
    <mergeCell ref="VLR25:VLT25"/>
    <mergeCell ref="VLU25:VLW25"/>
    <mergeCell ref="VKT25:VKV25"/>
    <mergeCell ref="VKW25:VKY25"/>
    <mergeCell ref="VKZ25:VLB25"/>
    <mergeCell ref="VLC25:VLE25"/>
    <mergeCell ref="VLF25:VLH25"/>
    <mergeCell ref="VKE25:VKG25"/>
    <mergeCell ref="VKH25:VKJ25"/>
    <mergeCell ref="VKK25:VKM25"/>
    <mergeCell ref="VKN25:VKP25"/>
    <mergeCell ref="VKQ25:VKS25"/>
    <mergeCell ref="VOF25:VOH25"/>
    <mergeCell ref="VOI25:VOK25"/>
    <mergeCell ref="VOL25:VON25"/>
    <mergeCell ref="VOO25:VOQ25"/>
    <mergeCell ref="VOR25:VOT25"/>
    <mergeCell ref="VNQ25:VNS25"/>
    <mergeCell ref="VNT25:VNV25"/>
    <mergeCell ref="VNW25:VNY25"/>
    <mergeCell ref="VNZ25:VOB25"/>
    <mergeCell ref="VOC25:VOE25"/>
    <mergeCell ref="VNB25:VND25"/>
    <mergeCell ref="VNE25:VNG25"/>
    <mergeCell ref="VNH25:VNJ25"/>
    <mergeCell ref="VNK25:VNM25"/>
    <mergeCell ref="VNN25:VNP25"/>
    <mergeCell ref="VMM25:VMO25"/>
    <mergeCell ref="VMP25:VMR25"/>
    <mergeCell ref="VMS25:VMU25"/>
    <mergeCell ref="VMV25:VMX25"/>
    <mergeCell ref="VMY25:VNA25"/>
    <mergeCell ref="VQN25:VQP25"/>
    <mergeCell ref="VQQ25:VQS25"/>
    <mergeCell ref="VQT25:VQV25"/>
    <mergeCell ref="VQW25:VQY25"/>
    <mergeCell ref="VQZ25:VRB25"/>
    <mergeCell ref="VPY25:VQA25"/>
    <mergeCell ref="VQB25:VQD25"/>
    <mergeCell ref="VQE25:VQG25"/>
    <mergeCell ref="VQH25:VQJ25"/>
    <mergeCell ref="VQK25:VQM25"/>
    <mergeCell ref="VPJ25:VPL25"/>
    <mergeCell ref="VPM25:VPO25"/>
    <mergeCell ref="VPP25:VPR25"/>
    <mergeCell ref="VPS25:VPU25"/>
    <mergeCell ref="VPV25:VPX25"/>
    <mergeCell ref="VOU25:VOW25"/>
    <mergeCell ref="VOX25:VOZ25"/>
    <mergeCell ref="VPA25:VPC25"/>
    <mergeCell ref="VPD25:VPF25"/>
    <mergeCell ref="VPG25:VPI25"/>
    <mergeCell ref="VSV25:VSX25"/>
    <mergeCell ref="VSY25:VTA25"/>
    <mergeCell ref="VTB25:VTD25"/>
    <mergeCell ref="VTE25:VTG25"/>
    <mergeCell ref="VTH25:VTJ25"/>
    <mergeCell ref="VSG25:VSI25"/>
    <mergeCell ref="VSJ25:VSL25"/>
    <mergeCell ref="VSM25:VSO25"/>
    <mergeCell ref="VSP25:VSR25"/>
    <mergeCell ref="VSS25:VSU25"/>
    <mergeCell ref="VRR25:VRT25"/>
    <mergeCell ref="VRU25:VRW25"/>
    <mergeCell ref="VRX25:VRZ25"/>
    <mergeCell ref="VSA25:VSC25"/>
    <mergeCell ref="VSD25:VSF25"/>
    <mergeCell ref="VRC25:VRE25"/>
    <mergeCell ref="VRF25:VRH25"/>
    <mergeCell ref="VRI25:VRK25"/>
    <mergeCell ref="VRL25:VRN25"/>
    <mergeCell ref="VRO25:VRQ25"/>
    <mergeCell ref="VVD25:VVF25"/>
    <mergeCell ref="VVG25:VVI25"/>
    <mergeCell ref="VVJ25:VVL25"/>
    <mergeCell ref="VVM25:VVO25"/>
    <mergeCell ref="VVP25:VVR25"/>
    <mergeCell ref="VUO25:VUQ25"/>
    <mergeCell ref="VUR25:VUT25"/>
    <mergeCell ref="VUU25:VUW25"/>
    <mergeCell ref="VUX25:VUZ25"/>
    <mergeCell ref="VVA25:VVC25"/>
    <mergeCell ref="VTZ25:VUB25"/>
    <mergeCell ref="VUC25:VUE25"/>
    <mergeCell ref="VUF25:VUH25"/>
    <mergeCell ref="VUI25:VUK25"/>
    <mergeCell ref="VUL25:VUN25"/>
    <mergeCell ref="VTK25:VTM25"/>
    <mergeCell ref="VTN25:VTP25"/>
    <mergeCell ref="VTQ25:VTS25"/>
    <mergeCell ref="VTT25:VTV25"/>
    <mergeCell ref="VTW25:VTY25"/>
    <mergeCell ref="VXL25:VXN25"/>
    <mergeCell ref="VXO25:VXQ25"/>
    <mergeCell ref="VXR25:VXT25"/>
    <mergeCell ref="VXU25:VXW25"/>
    <mergeCell ref="VXX25:VXZ25"/>
    <mergeCell ref="VWW25:VWY25"/>
    <mergeCell ref="VWZ25:VXB25"/>
    <mergeCell ref="VXC25:VXE25"/>
    <mergeCell ref="VXF25:VXH25"/>
    <mergeCell ref="VXI25:VXK25"/>
    <mergeCell ref="VWH25:VWJ25"/>
    <mergeCell ref="VWK25:VWM25"/>
    <mergeCell ref="VWN25:VWP25"/>
    <mergeCell ref="VWQ25:VWS25"/>
    <mergeCell ref="VWT25:VWV25"/>
    <mergeCell ref="VVS25:VVU25"/>
    <mergeCell ref="VVV25:VVX25"/>
    <mergeCell ref="VVY25:VWA25"/>
    <mergeCell ref="VWB25:VWD25"/>
    <mergeCell ref="VWE25:VWG25"/>
    <mergeCell ref="VZT25:VZV25"/>
    <mergeCell ref="VZW25:VZY25"/>
    <mergeCell ref="VZZ25:WAB25"/>
    <mergeCell ref="WAC25:WAE25"/>
    <mergeCell ref="WAF25:WAH25"/>
    <mergeCell ref="VZE25:VZG25"/>
    <mergeCell ref="VZH25:VZJ25"/>
    <mergeCell ref="VZK25:VZM25"/>
    <mergeCell ref="VZN25:VZP25"/>
    <mergeCell ref="VZQ25:VZS25"/>
    <mergeCell ref="VYP25:VYR25"/>
    <mergeCell ref="VYS25:VYU25"/>
    <mergeCell ref="VYV25:VYX25"/>
    <mergeCell ref="VYY25:VZA25"/>
    <mergeCell ref="VZB25:VZD25"/>
    <mergeCell ref="VYA25:VYC25"/>
    <mergeCell ref="VYD25:VYF25"/>
    <mergeCell ref="VYG25:VYI25"/>
    <mergeCell ref="VYJ25:VYL25"/>
    <mergeCell ref="VYM25:VYO25"/>
    <mergeCell ref="WCB25:WCD25"/>
    <mergeCell ref="WCE25:WCG25"/>
    <mergeCell ref="WCH25:WCJ25"/>
    <mergeCell ref="WCK25:WCM25"/>
    <mergeCell ref="WCN25:WCP25"/>
    <mergeCell ref="WBM25:WBO25"/>
    <mergeCell ref="WBP25:WBR25"/>
    <mergeCell ref="WBS25:WBU25"/>
    <mergeCell ref="WBV25:WBX25"/>
    <mergeCell ref="WBY25:WCA25"/>
    <mergeCell ref="WAX25:WAZ25"/>
    <mergeCell ref="WBA25:WBC25"/>
    <mergeCell ref="WBD25:WBF25"/>
    <mergeCell ref="WBG25:WBI25"/>
    <mergeCell ref="WBJ25:WBL25"/>
    <mergeCell ref="WAI25:WAK25"/>
    <mergeCell ref="WAL25:WAN25"/>
    <mergeCell ref="WAO25:WAQ25"/>
    <mergeCell ref="WAR25:WAT25"/>
    <mergeCell ref="WAU25:WAW25"/>
    <mergeCell ref="WEJ25:WEL25"/>
    <mergeCell ref="WEM25:WEO25"/>
    <mergeCell ref="WEP25:WER25"/>
    <mergeCell ref="WES25:WEU25"/>
    <mergeCell ref="WEV25:WEX25"/>
    <mergeCell ref="WDU25:WDW25"/>
    <mergeCell ref="WDX25:WDZ25"/>
    <mergeCell ref="WEA25:WEC25"/>
    <mergeCell ref="WED25:WEF25"/>
    <mergeCell ref="WEG25:WEI25"/>
    <mergeCell ref="WDF25:WDH25"/>
    <mergeCell ref="WDI25:WDK25"/>
    <mergeCell ref="WDL25:WDN25"/>
    <mergeCell ref="WDO25:WDQ25"/>
    <mergeCell ref="WDR25:WDT25"/>
    <mergeCell ref="WCQ25:WCS25"/>
    <mergeCell ref="WCT25:WCV25"/>
    <mergeCell ref="WCW25:WCY25"/>
    <mergeCell ref="WCZ25:WDB25"/>
    <mergeCell ref="WDC25:WDE25"/>
    <mergeCell ref="WGR25:WGT25"/>
    <mergeCell ref="WGU25:WGW25"/>
    <mergeCell ref="WGX25:WGZ25"/>
    <mergeCell ref="WHA25:WHC25"/>
    <mergeCell ref="WHD25:WHF25"/>
    <mergeCell ref="WGC25:WGE25"/>
    <mergeCell ref="WGF25:WGH25"/>
    <mergeCell ref="WGI25:WGK25"/>
    <mergeCell ref="WGL25:WGN25"/>
    <mergeCell ref="WGO25:WGQ25"/>
    <mergeCell ref="WFN25:WFP25"/>
    <mergeCell ref="WFQ25:WFS25"/>
    <mergeCell ref="WFT25:WFV25"/>
    <mergeCell ref="WFW25:WFY25"/>
    <mergeCell ref="WFZ25:WGB25"/>
    <mergeCell ref="WEY25:WFA25"/>
    <mergeCell ref="WFB25:WFD25"/>
    <mergeCell ref="WFE25:WFG25"/>
    <mergeCell ref="WFH25:WFJ25"/>
    <mergeCell ref="WFK25:WFM25"/>
    <mergeCell ref="WIZ25:WJB25"/>
    <mergeCell ref="WJC25:WJE25"/>
    <mergeCell ref="WJF25:WJH25"/>
    <mergeCell ref="WJI25:WJK25"/>
    <mergeCell ref="WJL25:WJN25"/>
    <mergeCell ref="WIK25:WIM25"/>
    <mergeCell ref="WIN25:WIP25"/>
    <mergeCell ref="WIQ25:WIS25"/>
    <mergeCell ref="WIT25:WIV25"/>
    <mergeCell ref="WIW25:WIY25"/>
    <mergeCell ref="WHV25:WHX25"/>
    <mergeCell ref="WHY25:WIA25"/>
    <mergeCell ref="WIB25:WID25"/>
    <mergeCell ref="WIE25:WIG25"/>
    <mergeCell ref="WIH25:WIJ25"/>
    <mergeCell ref="WHG25:WHI25"/>
    <mergeCell ref="WHJ25:WHL25"/>
    <mergeCell ref="WHM25:WHO25"/>
    <mergeCell ref="WHP25:WHR25"/>
    <mergeCell ref="WHS25:WHU25"/>
    <mergeCell ref="WLH25:WLJ25"/>
    <mergeCell ref="WLK25:WLM25"/>
    <mergeCell ref="WLN25:WLP25"/>
    <mergeCell ref="WLQ25:WLS25"/>
    <mergeCell ref="WLT25:WLV25"/>
    <mergeCell ref="WKS25:WKU25"/>
    <mergeCell ref="WKV25:WKX25"/>
    <mergeCell ref="WKY25:WLA25"/>
    <mergeCell ref="WLB25:WLD25"/>
    <mergeCell ref="WLE25:WLG25"/>
    <mergeCell ref="WKD25:WKF25"/>
    <mergeCell ref="WKG25:WKI25"/>
    <mergeCell ref="WKJ25:WKL25"/>
    <mergeCell ref="WKM25:WKO25"/>
    <mergeCell ref="WKP25:WKR25"/>
    <mergeCell ref="WJO25:WJQ25"/>
    <mergeCell ref="WJR25:WJT25"/>
    <mergeCell ref="WJU25:WJW25"/>
    <mergeCell ref="WJX25:WJZ25"/>
    <mergeCell ref="WKA25:WKC25"/>
    <mergeCell ref="WNP25:WNR25"/>
    <mergeCell ref="WNS25:WNU25"/>
    <mergeCell ref="WNV25:WNX25"/>
    <mergeCell ref="WNY25:WOA25"/>
    <mergeCell ref="WOB25:WOD25"/>
    <mergeCell ref="WNA25:WNC25"/>
    <mergeCell ref="WND25:WNF25"/>
    <mergeCell ref="WNG25:WNI25"/>
    <mergeCell ref="WNJ25:WNL25"/>
    <mergeCell ref="WNM25:WNO25"/>
    <mergeCell ref="WML25:WMN25"/>
    <mergeCell ref="WMO25:WMQ25"/>
    <mergeCell ref="WMR25:WMT25"/>
    <mergeCell ref="WMU25:WMW25"/>
    <mergeCell ref="WMX25:WMZ25"/>
    <mergeCell ref="WLW25:WLY25"/>
    <mergeCell ref="WLZ25:WMB25"/>
    <mergeCell ref="WMC25:WME25"/>
    <mergeCell ref="WMF25:WMH25"/>
    <mergeCell ref="WMI25:WMK25"/>
    <mergeCell ref="WPX25:WPZ25"/>
    <mergeCell ref="WQA25:WQC25"/>
    <mergeCell ref="WQD25:WQF25"/>
    <mergeCell ref="WQG25:WQI25"/>
    <mergeCell ref="WQJ25:WQL25"/>
    <mergeCell ref="WPI25:WPK25"/>
    <mergeCell ref="WPL25:WPN25"/>
    <mergeCell ref="WPO25:WPQ25"/>
    <mergeCell ref="WPR25:WPT25"/>
    <mergeCell ref="WPU25:WPW25"/>
    <mergeCell ref="WOT25:WOV25"/>
    <mergeCell ref="WOW25:WOY25"/>
    <mergeCell ref="WOZ25:WPB25"/>
    <mergeCell ref="WPC25:WPE25"/>
    <mergeCell ref="WPF25:WPH25"/>
    <mergeCell ref="WOE25:WOG25"/>
    <mergeCell ref="WOH25:WOJ25"/>
    <mergeCell ref="WOK25:WOM25"/>
    <mergeCell ref="WON25:WOP25"/>
    <mergeCell ref="WOQ25:WOS25"/>
    <mergeCell ref="WSF25:WSH25"/>
    <mergeCell ref="WSI25:WSK25"/>
    <mergeCell ref="WSL25:WSN25"/>
    <mergeCell ref="WSO25:WSQ25"/>
    <mergeCell ref="WSR25:WST25"/>
    <mergeCell ref="WRQ25:WRS25"/>
    <mergeCell ref="WRT25:WRV25"/>
    <mergeCell ref="WRW25:WRY25"/>
    <mergeCell ref="WRZ25:WSB25"/>
    <mergeCell ref="WSC25:WSE25"/>
    <mergeCell ref="WRB25:WRD25"/>
    <mergeCell ref="WRE25:WRG25"/>
    <mergeCell ref="WRH25:WRJ25"/>
    <mergeCell ref="WRK25:WRM25"/>
    <mergeCell ref="WRN25:WRP25"/>
    <mergeCell ref="WQM25:WQO25"/>
    <mergeCell ref="WQP25:WQR25"/>
    <mergeCell ref="WQS25:WQU25"/>
    <mergeCell ref="WQV25:WQX25"/>
    <mergeCell ref="WQY25:WRA25"/>
    <mergeCell ref="WUN25:WUP25"/>
    <mergeCell ref="WUQ25:WUS25"/>
    <mergeCell ref="WUT25:WUV25"/>
    <mergeCell ref="WUW25:WUY25"/>
    <mergeCell ref="WUZ25:WVB25"/>
    <mergeCell ref="WTY25:WUA25"/>
    <mergeCell ref="WUB25:WUD25"/>
    <mergeCell ref="WUE25:WUG25"/>
    <mergeCell ref="WUH25:WUJ25"/>
    <mergeCell ref="WUK25:WUM25"/>
    <mergeCell ref="WTJ25:WTL25"/>
    <mergeCell ref="WTM25:WTO25"/>
    <mergeCell ref="WTP25:WTR25"/>
    <mergeCell ref="WTS25:WTU25"/>
    <mergeCell ref="WTV25:WTX25"/>
    <mergeCell ref="WSU25:WSW25"/>
    <mergeCell ref="WSX25:WSZ25"/>
    <mergeCell ref="WTA25:WTC25"/>
    <mergeCell ref="WTD25:WTF25"/>
    <mergeCell ref="WTG25:WTI25"/>
    <mergeCell ref="WWV25:WWX25"/>
    <mergeCell ref="WWY25:WXA25"/>
    <mergeCell ref="WXB25:WXD25"/>
    <mergeCell ref="WXE25:WXG25"/>
    <mergeCell ref="WXH25:WXJ25"/>
    <mergeCell ref="WWG25:WWI25"/>
    <mergeCell ref="WWJ25:WWL25"/>
    <mergeCell ref="WWM25:WWO25"/>
    <mergeCell ref="WWP25:WWR25"/>
    <mergeCell ref="WWS25:WWU25"/>
    <mergeCell ref="WVR25:WVT25"/>
    <mergeCell ref="WVU25:WVW25"/>
    <mergeCell ref="WVX25:WVZ25"/>
    <mergeCell ref="WWA25:WWC25"/>
    <mergeCell ref="WWD25:WWF25"/>
    <mergeCell ref="WVC25:WVE25"/>
    <mergeCell ref="WVF25:WVH25"/>
    <mergeCell ref="WVI25:WVK25"/>
    <mergeCell ref="WVL25:WVN25"/>
    <mergeCell ref="WVO25:WVQ25"/>
    <mergeCell ref="WZD25:WZF25"/>
    <mergeCell ref="WZG25:WZI25"/>
    <mergeCell ref="WZJ25:WZL25"/>
    <mergeCell ref="WZM25:WZO25"/>
    <mergeCell ref="WZP25:WZR25"/>
    <mergeCell ref="WYO25:WYQ25"/>
    <mergeCell ref="WYR25:WYT25"/>
    <mergeCell ref="WYU25:WYW25"/>
    <mergeCell ref="WYX25:WYZ25"/>
    <mergeCell ref="WZA25:WZC25"/>
    <mergeCell ref="WXZ25:WYB25"/>
    <mergeCell ref="WYC25:WYE25"/>
    <mergeCell ref="WYF25:WYH25"/>
    <mergeCell ref="WYI25:WYK25"/>
    <mergeCell ref="WYL25:WYN25"/>
    <mergeCell ref="WXK25:WXM25"/>
    <mergeCell ref="WXN25:WXP25"/>
    <mergeCell ref="WXQ25:WXS25"/>
    <mergeCell ref="WXT25:WXV25"/>
    <mergeCell ref="WXW25:WXY25"/>
    <mergeCell ref="XBO25:XBQ25"/>
    <mergeCell ref="XBR25:XBT25"/>
    <mergeCell ref="XBU25:XBW25"/>
    <mergeCell ref="XBX25:XBZ25"/>
    <mergeCell ref="XAW25:XAY25"/>
    <mergeCell ref="XAZ25:XBB25"/>
    <mergeCell ref="XBC25:XBE25"/>
    <mergeCell ref="XBF25:XBH25"/>
    <mergeCell ref="XBI25:XBK25"/>
    <mergeCell ref="XAH25:XAJ25"/>
    <mergeCell ref="XAK25:XAM25"/>
    <mergeCell ref="XAN25:XAP25"/>
    <mergeCell ref="XAQ25:XAS25"/>
    <mergeCell ref="XAT25:XAV25"/>
    <mergeCell ref="WZS25:WZU25"/>
    <mergeCell ref="WZV25:WZX25"/>
    <mergeCell ref="WZY25:XAA25"/>
    <mergeCell ref="XAB25:XAD25"/>
    <mergeCell ref="XAE25:XAG25"/>
    <mergeCell ref="A33:C33"/>
    <mergeCell ref="XEX25:XEZ25"/>
    <mergeCell ref="XFA25:XFC25"/>
    <mergeCell ref="A26:C26"/>
    <mergeCell ref="A27:C27"/>
    <mergeCell ref="A28:C28"/>
    <mergeCell ref="XEI25:XEK25"/>
    <mergeCell ref="XEL25:XEN25"/>
    <mergeCell ref="XEO25:XEQ25"/>
    <mergeCell ref="XER25:XET25"/>
    <mergeCell ref="XEU25:XEW25"/>
    <mergeCell ref="XDT25:XDV25"/>
    <mergeCell ref="XDW25:XDY25"/>
    <mergeCell ref="XDZ25:XEB25"/>
    <mergeCell ref="XEC25:XEE25"/>
    <mergeCell ref="XEF25:XEH25"/>
    <mergeCell ref="XDE25:XDG25"/>
    <mergeCell ref="XDH25:XDJ25"/>
    <mergeCell ref="XDK25:XDM25"/>
    <mergeCell ref="XDN25:XDP25"/>
    <mergeCell ref="XDQ25:XDS25"/>
    <mergeCell ref="XCP25:XCR25"/>
    <mergeCell ref="XCS25:XCU25"/>
    <mergeCell ref="XCV25:XCX25"/>
    <mergeCell ref="XCY25:XDA25"/>
    <mergeCell ref="XDB25:XDD25"/>
    <mergeCell ref="XCA25:XCC25"/>
    <mergeCell ref="XCD25:XCF25"/>
    <mergeCell ref="XCG25:XCI25"/>
    <mergeCell ref="XCJ25:XCL25"/>
    <mergeCell ref="XCM25:XCO25"/>
    <mergeCell ref="XBL25:XBN25"/>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EF287-2447-4250-9653-62BF2154B8FA}">
  <sheetPr codeName="Sheet31">
    <tabColor theme="4"/>
  </sheetPr>
  <dimension ref="A1:V52"/>
  <sheetViews>
    <sheetView showGridLines="0" zoomScale="70" zoomScaleNormal="70" workbookViewId="0">
      <pane xSplit="1" ySplit="4" topLeftCell="B5" activePane="bottomRight" state="frozen"/>
      <selection pane="topRight" activeCell="B1" sqref="B1"/>
      <selection pane="bottomLeft" activeCell="A4" sqref="A4"/>
      <selection pane="bottomRight" activeCell="R44" sqref="R44"/>
    </sheetView>
  </sheetViews>
  <sheetFormatPr defaultColWidth="8.6640625" defaultRowHeight="15.6" outlineLevelRow="1" x14ac:dyDescent="0.3"/>
  <cols>
    <col min="1" max="1" width="45.5546875" style="211" customWidth="1"/>
    <col min="2" max="2" width="11.109375" style="211" bestFit="1" customWidth="1"/>
    <col min="3" max="3" width="11.6640625" style="211" bestFit="1" customWidth="1"/>
    <col min="4" max="5" width="11.88671875" style="211" bestFit="1" customWidth="1"/>
    <col min="6" max="12" width="11.109375" style="211" bestFit="1" customWidth="1"/>
    <col min="13" max="16384" width="8.6640625" style="211"/>
  </cols>
  <sheetData>
    <row r="1" spans="1:13" x14ac:dyDescent="0.3">
      <c r="A1" s="152" t="s">
        <v>1514</v>
      </c>
      <c r="B1" s="320"/>
      <c r="C1" s="320"/>
      <c r="D1" s="320"/>
      <c r="E1" s="320"/>
      <c r="F1" s="320"/>
      <c r="G1" s="320"/>
      <c r="H1" s="320"/>
      <c r="I1" s="320"/>
      <c r="J1" s="320"/>
      <c r="K1" s="320"/>
      <c r="L1" s="211" t="s">
        <v>176</v>
      </c>
    </row>
    <row r="2" spans="1:13" x14ac:dyDescent="0.3">
      <c r="A2" s="152" t="s">
        <v>1842</v>
      </c>
      <c r="B2" s="320"/>
      <c r="C2" s="320"/>
      <c r="D2" s="320"/>
      <c r="E2" s="320"/>
      <c r="F2" s="320"/>
      <c r="G2" s="320"/>
      <c r="H2" s="320"/>
      <c r="I2" s="320"/>
      <c r="J2" s="320"/>
      <c r="K2" s="320"/>
    </row>
    <row r="3" spans="1:13" ht="8.25" customHeight="1" thickBot="1" x14ac:dyDescent="0.35"/>
    <row r="4" spans="1:13" x14ac:dyDescent="0.3">
      <c r="A4" s="212" t="s">
        <v>1204</v>
      </c>
      <c r="B4" s="712">
        <v>1994</v>
      </c>
      <c r="C4" s="712">
        <v>1993</v>
      </c>
      <c r="D4" s="712">
        <v>1992</v>
      </c>
      <c r="E4" s="712">
        <v>1991</v>
      </c>
      <c r="F4" s="712">
        <v>1990</v>
      </c>
      <c r="G4" s="712">
        <v>1989</v>
      </c>
      <c r="H4" s="712">
        <v>1988</v>
      </c>
      <c r="I4" s="712">
        <v>1987</v>
      </c>
      <c r="J4" s="712">
        <v>1986</v>
      </c>
      <c r="K4" s="712">
        <v>1985</v>
      </c>
      <c r="L4" s="713">
        <v>1984</v>
      </c>
    </row>
    <row r="5" spans="1:13" x14ac:dyDescent="0.3">
      <c r="A5" s="214" t="s">
        <v>372</v>
      </c>
      <c r="L5" s="223"/>
    </row>
    <row r="6" spans="1:13" x14ac:dyDescent="0.3">
      <c r="A6" s="214" t="s">
        <v>373</v>
      </c>
      <c r="B6" s="852">
        <v>129926</v>
      </c>
      <c r="C6" s="852">
        <v>30876</v>
      </c>
      <c r="D6" s="852">
        <v>-108961</v>
      </c>
      <c r="E6" s="852">
        <v>-119593</v>
      </c>
      <c r="F6" s="852">
        <v>-26647</v>
      </c>
      <c r="G6" s="852">
        <v>-24400</v>
      </c>
      <c r="H6" s="852">
        <v>-11081</v>
      </c>
      <c r="I6" s="852">
        <v>-55429</v>
      </c>
      <c r="J6" s="852">
        <v>-55844</v>
      </c>
      <c r="K6" s="852">
        <v>-44230</v>
      </c>
      <c r="L6" s="853">
        <v>-48060</v>
      </c>
      <c r="M6" s="226"/>
    </row>
    <row r="7" spans="1:13" x14ac:dyDescent="0.3">
      <c r="A7" s="214" t="s">
        <v>1304</v>
      </c>
      <c r="B7" s="854">
        <v>419422</v>
      </c>
      <c r="C7" s="854">
        <v>375946</v>
      </c>
      <c r="D7" s="854">
        <v>355067</v>
      </c>
      <c r="E7" s="854">
        <v>331846</v>
      </c>
      <c r="F7" s="854">
        <v>327048</v>
      </c>
      <c r="G7" s="854">
        <v>243599</v>
      </c>
      <c r="H7" s="854">
        <v>231250</v>
      </c>
      <c r="I7" s="854">
        <v>152483</v>
      </c>
      <c r="J7" s="854">
        <v>107143</v>
      </c>
      <c r="K7" s="854">
        <v>95217</v>
      </c>
      <c r="L7" s="855">
        <v>68903</v>
      </c>
      <c r="M7" s="226"/>
    </row>
    <row r="8" spans="1:13" x14ac:dyDescent="0.3">
      <c r="A8" s="214" t="s">
        <v>374</v>
      </c>
      <c r="B8" s="854">
        <v>54238</v>
      </c>
      <c r="C8" s="854">
        <v>50962</v>
      </c>
      <c r="D8" s="854">
        <v>47863</v>
      </c>
      <c r="E8" s="854">
        <v>37113</v>
      </c>
      <c r="F8" s="854">
        <v>43954</v>
      </c>
      <c r="G8" s="854">
        <v>46047</v>
      </c>
      <c r="H8" s="854">
        <v>42429</v>
      </c>
      <c r="I8" s="854">
        <v>39410</v>
      </c>
      <c r="J8" s="854">
        <v>34736</v>
      </c>
      <c r="K8" s="854">
        <v>29921</v>
      </c>
      <c r="L8" s="855">
        <v>27328</v>
      </c>
      <c r="M8" s="226"/>
    </row>
    <row r="9" spans="1:13" ht="18.600000000000001" x14ac:dyDescent="0.3">
      <c r="A9" s="214" t="s">
        <v>1843</v>
      </c>
      <c r="B9" s="854">
        <v>14260</v>
      </c>
      <c r="C9" s="854">
        <v>13442</v>
      </c>
      <c r="D9" s="854">
        <v>13698</v>
      </c>
      <c r="E9" s="854">
        <v>12947</v>
      </c>
      <c r="F9" s="854">
        <v>12450</v>
      </c>
      <c r="G9" s="854">
        <v>12621</v>
      </c>
      <c r="H9" s="854">
        <v>14152</v>
      </c>
      <c r="I9" s="854">
        <v>13332</v>
      </c>
      <c r="J9" s="854">
        <v>8400</v>
      </c>
      <c r="K9" s="2202"/>
      <c r="L9" s="2203"/>
      <c r="M9" s="226"/>
    </row>
    <row r="10" spans="1:13" x14ac:dyDescent="0.3">
      <c r="A10" s="214" t="s">
        <v>1519</v>
      </c>
      <c r="B10" s="854">
        <v>21568</v>
      </c>
      <c r="C10" s="854">
        <v>22695</v>
      </c>
      <c r="D10" s="2202"/>
      <c r="E10" s="2202"/>
      <c r="F10" s="2202"/>
      <c r="G10" s="2202"/>
      <c r="H10" s="2202"/>
      <c r="I10" s="2202"/>
      <c r="J10" s="2202"/>
      <c r="K10" s="2202"/>
      <c r="L10" s="2203"/>
      <c r="M10" s="226"/>
    </row>
    <row r="11" spans="1:13" x14ac:dyDescent="0.3">
      <c r="A11" s="214" t="s">
        <v>508</v>
      </c>
      <c r="B11" s="854">
        <v>42349</v>
      </c>
      <c r="C11" s="854">
        <v>39147</v>
      </c>
      <c r="D11" s="854">
        <v>35653</v>
      </c>
      <c r="E11" s="854">
        <v>35726</v>
      </c>
      <c r="F11" s="854">
        <v>27445</v>
      </c>
      <c r="G11" s="854">
        <v>26114</v>
      </c>
      <c r="H11" s="854">
        <v>26891</v>
      </c>
      <c r="I11" s="854">
        <v>22408</v>
      </c>
      <c r="J11" s="854">
        <v>20218</v>
      </c>
      <c r="K11" s="2202"/>
      <c r="L11" s="2203"/>
      <c r="M11" s="226"/>
    </row>
    <row r="12" spans="1:13" x14ac:dyDescent="0.3">
      <c r="A12" s="214" t="s">
        <v>504</v>
      </c>
      <c r="B12" s="854">
        <v>17356</v>
      </c>
      <c r="C12" s="854">
        <v>21540</v>
      </c>
      <c r="D12" s="854">
        <v>17110</v>
      </c>
      <c r="E12" s="854">
        <v>14384</v>
      </c>
      <c r="F12" s="854">
        <v>17248</v>
      </c>
      <c r="G12" s="854">
        <v>17070</v>
      </c>
      <c r="H12" s="854">
        <v>18439</v>
      </c>
      <c r="I12" s="854">
        <v>16837</v>
      </c>
      <c r="J12" s="854">
        <v>17685</v>
      </c>
      <c r="K12" s="854">
        <v>12686</v>
      </c>
      <c r="L12" s="855">
        <v>14511</v>
      </c>
      <c r="M12" s="226"/>
    </row>
    <row r="13" spans="1:13" x14ac:dyDescent="0.3">
      <c r="A13" s="214" t="s">
        <v>512</v>
      </c>
      <c r="B13" s="854">
        <v>39435</v>
      </c>
      <c r="C13" s="854">
        <v>38196</v>
      </c>
      <c r="D13" s="854">
        <v>31954</v>
      </c>
      <c r="E13" s="854">
        <v>26123</v>
      </c>
      <c r="F13" s="854">
        <v>30378</v>
      </c>
      <c r="G13" s="854">
        <v>33165</v>
      </c>
      <c r="H13" s="854">
        <v>28542</v>
      </c>
      <c r="I13" s="854">
        <v>30591</v>
      </c>
      <c r="J13" s="854">
        <v>25358</v>
      </c>
      <c r="K13" s="2202"/>
      <c r="L13" s="2203"/>
      <c r="M13" s="226"/>
    </row>
    <row r="14" spans="1:13" x14ac:dyDescent="0.3">
      <c r="A14" s="214" t="s">
        <v>375</v>
      </c>
      <c r="B14" s="854">
        <v>47539</v>
      </c>
      <c r="C14" s="854">
        <v>41150</v>
      </c>
      <c r="D14" s="854">
        <v>42357</v>
      </c>
      <c r="E14" s="854">
        <v>42390</v>
      </c>
      <c r="F14" s="854">
        <v>39580</v>
      </c>
      <c r="G14" s="854">
        <v>34235</v>
      </c>
      <c r="H14" s="854">
        <v>32473</v>
      </c>
      <c r="I14" s="854">
        <v>31693</v>
      </c>
      <c r="J14" s="854">
        <v>30347</v>
      </c>
      <c r="K14" s="854">
        <v>28989</v>
      </c>
      <c r="L14" s="855">
        <v>26644</v>
      </c>
      <c r="M14" s="226"/>
    </row>
    <row r="15" spans="1:13" ht="16.5" customHeight="1" x14ac:dyDescent="0.3">
      <c r="A15" s="214" t="s">
        <v>1844</v>
      </c>
      <c r="B15" s="854">
        <v>85503</v>
      </c>
      <c r="C15" s="854">
        <v>44025</v>
      </c>
      <c r="D15" s="854">
        <v>27883</v>
      </c>
      <c r="E15" s="854">
        <v>13616</v>
      </c>
      <c r="F15" s="2202"/>
      <c r="G15" s="2202"/>
      <c r="H15" s="2202"/>
      <c r="I15" s="2202"/>
      <c r="J15" s="2202"/>
      <c r="K15" s="2202"/>
      <c r="L15" s="2203"/>
      <c r="M15" s="226"/>
    </row>
    <row r="16" spans="1:13" hidden="1" outlineLevel="1" x14ac:dyDescent="0.3">
      <c r="A16" s="305" t="s">
        <v>384</v>
      </c>
      <c r="B16" s="856"/>
      <c r="C16" s="856"/>
      <c r="D16" s="856"/>
      <c r="E16" s="856"/>
      <c r="F16" s="856"/>
      <c r="G16" s="856"/>
      <c r="H16" s="856"/>
      <c r="I16" s="856"/>
      <c r="J16" s="856"/>
      <c r="K16" s="856">
        <v>9500</v>
      </c>
      <c r="L16" s="857">
        <v>9777</v>
      </c>
      <c r="M16" s="226"/>
    </row>
    <row r="17" spans="1:22" hidden="1" outlineLevel="1" x14ac:dyDescent="0.3">
      <c r="A17" s="305" t="s">
        <v>377</v>
      </c>
      <c r="B17" s="856"/>
      <c r="C17" s="856"/>
      <c r="D17" s="856"/>
      <c r="E17" s="856"/>
      <c r="F17" s="856"/>
      <c r="G17" s="856"/>
      <c r="H17" s="856"/>
      <c r="I17" s="856"/>
      <c r="J17" s="856"/>
      <c r="K17" s="856">
        <v>2622</v>
      </c>
      <c r="L17" s="857">
        <v>1456</v>
      </c>
      <c r="M17" s="226"/>
    </row>
    <row r="18" spans="1:22" hidden="1" outlineLevel="1" x14ac:dyDescent="0.3">
      <c r="A18" s="305" t="s">
        <v>378</v>
      </c>
      <c r="B18" s="856"/>
      <c r="C18" s="856"/>
      <c r="D18" s="856"/>
      <c r="E18" s="856"/>
      <c r="F18" s="856"/>
      <c r="G18" s="856"/>
      <c r="H18" s="856"/>
      <c r="I18" s="856"/>
      <c r="J18" s="856"/>
      <c r="K18" s="858">
        <v>3896</v>
      </c>
      <c r="L18" s="859">
        <v>4092</v>
      </c>
      <c r="M18" s="226"/>
    </row>
    <row r="19" spans="1:22" collapsed="1" x14ac:dyDescent="0.3">
      <c r="A19" s="214" t="s">
        <v>1845</v>
      </c>
      <c r="B19" s="2202"/>
      <c r="C19" s="2202"/>
      <c r="D19" s="854">
        <v>15153</v>
      </c>
      <c r="E19" s="854">
        <v>12230</v>
      </c>
      <c r="F19" s="854">
        <v>12441</v>
      </c>
      <c r="G19" s="854">
        <v>13008</v>
      </c>
      <c r="H19" s="854">
        <v>16133</v>
      </c>
      <c r="I19" s="854">
        <v>6209</v>
      </c>
      <c r="J19" s="854">
        <v>5542</v>
      </c>
      <c r="K19" s="854">
        <f>SUM(K16:K18)</f>
        <v>16018</v>
      </c>
      <c r="L19" s="855">
        <f>SUM(L16:L18)</f>
        <v>15325</v>
      </c>
      <c r="M19" s="226"/>
    </row>
    <row r="20" spans="1:22" x14ac:dyDescent="0.3">
      <c r="A20" s="214" t="s">
        <v>510</v>
      </c>
      <c r="B20" s="854">
        <v>24662</v>
      </c>
      <c r="C20" s="854">
        <v>19915</v>
      </c>
      <c r="D20" s="854">
        <v>29044</v>
      </c>
      <c r="E20" s="854">
        <v>22483</v>
      </c>
      <c r="F20" s="854">
        <v>31896</v>
      </c>
      <c r="G20" s="854">
        <v>25583</v>
      </c>
      <c r="H20" s="854">
        <v>27890</v>
      </c>
      <c r="I20" s="854">
        <v>25745</v>
      </c>
      <c r="J20" s="854">
        <v>21978</v>
      </c>
      <c r="K20" s="2202"/>
      <c r="L20" s="2203"/>
      <c r="M20" s="226"/>
      <c r="N20" s="2783"/>
    </row>
    <row r="21" spans="1:22" hidden="1" outlineLevel="1" x14ac:dyDescent="0.3">
      <c r="A21" s="305" t="s">
        <v>506</v>
      </c>
      <c r="B21" s="856"/>
      <c r="C21" s="856"/>
      <c r="D21" s="856">
        <v>-4702</v>
      </c>
      <c r="E21" s="856">
        <v>-4113</v>
      </c>
      <c r="F21" s="856">
        <v>-3476</v>
      </c>
      <c r="G21" s="856">
        <v>-3387</v>
      </c>
      <c r="H21" s="856">
        <v>-2806</v>
      </c>
      <c r="I21" s="856">
        <v>-2862</v>
      </c>
      <c r="J21" s="856">
        <v>-2555</v>
      </c>
      <c r="K21" s="856">
        <v>-1475</v>
      </c>
      <c r="L21" s="857">
        <v>-1434</v>
      </c>
      <c r="M21" s="226"/>
    </row>
    <row r="22" spans="1:22" hidden="1" outlineLevel="1" x14ac:dyDescent="0.3">
      <c r="A22" s="305" t="s">
        <v>509</v>
      </c>
      <c r="B22" s="858"/>
      <c r="C22" s="858"/>
      <c r="D22" s="858">
        <v>-7385</v>
      </c>
      <c r="E22" s="858">
        <v>-6021</v>
      </c>
      <c r="F22" s="858">
        <v>-5951</v>
      </c>
      <c r="G22" s="858">
        <v>-5740</v>
      </c>
      <c r="H22" s="858">
        <v>-6342</v>
      </c>
      <c r="I22" s="858">
        <v>-5546</v>
      </c>
      <c r="J22" s="858">
        <v>-10033</v>
      </c>
      <c r="K22" s="858">
        <v>0</v>
      </c>
      <c r="L22" s="859">
        <v>0</v>
      </c>
      <c r="M22" s="226"/>
    </row>
    <row r="23" spans="1:22" collapsed="1" x14ac:dyDescent="0.3">
      <c r="A23" s="214" t="s">
        <v>1520</v>
      </c>
      <c r="B23" s="854">
        <v>-22595</v>
      </c>
      <c r="C23" s="854">
        <v>-17033</v>
      </c>
      <c r="D23" s="854">
        <f>D21+D22</f>
        <v>-12087</v>
      </c>
      <c r="E23" s="854">
        <f t="shared" ref="E23:L23" si="0">E21+E22</f>
        <v>-10134</v>
      </c>
      <c r="F23" s="854">
        <f t="shared" si="0"/>
        <v>-9427</v>
      </c>
      <c r="G23" s="854">
        <f t="shared" si="0"/>
        <v>-9127</v>
      </c>
      <c r="H23" s="854">
        <f t="shared" si="0"/>
        <v>-9148</v>
      </c>
      <c r="I23" s="854">
        <f t="shared" si="0"/>
        <v>-8408</v>
      </c>
      <c r="J23" s="854">
        <f t="shared" si="0"/>
        <v>-12588</v>
      </c>
      <c r="K23" s="854">
        <f t="shared" si="0"/>
        <v>-1475</v>
      </c>
      <c r="L23" s="855">
        <f t="shared" si="0"/>
        <v>-1434</v>
      </c>
      <c r="M23" s="226"/>
      <c r="V23" s="211" t="s">
        <v>176</v>
      </c>
    </row>
    <row r="24" spans="1:22" ht="18.600000000000001" x14ac:dyDescent="0.3">
      <c r="A24" s="214" t="s">
        <v>1846</v>
      </c>
      <c r="B24" s="854">
        <v>-60111</v>
      </c>
      <c r="C24" s="854">
        <v>-56545</v>
      </c>
      <c r="D24" s="854">
        <v>-98643</v>
      </c>
      <c r="E24" s="854">
        <v>-89250</v>
      </c>
      <c r="F24" s="854">
        <v>-76374</v>
      </c>
      <c r="G24" s="854">
        <v>-42389</v>
      </c>
      <c r="H24" s="854">
        <v>-35613</v>
      </c>
      <c r="I24" s="854">
        <v>-11474</v>
      </c>
      <c r="J24" s="854">
        <v>-23891</v>
      </c>
      <c r="K24" s="854">
        <v>-14415</v>
      </c>
      <c r="L24" s="855">
        <v>-14734</v>
      </c>
      <c r="M24" s="226"/>
    </row>
    <row r="25" spans="1:22" x14ac:dyDescent="0.3">
      <c r="A25" s="214" t="s">
        <v>1307</v>
      </c>
      <c r="B25" s="854">
        <v>-10419</v>
      </c>
      <c r="C25" s="854">
        <v>-9448</v>
      </c>
      <c r="D25" s="854">
        <v>-7634</v>
      </c>
      <c r="E25" s="854">
        <v>-6772</v>
      </c>
      <c r="F25" s="854">
        <v>-5824</v>
      </c>
      <c r="G25" s="854">
        <v>-5867</v>
      </c>
      <c r="H25" s="854">
        <v>-4966</v>
      </c>
      <c r="I25" s="854">
        <v>-4938</v>
      </c>
      <c r="J25" s="854">
        <v>-3997</v>
      </c>
      <c r="K25" s="854">
        <v>-4006</v>
      </c>
      <c r="L25" s="855">
        <v>-3179</v>
      </c>
      <c r="M25" s="226"/>
      <c r="N25" s="211" t="s">
        <v>176</v>
      </c>
    </row>
    <row r="26" spans="1:22" hidden="1" outlineLevel="1" x14ac:dyDescent="0.3">
      <c r="A26" s="305" t="s">
        <v>511</v>
      </c>
      <c r="B26" s="856"/>
      <c r="C26" s="856"/>
      <c r="D26" s="856"/>
      <c r="E26" s="856"/>
      <c r="F26" s="856"/>
      <c r="G26" s="856"/>
      <c r="H26" s="856"/>
      <c r="I26" s="856"/>
      <c r="J26" s="856"/>
      <c r="K26" s="856">
        <v>3106</v>
      </c>
      <c r="L26" s="857">
        <v>4932</v>
      </c>
      <c r="M26" s="226"/>
    </row>
    <row r="27" spans="1:22" hidden="1" outlineLevel="1" x14ac:dyDescent="0.3">
      <c r="A27" s="305" t="s">
        <v>376</v>
      </c>
      <c r="B27" s="856"/>
      <c r="C27" s="856"/>
      <c r="D27" s="856"/>
      <c r="E27" s="856"/>
      <c r="F27" s="856"/>
      <c r="G27" s="856"/>
      <c r="H27" s="856"/>
      <c r="I27" s="856"/>
      <c r="J27" s="856"/>
      <c r="K27" s="856">
        <v>270</v>
      </c>
      <c r="L27" s="857">
        <v>-1072</v>
      </c>
      <c r="M27" s="226"/>
    </row>
    <row r="28" spans="1:22" hidden="1" outlineLevel="1" x14ac:dyDescent="0.3">
      <c r="A28" s="305" t="s">
        <v>505</v>
      </c>
      <c r="B28" s="856"/>
      <c r="C28" s="856"/>
      <c r="D28" s="856"/>
      <c r="E28" s="856"/>
      <c r="F28" s="856"/>
      <c r="G28" s="856"/>
      <c r="H28" s="856"/>
      <c r="I28" s="856"/>
      <c r="J28" s="856"/>
      <c r="K28" s="856">
        <v>5763</v>
      </c>
      <c r="L28" s="857">
        <v>-1843</v>
      </c>
      <c r="M28" s="226"/>
    </row>
    <row r="29" spans="1:22" hidden="1" outlineLevel="1" x14ac:dyDescent="0.3">
      <c r="A29" s="305" t="s">
        <v>379</v>
      </c>
      <c r="B29" s="856"/>
      <c r="C29" s="856"/>
      <c r="D29" s="856"/>
      <c r="E29" s="856"/>
      <c r="F29" s="856"/>
      <c r="G29" s="856"/>
      <c r="H29" s="856"/>
      <c r="I29" s="856"/>
      <c r="J29" s="858"/>
      <c r="K29" s="858">
        <v>-2395</v>
      </c>
      <c r="L29" s="859">
        <v>418</v>
      </c>
      <c r="M29" s="226"/>
    </row>
    <row r="30" spans="1:22" ht="16.5" customHeight="1" collapsed="1" x14ac:dyDescent="0.3">
      <c r="A30" s="214" t="s">
        <v>1847</v>
      </c>
      <c r="B30" s="854">
        <v>36232</v>
      </c>
      <c r="C30" s="854">
        <v>28428</v>
      </c>
      <c r="D30" s="854">
        <v>72223</v>
      </c>
      <c r="E30" s="854">
        <v>77399</v>
      </c>
      <c r="F30" s="854">
        <v>58309</v>
      </c>
      <c r="G30" s="854">
        <v>23755</v>
      </c>
      <c r="H30" s="854">
        <v>41059</v>
      </c>
      <c r="I30" s="854">
        <v>22460</v>
      </c>
      <c r="J30" s="854">
        <v>20770</v>
      </c>
      <c r="K30" s="854">
        <f>SUM(K26:K29)</f>
        <v>6744</v>
      </c>
      <c r="L30" s="855">
        <f>SUM(L26:L29)</f>
        <v>2435</v>
      </c>
      <c r="M30" s="226"/>
    </row>
    <row r="31" spans="1:22" x14ac:dyDescent="0.3">
      <c r="A31" s="214" t="s">
        <v>1516</v>
      </c>
      <c r="B31" s="860">
        <f>SUM(B6:B30)</f>
        <v>839365</v>
      </c>
      <c r="C31" s="860">
        <f>SUM(C6:C30)</f>
        <v>643296</v>
      </c>
      <c r="D31" s="860">
        <f t="shared" ref="D31:J31" si="1">SUM(D6:D30)-D23</f>
        <v>460680</v>
      </c>
      <c r="E31" s="860">
        <f t="shared" si="1"/>
        <v>400508</v>
      </c>
      <c r="F31" s="860">
        <f t="shared" si="1"/>
        <v>482477</v>
      </c>
      <c r="G31" s="860">
        <f t="shared" si="1"/>
        <v>393414</v>
      </c>
      <c r="H31" s="860">
        <f t="shared" si="1"/>
        <v>418450</v>
      </c>
      <c r="I31" s="860">
        <f>SUM(I6:I30)-I23</f>
        <v>280919</v>
      </c>
      <c r="J31" s="860">
        <f t="shared" si="1"/>
        <v>195857</v>
      </c>
      <c r="K31" s="860">
        <f>SUM(K6:K30)-K19-K30-K23</f>
        <v>125449</v>
      </c>
      <c r="L31" s="861">
        <f>SUM(L6:L30)-L19-L30-L23</f>
        <v>87739</v>
      </c>
      <c r="M31" s="226"/>
    </row>
    <row r="32" spans="1:22" x14ac:dyDescent="0.3">
      <c r="A32" s="214" t="s">
        <v>1515</v>
      </c>
      <c r="B32" s="2202">
        <v>0</v>
      </c>
      <c r="C32" s="2202">
        <v>0</v>
      </c>
      <c r="D32" s="2202">
        <v>0</v>
      </c>
      <c r="E32" s="2202">
        <v>0</v>
      </c>
      <c r="F32" s="2202">
        <v>0</v>
      </c>
      <c r="G32" s="2202">
        <v>0</v>
      </c>
      <c r="H32" s="2202">
        <v>0</v>
      </c>
      <c r="I32" s="2202">
        <v>0</v>
      </c>
      <c r="J32" s="2202">
        <v>0</v>
      </c>
      <c r="K32" s="854">
        <v>4127</v>
      </c>
      <c r="L32" s="2203">
        <v>0</v>
      </c>
    </row>
    <row r="33" spans="1:18" x14ac:dyDescent="0.3">
      <c r="A33" s="214" t="s">
        <v>1854</v>
      </c>
      <c r="B33" s="2202">
        <v>0</v>
      </c>
      <c r="C33" s="2202">
        <v>0</v>
      </c>
      <c r="D33" s="2202">
        <v>0</v>
      </c>
      <c r="E33" s="2202">
        <v>0</v>
      </c>
      <c r="F33" s="2202">
        <v>0</v>
      </c>
      <c r="G33" s="2202">
        <v>0</v>
      </c>
      <c r="H33" s="2202">
        <v>0</v>
      </c>
      <c r="I33" s="2202">
        <v>0</v>
      </c>
      <c r="J33" s="2202">
        <v>0</v>
      </c>
      <c r="K33" s="854">
        <v>14877</v>
      </c>
      <c r="L33" s="855">
        <v>8111</v>
      </c>
    </row>
    <row r="34" spans="1:18" x14ac:dyDescent="0.3">
      <c r="A34" s="214" t="s">
        <v>381</v>
      </c>
      <c r="B34" s="854">
        <v>91332</v>
      </c>
      <c r="C34" s="854">
        <v>546422</v>
      </c>
      <c r="D34" s="854">
        <v>89937</v>
      </c>
      <c r="E34" s="854">
        <v>192478</v>
      </c>
      <c r="F34" s="854">
        <v>33989</v>
      </c>
      <c r="G34" s="854">
        <v>223810</v>
      </c>
      <c r="H34" s="854">
        <v>131671</v>
      </c>
      <c r="I34" s="854">
        <v>27319</v>
      </c>
      <c r="J34" s="854">
        <v>216242</v>
      </c>
      <c r="K34" s="854">
        <v>468903</v>
      </c>
      <c r="L34" s="855">
        <v>104699</v>
      </c>
    </row>
    <row r="35" spans="1:18" x14ac:dyDescent="0.3">
      <c r="A35" s="214" t="s">
        <v>1517</v>
      </c>
      <c r="B35" s="854">
        <v>-268500</v>
      </c>
      <c r="C35" s="2202">
        <v>0</v>
      </c>
      <c r="D35" s="2202">
        <v>0</v>
      </c>
      <c r="E35" s="2202">
        <v>0</v>
      </c>
      <c r="F35" s="2202">
        <v>0</v>
      </c>
      <c r="G35" s="2202">
        <v>0</v>
      </c>
      <c r="H35" s="2202">
        <v>0</v>
      </c>
      <c r="I35" s="2202">
        <v>0</v>
      </c>
      <c r="J35" s="2202">
        <v>0</v>
      </c>
      <c r="K35" s="2202">
        <v>0</v>
      </c>
      <c r="L35" s="2203">
        <v>0</v>
      </c>
    </row>
    <row r="36" spans="1:18" x14ac:dyDescent="0.3">
      <c r="A36" s="214" t="s">
        <v>1310</v>
      </c>
      <c r="B36" s="860">
        <f>SUM(B31:B35)</f>
        <v>662197</v>
      </c>
      <c r="C36" s="860">
        <f t="shared" ref="C36:J36" si="2">SUM(C31:C34)</f>
        <v>1189718</v>
      </c>
      <c r="D36" s="860">
        <f t="shared" si="2"/>
        <v>550617</v>
      </c>
      <c r="E36" s="860">
        <f t="shared" si="2"/>
        <v>592986</v>
      </c>
      <c r="F36" s="860">
        <f t="shared" si="2"/>
        <v>516466</v>
      </c>
      <c r="G36" s="860">
        <f t="shared" si="2"/>
        <v>617224</v>
      </c>
      <c r="H36" s="860">
        <f t="shared" si="2"/>
        <v>550121</v>
      </c>
      <c r="I36" s="860">
        <f t="shared" si="2"/>
        <v>308238</v>
      </c>
      <c r="J36" s="860">
        <f t="shared" si="2"/>
        <v>412099</v>
      </c>
      <c r="K36" s="860">
        <f>SUM(K31:K35)</f>
        <v>613356</v>
      </c>
      <c r="L36" s="861">
        <f>SUM(L31:L35)</f>
        <v>200549</v>
      </c>
    </row>
    <row r="37" spans="1:18" ht="15.75" customHeight="1" x14ac:dyDescent="0.3">
      <c r="A37" s="214" t="s">
        <v>1848</v>
      </c>
      <c r="B37" s="854">
        <f t="shared" ref="B37:L37" si="3">B38-B36</f>
        <v>-167399</v>
      </c>
      <c r="C37" s="854">
        <f t="shared" si="3"/>
        <v>-501597</v>
      </c>
      <c r="D37" s="854">
        <f t="shared" si="3"/>
        <v>-143332</v>
      </c>
      <c r="E37" s="854">
        <f t="shared" si="3"/>
        <v>-153078</v>
      </c>
      <c r="F37" s="854">
        <f t="shared" si="3"/>
        <v>-122373</v>
      </c>
      <c r="G37" s="854">
        <f t="shared" si="3"/>
        <v>-169747</v>
      </c>
      <c r="H37" s="854">
        <f t="shared" si="3"/>
        <v>-150851</v>
      </c>
      <c r="I37" s="854">
        <f t="shared" si="3"/>
        <v>-73686</v>
      </c>
      <c r="J37" s="854">
        <f t="shared" si="3"/>
        <v>-129738</v>
      </c>
      <c r="K37" s="854">
        <f t="shared" si="3"/>
        <v>-177541</v>
      </c>
      <c r="L37" s="855">
        <f t="shared" si="3"/>
        <v>-51653</v>
      </c>
    </row>
    <row r="38" spans="1:18" ht="16.2" thickBot="1" x14ac:dyDescent="0.35">
      <c r="A38" s="214" t="s">
        <v>1518</v>
      </c>
      <c r="B38" s="862">
        <v>494798</v>
      </c>
      <c r="C38" s="862">
        <v>688121</v>
      </c>
      <c r="D38" s="862">
        <v>407285</v>
      </c>
      <c r="E38" s="862">
        <v>439908</v>
      </c>
      <c r="F38" s="862">
        <v>394093</v>
      </c>
      <c r="G38" s="862">
        <v>447477</v>
      </c>
      <c r="H38" s="862">
        <v>399270</v>
      </c>
      <c r="I38" s="862">
        <v>234552</v>
      </c>
      <c r="J38" s="862">
        <v>282361</v>
      </c>
      <c r="K38" s="862">
        <v>435815</v>
      </c>
      <c r="L38" s="863">
        <v>148896</v>
      </c>
    </row>
    <row r="39" spans="1:18" ht="16.2" thickTop="1" x14ac:dyDescent="0.3">
      <c r="A39" s="214"/>
      <c r="L39" s="223"/>
    </row>
    <row r="40" spans="1:18" ht="30" customHeight="1" x14ac:dyDescent="0.3">
      <c r="A40" s="2799" t="s">
        <v>1891</v>
      </c>
      <c r="B40" s="2827"/>
      <c r="C40" s="2827"/>
      <c r="D40" s="2827"/>
      <c r="E40" s="2827"/>
      <c r="F40" s="2827"/>
      <c r="G40" s="2827"/>
      <c r="H40" s="2827"/>
      <c r="I40" s="2827"/>
      <c r="J40" s="2827"/>
      <c r="K40" s="2827"/>
      <c r="L40" s="2801"/>
      <c r="R40" s="211" t="s">
        <v>176</v>
      </c>
    </row>
    <row r="41" spans="1:18" s="1" customFormat="1" ht="9" customHeight="1" x14ac:dyDescent="0.25">
      <c r="A41" s="6"/>
      <c r="L41" s="8"/>
    </row>
    <row r="42" spans="1:18" s="1" customFormat="1" ht="13.8" x14ac:dyDescent="0.25">
      <c r="A42" s="6" t="s">
        <v>1398</v>
      </c>
      <c r="L42" s="8"/>
    </row>
    <row r="43" spans="1:18" x14ac:dyDescent="0.3">
      <c r="A43" s="6" t="s">
        <v>1849</v>
      </c>
      <c r="B43" s="1"/>
      <c r="C43" s="1"/>
      <c r="D43" s="1"/>
      <c r="E43" s="1"/>
      <c r="F43" s="1"/>
      <c r="G43" s="1"/>
      <c r="H43" s="1"/>
      <c r="I43" s="1"/>
      <c r="J43" s="1"/>
      <c r="K43" s="1"/>
      <c r="L43" s="8"/>
    </row>
    <row r="44" spans="1:18" x14ac:dyDescent="0.3">
      <c r="A44" s="6" t="s">
        <v>1850</v>
      </c>
      <c r="B44" s="1"/>
      <c r="C44" s="1"/>
      <c r="D44" s="1"/>
      <c r="E44" s="1"/>
      <c r="F44" s="1"/>
      <c r="G44" s="1"/>
      <c r="H44" s="1"/>
      <c r="I44" s="1"/>
      <c r="J44" s="1"/>
      <c r="K44" s="1"/>
      <c r="L44" s="8"/>
    </row>
    <row r="45" spans="1:18" x14ac:dyDescent="0.3">
      <c r="A45" s="6" t="s">
        <v>1855</v>
      </c>
      <c r="B45" s="1"/>
      <c r="C45" s="1"/>
      <c r="D45" s="1"/>
      <c r="E45" s="1"/>
      <c r="F45" s="1"/>
      <c r="G45" s="1"/>
      <c r="H45" s="1"/>
      <c r="I45" s="1"/>
      <c r="J45" s="1"/>
      <c r="K45" s="1"/>
      <c r="L45" s="8"/>
    </row>
    <row r="46" spans="1:18" x14ac:dyDescent="0.3">
      <c r="A46" s="6" t="s">
        <v>1851</v>
      </c>
      <c r="B46" s="1"/>
      <c r="C46" s="1"/>
      <c r="D46" s="1"/>
      <c r="E46" s="1"/>
      <c r="F46" s="1"/>
      <c r="G46" s="1"/>
      <c r="H46" s="1"/>
      <c r="I46" s="1"/>
      <c r="J46" s="1"/>
      <c r="K46" s="1"/>
      <c r="L46" s="8"/>
    </row>
    <row r="47" spans="1:18" x14ac:dyDescent="0.3">
      <c r="A47" s="6" t="s">
        <v>1852</v>
      </c>
      <c r="B47" s="1"/>
      <c r="C47" s="1"/>
      <c r="D47" s="1"/>
      <c r="E47" s="1"/>
      <c r="F47" s="1"/>
      <c r="G47" s="1"/>
      <c r="H47" s="1"/>
      <c r="I47" s="1"/>
      <c r="J47" s="1"/>
      <c r="K47" s="1"/>
      <c r="L47" s="8"/>
    </row>
    <row r="48" spans="1:18" x14ac:dyDescent="0.3">
      <c r="A48" s="6" t="s">
        <v>1853</v>
      </c>
      <c r="B48" s="1"/>
      <c r="C48" s="1"/>
      <c r="D48" s="1"/>
      <c r="E48" s="1"/>
      <c r="F48" s="1"/>
      <c r="G48" s="1"/>
      <c r="H48" s="1"/>
      <c r="I48" s="1"/>
      <c r="J48" s="1"/>
      <c r="K48" s="1"/>
      <c r="L48" s="8"/>
    </row>
    <row r="49" spans="1:12" ht="6.6" customHeight="1" thickBot="1" x14ac:dyDescent="0.35">
      <c r="A49" s="224"/>
      <c r="B49" s="218"/>
      <c r="C49" s="218"/>
      <c r="D49" s="218"/>
      <c r="E49" s="218"/>
      <c r="F49" s="218"/>
      <c r="G49" s="218"/>
      <c r="H49" s="218"/>
      <c r="I49" s="218"/>
      <c r="J49" s="218"/>
      <c r="K49" s="218"/>
      <c r="L49" s="219"/>
    </row>
    <row r="50" spans="1:12" x14ac:dyDescent="0.3">
      <c r="A50" s="320" t="s">
        <v>1897</v>
      </c>
    </row>
    <row r="52" spans="1:12" x14ac:dyDescent="0.3">
      <c r="A52" s="211" t="s">
        <v>804</v>
      </c>
      <c r="B52" s="227">
        <f>B31/(AVERAGE('5. Equity Reconc.'!B17:D17)/1000)</f>
        <v>7.5268382338435247E-2</v>
      </c>
      <c r="C52" s="227">
        <f>C31/(AVERAGE('5. Equity Reconc.'!D17:F17)/1000)</f>
        <v>6.6577575181613377E-2</v>
      </c>
      <c r="D52" s="227">
        <f>D31/(AVERAGE('5. Equity Reconc.'!F17:H17)/1000)</f>
        <v>5.6607637300215792E-2</v>
      </c>
      <c r="E52" s="227">
        <f>E31/(AVERAGE('5. Equity Reconc.'!H17:J17)/1000)</f>
        <v>6.3234584095264584E-2</v>
      </c>
      <c r="F52" s="227">
        <f>F31/(AVERAGE('5. Equity Reconc.'!J17:L17)/1000)</f>
        <v>9.4486799613809638E-2</v>
      </c>
      <c r="G52" s="227">
        <f>G31/(AVERAGE('5. Equity Reconc.'!L17:N17)/1000)</f>
        <v>9.4397829742992212E-2</v>
      </c>
      <c r="H52" s="227">
        <f>H31/(AVERAGE('5. Equity Reconc.'!N17:P17)/1000)</f>
        <v>0.13386615336112173</v>
      </c>
      <c r="I52" s="227">
        <f>I31/(AVERAGE('5. Equity Reconc.'!P17:R17)/1000)</f>
        <v>0.10764301873605218</v>
      </c>
      <c r="J52" s="227">
        <f>J31/(AVERAGE('5. Equity Reconc.'!R17:T17)/1000)</f>
        <v>9.188419674103071E-2</v>
      </c>
    </row>
  </sheetData>
  <mergeCells count="1">
    <mergeCell ref="A40:L40"/>
  </mergeCells>
  <pageMargins left="0.7" right="0.7" top="0.75" bottom="0.75" header="0.3" footer="0.3"/>
  <pageSetup orientation="portrait" r:id="rId1"/>
  <ignoredErrors>
    <ignoredError sqref="K19:L19 K30:L30" formulaRange="1"/>
    <ignoredError sqref="C31" formula="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6212-AEC3-49F3-8AA2-8542E78B8641}">
  <sheetPr>
    <tabColor theme="4"/>
  </sheetPr>
  <dimension ref="A1:G33"/>
  <sheetViews>
    <sheetView showGridLines="0" zoomScaleNormal="100" workbookViewId="0">
      <selection activeCell="K23" sqref="K23"/>
    </sheetView>
  </sheetViews>
  <sheetFormatPr defaultColWidth="9.109375" defaultRowHeight="15.6" x14ac:dyDescent="0.3"/>
  <cols>
    <col min="1" max="1" width="26.33203125" style="211" customWidth="1"/>
    <col min="2" max="2" width="22.33203125" style="211" customWidth="1"/>
    <col min="3" max="4" width="9.109375" style="211"/>
    <col min="5" max="5" width="42.88671875" style="211" customWidth="1"/>
    <col min="6" max="6" width="7.44140625" style="211" customWidth="1"/>
    <col min="7" max="16384" width="9.109375" style="211"/>
  </cols>
  <sheetData>
    <row r="1" spans="1:2" x14ac:dyDescent="0.3">
      <c r="A1" s="459" t="s">
        <v>1522</v>
      </c>
    </row>
    <row r="2" spans="1:2" x14ac:dyDescent="0.3">
      <c r="A2" s="152" t="s">
        <v>2897</v>
      </c>
    </row>
    <row r="3" spans="1:2" ht="8.25" customHeight="1" thickBot="1" x14ac:dyDescent="0.35"/>
    <row r="4" spans="1:2" x14ac:dyDescent="0.3">
      <c r="A4" s="453" t="s">
        <v>680</v>
      </c>
      <c r="B4" s="574">
        <v>1000</v>
      </c>
    </row>
    <row r="5" spans="1:2" x14ac:dyDescent="0.3">
      <c r="A5" s="214" t="s">
        <v>2896</v>
      </c>
      <c r="B5" s="2209">
        <v>750000</v>
      </c>
    </row>
    <row r="6" spans="1:2" ht="4.5" customHeight="1" x14ac:dyDescent="0.3">
      <c r="A6" s="214"/>
      <c r="B6" s="2209"/>
    </row>
    <row r="7" spans="1:2" ht="4.5" customHeight="1" x14ac:dyDescent="0.3">
      <c r="A7" s="1155"/>
      <c r="B7" s="2208"/>
    </row>
    <row r="8" spans="1:2" ht="4.5" customHeight="1" x14ac:dyDescent="0.3">
      <c r="A8" s="214"/>
      <c r="B8" s="223"/>
    </row>
    <row r="9" spans="1:2" x14ac:dyDescent="0.3">
      <c r="A9" s="221" t="s">
        <v>2895</v>
      </c>
      <c r="B9" s="223"/>
    </row>
    <row r="10" spans="1:2" x14ac:dyDescent="0.3">
      <c r="A10" s="214" t="s">
        <v>2894</v>
      </c>
      <c r="B10" s="898">
        <v>13000</v>
      </c>
    </row>
    <row r="11" spans="1:2" x14ac:dyDescent="0.3">
      <c r="A11" s="214" t="s">
        <v>2893</v>
      </c>
      <c r="B11" s="2207">
        <v>866</v>
      </c>
    </row>
    <row r="12" spans="1:2" x14ac:dyDescent="0.3">
      <c r="A12" s="214" t="s">
        <v>2892</v>
      </c>
      <c r="B12" s="2057" t="s">
        <v>2891</v>
      </c>
    </row>
    <row r="13" spans="1:2" ht="16.2" thickBot="1" x14ac:dyDescent="0.35">
      <c r="A13" s="224" t="s">
        <v>2890</v>
      </c>
      <c r="B13" s="2206">
        <v>163</v>
      </c>
    </row>
    <row r="14" spans="1:2" x14ac:dyDescent="0.3">
      <c r="A14" s="12" t="s">
        <v>2884</v>
      </c>
    </row>
    <row r="16" spans="1:2" x14ac:dyDescent="0.3">
      <c r="B16" s="211" t="s">
        <v>176</v>
      </c>
    </row>
    <row r="17" spans="5:7" x14ac:dyDescent="0.3">
      <c r="E17" s="459" t="s">
        <v>1522</v>
      </c>
    </row>
    <row r="18" spans="5:7" ht="31.2" customHeight="1" x14ac:dyDescent="0.3">
      <c r="E18" s="2794" t="s">
        <v>2889</v>
      </c>
      <c r="F18" s="2794"/>
    </row>
    <row r="19" spans="5:7" ht="6.6" customHeight="1" thickBot="1" x14ac:dyDescent="0.35"/>
    <row r="20" spans="5:7" x14ac:dyDescent="0.3">
      <c r="E20" s="212" t="s">
        <v>1250</v>
      </c>
      <c r="F20" s="389"/>
    </row>
    <row r="21" spans="5:7" x14ac:dyDescent="0.3">
      <c r="E21" s="214" t="s">
        <v>2888</v>
      </c>
      <c r="F21" s="2204">
        <v>72</v>
      </c>
    </row>
    <row r="22" spans="5:7" x14ac:dyDescent="0.3">
      <c r="E22" s="214" t="s">
        <v>2887</v>
      </c>
      <c r="F22" s="223">
        <v>8</v>
      </c>
    </row>
    <row r="23" spans="5:7" x14ac:dyDescent="0.3">
      <c r="E23" s="214" t="s">
        <v>1857</v>
      </c>
      <c r="F23" s="2205">
        <f>F21-F22</f>
        <v>64</v>
      </c>
    </row>
    <row r="24" spans="5:7" ht="4.5" customHeight="1" x14ac:dyDescent="0.3">
      <c r="E24" s="214"/>
      <c r="F24" s="223"/>
      <c r="G24" s="211" t="s">
        <v>176</v>
      </c>
    </row>
    <row r="25" spans="5:7" ht="4.5" customHeight="1" x14ac:dyDescent="0.3">
      <c r="E25" s="1155"/>
      <c r="F25" s="1279"/>
    </row>
    <row r="26" spans="5:7" ht="4.5" customHeight="1" x14ac:dyDescent="0.3">
      <c r="E26" s="214"/>
      <c r="F26" s="223"/>
    </row>
    <row r="27" spans="5:7" x14ac:dyDescent="0.3">
      <c r="E27" s="214" t="s">
        <v>2886</v>
      </c>
      <c r="F27" s="2204">
        <v>40</v>
      </c>
    </row>
    <row r="28" spans="5:7" ht="4.5" customHeight="1" x14ac:dyDescent="0.3">
      <c r="E28" s="214"/>
      <c r="F28" s="223"/>
    </row>
    <row r="29" spans="5:7" ht="4.5" customHeight="1" x14ac:dyDescent="0.3">
      <c r="E29" s="1155"/>
      <c r="F29" s="1279"/>
    </row>
    <row r="30" spans="5:7" ht="4.5" customHeight="1" x14ac:dyDescent="0.3">
      <c r="E30" s="214"/>
      <c r="F30" s="223"/>
    </row>
    <row r="31" spans="5:7" ht="16.2" thickBot="1" x14ac:dyDescent="0.35">
      <c r="E31" s="224" t="s">
        <v>2885</v>
      </c>
      <c r="F31" s="2002">
        <f>F23/F27</f>
        <v>1.6</v>
      </c>
    </row>
    <row r="32" spans="5:7" ht="17.25" customHeight="1" x14ac:dyDescent="0.3">
      <c r="E32" s="2811" t="s">
        <v>2884</v>
      </c>
      <c r="F32" s="2811"/>
    </row>
    <row r="33" spans="5:6" x14ac:dyDescent="0.3">
      <c r="E33" s="904"/>
      <c r="F33" s="904"/>
    </row>
  </sheetData>
  <mergeCells count="2">
    <mergeCell ref="E18:F18"/>
    <mergeCell ref="E32:F3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879E3-CC73-4322-BBA5-C1665F083D98}">
  <sheetPr>
    <tabColor theme="4"/>
  </sheetPr>
  <dimension ref="A1:J23"/>
  <sheetViews>
    <sheetView showGridLines="0" zoomScale="115" zoomScaleNormal="115" workbookViewId="0">
      <selection activeCell="K21" sqref="K21"/>
    </sheetView>
  </sheetViews>
  <sheetFormatPr defaultColWidth="9.109375" defaultRowHeight="15.6" x14ac:dyDescent="0.3"/>
  <cols>
    <col min="1" max="1" width="40.109375" style="211" customWidth="1"/>
    <col min="2" max="2" width="11.88671875" style="211" bestFit="1" customWidth="1"/>
    <col min="3" max="3" width="1.44140625" style="211" customWidth="1"/>
    <col min="4" max="4" width="11" style="320" customWidth="1"/>
    <col min="5" max="5" width="11.88671875" style="211" customWidth="1"/>
    <col min="6" max="6" width="1.44140625" style="211" customWidth="1"/>
    <col min="7" max="7" width="11" style="320" bestFit="1" customWidth="1"/>
    <col min="8" max="16384" width="9.109375" style="211"/>
  </cols>
  <sheetData>
    <row r="1" spans="1:10" x14ac:dyDescent="0.3">
      <c r="A1" s="459" t="s">
        <v>1522</v>
      </c>
    </row>
    <row r="2" spans="1:10" x14ac:dyDescent="0.3">
      <c r="A2" s="152" t="s">
        <v>2877</v>
      </c>
    </row>
    <row r="3" spans="1:10" ht="6.6" customHeight="1" thickBot="1" x14ac:dyDescent="0.35"/>
    <row r="4" spans="1:10" x14ac:dyDescent="0.3">
      <c r="A4" s="212" t="s">
        <v>1204</v>
      </c>
      <c r="B4" s="501">
        <v>1985</v>
      </c>
      <c r="C4" s="501"/>
      <c r="D4" s="2224" t="s">
        <v>2876</v>
      </c>
      <c r="E4" s="501">
        <v>1984</v>
      </c>
      <c r="F4" s="501"/>
      <c r="G4" s="2223" t="s">
        <v>2876</v>
      </c>
    </row>
    <row r="5" spans="1:10" x14ac:dyDescent="0.3">
      <c r="A5" s="214" t="s">
        <v>2875</v>
      </c>
      <c r="B5" s="2162">
        <v>55710000</v>
      </c>
      <c r="C5" s="2216"/>
      <c r="D5" s="2219">
        <f>B5/$B$17</f>
        <v>4.6490047324548263E-2</v>
      </c>
      <c r="E5" s="2162">
        <v>32908000</v>
      </c>
      <c r="F5" s="2216"/>
      <c r="G5" s="1697">
        <f>E5/$E$17</f>
        <v>2.593455992106462E-2</v>
      </c>
    </row>
    <row r="6" spans="1:10" x14ac:dyDescent="0.3">
      <c r="A6" s="214" t="s">
        <v>2874</v>
      </c>
      <c r="B6" s="2166">
        <v>108997000</v>
      </c>
      <c r="C6" s="2169"/>
      <c r="D6" s="2219">
        <f>B6/$B$17</f>
        <v>9.0958098873340276E-2</v>
      </c>
      <c r="E6" s="2166">
        <v>46738000</v>
      </c>
      <c r="F6" s="2169"/>
      <c r="G6" s="1697">
        <f>E6/$E$17</f>
        <v>3.6833884210244264E-2</v>
      </c>
    </row>
    <row r="7" spans="1:10" x14ac:dyDescent="0.3">
      <c r="A7" s="214" t="s">
        <v>2901</v>
      </c>
      <c r="B7" s="2166">
        <v>108142000</v>
      </c>
      <c r="C7" s="2169"/>
      <c r="D7" s="2219">
        <f>B7/$B$17</f>
        <v>9.0244600570297942E-2</v>
      </c>
      <c r="E7" s="2221"/>
      <c r="F7" s="2221"/>
      <c r="G7" s="2222"/>
    </row>
    <row r="8" spans="1:10" x14ac:dyDescent="0.3">
      <c r="A8" s="214" t="s">
        <v>2872</v>
      </c>
      <c r="B8" s="2221"/>
      <c r="C8" s="2221"/>
      <c r="D8" s="2220"/>
      <c r="E8" s="2166">
        <v>175307000</v>
      </c>
      <c r="F8" s="2169"/>
      <c r="G8" s="1697">
        <f t="shared" ref="G8:G17" si="0">E8/$E$17</f>
        <v>0.13815819545648703</v>
      </c>
    </row>
    <row r="9" spans="1:10" x14ac:dyDescent="0.3">
      <c r="A9" s="214" t="s">
        <v>1676</v>
      </c>
      <c r="B9" s="2166">
        <v>595950000</v>
      </c>
      <c r="C9" s="2169"/>
      <c r="D9" s="2219">
        <f>B9/$B$17</f>
        <v>0.49732083473459948</v>
      </c>
      <c r="E9" s="2166">
        <v>397300000</v>
      </c>
      <c r="F9" s="2169"/>
      <c r="G9" s="1697">
        <f t="shared" si="0"/>
        <v>0.31310929429436529</v>
      </c>
    </row>
    <row r="10" spans="1:10" x14ac:dyDescent="0.3">
      <c r="A10" s="214" t="s">
        <v>2871</v>
      </c>
      <c r="B10" s="2166"/>
      <c r="C10" s="2169"/>
      <c r="D10" s="2219">
        <f>B10/$B$17</f>
        <v>0</v>
      </c>
      <c r="E10" s="2166">
        <v>226137000</v>
      </c>
      <c r="F10" s="2169"/>
      <c r="G10" s="1697">
        <f t="shared" si="0"/>
        <v>0.17821695566031936</v>
      </c>
    </row>
    <row r="11" spans="1:10" x14ac:dyDescent="0.3">
      <c r="A11" s="214" t="s">
        <v>2870</v>
      </c>
      <c r="B11" s="2166">
        <v>43718000</v>
      </c>
      <c r="C11" s="2169"/>
      <c r="D11" s="2219">
        <f>B11/$B$17</f>
        <v>3.6482712061292423E-2</v>
      </c>
      <c r="E11" s="2166">
        <v>38662000</v>
      </c>
      <c r="F11" s="2169"/>
      <c r="G11" s="1697">
        <f t="shared" si="0"/>
        <v>3.0469246252224393E-2</v>
      </c>
    </row>
    <row r="12" spans="1:10" x14ac:dyDescent="0.3">
      <c r="A12" s="214" t="s">
        <v>2869</v>
      </c>
      <c r="B12" s="2221"/>
      <c r="C12" s="2221"/>
      <c r="D12" s="2220"/>
      <c r="E12" s="2166">
        <v>28149000</v>
      </c>
      <c r="F12" s="2169"/>
      <c r="G12" s="1697">
        <f t="shared" si="0"/>
        <v>2.2184025988150235E-2</v>
      </c>
    </row>
    <row r="13" spans="1:10" x14ac:dyDescent="0.3">
      <c r="A13" s="214" t="s">
        <v>2866</v>
      </c>
      <c r="B13" s="2221"/>
      <c r="C13" s="2221"/>
      <c r="D13" s="2220"/>
      <c r="E13" s="2166">
        <v>27242000</v>
      </c>
      <c r="F13" s="2169"/>
      <c r="G13" s="1697">
        <f t="shared" si="0"/>
        <v>2.1469225761809967E-2</v>
      </c>
      <c r="J13" s="211" t="s">
        <v>176</v>
      </c>
    </row>
    <row r="14" spans="1:10" x14ac:dyDescent="0.3">
      <c r="A14" s="214" t="s">
        <v>2862</v>
      </c>
      <c r="B14" s="2166">
        <v>52669000</v>
      </c>
      <c r="C14" s="2169"/>
      <c r="D14" s="2219">
        <f>B14/$B$17</f>
        <v>4.395232996834738E-2</v>
      </c>
      <c r="E14" s="2166">
        <v>109162000</v>
      </c>
      <c r="F14" s="2169"/>
      <c r="G14" s="1697">
        <f t="shared" si="0"/>
        <v>8.6029793062576146E-2</v>
      </c>
    </row>
    <row r="15" spans="1:10" x14ac:dyDescent="0.3">
      <c r="A15" s="214" t="s">
        <v>2861</v>
      </c>
      <c r="B15" s="2166">
        <v>205172000</v>
      </c>
      <c r="C15" s="2169"/>
      <c r="D15" s="2219">
        <f>B15/$B$17</f>
        <v>0.17121622670386316</v>
      </c>
      <c r="E15" s="2166">
        <v>149955000</v>
      </c>
      <c r="F15" s="2169"/>
      <c r="G15" s="1697">
        <f t="shared" si="0"/>
        <v>0.11817846520491203</v>
      </c>
    </row>
    <row r="16" spans="1:10" x14ac:dyDescent="0.3">
      <c r="A16" s="214" t="s">
        <v>2469</v>
      </c>
      <c r="B16" s="2166">
        <f>B17-SUM(B5:B15)</f>
        <v>27963000</v>
      </c>
      <c r="C16" s="2169"/>
      <c r="D16" s="2219">
        <f>B16/$B$17</f>
        <v>2.3335149763711059E-2</v>
      </c>
      <c r="E16" s="2166">
        <f>E17-SUM(E5:E15)</f>
        <v>37326000</v>
      </c>
      <c r="F16" s="2169"/>
      <c r="G16" s="1697">
        <f t="shared" si="0"/>
        <v>2.9416354187846664E-2</v>
      </c>
      <c r="J16" s="211" t="s">
        <v>176</v>
      </c>
    </row>
    <row r="17" spans="1:7" ht="16.2" thickBot="1" x14ac:dyDescent="0.35">
      <c r="A17" s="214" t="s">
        <v>2859</v>
      </c>
      <c r="B17" s="2164">
        <v>1198321000</v>
      </c>
      <c r="C17" s="2216"/>
      <c r="D17" s="2218">
        <f>B17/$B$17</f>
        <v>1</v>
      </c>
      <c r="E17" s="2164">
        <v>1268886000</v>
      </c>
      <c r="F17" s="2216"/>
      <c r="G17" s="2217">
        <f t="shared" si="0"/>
        <v>1</v>
      </c>
    </row>
    <row r="18" spans="1:7" ht="5.25" customHeight="1" thickTop="1" x14ac:dyDescent="0.3">
      <c r="A18" s="214"/>
      <c r="B18" s="2162"/>
      <c r="C18" s="2216"/>
      <c r="D18" s="943"/>
      <c r="E18" s="2162"/>
      <c r="F18" s="2162"/>
      <c r="G18" s="1697"/>
    </row>
    <row r="19" spans="1:7" x14ac:dyDescent="0.3">
      <c r="A19" s="214" t="s">
        <v>2900</v>
      </c>
      <c r="B19" s="2162">
        <v>25000000</v>
      </c>
      <c r="C19" s="2216"/>
      <c r="E19" s="2162" t="s">
        <v>274</v>
      </c>
      <c r="F19" s="2162"/>
      <c r="G19" s="222"/>
    </row>
    <row r="20" spans="1:7" ht="10.5" customHeight="1" x14ac:dyDescent="0.3">
      <c r="A20" s="214"/>
      <c r="B20" s="2162"/>
      <c r="C20" s="2216"/>
      <c r="E20" s="2162"/>
      <c r="F20" s="2162"/>
      <c r="G20" s="222"/>
    </row>
    <row r="21" spans="1:7" ht="16.2" thickBot="1" x14ac:dyDescent="0.35">
      <c r="A21" s="9" t="s">
        <v>2899</v>
      </c>
      <c r="B21" s="2214"/>
      <c r="C21" s="2215"/>
      <c r="D21" s="1637"/>
      <c r="E21" s="2214"/>
      <c r="F21" s="2214"/>
      <c r="G21" s="1638"/>
    </row>
    <row r="22" spans="1:7" ht="15.75" customHeight="1" x14ac:dyDescent="0.3">
      <c r="A22" s="2805" t="s">
        <v>2898</v>
      </c>
      <c r="B22" s="2805"/>
      <c r="C22" s="2805"/>
      <c r="D22" s="2805"/>
      <c r="E22" s="2805"/>
      <c r="F22" s="2805"/>
      <c r="G22" s="2805"/>
    </row>
    <row r="23" spans="1:7" x14ac:dyDescent="0.3">
      <c r="A23" s="904"/>
      <c r="B23" s="904"/>
      <c r="C23" s="904"/>
      <c r="D23" s="904"/>
      <c r="E23" s="904"/>
      <c r="F23" s="904"/>
      <c r="G23" s="904"/>
    </row>
  </sheetData>
  <mergeCells count="1">
    <mergeCell ref="A22:G22"/>
  </mergeCells>
  <pageMargins left="0.7" right="0.7" top="0.75" bottom="0.75" header="0.3" footer="0.3"/>
  <pageSetup orientation="portrait" r:id="rId1"/>
  <ignoredErrors>
    <ignoredError sqref="B16:E16" formulaRange="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65A50-5DC4-42FA-816B-5E60766CD57E}">
  <sheetPr codeName="Sheet45">
    <tabColor theme="4"/>
  </sheetPr>
  <dimension ref="A1:R64"/>
  <sheetViews>
    <sheetView showGridLines="0" topLeftCell="A31" zoomScaleNormal="100" workbookViewId="0">
      <selection activeCell="D35" sqref="D35"/>
    </sheetView>
  </sheetViews>
  <sheetFormatPr defaultColWidth="9.109375" defaultRowHeight="15.6" x14ac:dyDescent="0.3"/>
  <cols>
    <col min="1" max="1" width="32.5546875" style="211" customWidth="1"/>
    <col min="2" max="2" width="10.44140625" style="211" customWidth="1"/>
    <col min="3" max="3" width="1.88671875" style="211" customWidth="1"/>
    <col min="4" max="12" width="9.88671875" style="211" bestFit="1" customWidth="1"/>
    <col min="13" max="14" width="10.44140625" style="211" bestFit="1" customWidth="1"/>
    <col min="15" max="16384" width="9.109375" style="211"/>
  </cols>
  <sheetData>
    <row r="1" spans="1:18" x14ac:dyDescent="0.3">
      <c r="A1" s="459" t="s">
        <v>1522</v>
      </c>
    </row>
    <row r="2" spans="1:18" x14ac:dyDescent="0.3">
      <c r="A2" s="152" t="s">
        <v>1539</v>
      </c>
    </row>
    <row r="3" spans="1:18" ht="8.25" customHeight="1" thickBot="1" x14ac:dyDescent="0.35">
      <c r="C3" s="220"/>
      <c r="D3" s="220"/>
      <c r="E3" s="220"/>
      <c r="F3" s="220"/>
      <c r="G3" s="220"/>
      <c r="H3" s="220"/>
      <c r="I3" s="220"/>
      <c r="J3" s="220"/>
      <c r="K3" s="220"/>
      <c r="L3" s="220"/>
      <c r="M3" s="220"/>
    </row>
    <row r="4" spans="1:18" x14ac:dyDescent="0.3">
      <c r="A4" s="212"/>
      <c r="B4" s="501">
        <v>1986</v>
      </c>
      <c r="C4" s="2225"/>
      <c r="D4" s="501">
        <v>1984</v>
      </c>
      <c r="E4" s="501">
        <v>1983</v>
      </c>
      <c r="F4" s="501">
        <v>1982</v>
      </c>
      <c r="G4" s="501">
        <v>1981</v>
      </c>
      <c r="H4" s="501">
        <v>1980</v>
      </c>
      <c r="I4" s="502">
        <v>1979</v>
      </c>
      <c r="J4" s="902">
        <v>1978</v>
      </c>
      <c r="K4" s="902">
        <v>1977</v>
      </c>
      <c r="L4" s="902">
        <v>1976</v>
      </c>
      <c r="M4" s="902">
        <v>1975</v>
      </c>
      <c r="N4" s="902">
        <v>1974</v>
      </c>
    </row>
    <row r="5" spans="1:18" x14ac:dyDescent="0.3">
      <c r="A5" s="214" t="s">
        <v>1494</v>
      </c>
      <c r="B5" s="900">
        <v>677240</v>
      </c>
      <c r="C5" s="524"/>
      <c r="D5" s="900">
        <v>695382</v>
      </c>
      <c r="E5" s="900">
        <v>615396</v>
      </c>
      <c r="F5" s="900">
        <v>544859</v>
      </c>
      <c r="G5" s="900">
        <v>592589</v>
      </c>
      <c r="H5" s="900">
        <v>570191</v>
      </c>
      <c r="I5" s="898">
        <v>697401</v>
      </c>
      <c r="J5" s="900">
        <v>478222</v>
      </c>
      <c r="K5" s="900">
        <v>351187</v>
      </c>
      <c r="L5" s="900">
        <v>301918</v>
      </c>
      <c r="M5" s="900">
        <v>284020</v>
      </c>
      <c r="N5" s="900">
        <v>191258</v>
      </c>
    </row>
    <row r="6" spans="1:18" ht="18.600000000000001" x14ac:dyDescent="0.3">
      <c r="A6" s="214" t="s">
        <v>1541</v>
      </c>
      <c r="B6" s="901">
        <f>B5/B31</f>
        <v>3.1991157130980272</v>
      </c>
      <c r="C6" s="524"/>
      <c r="D6" s="901">
        <f t="shared" ref="D6:M6" si="0">D42</f>
        <v>3.2647433103072361</v>
      </c>
      <c r="E6" s="901">
        <f t="shared" si="0"/>
        <v>2.9652797645685554</v>
      </c>
      <c r="F6" s="901">
        <f t="shared" si="0"/>
        <v>2.6410017658090319</v>
      </c>
      <c r="G6" s="901">
        <f t="shared" si="0"/>
        <v>2.9168658123297213</v>
      </c>
      <c r="H6" s="901">
        <f t="shared" si="0"/>
        <v>2.5291542635462925</v>
      </c>
      <c r="I6" s="899">
        <f t="shared" si="0"/>
        <v>3.0647030886375326</v>
      </c>
      <c r="J6" s="901">
        <f t="shared" si="0"/>
        <v>2.7408849493107192</v>
      </c>
      <c r="K6" s="901">
        <f t="shared" si="0"/>
        <v>2.6163736144002727</v>
      </c>
      <c r="L6" s="901">
        <f t="shared" si="0"/>
        <v>2.3653508897349189</v>
      </c>
      <c r="M6" s="901">
        <f t="shared" si="0"/>
        <v>2.2459550943412641</v>
      </c>
      <c r="N6" s="901"/>
    </row>
    <row r="7" spans="1:18" x14ac:dyDescent="0.3">
      <c r="A7" s="214" t="s">
        <v>1993</v>
      </c>
      <c r="B7" s="917">
        <f>71618/B5</f>
        <v>0.10574980804441557</v>
      </c>
      <c r="C7" s="2688"/>
      <c r="D7" s="917">
        <f>70994/D5</f>
        <v>0.10209352557299441</v>
      </c>
      <c r="E7" s="917">
        <f>50905/E5</f>
        <v>8.2719094696748111E-2</v>
      </c>
      <c r="F7" s="917">
        <f>41714/F5</f>
        <v>7.6559256615014157E-2</v>
      </c>
      <c r="G7" s="917">
        <f>50061/G5</f>
        <v>8.4478449650601001E-2</v>
      </c>
      <c r="H7" s="917">
        <f>29076/H5</f>
        <v>5.0993439040602183E-2</v>
      </c>
      <c r="I7" s="918">
        <f>63060/I5</f>
        <v>9.0421436160831425E-2</v>
      </c>
      <c r="J7" s="464">
        <f>60807/J5</f>
        <v>0.1271522431004847</v>
      </c>
      <c r="K7" s="464">
        <f>56108/K5</f>
        <v>0.15976673396224803</v>
      </c>
      <c r="L7" s="464">
        <f>45855/L5</f>
        <v>0.15187898700971786</v>
      </c>
      <c r="M7" s="464">
        <f>32791/M5</f>
        <v>0.11545313710302091</v>
      </c>
      <c r="N7" s="464">
        <f>28114/N5</f>
        <v>0.14699515837246024</v>
      </c>
    </row>
    <row r="8" spans="1:18" x14ac:dyDescent="0.3">
      <c r="A8" s="214" t="s">
        <v>1121</v>
      </c>
      <c r="B8" s="917">
        <f>B6*B7</f>
        <v>0.33830587257199002</v>
      </c>
      <c r="C8" s="2688"/>
      <c r="D8" s="917">
        <f>D6*D7</f>
        <v>0.33330915464011424</v>
      </c>
      <c r="E8" s="917">
        <f t="shared" ref="E8:H8" si="1">E6*E7</f>
        <v>0.24528525764769726</v>
      </c>
      <c r="F8" s="917">
        <f t="shared" si="1"/>
        <v>0.20219313190927921</v>
      </c>
      <c r="G8" s="917">
        <f t="shared" si="1"/>
        <v>0.24641230166445574</v>
      </c>
      <c r="H8" s="917">
        <f t="shared" si="1"/>
        <v>0.12897027376242698</v>
      </c>
      <c r="I8" s="918">
        <f t="shared" ref="I8" si="2">I6*I7</f>
        <v>0.27711485468114155</v>
      </c>
      <c r="J8" s="227">
        <f t="shared" ref="J8" si="3">J6*J7</f>
        <v>0.34850966938521627</v>
      </c>
      <c r="K8" s="227">
        <f t="shared" ref="K8" si="4">K6*K7</f>
        <v>0.41800946719773369</v>
      </c>
      <c r="L8" s="227">
        <f t="shared" ref="L8:M8" si="5">L6*L7</f>
        <v>0.35924709705547431</v>
      </c>
      <c r="M8" s="227">
        <f t="shared" si="5"/>
        <v>0.25930256143421021</v>
      </c>
      <c r="N8" s="227"/>
    </row>
    <row r="9" spans="1:18" ht="4.5" customHeight="1" x14ac:dyDescent="0.3">
      <c r="A9" s="214"/>
      <c r="B9" s="220"/>
      <c r="C9" s="524"/>
      <c r="D9" s="220"/>
      <c r="E9" s="220"/>
      <c r="F9" s="220"/>
      <c r="G9" s="220"/>
      <c r="H9" s="220"/>
      <c r="I9" s="223"/>
      <c r="J9" s="220"/>
      <c r="K9" s="220"/>
      <c r="L9" s="220"/>
      <c r="M9" s="220"/>
      <c r="N9" s="220"/>
    </row>
    <row r="10" spans="1:18" ht="4.5" customHeight="1" x14ac:dyDescent="0.3">
      <c r="A10" s="1155"/>
      <c r="B10" s="684"/>
      <c r="C10" s="684"/>
      <c r="D10" s="684"/>
      <c r="E10" s="684"/>
      <c r="F10" s="684"/>
      <c r="G10" s="684"/>
      <c r="H10" s="684"/>
      <c r="I10" s="1279"/>
      <c r="J10" s="220"/>
      <c r="K10" s="220"/>
      <c r="L10" s="220"/>
      <c r="M10" s="220"/>
      <c r="N10" s="220"/>
    </row>
    <row r="11" spans="1:18" ht="4.5" customHeight="1" x14ac:dyDescent="0.3">
      <c r="A11" s="214"/>
      <c r="B11" s="220"/>
      <c r="C11" s="397"/>
      <c r="D11" s="220"/>
      <c r="E11" s="220"/>
      <c r="F11" s="220"/>
      <c r="G11" s="220"/>
      <c r="H11" s="220"/>
      <c r="I11" s="223"/>
      <c r="J11" s="220"/>
      <c r="K11" s="220"/>
      <c r="L11" s="220"/>
      <c r="M11" s="220"/>
      <c r="N11" s="220"/>
    </row>
    <row r="12" spans="1:18" ht="18.600000000000001" x14ac:dyDescent="0.3">
      <c r="A12" s="214" t="s">
        <v>1552</v>
      </c>
      <c r="B12" s="2686">
        <f>B64/B31</f>
        <v>1.3462701231955256</v>
      </c>
      <c r="C12" s="397"/>
      <c r="D12" s="220"/>
      <c r="E12" s="220"/>
      <c r="F12" s="220"/>
      <c r="G12" s="220"/>
      <c r="H12" s="220"/>
      <c r="I12" s="223"/>
      <c r="J12" s="220"/>
      <c r="K12" s="220"/>
      <c r="L12" s="220"/>
      <c r="M12" s="220"/>
      <c r="N12" s="220"/>
      <c r="R12" s="211" t="s">
        <v>176</v>
      </c>
    </row>
    <row r="13" spans="1:18" x14ac:dyDescent="0.3">
      <c r="A13" s="214" t="s">
        <v>1538</v>
      </c>
      <c r="B13" s="464">
        <f>B8/B12</f>
        <v>0.25129122807017545</v>
      </c>
      <c r="C13" s="397"/>
      <c r="D13" s="220"/>
      <c r="E13" s="220"/>
      <c r="F13" s="220"/>
      <c r="G13" s="220"/>
      <c r="H13" s="220"/>
      <c r="I13" s="223"/>
      <c r="J13" s="220"/>
      <c r="K13" s="220"/>
      <c r="L13" s="220"/>
      <c r="M13" s="220"/>
      <c r="N13" s="220"/>
    </row>
    <row r="14" spans="1:18" ht="4.5" customHeight="1" x14ac:dyDescent="0.3">
      <c r="A14" s="214"/>
      <c r="B14" s="220"/>
      <c r="C14" s="397"/>
      <c r="D14" s="220"/>
      <c r="E14" s="220"/>
      <c r="F14" s="220"/>
      <c r="G14" s="220"/>
      <c r="H14" s="220"/>
      <c r="I14" s="223"/>
      <c r="J14" s="220"/>
      <c r="K14" s="220"/>
      <c r="L14" s="220"/>
      <c r="M14" s="220"/>
      <c r="N14" s="220"/>
    </row>
    <row r="15" spans="1:18" ht="4.5" customHeight="1" x14ac:dyDescent="0.3">
      <c r="A15" s="1155"/>
      <c r="B15" s="684"/>
      <c r="C15" s="684"/>
      <c r="D15" s="684"/>
      <c r="E15" s="684"/>
      <c r="F15" s="684"/>
      <c r="G15" s="684"/>
      <c r="H15" s="684"/>
      <c r="I15" s="1279"/>
      <c r="J15" s="220"/>
      <c r="K15" s="220"/>
      <c r="L15" s="220"/>
      <c r="M15" s="220"/>
      <c r="N15" s="220"/>
    </row>
    <row r="16" spans="1:18" ht="4.5" customHeight="1" x14ac:dyDescent="0.3">
      <c r="A16" s="214"/>
      <c r="B16" s="220"/>
      <c r="C16" s="397"/>
      <c r="D16" s="220"/>
      <c r="E16" s="220"/>
      <c r="F16" s="220"/>
      <c r="G16" s="220"/>
      <c r="H16" s="220"/>
      <c r="I16" s="223"/>
      <c r="J16" s="220"/>
      <c r="K16" s="220"/>
      <c r="L16" s="220"/>
      <c r="M16" s="220"/>
      <c r="N16" s="220"/>
    </row>
    <row r="17" spans="1:14" s="1" customFormat="1" ht="13.8" x14ac:dyDescent="0.25">
      <c r="A17" s="2799" t="s">
        <v>3730</v>
      </c>
      <c r="B17" s="2800"/>
      <c r="C17" s="2800"/>
      <c r="D17" s="2800"/>
      <c r="E17" s="2800"/>
      <c r="F17" s="2800"/>
      <c r="G17" s="2800"/>
      <c r="H17" s="2800"/>
      <c r="I17" s="2801"/>
      <c r="J17" s="205"/>
      <c r="K17" s="205"/>
      <c r="L17" s="205"/>
      <c r="M17" s="205"/>
      <c r="N17" s="205"/>
    </row>
    <row r="18" spans="1:14" s="1" customFormat="1" ht="9" customHeight="1" x14ac:dyDescent="0.25">
      <c r="A18" s="1540"/>
      <c r="B18" s="1541"/>
      <c r="C18" s="1541"/>
      <c r="D18" s="1541"/>
      <c r="E18" s="1541"/>
      <c r="F18" s="1541"/>
      <c r="G18" s="1541"/>
      <c r="H18" s="1541"/>
      <c r="I18" s="1542"/>
      <c r="J18" s="205"/>
      <c r="K18" s="205"/>
      <c r="L18" s="205"/>
      <c r="M18" s="205"/>
      <c r="N18" s="205"/>
    </row>
    <row r="19" spans="1:14" s="1" customFormat="1" ht="13.8" x14ac:dyDescent="0.25">
      <c r="A19" s="1540" t="s">
        <v>1398</v>
      </c>
      <c r="B19" s="1541"/>
      <c r="C19" s="1541"/>
      <c r="D19" s="1541"/>
      <c r="E19" s="1541"/>
      <c r="F19" s="1541"/>
      <c r="G19" s="1541"/>
      <c r="H19" s="1541"/>
      <c r="I19" s="1542"/>
      <c r="J19" s="205"/>
      <c r="K19" s="205"/>
      <c r="L19" s="205"/>
      <c r="M19" s="205"/>
      <c r="N19" s="205"/>
    </row>
    <row r="20" spans="1:14" s="1" customFormat="1" ht="13.8" x14ac:dyDescent="0.25">
      <c r="A20" s="2799" t="s">
        <v>1856</v>
      </c>
      <c r="B20" s="2800"/>
      <c r="C20" s="2800"/>
      <c r="D20" s="2800"/>
      <c r="E20" s="2800"/>
      <c r="F20" s="2800"/>
      <c r="G20" s="2800"/>
      <c r="H20" s="2800"/>
      <c r="I20" s="2801"/>
      <c r="J20" s="205"/>
      <c r="K20" s="205"/>
      <c r="L20" s="205"/>
      <c r="M20" s="205"/>
      <c r="N20" s="205"/>
    </row>
    <row r="21" spans="1:14" s="1" customFormat="1" ht="49.5" customHeight="1" thickBot="1" x14ac:dyDescent="0.3">
      <c r="A21" s="2802" t="s">
        <v>1553</v>
      </c>
      <c r="B21" s="2803"/>
      <c r="C21" s="2803"/>
      <c r="D21" s="2803"/>
      <c r="E21" s="2803"/>
      <c r="F21" s="2803"/>
      <c r="G21" s="2803"/>
      <c r="H21" s="2803"/>
      <c r="I21" s="2804"/>
      <c r="J21" s="205"/>
      <c r="K21" s="205"/>
      <c r="L21" s="205"/>
      <c r="M21" s="205" t="s">
        <v>176</v>
      </c>
      <c r="N21" s="205"/>
    </row>
    <row r="22" spans="1:14" s="1" customFormat="1" ht="31.5" customHeight="1" x14ac:dyDescent="0.25">
      <c r="A22" s="2811" t="s">
        <v>3731</v>
      </c>
      <c r="B22" s="2811"/>
      <c r="C22" s="2811"/>
      <c r="D22" s="2811"/>
      <c r="E22" s="2811"/>
      <c r="F22" s="2811"/>
      <c r="G22" s="2811"/>
      <c r="H22" s="2811"/>
      <c r="I22" s="2811"/>
      <c r="J22" s="909"/>
      <c r="K22" s="909"/>
      <c r="L22" s="909"/>
      <c r="M22" s="909"/>
    </row>
    <row r="23" spans="1:14" ht="31.5" customHeight="1" x14ac:dyDescent="0.3">
      <c r="A23" s="906"/>
      <c r="B23" s="906"/>
      <c r="C23" s="906"/>
      <c r="D23" s="906"/>
      <c r="E23" s="906"/>
      <c r="F23" s="906"/>
      <c r="G23" s="906"/>
      <c r="H23" s="906"/>
      <c r="I23" s="909"/>
      <c r="J23" s="909"/>
      <c r="K23" s="909"/>
      <c r="L23" s="909"/>
      <c r="M23" s="909"/>
    </row>
    <row r="24" spans="1:14" x14ac:dyDescent="0.3">
      <c r="A24" s="907" t="s">
        <v>1549</v>
      </c>
      <c r="B24" s="906" t="s">
        <v>176</v>
      </c>
      <c r="C24" s="906"/>
      <c r="D24" s="906"/>
      <c r="E24" s="906"/>
      <c r="F24" s="906"/>
      <c r="G24" s="906"/>
      <c r="H24" s="906"/>
      <c r="I24" s="906"/>
      <c r="J24" s="906"/>
      <c r="K24" s="906"/>
      <c r="L24" s="906"/>
      <c r="M24" s="906"/>
    </row>
    <row r="25" spans="1:14" x14ac:dyDescent="0.3">
      <c r="A25" s="214" t="s">
        <v>1527</v>
      </c>
      <c r="B25" s="904"/>
      <c r="D25" s="901">
        <f t="shared" ref="D25:M25" si="6">D5/AVERAGE(D31:E31)</f>
        <v>2.2922817265409186</v>
      </c>
      <c r="E25" s="901">
        <f t="shared" si="6"/>
        <v>2.1660636096132455</v>
      </c>
      <c r="F25" s="901">
        <f t="shared" si="6"/>
        <v>2.0016494921107255</v>
      </c>
      <c r="G25" s="901">
        <f t="shared" si="6"/>
        <v>2.1837501796486625</v>
      </c>
      <c r="H25" s="901">
        <f t="shared" si="6"/>
        <v>2.1004720795259679</v>
      </c>
      <c r="I25" s="901">
        <f t="shared" si="6"/>
        <v>2.7112699875205561</v>
      </c>
      <c r="J25" s="901">
        <f t="shared" si="6"/>
        <v>2.2627980372951768</v>
      </c>
      <c r="K25" s="901">
        <f t="shared" si="6"/>
        <v>2.0446795317790012</v>
      </c>
      <c r="L25" s="901">
        <f t="shared" si="6"/>
        <v>1.9367063842070658</v>
      </c>
      <c r="M25" s="901">
        <f t="shared" si="6"/>
        <v>2.0828917889240497</v>
      </c>
    </row>
    <row r="26" spans="1:14" x14ac:dyDescent="0.3">
      <c r="A26" s="214" t="s">
        <v>1121</v>
      </c>
      <c r="B26" s="904"/>
      <c r="D26" s="464">
        <f t="shared" ref="D26:M26" si="7">D25*D7</f>
        <v>0.23402712306911305</v>
      </c>
      <c r="E26" s="464">
        <f t="shared" si="7"/>
        <v>0.17917482084277808</v>
      </c>
      <c r="F26" s="464">
        <f t="shared" si="7"/>
        <v>0.15324479711981778</v>
      </c>
      <c r="G26" s="464">
        <f t="shared" si="7"/>
        <v>0.18447982960094042</v>
      </c>
      <c r="H26" s="464">
        <f t="shared" si="7"/>
        <v>0.10711029494379434</v>
      </c>
      <c r="I26" s="464">
        <f t="shared" si="7"/>
        <v>0.24515692609136819</v>
      </c>
      <c r="J26" s="464">
        <f t="shared" si="7"/>
        <v>0.28771984612545598</v>
      </c>
      <c r="K26" s="464">
        <f t="shared" si="7"/>
        <v>0.32667177079178955</v>
      </c>
      <c r="L26" s="464">
        <f t="shared" si="7"/>
        <v>0.29414500376862257</v>
      </c>
      <c r="M26" s="464">
        <f t="shared" si="7"/>
        <v>0.24047639127740481</v>
      </c>
    </row>
    <row r="27" spans="1:14" ht="31.5" customHeight="1" x14ac:dyDescent="0.3">
      <c r="A27" s="904"/>
      <c r="B27" s="904"/>
      <c r="D27" s="901"/>
      <c r="E27" s="901"/>
      <c r="F27" s="901"/>
      <c r="G27" s="901"/>
      <c r="H27" s="901"/>
    </row>
    <row r="28" spans="1:14" x14ac:dyDescent="0.3">
      <c r="A28" s="904"/>
      <c r="B28" s="904"/>
    </row>
    <row r="29" spans="1:14" x14ac:dyDescent="0.3">
      <c r="A29" s="211" t="s">
        <v>746</v>
      </c>
      <c r="B29" s="230">
        <v>172377</v>
      </c>
      <c r="D29" s="230">
        <v>243901</v>
      </c>
      <c r="E29" s="230">
        <v>214867</v>
      </c>
      <c r="F29" s="230">
        <v>194085</v>
      </c>
      <c r="G29" s="230">
        <v>184000</v>
      </c>
      <c r="H29" s="230">
        <v>185079</v>
      </c>
      <c r="I29" s="230">
        <v>174968</v>
      </c>
      <c r="J29" s="230">
        <v>153014</v>
      </c>
      <c r="K29" s="230">
        <v>133365</v>
      </c>
      <c r="L29" s="230">
        <v>123228</v>
      </c>
      <c r="M29" s="230">
        <v>109496</v>
      </c>
      <c r="N29" s="230">
        <v>100137</v>
      </c>
    </row>
    <row r="30" spans="1:14" x14ac:dyDescent="0.3">
      <c r="A30" s="211" t="s">
        <v>23</v>
      </c>
      <c r="B30" s="230">
        <v>39319</v>
      </c>
      <c r="D30" s="230">
        <f>37667+33333</f>
        <v>71000</v>
      </c>
      <c r="E30" s="230">
        <f>8785+68163</f>
        <v>76948</v>
      </c>
      <c r="F30" s="230">
        <f>4971+4559+72786</f>
        <v>82316</v>
      </c>
      <c r="G30" s="230">
        <f>4506+2602+76901</f>
        <v>84009</v>
      </c>
      <c r="H30" s="230">
        <f>6885+3158+79595</f>
        <v>89638</v>
      </c>
      <c r="I30" s="230">
        <f>8469+2417+82346</f>
        <v>93232</v>
      </c>
      <c r="J30" s="230">
        <f>82346+8469+2417</f>
        <v>93232</v>
      </c>
      <c r="K30" s="230">
        <f>41838+1233</f>
        <v>43071</v>
      </c>
      <c r="L30" s="230">
        <f>42736+1113</f>
        <v>43849</v>
      </c>
      <c r="M30" s="230">
        <f>34772+440</f>
        <v>35212</v>
      </c>
      <c r="N30" s="230">
        <f>27424+448</f>
        <v>27872</v>
      </c>
    </row>
    <row r="31" spans="1:14" x14ac:dyDescent="0.3">
      <c r="A31" s="320" t="s">
        <v>1540</v>
      </c>
      <c r="B31" s="472">
        <f>B29+B30</f>
        <v>211696</v>
      </c>
      <c r="D31" s="472">
        <f t="shared" ref="D31:N31" si="8">D29+D30</f>
        <v>314901</v>
      </c>
      <c r="E31" s="472">
        <f t="shared" si="8"/>
        <v>291815</v>
      </c>
      <c r="F31" s="472">
        <f t="shared" si="8"/>
        <v>276401</v>
      </c>
      <c r="G31" s="472">
        <f t="shared" si="8"/>
        <v>268009</v>
      </c>
      <c r="H31" s="472">
        <f t="shared" si="8"/>
        <v>274717</v>
      </c>
      <c r="I31" s="472">
        <f t="shared" si="8"/>
        <v>268200</v>
      </c>
      <c r="J31" s="472">
        <f t="shared" si="8"/>
        <v>246246</v>
      </c>
      <c r="K31" s="472">
        <f t="shared" si="8"/>
        <v>176436</v>
      </c>
      <c r="L31" s="472">
        <f t="shared" si="8"/>
        <v>167077</v>
      </c>
      <c r="M31" s="472">
        <f t="shared" si="8"/>
        <v>144708</v>
      </c>
      <c r="N31" s="472">
        <f t="shared" si="8"/>
        <v>128009</v>
      </c>
    </row>
    <row r="32" spans="1:14" x14ac:dyDescent="0.3">
      <c r="B32" s="896" t="s">
        <v>1532</v>
      </c>
    </row>
    <row r="33" spans="1:14" x14ac:dyDescent="0.3">
      <c r="A33" s="211" t="s">
        <v>5</v>
      </c>
      <c r="B33" s="896"/>
      <c r="D33" s="230">
        <v>3882</v>
      </c>
      <c r="E33" s="230">
        <v>4250</v>
      </c>
      <c r="F33" s="230">
        <v>2651</v>
      </c>
      <c r="G33" s="230">
        <v>8924</v>
      </c>
      <c r="H33" s="230">
        <v>8917</v>
      </c>
      <c r="I33" s="230">
        <v>9603</v>
      </c>
      <c r="J33" s="230">
        <v>2158</v>
      </c>
      <c r="K33" s="230">
        <v>7279</v>
      </c>
      <c r="L33" s="230">
        <v>288</v>
      </c>
      <c r="M33" s="230">
        <v>530</v>
      </c>
      <c r="N33" s="230">
        <v>4854</v>
      </c>
    </row>
    <row r="34" spans="1:14" x14ac:dyDescent="0.3">
      <c r="A34" s="211" t="s">
        <v>1542</v>
      </c>
      <c r="B34" s="896"/>
      <c r="D34" s="230">
        <v>96935</v>
      </c>
      <c r="E34" s="230">
        <v>54552</v>
      </c>
      <c r="F34" s="230">
        <v>46163</v>
      </c>
      <c r="G34" s="230">
        <v>72246</v>
      </c>
      <c r="H34" s="230">
        <v>72162</v>
      </c>
      <c r="I34" s="230">
        <v>41724</v>
      </c>
      <c r="J34" s="230">
        <v>34370</v>
      </c>
      <c r="K34" s="230">
        <v>24404</v>
      </c>
      <c r="L34" s="230">
        <v>26689</v>
      </c>
      <c r="M34" s="230">
        <v>33797</v>
      </c>
      <c r="N34" s="230">
        <v>283</v>
      </c>
    </row>
    <row r="35" spans="1:14" x14ac:dyDescent="0.3">
      <c r="A35" s="211" t="s">
        <v>1543</v>
      </c>
      <c r="B35" s="896"/>
      <c r="D35" s="230">
        <v>20600</v>
      </c>
      <c r="E35" s="230">
        <v>66041</v>
      </c>
      <c r="F35" s="230">
        <v>37504</v>
      </c>
      <c r="G35" s="230">
        <v>21179</v>
      </c>
      <c r="H35" s="230">
        <v>11118</v>
      </c>
      <c r="I35" s="230">
        <v>11878</v>
      </c>
      <c r="J35" s="230">
        <v>18376</v>
      </c>
      <c r="K35" s="230">
        <v>28611</v>
      </c>
      <c r="L35" s="230">
        <v>20444</v>
      </c>
      <c r="M35" s="230">
        <v>4050</v>
      </c>
      <c r="N35" s="230">
        <v>50</v>
      </c>
    </row>
    <row r="36" spans="1:14" x14ac:dyDescent="0.3">
      <c r="B36" s="896"/>
      <c r="D36" s="472">
        <f>SUM(D33:D35)</f>
        <v>121417</v>
      </c>
      <c r="E36" s="472">
        <f t="shared" ref="E36:K36" si="9">SUM(E33:E35)</f>
        <v>124843</v>
      </c>
      <c r="F36" s="472">
        <f t="shared" si="9"/>
        <v>86318</v>
      </c>
      <c r="G36" s="472">
        <f t="shared" si="9"/>
        <v>102349</v>
      </c>
      <c r="H36" s="472">
        <f t="shared" si="9"/>
        <v>92197</v>
      </c>
      <c r="I36" s="472">
        <f t="shared" si="9"/>
        <v>63205</v>
      </c>
      <c r="J36" s="472">
        <f t="shared" si="9"/>
        <v>54904</v>
      </c>
      <c r="K36" s="472">
        <f t="shared" si="9"/>
        <v>60294</v>
      </c>
      <c r="L36" s="472">
        <f t="shared" ref="L36" si="10">SUM(L33:L35)</f>
        <v>47421</v>
      </c>
      <c r="M36" s="472">
        <f t="shared" ref="M36:N36" si="11">SUM(M33:M35)</f>
        <v>38377</v>
      </c>
      <c r="N36" s="472">
        <f t="shared" si="11"/>
        <v>5187</v>
      </c>
    </row>
    <row r="37" spans="1:14" x14ac:dyDescent="0.3">
      <c r="B37" s="896"/>
    </row>
    <row r="38" spans="1:14" x14ac:dyDescent="0.3">
      <c r="A38" s="211" t="s">
        <v>1544</v>
      </c>
      <c r="B38" s="896"/>
      <c r="D38" s="230">
        <f t="shared" ref="D38:N38" si="12">0.05*D5</f>
        <v>34769.1</v>
      </c>
      <c r="E38" s="230">
        <f t="shared" si="12"/>
        <v>30769.800000000003</v>
      </c>
      <c r="F38" s="230">
        <f t="shared" si="12"/>
        <v>27242.95</v>
      </c>
      <c r="G38" s="230">
        <f t="shared" si="12"/>
        <v>29629.45</v>
      </c>
      <c r="H38" s="230">
        <f t="shared" si="12"/>
        <v>28509.550000000003</v>
      </c>
      <c r="I38" s="230">
        <f t="shared" si="12"/>
        <v>34870.050000000003</v>
      </c>
      <c r="J38" s="230">
        <f t="shared" si="12"/>
        <v>23911.100000000002</v>
      </c>
      <c r="K38" s="230">
        <f t="shared" si="12"/>
        <v>17559.350000000002</v>
      </c>
      <c r="L38" s="230">
        <f t="shared" si="12"/>
        <v>15095.900000000001</v>
      </c>
      <c r="M38" s="230">
        <f t="shared" si="12"/>
        <v>14201</v>
      </c>
      <c r="N38" s="230">
        <f t="shared" si="12"/>
        <v>9562.9</v>
      </c>
    </row>
    <row r="39" spans="1:14" x14ac:dyDescent="0.3">
      <c r="A39" s="211" t="s">
        <v>1545</v>
      </c>
      <c r="B39" s="896"/>
      <c r="D39" s="905">
        <f>D36-D38</f>
        <v>86647.9</v>
      </c>
      <c r="E39" s="905">
        <f t="shared" ref="E39:K39" si="13">E36-E38</f>
        <v>94073.2</v>
      </c>
      <c r="F39" s="905">
        <f t="shared" si="13"/>
        <v>59075.05</v>
      </c>
      <c r="G39" s="905">
        <f t="shared" si="13"/>
        <v>72719.55</v>
      </c>
      <c r="H39" s="905">
        <f t="shared" si="13"/>
        <v>63687.45</v>
      </c>
      <c r="I39" s="905">
        <f t="shared" si="13"/>
        <v>28334.949999999997</v>
      </c>
      <c r="J39" s="905">
        <f t="shared" si="13"/>
        <v>30992.899999999998</v>
      </c>
      <c r="K39" s="905">
        <f t="shared" si="13"/>
        <v>42734.649999999994</v>
      </c>
      <c r="L39" s="905">
        <f t="shared" ref="L39" si="14">L36-L38</f>
        <v>32325.1</v>
      </c>
      <c r="M39" s="905">
        <f t="shared" ref="M39" si="15">M36-M38</f>
        <v>24176</v>
      </c>
      <c r="N39" s="905">
        <f t="shared" ref="N39" si="16">N36-N38</f>
        <v>-4375.8999999999996</v>
      </c>
    </row>
    <row r="40" spans="1:14" x14ac:dyDescent="0.3">
      <c r="B40" s="896"/>
    </row>
    <row r="41" spans="1:14" x14ac:dyDescent="0.3">
      <c r="A41" s="211" t="s">
        <v>1547</v>
      </c>
      <c r="B41" s="896"/>
      <c r="D41" s="278">
        <f t="shared" ref="D41:I41" si="17">D31-D39</f>
        <v>228253.1</v>
      </c>
      <c r="E41" s="278">
        <f t="shared" si="17"/>
        <v>197741.8</v>
      </c>
      <c r="F41" s="278">
        <f t="shared" si="17"/>
        <v>217325.95</v>
      </c>
      <c r="G41" s="278">
        <f t="shared" si="17"/>
        <v>195289.45</v>
      </c>
      <c r="H41" s="278">
        <f t="shared" si="17"/>
        <v>211029.55</v>
      </c>
      <c r="I41" s="278">
        <f t="shared" si="17"/>
        <v>239865.05</v>
      </c>
      <c r="J41" s="278">
        <f t="shared" ref="J41:N41" si="18">J31-J39</f>
        <v>215253.1</v>
      </c>
      <c r="K41" s="278">
        <f t="shared" si="18"/>
        <v>133701.35</v>
      </c>
      <c r="L41" s="278">
        <f t="shared" si="18"/>
        <v>134751.9</v>
      </c>
      <c r="M41" s="278">
        <f t="shared" si="18"/>
        <v>120532</v>
      </c>
      <c r="N41" s="278">
        <f t="shared" si="18"/>
        <v>132384.9</v>
      </c>
    </row>
    <row r="42" spans="1:14" x14ac:dyDescent="0.3">
      <c r="A42" s="211" t="s">
        <v>1546</v>
      </c>
      <c r="B42" s="896"/>
      <c r="D42" s="604">
        <f t="shared" ref="D42:M42" si="19">D5/AVERAGE(D41:E41)</f>
        <v>3.2647433103072361</v>
      </c>
      <c r="E42" s="604">
        <f t="shared" si="19"/>
        <v>2.9652797645685554</v>
      </c>
      <c r="F42" s="604">
        <f t="shared" si="19"/>
        <v>2.6410017658090319</v>
      </c>
      <c r="G42" s="604">
        <f t="shared" si="19"/>
        <v>2.9168658123297213</v>
      </c>
      <c r="H42" s="604">
        <f t="shared" si="19"/>
        <v>2.5291542635462925</v>
      </c>
      <c r="I42" s="604">
        <f t="shared" si="19"/>
        <v>3.0647030886375326</v>
      </c>
      <c r="J42" s="604">
        <f t="shared" si="19"/>
        <v>2.7408849493107192</v>
      </c>
      <c r="K42" s="604">
        <f t="shared" si="19"/>
        <v>2.6163736144002727</v>
      </c>
      <c r="L42" s="604">
        <f t="shared" si="19"/>
        <v>2.3653508897349189</v>
      </c>
      <c r="M42" s="604">
        <f t="shared" si="19"/>
        <v>2.2459550943412641</v>
      </c>
      <c r="N42" s="604"/>
    </row>
    <row r="43" spans="1:14" x14ac:dyDescent="0.3">
      <c r="A43" s="211" t="s">
        <v>1548</v>
      </c>
      <c r="B43" s="896"/>
      <c r="D43" s="227">
        <f t="shared" ref="D43:M43" si="20">D7*D42</f>
        <v>0.33330915464011424</v>
      </c>
      <c r="E43" s="227">
        <f t="shared" si="20"/>
        <v>0.24528525764769726</v>
      </c>
      <c r="F43" s="227">
        <f t="shared" si="20"/>
        <v>0.20219313190927921</v>
      </c>
      <c r="G43" s="227">
        <f t="shared" si="20"/>
        <v>0.24641230166445574</v>
      </c>
      <c r="H43" s="227">
        <f t="shared" si="20"/>
        <v>0.12897027376242698</v>
      </c>
      <c r="I43" s="227">
        <f t="shared" si="20"/>
        <v>0.27711485468114155</v>
      </c>
      <c r="J43" s="227">
        <f t="shared" si="20"/>
        <v>0.34850966938521627</v>
      </c>
      <c r="K43" s="227">
        <f t="shared" si="20"/>
        <v>0.41800946719773369</v>
      </c>
      <c r="L43" s="227">
        <f t="shared" si="20"/>
        <v>0.35924709705547431</v>
      </c>
      <c r="M43" s="227">
        <f t="shared" si="20"/>
        <v>0.25930256143421021</v>
      </c>
      <c r="N43" s="227"/>
    </row>
    <row r="44" spans="1:14" x14ac:dyDescent="0.3">
      <c r="B44" s="896"/>
    </row>
    <row r="45" spans="1:14" x14ac:dyDescent="0.3">
      <c r="A45" s="211" t="s">
        <v>1554</v>
      </c>
      <c r="B45" s="896"/>
      <c r="D45" s="226">
        <f>D36/D29</f>
        <v>0.49781263709455886</v>
      </c>
      <c r="E45" s="226">
        <f t="shared" ref="E45:M45" si="21">E36/E29</f>
        <v>0.58102454076242516</v>
      </c>
      <c r="F45" s="226">
        <f t="shared" si="21"/>
        <v>0.44474328258237372</v>
      </c>
      <c r="G45" s="226">
        <f t="shared" si="21"/>
        <v>0.5562445652173913</v>
      </c>
      <c r="H45" s="226">
        <f t="shared" si="21"/>
        <v>0.49814943888825852</v>
      </c>
      <c r="I45" s="226">
        <f t="shared" si="21"/>
        <v>0.36123748342554068</v>
      </c>
      <c r="J45" s="226">
        <f t="shared" si="21"/>
        <v>0.35881684028912386</v>
      </c>
      <c r="K45" s="226">
        <f t="shared" si="21"/>
        <v>0.45209762681363175</v>
      </c>
      <c r="L45" s="226">
        <f t="shared" si="21"/>
        <v>0.38482325445515631</v>
      </c>
      <c r="M45" s="226">
        <f t="shared" si="21"/>
        <v>0.35048768904800176</v>
      </c>
      <c r="N45" s="226"/>
    </row>
    <row r="46" spans="1:14" x14ac:dyDescent="0.3">
      <c r="B46" s="896"/>
    </row>
    <row r="47" spans="1:14" x14ac:dyDescent="0.3">
      <c r="A47" s="211" t="s">
        <v>282</v>
      </c>
      <c r="B47" s="230">
        <v>362347</v>
      </c>
    </row>
    <row r="48" spans="1:14" x14ac:dyDescent="0.3">
      <c r="A48" s="211" t="s">
        <v>1528</v>
      </c>
      <c r="B48" s="230">
        <v>-39003</v>
      </c>
    </row>
    <row r="49" spans="1:2" x14ac:dyDescent="0.3">
      <c r="A49" s="211" t="s">
        <v>1529</v>
      </c>
      <c r="B49" s="230">
        <v>-84939</v>
      </c>
    </row>
    <row r="50" spans="1:2" x14ac:dyDescent="0.3">
      <c r="A50" s="211" t="s">
        <v>1530</v>
      </c>
      <c r="B50" s="230">
        <v>-17052</v>
      </c>
    </row>
    <row r="51" spans="1:2" x14ac:dyDescent="0.3">
      <c r="A51" s="211" t="s">
        <v>1531</v>
      </c>
      <c r="B51" s="230">
        <v>-9657</v>
      </c>
    </row>
    <row r="52" spans="1:2" x14ac:dyDescent="0.3">
      <c r="B52" s="472">
        <f>SUM(B47:B51)</f>
        <v>211696</v>
      </c>
    </row>
    <row r="54" spans="1:2" x14ac:dyDescent="0.3">
      <c r="A54" s="211" t="s">
        <v>1534</v>
      </c>
      <c r="B54" s="230">
        <v>315000</v>
      </c>
    </row>
    <row r="55" spans="1:2" x14ac:dyDescent="0.3">
      <c r="A55" s="211" t="s">
        <v>1535</v>
      </c>
      <c r="B55" s="230">
        <f>B30</f>
        <v>39319</v>
      </c>
    </row>
    <row r="56" spans="1:2" x14ac:dyDescent="0.3">
      <c r="A56" s="211" t="s">
        <v>3</v>
      </c>
      <c r="B56" s="230">
        <f>B54+B55</f>
        <v>354319</v>
      </c>
    </row>
    <row r="58" spans="1:2" x14ac:dyDescent="0.3">
      <c r="A58" s="2846" t="s">
        <v>1537</v>
      </c>
    </row>
    <row r="59" spans="1:2" x14ac:dyDescent="0.3">
      <c r="A59" s="2846"/>
    </row>
    <row r="60" spans="1:2" x14ac:dyDescent="0.3">
      <c r="A60" s="2846"/>
    </row>
    <row r="61" spans="1:2" x14ac:dyDescent="0.3">
      <c r="A61" s="2846"/>
    </row>
    <row r="62" spans="1:2" x14ac:dyDescent="0.3">
      <c r="A62" s="2846"/>
      <c r="B62" s="278">
        <f>320000+90000</f>
        <v>410000</v>
      </c>
    </row>
    <row r="63" spans="1:2" x14ac:dyDescent="0.3">
      <c r="A63" s="211" t="s">
        <v>1550</v>
      </c>
      <c r="B63" s="278">
        <f>-125000</f>
        <v>-125000</v>
      </c>
    </row>
    <row r="64" spans="1:2" x14ac:dyDescent="0.3">
      <c r="A64" s="211" t="s">
        <v>1551</v>
      </c>
      <c r="B64" s="905">
        <f>B62+B63</f>
        <v>285000</v>
      </c>
    </row>
  </sheetData>
  <mergeCells count="5">
    <mergeCell ref="A20:I20"/>
    <mergeCell ref="A58:A62"/>
    <mergeCell ref="A21:I21"/>
    <mergeCell ref="A22:I22"/>
    <mergeCell ref="A17:I17"/>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A44D-F17C-487C-BF69-023A083EB657}">
  <sheetPr codeName="Sheet46">
    <tabColor theme="4"/>
  </sheetPr>
  <dimension ref="A1:E38"/>
  <sheetViews>
    <sheetView showGridLines="0" topLeftCell="A2" zoomScale="115" zoomScaleNormal="115" workbookViewId="0">
      <selection activeCell="H20" sqref="H20"/>
    </sheetView>
  </sheetViews>
  <sheetFormatPr defaultColWidth="9.109375" defaultRowHeight="15.6" x14ac:dyDescent="0.3"/>
  <cols>
    <col min="1" max="1" width="34.6640625" style="211" customWidth="1"/>
    <col min="2" max="2" width="9.44140625" style="211" bestFit="1" customWidth="1"/>
    <col min="3" max="3" width="0.6640625" style="211" customWidth="1"/>
    <col min="4" max="16384" width="9.109375" style="211"/>
  </cols>
  <sheetData>
    <row r="1" spans="1:3" x14ac:dyDescent="0.3">
      <c r="A1" s="459" t="s">
        <v>1522</v>
      </c>
    </row>
    <row r="2" spans="1:3" x14ac:dyDescent="0.3">
      <c r="A2" s="152" t="s">
        <v>1565</v>
      </c>
    </row>
    <row r="3" spans="1:3" ht="8.25" customHeight="1" thickBot="1" x14ac:dyDescent="0.35"/>
    <row r="4" spans="1:3" x14ac:dyDescent="0.3">
      <c r="A4" s="212" t="s">
        <v>1204</v>
      </c>
      <c r="B4" s="501">
        <v>1986</v>
      </c>
      <c r="C4" s="389"/>
    </row>
    <row r="5" spans="1:3" x14ac:dyDescent="0.3">
      <c r="A5" s="214" t="s">
        <v>1555</v>
      </c>
      <c r="B5" s="900">
        <v>46000</v>
      </c>
      <c r="C5" s="223"/>
    </row>
    <row r="6" spans="1:3" x14ac:dyDescent="0.3">
      <c r="A6" s="214" t="s">
        <v>1564</v>
      </c>
      <c r="B6" s="910">
        <v>0.84</v>
      </c>
      <c r="C6" s="223"/>
    </row>
    <row r="7" spans="1:3" x14ac:dyDescent="0.3">
      <c r="A7" s="214" t="s">
        <v>1556</v>
      </c>
      <c r="B7" s="911">
        <f>B5/B6</f>
        <v>54761.904761904763</v>
      </c>
      <c r="C7" s="223"/>
    </row>
    <row r="8" spans="1:3" ht="4.5" customHeight="1" x14ac:dyDescent="0.3">
      <c r="A8" s="214"/>
      <c r="B8" s="902"/>
      <c r="C8" s="223"/>
    </row>
    <row r="9" spans="1:3" ht="4.5" customHeight="1" x14ac:dyDescent="0.3">
      <c r="A9" s="1155"/>
      <c r="B9" s="1543"/>
      <c r="C9" s="1279"/>
    </row>
    <row r="10" spans="1:3" ht="4.5" customHeight="1" x14ac:dyDescent="0.3">
      <c r="A10" s="214"/>
      <c r="B10" s="902"/>
      <c r="C10" s="223"/>
    </row>
    <row r="11" spans="1:3" x14ac:dyDescent="0.3">
      <c r="A11" s="214" t="s">
        <v>1557</v>
      </c>
      <c r="B11" s="900">
        <v>8400</v>
      </c>
      <c r="C11" s="223"/>
    </row>
    <row r="12" spans="1:3" x14ac:dyDescent="0.3">
      <c r="A12" s="214" t="s">
        <v>1558</v>
      </c>
      <c r="B12" s="911">
        <f>B11/7*12</f>
        <v>14400</v>
      </c>
      <c r="C12" s="223"/>
    </row>
    <row r="13" spans="1:3" ht="4.5" customHeight="1" x14ac:dyDescent="0.3">
      <c r="A13" s="214"/>
      <c r="B13" s="902"/>
      <c r="C13" s="223"/>
    </row>
    <row r="14" spans="1:3" ht="4.5" customHeight="1" x14ac:dyDescent="0.3">
      <c r="A14" s="1155"/>
      <c r="B14" s="1543"/>
      <c r="C14" s="1279"/>
    </row>
    <row r="15" spans="1:3" ht="4.5" customHeight="1" x14ac:dyDescent="0.3">
      <c r="A15" s="214"/>
      <c r="B15" s="902"/>
      <c r="C15" s="223"/>
    </row>
    <row r="16" spans="1:3" x14ac:dyDescent="0.3">
      <c r="A16" s="214" t="s">
        <v>1562</v>
      </c>
      <c r="B16" s="900">
        <f>B30</f>
        <v>26704</v>
      </c>
      <c r="C16" s="223"/>
    </row>
    <row r="17" spans="1:5" x14ac:dyDescent="0.3">
      <c r="A17" s="214" t="s">
        <v>1563</v>
      </c>
      <c r="B17" s="910">
        <f>B12/B16</f>
        <v>0.53924505692031155</v>
      </c>
      <c r="C17" s="223"/>
      <c r="E17" s="211" t="s">
        <v>176</v>
      </c>
    </row>
    <row r="18" spans="1:5" ht="4.5" customHeight="1" x14ac:dyDescent="0.3">
      <c r="A18" s="214"/>
      <c r="B18" s="902"/>
      <c r="C18" s="223"/>
    </row>
    <row r="19" spans="1:5" ht="4.5" customHeight="1" x14ac:dyDescent="0.3">
      <c r="A19" s="1155"/>
      <c r="B19" s="1543"/>
      <c r="C19" s="1279"/>
    </row>
    <row r="20" spans="1:5" ht="4.5" customHeight="1" x14ac:dyDescent="0.3">
      <c r="A20" s="214"/>
      <c r="B20" s="902"/>
      <c r="C20" s="223"/>
    </row>
    <row r="21" spans="1:5" x14ac:dyDescent="0.3">
      <c r="A21" s="214" t="s">
        <v>1533</v>
      </c>
      <c r="B21" s="2686">
        <f>B7/B16</f>
        <v>2.0507004479443065</v>
      </c>
      <c r="C21" s="223"/>
    </row>
    <row r="22" spans="1:5" ht="16.2" thickBot="1" x14ac:dyDescent="0.35">
      <c r="A22" s="224" t="s">
        <v>1538</v>
      </c>
      <c r="B22" s="913">
        <f>B17/B21</f>
        <v>0.26295652173913042</v>
      </c>
      <c r="C22" s="219"/>
    </row>
    <row r="23" spans="1:5" x14ac:dyDescent="0.3">
      <c r="A23" s="2811" t="s">
        <v>1898</v>
      </c>
      <c r="B23" s="2811"/>
      <c r="C23" s="2811"/>
    </row>
    <row r="24" spans="1:5" x14ac:dyDescent="0.3">
      <c r="A24" s="2812"/>
      <c r="B24" s="2812"/>
      <c r="C24" s="2812"/>
    </row>
    <row r="27" spans="1:5" ht="15.75" customHeight="1" x14ac:dyDescent="0.3">
      <c r="A27" s="211" t="s">
        <v>1253</v>
      </c>
      <c r="B27" s="230">
        <v>25863</v>
      </c>
    </row>
    <row r="28" spans="1:5" x14ac:dyDescent="0.3">
      <c r="A28" s="211" t="s">
        <v>1559</v>
      </c>
      <c r="B28" s="230">
        <v>6489</v>
      </c>
    </row>
    <row r="29" spans="1:5" x14ac:dyDescent="0.3">
      <c r="A29" s="211" t="s">
        <v>1561</v>
      </c>
      <c r="B29" s="230">
        <v>-5648</v>
      </c>
    </row>
    <row r="30" spans="1:5" ht="15.75" customHeight="1" x14ac:dyDescent="0.3">
      <c r="B30" s="472">
        <f>SUM(B27:B29)</f>
        <v>26704</v>
      </c>
    </row>
    <row r="31" spans="1:5" ht="16.5" customHeight="1" x14ac:dyDescent="0.3">
      <c r="A31" s="211" t="s">
        <v>1532</v>
      </c>
      <c r="B31" s="230"/>
    </row>
    <row r="32" spans="1:5" ht="15.75" customHeight="1" x14ac:dyDescent="0.3">
      <c r="B32" s="230"/>
    </row>
    <row r="33" spans="1:2" x14ac:dyDescent="0.3">
      <c r="A33" s="211" t="s">
        <v>745</v>
      </c>
      <c r="B33" s="230">
        <v>6822</v>
      </c>
    </row>
    <row r="34" spans="1:2" x14ac:dyDescent="0.3">
      <c r="A34" s="211" t="s">
        <v>746</v>
      </c>
      <c r="B34" s="230">
        <v>45874</v>
      </c>
    </row>
    <row r="35" spans="1:2" x14ac:dyDescent="0.3">
      <c r="A35" s="211" t="s">
        <v>1560</v>
      </c>
      <c r="B35" s="230">
        <v>-28279</v>
      </c>
    </row>
    <row r="36" spans="1:2" x14ac:dyDescent="0.3">
      <c r="B36" s="472">
        <f>SUM(B33:B35)</f>
        <v>24417</v>
      </c>
    </row>
    <row r="38" spans="1:2" x14ac:dyDescent="0.3">
      <c r="B38" s="278"/>
    </row>
  </sheetData>
  <mergeCells count="1">
    <mergeCell ref="A23:C24"/>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51586-AF89-405A-A060-695320A5C44A}">
  <sheetPr>
    <tabColor theme="4"/>
  </sheetPr>
  <dimension ref="A1:G21"/>
  <sheetViews>
    <sheetView showGridLines="0" zoomScale="115" zoomScaleNormal="115" workbookViewId="0">
      <selection activeCell="L19" sqref="L19"/>
    </sheetView>
  </sheetViews>
  <sheetFormatPr defaultColWidth="9.109375" defaultRowHeight="15.6" x14ac:dyDescent="0.3"/>
  <cols>
    <col min="1" max="1" width="40.109375" style="211" customWidth="1"/>
    <col min="2" max="2" width="11.88671875" style="211" bestFit="1" customWidth="1"/>
    <col min="3" max="3" width="1.44140625" style="211" customWidth="1"/>
    <col min="4" max="4" width="11" style="320" customWidth="1"/>
    <col min="5" max="5" width="11.88671875" style="211" bestFit="1" customWidth="1"/>
    <col min="6" max="6" width="1.44140625" style="211" customWidth="1"/>
    <col min="7" max="7" width="11" style="320" customWidth="1"/>
    <col min="8" max="16384" width="9.109375" style="211"/>
  </cols>
  <sheetData>
    <row r="1" spans="1:7" x14ac:dyDescent="0.3">
      <c r="A1" s="459" t="s">
        <v>1522</v>
      </c>
    </row>
    <row r="2" spans="1:7" x14ac:dyDescent="0.3">
      <c r="A2" s="152" t="s">
        <v>2877</v>
      </c>
    </row>
    <row r="3" spans="1:7" ht="8.25" customHeight="1" thickBot="1" x14ac:dyDescent="0.35"/>
    <row r="4" spans="1:7" x14ac:dyDescent="0.3">
      <c r="A4" s="212" t="s">
        <v>1204</v>
      </c>
      <c r="B4" s="501">
        <v>1986</v>
      </c>
      <c r="C4" s="501"/>
      <c r="D4" s="2224" t="s">
        <v>2876</v>
      </c>
      <c r="E4" s="501">
        <v>1985</v>
      </c>
      <c r="F4" s="501"/>
      <c r="G4" s="2223" t="s">
        <v>2876</v>
      </c>
    </row>
    <row r="5" spans="1:7" x14ac:dyDescent="0.3">
      <c r="A5" s="214" t="s">
        <v>2875</v>
      </c>
      <c r="B5" s="2221"/>
      <c r="C5" s="2233"/>
      <c r="D5" s="2220"/>
      <c r="E5" s="2162">
        <v>55710000</v>
      </c>
      <c r="F5" s="2216"/>
      <c r="G5" s="1697">
        <f>E5/$E$15</f>
        <v>4.6490047324548263E-2</v>
      </c>
    </row>
    <row r="6" spans="1:7" x14ac:dyDescent="0.3">
      <c r="A6" s="214" t="s">
        <v>2874</v>
      </c>
      <c r="B6" s="2221"/>
      <c r="C6" s="2233"/>
      <c r="D6" s="2220"/>
      <c r="E6" s="2166">
        <v>108997000</v>
      </c>
      <c r="F6" s="2169"/>
      <c r="G6" s="1697">
        <f>E6/$E$15</f>
        <v>9.0958098873340276E-2</v>
      </c>
    </row>
    <row r="7" spans="1:7" x14ac:dyDescent="0.3">
      <c r="A7" s="214" t="s">
        <v>2901</v>
      </c>
      <c r="B7" s="2221"/>
      <c r="C7" s="2233"/>
      <c r="D7" s="2220"/>
      <c r="E7" s="2166">
        <v>108142000</v>
      </c>
      <c r="F7" s="2169"/>
      <c r="G7" s="1697">
        <f>E7/$E$15</f>
        <v>9.0244600570297942E-2</v>
      </c>
    </row>
    <row r="8" spans="1:7" x14ac:dyDescent="0.3">
      <c r="A8" s="214" t="s">
        <v>2944</v>
      </c>
      <c r="B8" s="2162">
        <v>801694000</v>
      </c>
      <c r="C8" s="2169"/>
      <c r="D8" s="2219">
        <f>B8/B$15</f>
        <v>0.42779075928758992</v>
      </c>
      <c r="E8" s="2221"/>
      <c r="F8" s="2233"/>
      <c r="G8" s="2222"/>
    </row>
    <row r="9" spans="1:7" x14ac:dyDescent="0.3">
      <c r="A9" s="214" t="s">
        <v>1676</v>
      </c>
      <c r="B9" s="2166">
        <v>674725000</v>
      </c>
      <c r="C9" s="2169"/>
      <c r="D9" s="2219">
        <f>B9/B$15</f>
        <v>0.36003901745593592</v>
      </c>
      <c r="E9" s="2166">
        <v>595950000</v>
      </c>
      <c r="F9" s="2169"/>
      <c r="G9" s="1697">
        <f>E9/$E$15</f>
        <v>0.49732083473459948</v>
      </c>
    </row>
    <row r="10" spans="1:7" x14ac:dyDescent="0.3">
      <c r="A10" s="214" t="s">
        <v>2870</v>
      </c>
      <c r="B10" s="2166">
        <v>46989000</v>
      </c>
      <c r="C10" s="2169"/>
      <c r="D10" s="2219">
        <f>B10/B$15</f>
        <v>2.5073731359052907E-2</v>
      </c>
      <c r="E10" s="2166">
        <v>43718000</v>
      </c>
      <c r="F10" s="2169"/>
      <c r="G10" s="1697">
        <f>E10/$E$15</f>
        <v>3.6482712061292423E-2</v>
      </c>
    </row>
    <row r="11" spans="1:7" x14ac:dyDescent="0.3">
      <c r="A11" s="214" t="s">
        <v>2943</v>
      </c>
      <c r="B11" s="2166">
        <v>44587000</v>
      </c>
      <c r="C11" s="2233"/>
      <c r="D11" s="2219">
        <f>B11/B$15</f>
        <v>2.3792003662688972E-2</v>
      </c>
      <c r="E11" s="2221"/>
      <c r="F11" s="2233"/>
      <c r="G11" s="2222"/>
    </row>
    <row r="12" spans="1:7" x14ac:dyDescent="0.3">
      <c r="A12" s="214" t="s">
        <v>2862</v>
      </c>
      <c r="B12" s="2221"/>
      <c r="C12" s="2233"/>
      <c r="D12" s="2220"/>
      <c r="E12" s="2166">
        <v>52669000</v>
      </c>
      <c r="F12" s="2169"/>
      <c r="G12" s="1697">
        <f>E12/$E$15</f>
        <v>4.395232996834738E-2</v>
      </c>
    </row>
    <row r="13" spans="1:7" x14ac:dyDescent="0.3">
      <c r="A13" s="214" t="s">
        <v>2942</v>
      </c>
      <c r="B13" s="2166">
        <v>269531000</v>
      </c>
      <c r="C13" s="2169"/>
      <c r="D13" s="2219">
        <f>B13/B$15</f>
        <v>0.14382404151901274</v>
      </c>
      <c r="E13" s="2166">
        <v>205172000</v>
      </c>
      <c r="F13" s="2169"/>
      <c r="G13" s="1697">
        <f>E13/$E$15</f>
        <v>0.17121622670386316</v>
      </c>
    </row>
    <row r="14" spans="1:7" x14ac:dyDescent="0.3">
      <c r="A14" s="214" t="s">
        <v>2469</v>
      </c>
      <c r="B14" s="2166">
        <f>B15-SUM(B5:B13)</f>
        <v>36507000</v>
      </c>
      <c r="C14" s="2169"/>
      <c r="D14" s="2219">
        <f>B14/B$15</f>
        <v>1.948044671571952E-2</v>
      </c>
      <c r="E14" s="2166">
        <f>E15-SUM(E5:E13)</f>
        <v>27963000</v>
      </c>
      <c r="F14" s="2169"/>
      <c r="G14" s="1697">
        <f>E14/$E$15</f>
        <v>2.3335149763711059E-2</v>
      </c>
    </row>
    <row r="15" spans="1:7" ht="16.2" thickBot="1" x14ac:dyDescent="0.35">
      <c r="A15" s="214" t="s">
        <v>2859</v>
      </c>
      <c r="B15" s="2164">
        <v>1874033000</v>
      </c>
      <c r="C15" s="2216"/>
      <c r="D15" s="2217">
        <f>B15/B$15</f>
        <v>1</v>
      </c>
      <c r="E15" s="2164">
        <v>1198321000</v>
      </c>
      <c r="F15" s="2216"/>
      <c r="G15" s="2217">
        <f>E15/$E$15</f>
        <v>1</v>
      </c>
    </row>
    <row r="16" spans="1:7" ht="5.25" customHeight="1" thickTop="1" x14ac:dyDescent="0.3">
      <c r="A16" s="214"/>
      <c r="B16" s="2162"/>
      <c r="C16" s="2216"/>
      <c r="D16" s="943"/>
      <c r="E16" s="2162"/>
      <c r="F16" s="2216"/>
      <c r="G16" s="1697"/>
    </row>
    <row r="17" spans="1:7" x14ac:dyDescent="0.3">
      <c r="A17" s="214" t="s">
        <v>2900</v>
      </c>
      <c r="B17" s="2162">
        <v>25000000</v>
      </c>
      <c r="C17" s="2216"/>
      <c r="E17" s="2162">
        <v>25000000</v>
      </c>
      <c r="F17" s="2216"/>
      <c r="G17" s="222"/>
    </row>
    <row r="18" spans="1:7" ht="9.75" customHeight="1" x14ac:dyDescent="0.3">
      <c r="A18" s="214"/>
      <c r="B18" s="2162"/>
      <c r="C18" s="2216"/>
      <c r="E18" s="2162"/>
      <c r="F18" s="2216"/>
      <c r="G18" s="222"/>
    </row>
    <row r="19" spans="1:7" ht="16.2" thickBot="1" x14ac:dyDescent="0.35">
      <c r="A19" s="9" t="s">
        <v>2899</v>
      </c>
      <c r="B19" s="2214"/>
      <c r="C19" s="2215"/>
      <c r="D19" s="1637"/>
      <c r="E19" s="2214"/>
      <c r="F19" s="2215"/>
      <c r="G19" s="1638"/>
    </row>
    <row r="20" spans="1:7" ht="15.75" customHeight="1" x14ac:dyDescent="0.3">
      <c r="A20" s="2811" t="s">
        <v>2941</v>
      </c>
      <c r="B20" s="2811"/>
      <c r="C20" s="2811"/>
      <c r="D20" s="2811"/>
      <c r="E20" s="2811"/>
      <c r="F20" s="2811"/>
      <c r="G20" s="2811"/>
    </row>
    <row r="21" spans="1:7" x14ac:dyDescent="0.3">
      <c r="A21" s="904"/>
      <c r="B21" s="904"/>
      <c r="C21" s="904"/>
      <c r="D21" s="904"/>
      <c r="E21" s="904"/>
      <c r="F21" s="904"/>
      <c r="G21" s="904"/>
    </row>
  </sheetData>
  <mergeCells count="1">
    <mergeCell ref="A20:G20"/>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39BED-83A5-42C3-B06D-1FEC99C8C843}">
  <sheetPr>
    <tabColor theme="4"/>
  </sheetPr>
  <dimension ref="A1:B17"/>
  <sheetViews>
    <sheetView showGridLines="0" zoomScale="130" zoomScaleNormal="130" workbookViewId="0">
      <selection activeCell="G16" sqref="G16"/>
    </sheetView>
  </sheetViews>
  <sheetFormatPr defaultColWidth="9.109375" defaultRowHeight="15.6" x14ac:dyDescent="0.3"/>
  <cols>
    <col min="1" max="1" width="43.88671875" style="211" customWidth="1"/>
    <col min="2" max="2" width="13" style="211" bestFit="1" customWidth="1"/>
    <col min="3" max="16384" width="9.109375" style="211"/>
  </cols>
  <sheetData>
    <row r="1" spans="1:2" x14ac:dyDescent="0.3">
      <c r="A1" s="459" t="s">
        <v>1522</v>
      </c>
    </row>
    <row r="2" spans="1:2" x14ac:dyDescent="0.3">
      <c r="A2" s="152" t="s">
        <v>2877</v>
      </c>
    </row>
    <row r="3" spans="1:2" ht="8.25" customHeight="1" thickBot="1" x14ac:dyDescent="0.35"/>
    <row r="4" spans="1:2" x14ac:dyDescent="0.3">
      <c r="A4" s="212" t="s">
        <v>1204</v>
      </c>
      <c r="B4" s="502">
        <v>1988</v>
      </c>
    </row>
    <row r="5" spans="1:2" x14ac:dyDescent="0.3">
      <c r="A5" s="214" t="s">
        <v>2944</v>
      </c>
      <c r="B5" s="2259">
        <v>1086750</v>
      </c>
    </row>
    <row r="6" spans="1:2" x14ac:dyDescent="0.3">
      <c r="A6" s="214" t="s">
        <v>1012</v>
      </c>
      <c r="B6" s="2258">
        <v>632448</v>
      </c>
    </row>
    <row r="7" spans="1:2" ht="18.600000000000001" x14ac:dyDescent="0.3">
      <c r="A7" s="214" t="s">
        <v>2964</v>
      </c>
      <c r="B7" s="2258">
        <v>121200</v>
      </c>
    </row>
    <row r="8" spans="1:2" x14ac:dyDescent="0.3">
      <c r="A8" s="214" t="s">
        <v>1676</v>
      </c>
      <c r="B8" s="2258">
        <v>849400</v>
      </c>
    </row>
    <row r="9" spans="1:2" x14ac:dyDescent="0.3">
      <c r="A9" s="214" t="s">
        <v>2861</v>
      </c>
      <c r="B9" s="498">
        <v>364126</v>
      </c>
    </row>
    <row r="10" spans="1:2" ht="5.25" customHeight="1" x14ac:dyDescent="0.3">
      <c r="A10" s="214"/>
      <c r="B10" s="2257"/>
    </row>
    <row r="11" spans="1:2" x14ac:dyDescent="0.3">
      <c r="A11" s="214" t="s">
        <v>2900</v>
      </c>
      <c r="B11" s="2256">
        <v>100000</v>
      </c>
    </row>
    <row r="12" spans="1:2" ht="9" customHeight="1" x14ac:dyDescent="0.3">
      <c r="A12" s="214"/>
      <c r="B12" s="2256"/>
    </row>
    <row r="13" spans="1:2" ht="60.75" customHeight="1" x14ac:dyDescent="0.3">
      <c r="A13" s="2799" t="s">
        <v>2963</v>
      </c>
      <c r="B13" s="2801"/>
    </row>
    <row r="14" spans="1:2" ht="9" customHeight="1" x14ac:dyDescent="0.3">
      <c r="A14" s="214"/>
      <c r="B14" s="2256"/>
    </row>
    <row r="15" spans="1:2" ht="33" customHeight="1" thickBot="1" x14ac:dyDescent="0.35">
      <c r="A15" s="2802" t="s">
        <v>2962</v>
      </c>
      <c r="B15" s="2804"/>
    </row>
    <row r="16" spans="1:2" ht="15.75" customHeight="1" x14ac:dyDescent="0.3">
      <c r="A16" s="2811" t="s">
        <v>2961</v>
      </c>
      <c r="B16" s="2811"/>
    </row>
    <row r="17" spans="1:2" x14ac:dyDescent="0.3">
      <c r="A17" s="904"/>
      <c r="B17" s="904"/>
    </row>
  </sheetData>
  <mergeCells count="3">
    <mergeCell ref="A16:B16"/>
    <mergeCell ref="A15:B15"/>
    <mergeCell ref="A13:B13"/>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FFAE-C8E6-4393-85DA-3CA26EF296B2}">
  <sheetPr codeName="Sheet47">
    <tabColor theme="4"/>
  </sheetPr>
  <dimension ref="A1:L44"/>
  <sheetViews>
    <sheetView showGridLines="0" tabSelected="1" topLeftCell="A18" zoomScale="85" zoomScaleNormal="85" workbookViewId="0">
      <selection activeCell="F29" sqref="F29"/>
    </sheetView>
  </sheetViews>
  <sheetFormatPr defaultColWidth="9.109375" defaultRowHeight="15.6" x14ac:dyDescent="0.3"/>
  <cols>
    <col min="1" max="1" width="30.44140625" style="211" customWidth="1"/>
    <col min="2" max="2" width="9.109375" style="211"/>
    <col min="3" max="3" width="11.77734375" style="211" bestFit="1" customWidth="1"/>
    <col min="4" max="16384" width="9.109375" style="211"/>
  </cols>
  <sheetData>
    <row r="1" spans="1:12" x14ac:dyDescent="0.3">
      <c r="A1" s="459" t="s">
        <v>1522</v>
      </c>
    </row>
    <row r="2" spans="1:12" x14ac:dyDescent="0.3">
      <c r="A2" s="152" t="s">
        <v>1566</v>
      </c>
    </row>
    <row r="3" spans="1:12" ht="6.6" customHeight="1" thickBot="1" x14ac:dyDescent="0.35"/>
    <row r="4" spans="1:12" x14ac:dyDescent="0.3">
      <c r="A4" s="453"/>
      <c r="B4" s="501">
        <v>1988</v>
      </c>
      <c r="C4" s="501">
        <v>1987</v>
      </c>
      <c r="D4" s="501">
        <v>1986</v>
      </c>
      <c r="E4" s="501">
        <v>1985</v>
      </c>
      <c r="F4" s="502">
        <v>1984</v>
      </c>
      <c r="G4" s="884">
        <v>1983</v>
      </c>
      <c r="H4" s="884">
        <v>1982</v>
      </c>
      <c r="I4" s="884">
        <v>1981</v>
      </c>
      <c r="J4" s="884">
        <v>1980</v>
      </c>
      <c r="K4" s="884">
        <v>1979</v>
      </c>
      <c r="L4" s="884">
        <v>1978</v>
      </c>
    </row>
    <row r="5" spans="1:12" x14ac:dyDescent="0.3">
      <c r="A5" s="214" t="s">
        <v>1567</v>
      </c>
      <c r="B5" s="900">
        <v>8338</v>
      </c>
      <c r="C5" s="900">
        <v>7658</v>
      </c>
      <c r="D5" s="900">
        <v>6977</v>
      </c>
      <c r="E5" s="900">
        <v>5879</v>
      </c>
      <c r="F5" s="898">
        <v>5442</v>
      </c>
      <c r="G5" s="897">
        <v>5056</v>
      </c>
      <c r="H5" s="897">
        <v>4760</v>
      </c>
      <c r="I5" s="897">
        <v>4836</v>
      </c>
      <c r="J5" s="897">
        <v>4640</v>
      </c>
      <c r="K5" s="897">
        <v>3895</v>
      </c>
      <c r="L5" s="897">
        <v>3423</v>
      </c>
    </row>
    <row r="6" spans="1:12" x14ac:dyDescent="0.3">
      <c r="A6" s="214" t="s">
        <v>1527</v>
      </c>
      <c r="B6" s="915">
        <f>B5/AVERAGE(B19:C19)</f>
        <v>1.431293451205905</v>
      </c>
      <c r="C6" s="915">
        <f>C5/AVERAGE(C19:D19)</f>
        <v>1.330784603353897</v>
      </c>
      <c r="D6" s="915">
        <f t="shared" ref="D6:K6" si="0">D5/AVERAGE(D19:E19)</f>
        <v>1.4603872318158033</v>
      </c>
      <c r="E6" s="915">
        <f t="shared" si="0"/>
        <v>1.4185064543370731</v>
      </c>
      <c r="F6" s="916">
        <f t="shared" si="0"/>
        <v>1.4525557186707594</v>
      </c>
      <c r="G6" s="914">
        <f t="shared" si="0"/>
        <v>1.5083532219570406</v>
      </c>
      <c r="H6" s="914">
        <f t="shared" si="0"/>
        <v>1.6499133448873484</v>
      </c>
      <c r="I6" s="914">
        <f t="shared" si="0"/>
        <v>2.0208942749686587</v>
      </c>
      <c r="J6" s="914">
        <f t="shared" si="0"/>
        <v>2.1397279225270927</v>
      </c>
      <c r="K6" s="914">
        <f t="shared" si="0"/>
        <v>2.0191809227579056</v>
      </c>
    </row>
    <row r="7" spans="1:12" x14ac:dyDescent="0.3">
      <c r="A7" s="214" t="s">
        <v>1993</v>
      </c>
      <c r="B7" s="917">
        <f>B17/B5</f>
        <v>0.19165267450227871</v>
      </c>
      <c r="C7" s="917">
        <f>C17/C5</f>
        <v>0.17289109428049099</v>
      </c>
      <c r="D7" s="917">
        <f t="shared" ref="D7:K7" si="1">D17/D5</f>
        <v>0.12856528593951555</v>
      </c>
      <c r="E7" s="917">
        <f t="shared" si="1"/>
        <v>0.13726824289845213</v>
      </c>
      <c r="F7" s="918">
        <f t="shared" si="1"/>
        <v>0.15600882028665933</v>
      </c>
      <c r="G7" s="403">
        <f t="shared" si="1"/>
        <v>0.16376582278481014</v>
      </c>
      <c r="H7" s="403">
        <f t="shared" si="1"/>
        <v>0.16239495798319328</v>
      </c>
      <c r="I7" s="403">
        <f t="shared" si="1"/>
        <v>0.14888337468982629</v>
      </c>
      <c r="J7" s="403">
        <f t="shared" si="1"/>
        <v>0.14655172413793102</v>
      </c>
      <c r="K7" s="403">
        <f t="shared" si="1"/>
        <v>0.16534017971758666</v>
      </c>
    </row>
    <row r="8" spans="1:12" x14ac:dyDescent="0.3">
      <c r="A8" s="214" t="s">
        <v>1121</v>
      </c>
      <c r="B8" s="917">
        <f>B6*B7</f>
        <v>0.27431121792120844</v>
      </c>
      <c r="C8" s="917">
        <f>C6*C7</f>
        <v>0.23008080632548442</v>
      </c>
      <c r="D8" s="917">
        <f t="shared" ref="D8:K8" si="2">D6*D7</f>
        <v>0.18775510204081633</v>
      </c>
      <c r="E8" s="917">
        <f t="shared" si="2"/>
        <v>0.19471588852696345</v>
      </c>
      <c r="F8" s="918">
        <f t="shared" si="2"/>
        <v>0.22661150407046579</v>
      </c>
      <c r="G8" s="403">
        <f t="shared" si="2"/>
        <v>0.2470167064439141</v>
      </c>
      <c r="H8" s="403">
        <f t="shared" si="2"/>
        <v>0.26793760831889085</v>
      </c>
      <c r="I8" s="403">
        <f t="shared" si="2"/>
        <v>0.30087755954868367</v>
      </c>
      <c r="J8" s="403">
        <f t="shared" si="2"/>
        <v>0.31358081623241874</v>
      </c>
      <c r="K8" s="403">
        <f t="shared" si="2"/>
        <v>0.33385173665111456</v>
      </c>
    </row>
    <row r="9" spans="1:12" ht="9" customHeight="1" x14ac:dyDescent="0.3">
      <c r="A9" s="214"/>
      <c r="B9" s="910"/>
      <c r="C9" s="910"/>
      <c r="D9" s="910"/>
      <c r="E9" s="910"/>
      <c r="F9" s="912"/>
    </row>
    <row r="10" spans="1:12" x14ac:dyDescent="0.3">
      <c r="A10" s="214" t="s">
        <v>1569</v>
      </c>
      <c r="B10" s="910">
        <f>B21</f>
        <v>0.33300000000000002</v>
      </c>
      <c r="C10" s="910">
        <f t="shared" ref="C10:K10" si="3">C21</f>
        <v>0.27500000000000002</v>
      </c>
      <c r="D10" s="910">
        <f t="shared" si="3"/>
        <v>0.29099999999999998</v>
      </c>
      <c r="E10" s="910">
        <f t="shared" si="3"/>
        <v>0.253</v>
      </c>
      <c r="F10" s="912">
        <f t="shared" si="3"/>
        <v>0.222</v>
      </c>
      <c r="G10" s="910">
        <f t="shared" si="3"/>
        <v>0.19600000000000001</v>
      </c>
      <c r="H10" s="910">
        <f t="shared" si="3"/>
        <v>0.20300000000000001</v>
      </c>
      <c r="I10" s="910">
        <f t="shared" si="3"/>
        <v>0.222</v>
      </c>
      <c r="J10" s="910">
        <f t="shared" si="3"/>
        <v>0.21099999999999999</v>
      </c>
      <c r="K10" s="910">
        <f t="shared" si="3"/>
        <v>0.23</v>
      </c>
    </row>
    <row r="11" spans="1:12" ht="9" customHeight="1" x14ac:dyDescent="0.3">
      <c r="A11" s="214"/>
      <c r="B11" s="220"/>
      <c r="C11" s="220"/>
      <c r="D11" s="220"/>
      <c r="E11" s="220"/>
      <c r="F11" s="223"/>
    </row>
    <row r="12" spans="1:12" x14ac:dyDescent="0.3">
      <c r="A12" s="214" t="s">
        <v>1533</v>
      </c>
      <c r="B12" s="2686">
        <f>A34/1000000/B18</f>
        <v>5.4299367222283417</v>
      </c>
      <c r="C12" s="220"/>
      <c r="D12" s="220"/>
      <c r="E12" s="220"/>
      <c r="F12" s="223"/>
    </row>
    <row r="13" spans="1:12" ht="16.2" thickBot="1" x14ac:dyDescent="0.35">
      <c r="A13" s="224" t="s">
        <v>1536</v>
      </c>
      <c r="B13" s="232">
        <f>B10/B12</f>
        <v>6.1326681513029349E-2</v>
      </c>
      <c r="C13" s="218"/>
      <c r="D13" s="218"/>
      <c r="E13" s="218"/>
      <c r="F13" s="219"/>
    </row>
    <row r="14" spans="1:12" ht="16.8" customHeight="1" x14ac:dyDescent="0.3">
      <c r="A14" s="2852" t="s">
        <v>2945</v>
      </c>
      <c r="B14" s="2852"/>
      <c r="C14" s="2852"/>
      <c r="D14" s="2852"/>
      <c r="E14" s="2852"/>
      <c r="F14" s="2852"/>
    </row>
    <row r="15" spans="1:12" x14ac:dyDescent="0.3">
      <c r="A15" s="919"/>
      <c r="B15" s="919"/>
      <c r="C15" s="919"/>
      <c r="D15" s="919"/>
      <c r="E15" s="919"/>
      <c r="F15" s="919"/>
    </row>
    <row r="17" spans="1:12" x14ac:dyDescent="0.3">
      <c r="A17" s="211" t="s">
        <v>1154</v>
      </c>
      <c r="B17" s="211">
        <v>1598</v>
      </c>
      <c r="C17" s="211">
        <v>1324</v>
      </c>
      <c r="D17" s="211">
        <v>897</v>
      </c>
      <c r="E17" s="211">
        <v>807</v>
      </c>
      <c r="F17" s="211">
        <v>849</v>
      </c>
      <c r="G17" s="211">
        <v>828</v>
      </c>
      <c r="H17" s="211">
        <v>773</v>
      </c>
      <c r="I17" s="211">
        <v>720</v>
      </c>
      <c r="J17" s="211">
        <v>680</v>
      </c>
      <c r="K17" s="211">
        <v>644</v>
      </c>
      <c r="L17" s="211">
        <v>602</v>
      </c>
    </row>
    <row r="18" spans="1:12" x14ac:dyDescent="0.3">
      <c r="A18" s="211" t="s">
        <v>95</v>
      </c>
      <c r="B18" s="211">
        <v>3345</v>
      </c>
    </row>
    <row r="19" spans="1:12" x14ac:dyDescent="0.3">
      <c r="A19" s="211" t="s">
        <v>1568</v>
      </c>
      <c r="B19" s="211">
        <v>5469</v>
      </c>
      <c r="C19" s="211">
        <v>6182</v>
      </c>
      <c r="D19" s="211">
        <v>5327</v>
      </c>
      <c r="E19" s="211">
        <v>4228</v>
      </c>
      <c r="F19" s="211">
        <v>4061</v>
      </c>
      <c r="G19" s="211">
        <v>3432</v>
      </c>
      <c r="H19" s="211">
        <v>3272</v>
      </c>
      <c r="I19" s="211">
        <v>2498</v>
      </c>
      <c r="J19" s="211">
        <v>2288</v>
      </c>
      <c r="K19" s="211">
        <v>2049</v>
      </c>
      <c r="L19" s="211">
        <v>1809</v>
      </c>
    </row>
    <row r="21" spans="1:12" x14ac:dyDescent="0.3">
      <c r="A21" s="211" t="s">
        <v>1569</v>
      </c>
      <c r="B21" s="227">
        <v>0.33300000000000002</v>
      </c>
      <c r="C21" s="227">
        <v>0.27500000000000002</v>
      </c>
      <c r="D21" s="227">
        <v>0.29099999999999998</v>
      </c>
      <c r="E21" s="227">
        <v>0.253</v>
      </c>
      <c r="F21" s="227">
        <v>0.222</v>
      </c>
      <c r="G21" s="227">
        <v>0.19600000000000001</v>
      </c>
      <c r="H21" s="227">
        <v>0.20300000000000001</v>
      </c>
      <c r="I21" s="227">
        <v>0.222</v>
      </c>
      <c r="J21" s="227">
        <v>0.21099999999999999</v>
      </c>
      <c r="K21" s="227">
        <v>0.23</v>
      </c>
      <c r="L21" s="227">
        <v>0.22600000000000001</v>
      </c>
    </row>
    <row r="23" spans="1:12" ht="16.2" thickBot="1" x14ac:dyDescent="0.35"/>
    <row r="24" spans="1:12" x14ac:dyDescent="0.3">
      <c r="A24" s="3012" t="s">
        <v>1570</v>
      </c>
    </row>
    <row r="25" spans="1:12" x14ac:dyDescent="0.3">
      <c r="A25" s="3013">
        <v>417394567</v>
      </c>
    </row>
    <row r="26" spans="1:12" x14ac:dyDescent="0.3">
      <c r="A26" s="3014"/>
    </row>
    <row r="27" spans="1:12" x14ac:dyDescent="0.3">
      <c r="A27" s="3014" t="s">
        <v>1571</v>
      </c>
    </row>
    <row r="28" spans="1:12" x14ac:dyDescent="0.3">
      <c r="A28" s="3013">
        <v>23530000</v>
      </c>
    </row>
    <row r="29" spans="1:12" x14ac:dyDescent="0.3">
      <c r="A29" s="3015">
        <f>A28/A25</f>
        <v>5.63735176744646E-2</v>
      </c>
      <c r="C29" s="211" t="s">
        <v>3804</v>
      </c>
    </row>
    <row r="30" spans="1:12" x14ac:dyDescent="0.3">
      <c r="A30" s="3014" t="s">
        <v>1572</v>
      </c>
    </row>
    <row r="31" spans="1:12" x14ac:dyDescent="0.3">
      <c r="A31" s="3016">
        <v>1023920000</v>
      </c>
    </row>
    <row r="32" spans="1:12" x14ac:dyDescent="0.3">
      <c r="A32" s="3014"/>
    </row>
    <row r="33" spans="1:4" x14ac:dyDescent="0.3">
      <c r="A33" s="3014" t="s">
        <v>1556</v>
      </c>
    </row>
    <row r="34" spans="1:4" ht="16.2" thickBot="1" x14ac:dyDescent="0.35">
      <c r="A34" s="3017">
        <f>A31/A29</f>
        <v>18163138335.853806</v>
      </c>
    </row>
    <row r="37" spans="1:4" s="3019" customFormat="1" x14ac:dyDescent="0.3">
      <c r="A37" s="3018">
        <v>354788511</v>
      </c>
      <c r="B37" s="3019" t="s">
        <v>3803</v>
      </c>
    </row>
    <row r="38" spans="1:4" s="3019" customFormat="1" x14ac:dyDescent="0.3">
      <c r="A38" s="3020">
        <f>A28/A37</f>
        <v>6.6321200575742437E-2</v>
      </c>
    </row>
    <row r="39" spans="1:4" s="3019" customFormat="1" x14ac:dyDescent="0.3"/>
    <row r="40" spans="1:4" s="3019" customFormat="1" x14ac:dyDescent="0.3">
      <c r="A40" s="3021">
        <f>A31/A38</f>
        <v>15438803747.688906</v>
      </c>
      <c r="D40" s="3019" t="s">
        <v>3805</v>
      </c>
    </row>
    <row r="41" spans="1:4" s="3019" customFormat="1" x14ac:dyDescent="0.3">
      <c r="A41" s="3022">
        <f>A40/1000000/B18</f>
        <v>4.6154869200863695</v>
      </c>
    </row>
    <row r="42" spans="1:4" s="3019" customFormat="1" x14ac:dyDescent="0.3"/>
    <row r="43" spans="1:4" s="3019" customFormat="1" x14ac:dyDescent="0.3">
      <c r="A43" s="3020">
        <f>B10/A41</f>
        <v>7.214840075719868E-2</v>
      </c>
    </row>
    <row r="44" spans="1:4" s="3019" customFormat="1" x14ac:dyDescent="0.3"/>
  </sheetData>
  <mergeCells count="1">
    <mergeCell ref="A14:F14"/>
  </mergeCells>
  <pageMargins left="0.7" right="0.7" top="0.75" bottom="0.75" header="0.3" footer="0.3"/>
  <pageSetup orientation="portrait" r:id="rId1"/>
  <ignoredErrors>
    <ignoredError sqref="B6:K6" formulaRange="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7B33-E352-4D74-BBF2-3619D5EF9C0A}">
  <sheetPr>
    <tabColor theme="4"/>
  </sheetPr>
  <dimension ref="A1:B17"/>
  <sheetViews>
    <sheetView showGridLines="0" zoomScale="115" zoomScaleNormal="115" workbookViewId="0">
      <selection activeCell="J16" sqref="J16"/>
    </sheetView>
  </sheetViews>
  <sheetFormatPr defaultColWidth="9.109375" defaultRowHeight="15.6" x14ac:dyDescent="0.3"/>
  <cols>
    <col min="1" max="1" width="43.88671875" style="211" customWidth="1"/>
    <col min="2" max="2" width="13" style="211" bestFit="1" customWidth="1"/>
    <col min="3" max="16384" width="9.109375" style="211"/>
  </cols>
  <sheetData>
    <row r="1" spans="1:2" x14ac:dyDescent="0.3">
      <c r="A1" s="459" t="s">
        <v>1522</v>
      </c>
    </row>
    <row r="2" spans="1:2" x14ac:dyDescent="0.3">
      <c r="A2" s="152" t="s">
        <v>2877</v>
      </c>
    </row>
    <row r="3" spans="1:2" ht="8.25" customHeight="1" thickBot="1" x14ac:dyDescent="0.35"/>
    <row r="4" spans="1:2" x14ac:dyDescent="0.3">
      <c r="A4" s="212" t="s">
        <v>1204</v>
      </c>
      <c r="B4" s="502">
        <v>1989</v>
      </c>
    </row>
    <row r="5" spans="1:2" x14ac:dyDescent="0.3">
      <c r="A5" s="214" t="s">
        <v>2944</v>
      </c>
      <c r="B5" s="2259">
        <v>1692375</v>
      </c>
    </row>
    <row r="6" spans="1:2" x14ac:dyDescent="0.3">
      <c r="A6" s="214" t="s">
        <v>1012</v>
      </c>
      <c r="B6" s="2258">
        <v>1803787</v>
      </c>
    </row>
    <row r="7" spans="1:2" ht="18.600000000000001" x14ac:dyDescent="0.3">
      <c r="A7" s="214" t="s">
        <v>2964</v>
      </c>
      <c r="B7" s="2258">
        <v>161100</v>
      </c>
    </row>
    <row r="8" spans="1:2" x14ac:dyDescent="0.3">
      <c r="A8" s="214" t="s">
        <v>1676</v>
      </c>
      <c r="B8" s="2258">
        <v>1044625</v>
      </c>
    </row>
    <row r="9" spans="1:2" x14ac:dyDescent="0.3">
      <c r="A9" s="214" t="s">
        <v>2861</v>
      </c>
      <c r="B9" s="498">
        <v>486366</v>
      </c>
    </row>
    <row r="10" spans="1:2" ht="5.25" customHeight="1" x14ac:dyDescent="0.3">
      <c r="A10" s="214"/>
      <c r="B10" s="2257"/>
    </row>
    <row r="11" spans="1:2" x14ac:dyDescent="0.3">
      <c r="A11" s="214" t="s">
        <v>2900</v>
      </c>
      <c r="B11" s="2256">
        <v>100000</v>
      </c>
    </row>
    <row r="12" spans="1:2" ht="9" customHeight="1" x14ac:dyDescent="0.3">
      <c r="A12" s="214"/>
      <c r="B12" s="2256"/>
    </row>
    <row r="13" spans="1:2" ht="60.75" customHeight="1" x14ac:dyDescent="0.3">
      <c r="A13" s="2799" t="s">
        <v>2966</v>
      </c>
      <c r="B13" s="2801"/>
    </row>
    <row r="14" spans="1:2" ht="9" customHeight="1" x14ac:dyDescent="0.3">
      <c r="A14" s="214"/>
      <c r="B14" s="2256"/>
    </row>
    <row r="15" spans="1:2" ht="33" customHeight="1" thickBot="1" x14ac:dyDescent="0.35">
      <c r="A15" s="2802" t="s">
        <v>2962</v>
      </c>
      <c r="B15" s="2804"/>
    </row>
    <row r="16" spans="1:2" ht="15.75" customHeight="1" x14ac:dyDescent="0.3">
      <c r="A16" s="2811" t="s">
        <v>2965</v>
      </c>
      <c r="B16" s="2811"/>
    </row>
    <row r="17" spans="1:2" x14ac:dyDescent="0.3">
      <c r="A17" s="904"/>
      <c r="B17" s="904"/>
    </row>
  </sheetData>
  <mergeCells count="3">
    <mergeCell ref="A13:B13"/>
    <mergeCell ref="A15:B15"/>
    <mergeCell ref="A16:B1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C5DC6-2592-4BED-B1C7-57534DEAA0F6}">
  <sheetPr>
    <tabColor theme="4"/>
  </sheetPr>
  <dimension ref="A1:C11"/>
  <sheetViews>
    <sheetView showGridLines="0" zoomScaleNormal="100" workbookViewId="0">
      <selection activeCell="K23" sqref="K23"/>
    </sheetView>
  </sheetViews>
  <sheetFormatPr defaultColWidth="9.109375" defaultRowHeight="15.6" x14ac:dyDescent="0.3"/>
  <cols>
    <col min="1" max="1" width="9.109375" style="211"/>
    <col min="2" max="2" width="18" style="211" customWidth="1"/>
    <col min="3" max="3" width="13.33203125" style="211" customWidth="1"/>
    <col min="4" max="16384" width="9.109375" style="211"/>
  </cols>
  <sheetData>
    <row r="1" spans="1:3" x14ac:dyDescent="0.3">
      <c r="B1" s="211" t="s">
        <v>2626</v>
      </c>
      <c r="C1" s="211" t="s">
        <v>2625</v>
      </c>
    </row>
    <row r="2" spans="1:3" x14ac:dyDescent="0.3">
      <c r="A2" s="211">
        <v>1925</v>
      </c>
      <c r="B2" s="211">
        <v>37.9</v>
      </c>
      <c r="C2" s="1620">
        <v>0.92</v>
      </c>
    </row>
    <row r="3" spans="1:3" x14ac:dyDescent="0.3">
      <c r="A3" s="211">
        <v>1935</v>
      </c>
      <c r="B3" s="211">
        <v>30.1</v>
      </c>
      <c r="C3" s="1620">
        <v>0.89</v>
      </c>
    </row>
    <row r="4" spans="1:3" x14ac:dyDescent="0.3">
      <c r="A4" s="211">
        <v>1940</v>
      </c>
      <c r="B4" s="211">
        <v>24.8</v>
      </c>
      <c r="C4" s="1620">
        <v>0.95</v>
      </c>
    </row>
    <row r="5" spans="1:3" x14ac:dyDescent="0.3">
      <c r="A5" s="211">
        <v>1945</v>
      </c>
      <c r="B5" s="211">
        <v>23.1</v>
      </c>
      <c r="C5" s="1620">
        <v>0.98</v>
      </c>
    </row>
    <row r="6" spans="1:3" x14ac:dyDescent="0.3">
      <c r="A6" s="211">
        <v>1950</v>
      </c>
      <c r="B6" s="211">
        <v>23</v>
      </c>
      <c r="C6" s="1620">
        <v>0.89</v>
      </c>
    </row>
    <row r="7" spans="1:3" x14ac:dyDescent="0.3">
      <c r="A7" s="211">
        <v>1955</v>
      </c>
      <c r="B7" s="211">
        <v>22.3</v>
      </c>
      <c r="C7" s="1620">
        <v>0.86</v>
      </c>
    </row>
    <row r="9" spans="1:3" x14ac:dyDescent="0.3">
      <c r="A9" s="211">
        <v>1929</v>
      </c>
      <c r="B9" s="211" t="s">
        <v>2624</v>
      </c>
    </row>
    <row r="10" spans="1:3" x14ac:dyDescent="0.3">
      <c r="A10" s="211">
        <v>1939</v>
      </c>
      <c r="B10" s="211" t="s">
        <v>2623</v>
      </c>
    </row>
    <row r="11" spans="1:3" x14ac:dyDescent="0.3">
      <c r="A11" s="211">
        <v>1945</v>
      </c>
      <c r="B11" s="211" t="s">
        <v>2622</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CD9E0-0BB0-45B5-BD80-3A39FB824039}">
  <sheetPr>
    <tabColor theme="4"/>
  </sheetPr>
  <dimension ref="A1:I16"/>
  <sheetViews>
    <sheetView showGridLines="0" zoomScale="115" zoomScaleNormal="115" workbookViewId="0">
      <selection activeCell="K19" sqref="K19"/>
    </sheetView>
  </sheetViews>
  <sheetFormatPr defaultColWidth="9.109375" defaultRowHeight="13.8" x14ac:dyDescent="0.25"/>
  <cols>
    <col min="1" max="1" width="32.33203125" style="1" customWidth="1"/>
    <col min="2" max="2" width="17" style="1" bestFit="1" customWidth="1"/>
    <col min="3" max="16384" width="9.109375" style="1"/>
  </cols>
  <sheetData>
    <row r="1" spans="1:9" ht="15.6" x14ac:dyDescent="0.3">
      <c r="A1" s="459" t="s">
        <v>1522</v>
      </c>
      <c r="B1" s="211"/>
    </row>
    <row r="2" spans="1:9" ht="15.6" x14ac:dyDescent="0.3">
      <c r="A2" s="152" t="s">
        <v>2974</v>
      </c>
      <c r="B2" s="211"/>
    </row>
    <row r="3" spans="1:9" ht="8.25" customHeight="1" thickBot="1" x14ac:dyDescent="0.35">
      <c r="A3" s="211"/>
      <c r="B3" s="211"/>
      <c r="I3" s="1" t="s">
        <v>176</v>
      </c>
    </row>
    <row r="4" spans="1:9" ht="15.6" x14ac:dyDescent="0.3">
      <c r="A4" s="453" t="s">
        <v>2973</v>
      </c>
      <c r="B4" s="2262">
        <v>10000</v>
      </c>
    </row>
    <row r="5" spans="1:9" ht="15.6" x14ac:dyDescent="0.3">
      <c r="A5" s="214" t="s">
        <v>751</v>
      </c>
      <c r="B5" s="2261">
        <v>0.44313999999999998</v>
      </c>
      <c r="D5" s="1" t="s">
        <v>176</v>
      </c>
    </row>
    <row r="6" spans="1:9" ht="15.6" x14ac:dyDescent="0.3">
      <c r="A6" s="214" t="s">
        <v>1017</v>
      </c>
      <c r="B6" s="898">
        <v>4431</v>
      </c>
    </row>
    <row r="7" spans="1:9" ht="15.6" x14ac:dyDescent="0.3">
      <c r="A7" s="214" t="s">
        <v>2972</v>
      </c>
      <c r="B7" s="223">
        <v>0.45150000000000001</v>
      </c>
      <c r="D7" s="1" t="s">
        <v>176</v>
      </c>
    </row>
    <row r="8" spans="1:9" ht="15.6" x14ac:dyDescent="0.3">
      <c r="A8" s="214" t="s">
        <v>2971</v>
      </c>
      <c r="B8" s="898">
        <f>B6/B7</f>
        <v>9813.9534883720935</v>
      </c>
    </row>
    <row r="9" spans="1:9" ht="7.5" customHeight="1" x14ac:dyDescent="0.3">
      <c r="A9" s="214"/>
      <c r="B9" s="223"/>
    </row>
    <row r="10" spans="1:9" ht="15.6" x14ac:dyDescent="0.3">
      <c r="A10" s="214" t="s">
        <v>2970</v>
      </c>
      <c r="B10" s="2260">
        <v>1146000</v>
      </c>
    </row>
    <row r="11" spans="1:9" ht="15.6" x14ac:dyDescent="0.3">
      <c r="A11" s="214" t="s">
        <v>2969</v>
      </c>
      <c r="B11" s="898">
        <f>B10*B8</f>
        <v>11246790697.674419</v>
      </c>
    </row>
    <row r="12" spans="1:9" ht="7.5" customHeight="1" x14ac:dyDescent="0.3">
      <c r="A12" s="214"/>
      <c r="B12" s="223"/>
    </row>
    <row r="13" spans="1:9" ht="15.6" x14ac:dyDescent="0.3">
      <c r="A13" s="214" t="s">
        <v>583</v>
      </c>
      <c r="B13" s="898">
        <v>4925126000</v>
      </c>
    </row>
    <row r="14" spans="1:9" ht="16.2" thickBot="1" x14ac:dyDescent="0.35">
      <c r="A14" s="224" t="s">
        <v>2968</v>
      </c>
      <c r="B14" s="2689">
        <f>B11/B13</f>
        <v>2.2835539025142544</v>
      </c>
    </row>
    <row r="15" spans="1:9" x14ac:dyDescent="0.25">
      <c r="A15" s="2805" t="s">
        <v>2967</v>
      </c>
      <c r="B15" s="2805"/>
    </row>
    <row r="16" spans="1:9" x14ac:dyDescent="0.25">
      <c r="A16" s="2805"/>
      <c r="B16" s="2805"/>
    </row>
  </sheetData>
  <mergeCells count="1">
    <mergeCell ref="A15:B16"/>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98CF-FC77-4F73-8EF8-FFCE9697F072}">
  <sheetPr codeName="Sheet32">
    <tabColor theme="4"/>
  </sheetPr>
  <dimension ref="A1:K69"/>
  <sheetViews>
    <sheetView showGridLines="0" topLeftCell="A37" zoomScale="115" zoomScaleNormal="115" workbookViewId="0">
      <selection activeCell="K57" sqref="K57"/>
    </sheetView>
  </sheetViews>
  <sheetFormatPr defaultColWidth="8.6640625" defaultRowHeight="13.8" x14ac:dyDescent="0.25"/>
  <cols>
    <col min="1" max="1" width="38.109375" style="1" customWidth="1"/>
    <col min="2" max="2" width="11.109375" style="1" customWidth="1"/>
    <col min="3" max="4" width="8.6640625" style="1"/>
    <col min="5" max="5" width="9.109375" style="1" bestFit="1" customWidth="1"/>
    <col min="6" max="9" width="8.6640625" style="1"/>
    <col min="10" max="10" width="14.5546875" style="1" bestFit="1" customWidth="1"/>
    <col min="11" max="11" width="12" style="1" bestFit="1" customWidth="1"/>
    <col min="12" max="16384" width="8.6640625" style="1"/>
  </cols>
  <sheetData>
    <row r="1" spans="1:2" x14ac:dyDescent="0.25">
      <c r="A1" s="1" t="s">
        <v>783</v>
      </c>
      <c r="B1" s="13">
        <v>22.138999999999999</v>
      </c>
    </row>
    <row r="2" spans="1:2" x14ac:dyDescent="0.25">
      <c r="A2" s="1" t="s">
        <v>778</v>
      </c>
      <c r="B2" s="2">
        <v>64.438000000000002</v>
      </c>
    </row>
    <row r="3" spans="1:2" x14ac:dyDescent="0.25">
      <c r="A3" s="1" t="s">
        <v>1</v>
      </c>
      <c r="B3" s="2">
        <v>-0.10199999999999999</v>
      </c>
    </row>
    <row r="4" spans="1:2" x14ac:dyDescent="0.25">
      <c r="A4" s="1" t="s">
        <v>779</v>
      </c>
      <c r="B4" s="2">
        <v>-2.4550000000000001</v>
      </c>
    </row>
    <row r="5" spans="1:2" x14ac:dyDescent="0.25">
      <c r="A5" s="1" t="s">
        <v>780</v>
      </c>
      <c r="B5" s="2">
        <v>-0.3</v>
      </c>
    </row>
    <row r="6" spans="1:2" x14ac:dyDescent="0.25">
      <c r="A6" s="1" t="s">
        <v>781</v>
      </c>
      <c r="B6" s="2">
        <v>4.4779999999999998</v>
      </c>
    </row>
    <row r="7" spans="1:2" x14ac:dyDescent="0.25">
      <c r="A7" s="1" t="s">
        <v>782</v>
      </c>
      <c r="B7" s="14">
        <f>SUM(B1:B6)</f>
        <v>88.197999999999993</v>
      </c>
    </row>
    <row r="9" spans="1:2" x14ac:dyDescent="0.25">
      <c r="A9" s="1" t="s">
        <v>782</v>
      </c>
      <c r="B9" s="13">
        <v>88</v>
      </c>
    </row>
    <row r="10" spans="1:2" x14ac:dyDescent="0.25">
      <c r="A10" s="1" t="s">
        <v>493</v>
      </c>
      <c r="B10" s="2">
        <v>565</v>
      </c>
    </row>
    <row r="11" spans="1:2" x14ac:dyDescent="0.25">
      <c r="A11" s="1" t="s">
        <v>784</v>
      </c>
      <c r="B11" s="2">
        <v>486</v>
      </c>
    </row>
    <row r="12" spans="1:2" x14ac:dyDescent="0.25">
      <c r="A12" s="1" t="s">
        <v>785</v>
      </c>
      <c r="B12" s="2">
        <v>133</v>
      </c>
    </row>
    <row r="13" spans="1:2" x14ac:dyDescent="0.25">
      <c r="A13" s="1" t="s">
        <v>786</v>
      </c>
      <c r="B13" s="13">
        <f>SUM(B9:B12)</f>
        <v>1272</v>
      </c>
    </row>
    <row r="16" spans="1:2" x14ac:dyDescent="0.25">
      <c r="A16" s="1" t="s">
        <v>786</v>
      </c>
      <c r="B16" s="13">
        <v>1271.761</v>
      </c>
    </row>
    <row r="17" spans="1:11" x14ac:dyDescent="0.25">
      <c r="A17" s="1" t="s">
        <v>787</v>
      </c>
      <c r="B17" s="2">
        <v>1799.4749999999999</v>
      </c>
    </row>
    <row r="18" spans="1:11" x14ac:dyDescent="0.25">
      <c r="A18" s="1" t="s">
        <v>477</v>
      </c>
      <c r="B18" s="2">
        <v>-1.355</v>
      </c>
    </row>
    <row r="19" spans="1:11" x14ac:dyDescent="0.25">
      <c r="A19" s="1" t="s">
        <v>784</v>
      </c>
      <c r="B19" s="2">
        <v>1855.2449999999999</v>
      </c>
    </row>
    <row r="20" spans="1:11" x14ac:dyDescent="0.25">
      <c r="A20" s="1" t="s">
        <v>788</v>
      </c>
      <c r="B20" s="13">
        <f>SUM(B16:B19)</f>
        <v>4925.1260000000002</v>
      </c>
    </row>
    <row r="23" spans="1:11" ht="15.6" x14ac:dyDescent="0.3">
      <c r="A23" s="459" t="s">
        <v>1522</v>
      </c>
      <c r="B23" s="211"/>
    </row>
    <row r="24" spans="1:11" ht="15.6" x14ac:dyDescent="0.3">
      <c r="A24" s="152" t="s">
        <v>1577</v>
      </c>
      <c r="B24" s="211"/>
    </row>
    <row r="25" spans="1:11" ht="8.25" customHeight="1" thickBot="1" x14ac:dyDescent="0.35">
      <c r="A25" s="211"/>
      <c r="B25" s="211"/>
    </row>
    <row r="26" spans="1:11" ht="15.6" x14ac:dyDescent="0.3">
      <c r="A26" s="212" t="s">
        <v>1250</v>
      </c>
      <c r="B26" s="389"/>
      <c r="D26" s="1" t="s">
        <v>1857</v>
      </c>
      <c r="E26" s="958">
        <f>B34-B27</f>
        <v>4902.424</v>
      </c>
    </row>
    <row r="27" spans="1:11" ht="15.6" x14ac:dyDescent="0.3">
      <c r="A27" s="214" t="s">
        <v>789</v>
      </c>
      <c r="B27" s="1544">
        <f>B1</f>
        <v>22.138999999999999</v>
      </c>
      <c r="I27" s="1" t="s">
        <v>793</v>
      </c>
    </row>
    <row r="28" spans="1:11" ht="15.6" x14ac:dyDescent="0.3">
      <c r="A28" s="214" t="s">
        <v>795</v>
      </c>
      <c r="B28" s="1152">
        <f>B2+B10+B17-B29</f>
        <v>1492.7840000000001</v>
      </c>
      <c r="E28" s="69">
        <f>B28/$E$26</f>
        <v>0.30449916204718319</v>
      </c>
      <c r="I28" s="1" t="s">
        <v>792</v>
      </c>
      <c r="J28" s="2">
        <f>SUM('3. Financials'!C86:L86)</f>
        <v>7312528</v>
      </c>
      <c r="K28" s="116">
        <v>7.3129999999999997</v>
      </c>
    </row>
    <row r="29" spans="1:11" ht="15.6" x14ac:dyDescent="0.3">
      <c r="A29" s="214" t="s">
        <v>796</v>
      </c>
      <c r="B29" s="260">
        <v>936.12900000000002</v>
      </c>
      <c r="E29" s="69">
        <f t="shared" ref="E29:E33" si="0">B29/$E$26</f>
        <v>0.19095227177412644</v>
      </c>
      <c r="I29" s="1" t="s">
        <v>794</v>
      </c>
      <c r="J29" s="2">
        <f>SUM('4. Financials'!B144:D144,'4. Financials'!G144:J145,'4. Financials'!K141,'4. Financials'!N141:O141)</f>
        <v>199471557</v>
      </c>
      <c r="K29" s="1">
        <v>199.5</v>
      </c>
    </row>
    <row r="30" spans="1:11" ht="15.6" x14ac:dyDescent="0.3">
      <c r="A30" s="214" t="s">
        <v>784</v>
      </c>
      <c r="B30" s="1152">
        <f>B11+B19</f>
        <v>2341.2449999999999</v>
      </c>
      <c r="E30" s="69">
        <f t="shared" si="0"/>
        <v>0.47756885165379409</v>
      </c>
      <c r="I30" s="1">
        <v>1985</v>
      </c>
      <c r="J30" s="2">
        <v>325237000</v>
      </c>
      <c r="K30" s="119">
        <f>J30/1000000</f>
        <v>325.23700000000002</v>
      </c>
    </row>
    <row r="31" spans="1:11" ht="15.6" x14ac:dyDescent="0.3">
      <c r="A31" s="214" t="s">
        <v>790</v>
      </c>
      <c r="B31" s="1152">
        <f>B12</f>
        <v>133</v>
      </c>
      <c r="E31" s="69">
        <f t="shared" si="0"/>
        <v>2.7129436376780142E-2</v>
      </c>
      <c r="I31" s="1">
        <v>1986</v>
      </c>
      <c r="J31" s="2">
        <v>150897000</v>
      </c>
      <c r="K31" s="119">
        <f t="shared" ref="K31:K34" si="1">J31/1000000</f>
        <v>150.89699999999999</v>
      </c>
    </row>
    <row r="32" spans="1:11" ht="15.6" x14ac:dyDescent="0.3">
      <c r="A32" s="214" t="s">
        <v>791</v>
      </c>
      <c r="B32" s="1152">
        <f>B3+B4+B18</f>
        <v>-3.9119999999999999</v>
      </c>
      <c r="E32" s="69">
        <f t="shared" si="0"/>
        <v>-7.9797259478168352E-4</v>
      </c>
      <c r="I32" s="1">
        <v>1987</v>
      </c>
      <c r="J32" s="2">
        <v>19806000</v>
      </c>
      <c r="K32" s="119">
        <f t="shared" si="1"/>
        <v>19.806000000000001</v>
      </c>
    </row>
    <row r="33" spans="1:11" ht="15.6" x14ac:dyDescent="0.3">
      <c r="A33" s="214" t="s">
        <v>279</v>
      </c>
      <c r="B33" s="1152">
        <f>B5+B6</f>
        <v>4.1779999999999999</v>
      </c>
      <c r="E33" s="69">
        <f t="shared" si="0"/>
        <v>8.5223146753524376E-4</v>
      </c>
      <c r="I33" s="1">
        <v>1988</v>
      </c>
      <c r="J33" s="2">
        <v>85829000</v>
      </c>
      <c r="K33" s="119">
        <f t="shared" si="1"/>
        <v>85.828999999999994</v>
      </c>
    </row>
    <row r="34" spans="1:11" ht="16.2" thickBot="1" x14ac:dyDescent="0.35">
      <c r="A34" s="1545" t="s">
        <v>788</v>
      </c>
      <c r="B34" s="1546">
        <f>SUM(B27:B33)-1</f>
        <v>4924.5630000000001</v>
      </c>
      <c r="I34" s="1">
        <v>1989</v>
      </c>
      <c r="J34" s="2">
        <v>147575000</v>
      </c>
      <c r="K34" s="119">
        <f t="shared" si="1"/>
        <v>147.57499999999999</v>
      </c>
    </row>
    <row r="35" spans="1:11" ht="4.5" customHeight="1" thickTop="1" thickBot="1" x14ac:dyDescent="0.35">
      <c r="A35" s="1547"/>
      <c r="B35" s="1548"/>
      <c r="J35" s="2"/>
      <c r="K35" s="119"/>
    </row>
    <row r="36" spans="1:11" x14ac:dyDescent="0.25">
      <c r="A36" s="2811" t="s">
        <v>1893</v>
      </c>
      <c r="B36" s="2811"/>
      <c r="I36" s="10" t="s">
        <v>3</v>
      </c>
      <c r="J36" s="126">
        <f>SUM(J28:J34)</f>
        <v>936128085</v>
      </c>
    </row>
    <row r="37" spans="1:11" x14ac:dyDescent="0.25">
      <c r="A37" s="2812"/>
      <c r="B37" s="2812"/>
      <c r="J37" s="1">
        <v>936.12900000000002</v>
      </c>
    </row>
    <row r="39" spans="1:11" s="211" customFormat="1" ht="15.6" x14ac:dyDescent="0.3">
      <c r="A39" s="459" t="s">
        <v>1522</v>
      </c>
    </row>
    <row r="40" spans="1:11" s="211" customFormat="1" ht="15.6" x14ac:dyDescent="0.3">
      <c r="A40" s="152" t="s">
        <v>1577</v>
      </c>
    </row>
    <row r="41" spans="1:11" s="211" customFormat="1" ht="8.25" customHeight="1" thickBot="1" x14ac:dyDescent="0.35">
      <c r="A41" s="152"/>
    </row>
    <row r="42" spans="1:11" s="211" customFormat="1" ht="15.6" x14ac:dyDescent="0.3">
      <c r="A42" s="212" t="s">
        <v>1250</v>
      </c>
      <c r="B42" s="470" t="s">
        <v>1579</v>
      </c>
      <c r="C42" s="470" t="s">
        <v>1580</v>
      </c>
      <c r="D42" s="470" t="s">
        <v>1581</v>
      </c>
      <c r="E42" s="1595" t="s">
        <v>1582</v>
      </c>
    </row>
    <row r="43" spans="1:11" s="211" customFormat="1" ht="15.6" x14ac:dyDescent="0.3">
      <c r="A43" s="214" t="s">
        <v>798</v>
      </c>
      <c r="B43" s="1550">
        <f>B27</f>
        <v>22.138999999999999</v>
      </c>
      <c r="C43" s="1550">
        <f>B50</f>
        <v>88.498019999999997</v>
      </c>
      <c r="D43" s="1550">
        <f>C50</f>
        <v>1272.49802</v>
      </c>
      <c r="E43" s="1596">
        <f>B43</f>
        <v>22.138999999999999</v>
      </c>
    </row>
    <row r="44" spans="1:11" s="211" customFormat="1" ht="15.6" x14ac:dyDescent="0.3">
      <c r="A44" s="214" t="s">
        <v>799</v>
      </c>
      <c r="B44" s="922">
        <f>B2-K28</f>
        <v>57.125</v>
      </c>
      <c r="C44" s="926">
        <f>B10-C45</f>
        <v>365.53</v>
      </c>
      <c r="D44" s="922">
        <f>B17-D45</f>
        <v>1070.1309999999999</v>
      </c>
      <c r="E44" s="1597">
        <f t="shared" ref="E44:E49" si="2">B28</f>
        <v>1492.7840000000001</v>
      </c>
    </row>
    <row r="45" spans="1:11" s="211" customFormat="1" ht="15.6" x14ac:dyDescent="0.3">
      <c r="A45" s="214" t="s">
        <v>800</v>
      </c>
      <c r="B45" s="922">
        <f>K28</f>
        <v>7.3129999999999997</v>
      </c>
      <c r="C45" s="922">
        <v>199.47</v>
      </c>
      <c r="D45" s="922">
        <f>SUM(K30:K34)</f>
        <v>729.34400000000005</v>
      </c>
      <c r="E45" s="1597">
        <f t="shared" si="2"/>
        <v>936.12900000000002</v>
      </c>
    </row>
    <row r="46" spans="1:11" s="211" customFormat="1" ht="15.6" x14ac:dyDescent="0.3">
      <c r="A46" s="214" t="s">
        <v>784</v>
      </c>
      <c r="B46" s="922">
        <v>1.0000000000000001E-5</v>
      </c>
      <c r="C46" s="926">
        <f>B11</f>
        <v>486</v>
      </c>
      <c r="D46" s="922">
        <f>B19</f>
        <v>1855.2449999999999</v>
      </c>
      <c r="E46" s="1597">
        <f t="shared" si="2"/>
        <v>2341.2449999999999</v>
      </c>
      <c r="G46" s="211" t="s">
        <v>802</v>
      </c>
    </row>
    <row r="47" spans="1:11" s="211" customFormat="1" ht="15.6" x14ac:dyDescent="0.3">
      <c r="A47" s="214" t="s">
        <v>790</v>
      </c>
      <c r="B47" s="922">
        <v>1.0000000000000001E-5</v>
      </c>
      <c r="C47" s="926">
        <f>B12</f>
        <v>133</v>
      </c>
      <c r="D47" s="922">
        <v>9.9999999999999995E-8</v>
      </c>
      <c r="E47" s="1597">
        <f t="shared" si="2"/>
        <v>133</v>
      </c>
    </row>
    <row r="48" spans="1:11" s="211" customFormat="1" ht="15.6" x14ac:dyDescent="0.3">
      <c r="A48" s="214" t="s">
        <v>791</v>
      </c>
      <c r="B48" s="922">
        <f>B3+B4</f>
        <v>-2.5569999999999999</v>
      </c>
      <c r="C48" s="926">
        <v>0</v>
      </c>
      <c r="D48" s="922">
        <f>B18</f>
        <v>-1.355</v>
      </c>
      <c r="E48" s="1597">
        <f t="shared" si="2"/>
        <v>-3.9119999999999999</v>
      </c>
    </row>
    <row r="49" spans="1:6" s="211" customFormat="1" ht="15.6" x14ac:dyDescent="0.3">
      <c r="A49" s="214" t="s">
        <v>279</v>
      </c>
      <c r="B49" s="922">
        <f>B6</f>
        <v>4.4779999999999998</v>
      </c>
      <c r="C49" s="926">
        <v>0</v>
      </c>
      <c r="D49" s="922">
        <v>9.9999999999999995E-7</v>
      </c>
      <c r="E49" s="1597">
        <f t="shared" si="2"/>
        <v>4.1779999999999999</v>
      </c>
    </row>
    <row r="50" spans="1:6" s="211" customFormat="1" ht="16.2" thickBot="1" x14ac:dyDescent="0.35">
      <c r="A50" s="214" t="s">
        <v>801</v>
      </c>
      <c r="B50" s="1555">
        <f>SUM(B43:B49)</f>
        <v>88.498019999999997</v>
      </c>
      <c r="C50" s="1555">
        <f>SUM(C43:C49)</f>
        <v>1272.49802</v>
      </c>
      <c r="D50" s="1555">
        <f>SUM(D43:D49)-1</f>
        <v>4924.8630211000009</v>
      </c>
      <c r="E50" s="1598">
        <f>D50</f>
        <v>4924.8630211000009</v>
      </c>
    </row>
    <row r="51" spans="1:6" s="211" customFormat="1" ht="6.6" customHeight="1" thickTop="1" x14ac:dyDescent="0.3">
      <c r="A51" s="221"/>
      <c r="B51" s="220"/>
      <c r="C51" s="220"/>
      <c r="D51" s="220"/>
      <c r="E51" s="1599"/>
      <c r="F51" s="220"/>
    </row>
    <row r="52" spans="1:6" s="211" customFormat="1" ht="9" customHeight="1" x14ac:dyDescent="0.3">
      <c r="A52" s="214"/>
      <c r="B52" s="220"/>
      <c r="C52" s="220"/>
      <c r="D52" s="220"/>
      <c r="E52" s="223"/>
    </row>
    <row r="53" spans="1:6" s="211" customFormat="1" ht="16.2" thickBot="1" x14ac:dyDescent="0.35">
      <c r="A53" s="224" t="s">
        <v>803</v>
      </c>
      <c r="B53" s="1557">
        <f>B50-B43</f>
        <v>66.359020000000001</v>
      </c>
      <c r="C53" s="1557">
        <f t="shared" ref="C53" si="3">C50-C43</f>
        <v>1184</v>
      </c>
      <c r="D53" s="1557">
        <f>D50-D43</f>
        <v>3652.3650011000009</v>
      </c>
      <c r="E53" s="1548">
        <f>E50-E43</f>
        <v>4902.7240211000008</v>
      </c>
    </row>
    <row r="54" spans="1:6" s="211" customFormat="1" ht="15" customHeight="1" x14ac:dyDescent="0.3">
      <c r="A54" s="2812" t="s">
        <v>1893</v>
      </c>
      <c r="B54" s="2812"/>
      <c r="C54" s="2812"/>
      <c r="D54" s="2812"/>
      <c r="E54" s="2812"/>
    </row>
    <row r="55" spans="1:6" s="211" customFormat="1" ht="15.6" x14ac:dyDescent="0.3">
      <c r="A55" s="1600"/>
      <c r="B55" s="1600"/>
      <c r="C55" s="1600"/>
      <c r="D55" s="1600"/>
      <c r="E55" s="1600"/>
    </row>
    <row r="56" spans="1:6" s="211" customFormat="1" ht="15.6" x14ac:dyDescent="0.3">
      <c r="A56" s="1601"/>
      <c r="B56" s="1601"/>
    </row>
    <row r="57" spans="1:6" s="211" customFormat="1" ht="15.6" x14ac:dyDescent="0.3">
      <c r="A57" s="459" t="s">
        <v>1522</v>
      </c>
    </row>
    <row r="58" spans="1:6" s="211" customFormat="1" ht="15.6" x14ac:dyDescent="0.3">
      <c r="A58" s="152" t="s">
        <v>1577</v>
      </c>
    </row>
    <row r="59" spans="1:6" s="211" customFormat="1" ht="6.6" customHeight="1" thickBot="1" x14ac:dyDescent="0.35">
      <c r="A59" s="152"/>
    </row>
    <row r="60" spans="1:6" s="211" customFormat="1" ht="15.6" x14ac:dyDescent="0.3">
      <c r="A60" s="225"/>
      <c r="B60" s="470" t="s">
        <v>1579</v>
      </c>
      <c r="C60" s="470" t="s">
        <v>1580</v>
      </c>
      <c r="D60" s="1424" t="s">
        <v>1581</v>
      </c>
      <c r="E60" s="1425" t="s">
        <v>1582</v>
      </c>
    </row>
    <row r="61" spans="1:6" s="211" customFormat="1" ht="15.6" x14ac:dyDescent="0.3">
      <c r="A61" s="214" t="s">
        <v>799</v>
      </c>
      <c r="B61" s="1867">
        <f t="shared" ref="B61:E66" si="4">B44/B$53</f>
        <v>0.86084755320376938</v>
      </c>
      <c r="C61" s="1867">
        <f t="shared" si="4"/>
        <v>0.30872466216216216</v>
      </c>
      <c r="D61" s="1875">
        <f t="shared" si="4"/>
        <v>0.29299672942811117</v>
      </c>
      <c r="E61" s="1869">
        <f t="shared" si="4"/>
        <v>0.30448052828906147</v>
      </c>
    </row>
    <row r="62" spans="1:6" s="211" customFormat="1" ht="15.6" x14ac:dyDescent="0.3">
      <c r="A62" s="214" t="s">
        <v>800</v>
      </c>
      <c r="B62" s="1867">
        <f t="shared" si="4"/>
        <v>0.11020355635149524</v>
      </c>
      <c r="C62" s="1867">
        <f t="shared" si="4"/>
        <v>0.16847128378378379</v>
      </c>
      <c r="D62" s="1875">
        <f t="shared" si="4"/>
        <v>0.19969088516080399</v>
      </c>
      <c r="E62" s="1869">
        <f t="shared" si="4"/>
        <v>0.19094058649256077</v>
      </c>
    </row>
    <row r="63" spans="1:6" s="211" customFormat="1" ht="15.6" x14ac:dyDescent="0.3">
      <c r="A63" s="214" t="s">
        <v>784</v>
      </c>
      <c r="B63" s="1867">
        <f t="shared" si="4"/>
        <v>1.5069541412757452E-7</v>
      </c>
      <c r="C63" s="1867">
        <f t="shared" si="4"/>
        <v>0.41047297297297297</v>
      </c>
      <c r="D63" s="1875">
        <f t="shared" si="4"/>
        <v>0.50795717280207386</v>
      </c>
      <c r="E63" s="1869">
        <f t="shared" si="4"/>
        <v>0.47753962693472313</v>
      </c>
    </row>
    <row r="64" spans="1:6" s="211" customFormat="1" ht="15.6" x14ac:dyDescent="0.3">
      <c r="A64" s="214" t="s">
        <v>790</v>
      </c>
      <c r="B64" s="1867">
        <f t="shared" si="4"/>
        <v>1.5069541412757452E-7</v>
      </c>
      <c r="C64" s="1867">
        <f t="shared" si="4"/>
        <v>0.11233108108108109</v>
      </c>
      <c r="D64" s="1875">
        <f t="shared" si="4"/>
        <v>2.7379519837114445E-11</v>
      </c>
      <c r="E64" s="1869">
        <f t="shared" si="4"/>
        <v>2.7127776196988428E-2</v>
      </c>
    </row>
    <row r="65" spans="1:5" s="211" customFormat="1" ht="15.6" x14ac:dyDescent="0.3">
      <c r="A65" s="214" t="s">
        <v>791</v>
      </c>
      <c r="B65" s="1867">
        <f t="shared" si="4"/>
        <v>-3.8532817392420801E-2</v>
      </c>
      <c r="C65" s="1867">
        <f t="shared" si="4"/>
        <v>0</v>
      </c>
      <c r="D65" s="1875">
        <f t="shared" si="4"/>
        <v>-3.7099249379290072E-4</v>
      </c>
      <c r="E65" s="1869">
        <f t="shared" si="4"/>
        <v>-7.9792376302720855E-4</v>
      </c>
    </row>
    <row r="66" spans="1:5" s="211" customFormat="1" ht="15.6" x14ac:dyDescent="0.3">
      <c r="A66" s="214" t="s">
        <v>279</v>
      </c>
      <c r="B66" s="1867">
        <f t="shared" si="4"/>
        <v>6.7481406446327871E-2</v>
      </c>
      <c r="C66" s="1867">
        <f t="shared" si="4"/>
        <v>0</v>
      </c>
      <c r="D66" s="1875">
        <f t="shared" si="4"/>
        <v>2.7379519837114447E-10</v>
      </c>
      <c r="E66" s="1869">
        <f t="shared" si="4"/>
        <v>8.5217931542118537E-4</v>
      </c>
    </row>
    <row r="67" spans="1:5" s="211" customFormat="1" ht="16.2" thickBot="1" x14ac:dyDescent="0.35">
      <c r="A67" s="214" t="s">
        <v>3</v>
      </c>
      <c r="B67" s="1870">
        <f>SUM(B61:B66)</f>
        <v>1</v>
      </c>
      <c r="C67" s="1870">
        <f t="shared" ref="C67:D67" si="5">SUM(C61:C66)</f>
        <v>1</v>
      </c>
      <c r="D67" s="1876">
        <f t="shared" si="5"/>
        <v>1.0002737951983709</v>
      </c>
      <c r="E67" s="1871">
        <f>SUM(E61:E66)</f>
        <v>1.0001427734657276</v>
      </c>
    </row>
    <row r="68" spans="1:5" s="211" customFormat="1" ht="6.6" customHeight="1" thickTop="1" thickBot="1" x14ac:dyDescent="0.35">
      <c r="A68" s="217"/>
      <c r="B68" s="218"/>
      <c r="C68" s="218"/>
      <c r="D68" s="218"/>
      <c r="E68" s="1602"/>
    </row>
    <row r="69" spans="1:5" s="211" customFormat="1" ht="15.75" customHeight="1" x14ac:dyDescent="0.3">
      <c r="A69" s="2812" t="s">
        <v>1893</v>
      </c>
      <c r="B69" s="2812"/>
      <c r="C69" s="2812"/>
      <c r="D69" s="2812"/>
      <c r="E69" s="2812"/>
    </row>
  </sheetData>
  <mergeCells count="3">
    <mergeCell ref="A36:B37"/>
    <mergeCell ref="A54:E54"/>
    <mergeCell ref="A69:E69"/>
  </mergeCells>
  <pageMargins left="0.7" right="0.7" top="0.75" bottom="0.75" header="0.3" footer="0.3"/>
  <pageSetup orientation="portrait" r:id="rId1"/>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7B7C-344A-4455-814E-55D5F704F494}">
  <sheetPr codeName="Sheet34">
    <tabColor theme="4"/>
  </sheetPr>
  <dimension ref="A1:L28"/>
  <sheetViews>
    <sheetView showGridLines="0" zoomScale="85" zoomScaleNormal="85" workbookViewId="0">
      <pane xSplit="1" ySplit="4" topLeftCell="B5" activePane="bottomRight" state="frozen"/>
      <selection pane="topRight" activeCell="B1" sqref="B1"/>
      <selection pane="bottomLeft" activeCell="A2" sqref="A2"/>
      <selection pane="bottomRight" activeCell="M21" sqref="M21"/>
    </sheetView>
  </sheetViews>
  <sheetFormatPr defaultColWidth="8.6640625" defaultRowHeight="13.8" x14ac:dyDescent="0.25"/>
  <cols>
    <col min="1" max="1" width="42.44140625" style="1" customWidth="1"/>
    <col min="2" max="7" width="13.44140625" style="1" customWidth="1"/>
    <col min="8" max="10" width="8.6640625" style="1"/>
    <col min="11" max="11" width="20.109375" style="1" bestFit="1" customWidth="1"/>
    <col min="12" max="16384" width="8.6640625" style="1"/>
  </cols>
  <sheetData>
    <row r="1" spans="1:7" ht="15.6" x14ac:dyDescent="0.3">
      <c r="A1" s="459" t="s">
        <v>1522</v>
      </c>
      <c r="B1" s="211"/>
      <c r="C1" s="211"/>
      <c r="D1" s="211"/>
      <c r="E1" s="211"/>
      <c r="F1" s="211"/>
      <c r="G1" s="211"/>
    </row>
    <row r="2" spans="1:7" ht="15.6" x14ac:dyDescent="0.3">
      <c r="A2" s="152" t="s">
        <v>1573</v>
      </c>
      <c r="B2" s="211"/>
      <c r="C2" s="211"/>
      <c r="D2" s="211"/>
      <c r="E2" s="211"/>
      <c r="F2" s="211"/>
      <c r="G2" s="211"/>
    </row>
    <row r="3" spans="1:7" ht="9.75" customHeight="1" thickBot="1" x14ac:dyDescent="0.35">
      <c r="A3" s="211"/>
      <c r="B3" s="211"/>
      <c r="C3" s="211"/>
      <c r="D3" s="211"/>
      <c r="E3" s="211"/>
      <c r="F3" s="211"/>
      <c r="G3" s="211"/>
    </row>
    <row r="4" spans="1:7" s="11" customFormat="1" ht="15.6" x14ac:dyDescent="0.3">
      <c r="A4" s="212" t="s">
        <v>1574</v>
      </c>
      <c r="B4" s="712">
        <v>1989</v>
      </c>
      <c r="C4" s="712">
        <v>1984</v>
      </c>
      <c r="D4" s="712">
        <v>1979</v>
      </c>
      <c r="E4" s="712">
        <v>1974</v>
      </c>
      <c r="F4" s="712">
        <v>1969</v>
      </c>
      <c r="G4" s="713">
        <v>1964</v>
      </c>
    </row>
    <row r="5" spans="1:7" ht="15.6" x14ac:dyDescent="0.3">
      <c r="A5" s="221" t="s">
        <v>561</v>
      </c>
      <c r="B5" s="220"/>
      <c r="C5" s="220"/>
      <c r="D5" s="220"/>
      <c r="E5" s="220"/>
      <c r="F5" s="220"/>
      <c r="G5" s="223"/>
    </row>
    <row r="6" spans="1:7" ht="15.6" x14ac:dyDescent="0.3">
      <c r="A6" s="214" t="s">
        <v>760</v>
      </c>
      <c r="B6" s="920">
        <v>1526459</v>
      </c>
      <c r="C6" s="920">
        <v>496971</v>
      </c>
      <c r="D6" s="920">
        <v>286493</v>
      </c>
      <c r="E6" s="920">
        <v>32592</v>
      </c>
      <c r="F6" s="920">
        <v>40427</v>
      </c>
      <c r="G6" s="921">
        <v>49983</v>
      </c>
    </row>
    <row r="7" spans="1:7" ht="15.6" x14ac:dyDescent="0.3">
      <c r="A7" s="214" t="s">
        <v>761</v>
      </c>
      <c r="B7" s="922">
        <v>394279</v>
      </c>
      <c r="C7" s="922">
        <v>140242</v>
      </c>
      <c r="D7" s="922">
        <v>181949</v>
      </c>
      <c r="E7" s="922">
        <v>60574</v>
      </c>
      <c r="F7" s="922">
        <v>25258</v>
      </c>
      <c r="G7" s="923">
        <v>0</v>
      </c>
    </row>
    <row r="8" spans="1:7" ht="15.6" x14ac:dyDescent="0.3">
      <c r="A8" s="214" t="s">
        <v>762</v>
      </c>
      <c r="B8" s="922">
        <v>250723</v>
      </c>
      <c r="C8" s="922">
        <v>69281</v>
      </c>
      <c r="D8" s="922">
        <v>24747</v>
      </c>
      <c r="E8" s="922">
        <v>7916</v>
      </c>
      <c r="F8" s="922">
        <v>2017</v>
      </c>
      <c r="G8" s="923">
        <v>0</v>
      </c>
    </row>
    <row r="9" spans="1:7" ht="15.6" x14ac:dyDescent="0.3">
      <c r="A9" s="214" t="s">
        <v>763</v>
      </c>
      <c r="B9" s="922">
        <v>223810</v>
      </c>
      <c r="C9" s="922">
        <v>114136</v>
      </c>
      <c r="D9" s="922">
        <v>10769</v>
      </c>
      <c r="E9" s="922">
        <v>-1908</v>
      </c>
      <c r="F9" s="922">
        <v>5722</v>
      </c>
      <c r="G9" s="923">
        <v>0</v>
      </c>
    </row>
    <row r="10" spans="1:7" ht="16.2" thickBot="1" x14ac:dyDescent="0.35">
      <c r="A10" s="214" t="s">
        <v>764</v>
      </c>
      <c r="B10" s="924">
        <v>2483892</v>
      </c>
      <c r="C10" s="924">
        <v>861388</v>
      </c>
      <c r="D10" s="924">
        <v>560381</v>
      </c>
      <c r="E10" s="924">
        <v>100384</v>
      </c>
      <c r="F10" s="924">
        <f>SUM(F6:F9)</f>
        <v>73424</v>
      </c>
      <c r="G10" s="925">
        <f>SUM(G6:G9)</f>
        <v>49983</v>
      </c>
    </row>
    <row r="11" spans="1:7" ht="9" customHeight="1" thickTop="1" x14ac:dyDescent="0.3">
      <c r="A11" s="214"/>
      <c r="B11" s="928"/>
      <c r="C11" s="928"/>
      <c r="D11" s="928"/>
      <c r="E11" s="928"/>
      <c r="F11" s="928"/>
      <c r="G11" s="929"/>
    </row>
    <row r="12" spans="1:7" ht="15.6" x14ac:dyDescent="0.3">
      <c r="A12" s="221" t="s">
        <v>765</v>
      </c>
      <c r="B12" s="926"/>
      <c r="C12" s="926"/>
      <c r="D12" s="926"/>
      <c r="E12" s="926"/>
      <c r="F12" s="926"/>
      <c r="G12" s="927"/>
    </row>
    <row r="13" spans="1:7" ht="15.6" x14ac:dyDescent="0.3">
      <c r="A13" s="214" t="s">
        <v>766</v>
      </c>
      <c r="B13" s="928">
        <v>299902</v>
      </c>
      <c r="C13" s="928">
        <v>70201</v>
      </c>
      <c r="D13" s="928">
        <v>35921</v>
      </c>
      <c r="E13" s="928">
        <v>8383</v>
      </c>
      <c r="F13" s="928">
        <v>3863</v>
      </c>
      <c r="G13" s="929">
        <v>-2824</v>
      </c>
    </row>
    <row r="14" spans="1:7" ht="15.6" x14ac:dyDescent="0.3">
      <c r="A14" s="214" t="s">
        <v>763</v>
      </c>
      <c r="B14" s="922">
        <v>147575</v>
      </c>
      <c r="C14" s="922">
        <v>78694</v>
      </c>
      <c r="D14" s="922">
        <v>6896</v>
      </c>
      <c r="E14" s="922">
        <v>-1340</v>
      </c>
      <c r="F14" s="922">
        <v>4090</v>
      </c>
      <c r="G14" s="923">
        <v>0</v>
      </c>
    </row>
    <row r="15" spans="1:7" ht="16.2" thickBot="1" x14ac:dyDescent="0.35">
      <c r="A15" s="214" t="s">
        <v>767</v>
      </c>
      <c r="B15" s="930">
        <f t="shared" ref="B15:G15" si="0">SUM(B13:B14)</f>
        <v>447477</v>
      </c>
      <c r="C15" s="930">
        <f t="shared" si="0"/>
        <v>148895</v>
      </c>
      <c r="D15" s="930">
        <f t="shared" si="0"/>
        <v>42817</v>
      </c>
      <c r="E15" s="930">
        <f t="shared" si="0"/>
        <v>7043</v>
      </c>
      <c r="F15" s="930">
        <f t="shared" si="0"/>
        <v>7953</v>
      </c>
      <c r="G15" s="931">
        <f t="shared" si="0"/>
        <v>-2824</v>
      </c>
    </row>
    <row r="16" spans="1:7" ht="9" customHeight="1" thickTop="1" x14ac:dyDescent="0.3">
      <c r="A16" s="214"/>
      <c r="B16" s="928"/>
      <c r="C16" s="928"/>
      <c r="D16" s="928"/>
      <c r="E16" s="928"/>
      <c r="F16" s="928"/>
      <c r="G16" s="929"/>
    </row>
    <row r="17" spans="1:12" ht="15.6" x14ac:dyDescent="0.3">
      <c r="A17" s="221" t="s">
        <v>772</v>
      </c>
      <c r="B17" s="220"/>
      <c r="C17" s="220"/>
      <c r="D17" s="220"/>
      <c r="E17" s="220"/>
      <c r="F17" s="220"/>
      <c r="G17" s="223"/>
      <c r="K17" s="1" t="s">
        <v>176</v>
      </c>
    </row>
    <row r="18" spans="1:12" ht="15.6" x14ac:dyDescent="0.3">
      <c r="A18" s="214" t="s">
        <v>773</v>
      </c>
      <c r="B18" s="932">
        <v>262.45999999999998</v>
      </c>
      <c r="C18" s="932">
        <v>61.21</v>
      </c>
      <c r="D18" s="932">
        <v>34.97</v>
      </c>
      <c r="E18" s="932">
        <v>8.56</v>
      </c>
      <c r="F18" s="932">
        <v>3.92</v>
      </c>
      <c r="G18" s="933">
        <v>-2.41</v>
      </c>
    </row>
    <row r="19" spans="1:12" ht="15.6" x14ac:dyDescent="0.3">
      <c r="A19" s="214" t="s">
        <v>763</v>
      </c>
      <c r="B19" s="934">
        <v>127.55</v>
      </c>
      <c r="C19" s="934">
        <v>68.61</v>
      </c>
      <c r="D19" s="934">
        <v>6.71</v>
      </c>
      <c r="E19" s="934">
        <v>-1.37</v>
      </c>
      <c r="F19" s="934">
        <v>4.1500000000000004</v>
      </c>
      <c r="G19" s="935">
        <v>0</v>
      </c>
      <c r="K19" s="1" t="s">
        <v>176</v>
      </c>
    </row>
    <row r="20" spans="1:12" ht="16.2" thickBot="1" x14ac:dyDescent="0.35">
      <c r="A20" s="214" t="s">
        <v>767</v>
      </c>
      <c r="B20" s="936">
        <f t="shared" ref="B20:G20" si="1">SUM(B18:B19)</f>
        <v>390.01</v>
      </c>
      <c r="C20" s="936">
        <f t="shared" si="1"/>
        <v>129.82</v>
      </c>
      <c r="D20" s="936">
        <f t="shared" si="1"/>
        <v>41.68</v>
      </c>
      <c r="E20" s="936">
        <f t="shared" si="1"/>
        <v>7.19</v>
      </c>
      <c r="F20" s="936">
        <f t="shared" si="1"/>
        <v>8.07</v>
      </c>
      <c r="G20" s="937">
        <f t="shared" si="1"/>
        <v>-2.41</v>
      </c>
    </row>
    <row r="21" spans="1:12" ht="9" customHeight="1" thickTop="1" x14ac:dyDescent="0.3">
      <c r="A21" s="214"/>
      <c r="B21" s="932"/>
      <c r="C21" s="932"/>
      <c r="D21" s="932"/>
      <c r="E21" s="932"/>
      <c r="F21" s="932"/>
      <c r="G21" s="933"/>
    </row>
    <row r="22" spans="1:12" ht="15.6" x14ac:dyDescent="0.3">
      <c r="A22" s="221" t="s">
        <v>695</v>
      </c>
      <c r="B22" s="220"/>
      <c r="C22" s="220"/>
      <c r="D22" s="220"/>
      <c r="E22" s="220"/>
      <c r="F22" s="220"/>
      <c r="G22" s="223"/>
    </row>
    <row r="23" spans="1:12" ht="15.6" x14ac:dyDescent="0.3">
      <c r="A23" s="214" t="s">
        <v>771</v>
      </c>
      <c r="B23" s="928">
        <v>9459594</v>
      </c>
      <c r="C23" s="928">
        <v>2297516</v>
      </c>
      <c r="D23" s="928">
        <v>1433863</v>
      </c>
      <c r="E23" s="928">
        <v>216214</v>
      </c>
      <c r="F23" s="928">
        <v>95746</v>
      </c>
      <c r="G23" s="929">
        <v>27887</v>
      </c>
    </row>
    <row r="24" spans="1:12" ht="15.6" x14ac:dyDescent="0.3">
      <c r="A24" s="214" t="s">
        <v>770</v>
      </c>
      <c r="B24" s="928">
        <v>1007516</v>
      </c>
      <c r="C24" s="928">
        <v>127104</v>
      </c>
      <c r="D24" s="928">
        <v>134416</v>
      </c>
      <c r="E24" s="928">
        <v>21830</v>
      </c>
      <c r="F24" s="928">
        <v>7419</v>
      </c>
      <c r="G24" s="929">
        <v>2500</v>
      </c>
    </row>
    <row r="25" spans="1:12" ht="15.6" x14ac:dyDescent="0.3">
      <c r="A25" s="214" t="s">
        <v>769</v>
      </c>
      <c r="B25" s="928">
        <v>4925126</v>
      </c>
      <c r="C25" s="928">
        <v>1271761</v>
      </c>
      <c r="D25" s="928">
        <v>344962</v>
      </c>
      <c r="E25" s="928">
        <v>88199</v>
      </c>
      <c r="F25" s="928">
        <v>43918</v>
      </c>
      <c r="G25" s="929">
        <v>22139</v>
      </c>
      <c r="J25" s="5">
        <f>(B25/G25)^(1/25.25)-1</f>
        <v>0.23868467959795892</v>
      </c>
      <c r="K25" s="29">
        <f>(B25/G25)^(1/25)-1</f>
        <v>0.24133892476933227</v>
      </c>
    </row>
    <row r="26" spans="1:12" ht="15.6" x14ac:dyDescent="0.3">
      <c r="A26" s="214" t="s">
        <v>1575</v>
      </c>
      <c r="B26" s="928">
        <v>1146</v>
      </c>
      <c r="C26" s="928">
        <v>1147</v>
      </c>
      <c r="D26" s="928">
        <v>1027</v>
      </c>
      <c r="E26" s="928">
        <v>980</v>
      </c>
      <c r="F26" s="928">
        <v>980</v>
      </c>
      <c r="G26" s="929">
        <v>1138</v>
      </c>
      <c r="J26" s="5">
        <f>(B26/G26)^(1/25.25)-1</f>
        <v>2.7747542338008024E-4</v>
      </c>
      <c r="K26" s="138"/>
    </row>
    <row r="27" spans="1:12" ht="16.2" thickBot="1" x14ac:dyDescent="0.35">
      <c r="A27" s="224" t="s">
        <v>768</v>
      </c>
      <c r="B27" s="938">
        <v>4296.01</v>
      </c>
      <c r="C27" s="938">
        <v>1108.77</v>
      </c>
      <c r="D27" s="938">
        <v>335.85</v>
      </c>
      <c r="E27" s="938">
        <v>90.04</v>
      </c>
      <c r="F27" s="938">
        <v>44.83</v>
      </c>
      <c r="G27" s="939">
        <v>19.46</v>
      </c>
      <c r="J27" s="5">
        <f>(B27/G27)^(1/25.25)-1</f>
        <v>0.2383078093276394</v>
      </c>
      <c r="K27" s="29">
        <f>(B27/G27)^(1/25)-1</f>
        <v>0.2409574707460338</v>
      </c>
      <c r="L27" s="1" t="s">
        <v>1576</v>
      </c>
    </row>
    <row r="28" spans="1:12" x14ac:dyDescent="0.25">
      <c r="A28" s="12" t="s">
        <v>1892</v>
      </c>
      <c r="J28" s="141"/>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8DE6-21D6-48D0-9F65-AAAAC818F22C}">
  <sheetPr>
    <tabColor theme="4"/>
  </sheetPr>
  <dimension ref="A1:P53"/>
  <sheetViews>
    <sheetView showGridLines="0" zoomScaleNormal="100" workbookViewId="0">
      <selection activeCell="L18" sqref="L18"/>
    </sheetView>
  </sheetViews>
  <sheetFormatPr defaultColWidth="9.109375" defaultRowHeight="15.6" x14ac:dyDescent="0.3"/>
  <cols>
    <col min="1" max="1" width="34.44140625" style="211" customWidth="1"/>
    <col min="2" max="3" width="10" style="211" customWidth="1"/>
    <col min="4" max="4" width="9.109375" style="211"/>
    <col min="5" max="5" width="49" style="211" customWidth="1"/>
    <col min="6" max="8" width="9.109375" style="211"/>
    <col min="9" max="9" width="9.33203125" style="211" bestFit="1" customWidth="1"/>
    <col min="10" max="10" width="12.44140625" style="211" bestFit="1" customWidth="1"/>
    <col min="11" max="11" width="1.6640625" style="211" customWidth="1"/>
    <col min="12" max="12" width="9" style="211" bestFit="1" customWidth="1"/>
    <col min="13" max="13" width="2.109375" style="211" customWidth="1"/>
    <col min="14" max="14" width="12.88671875" style="211" bestFit="1" customWidth="1"/>
    <col min="15" max="15" width="1.88671875" style="211" customWidth="1"/>
    <col min="16" max="16" width="13.5546875" style="211" bestFit="1" customWidth="1"/>
    <col min="17" max="16384" width="9.109375" style="211"/>
  </cols>
  <sheetData>
    <row r="1" spans="1:16" s="1" customFormat="1" x14ac:dyDescent="0.3">
      <c r="A1" s="459" t="s">
        <v>1522</v>
      </c>
      <c r="B1" s="211"/>
      <c r="I1" s="211"/>
      <c r="J1" s="211"/>
      <c r="K1" s="211"/>
      <c r="L1" s="211"/>
      <c r="M1" s="211"/>
      <c r="N1" s="211"/>
      <c r="O1" s="211"/>
      <c r="P1" s="211"/>
    </row>
    <row r="2" spans="1:16" s="1" customFormat="1" ht="15.75" customHeight="1" x14ac:dyDescent="0.3">
      <c r="A2" s="2794" t="s">
        <v>2989</v>
      </c>
      <c r="B2" s="2794"/>
      <c r="C2" s="2794"/>
      <c r="I2" s="211"/>
      <c r="J2" s="211"/>
      <c r="K2" s="211"/>
      <c r="L2" s="211"/>
      <c r="M2" s="211"/>
      <c r="N2" s="211"/>
      <c r="O2" s="211"/>
      <c r="P2" s="211"/>
    </row>
    <row r="3" spans="1:16" s="1" customFormat="1" ht="8.25" customHeight="1" thickBot="1" x14ac:dyDescent="0.35">
      <c r="A3" s="211"/>
      <c r="B3" s="211"/>
      <c r="I3" s="211"/>
      <c r="J3" s="211"/>
      <c r="K3" s="211"/>
      <c r="L3" s="211"/>
      <c r="M3" s="211"/>
      <c r="N3" s="211"/>
      <c r="O3" s="211"/>
      <c r="P3" s="211"/>
    </row>
    <row r="4" spans="1:16" x14ac:dyDescent="0.3">
      <c r="A4" s="453"/>
      <c r="B4" s="1745">
        <v>1990</v>
      </c>
      <c r="C4" s="1746">
        <v>1989</v>
      </c>
    </row>
    <row r="5" spans="1:16" x14ac:dyDescent="0.3">
      <c r="A5" s="214" t="s">
        <v>2988</v>
      </c>
      <c r="B5" s="1793">
        <v>7.3999999999999996E-2</v>
      </c>
      <c r="C5" s="1762">
        <v>0.44400000000000001</v>
      </c>
    </row>
    <row r="6" spans="1:16" x14ac:dyDescent="0.3">
      <c r="A6" s="214" t="s">
        <v>2987</v>
      </c>
      <c r="B6" s="1793">
        <v>-0.23100000000000001</v>
      </c>
      <c r="C6" s="1762">
        <v>0.84599999999999997</v>
      </c>
    </row>
    <row r="7" spans="1:16" ht="16.2" thickBot="1" x14ac:dyDescent="0.35">
      <c r="A7" s="224" t="s">
        <v>2986</v>
      </c>
      <c r="B7" s="2293">
        <f>(B5-B6)*100</f>
        <v>30.5</v>
      </c>
      <c r="C7" s="2292">
        <f>(C5-C6)*100</f>
        <v>-40.199999999999996</v>
      </c>
    </row>
    <row r="8" spans="1:16" ht="15.75" customHeight="1" x14ac:dyDescent="0.3">
      <c r="A8" s="2805" t="s">
        <v>2985</v>
      </c>
      <c r="B8" s="2805"/>
      <c r="C8" s="2805"/>
    </row>
    <row r="9" spans="1:16" x14ac:dyDescent="0.3">
      <c r="A9" s="904"/>
      <c r="B9" s="904"/>
      <c r="C9" s="904"/>
    </row>
    <row r="12" spans="1:16" x14ac:dyDescent="0.3">
      <c r="E12" s="459" t="s">
        <v>1522</v>
      </c>
    </row>
    <row r="13" spans="1:16" x14ac:dyDescent="0.3">
      <c r="E13" s="2794" t="s">
        <v>2984</v>
      </c>
      <c r="F13" s="2794"/>
    </row>
    <row r="14" spans="1:16" ht="8.25" customHeight="1" thickBot="1" x14ac:dyDescent="0.35">
      <c r="E14" s="2794"/>
      <c r="F14" s="2794"/>
    </row>
    <row r="15" spans="1:16" x14ac:dyDescent="0.3">
      <c r="E15" s="212" t="s">
        <v>1250</v>
      </c>
      <c r="F15" s="389"/>
    </row>
    <row r="16" spans="1:16" x14ac:dyDescent="0.3">
      <c r="E16" s="214" t="s">
        <v>2983</v>
      </c>
      <c r="F16" s="1544">
        <v>250</v>
      </c>
    </row>
    <row r="17" spans="5:16" x14ac:dyDescent="0.3">
      <c r="E17" s="214" t="s">
        <v>2982</v>
      </c>
      <c r="F17" s="2291">
        <v>-30</v>
      </c>
    </row>
    <row r="18" spans="5:16" x14ac:dyDescent="0.3">
      <c r="E18" s="214" t="s">
        <v>2981</v>
      </c>
      <c r="F18" s="2290">
        <f>F16+F17</f>
        <v>220</v>
      </c>
    </row>
    <row r="19" spans="5:16" x14ac:dyDescent="0.3">
      <c r="E19" s="214" t="s">
        <v>2980</v>
      </c>
      <c r="F19" s="2289">
        <v>371</v>
      </c>
    </row>
    <row r="20" spans="5:16" ht="16.2" thickBot="1" x14ac:dyDescent="0.35">
      <c r="E20" s="224" t="s">
        <v>2979</v>
      </c>
      <c r="F20" s="2288">
        <f>F18+F19</f>
        <v>591</v>
      </c>
    </row>
    <row r="21" spans="5:16" x14ac:dyDescent="0.3">
      <c r="E21" s="2287" t="s">
        <v>2975</v>
      </c>
      <c r="F21" s="2287"/>
    </row>
    <row r="22" spans="5:16" x14ac:dyDescent="0.3">
      <c r="E22" s="904"/>
      <c r="F22" s="904"/>
    </row>
    <row r="24" spans="5:16" x14ac:dyDescent="0.3">
      <c r="I24" s="2853" t="s">
        <v>1522</v>
      </c>
      <c r="J24" s="2853"/>
      <c r="K24" s="2853"/>
      <c r="L24" s="2853"/>
      <c r="M24" s="2853"/>
      <c r="N24" s="2853"/>
      <c r="O24" s="2853"/>
    </row>
    <row r="25" spans="5:16" ht="15.75" customHeight="1" x14ac:dyDescent="0.3">
      <c r="I25" s="152" t="s">
        <v>821</v>
      </c>
      <c r="J25" s="1902"/>
      <c r="K25" s="1902"/>
      <c r="L25" s="1902"/>
      <c r="M25" s="1902"/>
      <c r="N25" s="1902"/>
      <c r="O25" s="1902"/>
    </row>
    <row r="26" spans="5:16" ht="15.75" customHeight="1" x14ac:dyDescent="0.3">
      <c r="I26" s="152" t="s">
        <v>2978</v>
      </c>
      <c r="J26" s="1902"/>
      <c r="K26" s="1902"/>
      <c r="L26" s="1902"/>
      <c r="M26" s="1902"/>
      <c r="N26" s="1902"/>
      <c r="O26" s="1902"/>
    </row>
    <row r="27" spans="5:16" ht="6.6" customHeight="1" thickBot="1" x14ac:dyDescent="0.35">
      <c r="J27" s="1902"/>
      <c r="K27" s="1902"/>
      <c r="L27" s="1902"/>
      <c r="M27" s="1902"/>
      <c r="N27" s="1902"/>
      <c r="O27" s="1902"/>
    </row>
    <row r="28" spans="5:16" ht="49.5" customHeight="1" x14ac:dyDescent="0.3">
      <c r="I28" s="2286"/>
      <c r="J28" s="1906" t="s">
        <v>2977</v>
      </c>
      <c r="K28" s="885"/>
      <c r="L28" s="1906" t="s">
        <v>2976</v>
      </c>
      <c r="M28" s="885"/>
      <c r="N28" s="1906" t="s">
        <v>822</v>
      </c>
      <c r="O28" s="885"/>
      <c r="P28" s="1907" t="s">
        <v>823</v>
      </c>
    </row>
    <row r="29" spans="5:16" ht="31.2" x14ac:dyDescent="0.3">
      <c r="I29" s="2071">
        <v>1967</v>
      </c>
      <c r="J29" s="2274" t="s">
        <v>824</v>
      </c>
      <c r="K29" s="2274"/>
      <c r="L29" s="2285">
        <v>17.3</v>
      </c>
      <c r="M29" s="2272"/>
      <c r="N29" s="2274" t="s">
        <v>825</v>
      </c>
      <c r="O29" s="2274"/>
      <c r="P29" s="2270">
        <v>5.5E-2</v>
      </c>
    </row>
    <row r="30" spans="5:16" ht="31.2" x14ac:dyDescent="0.3">
      <c r="I30" s="2071">
        <v>1968</v>
      </c>
      <c r="J30" s="2274" t="s">
        <v>824</v>
      </c>
      <c r="K30" s="2284"/>
      <c r="L30" s="2273">
        <v>19.899999999999999</v>
      </c>
      <c r="M30" s="2272"/>
      <c r="N30" s="2274" t="s">
        <v>825</v>
      </c>
      <c r="O30" s="2274"/>
      <c r="P30" s="2270">
        <v>5.8999999999999997E-2</v>
      </c>
    </row>
    <row r="31" spans="5:16" ht="31.2" x14ac:dyDescent="0.3">
      <c r="I31" s="2071">
        <v>1969</v>
      </c>
      <c r="J31" s="2274" t="s">
        <v>824</v>
      </c>
      <c r="K31" s="2278"/>
      <c r="L31" s="2273">
        <v>23.4</v>
      </c>
      <c r="M31" s="2272"/>
      <c r="N31" s="2274" t="s">
        <v>825</v>
      </c>
      <c r="O31" s="2274"/>
      <c r="P31" s="2270">
        <v>6.7900000000000002E-2</v>
      </c>
    </row>
    <row r="32" spans="5:16" x14ac:dyDescent="0.3">
      <c r="I32" s="2071">
        <v>1970</v>
      </c>
      <c r="J32" s="2283">
        <v>0.37</v>
      </c>
      <c r="K32" s="2278"/>
      <c r="L32" s="2273">
        <v>32.4</v>
      </c>
      <c r="M32" s="2272"/>
      <c r="N32" s="2279">
        <v>1.14E-2</v>
      </c>
      <c r="O32" s="2274"/>
      <c r="P32" s="2270">
        <v>6.25E-2</v>
      </c>
    </row>
    <row r="33" spans="9:16" ht="31.2" x14ac:dyDescent="0.3">
      <c r="I33" s="2071">
        <v>1971</v>
      </c>
      <c r="J33" s="2274" t="s">
        <v>824</v>
      </c>
      <c r="K33" s="2280"/>
      <c r="L33" s="2273">
        <v>52.5</v>
      </c>
      <c r="M33" s="2272"/>
      <c r="N33" s="2274" t="s">
        <v>825</v>
      </c>
      <c r="O33" s="2274"/>
      <c r="P33" s="2270">
        <v>5.8099999999999999E-2</v>
      </c>
    </row>
    <row r="34" spans="9:16" ht="31.2" x14ac:dyDescent="0.3">
      <c r="I34" s="2071">
        <v>1972</v>
      </c>
      <c r="J34" s="2274" t="s">
        <v>824</v>
      </c>
      <c r="K34" s="2274"/>
      <c r="L34" s="2273">
        <v>69.5</v>
      </c>
      <c r="M34" s="2272"/>
      <c r="N34" s="2274" t="s">
        <v>825</v>
      </c>
      <c r="O34" s="2274"/>
      <c r="P34" s="2270">
        <v>5.8200000000000002E-2</v>
      </c>
    </row>
    <row r="35" spans="9:16" ht="31.2" x14ac:dyDescent="0.3">
      <c r="I35" s="2071">
        <v>1973</v>
      </c>
      <c r="J35" s="2274" t="s">
        <v>824</v>
      </c>
      <c r="K35" s="2278"/>
      <c r="L35" s="2273">
        <v>73.3</v>
      </c>
      <c r="M35" s="2272"/>
      <c r="N35" s="2274" t="s">
        <v>825</v>
      </c>
      <c r="O35" s="2274"/>
      <c r="P35" s="2270">
        <v>7.2700000000000001E-2</v>
      </c>
    </row>
    <row r="36" spans="9:16" x14ac:dyDescent="0.3">
      <c r="I36" s="2071">
        <v>1974</v>
      </c>
      <c r="J36" s="2275">
        <v>7.36</v>
      </c>
      <c r="K36" s="2274"/>
      <c r="L36" s="2273">
        <v>79.099999999999994</v>
      </c>
      <c r="M36" s="2272"/>
      <c r="N36" s="2279">
        <v>9.2999999999999999E-2</v>
      </c>
      <c r="O36" s="2274"/>
      <c r="P36" s="2270">
        <v>8.1299999999999997E-2</v>
      </c>
    </row>
    <row r="37" spans="9:16" x14ac:dyDescent="0.3">
      <c r="I37" s="2071">
        <v>1975</v>
      </c>
      <c r="J37" s="2275">
        <v>11.35</v>
      </c>
      <c r="K37" s="2278"/>
      <c r="L37" s="2273">
        <v>87.6</v>
      </c>
      <c r="M37" s="2272"/>
      <c r="N37" s="2279">
        <v>0.12959999999999999</v>
      </c>
      <c r="O37" s="2274"/>
      <c r="P37" s="2270">
        <v>8.0299999999999996E-2</v>
      </c>
    </row>
    <row r="38" spans="9:16" ht="31.2" x14ac:dyDescent="0.3">
      <c r="I38" s="2071">
        <v>1976</v>
      </c>
      <c r="J38" s="2274" t="s">
        <v>824</v>
      </c>
      <c r="K38" s="2278"/>
      <c r="L38" s="2273">
        <v>102.6</v>
      </c>
      <c r="M38" s="2272"/>
      <c r="N38" s="2274" t="s">
        <v>825</v>
      </c>
      <c r="O38" s="2274"/>
      <c r="P38" s="2270">
        <v>7.2999999999999995E-2</v>
      </c>
    </row>
    <row r="39" spans="9:16" ht="31.2" x14ac:dyDescent="0.3">
      <c r="I39" s="2071">
        <v>1977</v>
      </c>
      <c r="J39" s="2274" t="s">
        <v>824</v>
      </c>
      <c r="K39" s="2277"/>
      <c r="L39" s="2273">
        <v>139</v>
      </c>
      <c r="M39" s="2272"/>
      <c r="N39" s="2274" t="s">
        <v>825</v>
      </c>
      <c r="O39" s="2274"/>
      <c r="P39" s="2270">
        <v>7.9699999999999993E-2</v>
      </c>
    </row>
    <row r="40" spans="9:16" ht="31.2" x14ac:dyDescent="0.3">
      <c r="I40" s="2071">
        <v>1978</v>
      </c>
      <c r="J40" s="2274" t="s">
        <v>824</v>
      </c>
      <c r="K40" s="2282"/>
      <c r="L40" s="2273">
        <v>190.4</v>
      </c>
      <c r="M40" s="2272"/>
      <c r="N40" s="2274" t="s">
        <v>825</v>
      </c>
      <c r="O40" s="2274"/>
      <c r="P40" s="2270">
        <v>8.9300000000000004E-2</v>
      </c>
    </row>
    <row r="41" spans="9:16" ht="31.2" x14ac:dyDescent="0.3">
      <c r="I41" s="2071">
        <v>1979</v>
      </c>
      <c r="J41" s="2274" t="s">
        <v>824</v>
      </c>
      <c r="K41" s="2278"/>
      <c r="L41" s="2273">
        <v>227.3</v>
      </c>
      <c r="M41" s="2272"/>
      <c r="N41" s="2274" t="s">
        <v>825</v>
      </c>
      <c r="O41" s="2274"/>
      <c r="P41" s="2270">
        <v>0.1008</v>
      </c>
    </row>
    <row r="42" spans="9:16" ht="31.2" x14ac:dyDescent="0.3">
      <c r="I42" s="2071">
        <v>1980</v>
      </c>
      <c r="J42" s="2274" t="s">
        <v>824</v>
      </c>
      <c r="K42" s="2277"/>
      <c r="L42" s="2273">
        <v>237</v>
      </c>
      <c r="M42" s="2272"/>
      <c r="N42" s="2274" t="s">
        <v>825</v>
      </c>
      <c r="O42" s="2274"/>
      <c r="P42" s="2281">
        <v>0.11940000000000001</v>
      </c>
    </row>
    <row r="43" spans="9:16" ht="31.2" x14ac:dyDescent="0.3">
      <c r="I43" s="2071">
        <v>1981</v>
      </c>
      <c r="J43" s="2274" t="s">
        <v>824</v>
      </c>
      <c r="K43" s="2280"/>
      <c r="L43" s="2273">
        <v>228.4</v>
      </c>
      <c r="M43" s="2272"/>
      <c r="N43" s="2274" t="s">
        <v>825</v>
      </c>
      <c r="O43" s="2274"/>
      <c r="P43" s="2270">
        <v>0.1361</v>
      </c>
    </row>
    <row r="44" spans="9:16" x14ac:dyDescent="0.3">
      <c r="I44" s="2071">
        <v>1982</v>
      </c>
      <c r="J44" s="2275">
        <v>21.56</v>
      </c>
      <c r="K44" s="2274"/>
      <c r="L44" s="2273">
        <v>220.6</v>
      </c>
      <c r="M44" s="2272"/>
      <c r="N44" s="2279">
        <v>9.7699999999999995E-2</v>
      </c>
      <c r="O44" s="2274"/>
      <c r="P44" s="2270">
        <v>0.10639999999999999</v>
      </c>
    </row>
    <row r="45" spans="9:16" x14ac:dyDescent="0.3">
      <c r="I45" s="2071">
        <v>1983</v>
      </c>
      <c r="J45" s="2275">
        <v>33.869999999999997</v>
      </c>
      <c r="K45" s="2274"/>
      <c r="L45" s="2273">
        <v>231.3</v>
      </c>
      <c r="M45" s="2272"/>
      <c r="N45" s="2271">
        <v>0.1464</v>
      </c>
      <c r="O45" s="2271"/>
      <c r="P45" s="2270">
        <v>0.11840000000000001</v>
      </c>
    </row>
    <row r="46" spans="9:16" x14ac:dyDescent="0.3">
      <c r="I46" s="2071">
        <v>1984</v>
      </c>
      <c r="J46" s="2275">
        <v>48.06</v>
      </c>
      <c r="K46" s="2274"/>
      <c r="L46" s="2273">
        <v>253.2</v>
      </c>
      <c r="M46" s="2272"/>
      <c r="N46" s="2271">
        <v>0.1898</v>
      </c>
      <c r="O46" s="2271"/>
      <c r="P46" s="2270">
        <v>0.1158</v>
      </c>
    </row>
    <row r="47" spans="9:16" x14ac:dyDescent="0.3">
      <c r="I47" s="2071">
        <v>1985</v>
      </c>
      <c r="J47" s="2275">
        <v>44.23</v>
      </c>
      <c r="K47" s="2278"/>
      <c r="L47" s="2273">
        <v>390.2</v>
      </c>
      <c r="M47" s="2272"/>
      <c r="N47" s="2271">
        <v>0.1134</v>
      </c>
      <c r="O47" s="2271"/>
      <c r="P47" s="2270">
        <v>9.3399999999999997E-2</v>
      </c>
    </row>
    <row r="48" spans="9:16" x14ac:dyDescent="0.3">
      <c r="I48" s="2071">
        <v>1986</v>
      </c>
      <c r="J48" s="2275">
        <v>55.84</v>
      </c>
      <c r="K48" s="2277"/>
      <c r="L48" s="2273">
        <v>797.5</v>
      </c>
      <c r="M48" s="2272"/>
      <c r="N48" s="2271">
        <v>7.0000000000000007E-2</v>
      </c>
      <c r="O48" s="2271"/>
      <c r="P48" s="2270">
        <v>7.5999999999999998E-2</v>
      </c>
    </row>
    <row r="49" spans="9:16" x14ac:dyDescent="0.3">
      <c r="I49" s="2071">
        <v>1987</v>
      </c>
      <c r="J49" s="2275">
        <v>55.43</v>
      </c>
      <c r="K49" s="2276"/>
      <c r="L49" s="2273">
        <v>1266.7</v>
      </c>
      <c r="M49" s="2272"/>
      <c r="N49" s="2271">
        <v>4.3799999999999999E-2</v>
      </c>
      <c r="O49" s="2271"/>
      <c r="P49" s="2270">
        <v>8.9499999999999996E-2</v>
      </c>
    </row>
    <row r="50" spans="9:16" x14ac:dyDescent="0.3">
      <c r="I50" s="2071">
        <v>1988</v>
      </c>
      <c r="J50" s="2275">
        <v>11.08</v>
      </c>
      <c r="K50" s="2276"/>
      <c r="L50" s="2273">
        <v>1497.7</v>
      </c>
      <c r="M50" s="2272"/>
      <c r="N50" s="2271">
        <v>7.4000000000000003E-3</v>
      </c>
      <c r="O50" s="2271"/>
      <c r="P50" s="2270">
        <v>0.09</v>
      </c>
    </row>
    <row r="51" spans="9:16" x14ac:dyDescent="0.3">
      <c r="I51" s="2071">
        <v>1989</v>
      </c>
      <c r="J51" s="2275">
        <v>24.4</v>
      </c>
      <c r="K51" s="2274"/>
      <c r="L51" s="2273">
        <v>1541.3</v>
      </c>
      <c r="M51" s="2272"/>
      <c r="N51" s="2271">
        <v>1.5800000000000002E-2</v>
      </c>
      <c r="O51" s="2271"/>
      <c r="P51" s="2270">
        <v>7.9699999999999993E-2</v>
      </c>
    </row>
    <row r="52" spans="9:16" ht="16.2" thickBot="1" x14ac:dyDescent="0.35">
      <c r="I52" s="2269">
        <v>1990</v>
      </c>
      <c r="J52" s="2268">
        <v>26.65</v>
      </c>
      <c r="K52" s="2267"/>
      <c r="L52" s="2266">
        <v>1637.3</v>
      </c>
      <c r="M52" s="2265"/>
      <c r="N52" s="2264">
        <v>1.6299999999999999E-2</v>
      </c>
      <c r="O52" s="2264"/>
      <c r="P52" s="2263">
        <v>8.2400000000000001E-2</v>
      </c>
    </row>
    <row r="53" spans="9:16" x14ac:dyDescent="0.3">
      <c r="I53" s="2811" t="s">
        <v>2975</v>
      </c>
      <c r="J53" s="2811"/>
      <c r="K53" s="2811"/>
      <c r="L53" s="2811"/>
      <c r="M53" s="2811"/>
      <c r="N53" s="2811"/>
      <c r="O53" s="2811"/>
      <c r="P53" s="2811"/>
    </row>
  </sheetData>
  <mergeCells count="5">
    <mergeCell ref="I53:P53"/>
    <mergeCell ref="A2:C2"/>
    <mergeCell ref="E13:F14"/>
    <mergeCell ref="I24:O24"/>
    <mergeCell ref="A8:C8"/>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DFC7F-810B-4891-A3E7-AADED50EEBAA}">
  <sheetPr>
    <tabColor theme="4"/>
  </sheetPr>
  <dimension ref="A1:W75"/>
  <sheetViews>
    <sheetView showGridLines="0" zoomScale="85" zoomScaleNormal="85" workbookViewId="0">
      <selection activeCell="S19" sqref="S19"/>
    </sheetView>
  </sheetViews>
  <sheetFormatPr defaultRowHeight="14.4" x14ac:dyDescent="0.3"/>
  <cols>
    <col min="1" max="1" width="35.88671875" customWidth="1"/>
    <col min="2" max="2" width="7" bestFit="1" customWidth="1"/>
    <col min="3" max="3" width="3.5546875" customWidth="1"/>
    <col min="4" max="4" width="7" bestFit="1" customWidth="1"/>
    <col min="5" max="5" width="1.5546875" customWidth="1"/>
    <col min="6" max="6" width="2.33203125" customWidth="1"/>
    <col min="7" max="7" width="9.6640625" customWidth="1"/>
    <col min="8" max="8" width="1.44140625" customWidth="1"/>
    <col min="9" max="9" width="9.6640625" customWidth="1"/>
    <col min="10" max="10" width="4.44140625" customWidth="1"/>
    <col min="13" max="13" width="26.44140625" customWidth="1"/>
    <col min="17" max="17" width="1.109375" customWidth="1"/>
  </cols>
  <sheetData>
    <row r="1" spans="1:16" ht="15.6" x14ac:dyDescent="0.3">
      <c r="A1" s="459" t="s">
        <v>1522</v>
      </c>
      <c r="B1" s="459"/>
      <c r="C1" s="459"/>
      <c r="D1" s="459"/>
      <c r="E1" s="459"/>
      <c r="F1" s="211"/>
      <c r="G1" s="211"/>
    </row>
    <row r="2" spans="1:16" ht="30" customHeight="1" x14ac:dyDescent="0.3">
      <c r="A2" s="2794" t="s">
        <v>3010</v>
      </c>
      <c r="B2" s="2794"/>
      <c r="C2" s="2794"/>
      <c r="D2" s="2794"/>
      <c r="E2" s="2794"/>
      <c r="F2" s="2794"/>
      <c r="G2" s="2253"/>
    </row>
    <row r="3" spans="1:16" ht="7.8" customHeight="1" thickBot="1" x14ac:dyDescent="0.35">
      <c r="A3" s="2794"/>
      <c r="B3" s="2794"/>
      <c r="C3" s="2794"/>
      <c r="D3" s="2794"/>
      <c r="E3" s="2794"/>
      <c r="F3" s="2794"/>
      <c r="G3" s="2253"/>
    </row>
    <row r="4" spans="1:16" ht="47.25" customHeight="1" x14ac:dyDescent="0.3">
      <c r="A4" s="2317" t="s">
        <v>3009</v>
      </c>
      <c r="B4" s="2854" t="s">
        <v>3732</v>
      </c>
      <c r="C4" s="2854"/>
      <c r="D4" s="2854"/>
      <c r="E4" s="512"/>
      <c r="F4" s="2854" t="s">
        <v>3008</v>
      </c>
      <c r="G4" s="2854"/>
      <c r="H4" s="2854"/>
      <c r="I4" s="2854"/>
      <c r="J4" s="2855"/>
    </row>
    <row r="5" spans="1:16" ht="15.6" x14ac:dyDescent="0.3">
      <c r="A5" s="2255"/>
      <c r="B5" s="2316">
        <v>1991</v>
      </c>
      <c r="C5" s="2316"/>
      <c r="D5" s="2316">
        <v>1990</v>
      </c>
      <c r="E5" s="2316"/>
      <c r="G5" s="2314">
        <v>1991</v>
      </c>
      <c r="H5" s="2315"/>
      <c r="I5" s="2314">
        <v>1990</v>
      </c>
      <c r="J5" s="2304"/>
    </row>
    <row r="6" spans="1:16" ht="15.6" x14ac:dyDescent="0.3">
      <c r="A6" s="2255" t="s">
        <v>2944</v>
      </c>
      <c r="B6" s="2690">
        <v>0.18099999999999999</v>
      </c>
      <c r="C6" s="2690"/>
      <c r="D6" s="2690">
        <v>0.17899999999999999</v>
      </c>
      <c r="E6" s="2307"/>
      <c r="G6" s="2310">
        <v>61</v>
      </c>
      <c r="H6" s="2310"/>
      <c r="I6" s="2310">
        <v>85</v>
      </c>
      <c r="J6" s="2304"/>
    </row>
    <row r="7" spans="1:16" ht="15.6" x14ac:dyDescent="0.3">
      <c r="A7" s="2255" t="s">
        <v>1012</v>
      </c>
      <c r="B7" s="2690">
        <v>7.0000000000000007E-2</v>
      </c>
      <c r="C7" s="2690"/>
      <c r="D7" s="2690">
        <v>7.0000000000000007E-2</v>
      </c>
      <c r="E7" s="2307"/>
      <c r="G7" s="2311">
        <v>69</v>
      </c>
      <c r="H7" s="2311"/>
      <c r="I7" s="2311">
        <v>58</v>
      </c>
      <c r="J7" s="2304"/>
    </row>
    <row r="8" spans="1:16" ht="18.600000000000001" x14ac:dyDescent="0.3">
      <c r="A8" s="2255" t="s">
        <v>2964</v>
      </c>
      <c r="B8" s="2690">
        <v>3.4000000000000002E-2</v>
      </c>
      <c r="C8" s="2690"/>
      <c r="D8" s="2690">
        <v>0.03</v>
      </c>
      <c r="E8" s="2307"/>
      <c r="G8" s="2311">
        <v>15</v>
      </c>
      <c r="H8" s="2311"/>
      <c r="I8" s="2311">
        <v>10</v>
      </c>
      <c r="J8" s="2304"/>
    </row>
    <row r="9" spans="1:16" ht="18.600000000000001" x14ac:dyDescent="0.3">
      <c r="A9" s="2255" t="s">
        <v>3007</v>
      </c>
      <c r="B9" s="2690">
        <v>0.11</v>
      </c>
      <c r="C9" s="2690"/>
      <c r="D9" s="2690">
        <v>0</v>
      </c>
      <c r="E9" s="2307"/>
      <c r="G9" s="2311">
        <v>23</v>
      </c>
      <c r="H9" s="2311"/>
      <c r="I9" s="2313">
        <v>0</v>
      </c>
      <c r="J9" s="2304"/>
    </row>
    <row r="10" spans="1:16" ht="15.6" x14ac:dyDescent="0.3">
      <c r="A10" s="2255" t="s">
        <v>3006</v>
      </c>
      <c r="B10" s="2690">
        <v>0.48199999999999998</v>
      </c>
      <c r="C10" s="2690"/>
      <c r="D10" s="2690">
        <v>0.46100000000000002</v>
      </c>
      <c r="E10" s="2307"/>
      <c r="G10" s="2311">
        <v>69</v>
      </c>
      <c r="H10" s="2311"/>
      <c r="I10" s="2311">
        <v>76</v>
      </c>
      <c r="J10" s="2304"/>
      <c r="M10" t="s">
        <v>176</v>
      </c>
    </row>
    <row r="11" spans="1:16" ht="15.6" x14ac:dyDescent="0.3">
      <c r="A11" s="2255" t="s">
        <v>1177</v>
      </c>
      <c r="B11" s="2690">
        <v>0.14599999999999999</v>
      </c>
      <c r="C11" s="2690"/>
      <c r="D11" s="2690">
        <v>0.14599999999999999</v>
      </c>
      <c r="E11" s="2307"/>
      <c r="G11" s="2311">
        <v>10</v>
      </c>
      <c r="H11" s="2311"/>
      <c r="I11" s="2311">
        <v>18</v>
      </c>
      <c r="J11" s="2304"/>
    </row>
    <row r="12" spans="1:16" ht="18.600000000000001" x14ac:dyDescent="0.3">
      <c r="A12" s="2255" t="s">
        <v>3005</v>
      </c>
      <c r="B12" s="2690">
        <v>9.6000000000000002E-2</v>
      </c>
      <c r="C12" s="2690"/>
      <c r="D12" s="2690">
        <v>9.7000000000000003E-2</v>
      </c>
      <c r="E12" s="2307"/>
      <c r="G12" s="2312">
        <v>-17</v>
      </c>
      <c r="H12" s="2311"/>
      <c r="I12" s="2312">
        <v>19</v>
      </c>
      <c r="J12" s="2304"/>
      <c r="P12" t="s">
        <v>176</v>
      </c>
    </row>
    <row r="13" spans="1:16" ht="8.25" customHeight="1" x14ac:dyDescent="0.3">
      <c r="A13" s="2255"/>
      <c r="B13" s="2307"/>
      <c r="C13" s="2307"/>
      <c r="D13" s="2307"/>
      <c r="E13" s="2307"/>
      <c r="G13" s="2311"/>
      <c r="H13" s="2311"/>
      <c r="I13" s="2311"/>
      <c r="J13" s="2304"/>
    </row>
    <row r="14" spans="1:16" ht="15.6" x14ac:dyDescent="0.3">
      <c r="A14" s="2806" t="s">
        <v>3004</v>
      </c>
      <c r="B14" s="2846"/>
      <c r="C14" s="2846"/>
      <c r="D14" s="2846"/>
      <c r="E14" s="2307"/>
      <c r="G14" s="2311">
        <f>SUM(G6:G12)</f>
        <v>230</v>
      </c>
      <c r="H14" s="2311"/>
      <c r="I14" s="2311">
        <f>SUM(I6:I12)</f>
        <v>266</v>
      </c>
      <c r="J14" s="2304"/>
    </row>
    <row r="15" spans="1:16" ht="15.6" x14ac:dyDescent="0.3">
      <c r="A15" s="2806" t="s">
        <v>3003</v>
      </c>
      <c r="B15" s="2846"/>
      <c r="C15" s="2846"/>
      <c r="D15" s="2846"/>
      <c r="E15" s="2307"/>
      <c r="G15" s="2311">
        <v>-30</v>
      </c>
      <c r="H15" s="2311"/>
      <c r="I15" s="2311">
        <v>-35</v>
      </c>
      <c r="J15" s="2304"/>
    </row>
    <row r="16" spans="1:16" ht="15.6" x14ac:dyDescent="0.3">
      <c r="A16" s="2806" t="s">
        <v>3002</v>
      </c>
      <c r="B16" s="2846"/>
      <c r="C16" s="2846"/>
      <c r="D16" s="2846"/>
      <c r="E16" s="2307"/>
      <c r="G16" s="2311">
        <v>316</v>
      </c>
      <c r="H16" s="2311"/>
      <c r="I16" s="2311">
        <v>371</v>
      </c>
      <c r="J16" s="2304"/>
    </row>
    <row r="17" spans="1:23" ht="15.75" customHeight="1" thickBot="1" x14ac:dyDescent="0.35">
      <c r="A17" s="2856" t="s">
        <v>3001</v>
      </c>
      <c r="B17" s="2857"/>
      <c r="C17" s="2857"/>
      <c r="D17" s="2857"/>
      <c r="E17" s="2857"/>
      <c r="G17" s="2309">
        <f>SUM(G14:G16)</f>
        <v>516</v>
      </c>
      <c r="H17" s="2310"/>
      <c r="I17" s="2309">
        <f>SUM(I14:I16)</f>
        <v>602</v>
      </c>
      <c r="J17" s="2304"/>
    </row>
    <row r="18" spans="1:23" ht="16.2" thickTop="1" x14ac:dyDescent="0.3">
      <c r="A18" s="2255"/>
      <c r="B18" s="2307"/>
      <c r="C18" s="2307"/>
      <c r="D18" s="2307"/>
      <c r="E18" s="2307"/>
      <c r="G18" s="2306"/>
      <c r="H18" s="2305"/>
      <c r="I18" s="2305"/>
      <c r="J18" s="2304"/>
    </row>
    <row r="19" spans="1:23" ht="15.6" x14ac:dyDescent="0.3">
      <c r="A19" s="2254" t="s">
        <v>3000</v>
      </c>
      <c r="B19" s="2307"/>
      <c r="C19" s="2307"/>
      <c r="D19" s="2307"/>
      <c r="E19" s="2307"/>
      <c r="G19" s="2306"/>
      <c r="H19" s="2305"/>
      <c r="I19" s="2305"/>
      <c r="J19" s="2304"/>
    </row>
    <row r="20" spans="1:23" ht="15.6" x14ac:dyDescent="0.3">
      <c r="A20" s="2255"/>
      <c r="B20" s="2307"/>
      <c r="C20" s="2307"/>
      <c r="D20" s="2307"/>
      <c r="E20" s="2307"/>
      <c r="G20" s="2306"/>
      <c r="H20" s="2305"/>
      <c r="I20" s="2305"/>
      <c r="J20" s="2304"/>
    </row>
    <row r="21" spans="1:23" ht="15.6" x14ac:dyDescent="0.3">
      <c r="A21" s="959" t="s">
        <v>1398</v>
      </c>
      <c r="B21" s="2308"/>
      <c r="C21" s="2308"/>
      <c r="D21" s="2308"/>
      <c r="E21" s="2307"/>
      <c r="G21" s="2306"/>
      <c r="H21" s="2305"/>
      <c r="I21" s="2305"/>
      <c r="J21" s="2304"/>
    </row>
    <row r="22" spans="1:23" ht="15.6" x14ac:dyDescent="0.3">
      <c r="A22" s="2799" t="s">
        <v>2999</v>
      </c>
      <c r="B22" s="2827"/>
      <c r="C22" s="2827"/>
      <c r="D22" s="2827"/>
      <c r="E22" s="2307"/>
      <c r="G22" s="2306"/>
      <c r="H22" s="2305"/>
      <c r="I22" s="2305"/>
      <c r="J22" s="2304"/>
    </row>
    <row r="23" spans="1:23" x14ac:dyDescent="0.3">
      <c r="A23" s="2799" t="s">
        <v>2998</v>
      </c>
      <c r="B23" s="2827"/>
      <c r="C23" s="2827"/>
      <c r="D23" s="2827"/>
      <c r="E23" s="2827"/>
      <c r="F23" s="2827"/>
      <c r="G23" s="2827"/>
      <c r="H23" s="2827"/>
      <c r="I23" s="2827"/>
      <c r="J23" s="2304"/>
    </row>
    <row r="24" spans="1:23" ht="15" thickBot="1" x14ac:dyDescent="0.35">
      <c r="A24" s="2802" t="s">
        <v>2997</v>
      </c>
      <c r="B24" s="2803"/>
      <c r="C24" s="2803"/>
      <c r="D24" s="2803"/>
      <c r="E24" s="2803"/>
      <c r="F24" s="2803"/>
      <c r="G24" s="2803"/>
      <c r="H24" s="2803"/>
      <c r="I24" s="2803"/>
      <c r="J24" s="2303"/>
    </row>
    <row r="25" spans="1:23" x14ac:dyDescent="0.3">
      <c r="A25" s="2805" t="s">
        <v>2996</v>
      </c>
      <c r="B25" s="2805"/>
      <c r="C25" s="2805"/>
      <c r="D25" s="2805"/>
      <c r="E25" s="2805"/>
      <c r="F25" s="2805"/>
      <c r="G25" s="904"/>
    </row>
    <row r="30" spans="1:23" ht="15.6" x14ac:dyDescent="0.3">
      <c r="A30" s="211" t="s">
        <v>2995</v>
      </c>
    </row>
    <row r="31" spans="1:23" ht="15.6" x14ac:dyDescent="0.3">
      <c r="M31" s="211"/>
      <c r="N31" s="211"/>
      <c r="O31" s="211"/>
      <c r="P31" s="211"/>
      <c r="Q31" s="211"/>
      <c r="R31" s="211"/>
      <c r="S31" s="211"/>
      <c r="T31" s="211"/>
      <c r="U31" s="211"/>
      <c r="V31" s="211"/>
      <c r="W31" s="211"/>
    </row>
    <row r="32" spans="1:23" ht="15.6" x14ac:dyDescent="0.3">
      <c r="M32" s="211"/>
      <c r="N32" s="211"/>
      <c r="O32" s="211"/>
      <c r="P32" s="211"/>
      <c r="Q32" s="211"/>
      <c r="R32" s="211"/>
      <c r="S32" s="211"/>
      <c r="T32" s="211"/>
      <c r="U32" s="211"/>
      <c r="V32" s="211"/>
      <c r="W32" s="211"/>
    </row>
    <row r="33" spans="13:23" ht="15.6" x14ac:dyDescent="0.3">
      <c r="M33" s="211"/>
      <c r="N33" s="211"/>
      <c r="O33" s="211"/>
      <c r="P33" s="211"/>
      <c r="Q33" s="211"/>
      <c r="R33" s="211"/>
      <c r="S33" s="211"/>
      <c r="T33" s="211"/>
      <c r="U33" s="211"/>
      <c r="V33" s="211"/>
      <c r="W33" s="211"/>
    </row>
    <row r="34" spans="13:23" ht="15.6" x14ac:dyDescent="0.3">
      <c r="M34" s="211"/>
      <c r="N34" s="211"/>
      <c r="O34" s="211"/>
      <c r="P34" s="211"/>
      <c r="Q34" s="211"/>
      <c r="R34" s="211"/>
      <c r="S34" s="211"/>
      <c r="T34" s="211"/>
      <c r="U34" s="211"/>
      <c r="V34" s="211"/>
      <c r="W34" s="211"/>
    </row>
    <row r="35" spans="13:23" ht="15.6" x14ac:dyDescent="0.3">
      <c r="M35" s="459" t="s">
        <v>1522</v>
      </c>
      <c r="N35" s="211"/>
      <c r="O35" s="211"/>
      <c r="P35" s="211"/>
      <c r="Q35" s="211"/>
      <c r="R35" s="211"/>
      <c r="S35" s="211"/>
      <c r="T35" s="211"/>
      <c r="U35" s="211"/>
      <c r="V35" s="211"/>
      <c r="W35" s="211"/>
    </row>
    <row r="36" spans="13:23" ht="15.6" x14ac:dyDescent="0.3">
      <c r="M36" s="152" t="s">
        <v>2994</v>
      </c>
      <c r="N36" s="211"/>
      <c r="O36" s="211"/>
      <c r="P36" s="211"/>
      <c r="Q36" s="211"/>
      <c r="R36" s="211"/>
      <c r="S36" s="211"/>
      <c r="T36" s="211"/>
      <c r="U36" s="211"/>
      <c r="V36" s="211"/>
      <c r="W36" s="211"/>
    </row>
    <row r="37" spans="13:23" ht="8.25" customHeight="1" thickBot="1" x14ac:dyDescent="0.35">
      <c r="M37" s="211"/>
      <c r="N37" s="211"/>
      <c r="O37" s="211"/>
      <c r="P37" s="211"/>
      <c r="Q37" s="211"/>
      <c r="R37" s="211"/>
      <c r="S37" s="211"/>
      <c r="T37" s="211"/>
      <c r="U37" s="211"/>
      <c r="V37" s="211"/>
      <c r="W37" s="211"/>
    </row>
    <row r="38" spans="13:23" ht="15.6" x14ac:dyDescent="0.3">
      <c r="M38" s="212" t="s">
        <v>1250</v>
      </c>
      <c r="N38" s="470">
        <v>1991</v>
      </c>
      <c r="O38" s="470">
        <v>1972</v>
      </c>
      <c r="P38" s="471" t="s">
        <v>32</v>
      </c>
      <c r="Q38" s="211"/>
      <c r="R38" s="211"/>
      <c r="S38" s="211"/>
      <c r="T38" s="211"/>
      <c r="U38" s="211"/>
      <c r="V38" s="211"/>
      <c r="W38" s="211"/>
    </row>
    <row r="39" spans="13:23" ht="15.6" x14ac:dyDescent="0.3">
      <c r="M39" s="214" t="s">
        <v>975</v>
      </c>
      <c r="N39" s="2301">
        <v>196</v>
      </c>
      <c r="O39" s="2301">
        <v>29</v>
      </c>
      <c r="P39" s="2302">
        <f>N39/O39</f>
        <v>6.7586206896551726</v>
      </c>
      <c r="Q39" s="211"/>
      <c r="R39" s="211"/>
      <c r="S39" s="211"/>
      <c r="T39" s="211"/>
      <c r="U39" s="211"/>
      <c r="V39" s="211"/>
      <c r="W39" s="211"/>
    </row>
    <row r="40" spans="13:23" ht="15.6" x14ac:dyDescent="0.3">
      <c r="M40" s="214" t="s">
        <v>2127</v>
      </c>
      <c r="N40" s="2300">
        <v>42.4</v>
      </c>
      <c r="O40" s="2300">
        <v>4.2</v>
      </c>
      <c r="P40" s="2302">
        <f>N40/O40</f>
        <v>10.095238095238095</v>
      </c>
      <c r="Q40" s="211"/>
      <c r="R40" s="211"/>
      <c r="S40" s="211"/>
      <c r="T40" s="211"/>
      <c r="U40" s="211"/>
      <c r="V40" s="211"/>
      <c r="W40" s="211"/>
    </row>
    <row r="41" spans="13:23" ht="15.6" x14ac:dyDescent="0.3">
      <c r="M41" s="214" t="s">
        <v>2120</v>
      </c>
      <c r="N41" s="2300">
        <v>25</v>
      </c>
      <c r="O41" s="2300">
        <v>8</v>
      </c>
      <c r="P41" s="2302">
        <f>N41/O41</f>
        <v>3.125</v>
      </c>
      <c r="Q41" s="211"/>
      <c r="R41" s="211"/>
      <c r="S41" s="211"/>
      <c r="T41" s="211"/>
      <c r="U41" s="211"/>
      <c r="V41" s="211"/>
      <c r="W41" s="211"/>
    </row>
    <row r="42" spans="13:23" ht="4.5" customHeight="1" x14ac:dyDescent="0.3">
      <c r="M42" s="214"/>
      <c r="N42" s="2300"/>
      <c r="O42" s="2300"/>
      <c r="P42" s="2299"/>
      <c r="Q42" s="211"/>
      <c r="R42" s="211"/>
      <c r="S42" s="211"/>
      <c r="T42" s="211"/>
      <c r="U42" s="211"/>
      <c r="V42" s="211"/>
      <c r="W42" s="211"/>
    </row>
    <row r="43" spans="13:23" ht="4.5" customHeight="1" x14ac:dyDescent="0.3">
      <c r="M43" s="1155"/>
      <c r="N43" s="2298"/>
      <c r="O43" s="2298"/>
      <c r="P43" s="2297"/>
      <c r="Q43" s="211"/>
      <c r="R43" s="211"/>
      <c r="S43" s="211"/>
      <c r="T43" s="211"/>
      <c r="U43" s="211"/>
      <c r="V43" s="211"/>
      <c r="W43" s="211"/>
    </row>
    <row r="44" spans="13:23" ht="4.5" customHeight="1" x14ac:dyDescent="0.3">
      <c r="M44" s="214"/>
      <c r="N44" s="2296"/>
      <c r="O44" s="2296"/>
      <c r="P44" s="223"/>
      <c r="Q44" s="211"/>
      <c r="R44" s="211"/>
      <c r="S44" s="211"/>
      <c r="T44" s="211"/>
      <c r="U44" s="211"/>
      <c r="V44" s="211"/>
      <c r="W44" s="211"/>
    </row>
    <row r="45" spans="13:23" ht="15.6" x14ac:dyDescent="0.3">
      <c r="M45" s="214" t="s">
        <v>2993</v>
      </c>
      <c r="N45" s="2301">
        <f>N40-O40</f>
        <v>38.199999999999996</v>
      </c>
      <c r="O45" s="2296"/>
      <c r="P45" s="223"/>
      <c r="Q45" s="211"/>
      <c r="R45" s="211"/>
      <c r="S45" s="211"/>
      <c r="T45" s="211"/>
      <c r="U45" s="211"/>
      <c r="V45" s="211"/>
      <c r="W45" s="211"/>
    </row>
    <row r="46" spans="13:23" ht="15.6" x14ac:dyDescent="0.3">
      <c r="M46" s="214" t="s">
        <v>2992</v>
      </c>
      <c r="N46" s="2296">
        <f>N41-O41</f>
        <v>17</v>
      </c>
      <c r="O46" s="2296"/>
      <c r="P46" s="223"/>
      <c r="Q46" s="211"/>
      <c r="R46" s="211"/>
      <c r="S46" s="211"/>
      <c r="T46" s="211"/>
      <c r="U46" s="211"/>
      <c r="V46" s="211"/>
      <c r="W46" s="211"/>
    </row>
    <row r="47" spans="13:23" ht="15.6" x14ac:dyDescent="0.3">
      <c r="M47" s="214" t="s">
        <v>2885</v>
      </c>
      <c r="N47" s="508">
        <f>N45/N46</f>
        <v>2.2470588235294113</v>
      </c>
      <c r="O47" s="211"/>
      <c r="P47" s="223"/>
      <c r="Q47" s="211"/>
      <c r="R47" s="211"/>
      <c r="S47" s="211"/>
      <c r="T47" s="211"/>
      <c r="U47" s="211"/>
      <c r="V47" s="211"/>
      <c r="W47" s="211"/>
    </row>
    <row r="48" spans="13:23" ht="4.5" customHeight="1" x14ac:dyDescent="0.3">
      <c r="M48" s="214"/>
      <c r="N48" s="2300"/>
      <c r="O48" s="2300"/>
      <c r="P48" s="2299"/>
      <c r="Q48" s="211"/>
      <c r="R48" s="211"/>
      <c r="S48" s="211"/>
      <c r="T48" s="211"/>
      <c r="U48" s="211"/>
      <c r="V48" s="211"/>
      <c r="W48" s="211"/>
    </row>
    <row r="49" spans="13:23" ht="4.5" customHeight="1" x14ac:dyDescent="0.3">
      <c r="M49" s="1155"/>
      <c r="N49" s="2298"/>
      <c r="O49" s="2298"/>
      <c r="P49" s="2297"/>
      <c r="Q49" s="211"/>
      <c r="R49" s="211"/>
      <c r="S49" s="211"/>
      <c r="T49" s="211"/>
      <c r="U49" s="211"/>
      <c r="V49" s="211"/>
      <c r="W49" s="211"/>
    </row>
    <row r="50" spans="13:23" ht="4.5" customHeight="1" x14ac:dyDescent="0.3">
      <c r="M50" s="214"/>
      <c r="N50" s="2296"/>
      <c r="O50" s="2296"/>
      <c r="P50" s="223"/>
      <c r="Q50" s="211"/>
      <c r="R50" s="211"/>
      <c r="S50" s="211"/>
      <c r="T50" s="211"/>
      <c r="U50" s="211"/>
      <c r="V50" s="211"/>
      <c r="W50" s="211"/>
    </row>
    <row r="51" spans="13:23" ht="15.6" x14ac:dyDescent="0.3">
      <c r="M51" s="214" t="s">
        <v>2783</v>
      </c>
      <c r="N51" s="1329">
        <f>N39/N41</f>
        <v>7.84</v>
      </c>
      <c r="O51" s="1329">
        <f>O39/O41</f>
        <v>3.625</v>
      </c>
      <c r="P51" s="223"/>
      <c r="Q51" s="211"/>
      <c r="R51" s="211"/>
      <c r="S51" s="211"/>
      <c r="T51" s="211"/>
      <c r="U51" s="211"/>
      <c r="V51" s="211"/>
      <c r="W51" s="211"/>
    </row>
    <row r="52" spans="13:23" ht="16.2" thickBot="1" x14ac:dyDescent="0.35">
      <c r="M52" s="224" t="s">
        <v>2668</v>
      </c>
      <c r="N52" s="1314">
        <f>N40/N41</f>
        <v>1.696</v>
      </c>
      <c r="O52" s="1314">
        <f>O40/O41</f>
        <v>0.52500000000000002</v>
      </c>
      <c r="P52" s="219"/>
      <c r="Q52" s="211"/>
      <c r="R52" s="211"/>
      <c r="S52" s="211"/>
      <c r="T52" s="211"/>
      <c r="U52" s="211"/>
      <c r="V52" s="211"/>
      <c r="W52" s="211"/>
    </row>
    <row r="53" spans="13:23" ht="15.6" x14ac:dyDescent="0.3">
      <c r="M53" s="2805" t="s">
        <v>2991</v>
      </c>
      <c r="N53" s="2805"/>
      <c r="O53" s="2805"/>
      <c r="P53" s="2805"/>
      <c r="Q53" s="211"/>
      <c r="R53" s="211"/>
      <c r="S53" s="211"/>
      <c r="T53" s="211"/>
      <c r="U53" s="211"/>
      <c r="V53" s="211"/>
      <c r="W53" s="211"/>
    </row>
    <row r="54" spans="13:23" ht="15.6" x14ac:dyDescent="0.3">
      <c r="M54" s="2805"/>
      <c r="N54" s="2805"/>
      <c r="O54" s="2805"/>
      <c r="P54" s="2805"/>
      <c r="Q54" s="211"/>
      <c r="R54" s="211"/>
      <c r="S54" s="211"/>
      <c r="T54" s="211"/>
      <c r="U54" s="211"/>
      <c r="V54" s="211"/>
      <c r="W54" s="211"/>
    </row>
    <row r="55" spans="13:23" ht="15.6" x14ac:dyDescent="0.3">
      <c r="M55" s="211"/>
      <c r="N55" s="211"/>
      <c r="O55" s="211"/>
      <c r="P55" s="211"/>
      <c r="Q55" s="211"/>
      <c r="R55" s="211"/>
      <c r="S55" s="211"/>
      <c r="T55" s="211"/>
      <c r="U55" s="211"/>
      <c r="V55" s="211"/>
      <c r="W55" s="211"/>
    </row>
    <row r="56" spans="13:23" ht="15.6" x14ac:dyDescent="0.3">
      <c r="M56" s="211"/>
      <c r="N56" s="211"/>
      <c r="O56" s="211"/>
      <c r="P56" s="211"/>
      <c r="Q56" s="211"/>
      <c r="R56" s="211"/>
      <c r="S56" s="211"/>
      <c r="T56" s="211"/>
      <c r="U56" s="211"/>
      <c r="V56" s="211"/>
      <c r="W56" s="211"/>
    </row>
    <row r="57" spans="13:23" ht="15.6" x14ac:dyDescent="0.3">
      <c r="P57" s="211"/>
      <c r="Q57" s="211"/>
      <c r="R57" s="211"/>
      <c r="S57" s="211"/>
      <c r="T57" s="211"/>
      <c r="U57" s="211"/>
      <c r="V57" s="211"/>
      <c r="W57" s="211"/>
    </row>
    <row r="58" spans="13:23" ht="15.6" x14ac:dyDescent="0.3">
      <c r="P58" s="211"/>
      <c r="Q58" s="211"/>
      <c r="R58" s="211"/>
      <c r="S58" s="211"/>
      <c r="T58" s="211"/>
      <c r="U58" s="211"/>
      <c r="V58" s="211"/>
      <c r="W58" s="211"/>
    </row>
    <row r="59" spans="13:23" ht="15.6" x14ac:dyDescent="0.3">
      <c r="M59" s="211"/>
      <c r="N59" s="211"/>
      <c r="O59" s="211"/>
      <c r="P59" s="211"/>
      <c r="Q59" s="211"/>
      <c r="R59" s="211"/>
      <c r="S59" s="211"/>
      <c r="T59" s="211"/>
      <c r="U59" s="211"/>
      <c r="V59" s="211"/>
      <c r="W59" s="211"/>
    </row>
    <row r="60" spans="13:23" ht="15.6" x14ac:dyDescent="0.3">
      <c r="M60" s="211"/>
      <c r="N60" s="211"/>
      <c r="O60" s="211"/>
      <c r="P60" s="211"/>
      <c r="Q60" s="211"/>
      <c r="R60" s="211"/>
      <c r="S60" s="211"/>
      <c r="T60" s="211"/>
      <c r="U60" s="211"/>
      <c r="V60" s="211"/>
      <c r="W60" s="211"/>
    </row>
    <row r="61" spans="13:23" ht="15.6" x14ac:dyDescent="0.3">
      <c r="M61" s="211"/>
      <c r="N61" s="211"/>
      <c r="O61" s="211"/>
      <c r="P61" s="211"/>
      <c r="Q61" s="211"/>
      <c r="R61" s="211"/>
      <c r="S61" s="211"/>
      <c r="T61" s="211"/>
      <c r="U61" s="211"/>
      <c r="V61" s="211"/>
      <c r="W61" s="211"/>
    </row>
    <row r="62" spans="13:23" ht="15.6" x14ac:dyDescent="0.3">
      <c r="M62" s="211"/>
      <c r="N62" s="211"/>
      <c r="O62" s="211"/>
      <c r="P62" s="211"/>
      <c r="Q62" s="211"/>
      <c r="R62" s="211"/>
      <c r="S62" s="211"/>
      <c r="T62" s="211"/>
      <c r="U62" s="211"/>
      <c r="V62" s="211"/>
      <c r="W62" s="211"/>
    </row>
    <row r="63" spans="13:23" ht="15.6" x14ac:dyDescent="0.3">
      <c r="M63" s="211"/>
      <c r="N63" s="211"/>
      <c r="O63" s="211"/>
      <c r="P63" s="211"/>
      <c r="Q63" s="211"/>
      <c r="R63" s="211"/>
      <c r="S63" s="211"/>
      <c r="T63" s="211"/>
      <c r="U63" s="211"/>
      <c r="V63" s="211"/>
      <c r="W63" s="211"/>
    </row>
    <row r="64" spans="13:23" ht="15.6" x14ac:dyDescent="0.3">
      <c r="M64" s="211"/>
      <c r="N64" s="211"/>
      <c r="O64" s="211"/>
      <c r="P64" s="211"/>
      <c r="Q64" s="211"/>
      <c r="R64" s="211"/>
      <c r="S64" s="211"/>
      <c r="T64" s="211"/>
      <c r="U64" s="211"/>
      <c r="V64" s="211"/>
      <c r="W64" s="211"/>
    </row>
    <row r="65" spans="13:23" ht="15.6" x14ac:dyDescent="0.3">
      <c r="M65" s="211"/>
      <c r="N65" s="211"/>
      <c r="O65" s="211"/>
      <c r="P65" s="211"/>
      <c r="Q65" s="211"/>
      <c r="R65" s="211"/>
      <c r="S65" s="211"/>
      <c r="T65" s="211"/>
      <c r="U65" s="211"/>
      <c r="V65" s="211"/>
      <c r="W65" s="211"/>
    </row>
    <row r="66" spans="13:23" ht="15.6" x14ac:dyDescent="0.3">
      <c r="M66" s="211"/>
      <c r="N66" s="211"/>
      <c r="O66" s="211"/>
      <c r="P66" s="211"/>
      <c r="Q66" s="211"/>
      <c r="R66" s="211"/>
      <c r="S66" s="211"/>
      <c r="T66" s="211"/>
      <c r="U66" s="211"/>
      <c r="V66" s="211"/>
      <c r="W66" s="211"/>
    </row>
    <row r="67" spans="13:23" ht="15.6" x14ac:dyDescent="0.3">
      <c r="M67" s="211"/>
      <c r="N67" s="211"/>
      <c r="O67" s="211"/>
      <c r="P67" s="211"/>
      <c r="Q67" s="211"/>
      <c r="R67" s="211"/>
      <c r="S67" s="211"/>
      <c r="T67" s="211"/>
      <c r="U67" s="211"/>
      <c r="V67" s="211"/>
      <c r="W67" s="211"/>
    </row>
    <row r="68" spans="13:23" ht="15.6" x14ac:dyDescent="0.3">
      <c r="M68" s="211"/>
      <c r="N68" s="211"/>
      <c r="O68" s="211"/>
      <c r="P68" s="211"/>
      <c r="Q68" s="211"/>
      <c r="R68" s="211"/>
      <c r="S68" s="211"/>
      <c r="T68" s="211"/>
      <c r="U68" s="211"/>
      <c r="V68" s="211"/>
      <c r="W68" s="211"/>
    </row>
    <row r="69" spans="13:23" ht="15.6" x14ac:dyDescent="0.3">
      <c r="M69" s="211"/>
      <c r="N69" s="211"/>
      <c r="O69" s="211"/>
      <c r="P69" s="211"/>
      <c r="Q69" s="211"/>
      <c r="R69" s="211"/>
      <c r="S69" s="211"/>
      <c r="T69" s="211"/>
      <c r="U69" s="211"/>
      <c r="V69" s="211"/>
      <c r="W69" s="211"/>
    </row>
    <row r="70" spans="13:23" ht="15.6" x14ac:dyDescent="0.3">
      <c r="M70" s="211"/>
      <c r="N70" s="211"/>
      <c r="O70" s="211"/>
      <c r="P70" s="211"/>
      <c r="Q70" s="211"/>
      <c r="R70" s="211"/>
      <c r="S70" s="211"/>
      <c r="T70" s="211"/>
      <c r="U70" s="211"/>
      <c r="V70" s="211"/>
      <c r="W70" s="211"/>
    </row>
    <row r="71" spans="13:23" ht="15.6" x14ac:dyDescent="0.3">
      <c r="M71" s="211"/>
      <c r="N71" s="211"/>
      <c r="O71" s="211"/>
      <c r="P71" s="211"/>
      <c r="Q71" s="211"/>
      <c r="R71" s="211"/>
      <c r="S71" s="211"/>
      <c r="T71" s="211"/>
      <c r="U71" s="211"/>
      <c r="V71" s="211"/>
      <c r="W71" s="211"/>
    </row>
    <row r="72" spans="13:23" ht="15.6" x14ac:dyDescent="0.3">
      <c r="M72" s="211"/>
      <c r="N72" s="211"/>
      <c r="O72" s="211"/>
      <c r="P72" s="211"/>
      <c r="Q72" s="211"/>
      <c r="R72" s="211"/>
      <c r="S72" s="211"/>
      <c r="T72" s="211"/>
      <c r="U72" s="211"/>
      <c r="V72" s="211"/>
      <c r="W72" s="211"/>
    </row>
    <row r="73" spans="13:23" ht="15.6" x14ac:dyDescent="0.3">
      <c r="M73" s="211"/>
      <c r="N73" s="211"/>
      <c r="O73" s="211"/>
      <c r="P73" s="211"/>
      <c r="Q73" s="211"/>
      <c r="R73" s="211"/>
      <c r="S73" s="211"/>
      <c r="T73" s="211"/>
      <c r="U73" s="211"/>
      <c r="V73" s="211"/>
      <c r="W73" s="211"/>
    </row>
    <row r="74" spans="13:23" ht="15.6" x14ac:dyDescent="0.3">
      <c r="M74" s="211"/>
      <c r="N74" s="211"/>
      <c r="O74" s="211"/>
      <c r="P74" s="211"/>
      <c r="Q74" s="211"/>
      <c r="R74" s="211"/>
      <c r="S74" s="211"/>
      <c r="T74" s="211"/>
      <c r="U74" s="211"/>
      <c r="V74" s="211"/>
      <c r="W74" s="211"/>
    </row>
    <row r="75" spans="13:23" ht="15.6" x14ac:dyDescent="0.3">
      <c r="M75" s="211"/>
      <c r="N75" s="211"/>
      <c r="O75" s="211"/>
      <c r="P75" s="211"/>
      <c r="Q75" s="211"/>
      <c r="R75" s="211"/>
      <c r="S75" s="211"/>
      <c r="T75" s="211"/>
      <c r="U75" s="211"/>
      <c r="V75" s="211"/>
      <c r="W75" s="211"/>
    </row>
  </sheetData>
  <mergeCells count="12">
    <mergeCell ref="A2:F3"/>
    <mergeCell ref="B4:D4"/>
    <mergeCell ref="F4:J4"/>
    <mergeCell ref="M53:P54"/>
    <mergeCell ref="A22:D22"/>
    <mergeCell ref="A14:D14"/>
    <mergeCell ref="A15:D15"/>
    <mergeCell ref="A16:D16"/>
    <mergeCell ref="A25:F25"/>
    <mergeCell ref="A23:I23"/>
    <mergeCell ref="A24:I24"/>
    <mergeCell ref="A17:E17"/>
  </mergeCells>
  <pageMargins left="0.7" right="0.7" top="0.75" bottom="0.75" header="0.3" footer="0.3"/>
  <pageSetup orientation="portrait" r:id="rId1"/>
  <ignoredErrors>
    <ignoredError sqref="G14:I14" formulaRange="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71A-9B68-40DF-9154-DD5B6B7AFA51}">
  <sheetPr>
    <tabColor theme="4"/>
  </sheetPr>
  <dimension ref="A1:E18"/>
  <sheetViews>
    <sheetView showGridLines="0" zoomScale="115" zoomScaleNormal="115" workbookViewId="0">
      <selection activeCell="L22" sqref="L22"/>
    </sheetView>
  </sheetViews>
  <sheetFormatPr defaultColWidth="9.109375" defaultRowHeight="15.6" x14ac:dyDescent="0.3"/>
  <cols>
    <col min="1" max="1" width="35.109375" style="211" customWidth="1"/>
    <col min="2" max="2" width="15.44140625" style="211" bestFit="1" customWidth="1"/>
    <col min="3" max="16384" width="9.109375" style="211"/>
  </cols>
  <sheetData>
    <row r="1" spans="1:2" x14ac:dyDescent="0.3">
      <c r="A1" s="459" t="s">
        <v>1522</v>
      </c>
    </row>
    <row r="2" spans="1:2" x14ac:dyDescent="0.3">
      <c r="A2" s="152" t="s">
        <v>3017</v>
      </c>
    </row>
    <row r="3" spans="1:2" ht="8.25" customHeight="1" thickBot="1" x14ac:dyDescent="0.35"/>
    <row r="4" spans="1:2" x14ac:dyDescent="0.3">
      <c r="A4" s="453" t="s">
        <v>751</v>
      </c>
      <c r="B4" s="2262">
        <v>11719</v>
      </c>
    </row>
    <row r="5" spans="1:2" x14ac:dyDescent="0.3">
      <c r="A5" s="214" t="s">
        <v>2970</v>
      </c>
      <c r="B5" s="2260">
        <v>1152547</v>
      </c>
    </row>
    <row r="6" spans="1:2" x14ac:dyDescent="0.3">
      <c r="A6" s="214" t="s">
        <v>3016</v>
      </c>
      <c r="B6" s="2318">
        <f>B4*B5</f>
        <v>13506698293</v>
      </c>
    </row>
    <row r="7" spans="1:2" ht="4.5" customHeight="1" x14ac:dyDescent="0.3">
      <c r="A7" s="214"/>
      <c r="B7" s="2318"/>
    </row>
    <row r="8" spans="1:2" ht="4.5" customHeight="1" x14ac:dyDescent="0.3">
      <c r="A8" s="1155"/>
      <c r="B8" s="2319"/>
    </row>
    <row r="9" spans="1:2" ht="4.5" customHeight="1" x14ac:dyDescent="0.3">
      <c r="A9" s="214"/>
      <c r="B9" s="223"/>
    </row>
    <row r="10" spans="1:2" x14ac:dyDescent="0.3">
      <c r="A10" s="214" t="s">
        <v>3015</v>
      </c>
      <c r="B10" s="2318">
        <v>8138125000</v>
      </c>
    </row>
    <row r="11" spans="1:2" x14ac:dyDescent="0.3">
      <c r="A11" s="214" t="s">
        <v>3014</v>
      </c>
      <c r="B11" s="2684">
        <f>B6/B10</f>
        <v>1.6596818423162583</v>
      </c>
    </row>
    <row r="12" spans="1:2" ht="4.5" customHeight="1" x14ac:dyDescent="0.3">
      <c r="A12" s="214"/>
      <c r="B12" s="2318"/>
    </row>
    <row r="13" spans="1:2" ht="4.5" customHeight="1" x14ac:dyDescent="0.3">
      <c r="A13" s="1155"/>
      <c r="B13" s="2319"/>
    </row>
    <row r="14" spans="1:2" ht="4.5" customHeight="1" x14ac:dyDescent="0.3">
      <c r="A14" s="214"/>
      <c r="B14" s="223"/>
    </row>
    <row r="15" spans="1:2" x14ac:dyDescent="0.3">
      <c r="A15" s="214" t="s">
        <v>3013</v>
      </c>
      <c r="B15" s="2318">
        <v>604000000</v>
      </c>
    </row>
    <row r="16" spans="1:2" ht="16.2" thickBot="1" x14ac:dyDescent="0.35">
      <c r="A16" s="224" t="s">
        <v>3012</v>
      </c>
      <c r="B16" s="366">
        <f>B15/B6</f>
        <v>4.4718552743051192E-2</v>
      </c>
    </row>
    <row r="17" spans="1:5" x14ac:dyDescent="0.3">
      <c r="A17" s="2805" t="s">
        <v>3011</v>
      </c>
      <c r="B17" s="2805"/>
      <c r="E17" s="211" t="s">
        <v>176</v>
      </c>
    </row>
    <row r="18" spans="1:5" x14ac:dyDescent="0.3">
      <c r="A18" s="2805"/>
      <c r="B18" s="2805"/>
    </row>
  </sheetData>
  <mergeCells count="1">
    <mergeCell ref="A17:B18"/>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DA32-CD3D-4668-8190-ADD721DC4EA9}">
  <sheetPr>
    <tabColor theme="4"/>
  </sheetPr>
  <dimension ref="A1:H18"/>
  <sheetViews>
    <sheetView showGridLines="0" zoomScale="130" zoomScaleNormal="130" workbookViewId="0">
      <selection activeCell="K17" sqref="K17"/>
    </sheetView>
  </sheetViews>
  <sheetFormatPr defaultColWidth="9.109375" defaultRowHeight="15.6" x14ac:dyDescent="0.3"/>
  <cols>
    <col min="1" max="1" width="32.109375" style="211" customWidth="1"/>
    <col min="2" max="2" width="11.88671875" style="211" customWidth="1"/>
    <col min="3" max="3" width="1.6640625" style="211" customWidth="1"/>
    <col min="4" max="4" width="11.88671875" style="211" customWidth="1"/>
    <col min="5" max="5" width="1.6640625" style="211" customWidth="1"/>
    <col min="6" max="6" width="11.88671875" style="211" customWidth="1"/>
    <col min="7" max="16384" width="9.109375" style="211"/>
  </cols>
  <sheetData>
    <row r="1" spans="1:8" x14ac:dyDescent="0.3">
      <c r="A1" s="459" t="s">
        <v>1522</v>
      </c>
    </row>
    <row r="2" spans="1:8" x14ac:dyDescent="0.3">
      <c r="A2" s="152" t="s">
        <v>3023</v>
      </c>
    </row>
    <row r="3" spans="1:8" ht="7.5" customHeight="1" thickBot="1" x14ac:dyDescent="0.35"/>
    <row r="4" spans="1:8" ht="31.2" x14ac:dyDescent="0.3">
      <c r="A4" s="212" t="s">
        <v>1250</v>
      </c>
      <c r="B4" s="2336" t="s">
        <v>1017</v>
      </c>
      <c r="C4" s="2337"/>
      <c r="D4" s="2336" t="s">
        <v>1018</v>
      </c>
      <c r="E4" s="470"/>
      <c r="F4" s="2081" t="s">
        <v>3022</v>
      </c>
    </row>
    <row r="5" spans="1:8" x14ac:dyDescent="0.3">
      <c r="A5" s="214" t="s">
        <v>2944</v>
      </c>
      <c r="B5" s="2331">
        <v>345000</v>
      </c>
      <c r="C5" s="2331"/>
      <c r="D5" s="2331">
        <v>1239000</v>
      </c>
      <c r="E5" s="2331"/>
      <c r="F5" s="2335">
        <f t="shared" ref="F5:F15" si="0">D5-B5</f>
        <v>894000</v>
      </c>
      <c r="H5" s="211">
        <f>D5/B5</f>
        <v>3.5913043478260871</v>
      </c>
    </row>
    <row r="6" spans="1:8" x14ac:dyDescent="0.3">
      <c r="A6" s="214" t="s">
        <v>1012</v>
      </c>
      <c r="B6" s="2334">
        <v>1023920</v>
      </c>
      <c r="C6" s="2334"/>
      <c r="D6" s="2334">
        <v>4167975</v>
      </c>
      <c r="E6" s="2334"/>
      <c r="F6" s="2333">
        <f t="shared" si="0"/>
        <v>3144055</v>
      </c>
      <c r="H6" s="211">
        <f t="shared" ref="H6:H15" si="1">D6/B6</f>
        <v>4.0706061020392221</v>
      </c>
    </row>
    <row r="7" spans="1:8" x14ac:dyDescent="0.3">
      <c r="A7" s="214" t="s">
        <v>3021</v>
      </c>
      <c r="B7" s="2334">
        <v>307505</v>
      </c>
      <c r="C7" s="2334"/>
      <c r="D7" s="2334">
        <v>681023</v>
      </c>
      <c r="E7" s="2334"/>
      <c r="F7" s="2333">
        <f t="shared" si="0"/>
        <v>373518</v>
      </c>
      <c r="H7" s="211">
        <f t="shared" si="1"/>
        <v>2.2146729321474448</v>
      </c>
    </row>
    <row r="8" spans="1:8" x14ac:dyDescent="0.3">
      <c r="A8" s="214" t="s">
        <v>3006</v>
      </c>
      <c r="B8" s="2334">
        <v>45713</v>
      </c>
      <c r="C8" s="2334"/>
      <c r="D8" s="2334">
        <v>1759594</v>
      </c>
      <c r="E8" s="2334"/>
      <c r="F8" s="2333">
        <f t="shared" si="0"/>
        <v>1713881</v>
      </c>
      <c r="H8" s="211">
        <f t="shared" si="1"/>
        <v>38.492201343162776</v>
      </c>
    </row>
    <row r="9" spans="1:8" x14ac:dyDescent="0.3">
      <c r="A9" s="214" t="s">
        <v>3020</v>
      </c>
      <c r="B9" s="2334">
        <v>94938</v>
      </c>
      <c r="C9" s="2334"/>
      <c r="D9" s="2334">
        <v>401287</v>
      </c>
      <c r="E9" s="2334"/>
      <c r="F9" s="2333">
        <f t="shared" si="0"/>
        <v>306349</v>
      </c>
      <c r="H9" s="211">
        <f t="shared" si="1"/>
        <v>4.2268322484147545</v>
      </c>
    </row>
    <row r="10" spans="1:8" x14ac:dyDescent="0.3">
      <c r="A10" s="214" t="s">
        <v>1013</v>
      </c>
      <c r="B10" s="2334">
        <v>600000</v>
      </c>
      <c r="C10" s="2334"/>
      <c r="D10" s="2334">
        <v>1431000</v>
      </c>
      <c r="E10" s="2334"/>
      <c r="F10" s="2333">
        <f t="shared" si="0"/>
        <v>831000</v>
      </c>
      <c r="H10" s="211">
        <f t="shared" si="1"/>
        <v>2.3849999999999998</v>
      </c>
    </row>
    <row r="11" spans="1:8" x14ac:dyDescent="0.3">
      <c r="A11" s="214" t="s">
        <v>3019</v>
      </c>
      <c r="B11" s="2334">
        <v>333019</v>
      </c>
      <c r="C11" s="2334"/>
      <c r="D11" s="2334">
        <v>270822</v>
      </c>
      <c r="E11" s="2334"/>
      <c r="F11" s="2333">
        <f t="shared" si="0"/>
        <v>-62197</v>
      </c>
      <c r="H11" s="211">
        <f t="shared" si="1"/>
        <v>0.81323287860452409</v>
      </c>
    </row>
    <row r="12" spans="1:8" x14ac:dyDescent="0.3">
      <c r="A12" s="214" t="s">
        <v>1177</v>
      </c>
      <c r="B12" s="2334">
        <v>9731</v>
      </c>
      <c r="C12" s="2334"/>
      <c r="D12" s="2334">
        <v>440148</v>
      </c>
      <c r="E12" s="2334"/>
      <c r="F12" s="2333">
        <f t="shared" si="0"/>
        <v>430417</v>
      </c>
      <c r="H12" s="211">
        <f t="shared" si="1"/>
        <v>45.231528106052821</v>
      </c>
    </row>
    <row r="13" spans="1:8" x14ac:dyDescent="0.3">
      <c r="A13" s="214" t="s">
        <v>1014</v>
      </c>
      <c r="B13" s="2334">
        <v>423680</v>
      </c>
      <c r="C13" s="2334"/>
      <c r="D13" s="2334">
        <v>878614</v>
      </c>
      <c r="E13" s="2334"/>
      <c r="F13" s="2333">
        <f t="shared" si="0"/>
        <v>454934</v>
      </c>
      <c r="H13" s="211">
        <f t="shared" si="1"/>
        <v>2.0737679380664651</v>
      </c>
    </row>
    <row r="14" spans="1:8" x14ac:dyDescent="0.3">
      <c r="A14" s="214" t="s">
        <v>15</v>
      </c>
      <c r="B14" s="2334">
        <f>B15-SUM(B5:B13)</f>
        <v>1134252</v>
      </c>
      <c r="C14" s="2334"/>
      <c r="D14" s="2334">
        <f>D15-SUM(D5:D13)</f>
        <v>1270734</v>
      </c>
      <c r="E14" s="2334"/>
      <c r="F14" s="2333">
        <f t="shared" si="0"/>
        <v>136482</v>
      </c>
      <c r="H14" s="211">
        <f t="shared" si="1"/>
        <v>1.1203277578527524</v>
      </c>
    </row>
    <row r="15" spans="1:8" ht="16.2" thickBot="1" x14ac:dyDescent="0.35">
      <c r="A15" s="214" t="s">
        <v>3</v>
      </c>
      <c r="B15" s="2332">
        <v>4317758</v>
      </c>
      <c r="C15" s="2331"/>
      <c r="D15" s="2332">
        <v>12540197</v>
      </c>
      <c r="E15" s="2331"/>
      <c r="F15" s="2330">
        <f t="shared" si="0"/>
        <v>8222439</v>
      </c>
      <c r="H15" s="211">
        <f t="shared" si="1"/>
        <v>2.9043306734652568</v>
      </c>
    </row>
    <row r="16" spans="1:8" ht="6" customHeight="1" thickTop="1" thickBot="1" x14ac:dyDescent="0.35">
      <c r="A16" s="224"/>
      <c r="B16" s="2329"/>
      <c r="C16" s="2329"/>
      <c r="D16" s="2329"/>
      <c r="E16" s="2329"/>
      <c r="F16" s="2328"/>
    </row>
    <row r="17" spans="1:5" x14ac:dyDescent="0.3">
      <c r="A17" s="12" t="s">
        <v>3018</v>
      </c>
      <c r="B17" s="2161"/>
      <c r="C17" s="2161"/>
      <c r="D17" s="2161"/>
      <c r="E17" s="2161"/>
    </row>
    <row r="18" spans="1:5" x14ac:dyDescent="0.3">
      <c r="B18" s="2161"/>
      <c r="C18" s="2161"/>
      <c r="D18" s="2161"/>
      <c r="E18" s="2161"/>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AABB2-7AD2-4C6F-8E0F-4B5776EA17A0}">
  <sheetPr>
    <tabColor theme="4"/>
  </sheetPr>
  <dimension ref="A1:H43"/>
  <sheetViews>
    <sheetView showGridLines="0" zoomScale="85" zoomScaleNormal="85" workbookViewId="0">
      <selection activeCell="K24" sqref="K24"/>
    </sheetView>
  </sheetViews>
  <sheetFormatPr defaultColWidth="9.109375" defaultRowHeight="15.6" x14ac:dyDescent="0.3"/>
  <cols>
    <col min="1" max="1" width="43.44140625" style="211" customWidth="1"/>
    <col min="2" max="2" width="13" style="211" customWidth="1"/>
    <col min="3" max="4" width="9.109375" style="211"/>
    <col min="5" max="5" width="47.6640625" style="211" customWidth="1"/>
    <col min="6" max="6" width="12.109375" style="211" bestFit="1" customWidth="1"/>
    <col min="7" max="7" width="15.109375" style="211" bestFit="1" customWidth="1"/>
    <col min="8" max="16384" width="9.109375" style="211"/>
  </cols>
  <sheetData>
    <row r="1" spans="1:5" x14ac:dyDescent="0.3">
      <c r="A1" s="459" t="s">
        <v>1522</v>
      </c>
    </row>
    <row r="2" spans="1:5" x14ac:dyDescent="0.3">
      <c r="A2" s="152" t="s">
        <v>3043</v>
      </c>
    </row>
    <row r="3" spans="1:5" ht="8.25" customHeight="1" thickBot="1" x14ac:dyDescent="0.35"/>
    <row r="4" spans="1:5" x14ac:dyDescent="0.3">
      <c r="A4" s="212" t="s">
        <v>1250</v>
      </c>
      <c r="B4" s="502">
        <v>1994</v>
      </c>
    </row>
    <row r="5" spans="1:5" x14ac:dyDescent="0.3">
      <c r="A5" s="214" t="s">
        <v>1164</v>
      </c>
      <c r="B5" s="2349">
        <v>818918</v>
      </c>
    </row>
    <row r="6" spans="1:5" x14ac:dyDescent="0.3">
      <c r="A6" s="214" t="s">
        <v>2944</v>
      </c>
      <c r="B6" s="2348">
        <v>1705000</v>
      </c>
    </row>
    <row r="7" spans="1:5" x14ac:dyDescent="0.3">
      <c r="A7" s="214" t="s">
        <v>1012</v>
      </c>
      <c r="B7" s="2348">
        <v>5150000</v>
      </c>
    </row>
    <row r="8" spans="1:5" x14ac:dyDescent="0.3">
      <c r="A8" s="214" t="s">
        <v>3042</v>
      </c>
      <c r="B8" s="2348">
        <v>644441</v>
      </c>
    </row>
    <row r="9" spans="1:5" x14ac:dyDescent="0.3">
      <c r="A9" s="214" t="s">
        <v>3041</v>
      </c>
      <c r="B9" s="2348">
        <v>365002</v>
      </c>
    </row>
    <row r="10" spans="1:5" x14ac:dyDescent="0.3">
      <c r="A10" s="214" t="s">
        <v>1676</v>
      </c>
      <c r="B10" s="2348">
        <v>1678250</v>
      </c>
    </row>
    <row r="11" spans="1:5" x14ac:dyDescent="0.3">
      <c r="A11" s="214" t="s">
        <v>1013</v>
      </c>
      <c r="B11" s="2348">
        <v>1797000</v>
      </c>
    </row>
    <row r="12" spans="1:5" x14ac:dyDescent="0.3">
      <c r="A12" s="214" t="s">
        <v>3040</v>
      </c>
      <c r="B12" s="2348">
        <v>410951</v>
      </c>
    </row>
    <row r="13" spans="1:5" x14ac:dyDescent="0.3">
      <c r="A13" s="214" t="s">
        <v>3039</v>
      </c>
      <c r="B13" s="2347">
        <v>418983</v>
      </c>
      <c r="E13" s="211" t="s">
        <v>176</v>
      </c>
    </row>
    <row r="14" spans="1:5" x14ac:dyDescent="0.3">
      <c r="A14" s="214" t="s">
        <v>1014</v>
      </c>
      <c r="B14" s="2347">
        <v>984727</v>
      </c>
    </row>
    <row r="15" spans="1:5" ht="9" customHeight="1" x14ac:dyDescent="0.3">
      <c r="A15" s="214"/>
      <c r="B15" s="2256"/>
    </row>
    <row r="16" spans="1:5" x14ac:dyDescent="0.3">
      <c r="A16" s="6" t="s">
        <v>998</v>
      </c>
      <c r="B16" s="2346"/>
      <c r="E16" s="211" t="s">
        <v>176</v>
      </c>
    </row>
    <row r="17" spans="1:8" ht="60" customHeight="1" x14ac:dyDescent="0.3">
      <c r="A17" s="2799" t="s">
        <v>3733</v>
      </c>
      <c r="B17" s="2801"/>
    </row>
    <row r="18" spans="1:8" ht="16.2" thickBot="1" x14ac:dyDescent="0.35">
      <c r="A18" s="2799" t="s">
        <v>3038</v>
      </c>
      <c r="B18" s="2801"/>
    </row>
    <row r="19" spans="1:8" ht="15.75" customHeight="1" x14ac:dyDescent="0.3">
      <c r="A19" s="2811" t="s">
        <v>3037</v>
      </c>
      <c r="B19" s="2811"/>
    </row>
    <row r="20" spans="1:8" x14ac:dyDescent="0.3">
      <c r="A20" s="904"/>
      <c r="B20" s="904"/>
    </row>
    <row r="24" spans="1:8" x14ac:dyDescent="0.3">
      <c r="E24" s="459" t="s">
        <v>1522</v>
      </c>
    </row>
    <row r="25" spans="1:8" x14ac:dyDescent="0.3">
      <c r="E25" s="152" t="s">
        <v>3036</v>
      </c>
    </row>
    <row r="26" spans="1:8" ht="8.25" customHeight="1" thickBot="1" x14ac:dyDescent="0.35"/>
    <row r="27" spans="1:8" ht="31.2" x14ac:dyDescent="0.3">
      <c r="E27" s="212" t="s">
        <v>1250</v>
      </c>
      <c r="F27" s="2325" t="s">
        <v>3035</v>
      </c>
      <c r="G27" s="2326" t="s">
        <v>3034</v>
      </c>
    </row>
    <row r="28" spans="1:8" x14ac:dyDescent="0.3">
      <c r="E28" s="214" t="s">
        <v>3033</v>
      </c>
      <c r="F28" s="2341">
        <v>172.6</v>
      </c>
      <c r="G28" s="2345">
        <f>F28</f>
        <v>172.6</v>
      </c>
      <c r="H28" s="1329"/>
    </row>
    <row r="29" spans="1:8" x14ac:dyDescent="0.3">
      <c r="E29" s="214" t="s">
        <v>3032</v>
      </c>
      <c r="G29" s="2340">
        <v>142.6</v>
      </c>
    </row>
    <row r="30" spans="1:8" x14ac:dyDescent="0.3">
      <c r="E30" s="214" t="s">
        <v>3031</v>
      </c>
      <c r="G30" s="2342">
        <f>G28+G29</f>
        <v>315.2</v>
      </c>
      <c r="H30" s="1329"/>
    </row>
    <row r="31" spans="1:8" x14ac:dyDescent="0.3">
      <c r="E31" s="214"/>
      <c r="G31" s="223"/>
      <c r="H31" s="1329"/>
    </row>
    <row r="32" spans="1:8" x14ac:dyDescent="0.3">
      <c r="E32" s="214" t="s">
        <v>3030</v>
      </c>
      <c r="F32" s="2344">
        <f>40.3+48.6+58+58.5+61.3+61.4+70.5+77.5+79.3</f>
        <v>555.4</v>
      </c>
      <c r="G32" s="2340">
        <f>F32</f>
        <v>555.4</v>
      </c>
    </row>
    <row r="33" spans="5:7" x14ac:dyDescent="0.3">
      <c r="E33" s="214" t="s">
        <v>3029</v>
      </c>
      <c r="F33" s="2344">
        <f>-(125+41+35+71.5+33.5+74+80+98+76)</f>
        <v>-634</v>
      </c>
      <c r="G33" s="2340">
        <f>F33</f>
        <v>-634</v>
      </c>
    </row>
    <row r="34" spans="5:7" x14ac:dyDescent="0.3">
      <c r="E34" s="214" t="s">
        <v>3028</v>
      </c>
      <c r="F34" s="2343">
        <f>F28+F32+F33</f>
        <v>94</v>
      </c>
      <c r="G34" s="2342">
        <f>G28+G32+G33</f>
        <v>94</v>
      </c>
    </row>
    <row r="35" spans="5:7" x14ac:dyDescent="0.3">
      <c r="E35" s="214"/>
      <c r="F35" s="2341"/>
      <c r="G35" s="2340"/>
    </row>
    <row r="36" spans="5:7" x14ac:dyDescent="0.3">
      <c r="E36" s="214" t="s">
        <v>3027</v>
      </c>
      <c r="G36" s="2340">
        <f>-(11.6+7.1+8+7+7.1+6.9+7.7+28.1+4.9)</f>
        <v>-88.4</v>
      </c>
    </row>
    <row r="37" spans="5:7" ht="16.2" thickBot="1" x14ac:dyDescent="0.35">
      <c r="E37" s="224" t="s">
        <v>3026</v>
      </c>
      <c r="F37" s="2339"/>
      <c r="G37" s="2338">
        <f>G30+G32+G33+G36</f>
        <v>148.1999999999999</v>
      </c>
    </row>
    <row r="38" spans="5:7" x14ac:dyDescent="0.3">
      <c r="E38" s="320" t="s">
        <v>3025</v>
      </c>
    </row>
    <row r="41" spans="5:7" x14ac:dyDescent="0.3">
      <c r="E41" s="211" t="s">
        <v>3024</v>
      </c>
      <c r="G41" s="348">
        <f>G30/G28</f>
        <v>1.8261877172653533</v>
      </c>
    </row>
    <row r="43" spans="5:7" x14ac:dyDescent="0.3">
      <c r="E43" s="211" t="s">
        <v>176</v>
      </c>
    </row>
  </sheetData>
  <mergeCells count="3">
    <mergeCell ref="A18:B18"/>
    <mergeCell ref="A19:B19"/>
    <mergeCell ref="A17:B17"/>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D149-7B98-42A3-86C7-05F0B9325CC2}">
  <sheetPr>
    <tabColor theme="4"/>
  </sheetPr>
  <dimension ref="A1:X75"/>
  <sheetViews>
    <sheetView showGridLines="0" zoomScaleNormal="100" workbookViewId="0">
      <selection activeCell="N8" sqref="N8"/>
    </sheetView>
  </sheetViews>
  <sheetFormatPr defaultRowHeight="14.4" outlineLevelRow="1" x14ac:dyDescent="0.3"/>
  <cols>
    <col min="1" max="1" width="55.5546875" customWidth="1"/>
    <col min="2" max="2" width="8.88671875" customWidth="1"/>
    <col min="3" max="3" width="1.6640625" customWidth="1"/>
    <col min="4" max="4" width="8.88671875" customWidth="1"/>
    <col min="5" max="5" width="1.44140625" customWidth="1"/>
    <col min="6" max="6" width="8.88671875" customWidth="1"/>
    <col min="7" max="7" width="1.44140625" customWidth="1"/>
    <col min="8" max="8" width="8.88671875" customWidth="1"/>
    <col min="9" max="9" width="1.44140625" customWidth="1"/>
    <col min="10" max="10" width="8.88671875" customWidth="1"/>
    <col min="11" max="11" width="1.5546875" customWidth="1"/>
    <col min="14" max="14" width="26.44140625" customWidth="1"/>
    <col min="18" max="18" width="1.109375" customWidth="1"/>
  </cols>
  <sheetData>
    <row r="1" spans="1:11" s="2376" customFormat="1" ht="13.8" x14ac:dyDescent="0.25">
      <c r="A1" s="2376" t="s">
        <v>556</v>
      </c>
      <c r="B1" s="2376">
        <v>1994</v>
      </c>
      <c r="D1" s="2376">
        <v>1994</v>
      </c>
      <c r="F1" s="2376">
        <v>1993</v>
      </c>
      <c r="H1" s="2376">
        <v>1991</v>
      </c>
      <c r="J1" s="2376">
        <v>1991</v>
      </c>
    </row>
    <row r="2" spans="1:11" ht="15.6" x14ac:dyDescent="0.3">
      <c r="A2" s="459" t="s">
        <v>1522</v>
      </c>
      <c r="B2" s="459"/>
      <c r="C2" s="459"/>
      <c r="D2" s="459"/>
      <c r="E2" s="459"/>
      <c r="F2" s="459"/>
      <c r="G2" s="459"/>
      <c r="H2" s="211"/>
    </row>
    <row r="3" spans="1:11" ht="15.6" x14ac:dyDescent="0.3">
      <c r="A3" s="2794" t="s">
        <v>3053</v>
      </c>
      <c r="B3" s="2794"/>
      <c r="C3" s="2794"/>
      <c r="D3" s="2794"/>
      <c r="E3" s="2794"/>
      <c r="F3" s="2794"/>
      <c r="G3" s="2794"/>
      <c r="H3" s="2321"/>
    </row>
    <row r="4" spans="1:11" ht="8.25" customHeight="1" thickBot="1" x14ac:dyDescent="0.35">
      <c r="A4" s="2794"/>
      <c r="B4" s="2794"/>
      <c r="C4" s="2794"/>
      <c r="D4" s="2794"/>
      <c r="E4" s="2794"/>
      <c r="F4" s="2794"/>
      <c r="G4" s="2794"/>
      <c r="H4" s="2321"/>
    </row>
    <row r="5" spans="1:11" ht="15.6" x14ac:dyDescent="0.3">
      <c r="A5" s="956" t="s">
        <v>1250</v>
      </c>
      <c r="B5" s="2373">
        <v>1994</v>
      </c>
      <c r="C5" s="2375"/>
      <c r="D5" s="2373">
        <v>1993</v>
      </c>
      <c r="E5" s="2373"/>
      <c r="F5" s="2373">
        <v>1992</v>
      </c>
      <c r="G5" s="2375"/>
      <c r="H5" s="2373">
        <v>1991</v>
      </c>
      <c r="I5" s="2374"/>
      <c r="J5" s="2373">
        <v>1990</v>
      </c>
      <c r="K5" s="2372"/>
    </row>
    <row r="6" spans="1:11" ht="31.2" x14ac:dyDescent="0.3">
      <c r="A6" s="2323" t="s">
        <v>3004</v>
      </c>
      <c r="B6" s="2311">
        <v>492</v>
      </c>
      <c r="C6" s="2324"/>
      <c r="D6" s="2311">
        <v>422</v>
      </c>
      <c r="E6" s="2311"/>
      <c r="F6" s="2311">
        <v>298</v>
      </c>
      <c r="G6" s="2307"/>
      <c r="H6" s="2311">
        <v>230</v>
      </c>
      <c r="I6" s="2311"/>
      <c r="J6" s="2311">
        <v>266</v>
      </c>
      <c r="K6" s="2304"/>
    </row>
    <row r="7" spans="1:11" ht="15.6" x14ac:dyDescent="0.3">
      <c r="A7" s="2323" t="s">
        <v>3003</v>
      </c>
      <c r="B7" s="2311">
        <v>-68</v>
      </c>
      <c r="C7" s="2324"/>
      <c r="D7" s="2311">
        <v>-59</v>
      </c>
      <c r="E7" s="2311"/>
      <c r="F7" s="2311">
        <v>-42</v>
      </c>
      <c r="G7" s="2307"/>
      <c r="H7" s="2311">
        <v>-30</v>
      </c>
      <c r="I7" s="2311"/>
      <c r="J7" s="2311">
        <v>-35</v>
      </c>
      <c r="K7" s="2304"/>
    </row>
    <row r="8" spans="1:11" ht="15.6" x14ac:dyDescent="0.3">
      <c r="A8" s="2323" t="s">
        <v>3002</v>
      </c>
      <c r="B8" s="2311">
        <v>606</v>
      </c>
      <c r="C8" s="2324"/>
      <c r="D8" s="2311">
        <v>478</v>
      </c>
      <c r="E8" s="2311"/>
      <c r="F8" s="2311">
        <v>348</v>
      </c>
      <c r="G8" s="2307"/>
      <c r="H8" s="2311">
        <v>316</v>
      </c>
      <c r="I8" s="2311"/>
      <c r="J8" s="2311">
        <v>371</v>
      </c>
      <c r="K8" s="2304"/>
    </row>
    <row r="9" spans="1:11" ht="15.75" customHeight="1" thickBot="1" x14ac:dyDescent="0.35">
      <c r="A9" s="2355" t="s">
        <v>3001</v>
      </c>
      <c r="B9" s="2309">
        <f>SUM(B6:B8)</f>
        <v>1030</v>
      </c>
      <c r="C9" s="2354"/>
      <c r="D9" s="2309">
        <f>SUM(D6:D8)</f>
        <v>841</v>
      </c>
      <c r="E9" s="2310"/>
      <c r="F9" s="2309">
        <f>SUM(F6:F8)</f>
        <v>604</v>
      </c>
      <c r="G9" s="2354"/>
      <c r="H9" s="2309">
        <f>SUM(H6:H8)</f>
        <v>516</v>
      </c>
      <c r="I9" s="2310"/>
      <c r="J9" s="2309">
        <f>SUM(J6:J8)</f>
        <v>602</v>
      </c>
      <c r="K9" s="2304"/>
    </row>
    <row r="10" spans="1:11" ht="4.5" customHeight="1" thickTop="1" x14ac:dyDescent="0.3">
      <c r="A10" s="2355"/>
      <c r="B10" s="2310"/>
      <c r="C10" s="2354"/>
      <c r="D10" s="2310"/>
      <c r="E10" s="2310"/>
      <c r="F10" s="2310"/>
      <c r="G10" s="2354"/>
      <c r="H10" s="2310"/>
      <c r="I10" s="2310"/>
      <c r="J10" s="2310"/>
      <c r="K10" s="2304"/>
    </row>
    <row r="11" spans="1:11" ht="4.5" customHeight="1" x14ac:dyDescent="0.3">
      <c r="A11" s="2359"/>
      <c r="B11" s="2357"/>
      <c r="C11" s="2358"/>
      <c r="D11" s="2357"/>
      <c r="E11" s="2357"/>
      <c r="F11" s="2357"/>
      <c r="G11" s="2358"/>
      <c r="H11" s="2357"/>
      <c r="I11" s="2357"/>
      <c r="J11" s="2357"/>
      <c r="K11" s="2356"/>
    </row>
    <row r="12" spans="1:11" ht="4.5" customHeight="1" x14ac:dyDescent="0.3">
      <c r="A12" s="2355"/>
      <c r="B12" s="2310"/>
      <c r="C12" s="2354"/>
      <c r="D12" s="2310"/>
      <c r="E12" s="2310"/>
      <c r="F12" s="2310"/>
      <c r="G12" s="2354"/>
      <c r="H12" s="2310"/>
      <c r="I12" s="2310"/>
      <c r="J12" s="2310"/>
      <c r="K12" s="2304"/>
    </row>
    <row r="13" spans="1:11" s="2362" customFormat="1" ht="15.75" hidden="1" customHeight="1" outlineLevel="1" x14ac:dyDescent="0.3">
      <c r="A13" s="2371" t="s">
        <v>3052</v>
      </c>
      <c r="B13" s="2364">
        <v>20400</v>
      </c>
      <c r="C13" s="2365"/>
      <c r="D13" s="2364">
        <v>16325</v>
      </c>
      <c r="E13" s="2364"/>
      <c r="F13" s="2364">
        <v>11750</v>
      </c>
      <c r="G13" s="2365"/>
      <c r="H13" s="2364">
        <v>9050</v>
      </c>
      <c r="I13" s="2364"/>
      <c r="J13" s="2364">
        <v>6675</v>
      </c>
      <c r="K13" s="2363"/>
    </row>
    <row r="14" spans="1:11" s="2362" customFormat="1" ht="15.75" hidden="1" customHeight="1" outlineLevel="1" x14ac:dyDescent="0.3">
      <c r="A14" s="2371" t="s">
        <v>3051</v>
      </c>
      <c r="B14" s="2369">
        <v>1178</v>
      </c>
      <c r="C14" s="2370"/>
      <c r="D14" s="2369">
        <v>1178</v>
      </c>
      <c r="E14" s="2369"/>
      <c r="F14" s="2369">
        <v>1149</v>
      </c>
      <c r="G14" s="2370"/>
      <c r="H14" s="2369">
        <v>1146</v>
      </c>
      <c r="I14" s="2369"/>
      <c r="J14" s="2369">
        <v>1146</v>
      </c>
      <c r="K14" s="2363"/>
    </row>
    <row r="15" spans="1:11" ht="15.75" customHeight="1" collapsed="1" x14ac:dyDescent="0.3">
      <c r="A15" s="2355" t="s">
        <v>3050</v>
      </c>
      <c r="B15" s="2367">
        <f>B13*B14/1000</f>
        <v>24031.200000000001</v>
      </c>
      <c r="C15" s="2368"/>
      <c r="D15" s="2367">
        <f>D13*D14/1000</f>
        <v>19230.849999999999</v>
      </c>
      <c r="E15" s="2367"/>
      <c r="F15" s="2367">
        <f>F13*F14/1000</f>
        <v>13500.75</v>
      </c>
      <c r="G15" s="2368"/>
      <c r="H15" s="2367">
        <f>H13*H14/1000</f>
        <v>10371.299999999999</v>
      </c>
      <c r="I15" s="2367"/>
      <c r="J15" s="2367">
        <f>J13*J14/1000</f>
        <v>7649.55</v>
      </c>
      <c r="K15" s="2304"/>
    </row>
    <row r="16" spans="1:11" s="2362" customFormat="1" ht="15.75" hidden="1" customHeight="1" outlineLevel="1" x14ac:dyDescent="0.3">
      <c r="A16" s="2366" t="s">
        <v>3049</v>
      </c>
      <c r="B16" s="2364">
        <f>11874882/1000</f>
        <v>11874.882</v>
      </c>
      <c r="C16" s="2365"/>
      <c r="D16" s="2364">
        <f>10428374/1000</f>
        <v>10428.374</v>
      </c>
      <c r="E16" s="2364"/>
      <c r="F16" s="2364">
        <f>8896331/1000</f>
        <v>8896.3310000000001</v>
      </c>
      <c r="G16" s="2365"/>
      <c r="H16" s="2364">
        <f>7379918/1000</f>
        <v>7379.9179999999997</v>
      </c>
      <c r="I16" s="2364"/>
      <c r="J16" s="2364">
        <f>5287454/1000</f>
        <v>5287.4539999999997</v>
      </c>
      <c r="K16" s="2363"/>
    </row>
    <row r="17" spans="1:14" ht="15.75" customHeight="1" collapsed="1" x14ac:dyDescent="0.3">
      <c r="A17" s="2355" t="s">
        <v>3048</v>
      </c>
      <c r="B17" s="2692">
        <f>B15/B16</f>
        <v>2.0237001091884537</v>
      </c>
      <c r="C17" s="2693"/>
      <c r="D17" s="2692">
        <f>D15/D16</f>
        <v>1.8440890209729723</v>
      </c>
      <c r="E17" s="2694"/>
      <c r="F17" s="2692">
        <f>F15/F16</f>
        <v>1.5175638136665552</v>
      </c>
      <c r="G17" s="2693"/>
      <c r="H17" s="2692">
        <f>H15/H16</f>
        <v>1.405340818150012</v>
      </c>
      <c r="I17" s="2694"/>
      <c r="J17" s="2692">
        <f>J15/J16</f>
        <v>1.4467359905164188</v>
      </c>
      <c r="K17" s="2304"/>
    </row>
    <row r="18" spans="1:14" ht="4.5" customHeight="1" x14ac:dyDescent="0.3">
      <c r="A18" s="2355"/>
      <c r="B18" s="2310"/>
      <c r="C18" s="2354"/>
      <c r="D18" s="2310"/>
      <c r="E18" s="2310"/>
      <c r="F18" s="2310"/>
      <c r="G18" s="2354"/>
      <c r="H18" s="2310"/>
      <c r="I18" s="2310"/>
      <c r="J18" s="2310"/>
      <c r="K18" s="2304"/>
    </row>
    <row r="19" spans="1:14" ht="4.5" customHeight="1" x14ac:dyDescent="0.3">
      <c r="A19" s="2359"/>
      <c r="B19" s="2357"/>
      <c r="C19" s="2358"/>
      <c r="D19" s="2357"/>
      <c r="E19" s="2357"/>
      <c r="F19" s="2357"/>
      <c r="G19" s="2358"/>
      <c r="H19" s="2357"/>
      <c r="I19" s="2357"/>
      <c r="J19" s="2357"/>
      <c r="K19" s="2356"/>
    </row>
    <row r="20" spans="1:14" ht="4.5" customHeight="1" x14ac:dyDescent="0.3">
      <c r="A20" s="2355"/>
      <c r="B20" s="2310"/>
      <c r="C20" s="2354"/>
      <c r="D20" s="2310"/>
      <c r="E20" s="2310"/>
      <c r="F20" s="2310"/>
      <c r="G20" s="2354"/>
      <c r="H20" s="2310"/>
      <c r="I20" s="2310"/>
      <c r="J20" s="2310"/>
      <c r="K20" s="2304"/>
    </row>
    <row r="21" spans="1:14" ht="15.75" customHeight="1" x14ac:dyDescent="0.3">
      <c r="A21" s="214" t="s">
        <v>2988</v>
      </c>
      <c r="B21" s="508">
        <f>B16/D16-1</f>
        <v>0.13870887254331299</v>
      </c>
      <c r="C21" s="211"/>
      <c r="D21" s="508">
        <f>D16/F16-1</f>
        <v>0.17221065628066223</v>
      </c>
      <c r="E21" s="211"/>
      <c r="F21" s="508">
        <f>F16/H16-1</f>
        <v>0.2054782993523776</v>
      </c>
      <c r="G21" s="211"/>
      <c r="H21" s="508">
        <f>H16/J16-1</f>
        <v>0.39574131519631184</v>
      </c>
      <c r="I21" s="2360"/>
      <c r="J21" s="2691"/>
      <c r="K21" s="2304"/>
    </row>
    <row r="22" spans="1:14" ht="15.75" customHeight="1" x14ac:dyDescent="0.3">
      <c r="A22" s="214" t="s">
        <v>2987</v>
      </c>
      <c r="B22" s="508">
        <f>B15/D15-1</f>
        <v>0.24961715160796327</v>
      </c>
      <c r="C22" s="211"/>
      <c r="D22" s="508">
        <f>D15/F15-1</f>
        <v>0.42442827250337944</v>
      </c>
      <c r="E22" s="211"/>
      <c r="F22" s="508">
        <f>F15/H15-1</f>
        <v>0.30174134390095753</v>
      </c>
      <c r="G22" s="211"/>
      <c r="H22" s="508">
        <f>H15/J15-1</f>
        <v>0.35580524344569286</v>
      </c>
      <c r="I22" s="2360"/>
      <c r="J22" s="2691"/>
      <c r="K22" s="2304"/>
    </row>
    <row r="23" spans="1:14" ht="4.5" customHeight="1" x14ac:dyDescent="0.3">
      <c r="A23" s="2355"/>
      <c r="B23" s="2310"/>
      <c r="C23" s="2354"/>
      <c r="D23" s="2310"/>
      <c r="E23" s="2310"/>
      <c r="F23" s="2310"/>
      <c r="G23" s="2354"/>
      <c r="H23" s="2310"/>
      <c r="I23" s="2310"/>
      <c r="J23" s="2310"/>
      <c r="K23" s="2304"/>
    </row>
    <row r="24" spans="1:14" ht="4.5" customHeight="1" x14ac:dyDescent="0.3">
      <c r="A24" s="2359"/>
      <c r="B24" s="2357"/>
      <c r="C24" s="2358"/>
      <c r="D24" s="2357"/>
      <c r="E24" s="2357"/>
      <c r="F24" s="2357"/>
      <c r="G24" s="2358"/>
      <c r="H24" s="2357"/>
      <c r="I24" s="2357"/>
      <c r="J24" s="2357"/>
      <c r="K24" s="2356"/>
    </row>
    <row r="25" spans="1:14" ht="4.5" customHeight="1" x14ac:dyDescent="0.3">
      <c r="A25" s="2355"/>
      <c r="B25" s="2310"/>
      <c r="C25" s="2354"/>
      <c r="D25" s="2310"/>
      <c r="E25" s="2310"/>
      <c r="F25" s="2310"/>
      <c r="G25" s="2354"/>
      <c r="H25" s="2310"/>
      <c r="I25" s="2310"/>
      <c r="J25" s="2310"/>
      <c r="K25" s="2304"/>
    </row>
    <row r="26" spans="1:14" ht="15.6" x14ac:dyDescent="0.3">
      <c r="A26" s="2322" t="s">
        <v>998</v>
      </c>
      <c r="B26" s="2308"/>
      <c r="C26" s="2308"/>
      <c r="D26" s="2308"/>
      <c r="E26" s="2353"/>
      <c r="F26" s="2308"/>
      <c r="G26" s="2308"/>
      <c r="H26" s="2306"/>
      <c r="I26" s="2305"/>
      <c r="J26" s="2305"/>
      <c r="K26" s="2304"/>
    </row>
    <row r="27" spans="1:14" ht="15.6" x14ac:dyDescent="0.3">
      <c r="A27" s="2322" t="s">
        <v>3047</v>
      </c>
      <c r="B27" s="2308"/>
      <c r="C27" s="2308"/>
      <c r="D27" s="2308"/>
      <c r="E27" s="2353"/>
      <c r="F27" s="2308"/>
      <c r="G27" s="2308"/>
      <c r="H27" s="2306"/>
      <c r="I27" s="2305"/>
      <c r="J27" s="2305"/>
      <c r="K27" s="2304"/>
    </row>
    <row r="28" spans="1:14" ht="16.2" thickBot="1" x14ac:dyDescent="0.35">
      <c r="A28" s="2802" t="s">
        <v>3046</v>
      </c>
      <c r="B28" s="2803"/>
      <c r="C28" s="2803"/>
      <c r="D28" s="2803"/>
      <c r="E28" s="2803"/>
      <c r="F28" s="2803"/>
      <c r="G28" s="2803"/>
      <c r="H28" s="2352"/>
      <c r="I28" s="2351"/>
      <c r="J28" s="2351"/>
      <c r="K28" s="2303"/>
    </row>
    <row r="29" spans="1:14" x14ac:dyDescent="0.3">
      <c r="A29" s="2805" t="s">
        <v>3045</v>
      </c>
      <c r="B29" s="2805"/>
      <c r="C29" s="2805"/>
      <c r="D29" s="2805"/>
      <c r="E29" s="2805"/>
      <c r="F29" s="2805"/>
      <c r="G29" s="2805"/>
      <c r="H29" s="904"/>
      <c r="N29" t="s">
        <v>176</v>
      </c>
    </row>
    <row r="31" spans="1:14" x14ac:dyDescent="0.3">
      <c r="A31" t="s">
        <v>176</v>
      </c>
      <c r="B31" s="69">
        <f>B9/D9-1</f>
        <v>0.22473246135552905</v>
      </c>
      <c r="D31" s="69">
        <f>D9/F9-1</f>
        <v>0.39238410596026485</v>
      </c>
      <c r="F31" s="69">
        <f>F9/H9-1</f>
        <v>0.17054263565891481</v>
      </c>
      <c r="H31" s="69">
        <f>H9/J9-1</f>
        <v>-0.1428571428571429</v>
      </c>
      <c r="J31" s="69"/>
    </row>
    <row r="34" spans="1:24" ht="15.6" x14ac:dyDescent="0.3">
      <c r="A34" s="211" t="s">
        <v>2995</v>
      </c>
    </row>
    <row r="35" spans="1:24" ht="15.6" x14ac:dyDescent="0.3">
      <c r="N35" s="211"/>
      <c r="O35" s="211"/>
      <c r="P35" s="211"/>
      <c r="Q35" s="211"/>
      <c r="R35" s="211"/>
      <c r="S35" s="211"/>
      <c r="T35" s="211"/>
      <c r="U35" s="211"/>
      <c r="V35" s="211"/>
      <c r="W35" s="211"/>
      <c r="X35" s="211"/>
    </row>
    <row r="36" spans="1:24" ht="15.6" x14ac:dyDescent="0.3">
      <c r="N36" s="211"/>
      <c r="O36" s="211"/>
      <c r="P36" s="211"/>
      <c r="Q36" s="211"/>
      <c r="R36" s="211"/>
      <c r="S36" s="211"/>
      <c r="T36" s="211"/>
      <c r="U36" s="211"/>
      <c r="V36" s="211"/>
      <c r="W36" s="211"/>
      <c r="X36" s="211"/>
    </row>
    <row r="37" spans="1:24" ht="15.6" x14ac:dyDescent="0.3">
      <c r="N37" s="211"/>
      <c r="O37" s="211"/>
      <c r="P37" s="211"/>
      <c r="Q37" s="211"/>
      <c r="R37" s="211"/>
      <c r="S37" s="211"/>
      <c r="T37" s="211"/>
      <c r="U37" s="211"/>
      <c r="V37" s="211"/>
      <c r="W37" s="211"/>
      <c r="X37" s="211"/>
    </row>
    <row r="38" spans="1:24" ht="15.6" x14ac:dyDescent="0.3">
      <c r="N38" s="211"/>
      <c r="O38" s="211"/>
      <c r="P38" s="211"/>
      <c r="Q38" s="211"/>
      <c r="R38" s="211"/>
      <c r="S38" s="211"/>
      <c r="T38" s="211"/>
      <c r="U38" s="211"/>
      <c r="V38" s="211"/>
      <c r="W38" s="211"/>
      <c r="X38" s="211"/>
    </row>
    <row r="39" spans="1:24" ht="15.6" x14ac:dyDescent="0.3">
      <c r="N39" s="459" t="s">
        <v>1522</v>
      </c>
      <c r="O39" s="211"/>
      <c r="P39" s="211"/>
      <c r="Q39" s="211"/>
      <c r="R39" s="211"/>
      <c r="S39" s="211"/>
      <c r="T39" s="211"/>
      <c r="U39" s="211"/>
      <c r="V39" s="211"/>
      <c r="W39" s="211"/>
      <c r="X39" s="211"/>
    </row>
    <row r="40" spans="1:24" ht="15.6" x14ac:dyDescent="0.3">
      <c r="N40" s="152" t="s">
        <v>2994</v>
      </c>
      <c r="O40" s="211"/>
      <c r="P40" s="211"/>
      <c r="Q40" s="211"/>
      <c r="R40" s="211"/>
      <c r="S40" s="211"/>
      <c r="T40" s="211"/>
      <c r="U40" s="211"/>
      <c r="V40" s="211"/>
      <c r="W40" s="211"/>
      <c r="X40" s="211"/>
    </row>
    <row r="41" spans="1:24" ht="8.25" customHeight="1" thickBot="1" x14ac:dyDescent="0.35">
      <c r="N41" s="211"/>
      <c r="O41" s="211"/>
      <c r="P41" s="211"/>
      <c r="Q41" s="211"/>
      <c r="R41" s="211"/>
      <c r="S41" s="211"/>
      <c r="T41" s="211"/>
      <c r="U41" s="211"/>
      <c r="V41" s="211"/>
      <c r="W41" s="211"/>
      <c r="X41" s="211"/>
    </row>
    <row r="42" spans="1:24" ht="15.6" x14ac:dyDescent="0.3">
      <c r="N42" s="212" t="s">
        <v>1250</v>
      </c>
      <c r="O42" s="470">
        <v>1991</v>
      </c>
      <c r="P42" s="470">
        <v>1972</v>
      </c>
      <c r="Q42" s="471" t="s">
        <v>32</v>
      </c>
      <c r="R42" s="211"/>
      <c r="S42" s="211"/>
      <c r="T42" s="211"/>
      <c r="U42" s="211"/>
      <c r="V42" s="211"/>
      <c r="W42" s="211"/>
      <c r="X42" s="211"/>
    </row>
    <row r="43" spans="1:24" ht="15.6" x14ac:dyDescent="0.3">
      <c r="N43" s="214" t="s">
        <v>975</v>
      </c>
      <c r="O43" s="2301">
        <v>196</v>
      </c>
      <c r="P43" s="2301">
        <v>29</v>
      </c>
      <c r="Q43" s="2299">
        <f>O43/P43</f>
        <v>6.7586206896551726</v>
      </c>
      <c r="R43" s="211"/>
      <c r="S43" s="211"/>
      <c r="T43" s="211"/>
      <c r="U43" s="211"/>
      <c r="V43" s="211"/>
      <c r="W43" s="211"/>
      <c r="X43" s="211"/>
    </row>
    <row r="44" spans="1:24" ht="15.6" x14ac:dyDescent="0.3">
      <c r="N44" s="214" t="s">
        <v>2127</v>
      </c>
      <c r="O44" s="2300">
        <v>42.4</v>
      </c>
      <c r="P44" s="2300">
        <v>4.2</v>
      </c>
      <c r="Q44" s="2299">
        <f>O44/P44</f>
        <v>10.095238095238095</v>
      </c>
      <c r="R44" s="211"/>
      <c r="S44" s="211"/>
      <c r="T44" s="211"/>
      <c r="U44" s="211"/>
      <c r="V44" s="211"/>
      <c r="W44" s="211"/>
      <c r="X44" s="211"/>
    </row>
    <row r="45" spans="1:24" ht="15.6" x14ac:dyDescent="0.3">
      <c r="N45" s="214" t="s">
        <v>2120</v>
      </c>
      <c r="O45" s="2300">
        <v>25</v>
      </c>
      <c r="P45" s="2300">
        <v>8</v>
      </c>
      <c r="Q45" s="2299">
        <f>O45/P45</f>
        <v>3.125</v>
      </c>
      <c r="R45" s="211"/>
      <c r="S45" s="211"/>
      <c r="T45" s="211"/>
      <c r="U45" s="211"/>
      <c r="V45" s="211"/>
      <c r="W45" s="211"/>
      <c r="X45" s="211"/>
    </row>
    <row r="46" spans="1:24" ht="8.25" customHeight="1" x14ac:dyDescent="0.3">
      <c r="N46" s="1155"/>
      <c r="O46" s="2350"/>
      <c r="P46" s="2350"/>
      <c r="Q46" s="1279"/>
      <c r="R46" s="211"/>
      <c r="S46" s="211"/>
      <c r="T46" s="211"/>
      <c r="U46" s="211"/>
      <c r="V46" s="211"/>
      <c r="W46" s="211"/>
      <c r="X46" s="211"/>
    </row>
    <row r="47" spans="1:24" ht="15.6" x14ac:dyDescent="0.3">
      <c r="N47" s="214" t="s">
        <v>2993</v>
      </c>
      <c r="O47" s="2301">
        <f>O44-P44</f>
        <v>38.199999999999996</v>
      </c>
      <c r="P47" s="2296"/>
      <c r="Q47" s="223"/>
      <c r="R47" s="211"/>
      <c r="S47" s="211"/>
      <c r="T47" s="211"/>
      <c r="U47" s="211"/>
      <c r="V47" s="211"/>
      <c r="W47" s="211"/>
      <c r="X47" s="211"/>
    </row>
    <row r="48" spans="1:24" ht="15.6" x14ac:dyDescent="0.3">
      <c r="N48" s="214" t="s">
        <v>2992</v>
      </c>
      <c r="O48" s="2296">
        <f>O45-P45</f>
        <v>17</v>
      </c>
      <c r="P48" s="2296"/>
      <c r="Q48" s="223"/>
      <c r="R48" s="211"/>
      <c r="S48" s="211"/>
      <c r="T48" s="211"/>
      <c r="U48" s="211"/>
      <c r="V48" s="211"/>
      <c r="W48" s="211"/>
      <c r="X48" s="211"/>
    </row>
    <row r="49" spans="14:24" ht="15.6" x14ac:dyDescent="0.3">
      <c r="N49" s="214" t="s">
        <v>2885</v>
      </c>
      <c r="O49" s="508">
        <f>O47/O48</f>
        <v>2.2470588235294113</v>
      </c>
      <c r="P49" s="211"/>
      <c r="Q49" s="223"/>
      <c r="R49" s="211"/>
      <c r="S49" s="211"/>
      <c r="T49" s="211"/>
      <c r="U49" s="211"/>
      <c r="V49" s="211"/>
      <c r="W49" s="211"/>
      <c r="X49" s="211"/>
    </row>
    <row r="50" spans="14:24" ht="8.25" customHeight="1" x14ac:dyDescent="0.3">
      <c r="N50" s="1155"/>
      <c r="O50" s="2350"/>
      <c r="P50" s="2350"/>
      <c r="Q50" s="1279"/>
      <c r="R50" s="211"/>
      <c r="S50" s="211"/>
      <c r="T50" s="211"/>
      <c r="U50" s="211"/>
      <c r="V50" s="211"/>
      <c r="W50" s="211"/>
      <c r="X50" s="211"/>
    </row>
    <row r="51" spans="14:24" ht="15.6" x14ac:dyDescent="0.3">
      <c r="N51" s="214" t="s">
        <v>2783</v>
      </c>
      <c r="O51" s="1329">
        <f>O43/O45</f>
        <v>7.84</v>
      </c>
      <c r="P51" s="1329">
        <f>P43/P45</f>
        <v>3.625</v>
      </c>
      <c r="Q51" s="223"/>
      <c r="R51" s="211"/>
      <c r="S51" s="211"/>
      <c r="T51" s="211"/>
      <c r="U51" s="211"/>
      <c r="V51" s="211"/>
      <c r="W51" s="211"/>
      <c r="X51" s="211"/>
    </row>
    <row r="52" spans="14:24" ht="16.2" thickBot="1" x14ac:dyDescent="0.35">
      <c r="N52" s="224" t="s">
        <v>2668</v>
      </c>
      <c r="O52" s="1314">
        <f>O44/O45</f>
        <v>1.696</v>
      </c>
      <c r="P52" s="1314">
        <f>P44/P45</f>
        <v>0.52500000000000002</v>
      </c>
      <c r="Q52" s="219"/>
      <c r="R52" s="211"/>
      <c r="S52" s="211"/>
      <c r="T52" s="211"/>
      <c r="U52" s="211"/>
      <c r="V52" s="211"/>
      <c r="W52" s="211"/>
      <c r="X52" s="211"/>
    </row>
    <row r="53" spans="14:24" ht="15.6" x14ac:dyDescent="0.3">
      <c r="N53" s="2805" t="s">
        <v>3044</v>
      </c>
      <c r="O53" s="2805"/>
      <c r="P53" s="2805"/>
      <c r="Q53" s="2805"/>
      <c r="R53" s="211"/>
      <c r="S53" s="211"/>
      <c r="T53" s="211"/>
      <c r="U53" s="211"/>
      <c r="V53" s="211"/>
      <c r="W53" s="211"/>
      <c r="X53" s="211"/>
    </row>
    <row r="54" spans="14:24" ht="15.6" x14ac:dyDescent="0.3">
      <c r="N54" s="2805"/>
      <c r="O54" s="2805"/>
      <c r="P54" s="2805"/>
      <c r="Q54" s="2805"/>
      <c r="R54" s="211"/>
      <c r="S54" s="211"/>
      <c r="T54" s="211"/>
      <c r="U54" s="211"/>
      <c r="V54" s="211"/>
      <c r="W54" s="211"/>
      <c r="X54" s="211"/>
    </row>
    <row r="55" spans="14:24" ht="15.6" x14ac:dyDescent="0.3">
      <c r="N55" s="211"/>
      <c r="O55" s="211"/>
      <c r="P55" s="211"/>
      <c r="Q55" s="211"/>
      <c r="R55" s="211"/>
      <c r="S55" s="211"/>
      <c r="T55" s="211"/>
      <c r="U55" s="211"/>
      <c r="V55" s="211"/>
      <c r="W55" s="211"/>
      <c r="X55" s="211"/>
    </row>
    <row r="56" spans="14:24" ht="15.6" x14ac:dyDescent="0.3">
      <c r="N56" s="211"/>
      <c r="O56" s="211"/>
      <c r="P56" s="211"/>
      <c r="Q56" s="211"/>
      <c r="R56" s="211"/>
      <c r="S56" s="211"/>
      <c r="T56" s="211"/>
      <c r="U56" s="211"/>
      <c r="V56" s="211"/>
      <c r="W56" s="211"/>
      <c r="X56" s="211"/>
    </row>
    <row r="57" spans="14:24" ht="15.6" x14ac:dyDescent="0.3">
      <c r="Q57" s="211"/>
      <c r="R57" s="211"/>
      <c r="S57" s="211"/>
      <c r="T57" s="211"/>
      <c r="U57" s="211"/>
      <c r="V57" s="211"/>
      <c r="W57" s="211"/>
      <c r="X57" s="211"/>
    </row>
    <row r="58" spans="14:24" ht="15.6" x14ac:dyDescent="0.3">
      <c r="Q58" s="211"/>
      <c r="R58" s="211"/>
      <c r="S58" s="211"/>
      <c r="T58" s="211"/>
      <c r="U58" s="211"/>
      <c r="V58" s="211"/>
      <c r="W58" s="211"/>
      <c r="X58" s="211"/>
    </row>
    <row r="59" spans="14:24" ht="15.6" x14ac:dyDescent="0.3">
      <c r="N59" s="211"/>
      <c r="O59" s="211"/>
      <c r="P59" s="211"/>
      <c r="Q59" s="211"/>
      <c r="R59" s="211"/>
      <c r="S59" s="211"/>
      <c r="T59" s="211"/>
      <c r="U59" s="211"/>
      <c r="V59" s="211"/>
      <c r="W59" s="211"/>
      <c r="X59" s="211"/>
    </row>
    <row r="60" spans="14:24" ht="15.6" x14ac:dyDescent="0.3">
      <c r="N60" s="211"/>
      <c r="O60" s="211"/>
      <c r="P60" s="211"/>
      <c r="Q60" s="211"/>
      <c r="R60" s="211"/>
      <c r="S60" s="211"/>
      <c r="T60" s="211"/>
      <c r="U60" s="211"/>
      <c r="V60" s="211"/>
      <c r="W60" s="211"/>
      <c r="X60" s="211"/>
    </row>
    <row r="61" spans="14:24" ht="15.6" x14ac:dyDescent="0.3">
      <c r="N61" s="211"/>
      <c r="O61" s="211"/>
      <c r="P61" s="211"/>
      <c r="Q61" s="211"/>
      <c r="R61" s="211"/>
      <c r="S61" s="211"/>
      <c r="T61" s="211"/>
      <c r="U61" s="211"/>
      <c r="V61" s="211"/>
      <c r="W61" s="211"/>
      <c r="X61" s="211"/>
    </row>
    <row r="62" spans="14:24" ht="15.6" x14ac:dyDescent="0.3">
      <c r="N62" s="211"/>
      <c r="O62" s="211"/>
      <c r="P62" s="211"/>
      <c r="Q62" s="211"/>
      <c r="R62" s="211"/>
      <c r="S62" s="211"/>
      <c r="T62" s="211"/>
      <c r="U62" s="211"/>
      <c r="V62" s="211"/>
      <c r="W62" s="211"/>
      <c r="X62" s="211"/>
    </row>
    <row r="63" spans="14:24" ht="15.6" x14ac:dyDescent="0.3">
      <c r="N63" s="211"/>
      <c r="O63" s="211"/>
      <c r="P63" s="211"/>
      <c r="Q63" s="211"/>
      <c r="R63" s="211"/>
      <c r="S63" s="211"/>
      <c r="T63" s="211"/>
      <c r="U63" s="211"/>
      <c r="V63" s="211"/>
      <c r="W63" s="211"/>
      <c r="X63" s="211"/>
    </row>
    <row r="64" spans="14:24" ht="15.6" x14ac:dyDescent="0.3">
      <c r="N64" s="211"/>
      <c r="O64" s="211"/>
      <c r="P64" s="211"/>
      <c r="Q64" s="211"/>
      <c r="R64" s="211"/>
      <c r="S64" s="211"/>
      <c r="T64" s="211"/>
      <c r="U64" s="211"/>
      <c r="V64" s="211"/>
      <c r="W64" s="211"/>
      <c r="X64" s="211"/>
    </row>
    <row r="65" spans="14:24" ht="15.6" x14ac:dyDescent="0.3">
      <c r="N65" s="211"/>
      <c r="O65" s="211"/>
      <c r="P65" s="211"/>
      <c r="Q65" s="211"/>
      <c r="R65" s="211"/>
      <c r="S65" s="211"/>
      <c r="T65" s="211"/>
      <c r="U65" s="211"/>
      <c r="V65" s="211"/>
      <c r="W65" s="211"/>
      <c r="X65" s="211"/>
    </row>
    <row r="66" spans="14:24" ht="15.6" x14ac:dyDescent="0.3">
      <c r="N66" s="211"/>
      <c r="O66" s="211"/>
      <c r="P66" s="211"/>
      <c r="Q66" s="211"/>
      <c r="R66" s="211"/>
      <c r="S66" s="211"/>
      <c r="T66" s="211"/>
      <c r="U66" s="211"/>
      <c r="V66" s="211"/>
      <c r="W66" s="211"/>
      <c r="X66" s="211"/>
    </row>
    <row r="67" spans="14:24" ht="15.6" x14ac:dyDescent="0.3">
      <c r="N67" s="211"/>
      <c r="O67" s="211"/>
      <c r="P67" s="211"/>
      <c r="Q67" s="211"/>
      <c r="R67" s="211"/>
      <c r="S67" s="211"/>
      <c r="T67" s="211"/>
      <c r="U67" s="211"/>
      <c r="V67" s="211"/>
      <c r="W67" s="211"/>
      <c r="X67" s="211"/>
    </row>
    <row r="68" spans="14:24" ht="15.6" x14ac:dyDescent="0.3">
      <c r="N68" s="211"/>
      <c r="O68" s="211"/>
      <c r="P68" s="211"/>
      <c r="Q68" s="211"/>
      <c r="R68" s="211"/>
      <c r="S68" s="211"/>
      <c r="T68" s="211"/>
      <c r="U68" s="211"/>
      <c r="V68" s="211"/>
      <c r="W68" s="211"/>
      <c r="X68" s="211"/>
    </row>
    <row r="69" spans="14:24" ht="15.6" x14ac:dyDescent="0.3">
      <c r="N69" s="211"/>
      <c r="O69" s="211"/>
      <c r="P69" s="211"/>
      <c r="Q69" s="211"/>
      <c r="R69" s="211"/>
      <c r="S69" s="211"/>
      <c r="T69" s="211"/>
      <c r="U69" s="211"/>
      <c r="V69" s="211"/>
      <c r="W69" s="211"/>
      <c r="X69" s="211"/>
    </row>
    <row r="70" spans="14:24" ht="15.6" x14ac:dyDescent="0.3">
      <c r="N70" s="211"/>
      <c r="O70" s="211"/>
      <c r="P70" s="211"/>
      <c r="Q70" s="211"/>
      <c r="R70" s="211"/>
      <c r="S70" s="211"/>
      <c r="T70" s="211"/>
      <c r="U70" s="211"/>
      <c r="V70" s="211"/>
      <c r="W70" s="211"/>
      <c r="X70" s="211"/>
    </row>
    <row r="71" spans="14:24" ht="15.6" x14ac:dyDescent="0.3">
      <c r="N71" s="211"/>
      <c r="O71" s="211"/>
      <c r="P71" s="211"/>
      <c r="Q71" s="211"/>
      <c r="R71" s="211"/>
      <c r="S71" s="211"/>
      <c r="T71" s="211"/>
      <c r="U71" s="211"/>
      <c r="V71" s="211"/>
      <c r="W71" s="211"/>
      <c r="X71" s="211"/>
    </row>
    <row r="72" spans="14:24" ht="15.6" x14ac:dyDescent="0.3">
      <c r="N72" s="211"/>
      <c r="O72" s="211"/>
      <c r="P72" s="211"/>
      <c r="Q72" s="211"/>
      <c r="R72" s="211"/>
      <c r="S72" s="211"/>
      <c r="T72" s="211"/>
      <c r="U72" s="211"/>
      <c r="V72" s="211"/>
      <c r="W72" s="211"/>
      <c r="X72" s="211"/>
    </row>
    <row r="73" spans="14:24" ht="15.6" x14ac:dyDescent="0.3">
      <c r="N73" s="211"/>
      <c r="O73" s="211"/>
      <c r="P73" s="211"/>
      <c r="Q73" s="211"/>
      <c r="R73" s="211"/>
      <c r="S73" s="211"/>
      <c r="T73" s="211"/>
      <c r="U73" s="211"/>
      <c r="V73" s="211"/>
      <c r="W73" s="211"/>
      <c r="X73" s="211"/>
    </row>
    <row r="74" spans="14:24" ht="15.6" x14ac:dyDescent="0.3">
      <c r="N74" s="211"/>
      <c r="O74" s="211"/>
      <c r="P74" s="211"/>
      <c r="Q74" s="211"/>
      <c r="R74" s="211"/>
      <c r="S74" s="211"/>
      <c r="T74" s="211"/>
      <c r="U74" s="211"/>
      <c r="V74" s="211"/>
      <c r="W74" s="211"/>
      <c r="X74" s="211"/>
    </row>
    <row r="75" spans="14:24" ht="15.6" x14ac:dyDescent="0.3">
      <c r="N75" s="211"/>
      <c r="O75" s="211"/>
      <c r="P75" s="211"/>
      <c r="Q75" s="211"/>
      <c r="R75" s="211"/>
      <c r="S75" s="211"/>
      <c r="T75" s="211"/>
      <c r="U75" s="211"/>
      <c r="V75" s="211"/>
      <c r="W75" s="211"/>
      <c r="X75" s="211"/>
    </row>
  </sheetData>
  <mergeCells count="4">
    <mergeCell ref="A29:G29"/>
    <mergeCell ref="N53:Q54"/>
    <mergeCell ref="A28:G28"/>
    <mergeCell ref="A3:G4"/>
  </mergeCells>
  <pageMargins left="0.7" right="0.7" top="0.75" bottom="0.75" header="0.3" footer="0.3"/>
  <pageSetup orientation="portrait" r:id="rId1"/>
  <ignoredErrors>
    <ignoredError sqref="B9:J9" formulaRange="1"/>
  </ignoredErrors>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74135-0308-4A0D-A5A6-5A4578B10ABD}">
  <sheetPr codeName="Sheet33">
    <tabColor theme="4"/>
  </sheetPr>
  <dimension ref="A1:L76"/>
  <sheetViews>
    <sheetView showGridLines="0" topLeftCell="A43" zoomScale="115" zoomScaleNormal="115" workbookViewId="0">
      <selection activeCell="K59" sqref="K59"/>
    </sheetView>
  </sheetViews>
  <sheetFormatPr defaultColWidth="8.6640625" defaultRowHeight="15.6" x14ac:dyDescent="0.3"/>
  <cols>
    <col min="1" max="1" width="36.5546875" style="211" customWidth="1"/>
    <col min="2" max="2" width="11.109375" style="211" customWidth="1"/>
    <col min="3" max="3" width="8.88671875" style="211" bestFit="1" customWidth="1"/>
    <col min="4" max="4" width="9.33203125" style="211" customWidth="1"/>
    <col min="5" max="5" width="9.33203125" style="211" bestFit="1" customWidth="1"/>
    <col min="6" max="6" width="8.88671875" style="211" bestFit="1" customWidth="1"/>
    <col min="7" max="8" width="8.6640625" style="211"/>
    <col min="9" max="9" width="8.88671875" style="211" bestFit="1" customWidth="1"/>
    <col min="10" max="10" width="17.88671875" style="211" customWidth="1"/>
    <col min="11" max="11" width="12.109375" style="211" bestFit="1" customWidth="1"/>
    <col min="12" max="12" width="11.33203125" style="211" bestFit="1" customWidth="1"/>
    <col min="13" max="16384" width="8.6640625" style="211"/>
  </cols>
  <sheetData>
    <row r="1" spans="1:2" x14ac:dyDescent="0.3">
      <c r="A1" s="211" t="s">
        <v>783</v>
      </c>
      <c r="B1" s="252">
        <v>22.138999999999999</v>
      </c>
    </row>
    <row r="2" spans="1:2" x14ac:dyDescent="0.3">
      <c r="A2" s="211" t="s">
        <v>778</v>
      </c>
      <c r="B2" s="230">
        <v>64.438000000000002</v>
      </c>
    </row>
    <row r="3" spans="1:2" x14ac:dyDescent="0.3">
      <c r="A3" s="211" t="s">
        <v>1</v>
      </c>
      <c r="B3" s="230">
        <v>-0.10199999999999999</v>
      </c>
    </row>
    <row r="4" spans="1:2" x14ac:dyDescent="0.3">
      <c r="A4" s="211" t="s">
        <v>779</v>
      </c>
      <c r="B4" s="230">
        <v>-2.4550000000000001</v>
      </c>
    </row>
    <row r="5" spans="1:2" x14ac:dyDescent="0.3">
      <c r="A5" s="211" t="s">
        <v>780</v>
      </c>
      <c r="B5" s="230">
        <v>-0.3</v>
      </c>
    </row>
    <row r="6" spans="1:2" x14ac:dyDescent="0.3">
      <c r="A6" s="211" t="s">
        <v>781</v>
      </c>
      <c r="B6" s="230">
        <v>4.4779999999999998</v>
      </c>
    </row>
    <row r="7" spans="1:2" x14ac:dyDescent="0.3">
      <c r="A7" s="211" t="s">
        <v>782</v>
      </c>
      <c r="B7" s="277">
        <f>SUM(B1:B6)</f>
        <v>88.197999999999993</v>
      </c>
    </row>
    <row r="9" spans="1:2" x14ac:dyDescent="0.3">
      <c r="A9" s="211" t="s">
        <v>782</v>
      </c>
      <c r="B9" s="252">
        <v>88</v>
      </c>
    </row>
    <row r="10" spans="1:2" x14ac:dyDescent="0.3">
      <c r="A10" s="211" t="s">
        <v>493</v>
      </c>
      <c r="B10" s="230">
        <v>565</v>
      </c>
    </row>
    <row r="11" spans="1:2" x14ac:dyDescent="0.3">
      <c r="A11" s="211" t="s">
        <v>784</v>
      </c>
      <c r="B11" s="230">
        <v>486</v>
      </c>
    </row>
    <row r="12" spans="1:2" x14ac:dyDescent="0.3">
      <c r="A12" s="211" t="s">
        <v>785</v>
      </c>
      <c r="B12" s="230">
        <v>133</v>
      </c>
    </row>
    <row r="13" spans="1:2" x14ac:dyDescent="0.3">
      <c r="A13" s="211" t="s">
        <v>786</v>
      </c>
      <c r="B13" s="252">
        <f>SUM(B9:B12)</f>
        <v>1272</v>
      </c>
    </row>
    <row r="16" spans="1:2" x14ac:dyDescent="0.3">
      <c r="A16" s="211" t="s">
        <v>786</v>
      </c>
      <c r="B16" s="252">
        <v>1271.761</v>
      </c>
    </row>
    <row r="17" spans="1:12" x14ac:dyDescent="0.3">
      <c r="A17" s="211" t="s">
        <v>809</v>
      </c>
      <c r="B17" s="230">
        <v>4223.68</v>
      </c>
    </row>
    <row r="18" spans="1:12" x14ac:dyDescent="0.3">
      <c r="A18" s="211" t="s">
        <v>810</v>
      </c>
      <c r="B18" s="230">
        <v>433.03199999999998</v>
      </c>
    </row>
    <row r="19" spans="1:12" x14ac:dyDescent="0.3">
      <c r="A19" s="211" t="s">
        <v>720</v>
      </c>
      <c r="B19" s="230">
        <v>70.355000000000004</v>
      </c>
    </row>
    <row r="20" spans="1:12" x14ac:dyDescent="0.3">
      <c r="A20" s="211" t="s">
        <v>816</v>
      </c>
      <c r="B20" s="230">
        <v>171.77500000000001</v>
      </c>
    </row>
    <row r="21" spans="1:12" x14ac:dyDescent="0.3">
      <c r="A21" s="211" t="s">
        <v>719</v>
      </c>
      <c r="B21" s="230">
        <v>-1.355</v>
      </c>
    </row>
    <row r="22" spans="1:12" x14ac:dyDescent="0.3">
      <c r="A22" s="211" t="s">
        <v>784</v>
      </c>
      <c r="B22" s="230">
        <v>5705.634</v>
      </c>
    </row>
    <row r="23" spans="1:12" x14ac:dyDescent="0.3">
      <c r="A23" s="211" t="s">
        <v>788</v>
      </c>
      <c r="B23" s="252">
        <f>SUM(B16:B22)</f>
        <v>11874.882000000001</v>
      </c>
    </row>
    <row r="25" spans="1:12" ht="16.2" thickBot="1" x14ac:dyDescent="0.35">
      <c r="I25" s="211" t="s">
        <v>814</v>
      </c>
    </row>
    <row r="26" spans="1:12" x14ac:dyDescent="0.3">
      <c r="A26" s="225" t="s">
        <v>811</v>
      </c>
      <c r="B26" s="389"/>
    </row>
    <row r="27" spans="1:12" x14ac:dyDescent="0.3">
      <c r="A27" s="213" t="s">
        <v>789</v>
      </c>
      <c r="B27" s="1395">
        <f>B1</f>
        <v>22.138999999999999</v>
      </c>
    </row>
    <row r="28" spans="1:12" x14ac:dyDescent="0.3">
      <c r="A28" s="214" t="s">
        <v>812</v>
      </c>
      <c r="B28" s="1152">
        <f>B2+B10+B17-B29</f>
        <v>3292.0180000000005</v>
      </c>
      <c r="I28" s="211" t="s">
        <v>793</v>
      </c>
    </row>
    <row r="29" spans="1:12" x14ac:dyDescent="0.3">
      <c r="A29" s="214" t="s">
        <v>815</v>
      </c>
      <c r="B29" s="260">
        <v>1561.1</v>
      </c>
      <c r="I29" s="211" t="s">
        <v>792</v>
      </c>
      <c r="J29" s="230">
        <f>SUM('3. Financials'!C86:L86)</f>
        <v>7312528</v>
      </c>
      <c r="K29" s="1018">
        <v>7.3129999999999997</v>
      </c>
      <c r="L29" s="320">
        <f>K29</f>
        <v>7.3129999999999997</v>
      </c>
    </row>
    <row r="30" spans="1:12" x14ac:dyDescent="0.3">
      <c r="A30" s="214" t="s">
        <v>784</v>
      </c>
      <c r="B30" s="1152">
        <f>B11+B22+B20</f>
        <v>6363.4089999999997</v>
      </c>
      <c r="I30" s="211" t="s">
        <v>794</v>
      </c>
      <c r="J30" s="230">
        <f>SUM('4. Financials'!B144:D144,'4. Financials'!G144:J145,'4. Financials'!K141,'4. Financials'!N141:O141)</f>
        <v>199471557</v>
      </c>
      <c r="K30" s="211">
        <v>199.5</v>
      </c>
      <c r="L30" s="320">
        <f>K30</f>
        <v>199.5</v>
      </c>
    </row>
    <row r="31" spans="1:12" x14ac:dyDescent="0.3">
      <c r="A31" s="214" t="s">
        <v>790</v>
      </c>
      <c r="B31" s="1152">
        <f>B18+B12</f>
        <v>566.03199999999993</v>
      </c>
      <c r="I31" s="211">
        <v>1985</v>
      </c>
      <c r="J31" s="230">
        <v>325237000</v>
      </c>
      <c r="K31" s="1043">
        <f>J31/1000000</f>
        <v>325.23700000000002</v>
      </c>
      <c r="L31" s="320"/>
    </row>
    <row r="32" spans="1:12" x14ac:dyDescent="0.3">
      <c r="A32" s="214" t="s">
        <v>791</v>
      </c>
      <c r="B32" s="1152">
        <f>B21+B3+B4+B19</f>
        <v>66.442999999999998</v>
      </c>
      <c r="C32" s="211" t="s">
        <v>817</v>
      </c>
      <c r="I32" s="211">
        <v>1986</v>
      </c>
      <c r="J32" s="230">
        <v>150897000</v>
      </c>
      <c r="K32" s="1043">
        <f t="shared" ref="K32:K40" si="0">J32/1000000</f>
        <v>150.89699999999999</v>
      </c>
      <c r="L32" s="320"/>
    </row>
    <row r="33" spans="1:12" x14ac:dyDescent="0.3">
      <c r="A33" s="214" t="s">
        <v>279</v>
      </c>
      <c r="B33" s="1152">
        <f>B6</f>
        <v>4.4779999999999998</v>
      </c>
      <c r="I33" s="211">
        <v>1987</v>
      </c>
      <c r="J33" s="230">
        <v>19806000</v>
      </c>
      <c r="K33" s="1043">
        <f t="shared" si="0"/>
        <v>19.806000000000001</v>
      </c>
      <c r="L33" s="320"/>
    </row>
    <row r="34" spans="1:12" ht="16.2" thickBot="1" x14ac:dyDescent="0.35">
      <c r="A34" s="213" t="s">
        <v>813</v>
      </c>
      <c r="B34" s="1396">
        <f>SUM(B27:B33)-1</f>
        <v>11874.618999999999</v>
      </c>
      <c r="I34" s="211">
        <v>1988</v>
      </c>
      <c r="J34" s="230">
        <v>85829000</v>
      </c>
      <c r="K34" s="1043">
        <f t="shared" si="0"/>
        <v>85.828999999999994</v>
      </c>
      <c r="L34" s="320"/>
    </row>
    <row r="35" spans="1:12" ht="16.8" thickTop="1" thickBot="1" x14ac:dyDescent="0.35">
      <c r="A35" s="217" t="s">
        <v>797</v>
      </c>
      <c r="B35" s="219"/>
      <c r="I35" s="211">
        <v>1989</v>
      </c>
      <c r="J35" s="230">
        <v>147575000</v>
      </c>
      <c r="K35" s="1043">
        <f t="shared" si="0"/>
        <v>147.57499999999999</v>
      </c>
      <c r="L35" s="320"/>
    </row>
    <row r="36" spans="1:12" x14ac:dyDescent="0.3">
      <c r="A36" s="320"/>
      <c r="I36" s="211">
        <v>1990</v>
      </c>
      <c r="J36" s="230">
        <v>23348000</v>
      </c>
      <c r="K36" s="1043">
        <f t="shared" si="0"/>
        <v>23.347999999999999</v>
      </c>
      <c r="L36" s="320"/>
    </row>
    <row r="37" spans="1:12" x14ac:dyDescent="0.3">
      <c r="A37" s="320"/>
      <c r="I37" s="211">
        <v>1991</v>
      </c>
      <c r="J37" s="230">
        <v>124155000</v>
      </c>
      <c r="K37" s="1043">
        <f t="shared" si="0"/>
        <v>124.155</v>
      </c>
      <c r="L37" s="320"/>
    </row>
    <row r="38" spans="1:12" x14ac:dyDescent="0.3">
      <c r="A38" s="320"/>
      <c r="I38" s="211">
        <v>1992</v>
      </c>
      <c r="J38" s="230">
        <v>59559000</v>
      </c>
      <c r="K38" s="1043">
        <f t="shared" si="0"/>
        <v>59.558999999999997</v>
      </c>
      <c r="L38" s="320"/>
    </row>
    <row r="39" spans="1:12" x14ac:dyDescent="0.3">
      <c r="A39" s="320"/>
      <c r="I39" s="211">
        <v>1993</v>
      </c>
      <c r="J39" s="230">
        <v>356702000</v>
      </c>
      <c r="K39" s="1043">
        <f t="shared" si="0"/>
        <v>356.702</v>
      </c>
      <c r="L39" s="320"/>
    </row>
    <row r="40" spans="1:12" x14ac:dyDescent="0.3">
      <c r="I40" s="211">
        <v>1994</v>
      </c>
      <c r="J40" s="230">
        <v>61139000</v>
      </c>
      <c r="K40" s="1043">
        <f t="shared" si="0"/>
        <v>61.139000000000003</v>
      </c>
      <c r="L40" s="1399">
        <f>SUM(K31:K40)</f>
        <v>1354.2469999999998</v>
      </c>
    </row>
    <row r="41" spans="1:12" x14ac:dyDescent="0.3">
      <c r="I41" s="152" t="s">
        <v>3</v>
      </c>
      <c r="J41" s="1400">
        <f>SUM(J29:J40)</f>
        <v>1561031085</v>
      </c>
      <c r="K41" s="1401">
        <f>SUM(K29:K40)</f>
        <v>1561.0599999999997</v>
      </c>
    </row>
    <row r="42" spans="1:12" x14ac:dyDescent="0.3">
      <c r="A42" s="459" t="s">
        <v>1522</v>
      </c>
      <c r="I42" s="152"/>
      <c r="J42" s="1400"/>
      <c r="K42" s="1401"/>
    </row>
    <row r="43" spans="1:12" x14ac:dyDescent="0.3">
      <c r="A43" s="152" t="s">
        <v>1583</v>
      </c>
      <c r="I43" s="152"/>
      <c r="J43" s="1400"/>
      <c r="K43" s="1401"/>
    </row>
    <row r="44" spans="1:12" ht="8.25" customHeight="1" thickBot="1" x14ac:dyDescent="0.35">
      <c r="I44" s="152"/>
      <c r="J44" s="1400"/>
      <c r="K44" s="1401"/>
    </row>
    <row r="45" spans="1:12" x14ac:dyDescent="0.3">
      <c r="A45" s="212" t="s">
        <v>1250</v>
      </c>
      <c r="B45" s="470" t="s">
        <v>1579</v>
      </c>
      <c r="C45" s="470" t="s">
        <v>1580</v>
      </c>
      <c r="D45" s="471" t="s">
        <v>1584</v>
      </c>
      <c r="E45" s="1425" t="s">
        <v>1585</v>
      </c>
      <c r="F45" s="1549" t="s">
        <v>820</v>
      </c>
    </row>
    <row r="46" spans="1:12" x14ac:dyDescent="0.3">
      <c r="A46" s="214" t="s">
        <v>798</v>
      </c>
      <c r="B46" s="1550">
        <f>B27</f>
        <v>22.138999999999999</v>
      </c>
      <c r="C46" s="1550">
        <f>B53</f>
        <v>88.498019999999997</v>
      </c>
      <c r="D46" s="1551">
        <f>C53</f>
        <v>1272.49802</v>
      </c>
      <c r="E46" s="1552">
        <f>B46</f>
        <v>22.138999999999999</v>
      </c>
      <c r="F46" s="1549"/>
    </row>
    <row r="47" spans="1:12" x14ac:dyDescent="0.3">
      <c r="A47" s="214" t="s">
        <v>799</v>
      </c>
      <c r="B47" s="922">
        <f>B2-K29</f>
        <v>57.125</v>
      </c>
      <c r="C47" s="926">
        <f>B10-C48</f>
        <v>365.53</v>
      </c>
      <c r="D47" s="923">
        <f>B17-D48</f>
        <v>2869.4330000000004</v>
      </c>
      <c r="E47" s="1553">
        <f t="shared" ref="E47:E52" si="1">B28</f>
        <v>3292.0180000000005</v>
      </c>
      <c r="F47" s="1554">
        <f>SUM(B47:D47)</f>
        <v>3292.0880000000006</v>
      </c>
    </row>
    <row r="48" spans="1:12" x14ac:dyDescent="0.3">
      <c r="A48" s="214" t="s">
        <v>800</v>
      </c>
      <c r="B48" s="922">
        <f>K29</f>
        <v>7.3129999999999997</v>
      </c>
      <c r="C48" s="922">
        <v>199.47</v>
      </c>
      <c r="D48" s="923">
        <f>L40</f>
        <v>1354.2469999999998</v>
      </c>
      <c r="E48" s="1553">
        <f t="shared" si="1"/>
        <v>1561.1</v>
      </c>
      <c r="F48" s="1554">
        <f>SUM(B48:D48)</f>
        <v>1561.0299999999997</v>
      </c>
    </row>
    <row r="49" spans="1:11" x14ac:dyDescent="0.3">
      <c r="A49" s="214" t="s">
        <v>784</v>
      </c>
      <c r="B49" s="922">
        <v>1.0000000000000001E-5</v>
      </c>
      <c r="C49" s="926">
        <f>B11</f>
        <v>486</v>
      </c>
      <c r="D49" s="923">
        <f>B22+B20</f>
        <v>5877.4089999999997</v>
      </c>
      <c r="E49" s="1553">
        <f t="shared" si="1"/>
        <v>6363.4089999999997</v>
      </c>
      <c r="F49" s="1554">
        <f t="shared" ref="F49:F52" si="2">SUM(B49:D49)</f>
        <v>6363.4090099999994</v>
      </c>
      <c r="G49" s="211" t="s">
        <v>802</v>
      </c>
    </row>
    <row r="50" spans="1:11" x14ac:dyDescent="0.3">
      <c r="A50" s="214" t="s">
        <v>790</v>
      </c>
      <c r="B50" s="922">
        <v>1.0000000000000001E-5</v>
      </c>
      <c r="C50" s="926">
        <f>B12</f>
        <v>133</v>
      </c>
      <c r="D50" s="923">
        <f>B18</f>
        <v>433.03199999999998</v>
      </c>
      <c r="E50" s="1553">
        <f t="shared" si="1"/>
        <v>566.03199999999993</v>
      </c>
      <c r="F50" s="1554">
        <f t="shared" si="2"/>
        <v>566.03201000000001</v>
      </c>
    </row>
    <row r="51" spans="1:11" x14ac:dyDescent="0.3">
      <c r="A51" s="214" t="s">
        <v>791</v>
      </c>
      <c r="B51" s="922">
        <f>B3+B4</f>
        <v>-2.5569999999999999</v>
      </c>
      <c r="C51" s="926">
        <v>0</v>
      </c>
      <c r="D51" s="923">
        <f>B21+B19</f>
        <v>69</v>
      </c>
      <c r="E51" s="1553">
        <f t="shared" si="1"/>
        <v>66.442999999999998</v>
      </c>
      <c r="F51" s="1554">
        <f t="shared" si="2"/>
        <v>66.442999999999998</v>
      </c>
    </row>
    <row r="52" spans="1:11" x14ac:dyDescent="0.3">
      <c r="A52" s="214" t="s">
        <v>279</v>
      </c>
      <c r="B52" s="922">
        <f>B6</f>
        <v>4.4779999999999998</v>
      </c>
      <c r="C52" s="926">
        <v>0</v>
      </c>
      <c r="D52" s="923">
        <v>9.9999999999999995E-7</v>
      </c>
      <c r="E52" s="1553">
        <f t="shared" si="1"/>
        <v>4.4779999999999998</v>
      </c>
      <c r="F52" s="1554">
        <f t="shared" si="2"/>
        <v>4.4780009999999999</v>
      </c>
    </row>
    <row r="53" spans="1:11" ht="16.2" thickBot="1" x14ac:dyDescent="0.35">
      <c r="A53" s="214" t="s">
        <v>801</v>
      </c>
      <c r="B53" s="1555">
        <f>SUM(B46:B52)</f>
        <v>88.498019999999997</v>
      </c>
      <c r="C53" s="1555">
        <f>SUM(C46:C52)</f>
        <v>1272.49802</v>
      </c>
      <c r="D53" s="1546">
        <f>SUM(D46:D52)-1</f>
        <v>11874.619020999999</v>
      </c>
      <c r="E53" s="1556">
        <f>D53</f>
        <v>11874.619020999999</v>
      </c>
    </row>
    <row r="54" spans="1:11" ht="16.2" thickTop="1" x14ac:dyDescent="0.3">
      <c r="A54" s="214"/>
      <c r="B54" s="220"/>
      <c r="C54" s="220"/>
      <c r="D54" s="220"/>
      <c r="E54" s="223"/>
    </row>
    <row r="55" spans="1:11" x14ac:dyDescent="0.3">
      <c r="A55" s="214" t="s">
        <v>803</v>
      </c>
      <c r="B55" s="1550">
        <f>B53-B46</f>
        <v>66.359020000000001</v>
      </c>
      <c r="C55" s="1550">
        <f>C53-C46</f>
        <v>1184</v>
      </c>
      <c r="D55" s="1550">
        <f>D53-D46</f>
        <v>10602.121001</v>
      </c>
      <c r="E55" s="1551">
        <f>E53-E46</f>
        <v>11852.480020999999</v>
      </c>
    </row>
    <row r="56" spans="1:11" ht="8.25" customHeight="1" x14ac:dyDescent="0.3">
      <c r="A56" s="214"/>
      <c r="B56" s="1550"/>
      <c r="C56" s="1550"/>
      <c r="D56" s="1550"/>
      <c r="E56" s="1551"/>
    </row>
    <row r="57" spans="1:11" ht="16.2" thickBot="1" x14ac:dyDescent="0.35">
      <c r="A57" s="9" t="s">
        <v>1858</v>
      </c>
      <c r="B57" s="1557"/>
      <c r="C57" s="1557"/>
      <c r="D57" s="1557"/>
      <c r="E57" s="1548"/>
    </row>
    <row r="58" spans="1:11" x14ac:dyDescent="0.3">
      <c r="A58" s="12" t="s">
        <v>1893</v>
      </c>
      <c r="B58" s="1558"/>
      <c r="C58" s="1558"/>
      <c r="D58" s="1558"/>
      <c r="E58" s="1558"/>
    </row>
    <row r="59" spans="1:11" x14ac:dyDescent="0.3">
      <c r="B59" s="1558"/>
      <c r="C59" s="1558"/>
      <c r="D59" s="1558"/>
      <c r="E59" s="1558"/>
      <c r="H59" s="211" t="s">
        <v>176</v>
      </c>
    </row>
    <row r="60" spans="1:11" x14ac:dyDescent="0.3">
      <c r="B60" s="1558"/>
      <c r="C60" s="1558"/>
      <c r="D60" s="1558"/>
      <c r="E60" s="1558"/>
    </row>
    <row r="62" spans="1:11" x14ac:dyDescent="0.3">
      <c r="A62" s="152"/>
    </row>
    <row r="63" spans="1:11" x14ac:dyDescent="0.3">
      <c r="A63" s="459" t="s">
        <v>1522</v>
      </c>
      <c r="I63" s="152"/>
      <c r="J63" s="1400"/>
      <c r="K63" s="1401"/>
    </row>
    <row r="64" spans="1:11" x14ac:dyDescent="0.3">
      <c r="A64" s="152" t="s">
        <v>1352</v>
      </c>
      <c r="I64" s="152"/>
      <c r="J64" s="1400"/>
      <c r="K64" s="1401"/>
    </row>
    <row r="65" spans="1:11" ht="6.6" customHeight="1" thickBot="1" x14ac:dyDescent="0.35">
      <c r="I65" s="152"/>
      <c r="J65" s="1400"/>
      <c r="K65" s="1401"/>
    </row>
    <row r="66" spans="1:11" x14ac:dyDescent="0.3">
      <c r="A66" s="212"/>
      <c r="B66" s="470" t="s">
        <v>792</v>
      </c>
      <c r="C66" s="470" t="s">
        <v>794</v>
      </c>
      <c r="D66" s="1424" t="s">
        <v>818</v>
      </c>
      <c r="E66" s="1425" t="s">
        <v>819</v>
      </c>
    </row>
    <row r="67" spans="1:11" x14ac:dyDescent="0.3">
      <c r="A67" s="214" t="s">
        <v>799</v>
      </c>
      <c r="B67" s="1867">
        <f t="shared" ref="B67:E72" si="3">B47/B$55</f>
        <v>0.86084755320376938</v>
      </c>
      <c r="C67" s="1867">
        <f t="shared" si="3"/>
        <v>0.30872466216216216</v>
      </c>
      <c r="D67" s="1875">
        <f t="shared" si="3"/>
        <v>0.27064707144253053</v>
      </c>
      <c r="E67" s="1869">
        <f t="shared" si="3"/>
        <v>0.27774929754509314</v>
      </c>
    </row>
    <row r="68" spans="1:11" x14ac:dyDescent="0.3">
      <c r="A68" s="214" t="s">
        <v>800</v>
      </c>
      <c r="B68" s="1867">
        <f t="shared" si="3"/>
        <v>0.11020355635149524</v>
      </c>
      <c r="C68" s="1867">
        <f t="shared" si="3"/>
        <v>0.16847128378378379</v>
      </c>
      <c r="D68" s="1875">
        <f t="shared" si="3"/>
        <v>0.12773359216257449</v>
      </c>
      <c r="E68" s="1869">
        <f t="shared" si="3"/>
        <v>0.13171083159255045</v>
      </c>
    </row>
    <row r="69" spans="1:11" x14ac:dyDescent="0.3">
      <c r="A69" s="214" t="s">
        <v>784</v>
      </c>
      <c r="B69" s="1867">
        <f t="shared" si="3"/>
        <v>1.5069541412757452E-7</v>
      </c>
      <c r="C69" s="1867">
        <f t="shared" si="3"/>
        <v>0.41047297297297297</v>
      </c>
      <c r="D69" s="1875">
        <f t="shared" si="3"/>
        <v>0.55436162249474785</v>
      </c>
      <c r="E69" s="1869">
        <f t="shared" si="3"/>
        <v>0.53688417856224457</v>
      </c>
    </row>
    <row r="70" spans="1:11" x14ac:dyDescent="0.3">
      <c r="A70" s="214" t="s">
        <v>790</v>
      </c>
      <c r="B70" s="1867">
        <f t="shared" si="3"/>
        <v>1.5069541412757452E-7</v>
      </c>
      <c r="C70" s="1867">
        <f t="shared" si="3"/>
        <v>0.11233108108108109</v>
      </c>
      <c r="D70" s="1875">
        <f t="shared" si="3"/>
        <v>4.0843902834079716E-2</v>
      </c>
      <c r="E70" s="1869">
        <f t="shared" si="3"/>
        <v>4.7756418825183854E-2</v>
      </c>
      <c r="I70" s="211" t="s">
        <v>176</v>
      </c>
    </row>
    <row r="71" spans="1:11" x14ac:dyDescent="0.3">
      <c r="A71" s="214" t="s">
        <v>791</v>
      </c>
      <c r="B71" s="1867">
        <f t="shared" si="3"/>
        <v>-3.8532817392420801E-2</v>
      </c>
      <c r="C71" s="1867">
        <f t="shared" si="3"/>
        <v>0</v>
      </c>
      <c r="D71" s="1875">
        <f t="shared" si="3"/>
        <v>6.5081317213312199E-3</v>
      </c>
      <c r="E71" s="1869">
        <f t="shared" si="3"/>
        <v>5.6058310060238493E-3</v>
      </c>
    </row>
    <row r="72" spans="1:11" x14ac:dyDescent="0.3">
      <c r="A72" s="214" t="s">
        <v>279</v>
      </c>
      <c r="B72" s="1867">
        <f t="shared" si="3"/>
        <v>6.7481406446327871E-2</v>
      </c>
      <c r="C72" s="1867">
        <f t="shared" si="3"/>
        <v>0</v>
      </c>
      <c r="D72" s="1875">
        <f t="shared" si="3"/>
        <v>9.432074958451042E-11</v>
      </c>
      <c r="E72" s="1869">
        <f t="shared" si="3"/>
        <v>3.7781122533562297E-4</v>
      </c>
    </row>
    <row r="73" spans="1:11" ht="16.2" thickBot="1" x14ac:dyDescent="0.35">
      <c r="A73" s="214" t="s">
        <v>3</v>
      </c>
      <c r="B73" s="1870">
        <f>SUM(B67:B72)</f>
        <v>1</v>
      </c>
      <c r="C73" s="1870">
        <f t="shared" ref="C73:D73" si="4">SUM(C67:C72)</f>
        <v>1</v>
      </c>
      <c r="D73" s="1876">
        <f t="shared" si="4"/>
        <v>1.0000943207495845</v>
      </c>
      <c r="E73" s="1871">
        <f>SUM(E67:E72)</f>
        <v>1.0000843687564316</v>
      </c>
    </row>
    <row r="74" spans="1:11" ht="7.5" customHeight="1" thickTop="1" x14ac:dyDescent="0.3">
      <c r="A74" s="221"/>
      <c r="B74" s="220"/>
      <c r="C74" s="220"/>
      <c r="D74" s="220"/>
      <c r="E74" s="223"/>
    </row>
    <row r="75" spans="1:11" ht="16.2" thickBot="1" x14ac:dyDescent="0.35">
      <c r="A75" s="9" t="s">
        <v>1858</v>
      </c>
      <c r="B75" s="1557"/>
      <c r="C75" s="1557"/>
      <c r="D75" s="1557"/>
      <c r="E75" s="1548"/>
    </row>
    <row r="76" spans="1:11" x14ac:dyDescent="0.3">
      <c r="A76" s="12" t="s">
        <v>1893</v>
      </c>
      <c r="B76" s="1558"/>
      <c r="C76" s="1558"/>
      <c r="D76" s="1558"/>
      <c r="E76" s="1558"/>
    </row>
  </sheetData>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1FE0-FC8B-4F7C-B0FF-13BFE13D42F1}">
  <sheetPr codeName="Sheet3">
    <tabColor theme="4"/>
  </sheetPr>
  <dimension ref="A2:D15"/>
  <sheetViews>
    <sheetView workbookViewId="0">
      <selection activeCell="I26" sqref="I26"/>
    </sheetView>
  </sheetViews>
  <sheetFormatPr defaultColWidth="8.6640625" defaultRowHeight="13.8" x14ac:dyDescent="0.25"/>
  <cols>
    <col min="1" max="1" width="32" style="1" customWidth="1"/>
    <col min="2" max="2" width="26.88671875" style="1" bestFit="1" customWidth="1"/>
    <col min="3" max="3" width="14.5546875" style="1" bestFit="1" customWidth="1"/>
    <col min="4" max="4" width="12.5546875" style="1" customWidth="1"/>
    <col min="5" max="16384" width="8.6640625" style="1"/>
  </cols>
  <sheetData>
    <row r="2" spans="1:4" x14ac:dyDescent="0.25">
      <c r="A2" s="1">
        <v>1928</v>
      </c>
      <c r="B2" s="1" t="s">
        <v>654</v>
      </c>
      <c r="C2" s="1" t="s">
        <v>655</v>
      </c>
    </row>
    <row r="3" spans="1:4" x14ac:dyDescent="0.25">
      <c r="A3" s="1" t="s">
        <v>282</v>
      </c>
      <c r="B3" s="13">
        <v>7266562</v>
      </c>
      <c r="C3" s="13">
        <v>2200472</v>
      </c>
      <c r="D3" s="13"/>
    </row>
    <row r="4" spans="1:4" x14ac:dyDescent="0.25">
      <c r="A4" s="1" t="s">
        <v>667</v>
      </c>
      <c r="B4" s="13">
        <v>5000000</v>
      </c>
      <c r="C4" s="13">
        <v>1400000</v>
      </c>
      <c r="D4" s="13">
        <v>1000000</v>
      </c>
    </row>
    <row r="5" spans="1:4" x14ac:dyDescent="0.25">
      <c r="A5" s="1" t="s">
        <v>634</v>
      </c>
      <c r="B5" s="13">
        <v>1900193</v>
      </c>
      <c r="C5" s="13">
        <v>800472</v>
      </c>
      <c r="D5" s="13"/>
    </row>
    <row r="6" spans="1:4" x14ac:dyDescent="0.25">
      <c r="A6" s="1" t="s">
        <v>256</v>
      </c>
      <c r="B6" s="102">
        <f>B4+B5</f>
        <v>6900193</v>
      </c>
      <c r="C6" s="102">
        <f>C4+C5</f>
        <v>2200472</v>
      </c>
      <c r="D6" s="102"/>
    </row>
    <row r="8" spans="1:4" x14ac:dyDescent="0.25">
      <c r="B8" s="1" t="s">
        <v>668</v>
      </c>
      <c r="D8" s="1">
        <v>1927</v>
      </c>
    </row>
    <row r="11" spans="1:4" x14ac:dyDescent="0.25">
      <c r="B11" s="1" t="s">
        <v>670</v>
      </c>
    </row>
    <row r="12" spans="1:4" x14ac:dyDescent="0.25">
      <c r="B12" s="1" t="s">
        <v>669</v>
      </c>
      <c r="C12" s="13">
        <v>6647200</v>
      </c>
    </row>
    <row r="13" spans="1:4" x14ac:dyDescent="0.25">
      <c r="B13" s="1" t="s">
        <v>396</v>
      </c>
      <c r="C13" s="13">
        <v>4963254</v>
      </c>
    </row>
    <row r="14" spans="1:4" x14ac:dyDescent="0.25">
      <c r="B14" s="1" t="s">
        <v>170</v>
      </c>
      <c r="C14" s="13">
        <v>1389729</v>
      </c>
    </row>
    <row r="15" spans="1:4" x14ac:dyDescent="0.25">
      <c r="B15" s="1" t="s">
        <v>256</v>
      </c>
      <c r="C15" s="13">
        <f>SUM(C12:C14)</f>
        <v>13000183</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2F742-9E3A-4C56-A3DA-22E0736EB934}">
  <sheetPr>
    <tabColor theme="4"/>
  </sheetPr>
  <dimension ref="A1:T34"/>
  <sheetViews>
    <sheetView showGridLines="0" topLeftCell="A13" zoomScale="70" zoomScaleNormal="70" workbookViewId="0">
      <selection activeCell="Y27" sqref="Y27"/>
    </sheetView>
  </sheetViews>
  <sheetFormatPr defaultRowHeight="14.4" x14ac:dyDescent="0.3"/>
  <cols>
    <col min="2" max="2" width="15.88671875" customWidth="1"/>
    <col min="3" max="3" width="2.44140625" customWidth="1"/>
    <col min="4" max="4" width="11.5546875" customWidth="1"/>
    <col min="5" max="5" width="2.44140625" customWidth="1"/>
    <col min="6" max="6" width="14.109375" customWidth="1"/>
    <col min="7" max="7" width="2.44140625" customWidth="1"/>
    <col min="8" max="8" width="14.6640625" customWidth="1"/>
  </cols>
  <sheetData>
    <row r="1" spans="1:20" ht="15.6" x14ac:dyDescent="0.3">
      <c r="A1" s="2853" t="s">
        <v>1522</v>
      </c>
      <c r="B1" s="2853"/>
      <c r="C1" s="2853"/>
      <c r="D1" s="2853"/>
      <c r="E1" s="2853"/>
      <c r="F1" s="2853"/>
      <c r="G1" s="2853"/>
      <c r="H1" s="211"/>
    </row>
    <row r="2" spans="1:20" ht="15.6" x14ac:dyDescent="0.3">
      <c r="A2" s="152" t="s">
        <v>821</v>
      </c>
      <c r="B2" s="1902"/>
      <c r="C2" s="1902"/>
      <c r="D2" s="1902"/>
      <c r="E2" s="1902"/>
      <c r="F2" s="1902"/>
      <c r="G2" s="1902"/>
      <c r="H2" s="211"/>
    </row>
    <row r="3" spans="1:20" ht="15.6" x14ac:dyDescent="0.3">
      <c r="A3" s="152" t="s">
        <v>2978</v>
      </c>
      <c r="B3" s="1902"/>
      <c r="C3" s="1902"/>
      <c r="D3" s="1902"/>
      <c r="E3" s="1902"/>
      <c r="F3" s="1902"/>
      <c r="G3" s="1902"/>
      <c r="H3" s="211"/>
    </row>
    <row r="4" spans="1:20" ht="8.25" customHeight="1" thickBot="1" x14ac:dyDescent="0.35">
      <c r="A4" s="211"/>
      <c r="B4" s="1902"/>
      <c r="C4" s="1902"/>
      <c r="D4" s="1902"/>
      <c r="E4" s="1902"/>
      <c r="F4" s="1902"/>
      <c r="G4" s="1902"/>
      <c r="H4" s="211"/>
    </row>
    <row r="5" spans="1:20" ht="46.8" x14ac:dyDescent="0.3">
      <c r="A5" s="2286"/>
      <c r="B5" s="1906" t="s">
        <v>3055</v>
      </c>
      <c r="C5" s="885"/>
      <c r="D5" s="1906" t="s">
        <v>3054</v>
      </c>
      <c r="E5" s="885"/>
      <c r="F5" s="1906" t="s">
        <v>822</v>
      </c>
      <c r="G5" s="885"/>
      <c r="H5" s="1907" t="s">
        <v>823</v>
      </c>
    </row>
    <row r="6" spans="1:20" ht="15.6" x14ac:dyDescent="0.3">
      <c r="A6" s="2071">
        <v>1967</v>
      </c>
      <c r="B6" s="2274" t="s">
        <v>824</v>
      </c>
      <c r="C6" s="2274"/>
      <c r="D6" s="2285">
        <v>17.3</v>
      </c>
      <c r="E6" s="2272"/>
      <c r="F6" s="2274" t="s">
        <v>825</v>
      </c>
      <c r="G6" s="2274"/>
      <c r="H6" s="2379">
        <v>5.5E-2</v>
      </c>
    </row>
    <row r="7" spans="1:20" ht="15.6" x14ac:dyDescent="0.3">
      <c r="A7" s="2071">
        <v>1968</v>
      </c>
      <c r="B7" s="2274" t="s">
        <v>824</v>
      </c>
      <c r="C7" s="2284"/>
      <c r="D7" s="2395">
        <v>19.899999999999999</v>
      </c>
      <c r="E7" s="2272"/>
      <c r="F7" s="2274" t="s">
        <v>825</v>
      </c>
      <c r="G7" s="2274"/>
      <c r="H7" s="2379">
        <v>5.8999999999999997E-2</v>
      </c>
    </row>
    <row r="8" spans="1:20" ht="15.6" x14ac:dyDescent="0.3">
      <c r="A8" s="2071">
        <v>1969</v>
      </c>
      <c r="B8" s="2274" t="s">
        <v>824</v>
      </c>
      <c r="C8" s="2278"/>
      <c r="D8" s="2395">
        <v>23.4</v>
      </c>
      <c r="E8" s="2272"/>
      <c r="F8" s="2274" t="s">
        <v>825</v>
      </c>
      <c r="G8" s="2274"/>
      <c r="H8" s="2379">
        <v>6.7900000000000002E-2</v>
      </c>
    </row>
    <row r="9" spans="1:20" ht="15.6" x14ac:dyDescent="0.3">
      <c r="A9" s="2071">
        <v>1970</v>
      </c>
      <c r="B9" s="2283">
        <v>0.37</v>
      </c>
      <c r="C9" s="2278"/>
      <c r="D9" s="2395">
        <v>32.4</v>
      </c>
      <c r="E9" s="2272"/>
      <c r="F9" s="2279">
        <v>1.14E-2</v>
      </c>
      <c r="G9" s="2274"/>
      <c r="H9" s="2379">
        <v>6.25E-2</v>
      </c>
    </row>
    <row r="10" spans="1:20" ht="15.6" x14ac:dyDescent="0.3">
      <c r="A10" s="2071">
        <v>1971</v>
      </c>
      <c r="B10" s="2274" t="s">
        <v>824</v>
      </c>
      <c r="C10" s="2280"/>
      <c r="D10" s="2395">
        <v>52.5</v>
      </c>
      <c r="E10" s="2272"/>
      <c r="F10" s="2274" t="s">
        <v>825</v>
      </c>
      <c r="G10" s="2274"/>
      <c r="H10" s="2379">
        <v>5.8099999999999999E-2</v>
      </c>
    </row>
    <row r="11" spans="1:20" ht="15.6" x14ac:dyDescent="0.3">
      <c r="A11" s="2071">
        <v>1972</v>
      </c>
      <c r="B11" s="2274" t="s">
        <v>824</v>
      </c>
      <c r="C11" s="2274"/>
      <c r="D11" s="2395">
        <v>69.5</v>
      </c>
      <c r="E11" s="2272"/>
      <c r="F11" s="2274" t="s">
        <v>825</v>
      </c>
      <c r="G11" s="2274"/>
      <c r="H11" s="2379">
        <v>5.8200000000000002E-2</v>
      </c>
    </row>
    <row r="12" spans="1:20" ht="15.6" x14ac:dyDescent="0.3">
      <c r="A12" s="2071">
        <v>1973</v>
      </c>
      <c r="B12" s="2274" t="s">
        <v>824</v>
      </c>
      <c r="C12" s="2278"/>
      <c r="D12" s="2395">
        <v>73.3</v>
      </c>
      <c r="E12" s="2272"/>
      <c r="F12" s="2274" t="s">
        <v>825</v>
      </c>
      <c r="G12" s="2274"/>
      <c r="H12" s="2379">
        <v>7.2700000000000001E-2</v>
      </c>
    </row>
    <row r="13" spans="1:20" ht="15.6" x14ac:dyDescent="0.3">
      <c r="A13" s="2071">
        <v>1974</v>
      </c>
      <c r="B13" s="2275">
        <v>7.36</v>
      </c>
      <c r="C13" s="2274"/>
      <c r="D13" s="2395">
        <v>79.099999999999994</v>
      </c>
      <c r="E13" s="2272"/>
      <c r="F13" s="2279">
        <v>9.2999999999999999E-2</v>
      </c>
      <c r="G13" s="2274"/>
      <c r="H13" s="2379">
        <v>8.1299999999999997E-2</v>
      </c>
    </row>
    <row r="14" spans="1:20" ht="15.6" x14ac:dyDescent="0.3">
      <c r="A14" s="2071">
        <v>1975</v>
      </c>
      <c r="B14" s="2275">
        <v>11.35</v>
      </c>
      <c r="C14" s="2278"/>
      <c r="D14" s="2395">
        <v>87.6</v>
      </c>
      <c r="E14" s="2272"/>
      <c r="F14" s="2279">
        <v>0.12959999999999999</v>
      </c>
      <c r="G14" s="2274"/>
      <c r="H14" s="2379">
        <v>8.0299999999999996E-2</v>
      </c>
      <c r="T14" t="s">
        <v>176</v>
      </c>
    </row>
    <row r="15" spans="1:20" ht="15.6" x14ac:dyDescent="0.3">
      <c r="A15" s="2071">
        <v>1976</v>
      </c>
      <c r="B15" s="2274" t="s">
        <v>824</v>
      </c>
      <c r="C15" s="2278"/>
      <c r="D15" s="2395">
        <v>102.6</v>
      </c>
      <c r="E15" s="2272"/>
      <c r="F15" s="2274" t="s">
        <v>825</v>
      </c>
      <c r="G15" s="2274"/>
      <c r="H15" s="2379">
        <v>7.2999999999999995E-2</v>
      </c>
    </row>
    <row r="16" spans="1:20" ht="15.6" x14ac:dyDescent="0.3">
      <c r="A16" s="2071">
        <v>1977</v>
      </c>
      <c r="B16" s="2274" t="s">
        <v>824</v>
      </c>
      <c r="C16" s="2277"/>
      <c r="D16" s="2395">
        <v>139</v>
      </c>
      <c r="E16" s="2272"/>
      <c r="F16" s="2274" t="s">
        <v>825</v>
      </c>
      <c r="G16" s="2274"/>
      <c r="H16" s="2379">
        <v>7.9699999999999993E-2</v>
      </c>
    </row>
    <row r="17" spans="1:8" ht="15.6" x14ac:dyDescent="0.3">
      <c r="A17" s="2071">
        <v>1978</v>
      </c>
      <c r="B17" s="2274" t="s">
        <v>824</v>
      </c>
      <c r="C17" s="2282"/>
      <c r="D17" s="2395">
        <v>190.4</v>
      </c>
      <c r="E17" s="2272"/>
      <c r="F17" s="2274" t="s">
        <v>825</v>
      </c>
      <c r="G17" s="2274"/>
      <c r="H17" s="2379">
        <v>8.9300000000000004E-2</v>
      </c>
    </row>
    <row r="18" spans="1:8" ht="15.6" x14ac:dyDescent="0.3">
      <c r="A18" s="2071">
        <v>1979</v>
      </c>
      <c r="B18" s="2274" t="s">
        <v>824</v>
      </c>
      <c r="C18" s="2278"/>
      <c r="D18" s="2395">
        <v>227.3</v>
      </c>
      <c r="E18" s="2272"/>
      <c r="F18" s="2274" t="s">
        <v>825</v>
      </c>
      <c r="G18" s="2274"/>
      <c r="H18" s="2379">
        <v>0.1008</v>
      </c>
    </row>
    <row r="19" spans="1:8" ht="15.6" x14ac:dyDescent="0.3">
      <c r="A19" s="2071">
        <v>1980</v>
      </c>
      <c r="B19" s="2274" t="s">
        <v>824</v>
      </c>
      <c r="C19" s="2277"/>
      <c r="D19" s="2395">
        <v>237</v>
      </c>
      <c r="E19" s="2272"/>
      <c r="F19" s="2274" t="s">
        <v>825</v>
      </c>
      <c r="G19" s="2274"/>
      <c r="H19" s="2382">
        <v>0.11940000000000001</v>
      </c>
    </row>
    <row r="20" spans="1:8" ht="15.6" x14ac:dyDescent="0.3">
      <c r="A20" s="2071">
        <v>1981</v>
      </c>
      <c r="B20" s="2274" t="s">
        <v>824</v>
      </c>
      <c r="C20" s="2280"/>
      <c r="D20" s="2395">
        <v>228.4</v>
      </c>
      <c r="E20" s="2272"/>
      <c r="F20" s="2274" t="s">
        <v>825</v>
      </c>
      <c r="G20" s="2274"/>
      <c r="H20" s="2379">
        <v>0.1361</v>
      </c>
    </row>
    <row r="21" spans="1:8" ht="15.6" x14ac:dyDescent="0.3">
      <c r="A21" s="2071">
        <v>1982</v>
      </c>
      <c r="B21" s="2275">
        <v>21.56</v>
      </c>
      <c r="C21" s="2274"/>
      <c r="D21" s="2395">
        <v>220.6</v>
      </c>
      <c r="E21" s="2272"/>
      <c r="F21" s="2279">
        <v>9.7699999999999995E-2</v>
      </c>
      <c r="G21" s="2274"/>
      <c r="H21" s="2379">
        <v>0.10639999999999999</v>
      </c>
    </row>
    <row r="22" spans="1:8" ht="15.6" x14ac:dyDescent="0.3">
      <c r="A22" s="2071">
        <v>1983</v>
      </c>
      <c r="B22" s="2275">
        <v>33.869999999999997</v>
      </c>
      <c r="C22" s="2274"/>
      <c r="D22" s="2395">
        <v>231.3</v>
      </c>
      <c r="E22" s="2272"/>
      <c r="F22" s="2271">
        <v>0.1464</v>
      </c>
      <c r="G22" s="2271"/>
      <c r="H22" s="2379">
        <v>0.11840000000000001</v>
      </c>
    </row>
    <row r="23" spans="1:8" ht="15.6" x14ac:dyDescent="0.3">
      <c r="A23" s="2071">
        <v>1984</v>
      </c>
      <c r="B23" s="2275">
        <v>48.06</v>
      </c>
      <c r="C23" s="2274"/>
      <c r="D23" s="2395">
        <v>253.2</v>
      </c>
      <c r="E23" s="2272"/>
      <c r="F23" s="2271">
        <v>0.1898</v>
      </c>
      <c r="G23" s="2271"/>
      <c r="H23" s="2379">
        <v>0.1158</v>
      </c>
    </row>
    <row r="24" spans="1:8" ht="15.6" x14ac:dyDescent="0.3">
      <c r="A24" s="2071">
        <v>1985</v>
      </c>
      <c r="B24" s="2275">
        <v>44.23</v>
      </c>
      <c r="C24" s="2278"/>
      <c r="D24" s="2395">
        <v>390.2</v>
      </c>
      <c r="E24" s="2272"/>
      <c r="F24" s="2271">
        <v>0.1134</v>
      </c>
      <c r="G24" s="2271"/>
      <c r="H24" s="2379">
        <v>9.3399999999999997E-2</v>
      </c>
    </row>
    <row r="25" spans="1:8" ht="15.6" x14ac:dyDescent="0.3">
      <c r="A25" s="2071">
        <v>1986</v>
      </c>
      <c r="B25" s="2275">
        <v>55.84</v>
      </c>
      <c r="C25" s="2277"/>
      <c r="D25" s="2395">
        <v>797.5</v>
      </c>
      <c r="E25" s="2272"/>
      <c r="F25" s="2271">
        <v>7.0000000000000007E-2</v>
      </c>
      <c r="G25" s="2271"/>
      <c r="H25" s="2379">
        <v>7.5999999999999998E-2</v>
      </c>
    </row>
    <row r="26" spans="1:8" ht="15.6" x14ac:dyDescent="0.3">
      <c r="A26" s="2071">
        <v>1987</v>
      </c>
      <c r="B26" s="2275">
        <v>55.43</v>
      </c>
      <c r="C26" s="2276"/>
      <c r="D26" s="2395">
        <v>1266.7</v>
      </c>
      <c r="E26" s="2272"/>
      <c r="F26" s="2271">
        <v>4.3799999999999999E-2</v>
      </c>
      <c r="G26" s="2271"/>
      <c r="H26" s="2379">
        <v>8.9499999999999996E-2</v>
      </c>
    </row>
    <row r="27" spans="1:8" ht="15.6" x14ac:dyDescent="0.3">
      <c r="A27" s="2071">
        <v>1988</v>
      </c>
      <c r="B27" s="2275">
        <v>11.08</v>
      </c>
      <c r="C27" s="2276"/>
      <c r="D27" s="2395">
        <v>1497.7</v>
      </c>
      <c r="E27" s="2272"/>
      <c r="F27" s="2271">
        <v>7.4000000000000003E-3</v>
      </c>
      <c r="G27" s="2271"/>
      <c r="H27" s="2379">
        <v>0.09</v>
      </c>
    </row>
    <row r="28" spans="1:8" ht="15.6" x14ac:dyDescent="0.3">
      <c r="A28" s="2071">
        <v>1989</v>
      </c>
      <c r="B28" s="2275">
        <v>24.4</v>
      </c>
      <c r="C28" s="2274"/>
      <c r="D28" s="2395">
        <v>1541.3</v>
      </c>
      <c r="E28" s="2272"/>
      <c r="F28" s="2271">
        <v>1.5800000000000002E-2</v>
      </c>
      <c r="G28" s="2271"/>
      <c r="H28" s="2379">
        <v>7.9699999999999993E-2</v>
      </c>
    </row>
    <row r="29" spans="1:8" ht="15.6" x14ac:dyDescent="0.3">
      <c r="A29" s="2071">
        <v>1990</v>
      </c>
      <c r="B29" s="2275">
        <v>26.65</v>
      </c>
      <c r="C29" s="2381"/>
      <c r="D29" s="2395">
        <v>1637.3</v>
      </c>
      <c r="E29" s="2272"/>
      <c r="F29" s="2271">
        <v>1.6299999999999999E-2</v>
      </c>
      <c r="G29" s="2271"/>
      <c r="H29" s="2379">
        <v>8.2400000000000001E-2</v>
      </c>
    </row>
    <row r="30" spans="1:8" ht="15.6" x14ac:dyDescent="0.3">
      <c r="A30" s="2071">
        <v>1991</v>
      </c>
      <c r="B30" s="2275">
        <v>119.59</v>
      </c>
      <c r="C30" s="2274"/>
      <c r="D30" s="2395">
        <v>1895</v>
      </c>
      <c r="E30" s="2272"/>
      <c r="F30" s="2271">
        <v>6.3100000000000003E-2</v>
      </c>
      <c r="G30" s="2271"/>
      <c r="H30" s="2379">
        <v>7.3999999999999996E-2</v>
      </c>
    </row>
    <row r="31" spans="1:8" ht="15.6" x14ac:dyDescent="0.3">
      <c r="A31" s="2071">
        <v>1992</v>
      </c>
      <c r="B31" s="2275">
        <v>108.96</v>
      </c>
      <c r="C31" s="2381"/>
      <c r="D31" s="2395">
        <v>2290.4</v>
      </c>
      <c r="E31" s="2272"/>
      <c r="F31" s="2271">
        <v>4.7600000000000003E-2</v>
      </c>
      <c r="G31" s="2271"/>
      <c r="H31" s="2379">
        <v>7.3899999999999993E-2</v>
      </c>
    </row>
    <row r="32" spans="1:8" ht="15.6" x14ac:dyDescent="0.3">
      <c r="A32" s="2071">
        <v>1993</v>
      </c>
      <c r="B32" s="2274" t="s">
        <v>824</v>
      </c>
      <c r="C32" s="2380"/>
      <c r="D32" s="2395">
        <v>2624.7</v>
      </c>
      <c r="E32" s="2272"/>
      <c r="F32" s="2271" t="s">
        <v>825</v>
      </c>
      <c r="G32" s="2271"/>
      <c r="H32" s="2379">
        <v>6.3500000000000001E-2</v>
      </c>
    </row>
    <row r="33" spans="1:8" ht="16.2" thickBot="1" x14ac:dyDescent="0.35">
      <c r="A33" s="2269">
        <v>1994</v>
      </c>
      <c r="B33" s="2378" t="s">
        <v>824</v>
      </c>
      <c r="C33" s="2267"/>
      <c r="D33" s="2396">
        <v>3056.6</v>
      </c>
      <c r="E33" s="2265"/>
      <c r="F33" s="2264" t="s">
        <v>825</v>
      </c>
      <c r="G33" s="2264"/>
      <c r="H33" s="2377">
        <v>7.8799999999999995E-2</v>
      </c>
    </row>
    <row r="34" spans="1:8" x14ac:dyDescent="0.3">
      <c r="A34" s="2811" t="s">
        <v>3025</v>
      </c>
      <c r="B34" s="2811"/>
      <c r="C34" s="2811"/>
      <c r="D34" s="2811"/>
      <c r="E34" s="2811"/>
      <c r="F34" s="2811"/>
      <c r="G34" s="2811"/>
      <c r="H34" s="2811"/>
    </row>
  </sheetData>
  <mergeCells count="2">
    <mergeCell ref="A1:G1"/>
    <mergeCell ref="A34:H34"/>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81081-5485-4081-BC8A-E8E0B8F544F2}">
  <sheetPr>
    <tabColor theme="4"/>
  </sheetPr>
  <dimension ref="A1:W143"/>
  <sheetViews>
    <sheetView zoomScale="55" zoomScaleNormal="55" workbookViewId="0">
      <pane xSplit="3" ySplit="1" topLeftCell="D104" activePane="bottomRight" state="frozen"/>
      <selection pane="topRight" activeCell="D1" sqref="D1"/>
      <selection pane="bottomLeft" activeCell="A2" sqref="A2"/>
      <selection pane="bottomRight" activeCell="U146" sqref="U146"/>
    </sheetView>
  </sheetViews>
  <sheetFormatPr defaultRowHeight="15.6" x14ac:dyDescent="0.3"/>
  <cols>
    <col min="1" max="1" width="13.77734375" style="211" customWidth="1"/>
    <col min="2" max="4" width="14.109375" style="211" customWidth="1"/>
    <col min="5" max="5" width="12.88671875" style="211" customWidth="1"/>
    <col min="6" max="6" width="12.5546875" style="211" customWidth="1"/>
    <col min="7" max="7" width="28.6640625" style="211" customWidth="1"/>
    <col min="8" max="9" width="14.109375" style="211" customWidth="1"/>
    <col min="10" max="10" width="16.5546875" style="211" customWidth="1"/>
    <col min="11" max="11" width="12" style="211" bestFit="1" customWidth="1"/>
    <col min="12" max="12" width="26.21875" style="211" customWidth="1"/>
    <col min="13" max="13" width="25.21875" style="211" customWidth="1"/>
    <col min="14" max="14" width="30.33203125" style="211" customWidth="1"/>
    <col min="15" max="15" width="14.109375" style="211" customWidth="1"/>
    <col min="16" max="16" width="23.109375" style="211" bestFit="1" customWidth="1"/>
    <col min="17" max="17" width="18.33203125" style="211" bestFit="1" customWidth="1"/>
    <col min="18" max="18" width="14.109375" style="211" customWidth="1"/>
    <col min="19" max="19" width="9.44140625" style="211" customWidth="1"/>
    <col min="20" max="20" width="17.5546875" style="211" customWidth="1"/>
    <col min="21" max="21" width="13.33203125" style="211" customWidth="1"/>
    <col min="22" max="16384" width="8.88671875" style="211"/>
  </cols>
  <sheetData>
    <row r="1" spans="1:22" x14ac:dyDescent="0.3">
      <c r="A1" s="211" t="s">
        <v>2930</v>
      </c>
      <c r="B1" s="211" t="s">
        <v>2931</v>
      </c>
      <c r="C1" s="211" t="s">
        <v>2932</v>
      </c>
      <c r="D1" s="211" t="s">
        <v>2933</v>
      </c>
      <c r="E1" s="211" t="s">
        <v>2904</v>
      </c>
      <c r="F1" s="211" t="s">
        <v>2905</v>
      </c>
      <c r="G1" s="211" t="s">
        <v>2918</v>
      </c>
      <c r="H1" s="211" t="s">
        <v>2934</v>
      </c>
      <c r="I1" s="220" t="s">
        <v>2935</v>
      </c>
      <c r="J1" s="211" t="s">
        <v>2910</v>
      </c>
      <c r="K1" s="211" t="s">
        <v>2911</v>
      </c>
      <c r="L1" s="211" t="s">
        <v>2912</v>
      </c>
      <c r="M1" s="211" t="s">
        <v>2913</v>
      </c>
      <c r="N1" s="211" t="s">
        <v>2919</v>
      </c>
      <c r="O1" s="211" t="s">
        <v>2936</v>
      </c>
      <c r="P1" s="211" t="s">
        <v>2914</v>
      </c>
      <c r="Q1" s="211" t="s">
        <v>2915</v>
      </c>
      <c r="R1" s="211" t="s">
        <v>2937</v>
      </c>
      <c r="S1" s="211" t="s">
        <v>2916</v>
      </c>
      <c r="T1" s="211" t="s">
        <v>2917</v>
      </c>
      <c r="U1" s="211" t="s">
        <v>2618</v>
      </c>
      <c r="V1" s="211" t="s">
        <v>156</v>
      </c>
    </row>
    <row r="2" spans="1:22" x14ac:dyDescent="0.3">
      <c r="I2" s="2230">
        <v>23653</v>
      </c>
      <c r="J2" s="230">
        <v>1137778</v>
      </c>
      <c r="P2" s="252">
        <f>'3. Financials'!M58</f>
        <v>22138753</v>
      </c>
      <c r="V2" s="2088"/>
    </row>
    <row r="3" spans="1:22" x14ac:dyDescent="0.3">
      <c r="A3" s="211">
        <v>1965</v>
      </c>
      <c r="B3" s="211" t="s">
        <v>2906</v>
      </c>
      <c r="C3" s="2088" t="str">
        <f>CONCATENATE(A3,"-",B3)</f>
        <v>1965-Q1</v>
      </c>
      <c r="D3" s="2228">
        <f>A3</f>
        <v>1965</v>
      </c>
      <c r="E3" s="252">
        <v>16</v>
      </c>
      <c r="F3" s="252">
        <v>12</v>
      </c>
      <c r="G3" s="252">
        <f>AVERAGE(E3:F3)</f>
        <v>14</v>
      </c>
      <c r="I3" s="2230">
        <v>24017</v>
      </c>
      <c r="J3" s="230">
        <v>1017547</v>
      </c>
      <c r="K3" s="278">
        <f>AVERAGE(J2:J3)</f>
        <v>1077662.5</v>
      </c>
      <c r="L3" s="252">
        <f>K3*E3</f>
        <v>17242600</v>
      </c>
      <c r="M3" s="252">
        <f>K3*F3</f>
        <v>12931950</v>
      </c>
      <c r="N3" s="252">
        <f>AVERAGE(L3:M3)</f>
        <v>15087275</v>
      </c>
      <c r="P3" s="252">
        <f>'3. Financials'!L58</f>
        <v>24520114</v>
      </c>
      <c r="Q3" s="277">
        <f>AVERAGE(P2,P3)</f>
        <v>23329433.5</v>
      </c>
      <c r="R3" s="277"/>
      <c r="S3" s="348">
        <f>L3/Q3</f>
        <v>0.73909210011464699</v>
      </c>
      <c r="T3" s="348">
        <f>M3/Q3</f>
        <v>0.55431907508598521</v>
      </c>
      <c r="U3" s="1043">
        <f>AVERAGE(S3:T3)</f>
        <v>0.64670558760031605</v>
      </c>
      <c r="V3" s="2088" t="str">
        <f>Table24[[#This Row],[Column3]]</f>
        <v>1965-Q1</v>
      </c>
    </row>
    <row r="4" spans="1:22" x14ac:dyDescent="0.3">
      <c r="A4" s="211">
        <v>1965</v>
      </c>
      <c r="B4" s="211" t="s">
        <v>2907</v>
      </c>
      <c r="C4" s="2088" t="str">
        <f t="shared" ref="C4:C67" si="0">CONCATENATE(A4,"-",B4)</f>
        <v>1965-Q2</v>
      </c>
      <c r="D4" s="2228"/>
      <c r="E4" s="252">
        <v>21</v>
      </c>
      <c r="F4" s="252">
        <v>16</v>
      </c>
      <c r="G4" s="252">
        <f t="shared" ref="G4:G82" si="1">AVERAGE(E4:F4)</f>
        <v>18.5</v>
      </c>
      <c r="I4" s="460"/>
      <c r="J4" s="230"/>
      <c r="L4" s="252">
        <f>K3*E4</f>
        <v>22630912.5</v>
      </c>
      <c r="M4" s="252">
        <f>K3*F4</f>
        <v>17242600</v>
      </c>
      <c r="N4" s="252">
        <f t="shared" ref="N4:N67" si="2">AVERAGE(L4:M4)</f>
        <v>19936756.25</v>
      </c>
      <c r="P4" s="252"/>
      <c r="S4" s="348">
        <f>L4/Q3</f>
        <v>0.97005838140047418</v>
      </c>
      <c r="T4" s="348">
        <f>M4/Q3</f>
        <v>0.73909210011464699</v>
      </c>
      <c r="U4" s="1043">
        <f t="shared" ref="U4:U67" si="3">AVERAGE(S4:T4)</f>
        <v>0.85457524075756064</v>
      </c>
      <c r="V4" s="2088" t="str">
        <f>Table24[[#This Row],[Column3]]</f>
        <v>1965-Q2</v>
      </c>
    </row>
    <row r="5" spans="1:22" x14ac:dyDescent="0.3">
      <c r="A5" s="211">
        <v>1965</v>
      </c>
      <c r="B5" s="211" t="s">
        <v>2908</v>
      </c>
      <c r="C5" s="2088" t="str">
        <f t="shared" si="0"/>
        <v>1965-Q3</v>
      </c>
      <c r="D5" s="2228"/>
      <c r="E5" s="252">
        <v>19</v>
      </c>
      <c r="F5" s="252">
        <v>17</v>
      </c>
      <c r="G5" s="252">
        <f t="shared" si="1"/>
        <v>18</v>
      </c>
      <c r="I5" s="460"/>
      <c r="J5" s="230"/>
      <c r="L5" s="252">
        <f>K3*E5</f>
        <v>20475587.5</v>
      </c>
      <c r="M5" s="252">
        <f>K3*F5</f>
        <v>18320262.5</v>
      </c>
      <c r="N5" s="252">
        <f t="shared" si="2"/>
        <v>19397925</v>
      </c>
      <c r="P5" s="252"/>
      <c r="S5" s="348">
        <f>L5/Q3</f>
        <v>0.87767186888614335</v>
      </c>
      <c r="T5" s="348">
        <f>M5/Q3</f>
        <v>0.7852853563718124</v>
      </c>
      <c r="U5" s="1043">
        <f t="shared" si="3"/>
        <v>0.83147861262897793</v>
      </c>
      <c r="V5" s="2088" t="str">
        <f>Table24[[#This Row],[Column3]]</f>
        <v>1965-Q3</v>
      </c>
    </row>
    <row r="6" spans="1:22" x14ac:dyDescent="0.3">
      <c r="A6" s="211">
        <v>1965</v>
      </c>
      <c r="B6" s="211" t="s">
        <v>2909</v>
      </c>
      <c r="C6" s="2088" t="str">
        <f t="shared" si="0"/>
        <v>1965-Q4</v>
      </c>
      <c r="D6" s="2228"/>
      <c r="E6" s="252">
        <v>22</v>
      </c>
      <c r="F6" s="252">
        <v>18</v>
      </c>
      <c r="G6" s="252">
        <f t="shared" si="1"/>
        <v>20</v>
      </c>
      <c r="I6" s="460"/>
      <c r="J6" s="230"/>
      <c r="L6" s="252">
        <f>K3*E6</f>
        <v>23708575</v>
      </c>
      <c r="M6" s="252">
        <f>K3*F6</f>
        <v>19397925</v>
      </c>
      <c r="N6" s="252">
        <f t="shared" si="2"/>
        <v>21553250</v>
      </c>
      <c r="P6" s="252"/>
      <c r="S6" s="348">
        <f>L6/Q3</f>
        <v>1.0162516376576396</v>
      </c>
      <c r="T6" s="348">
        <f>M6/Q3</f>
        <v>0.83147861262897793</v>
      </c>
      <c r="U6" s="1043">
        <f t="shared" si="3"/>
        <v>0.92386512514330876</v>
      </c>
      <c r="V6" s="2088" t="str">
        <f>Table24[[#This Row],[Column3]]</f>
        <v>1965-Q4</v>
      </c>
    </row>
    <row r="7" spans="1:22" x14ac:dyDescent="0.3">
      <c r="A7" s="211">
        <v>1966</v>
      </c>
      <c r="B7" s="211" t="s">
        <v>2906</v>
      </c>
      <c r="C7" s="2088" t="str">
        <f t="shared" si="0"/>
        <v>1966-Q1</v>
      </c>
      <c r="D7" s="2228">
        <f t="shared" ref="D7:D39" si="4">A7</f>
        <v>1966</v>
      </c>
      <c r="E7" s="252">
        <v>27</v>
      </c>
      <c r="F7" s="252">
        <v>20</v>
      </c>
      <c r="G7" s="252">
        <f t="shared" si="1"/>
        <v>23.5</v>
      </c>
      <c r="I7" s="2230">
        <v>24381</v>
      </c>
      <c r="J7" s="230">
        <v>1017547</v>
      </c>
      <c r="K7" s="278">
        <f>AVERAGE(J3,J7)</f>
        <v>1017547</v>
      </c>
      <c r="L7" s="252">
        <f>K7*E7</f>
        <v>27473769</v>
      </c>
      <c r="M7" s="252">
        <f>K7*F7</f>
        <v>20350940</v>
      </c>
      <c r="N7" s="252">
        <f t="shared" si="2"/>
        <v>23912354.5</v>
      </c>
      <c r="P7" s="252">
        <f>'3. Financials'!K58</f>
        <v>29494920</v>
      </c>
      <c r="Q7" s="277">
        <f>AVERAGE(P3,P7)</f>
        <v>27007517</v>
      </c>
      <c r="R7" s="277"/>
      <c r="S7" s="348">
        <f>L7/Q7</f>
        <v>1.0172637862266272</v>
      </c>
      <c r="T7" s="348">
        <f>M7/Q7</f>
        <v>0.75352873053824232</v>
      </c>
      <c r="U7" s="1043">
        <f t="shared" si="3"/>
        <v>0.88539625838243474</v>
      </c>
      <c r="V7" s="2088" t="str">
        <f>Table24[[#This Row],[Column3]]</f>
        <v>1966-Q1</v>
      </c>
    </row>
    <row r="8" spans="1:22" x14ac:dyDescent="0.3">
      <c r="A8" s="211">
        <v>1966</v>
      </c>
      <c r="B8" s="211" t="s">
        <v>2907</v>
      </c>
      <c r="C8" s="2088" t="str">
        <f t="shared" si="0"/>
        <v>1966-Q2</v>
      </c>
      <c r="D8" s="2228" t="str">
        <f>IF(D4=0," "," ")</f>
        <v xml:space="preserve"> </v>
      </c>
      <c r="E8" s="252">
        <v>27</v>
      </c>
      <c r="F8" s="252">
        <v>21</v>
      </c>
      <c r="G8" s="252">
        <f t="shared" si="1"/>
        <v>24</v>
      </c>
      <c r="I8" s="460"/>
      <c r="J8" s="230"/>
      <c r="L8" s="252">
        <f>K7*E8</f>
        <v>27473769</v>
      </c>
      <c r="M8" s="252">
        <f>K7*F8</f>
        <v>21368487</v>
      </c>
      <c r="N8" s="252">
        <f t="shared" si="2"/>
        <v>24421128</v>
      </c>
      <c r="P8" s="252"/>
      <c r="S8" s="348">
        <f>L8/Q7</f>
        <v>1.0172637862266272</v>
      </c>
      <c r="T8" s="348">
        <f>M8/Q7</f>
        <v>0.79120516706515454</v>
      </c>
      <c r="U8" s="1043">
        <f t="shared" si="3"/>
        <v>0.90423447664589085</v>
      </c>
      <c r="V8" s="2088" t="str">
        <f>Table24[[#This Row],[Column3]]</f>
        <v>1966-Q2</v>
      </c>
    </row>
    <row r="9" spans="1:22" x14ac:dyDescent="0.3">
      <c r="A9" s="211">
        <v>1966</v>
      </c>
      <c r="B9" s="211" t="s">
        <v>2908</v>
      </c>
      <c r="C9" s="2088" t="str">
        <f t="shared" si="0"/>
        <v>1966-Q3</v>
      </c>
      <c r="D9" s="2228" t="str">
        <f t="shared" ref="D9:D10" si="5">IF(D5=0," "," ")</f>
        <v xml:space="preserve"> </v>
      </c>
      <c r="E9" s="252">
        <v>23</v>
      </c>
      <c r="F9" s="252">
        <v>18</v>
      </c>
      <c r="G9" s="252">
        <f t="shared" si="1"/>
        <v>20.5</v>
      </c>
      <c r="I9" s="460"/>
      <c r="J9" s="230"/>
      <c r="L9" s="252">
        <f>K7*E9</f>
        <v>23403581</v>
      </c>
      <c r="M9" s="252">
        <f>K7*F9</f>
        <v>18315846</v>
      </c>
      <c r="N9" s="252">
        <f t="shared" si="2"/>
        <v>20859713.5</v>
      </c>
      <c r="P9" s="252"/>
      <c r="S9" s="348">
        <f>L9/Q7</f>
        <v>0.86655804011897875</v>
      </c>
      <c r="T9" s="348">
        <f>M9/Q7</f>
        <v>0.67817585748441811</v>
      </c>
      <c r="U9" s="1043">
        <f t="shared" si="3"/>
        <v>0.77236694880169843</v>
      </c>
      <c r="V9" s="2088" t="str">
        <f>Table24[[#This Row],[Column3]]</f>
        <v>1966-Q3</v>
      </c>
    </row>
    <row r="10" spans="1:22" x14ac:dyDescent="0.3">
      <c r="A10" s="211">
        <v>1966</v>
      </c>
      <c r="B10" s="211" t="s">
        <v>2909</v>
      </c>
      <c r="C10" s="2088" t="str">
        <f t="shared" si="0"/>
        <v>1966-Q4</v>
      </c>
      <c r="D10" s="2228" t="str">
        <f t="shared" si="5"/>
        <v xml:space="preserve"> </v>
      </c>
      <c r="E10" s="252">
        <v>18</v>
      </c>
      <c r="F10" s="252">
        <v>17</v>
      </c>
      <c r="G10" s="252">
        <f t="shared" si="1"/>
        <v>17.5</v>
      </c>
      <c r="I10" s="460"/>
      <c r="J10" s="230"/>
      <c r="L10" s="252">
        <f>K7*E10</f>
        <v>18315846</v>
      </c>
      <c r="M10" s="252">
        <f>K7*F10</f>
        <v>17298299</v>
      </c>
      <c r="N10" s="252">
        <f t="shared" si="2"/>
        <v>17807072.5</v>
      </c>
      <c r="P10" s="252"/>
      <c r="S10" s="348">
        <f>L10/Q7</f>
        <v>0.67817585748441811</v>
      </c>
      <c r="T10" s="348">
        <f>M10/Q7</f>
        <v>0.640499420957506</v>
      </c>
      <c r="U10" s="1043">
        <f t="shared" si="3"/>
        <v>0.659337639220962</v>
      </c>
      <c r="V10" s="2088" t="str">
        <f>Table24[[#This Row],[Column3]]</f>
        <v>1966-Q4</v>
      </c>
    </row>
    <row r="11" spans="1:22" x14ac:dyDescent="0.3">
      <c r="A11" s="211">
        <f>A7+1</f>
        <v>1967</v>
      </c>
      <c r="B11" s="211" t="str">
        <f>B7</f>
        <v>Q1</v>
      </c>
      <c r="C11" s="2088" t="str">
        <f t="shared" si="0"/>
        <v>1967-Q1</v>
      </c>
      <c r="D11" s="2228">
        <f>IF(D7=0," ",D7+1)</f>
        <v>1967</v>
      </c>
      <c r="E11" s="252">
        <v>20</v>
      </c>
      <c r="F11" s="252">
        <v>17</v>
      </c>
      <c r="G11" s="252">
        <f t="shared" si="1"/>
        <v>18.5</v>
      </c>
      <c r="I11" s="2230">
        <v>24836</v>
      </c>
      <c r="J11" s="230">
        <v>985482</v>
      </c>
      <c r="K11" s="278">
        <f>AVERAGE(J7,J11)</f>
        <v>1001514.5</v>
      </c>
      <c r="L11" s="252">
        <f>K11*E11</f>
        <v>20030290</v>
      </c>
      <c r="M11" s="252">
        <f>K11*F11</f>
        <v>17025746.5</v>
      </c>
      <c r="N11" s="252">
        <f t="shared" si="2"/>
        <v>18528018.25</v>
      </c>
      <c r="P11" s="252">
        <f>'3. Financials'!J58</f>
        <v>31542935</v>
      </c>
      <c r="Q11" s="277">
        <f>AVERAGE(P7,P11)</f>
        <v>30518927.5</v>
      </c>
      <c r="R11" s="277"/>
      <c r="S11" s="348">
        <f>L11/Q11</f>
        <v>0.65632352250910519</v>
      </c>
      <c r="T11" s="348">
        <f>M11/Q11</f>
        <v>0.55787499413273944</v>
      </c>
      <c r="U11" s="1043">
        <f t="shared" si="3"/>
        <v>0.60709925832092226</v>
      </c>
      <c r="V11" s="2088" t="str">
        <f>Table24[[#This Row],[Column3]]</f>
        <v>1967-Q1</v>
      </c>
    </row>
    <row r="12" spans="1:22" x14ac:dyDescent="0.3">
      <c r="A12" s="211">
        <f t="shared" ref="A12:A75" si="6">A8+1</f>
        <v>1967</v>
      </c>
      <c r="B12" s="211" t="str">
        <f t="shared" ref="B12:B75" si="7">B8</f>
        <v>Q2</v>
      </c>
      <c r="C12" s="2088" t="str">
        <f t="shared" si="0"/>
        <v>1967-Q2</v>
      </c>
      <c r="D12" s="2228"/>
      <c r="E12" s="252">
        <v>19</v>
      </c>
      <c r="F12" s="252">
        <v>17</v>
      </c>
      <c r="G12" s="252">
        <f t="shared" si="1"/>
        <v>18</v>
      </c>
      <c r="I12" s="460"/>
      <c r="J12" s="230"/>
      <c r="L12" s="252">
        <f>K11*E12</f>
        <v>19028775.5</v>
      </c>
      <c r="M12" s="252">
        <f>K11*F12</f>
        <v>17025746.5</v>
      </c>
      <c r="N12" s="252">
        <f t="shared" si="2"/>
        <v>18027261</v>
      </c>
      <c r="P12" s="252"/>
      <c r="S12" s="348">
        <f>L12/Q11</f>
        <v>0.62350734638364991</v>
      </c>
      <c r="T12" s="348">
        <f>M12/Q11</f>
        <v>0.55787499413273944</v>
      </c>
      <c r="U12" s="1043">
        <f t="shared" si="3"/>
        <v>0.59069117025819473</v>
      </c>
      <c r="V12" s="2088" t="str">
        <f>Table24[[#This Row],[Column3]]</f>
        <v>1967-Q2</v>
      </c>
    </row>
    <row r="13" spans="1:22" x14ac:dyDescent="0.3">
      <c r="A13" s="211">
        <f t="shared" si="6"/>
        <v>1967</v>
      </c>
      <c r="B13" s="211" t="str">
        <f t="shared" si="7"/>
        <v>Q3</v>
      </c>
      <c r="C13" s="2088" t="str">
        <f t="shared" si="0"/>
        <v>1967-Q3</v>
      </c>
      <c r="D13" s="2228"/>
      <c r="E13" s="252">
        <v>21</v>
      </c>
      <c r="F13" s="252">
        <v>18</v>
      </c>
      <c r="G13" s="252">
        <f t="shared" si="1"/>
        <v>19.5</v>
      </c>
      <c r="I13" s="220"/>
      <c r="J13" s="230"/>
      <c r="L13" s="252">
        <f>K11*E13</f>
        <v>21031804.5</v>
      </c>
      <c r="M13" s="252">
        <f>K11*F13</f>
        <v>18027261</v>
      </c>
      <c r="N13" s="252">
        <f t="shared" si="2"/>
        <v>19529532.75</v>
      </c>
      <c r="P13" s="252"/>
      <c r="S13" s="348">
        <f>L13/Q11</f>
        <v>0.68913969863456048</v>
      </c>
      <c r="T13" s="348">
        <f>M13/Q11</f>
        <v>0.59069117025819473</v>
      </c>
      <c r="U13" s="1043">
        <f t="shared" si="3"/>
        <v>0.63991543444637755</v>
      </c>
      <c r="V13" s="2088" t="str">
        <f>Table24[[#This Row],[Column3]]</f>
        <v>1967-Q3</v>
      </c>
    </row>
    <row r="14" spans="1:22" x14ac:dyDescent="0.3">
      <c r="A14" s="211">
        <f t="shared" si="6"/>
        <v>1967</v>
      </c>
      <c r="B14" s="211" t="str">
        <f t="shared" si="7"/>
        <v>Q4</v>
      </c>
      <c r="C14" s="2088" t="str">
        <f t="shared" si="0"/>
        <v>1967-Q4</v>
      </c>
      <c r="D14" s="2228"/>
      <c r="E14" s="252">
        <v>21</v>
      </c>
      <c r="F14" s="252">
        <v>19</v>
      </c>
      <c r="G14" s="252">
        <f t="shared" si="1"/>
        <v>20</v>
      </c>
      <c r="I14" s="220"/>
      <c r="J14" s="230"/>
      <c r="L14" s="252">
        <f>K11*E14</f>
        <v>21031804.5</v>
      </c>
      <c r="M14" s="252">
        <f>K11*F14</f>
        <v>19028775.5</v>
      </c>
      <c r="N14" s="252">
        <f t="shared" si="2"/>
        <v>20030290</v>
      </c>
      <c r="P14" s="252"/>
      <c r="S14" s="348">
        <f>L14/Q11</f>
        <v>0.68913969863456048</v>
      </c>
      <c r="T14" s="348">
        <f>M14/Q11</f>
        <v>0.62350734638364991</v>
      </c>
      <c r="U14" s="1043">
        <f t="shared" si="3"/>
        <v>0.65632352250910519</v>
      </c>
      <c r="V14" s="2088" t="str">
        <f>Table24[[#This Row],[Column3]]</f>
        <v>1967-Q4</v>
      </c>
    </row>
    <row r="15" spans="1:22" x14ac:dyDescent="0.3">
      <c r="A15" s="211">
        <f t="shared" si="6"/>
        <v>1968</v>
      </c>
      <c r="B15" s="211" t="str">
        <f t="shared" si="7"/>
        <v>Q1</v>
      </c>
      <c r="C15" s="2088" t="str">
        <f t="shared" si="0"/>
        <v>1968-Q1</v>
      </c>
      <c r="D15" s="2228">
        <f t="shared" si="4"/>
        <v>1968</v>
      </c>
      <c r="E15" s="252">
        <v>24</v>
      </c>
      <c r="F15" s="252">
        <v>20</v>
      </c>
      <c r="G15" s="252">
        <f t="shared" si="1"/>
        <v>22</v>
      </c>
      <c r="I15" s="2230">
        <v>25200</v>
      </c>
      <c r="J15" s="230">
        <v>985482</v>
      </c>
      <c r="K15" s="278">
        <f>AVERAGE(J11,J15)</f>
        <v>985482</v>
      </c>
      <c r="L15" s="252">
        <f>K15*E15</f>
        <v>23651568</v>
      </c>
      <c r="M15" s="252">
        <f>K15*F15</f>
        <v>19709640</v>
      </c>
      <c r="N15" s="252">
        <f t="shared" si="2"/>
        <v>21680604</v>
      </c>
      <c r="P15" s="252">
        <f>'3. Financials'!I58</f>
        <v>36205271</v>
      </c>
      <c r="Q15" s="277">
        <f>AVERAGE(P11,P15)</f>
        <v>33874103</v>
      </c>
      <c r="R15" s="277"/>
      <c r="S15" s="348">
        <f>L15/Q15</f>
        <v>0.69821975802576974</v>
      </c>
      <c r="T15" s="348">
        <f>M15/Q15</f>
        <v>0.5818497983548081</v>
      </c>
      <c r="U15" s="1043">
        <f t="shared" si="3"/>
        <v>0.64003477819028887</v>
      </c>
      <c r="V15" s="2088" t="str">
        <f>Table24[[#This Row],[Column3]]</f>
        <v>1968-Q1</v>
      </c>
    </row>
    <row r="16" spans="1:22" x14ac:dyDescent="0.3">
      <c r="A16" s="211">
        <f t="shared" si="6"/>
        <v>1968</v>
      </c>
      <c r="B16" s="211" t="str">
        <f t="shared" si="7"/>
        <v>Q2</v>
      </c>
      <c r="C16" s="2088" t="str">
        <f t="shared" si="0"/>
        <v>1968-Q2</v>
      </c>
      <c r="D16" s="2228"/>
      <c r="E16" s="252">
        <v>31</v>
      </c>
      <c r="F16" s="252">
        <v>23</v>
      </c>
      <c r="G16" s="252">
        <f t="shared" si="1"/>
        <v>27</v>
      </c>
      <c r="I16" s="220"/>
      <c r="J16" s="230"/>
      <c r="L16" s="252">
        <f>K15*E16</f>
        <v>30549942</v>
      </c>
      <c r="M16" s="252">
        <f>K15*F16</f>
        <v>22666086</v>
      </c>
      <c r="N16" s="252">
        <f t="shared" si="2"/>
        <v>26608014</v>
      </c>
      <c r="P16" s="252"/>
      <c r="S16" s="348">
        <f>L16/Q15</f>
        <v>0.90186718744995253</v>
      </c>
      <c r="T16" s="348">
        <f>M16/Q15</f>
        <v>0.66912726810802936</v>
      </c>
      <c r="U16" s="1043">
        <f t="shared" si="3"/>
        <v>0.78549722777899089</v>
      </c>
      <c r="V16" s="2088" t="str">
        <f>Table24[[#This Row],[Column3]]</f>
        <v>1968-Q2</v>
      </c>
    </row>
    <row r="17" spans="1:23" x14ac:dyDescent="0.3">
      <c r="A17" s="211">
        <f t="shared" si="6"/>
        <v>1968</v>
      </c>
      <c r="B17" s="211" t="str">
        <f t="shared" si="7"/>
        <v>Q3</v>
      </c>
      <c r="C17" s="2088" t="str">
        <f t="shared" si="0"/>
        <v>1968-Q3</v>
      </c>
      <c r="D17" s="2228"/>
      <c r="E17" s="252">
        <v>33</v>
      </c>
      <c r="F17" s="252">
        <v>26</v>
      </c>
      <c r="G17" s="252">
        <f t="shared" si="1"/>
        <v>29.5</v>
      </c>
      <c r="I17" s="220"/>
      <c r="J17" s="230"/>
      <c r="L17" s="252">
        <f>K15*E17</f>
        <v>32520906</v>
      </c>
      <c r="M17" s="252">
        <f>K15*F17</f>
        <v>25622532</v>
      </c>
      <c r="N17" s="252">
        <f t="shared" si="2"/>
        <v>29071719</v>
      </c>
      <c r="P17" s="252"/>
      <c r="S17" s="348">
        <f>L17/Q15</f>
        <v>0.96005216728543341</v>
      </c>
      <c r="T17" s="348">
        <f>M17/Q15</f>
        <v>0.75640473786125051</v>
      </c>
      <c r="U17" s="1043">
        <f t="shared" si="3"/>
        <v>0.8582284525733419</v>
      </c>
      <c r="V17" s="2088" t="str">
        <f>Table24[[#This Row],[Column3]]</f>
        <v>1968-Q3</v>
      </c>
    </row>
    <row r="18" spans="1:23" x14ac:dyDescent="0.3">
      <c r="A18" s="211">
        <f t="shared" si="6"/>
        <v>1968</v>
      </c>
      <c r="B18" s="211" t="str">
        <f t="shared" si="7"/>
        <v>Q4</v>
      </c>
      <c r="C18" s="2088" t="str">
        <f t="shared" si="0"/>
        <v>1968-Q4</v>
      </c>
      <c r="D18" s="2228"/>
      <c r="E18" s="252">
        <v>39</v>
      </c>
      <c r="F18" s="252">
        <v>32</v>
      </c>
      <c r="G18" s="252">
        <f t="shared" si="1"/>
        <v>35.5</v>
      </c>
      <c r="I18" s="220"/>
      <c r="J18" s="230"/>
      <c r="L18" s="252">
        <f>K15*E18</f>
        <v>38433798</v>
      </c>
      <c r="M18" s="252">
        <f>K15*F18</f>
        <v>31535424</v>
      </c>
      <c r="N18" s="252">
        <f t="shared" si="2"/>
        <v>34984611</v>
      </c>
      <c r="P18" s="252"/>
      <c r="S18" s="348">
        <f>L18/Q15</f>
        <v>1.1346071067918757</v>
      </c>
      <c r="T18" s="348">
        <f>M18/Q15</f>
        <v>0.93095967736769292</v>
      </c>
      <c r="U18" s="1043">
        <f t="shared" si="3"/>
        <v>1.0327833920797844</v>
      </c>
      <c r="V18" s="2088" t="str">
        <f>Table24[[#This Row],[Column3]]</f>
        <v>1968-Q4</v>
      </c>
    </row>
    <row r="19" spans="1:23" x14ac:dyDescent="0.3">
      <c r="A19" s="211">
        <f t="shared" si="6"/>
        <v>1969</v>
      </c>
      <c r="B19" s="211" t="str">
        <f t="shared" si="7"/>
        <v>Q1</v>
      </c>
      <c r="C19" s="2088" t="str">
        <f t="shared" si="0"/>
        <v>1969-Q1</v>
      </c>
      <c r="D19" s="2228">
        <f t="shared" si="4"/>
        <v>1969</v>
      </c>
      <c r="E19" s="252">
        <v>40</v>
      </c>
      <c r="F19" s="252">
        <v>34</v>
      </c>
      <c r="G19" s="252">
        <f t="shared" si="1"/>
        <v>37</v>
      </c>
      <c r="I19" s="2230">
        <v>25571</v>
      </c>
      <c r="J19" s="230">
        <v>979582</v>
      </c>
      <c r="K19" s="278">
        <f>AVERAGE(J15,J19)</f>
        <v>982532</v>
      </c>
      <c r="L19" s="252">
        <f>K19*E19</f>
        <v>39301280</v>
      </c>
      <c r="M19" s="252">
        <f>K19*F19</f>
        <v>33406088</v>
      </c>
      <c r="N19" s="252">
        <f t="shared" si="2"/>
        <v>36353684</v>
      </c>
      <c r="P19" s="252">
        <f>'3. Financials'!H58</f>
        <v>43918060</v>
      </c>
      <c r="Q19" s="277">
        <f>AVERAGE(P15,P19)</f>
        <v>40061665.5</v>
      </c>
      <c r="R19" s="277"/>
      <c r="S19" s="348">
        <f>L19/Q19</f>
        <v>0.98101962336039172</v>
      </c>
      <c r="T19" s="348">
        <f>M19/Q19</f>
        <v>0.833866679856333</v>
      </c>
      <c r="U19" s="1043">
        <f t="shared" si="3"/>
        <v>0.90744315160836231</v>
      </c>
      <c r="V19" s="2088" t="str">
        <f>Table24[[#This Row],[Column3]]</f>
        <v>1969-Q1</v>
      </c>
    </row>
    <row r="20" spans="1:23" x14ac:dyDescent="0.3">
      <c r="A20" s="211">
        <f t="shared" si="6"/>
        <v>1969</v>
      </c>
      <c r="B20" s="211" t="str">
        <f t="shared" si="7"/>
        <v>Q2</v>
      </c>
      <c r="C20" s="2088" t="str">
        <f t="shared" si="0"/>
        <v>1969-Q2</v>
      </c>
      <c r="D20" s="2228"/>
      <c r="E20" s="252">
        <v>45</v>
      </c>
      <c r="F20" s="252">
        <v>35</v>
      </c>
      <c r="G20" s="252">
        <f t="shared" si="1"/>
        <v>40</v>
      </c>
      <c r="I20" s="220"/>
      <c r="J20" s="230"/>
      <c r="L20" s="252">
        <f>K19*E20</f>
        <v>44213940</v>
      </c>
      <c r="M20" s="252">
        <f>K19*F20</f>
        <v>34388620</v>
      </c>
      <c r="N20" s="252">
        <f t="shared" si="2"/>
        <v>39301280</v>
      </c>
      <c r="P20" s="252"/>
      <c r="S20" s="348">
        <f>L20/Q19</f>
        <v>1.1036470762804407</v>
      </c>
      <c r="T20" s="348">
        <f>M20/Q19</f>
        <v>0.85839217044034277</v>
      </c>
      <c r="U20" s="1043">
        <f t="shared" si="3"/>
        <v>0.98101962336039172</v>
      </c>
      <c r="V20" s="2088" t="str">
        <f>Table24[[#This Row],[Column3]]</f>
        <v>1969-Q2</v>
      </c>
    </row>
    <row r="21" spans="1:23" x14ac:dyDescent="0.3">
      <c r="A21" s="211">
        <f t="shared" si="6"/>
        <v>1969</v>
      </c>
      <c r="B21" s="211" t="str">
        <f t="shared" si="7"/>
        <v>Q3</v>
      </c>
      <c r="C21" s="2088" t="str">
        <f t="shared" si="0"/>
        <v>1969-Q3</v>
      </c>
      <c r="D21" s="2228"/>
      <c r="E21" s="252">
        <v>39</v>
      </c>
      <c r="F21" s="252">
        <v>31</v>
      </c>
      <c r="G21" s="252">
        <f t="shared" si="1"/>
        <v>35</v>
      </c>
      <c r="I21" s="220"/>
      <c r="J21" s="230"/>
      <c r="L21" s="252">
        <f>K19*E21</f>
        <v>38318748</v>
      </c>
      <c r="M21" s="252">
        <f>K19*F21</f>
        <v>30458492</v>
      </c>
      <c r="N21" s="252">
        <f t="shared" si="2"/>
        <v>34388620</v>
      </c>
      <c r="P21" s="252"/>
      <c r="S21" s="348">
        <f>L21/Q19</f>
        <v>0.95649413277638196</v>
      </c>
      <c r="T21" s="348">
        <f>M21/Q19</f>
        <v>0.76029020810430359</v>
      </c>
      <c r="U21" s="1043">
        <f t="shared" si="3"/>
        <v>0.85839217044034277</v>
      </c>
      <c r="V21" s="2088" t="str">
        <f>Table24[[#This Row],[Column3]]</f>
        <v>1969-Q3</v>
      </c>
    </row>
    <row r="22" spans="1:23" x14ac:dyDescent="0.3">
      <c r="A22" s="211">
        <f t="shared" si="6"/>
        <v>1969</v>
      </c>
      <c r="B22" s="211" t="str">
        <f t="shared" si="7"/>
        <v>Q4</v>
      </c>
      <c r="C22" s="2088" t="str">
        <f t="shared" si="0"/>
        <v>1969-Q4</v>
      </c>
      <c r="D22" s="2228"/>
      <c r="E22" s="252">
        <v>44</v>
      </c>
      <c r="F22" s="252">
        <v>34</v>
      </c>
      <c r="G22" s="252">
        <f t="shared" si="1"/>
        <v>39</v>
      </c>
      <c r="I22" s="220"/>
      <c r="J22" s="230"/>
      <c r="L22" s="252">
        <f>K19*E22</f>
        <v>43231408</v>
      </c>
      <c r="M22" s="252">
        <f>K19*F22</f>
        <v>33406088</v>
      </c>
      <c r="N22" s="252">
        <f t="shared" si="2"/>
        <v>38318748</v>
      </c>
      <c r="P22" s="252"/>
      <c r="S22" s="348">
        <f>L22/Q19</f>
        <v>1.0791215856964309</v>
      </c>
      <c r="T22" s="348">
        <f>M22/Q19</f>
        <v>0.833866679856333</v>
      </c>
      <c r="U22" s="1043">
        <f t="shared" si="3"/>
        <v>0.95649413277638196</v>
      </c>
      <c r="V22" s="2088" t="str">
        <f>Table24[[#This Row],[Column3]]</f>
        <v>1969-Q4</v>
      </c>
    </row>
    <row r="23" spans="1:23" x14ac:dyDescent="0.3">
      <c r="A23" s="211">
        <f t="shared" si="6"/>
        <v>1970</v>
      </c>
      <c r="B23" s="211" t="str">
        <f t="shared" si="7"/>
        <v>Q1</v>
      </c>
      <c r="C23" s="2088" t="str">
        <f t="shared" si="0"/>
        <v>1970-Q1</v>
      </c>
      <c r="D23" s="2228">
        <f t="shared" si="4"/>
        <v>1970</v>
      </c>
      <c r="E23" s="252">
        <v>47</v>
      </c>
      <c r="F23" s="252">
        <v>40</v>
      </c>
      <c r="G23" s="252">
        <f t="shared" si="1"/>
        <v>43.5</v>
      </c>
      <c r="I23" s="2230">
        <v>25933</v>
      </c>
      <c r="J23" s="230">
        <v>979577</v>
      </c>
      <c r="K23" s="278">
        <f>AVERAGE(J19,J23)</f>
        <v>979579.5</v>
      </c>
      <c r="L23" s="252">
        <f>K23*E23</f>
        <v>46040236.5</v>
      </c>
      <c r="M23" s="252">
        <f>K23*F23</f>
        <v>39183180</v>
      </c>
      <c r="N23" s="252">
        <f t="shared" si="2"/>
        <v>42611708.25</v>
      </c>
      <c r="P23" s="252">
        <f>'3. Financials'!G58</f>
        <v>48483333</v>
      </c>
      <c r="Q23" s="277">
        <f>AVERAGE(P19,P23)</f>
        <v>46200696.5</v>
      </c>
      <c r="R23" s="277"/>
      <c r="S23" s="348">
        <f>L23/Q23</f>
        <v>0.99652689218657131</v>
      </c>
      <c r="T23" s="348">
        <f>M23/Q23</f>
        <v>0.84810799335027343</v>
      </c>
      <c r="U23" s="1043">
        <f t="shared" si="3"/>
        <v>0.92231744276842242</v>
      </c>
      <c r="V23" s="2088" t="str">
        <f>Table24[[#This Row],[Column3]]</f>
        <v>1970-Q1</v>
      </c>
    </row>
    <row r="24" spans="1:23" x14ac:dyDescent="0.3">
      <c r="A24" s="211">
        <f t="shared" si="6"/>
        <v>1970</v>
      </c>
      <c r="B24" s="211" t="str">
        <f t="shared" si="7"/>
        <v>Q2</v>
      </c>
      <c r="C24" s="2088" t="str">
        <f t="shared" si="0"/>
        <v>1970-Q2</v>
      </c>
      <c r="D24" s="2228"/>
      <c r="E24" s="252">
        <v>47</v>
      </c>
      <c r="F24" s="252">
        <v>32</v>
      </c>
      <c r="G24" s="252">
        <f t="shared" si="1"/>
        <v>39.5</v>
      </c>
      <c r="I24" s="220"/>
      <c r="J24" s="230"/>
      <c r="L24" s="252">
        <f>K23*E24</f>
        <v>46040236.5</v>
      </c>
      <c r="M24" s="252">
        <f>K23*F24</f>
        <v>31346544</v>
      </c>
      <c r="N24" s="252">
        <f t="shared" si="2"/>
        <v>38693390.25</v>
      </c>
      <c r="P24" s="252"/>
      <c r="S24" s="348">
        <f>L24/Q23</f>
        <v>0.99652689218657131</v>
      </c>
      <c r="T24" s="348">
        <f>M24/Q23</f>
        <v>0.67848639468021876</v>
      </c>
      <c r="U24" s="1043">
        <f t="shared" si="3"/>
        <v>0.83750664343339509</v>
      </c>
      <c r="V24" s="2088" t="str">
        <f>Table24[[#This Row],[Column3]]</f>
        <v>1970-Q2</v>
      </c>
    </row>
    <row r="25" spans="1:23" x14ac:dyDescent="0.3">
      <c r="A25" s="211">
        <f t="shared" si="6"/>
        <v>1970</v>
      </c>
      <c r="B25" s="211" t="str">
        <f t="shared" si="7"/>
        <v>Q3</v>
      </c>
      <c r="C25" s="2088" t="str">
        <f t="shared" si="0"/>
        <v>1970-Q3</v>
      </c>
      <c r="D25" s="2228"/>
      <c r="E25" s="252">
        <v>43</v>
      </c>
      <c r="F25" s="252">
        <v>35</v>
      </c>
      <c r="G25" s="252">
        <f t="shared" si="1"/>
        <v>39</v>
      </c>
      <c r="I25" s="220"/>
      <c r="J25" s="230"/>
      <c r="L25" s="252">
        <f>K23*E25</f>
        <v>42121918.5</v>
      </c>
      <c r="M25" s="252">
        <f>K23*F25</f>
        <v>34285282.5</v>
      </c>
      <c r="N25" s="252">
        <f t="shared" si="2"/>
        <v>38203600.5</v>
      </c>
      <c r="P25" s="252"/>
      <c r="S25" s="348">
        <f>L25/Q23</f>
        <v>0.91171609285154387</v>
      </c>
      <c r="T25" s="348">
        <f>M25/Q23</f>
        <v>0.74209449418148921</v>
      </c>
      <c r="U25" s="1043">
        <f t="shared" si="3"/>
        <v>0.82690529351651654</v>
      </c>
      <c r="V25" s="2088" t="str">
        <f>Table24[[#This Row],[Column3]]</f>
        <v>1970-Q3</v>
      </c>
    </row>
    <row r="26" spans="1:23" x14ac:dyDescent="0.3">
      <c r="A26" s="211">
        <f t="shared" si="6"/>
        <v>1970</v>
      </c>
      <c r="B26" s="211" t="str">
        <f t="shared" si="7"/>
        <v>Q4</v>
      </c>
      <c r="C26" s="2088" t="str">
        <f t="shared" si="0"/>
        <v>1970-Q4</v>
      </c>
      <c r="D26" s="2228"/>
      <c r="E26" s="252">
        <v>43</v>
      </c>
      <c r="F26" s="252">
        <v>39</v>
      </c>
      <c r="G26" s="252">
        <f t="shared" si="1"/>
        <v>41</v>
      </c>
      <c r="I26" s="220"/>
      <c r="J26" s="230"/>
      <c r="L26" s="252">
        <f>K23*E26</f>
        <v>42121918.5</v>
      </c>
      <c r="M26" s="252">
        <f>K23*F26</f>
        <v>38203600.5</v>
      </c>
      <c r="N26" s="252">
        <f t="shared" si="2"/>
        <v>40162759.5</v>
      </c>
      <c r="P26" s="252"/>
      <c r="S26" s="348">
        <f>L26/Q23</f>
        <v>0.91171609285154387</v>
      </c>
      <c r="T26" s="348">
        <f>M26/Q23</f>
        <v>0.82690529351651654</v>
      </c>
      <c r="U26" s="1043">
        <f t="shared" si="3"/>
        <v>0.8693106931840302</v>
      </c>
      <c r="V26" s="2088" t="str">
        <f>Table24[[#This Row],[Column3]]</f>
        <v>1970-Q4</v>
      </c>
    </row>
    <row r="27" spans="1:23" x14ac:dyDescent="0.3">
      <c r="A27" s="211">
        <f t="shared" si="6"/>
        <v>1971</v>
      </c>
      <c r="B27" s="211" t="str">
        <f t="shared" si="7"/>
        <v>Q1</v>
      </c>
      <c r="C27" s="2088" t="str">
        <f t="shared" si="0"/>
        <v>1971-Q1</v>
      </c>
      <c r="D27" s="2228">
        <f t="shared" si="4"/>
        <v>1971</v>
      </c>
      <c r="E27" s="252">
        <v>51</v>
      </c>
      <c r="F27" s="252">
        <v>40</v>
      </c>
      <c r="G27" s="252">
        <f t="shared" si="1"/>
        <v>45.5</v>
      </c>
      <c r="I27" s="2230">
        <v>26298</v>
      </c>
      <c r="J27" s="230">
        <v>979569</v>
      </c>
      <c r="K27" s="278">
        <f>AVERAGE(J23,J27)</f>
        <v>979573</v>
      </c>
      <c r="L27" s="252">
        <f>K27*E27</f>
        <v>49958223</v>
      </c>
      <c r="M27" s="252">
        <f>K27*F27</f>
        <v>39182920</v>
      </c>
      <c r="N27" s="252">
        <f t="shared" si="2"/>
        <v>44570571.5</v>
      </c>
      <c r="P27" s="252">
        <f>'3. Financials'!F58</f>
        <v>56168865</v>
      </c>
      <c r="Q27" s="277">
        <f>AVERAGE(P23,P27)</f>
        <v>52326099</v>
      </c>
      <c r="R27" s="277"/>
      <c r="S27" s="348">
        <f>L27/Q27</f>
        <v>0.95474770630235595</v>
      </c>
      <c r="T27" s="348">
        <f>M27/Q27</f>
        <v>0.74882173043322031</v>
      </c>
      <c r="U27" s="1043">
        <f t="shared" si="3"/>
        <v>0.85178471836778813</v>
      </c>
      <c r="V27" s="2088" t="str">
        <f>Table24[[#This Row],[Column3]]</f>
        <v>1971-Q1</v>
      </c>
    </row>
    <row r="28" spans="1:23" x14ac:dyDescent="0.3">
      <c r="A28" s="211">
        <f t="shared" si="6"/>
        <v>1971</v>
      </c>
      <c r="B28" s="211" t="str">
        <f t="shared" si="7"/>
        <v>Q2</v>
      </c>
      <c r="C28" s="2088" t="str">
        <f t="shared" si="0"/>
        <v>1971-Q2</v>
      </c>
      <c r="D28" s="2228"/>
      <c r="E28" s="252">
        <v>55</v>
      </c>
      <c r="F28" s="252">
        <v>48</v>
      </c>
      <c r="G28" s="252">
        <f t="shared" si="1"/>
        <v>51.5</v>
      </c>
      <c r="I28" s="220"/>
      <c r="J28" s="230"/>
      <c r="K28" s="2229"/>
      <c r="L28" s="252">
        <f>K27*E28</f>
        <v>53876515</v>
      </c>
      <c r="M28" s="252">
        <f>K27*F28</f>
        <v>47019504</v>
      </c>
      <c r="N28" s="252">
        <f t="shared" si="2"/>
        <v>50448009.5</v>
      </c>
      <c r="O28" s="2229"/>
      <c r="P28" s="252"/>
      <c r="Q28" s="2229"/>
      <c r="R28" s="2229"/>
      <c r="S28" s="348">
        <f>L28/Q27</f>
        <v>1.029629879345678</v>
      </c>
      <c r="T28" s="348">
        <f>M28/Q27</f>
        <v>0.89858607651986444</v>
      </c>
      <c r="U28" s="1043">
        <f t="shared" si="3"/>
        <v>0.96410797793277125</v>
      </c>
      <c r="V28" s="2230" t="str">
        <f>Table24[[#This Row],[Column3]]</f>
        <v>1971-Q2</v>
      </c>
      <c r="W28" s="2229"/>
    </row>
    <row r="29" spans="1:23" x14ac:dyDescent="0.3">
      <c r="A29" s="211">
        <f t="shared" si="6"/>
        <v>1971</v>
      </c>
      <c r="B29" s="211" t="str">
        <f t="shared" si="7"/>
        <v>Q3</v>
      </c>
      <c r="C29" s="2088" t="str">
        <f t="shared" si="0"/>
        <v>1971-Q3</v>
      </c>
      <c r="D29" s="2228"/>
      <c r="E29" s="252">
        <v>53</v>
      </c>
      <c r="F29" s="252">
        <v>51</v>
      </c>
      <c r="G29" s="252">
        <f t="shared" si="1"/>
        <v>52</v>
      </c>
      <c r="I29" s="220"/>
      <c r="J29" s="230"/>
      <c r="K29" s="220"/>
      <c r="L29" s="252">
        <f>K27*E29</f>
        <v>51917369</v>
      </c>
      <c r="M29" s="252">
        <f>K27*F29</f>
        <v>49958223</v>
      </c>
      <c r="N29" s="252">
        <f t="shared" si="2"/>
        <v>50937796</v>
      </c>
      <c r="O29" s="220"/>
      <c r="P29" s="252"/>
      <c r="Q29" s="220"/>
      <c r="R29" s="220"/>
      <c r="S29" s="348">
        <f>L29/Q27</f>
        <v>0.99218879282401695</v>
      </c>
      <c r="T29" s="348">
        <f>M29/Q27</f>
        <v>0.95474770630235595</v>
      </c>
      <c r="U29" s="1043">
        <f t="shared" si="3"/>
        <v>0.97346824956318645</v>
      </c>
      <c r="V29" s="2231" t="str">
        <f>Table24[[#This Row],[Column3]]</f>
        <v>1971-Q3</v>
      </c>
      <c r="W29" s="220"/>
    </row>
    <row r="30" spans="1:23" x14ac:dyDescent="0.3">
      <c r="A30" s="211">
        <f t="shared" si="6"/>
        <v>1971</v>
      </c>
      <c r="B30" s="211" t="str">
        <f t="shared" si="7"/>
        <v>Q4</v>
      </c>
      <c r="C30" s="2088" t="str">
        <f t="shared" si="0"/>
        <v>1971-Q4</v>
      </c>
      <c r="D30" s="2228"/>
      <c r="E30" s="252">
        <v>74</v>
      </c>
      <c r="F30" s="252">
        <v>70</v>
      </c>
      <c r="G30" s="252">
        <f t="shared" si="1"/>
        <v>72</v>
      </c>
      <c r="I30" s="220"/>
      <c r="J30" s="230"/>
      <c r="L30" s="252">
        <f>K27*E30</f>
        <v>72488402</v>
      </c>
      <c r="M30" s="252">
        <f>K27*F30</f>
        <v>68570110</v>
      </c>
      <c r="N30" s="252">
        <f t="shared" si="2"/>
        <v>70529256</v>
      </c>
      <c r="P30" s="252"/>
      <c r="S30" s="348">
        <f>L30/Q27</f>
        <v>1.3853202013014576</v>
      </c>
      <c r="T30" s="348">
        <f>M30/Q27</f>
        <v>1.3104380282581356</v>
      </c>
      <c r="U30" s="1043">
        <f t="shared" si="3"/>
        <v>1.3478791147797966</v>
      </c>
      <c r="V30" s="2088" t="str">
        <f>Table24[[#This Row],[Column3]]</f>
        <v>1971-Q4</v>
      </c>
    </row>
    <row r="31" spans="1:23" x14ac:dyDescent="0.3">
      <c r="A31" s="211">
        <f t="shared" si="6"/>
        <v>1972</v>
      </c>
      <c r="B31" s="211" t="str">
        <f t="shared" si="7"/>
        <v>Q1</v>
      </c>
      <c r="C31" s="2088" t="str">
        <f t="shared" si="0"/>
        <v>1972-Q1</v>
      </c>
      <c r="D31" s="2228">
        <f t="shared" si="4"/>
        <v>1972</v>
      </c>
      <c r="E31" s="252">
        <v>76</v>
      </c>
      <c r="F31" s="252">
        <v>73</v>
      </c>
      <c r="G31" s="252">
        <f t="shared" si="1"/>
        <v>74.5</v>
      </c>
      <c r="I31" s="2230">
        <v>26663</v>
      </c>
      <c r="J31" s="230">
        <v>979569</v>
      </c>
      <c r="K31" s="278">
        <f>AVERAGE(J27,J31)</f>
        <v>979569</v>
      </c>
      <c r="L31" s="252">
        <f>K31*E31</f>
        <v>74447244</v>
      </c>
      <c r="M31" s="252">
        <f>K31*F31</f>
        <v>71508537</v>
      </c>
      <c r="N31" s="252">
        <f t="shared" si="2"/>
        <v>72977890.5</v>
      </c>
      <c r="P31" s="252">
        <f>'3. Financials'!E58</f>
        <v>68295023</v>
      </c>
      <c r="Q31" s="277">
        <f>AVERAGE(P27,P31)</f>
        <v>62231944</v>
      </c>
      <c r="R31" s="277"/>
      <c r="S31" s="348">
        <f>L31/Q31</f>
        <v>1.1962866530410812</v>
      </c>
      <c r="T31" s="348">
        <f>M31/Q31</f>
        <v>1.1490648114736701</v>
      </c>
      <c r="U31" s="1043">
        <f t="shared" si="3"/>
        <v>1.1726757322573755</v>
      </c>
      <c r="V31" s="2088" t="str">
        <f>Table24[[#This Row],[Column3]]</f>
        <v>1972-Q1</v>
      </c>
    </row>
    <row r="32" spans="1:23" x14ac:dyDescent="0.3">
      <c r="A32" s="211">
        <f t="shared" si="6"/>
        <v>1972</v>
      </c>
      <c r="B32" s="211" t="str">
        <f t="shared" si="7"/>
        <v>Q2</v>
      </c>
      <c r="C32" s="2088" t="str">
        <f t="shared" si="0"/>
        <v>1972-Q2</v>
      </c>
      <c r="D32" s="2228"/>
      <c r="E32" s="252">
        <v>78</v>
      </c>
      <c r="F32" s="252">
        <v>78</v>
      </c>
      <c r="G32" s="252">
        <f t="shared" si="1"/>
        <v>78</v>
      </c>
      <c r="I32" s="220"/>
      <c r="J32" s="230"/>
      <c r="L32" s="252">
        <f>K31*E32</f>
        <v>76406382</v>
      </c>
      <c r="M32" s="252">
        <f>K31*F32</f>
        <v>76406382</v>
      </c>
      <c r="N32" s="252">
        <f t="shared" si="2"/>
        <v>76406382</v>
      </c>
      <c r="P32" s="252"/>
      <c r="S32" s="348">
        <f>L32/Q31</f>
        <v>1.2277678807526886</v>
      </c>
      <c r="T32" s="348">
        <f>M32/Q31</f>
        <v>1.2277678807526886</v>
      </c>
      <c r="U32" s="1043">
        <f t="shared" si="3"/>
        <v>1.2277678807526886</v>
      </c>
      <c r="V32" s="2088" t="str">
        <f>Table24[[#This Row],[Column3]]</f>
        <v>1972-Q2</v>
      </c>
    </row>
    <row r="33" spans="1:22" x14ac:dyDescent="0.3">
      <c r="A33" s="211">
        <f t="shared" si="6"/>
        <v>1972</v>
      </c>
      <c r="B33" s="211" t="str">
        <f t="shared" si="7"/>
        <v>Q3</v>
      </c>
      <c r="C33" s="2088" t="str">
        <f t="shared" si="0"/>
        <v>1972-Q3</v>
      </c>
      <c r="D33" s="2228"/>
      <c r="E33" s="252">
        <v>84</v>
      </c>
      <c r="F33" s="252">
        <v>80</v>
      </c>
      <c r="G33" s="252">
        <f t="shared" si="1"/>
        <v>82</v>
      </c>
      <c r="I33" s="220"/>
      <c r="J33" s="230"/>
      <c r="L33" s="252">
        <f>K31*E33</f>
        <v>82283796</v>
      </c>
      <c r="M33" s="252">
        <f>K31*F33</f>
        <v>78365520</v>
      </c>
      <c r="N33" s="252">
        <f t="shared" si="2"/>
        <v>80324658</v>
      </c>
      <c r="P33" s="252"/>
      <c r="S33" s="348">
        <f>L33/Q31</f>
        <v>1.3222115638875109</v>
      </c>
      <c r="T33" s="348">
        <f>M33/Q31</f>
        <v>1.2592491084642961</v>
      </c>
      <c r="U33" s="1043">
        <f t="shared" si="3"/>
        <v>1.2907303361759035</v>
      </c>
      <c r="V33" s="2088" t="str">
        <f>Table24[[#This Row],[Column3]]</f>
        <v>1972-Q3</v>
      </c>
    </row>
    <row r="34" spans="1:22" x14ac:dyDescent="0.3">
      <c r="A34" s="211">
        <f t="shared" si="6"/>
        <v>1972</v>
      </c>
      <c r="B34" s="211" t="str">
        <f t="shared" si="7"/>
        <v>Q4</v>
      </c>
      <c r="C34" s="2088" t="str">
        <f t="shared" si="0"/>
        <v>1972-Q4</v>
      </c>
      <c r="D34" s="2228"/>
      <c r="E34" s="252">
        <v>80</v>
      </c>
      <c r="F34" s="252">
        <v>80</v>
      </c>
      <c r="G34" s="252">
        <f t="shared" si="1"/>
        <v>80</v>
      </c>
      <c r="I34" s="220"/>
      <c r="J34" s="230"/>
      <c r="L34" s="252">
        <f>K31*E34</f>
        <v>78365520</v>
      </c>
      <c r="M34" s="252">
        <f>K31*F34</f>
        <v>78365520</v>
      </c>
      <c r="N34" s="252">
        <f t="shared" si="2"/>
        <v>78365520</v>
      </c>
      <c r="P34" s="252"/>
      <c r="S34" s="348">
        <f>L34/Q31</f>
        <v>1.2592491084642961</v>
      </c>
      <c r="T34" s="348">
        <f>M34/Q31</f>
        <v>1.2592491084642961</v>
      </c>
      <c r="U34" s="1043">
        <f t="shared" si="3"/>
        <v>1.2592491084642961</v>
      </c>
      <c r="V34" s="2088" t="str">
        <f>Table24[[#This Row],[Column3]]</f>
        <v>1972-Q4</v>
      </c>
    </row>
    <row r="35" spans="1:22" x14ac:dyDescent="0.3">
      <c r="A35" s="211">
        <f t="shared" si="6"/>
        <v>1973</v>
      </c>
      <c r="B35" s="211" t="str">
        <f t="shared" si="7"/>
        <v>Q1</v>
      </c>
      <c r="C35" s="2088" t="str">
        <f t="shared" si="0"/>
        <v>1973-Q1</v>
      </c>
      <c r="D35" s="2228">
        <f t="shared" si="4"/>
        <v>1973</v>
      </c>
      <c r="E35" s="252">
        <v>93</v>
      </c>
      <c r="F35" s="252">
        <v>80</v>
      </c>
      <c r="G35" s="252">
        <f t="shared" si="1"/>
        <v>86.5</v>
      </c>
      <c r="I35" s="2230">
        <v>27027</v>
      </c>
      <c r="J35" s="230">
        <v>979569</v>
      </c>
      <c r="K35" s="278">
        <f>AVERAGE(J31,J35)</f>
        <v>979569</v>
      </c>
      <c r="L35" s="252">
        <f>K35*E35</f>
        <v>91099917</v>
      </c>
      <c r="M35" s="252">
        <f>K35*F35</f>
        <v>78365520</v>
      </c>
      <c r="N35" s="252">
        <f t="shared" si="2"/>
        <v>84732718.5</v>
      </c>
      <c r="P35" s="252">
        <f>'3. Financials'!D58</f>
        <v>81155466</v>
      </c>
      <c r="Q35" s="277">
        <f>AVERAGE(P31,P35)</f>
        <v>74725244.5</v>
      </c>
      <c r="R35" s="277"/>
      <c r="S35" s="348">
        <f>L35/Q35</f>
        <v>1.2191317353267408</v>
      </c>
      <c r="T35" s="348">
        <f>M35/Q35</f>
        <v>1.0487154712488094</v>
      </c>
      <c r="U35" s="1043">
        <f t="shared" si="3"/>
        <v>1.1339236032877751</v>
      </c>
      <c r="V35" s="2088" t="str">
        <f>Table24[[#This Row],[Column3]]</f>
        <v>1973-Q1</v>
      </c>
    </row>
    <row r="36" spans="1:22" x14ac:dyDescent="0.3">
      <c r="A36" s="211">
        <f t="shared" si="6"/>
        <v>1973</v>
      </c>
      <c r="B36" s="211" t="str">
        <f t="shared" si="7"/>
        <v>Q2</v>
      </c>
      <c r="C36" s="2088" t="str">
        <f t="shared" si="0"/>
        <v>1973-Q2</v>
      </c>
      <c r="D36" s="2228"/>
      <c r="E36" s="252">
        <v>87</v>
      </c>
      <c r="F36" s="252">
        <v>85</v>
      </c>
      <c r="G36" s="252">
        <f t="shared" si="1"/>
        <v>86</v>
      </c>
      <c r="I36" s="220"/>
      <c r="J36" s="230"/>
      <c r="L36" s="252">
        <f>K35*E36</f>
        <v>85222503</v>
      </c>
      <c r="M36" s="252">
        <f>K35*F36</f>
        <v>83263365</v>
      </c>
      <c r="N36" s="252">
        <f t="shared" si="2"/>
        <v>84242934</v>
      </c>
      <c r="P36" s="252"/>
      <c r="S36" s="348">
        <f>L36/Q35</f>
        <v>1.1404780749830803</v>
      </c>
      <c r="T36" s="348">
        <f>M36/Q35</f>
        <v>1.1142601882018599</v>
      </c>
      <c r="U36" s="1043">
        <f t="shared" si="3"/>
        <v>1.1273691315924701</v>
      </c>
      <c r="V36" s="2088" t="str">
        <f>Table24[[#This Row],[Column3]]</f>
        <v>1973-Q2</v>
      </c>
    </row>
    <row r="37" spans="1:22" x14ac:dyDescent="0.3">
      <c r="A37" s="211">
        <f t="shared" si="6"/>
        <v>1973</v>
      </c>
      <c r="B37" s="211" t="str">
        <f t="shared" si="7"/>
        <v>Q3</v>
      </c>
      <c r="C37" s="2088" t="str">
        <f t="shared" si="0"/>
        <v>1973-Q3</v>
      </c>
      <c r="D37" s="2228"/>
      <c r="E37" s="252">
        <v>88</v>
      </c>
      <c r="F37" s="252">
        <v>83</v>
      </c>
      <c r="G37" s="252">
        <f t="shared" si="1"/>
        <v>85.5</v>
      </c>
      <c r="I37" s="220"/>
      <c r="J37" s="230"/>
      <c r="L37" s="252">
        <f>K35*E37</f>
        <v>86202072</v>
      </c>
      <c r="M37" s="252">
        <f>K35*F37</f>
        <v>81304227</v>
      </c>
      <c r="N37" s="252">
        <f t="shared" si="2"/>
        <v>83753149.5</v>
      </c>
      <c r="P37" s="252"/>
      <c r="S37" s="348">
        <f>L37/Q35</f>
        <v>1.1535870183736903</v>
      </c>
      <c r="T37" s="348">
        <f>M37/Q35</f>
        <v>1.0880423014206397</v>
      </c>
      <c r="U37" s="1043">
        <f t="shared" si="3"/>
        <v>1.1208146598971651</v>
      </c>
      <c r="V37" s="2088" t="str">
        <f>Table24[[#This Row],[Column3]]</f>
        <v>1973-Q3</v>
      </c>
    </row>
    <row r="38" spans="1:22" x14ac:dyDescent="0.3">
      <c r="A38" s="211">
        <f t="shared" si="6"/>
        <v>1973</v>
      </c>
      <c r="B38" s="211" t="str">
        <f t="shared" si="7"/>
        <v>Q4</v>
      </c>
      <c r="C38" s="2088" t="str">
        <f t="shared" si="0"/>
        <v>1973-Q4</v>
      </c>
      <c r="D38" s="2228"/>
      <c r="E38" s="252">
        <v>87</v>
      </c>
      <c r="F38" s="252">
        <v>71</v>
      </c>
      <c r="G38" s="252">
        <f t="shared" si="1"/>
        <v>79</v>
      </c>
      <c r="I38" s="220"/>
      <c r="J38" s="230"/>
      <c r="L38" s="252">
        <f>K35*E38</f>
        <v>85222503</v>
      </c>
      <c r="M38" s="252">
        <f>K35*F38</f>
        <v>69549399</v>
      </c>
      <c r="N38" s="252">
        <f t="shared" si="2"/>
        <v>77385951</v>
      </c>
      <c r="P38" s="252"/>
      <c r="S38" s="348">
        <f>L38/Q35</f>
        <v>1.1404780749830803</v>
      </c>
      <c r="T38" s="348">
        <f>M38/Q35</f>
        <v>0.93073498073331828</v>
      </c>
      <c r="U38" s="1043">
        <f t="shared" si="3"/>
        <v>1.0356065278581994</v>
      </c>
      <c r="V38" s="2088" t="str">
        <f>Table24[[#This Row],[Column3]]</f>
        <v>1973-Q4</v>
      </c>
    </row>
    <row r="39" spans="1:22" x14ac:dyDescent="0.3">
      <c r="A39" s="211">
        <f t="shared" si="6"/>
        <v>1974</v>
      </c>
      <c r="B39" s="211" t="str">
        <f t="shared" si="7"/>
        <v>Q1</v>
      </c>
      <c r="C39" s="2088" t="str">
        <f t="shared" si="0"/>
        <v>1974-Q1</v>
      </c>
      <c r="D39" s="2228">
        <f t="shared" si="4"/>
        <v>1974</v>
      </c>
      <c r="E39" s="252">
        <v>76</v>
      </c>
      <c r="F39" s="252">
        <v>72</v>
      </c>
      <c r="G39" s="252">
        <f t="shared" si="1"/>
        <v>74</v>
      </c>
      <c r="I39" s="2230">
        <v>27391</v>
      </c>
      <c r="J39" s="230">
        <v>979569</v>
      </c>
      <c r="K39" s="278">
        <f>AVERAGE(J35,J39)</f>
        <v>979569</v>
      </c>
      <c r="L39" s="252">
        <f>K39*E39</f>
        <v>74447244</v>
      </c>
      <c r="M39" s="252">
        <f>K39*F39</f>
        <v>70528968</v>
      </c>
      <c r="N39" s="252">
        <f t="shared" si="2"/>
        <v>72488106</v>
      </c>
      <c r="P39" s="252">
        <f>'3. Financials'!C58</f>
        <v>88198627</v>
      </c>
      <c r="Q39" s="277">
        <f>AVERAGE(P35,P39)</f>
        <v>84677046.5</v>
      </c>
      <c r="R39" s="277"/>
      <c r="S39" s="348">
        <f>L39/Q39</f>
        <v>0.87919037185596693</v>
      </c>
      <c r="T39" s="348">
        <f>M39/Q39</f>
        <v>0.83291719438986334</v>
      </c>
      <c r="U39" s="1043">
        <f t="shared" si="3"/>
        <v>0.85605378312291514</v>
      </c>
      <c r="V39" s="2088" t="str">
        <f>Table24[[#This Row],[Column3]]</f>
        <v>1974-Q1</v>
      </c>
    </row>
    <row r="40" spans="1:22" x14ac:dyDescent="0.3">
      <c r="A40" s="211">
        <f t="shared" si="6"/>
        <v>1974</v>
      </c>
      <c r="B40" s="211" t="str">
        <f t="shared" si="7"/>
        <v>Q2</v>
      </c>
      <c r="C40" s="2088" t="str">
        <f t="shared" si="0"/>
        <v>1974-Q2</v>
      </c>
      <c r="D40" s="2228"/>
      <c r="E40" s="252">
        <v>76</v>
      </c>
      <c r="F40" s="252">
        <v>64</v>
      </c>
      <c r="G40" s="252">
        <f t="shared" si="1"/>
        <v>70</v>
      </c>
      <c r="I40" s="220"/>
      <c r="J40" s="230"/>
      <c r="L40" s="252">
        <f>K39*E40</f>
        <v>74447244</v>
      </c>
      <c r="M40" s="252">
        <f>K39*F40</f>
        <v>62692416</v>
      </c>
      <c r="N40" s="252">
        <f t="shared" si="2"/>
        <v>68569830</v>
      </c>
      <c r="P40" s="252"/>
      <c r="S40" s="348">
        <f>L40/Q39</f>
        <v>0.87919037185596693</v>
      </c>
      <c r="T40" s="348">
        <f>M40/Q39</f>
        <v>0.74037083945765636</v>
      </c>
      <c r="U40" s="1043">
        <f t="shared" si="3"/>
        <v>0.80978060565681165</v>
      </c>
      <c r="V40" s="2088" t="str">
        <f>Table24[[#This Row],[Column3]]</f>
        <v>1974-Q2</v>
      </c>
    </row>
    <row r="41" spans="1:22" x14ac:dyDescent="0.3">
      <c r="A41" s="211">
        <f t="shared" si="6"/>
        <v>1974</v>
      </c>
      <c r="B41" s="211" t="str">
        <f t="shared" si="7"/>
        <v>Q3</v>
      </c>
      <c r="C41" s="2088" t="str">
        <f t="shared" si="0"/>
        <v>1974-Q3</v>
      </c>
      <c r="D41" s="2228"/>
      <c r="E41" s="252">
        <v>64</v>
      </c>
      <c r="F41" s="252">
        <v>49</v>
      </c>
      <c r="G41" s="252">
        <f t="shared" si="1"/>
        <v>56.5</v>
      </c>
      <c r="I41" s="220"/>
      <c r="J41" s="230"/>
      <c r="L41" s="252">
        <f>K39*E41</f>
        <v>62692416</v>
      </c>
      <c r="M41" s="252">
        <f>K39*F41</f>
        <v>47998881</v>
      </c>
      <c r="N41" s="252">
        <f t="shared" si="2"/>
        <v>55345648.5</v>
      </c>
      <c r="P41" s="252"/>
      <c r="S41" s="348">
        <f>L41/Q39</f>
        <v>0.74037083945765636</v>
      </c>
      <c r="T41" s="348">
        <f>M41/Q39</f>
        <v>0.56684642395976814</v>
      </c>
      <c r="U41" s="1043">
        <f t="shared" si="3"/>
        <v>0.6536086317087122</v>
      </c>
      <c r="V41" s="2088" t="str">
        <f>Table24[[#This Row],[Column3]]</f>
        <v>1974-Q3</v>
      </c>
    </row>
    <row r="42" spans="1:22" x14ac:dyDescent="0.3">
      <c r="A42" s="211">
        <f t="shared" si="6"/>
        <v>1974</v>
      </c>
      <c r="B42" s="211" t="str">
        <f t="shared" si="7"/>
        <v>Q4</v>
      </c>
      <c r="C42" s="2088" t="str">
        <f t="shared" si="0"/>
        <v>1974-Q4</v>
      </c>
      <c r="D42" s="2228"/>
      <c r="E42" s="252">
        <v>49</v>
      </c>
      <c r="F42" s="252">
        <v>40</v>
      </c>
      <c r="G42" s="252">
        <f t="shared" si="1"/>
        <v>44.5</v>
      </c>
      <c r="J42" s="230"/>
      <c r="L42" s="252">
        <f>K39*E42</f>
        <v>47998881</v>
      </c>
      <c r="M42" s="252">
        <f>K39*F42</f>
        <v>39182760</v>
      </c>
      <c r="N42" s="252">
        <f t="shared" si="2"/>
        <v>43590820.5</v>
      </c>
      <c r="P42" s="252"/>
      <c r="S42" s="348">
        <f>L42/Q39</f>
        <v>0.56684642395976814</v>
      </c>
      <c r="T42" s="348">
        <f>M42/Q39</f>
        <v>0.46273177466103521</v>
      </c>
      <c r="U42" s="1043">
        <f t="shared" si="3"/>
        <v>0.51478909931040162</v>
      </c>
      <c r="V42" s="2088" t="str">
        <f>Table24[[#This Row],[Column3]]</f>
        <v>1974-Q4</v>
      </c>
    </row>
    <row r="43" spans="1:22" x14ac:dyDescent="0.3">
      <c r="A43" s="211">
        <f t="shared" si="6"/>
        <v>1975</v>
      </c>
      <c r="B43" s="211" t="str">
        <f t="shared" si="7"/>
        <v>Q1</v>
      </c>
      <c r="C43" s="2088" t="str">
        <f t="shared" si="0"/>
        <v>1975-Q1</v>
      </c>
      <c r="D43" s="211">
        <v>1975</v>
      </c>
      <c r="E43" s="252">
        <v>51</v>
      </c>
      <c r="F43" s="252">
        <v>38</v>
      </c>
      <c r="G43" s="252">
        <f t="shared" si="1"/>
        <v>44.5</v>
      </c>
      <c r="I43" s="2088">
        <v>27759</v>
      </c>
      <c r="J43" s="230">
        <v>979569</v>
      </c>
      <c r="K43" s="278">
        <f>AVERAGE(J39,J43)</f>
        <v>979569</v>
      </c>
      <c r="L43" s="252">
        <f>K43*E43</f>
        <v>49958019</v>
      </c>
      <c r="M43" s="252">
        <f>K43*F43</f>
        <v>37223622</v>
      </c>
      <c r="N43" s="252">
        <f t="shared" si="2"/>
        <v>43590820.5</v>
      </c>
      <c r="P43" s="252">
        <f>'4. Financials'!O84</f>
        <v>92890192</v>
      </c>
      <c r="Q43" s="252">
        <f>AVERAGE(P39,P43)</f>
        <v>90544409.5</v>
      </c>
      <c r="S43" s="348">
        <f>L43/Q43</f>
        <v>0.55175155789160013</v>
      </c>
      <c r="T43" s="348">
        <f>M43/Q43</f>
        <v>0.4111090039192315</v>
      </c>
      <c r="U43" s="1043">
        <f t="shared" si="3"/>
        <v>0.48143028090541584</v>
      </c>
      <c r="V43" s="2088" t="str">
        <f>Table24[[#This Row],[Column3]]</f>
        <v>1975-Q1</v>
      </c>
    </row>
    <row r="44" spans="1:22" x14ac:dyDescent="0.3">
      <c r="A44" s="211">
        <f t="shared" si="6"/>
        <v>1975</v>
      </c>
      <c r="B44" s="211" t="str">
        <f t="shared" si="7"/>
        <v>Q2</v>
      </c>
      <c r="C44" s="2088" t="str">
        <f t="shared" si="0"/>
        <v>1975-Q2</v>
      </c>
      <c r="E44" s="252">
        <v>51</v>
      </c>
      <c r="F44" s="252">
        <v>45</v>
      </c>
      <c r="G44" s="252">
        <f t="shared" si="1"/>
        <v>48</v>
      </c>
      <c r="J44" s="230"/>
      <c r="L44" s="252">
        <f>K43*E44</f>
        <v>49958019</v>
      </c>
      <c r="M44" s="252">
        <f>K43*F44</f>
        <v>44080605</v>
      </c>
      <c r="N44" s="252">
        <f t="shared" si="2"/>
        <v>47019312</v>
      </c>
      <c r="P44" s="252"/>
      <c r="Q44" s="252"/>
      <c r="S44" s="348">
        <f>L44/Q43</f>
        <v>0.55175155789160013</v>
      </c>
      <c r="T44" s="348">
        <f>M44/Q43</f>
        <v>0.48683960990435304</v>
      </c>
      <c r="U44" s="1043">
        <f t="shared" si="3"/>
        <v>0.51929558389797659</v>
      </c>
      <c r="V44" s="2088" t="str">
        <f>Table24[[#This Row],[Column3]]</f>
        <v>1975-Q2</v>
      </c>
    </row>
    <row r="45" spans="1:22" x14ac:dyDescent="0.3">
      <c r="A45" s="211">
        <f t="shared" si="6"/>
        <v>1975</v>
      </c>
      <c r="B45" s="211" t="str">
        <f t="shared" si="7"/>
        <v>Q3</v>
      </c>
      <c r="C45" s="2088" t="str">
        <f t="shared" si="0"/>
        <v>1975-Q3</v>
      </c>
      <c r="E45" s="252">
        <v>60</v>
      </c>
      <c r="F45" s="252">
        <v>41</v>
      </c>
      <c r="G45" s="252">
        <f t="shared" si="1"/>
        <v>50.5</v>
      </c>
      <c r="J45" s="230"/>
      <c r="L45" s="252">
        <f>K43*E45</f>
        <v>58774140</v>
      </c>
      <c r="M45" s="252">
        <f>K43*F45</f>
        <v>40162329</v>
      </c>
      <c r="N45" s="252">
        <f t="shared" si="2"/>
        <v>49468234.5</v>
      </c>
      <c r="P45" s="252"/>
      <c r="Q45" s="252"/>
      <c r="S45" s="348">
        <f>L45/Q43</f>
        <v>0.64911947987247076</v>
      </c>
      <c r="T45" s="348">
        <f>M45/Q43</f>
        <v>0.44356497791285504</v>
      </c>
      <c r="U45" s="1043">
        <f t="shared" si="3"/>
        <v>0.54634222889266293</v>
      </c>
      <c r="V45" s="2088" t="str">
        <f>Table24[[#This Row],[Column3]]</f>
        <v>1975-Q3</v>
      </c>
    </row>
    <row r="46" spans="1:22" x14ac:dyDescent="0.3">
      <c r="A46" s="211">
        <f t="shared" si="6"/>
        <v>1975</v>
      </c>
      <c r="B46" s="211" t="str">
        <f t="shared" si="7"/>
        <v>Q4</v>
      </c>
      <c r="C46" s="2088" t="str">
        <f t="shared" si="0"/>
        <v>1975-Q4</v>
      </c>
      <c r="E46" s="252">
        <v>43</v>
      </c>
      <c r="F46" s="252">
        <v>38</v>
      </c>
      <c r="G46" s="252">
        <f t="shared" si="1"/>
        <v>40.5</v>
      </c>
      <c r="J46" s="230"/>
      <c r="L46" s="252">
        <f>K43*E46</f>
        <v>42121467</v>
      </c>
      <c r="M46" s="252">
        <f>K43*F46</f>
        <v>37223622</v>
      </c>
      <c r="N46" s="252">
        <f t="shared" si="2"/>
        <v>39672544.5</v>
      </c>
      <c r="P46" s="252"/>
      <c r="Q46" s="252"/>
      <c r="S46" s="348">
        <f>L46/Q43</f>
        <v>0.46520229390860407</v>
      </c>
      <c r="T46" s="348">
        <f>M46/Q43</f>
        <v>0.4111090039192315</v>
      </c>
      <c r="U46" s="1043">
        <f t="shared" si="3"/>
        <v>0.43815564891391778</v>
      </c>
      <c r="V46" s="2088" t="str">
        <f>Table24[[#This Row],[Column3]]</f>
        <v>1975-Q4</v>
      </c>
    </row>
    <row r="47" spans="1:22" x14ac:dyDescent="0.3">
      <c r="A47" s="211">
        <f t="shared" si="6"/>
        <v>1976</v>
      </c>
      <c r="B47" s="211" t="str">
        <f t="shared" si="7"/>
        <v>Q1</v>
      </c>
      <c r="C47" s="2088" t="str">
        <f t="shared" si="0"/>
        <v>1976-Q1</v>
      </c>
      <c r="D47" s="211">
        <v>1976</v>
      </c>
      <c r="E47" s="252">
        <v>56</v>
      </c>
      <c r="F47" s="252">
        <v>38</v>
      </c>
      <c r="G47" s="252">
        <f t="shared" si="1"/>
        <v>47</v>
      </c>
      <c r="I47" s="2088">
        <v>28125</v>
      </c>
      <c r="J47" s="230">
        <v>972922</v>
      </c>
      <c r="K47" s="278">
        <f>AVERAGE(J43,J47)</f>
        <v>976245.5</v>
      </c>
      <c r="L47" s="252">
        <f>K47*E47</f>
        <v>54669748</v>
      </c>
      <c r="M47" s="252">
        <f>K47*F47</f>
        <v>37097329</v>
      </c>
      <c r="N47" s="252">
        <f t="shared" si="2"/>
        <v>45883538.5</v>
      </c>
      <c r="P47" s="252">
        <f>'4. Financials'!N84</f>
        <v>115293133</v>
      </c>
      <c r="Q47" s="252">
        <f>AVERAGE(P43,P47)</f>
        <v>104091662.5</v>
      </c>
      <c r="S47" s="348">
        <f>L47/Q47</f>
        <v>0.52520775138931031</v>
      </c>
      <c r="T47" s="348">
        <f>M47/Q47</f>
        <v>0.35639097415703203</v>
      </c>
      <c r="U47" s="1043">
        <f t="shared" si="3"/>
        <v>0.44079936277317117</v>
      </c>
      <c r="V47" s="2088" t="str">
        <f>Table24[[#This Row],[Column3]]</f>
        <v>1976-Q1</v>
      </c>
    </row>
    <row r="48" spans="1:22" x14ac:dyDescent="0.3">
      <c r="A48" s="211">
        <f t="shared" si="6"/>
        <v>1976</v>
      </c>
      <c r="B48" s="211" t="str">
        <f t="shared" si="7"/>
        <v>Q2</v>
      </c>
      <c r="C48" s="2088" t="str">
        <f t="shared" si="0"/>
        <v>1976-Q2</v>
      </c>
      <c r="E48" s="252">
        <v>60</v>
      </c>
      <c r="F48" s="252">
        <v>55</v>
      </c>
      <c r="G48" s="252">
        <f t="shared" si="1"/>
        <v>57.5</v>
      </c>
      <c r="J48" s="230"/>
      <c r="L48" s="252">
        <f>K47*E48</f>
        <v>58574730</v>
      </c>
      <c r="M48" s="252">
        <f>K47*F48</f>
        <v>53693502.5</v>
      </c>
      <c r="N48" s="252">
        <f t="shared" si="2"/>
        <v>56134116.25</v>
      </c>
      <c r="P48" s="252"/>
      <c r="Q48" s="252"/>
      <c r="S48" s="348">
        <f>L48/Q47</f>
        <v>0.56272259077426112</v>
      </c>
      <c r="T48" s="348">
        <f>M48/Q47</f>
        <v>0.51582904154307263</v>
      </c>
      <c r="U48" s="1043">
        <f t="shared" si="3"/>
        <v>0.53927581615866682</v>
      </c>
      <c r="V48" s="2088" t="str">
        <f>Table24[[#This Row],[Column3]]</f>
        <v>1976-Q2</v>
      </c>
    </row>
    <row r="49" spans="1:22" x14ac:dyDescent="0.3">
      <c r="A49" s="211">
        <f t="shared" si="6"/>
        <v>1976</v>
      </c>
      <c r="B49" s="211" t="str">
        <f t="shared" si="7"/>
        <v>Q3</v>
      </c>
      <c r="C49" s="2088" t="str">
        <f t="shared" si="0"/>
        <v>1976-Q3</v>
      </c>
      <c r="E49" s="252">
        <v>73</v>
      </c>
      <c r="F49" s="252">
        <v>61</v>
      </c>
      <c r="G49" s="252">
        <f t="shared" si="1"/>
        <v>67</v>
      </c>
      <c r="J49" s="230"/>
      <c r="L49" s="252">
        <f>K47*E49</f>
        <v>71265921.5</v>
      </c>
      <c r="M49" s="252">
        <f>K47*F49</f>
        <v>59550975.5</v>
      </c>
      <c r="N49" s="252">
        <f t="shared" si="2"/>
        <v>65408448.5</v>
      </c>
      <c r="P49" s="252"/>
      <c r="Q49" s="252"/>
      <c r="S49" s="348">
        <f>L49/Q47</f>
        <v>0.68464581877535102</v>
      </c>
      <c r="T49" s="348">
        <f>M49/Q47</f>
        <v>0.5721013006204988</v>
      </c>
      <c r="U49" s="1043">
        <f t="shared" si="3"/>
        <v>0.62837355969792497</v>
      </c>
      <c r="V49" s="2088" t="str">
        <f>Table24[[#This Row],[Column3]]</f>
        <v>1976-Q3</v>
      </c>
    </row>
    <row r="50" spans="1:22" x14ac:dyDescent="0.3">
      <c r="A50" s="211">
        <f t="shared" si="6"/>
        <v>1976</v>
      </c>
      <c r="B50" s="211" t="str">
        <f t="shared" si="7"/>
        <v>Q4</v>
      </c>
      <c r="C50" s="2088" t="str">
        <f t="shared" si="0"/>
        <v>1976-Q4</v>
      </c>
      <c r="E50" s="252">
        <v>95</v>
      </c>
      <c r="F50" s="252">
        <v>66</v>
      </c>
      <c r="G50" s="252">
        <f t="shared" si="1"/>
        <v>80.5</v>
      </c>
      <c r="J50" s="230"/>
      <c r="L50" s="252">
        <f>K47*E50</f>
        <v>92743322.5</v>
      </c>
      <c r="M50" s="252">
        <f>K47*F50</f>
        <v>64432203</v>
      </c>
      <c r="N50" s="252">
        <f t="shared" si="2"/>
        <v>78587762.75</v>
      </c>
      <c r="P50" s="252"/>
      <c r="Q50" s="252"/>
      <c r="S50" s="348">
        <f>L50/Q47</f>
        <v>0.89097743539258012</v>
      </c>
      <c r="T50" s="348">
        <f>M50/Q47</f>
        <v>0.61899484985168718</v>
      </c>
      <c r="U50" s="1043">
        <f t="shared" si="3"/>
        <v>0.75498614262213359</v>
      </c>
      <c r="V50" s="2088" t="str">
        <f>Table24[[#This Row],[Column3]]</f>
        <v>1976-Q4</v>
      </c>
    </row>
    <row r="51" spans="1:22" x14ac:dyDescent="0.3">
      <c r="A51" s="211">
        <f t="shared" si="6"/>
        <v>1977</v>
      </c>
      <c r="B51" s="211" t="str">
        <f t="shared" si="7"/>
        <v>Q1</v>
      </c>
      <c r="C51" s="2088" t="str">
        <f t="shared" si="0"/>
        <v>1977-Q1</v>
      </c>
      <c r="D51" s="211">
        <v>1977</v>
      </c>
      <c r="E51" s="252">
        <v>97</v>
      </c>
      <c r="F51" s="252">
        <v>85</v>
      </c>
      <c r="G51" s="252">
        <f t="shared" si="1"/>
        <v>91</v>
      </c>
      <c r="I51" s="2088">
        <v>28490</v>
      </c>
      <c r="J51" s="230">
        <v>1030680</v>
      </c>
      <c r="K51" s="278">
        <f>AVERAGE(J47,J51)</f>
        <v>1001801</v>
      </c>
      <c r="L51" s="252">
        <f>K51*E51</f>
        <v>97174697</v>
      </c>
      <c r="M51" s="252">
        <f>K51*F51</f>
        <v>85153085</v>
      </c>
      <c r="N51" s="252">
        <f t="shared" si="2"/>
        <v>91163891</v>
      </c>
      <c r="P51" s="252">
        <f>'4. Financials'!M84</f>
        <v>141788403</v>
      </c>
      <c r="Q51" s="252">
        <f>AVERAGE(P47,P51)</f>
        <v>128540768</v>
      </c>
      <c r="S51" s="348">
        <f>L51/Q51</f>
        <v>0.75598347910913366</v>
      </c>
      <c r="T51" s="348">
        <f>M51/Q51</f>
        <v>0.66245974973480792</v>
      </c>
      <c r="U51" s="1043">
        <f t="shared" si="3"/>
        <v>0.70922161442197074</v>
      </c>
      <c r="V51" s="2088" t="str">
        <f>Table24[[#This Row],[Column3]]</f>
        <v>1977-Q1</v>
      </c>
    </row>
    <row r="52" spans="1:22" x14ac:dyDescent="0.3">
      <c r="A52" s="211">
        <f t="shared" si="6"/>
        <v>1977</v>
      </c>
      <c r="B52" s="211" t="str">
        <f t="shared" si="7"/>
        <v>Q2</v>
      </c>
      <c r="C52" s="2088" t="str">
        <f t="shared" si="0"/>
        <v>1977-Q2</v>
      </c>
      <c r="E52" s="252">
        <v>100</v>
      </c>
      <c r="F52" s="252">
        <v>95</v>
      </c>
      <c r="G52" s="252">
        <f t="shared" si="1"/>
        <v>97.5</v>
      </c>
      <c r="J52" s="230"/>
      <c r="L52" s="252">
        <f>K51*E52</f>
        <v>100180100</v>
      </c>
      <c r="M52" s="252">
        <f>K51*F52</f>
        <v>95171095</v>
      </c>
      <c r="N52" s="252">
        <f t="shared" si="2"/>
        <v>97675597.5</v>
      </c>
      <c r="P52" s="252"/>
      <c r="Q52" s="252"/>
      <c r="S52" s="348">
        <f>L52/Q51</f>
        <v>0.77936441145271518</v>
      </c>
      <c r="T52" s="348">
        <f>M52/Q51</f>
        <v>0.74039619088007935</v>
      </c>
      <c r="U52" s="1043">
        <f t="shared" si="3"/>
        <v>0.75988030116639727</v>
      </c>
      <c r="V52" s="2088" t="str">
        <f>Table24[[#This Row],[Column3]]</f>
        <v>1977-Q2</v>
      </c>
    </row>
    <row r="53" spans="1:22" x14ac:dyDescent="0.3">
      <c r="A53" s="211">
        <f t="shared" si="6"/>
        <v>1977</v>
      </c>
      <c r="B53" s="211" t="str">
        <f t="shared" si="7"/>
        <v>Q3</v>
      </c>
      <c r="C53" s="2088" t="str">
        <f t="shared" si="0"/>
        <v>1977-Q3</v>
      </c>
      <c r="E53" s="252">
        <v>107</v>
      </c>
      <c r="F53" s="252">
        <v>100</v>
      </c>
      <c r="G53" s="252">
        <f t="shared" si="1"/>
        <v>103.5</v>
      </c>
      <c r="J53" s="230"/>
      <c r="L53" s="252">
        <f>K51*E53</f>
        <v>107192707</v>
      </c>
      <c r="M53" s="252">
        <f>K51*F53</f>
        <v>100180100</v>
      </c>
      <c r="N53" s="252">
        <f t="shared" si="2"/>
        <v>103686403.5</v>
      </c>
      <c r="P53" s="252"/>
      <c r="Q53" s="252"/>
      <c r="S53" s="348">
        <f>L53/Q51</f>
        <v>0.8339199202544052</v>
      </c>
      <c r="T53" s="348">
        <f>M53/Q51</f>
        <v>0.77936441145271518</v>
      </c>
      <c r="U53" s="1043">
        <f t="shared" si="3"/>
        <v>0.80664216585356019</v>
      </c>
      <c r="V53" s="2088" t="str">
        <f>Table24[[#This Row],[Column3]]</f>
        <v>1977-Q3</v>
      </c>
    </row>
    <row r="54" spans="1:22" x14ac:dyDescent="0.3">
      <c r="A54" s="211">
        <f t="shared" si="6"/>
        <v>1977</v>
      </c>
      <c r="B54" s="211" t="str">
        <f t="shared" si="7"/>
        <v>Q4</v>
      </c>
      <c r="C54" s="2088" t="str">
        <f t="shared" si="0"/>
        <v>1977-Q4</v>
      </c>
      <c r="E54" s="252">
        <v>139</v>
      </c>
      <c r="F54" s="252">
        <v>107</v>
      </c>
      <c r="G54" s="252">
        <f t="shared" si="1"/>
        <v>123</v>
      </c>
      <c r="J54" s="230"/>
      <c r="L54" s="252">
        <f>K51*E54</f>
        <v>139250339</v>
      </c>
      <c r="M54" s="252">
        <f>K51*F54</f>
        <v>107192707</v>
      </c>
      <c r="N54" s="252">
        <f t="shared" si="2"/>
        <v>123221523</v>
      </c>
      <c r="P54" s="252"/>
      <c r="Q54" s="252"/>
      <c r="S54" s="348">
        <f>L54/Q51</f>
        <v>1.0833165319192741</v>
      </c>
      <c r="T54" s="348">
        <f>M54/Q51</f>
        <v>0.8339199202544052</v>
      </c>
      <c r="U54" s="1043">
        <f t="shared" si="3"/>
        <v>0.95861822608683966</v>
      </c>
      <c r="V54" s="2088" t="str">
        <f>Table24[[#This Row],[Column3]]</f>
        <v>1977-Q4</v>
      </c>
    </row>
    <row r="55" spans="1:22" x14ac:dyDescent="0.3">
      <c r="A55" s="211">
        <f t="shared" si="6"/>
        <v>1978</v>
      </c>
      <c r="B55" s="211" t="str">
        <f t="shared" si="7"/>
        <v>Q1</v>
      </c>
      <c r="C55" s="2088" t="str">
        <f t="shared" si="0"/>
        <v>1978-Q1</v>
      </c>
      <c r="D55" s="211">
        <v>1978</v>
      </c>
      <c r="E55" s="252">
        <v>142</v>
      </c>
      <c r="F55" s="252">
        <v>134</v>
      </c>
      <c r="G55" s="252">
        <f t="shared" si="1"/>
        <v>138</v>
      </c>
      <c r="I55" s="2088">
        <v>28855</v>
      </c>
      <c r="J55" s="230">
        <v>1027145</v>
      </c>
      <c r="K55" s="278">
        <f>AVERAGE(J51,J55)</f>
        <v>1028912.5</v>
      </c>
      <c r="L55" s="252">
        <f>K55*E55</f>
        <v>146105575</v>
      </c>
      <c r="M55" s="252">
        <f>K55*F55</f>
        <v>137874275</v>
      </c>
      <c r="N55" s="252">
        <f t="shared" si="2"/>
        <v>141989925</v>
      </c>
      <c r="P55" s="252">
        <f>'4. Financials'!J84</f>
        <v>254166000</v>
      </c>
      <c r="Q55" s="252">
        <f>AVERAGE(P51,P55)</f>
        <v>197977201.5</v>
      </c>
      <c r="S55" s="348">
        <f>L55/Q55</f>
        <v>0.73799191974132439</v>
      </c>
      <c r="T55" s="348">
        <f>M55/Q55</f>
        <v>0.69641491017843282</v>
      </c>
      <c r="U55" s="1043">
        <f t="shared" si="3"/>
        <v>0.7172034149598786</v>
      </c>
      <c r="V55" s="2088" t="str">
        <f>Table24[[#This Row],[Column3]]</f>
        <v>1978-Q1</v>
      </c>
    </row>
    <row r="56" spans="1:22" x14ac:dyDescent="0.3">
      <c r="A56" s="211">
        <f t="shared" si="6"/>
        <v>1978</v>
      </c>
      <c r="B56" s="211" t="str">
        <f t="shared" si="7"/>
        <v>Q2</v>
      </c>
      <c r="C56" s="2088" t="str">
        <f t="shared" si="0"/>
        <v>1978-Q2</v>
      </c>
      <c r="E56" s="252">
        <v>180</v>
      </c>
      <c r="F56" s="252">
        <v>142</v>
      </c>
      <c r="G56" s="252">
        <f t="shared" si="1"/>
        <v>161</v>
      </c>
      <c r="J56" s="230"/>
      <c r="L56" s="252">
        <f>K55*E56</f>
        <v>185204250</v>
      </c>
      <c r="M56" s="252">
        <f>K55*F56</f>
        <v>146105575</v>
      </c>
      <c r="N56" s="252">
        <f t="shared" si="2"/>
        <v>165654912.5</v>
      </c>
      <c r="P56" s="252"/>
      <c r="Q56" s="252"/>
      <c r="S56" s="348">
        <f>L56/Q55</f>
        <v>0.9354827151650591</v>
      </c>
      <c r="T56" s="348">
        <f>M56/Q55</f>
        <v>0.73799191974132439</v>
      </c>
      <c r="U56" s="1043">
        <f t="shared" si="3"/>
        <v>0.8367373174531918</v>
      </c>
      <c r="V56" s="2088" t="str">
        <f>Table24[[#This Row],[Column3]]</f>
        <v>1978-Q2</v>
      </c>
    </row>
    <row r="57" spans="1:22" x14ac:dyDescent="0.3">
      <c r="A57" s="211">
        <f t="shared" si="6"/>
        <v>1978</v>
      </c>
      <c r="B57" s="211" t="str">
        <f t="shared" si="7"/>
        <v>Q3</v>
      </c>
      <c r="C57" s="2088" t="str">
        <f t="shared" si="0"/>
        <v>1978-Q3</v>
      </c>
      <c r="E57" s="252">
        <v>180</v>
      </c>
      <c r="F57" s="252">
        <v>165</v>
      </c>
      <c r="G57" s="252">
        <f t="shared" si="1"/>
        <v>172.5</v>
      </c>
      <c r="J57" s="230"/>
      <c r="L57" s="252">
        <f>K55*E57</f>
        <v>185204250</v>
      </c>
      <c r="M57" s="252">
        <f>K55*F57</f>
        <v>169770562.5</v>
      </c>
      <c r="N57" s="252">
        <f t="shared" si="2"/>
        <v>177487406.25</v>
      </c>
      <c r="P57" s="252"/>
      <c r="Q57" s="252"/>
      <c r="S57" s="348">
        <f>L57/Q55</f>
        <v>0.9354827151650591</v>
      </c>
      <c r="T57" s="348">
        <f>M57/Q55</f>
        <v>0.85752582223463747</v>
      </c>
      <c r="U57" s="1043">
        <f t="shared" si="3"/>
        <v>0.89650426869984834</v>
      </c>
      <c r="V57" s="2088" t="str">
        <f>Table24[[#This Row],[Column3]]</f>
        <v>1978-Q3</v>
      </c>
    </row>
    <row r="58" spans="1:22" x14ac:dyDescent="0.3">
      <c r="A58" s="211">
        <f t="shared" si="6"/>
        <v>1978</v>
      </c>
      <c r="B58" s="211" t="str">
        <f t="shared" si="7"/>
        <v>Q4</v>
      </c>
      <c r="C58" s="2088" t="str">
        <f t="shared" si="0"/>
        <v>1978-Q4</v>
      </c>
      <c r="E58" s="252">
        <v>189</v>
      </c>
      <c r="F58" s="252">
        <v>152</v>
      </c>
      <c r="G58" s="252">
        <f t="shared" si="1"/>
        <v>170.5</v>
      </c>
      <c r="J58" s="230"/>
      <c r="L58" s="252">
        <f>K55*E58</f>
        <v>194464462.5</v>
      </c>
      <c r="M58" s="252">
        <f>K55*F58</f>
        <v>156394700</v>
      </c>
      <c r="N58" s="252">
        <f t="shared" si="2"/>
        <v>175429581.25</v>
      </c>
      <c r="P58" s="252"/>
      <c r="Q58" s="252"/>
      <c r="S58" s="348">
        <f>L58/Q55</f>
        <v>0.98225685092331194</v>
      </c>
      <c r="T58" s="348">
        <f>M58/Q55</f>
        <v>0.78996318169493873</v>
      </c>
      <c r="U58" s="1043">
        <f t="shared" si="3"/>
        <v>0.88611001630912534</v>
      </c>
      <c r="V58" s="2088" t="str">
        <f>Table24[[#This Row],[Column3]]</f>
        <v>1978-Q4</v>
      </c>
    </row>
    <row r="59" spans="1:22" x14ac:dyDescent="0.3">
      <c r="A59" s="211">
        <f t="shared" si="6"/>
        <v>1979</v>
      </c>
      <c r="B59" s="211" t="str">
        <f t="shared" si="7"/>
        <v>Q1</v>
      </c>
      <c r="C59" s="2088" t="str">
        <f t="shared" si="0"/>
        <v>1979-Q1</v>
      </c>
      <c r="D59" s="211">
        <v>1979</v>
      </c>
      <c r="E59" s="252">
        <v>185</v>
      </c>
      <c r="F59" s="252">
        <v>154</v>
      </c>
      <c r="G59" s="252">
        <f t="shared" si="1"/>
        <v>169.5</v>
      </c>
      <c r="I59" s="2088">
        <v>29220</v>
      </c>
      <c r="J59" s="230">
        <v>1027145</v>
      </c>
      <c r="K59" s="278">
        <f>AVERAGE(J55,J59)</f>
        <v>1027145</v>
      </c>
      <c r="L59" s="252">
        <f>K59*E59</f>
        <v>190021825</v>
      </c>
      <c r="M59" s="252">
        <f>K59*F59</f>
        <v>158180330</v>
      </c>
      <c r="N59" s="252">
        <f t="shared" si="2"/>
        <v>174101077.5</v>
      </c>
      <c r="P59" s="252">
        <f>'4. Financials'!I84</f>
        <v>344962000</v>
      </c>
      <c r="Q59" s="252">
        <f>AVERAGE(P55,P59)</f>
        <v>299564000</v>
      </c>
      <c r="S59" s="348">
        <f>L59/Q59</f>
        <v>0.63432797332122681</v>
      </c>
      <c r="T59" s="348">
        <f>M59/Q59</f>
        <v>0.52803517779172393</v>
      </c>
      <c r="U59" s="1043">
        <f t="shared" si="3"/>
        <v>0.58118157555647532</v>
      </c>
      <c r="V59" s="2088" t="str">
        <f>Table24[[#This Row],[Column3]]</f>
        <v>1979-Q1</v>
      </c>
    </row>
    <row r="60" spans="1:22" x14ac:dyDescent="0.3">
      <c r="A60" s="211">
        <f t="shared" si="6"/>
        <v>1979</v>
      </c>
      <c r="B60" s="211" t="str">
        <f t="shared" si="7"/>
        <v>Q2</v>
      </c>
      <c r="C60" s="2088" t="str">
        <f t="shared" si="0"/>
        <v>1979-Q2</v>
      </c>
      <c r="E60" s="252">
        <v>215</v>
      </c>
      <c r="F60" s="252">
        <v>185</v>
      </c>
      <c r="G60" s="252">
        <f t="shared" si="1"/>
        <v>200</v>
      </c>
      <c r="J60" s="230"/>
      <c r="L60" s="252">
        <f>K59*E60</f>
        <v>220836175</v>
      </c>
      <c r="M60" s="252">
        <f>K59*F60</f>
        <v>190021825</v>
      </c>
      <c r="N60" s="252">
        <f t="shared" si="2"/>
        <v>205429000</v>
      </c>
      <c r="P60" s="252"/>
      <c r="Q60" s="252"/>
      <c r="S60" s="348">
        <f>L60/Q59</f>
        <v>0.73719196899493933</v>
      </c>
      <c r="T60" s="348">
        <f>M60/Q59</f>
        <v>0.63432797332122681</v>
      </c>
      <c r="U60" s="1043">
        <f t="shared" si="3"/>
        <v>0.68575997115808307</v>
      </c>
      <c r="V60" s="2088" t="str">
        <f>Table24[[#This Row],[Column3]]</f>
        <v>1979-Q2</v>
      </c>
    </row>
    <row r="61" spans="1:22" x14ac:dyDescent="0.3">
      <c r="A61" s="211">
        <f t="shared" si="6"/>
        <v>1979</v>
      </c>
      <c r="B61" s="211" t="str">
        <f t="shared" si="7"/>
        <v>Q3</v>
      </c>
      <c r="C61" s="2088" t="str">
        <f t="shared" si="0"/>
        <v>1979-Q3</v>
      </c>
      <c r="E61" s="252">
        <v>350</v>
      </c>
      <c r="F61" s="252">
        <v>215</v>
      </c>
      <c r="G61" s="252">
        <f t="shared" si="1"/>
        <v>282.5</v>
      </c>
      <c r="J61" s="230"/>
      <c r="L61" s="252">
        <f>K59*E61</f>
        <v>359500750</v>
      </c>
      <c r="M61" s="252">
        <f>K59*F61</f>
        <v>220836175</v>
      </c>
      <c r="N61" s="252">
        <f t="shared" si="2"/>
        <v>290168462.5</v>
      </c>
      <c r="P61" s="252"/>
      <c r="Q61" s="252"/>
      <c r="S61" s="348">
        <f>L61/Q59</f>
        <v>1.2000799495266454</v>
      </c>
      <c r="T61" s="348">
        <f>M61/Q59</f>
        <v>0.73719196899493933</v>
      </c>
      <c r="U61" s="1043">
        <f t="shared" si="3"/>
        <v>0.96863595926079238</v>
      </c>
      <c r="V61" s="2088" t="str">
        <f>Table24[[#This Row],[Column3]]</f>
        <v>1979-Q3</v>
      </c>
    </row>
    <row r="62" spans="1:22" x14ac:dyDescent="0.3">
      <c r="A62" s="211">
        <f t="shared" si="6"/>
        <v>1979</v>
      </c>
      <c r="B62" s="211" t="str">
        <f t="shared" si="7"/>
        <v>Q4</v>
      </c>
      <c r="C62" s="2088" t="str">
        <f t="shared" si="0"/>
        <v>1979-Q4</v>
      </c>
      <c r="E62" s="252">
        <v>335</v>
      </c>
      <c r="F62" s="252">
        <v>240</v>
      </c>
      <c r="G62" s="252">
        <f t="shared" si="1"/>
        <v>287.5</v>
      </c>
      <c r="J62" s="230"/>
      <c r="L62" s="252">
        <f>K59*E62</f>
        <v>344093575</v>
      </c>
      <c r="M62" s="252">
        <f>K59*F62</f>
        <v>246514800</v>
      </c>
      <c r="N62" s="252">
        <f t="shared" si="2"/>
        <v>295304187.5</v>
      </c>
      <c r="P62" s="252"/>
      <c r="Q62" s="252"/>
      <c r="S62" s="348">
        <f>L62/Q59</f>
        <v>1.1486479516897892</v>
      </c>
      <c r="T62" s="348">
        <f>M62/Q59</f>
        <v>0.82291196538969968</v>
      </c>
      <c r="U62" s="1043">
        <f t="shared" si="3"/>
        <v>0.98577995853974443</v>
      </c>
      <c r="V62" s="2088" t="str">
        <f>Table24[[#This Row],[Column3]]</f>
        <v>1979-Q4</v>
      </c>
    </row>
    <row r="63" spans="1:22" x14ac:dyDescent="0.3">
      <c r="A63" s="211">
        <f t="shared" si="6"/>
        <v>1980</v>
      </c>
      <c r="B63" s="211" t="str">
        <f t="shared" si="7"/>
        <v>Q1</v>
      </c>
      <c r="C63" s="2088" t="str">
        <f t="shared" si="0"/>
        <v>1980-Q1</v>
      </c>
      <c r="D63" s="211">
        <v>1980</v>
      </c>
      <c r="E63" s="252">
        <v>360</v>
      </c>
      <c r="F63" s="252">
        <v>260</v>
      </c>
      <c r="G63" s="252">
        <f t="shared" si="1"/>
        <v>310</v>
      </c>
      <c r="I63" s="2088">
        <v>29586</v>
      </c>
      <c r="J63" s="230">
        <v>986059</v>
      </c>
      <c r="K63" s="278">
        <f>AVERAGE(J59,J63)</f>
        <v>1006602</v>
      </c>
      <c r="L63" s="252">
        <f>K63*E63</f>
        <v>362376720</v>
      </c>
      <c r="M63" s="252">
        <f>K63*F63</f>
        <v>261716520</v>
      </c>
      <c r="N63" s="252">
        <f t="shared" si="2"/>
        <v>312046620</v>
      </c>
      <c r="P63" s="252">
        <f>'4. Financials'!H84</f>
        <v>395214000</v>
      </c>
      <c r="Q63" s="252">
        <f>AVERAGE(P59,P63)</f>
        <v>370088000</v>
      </c>
      <c r="S63" s="348">
        <f>L63/Q63</f>
        <v>0.97916365837314367</v>
      </c>
      <c r="T63" s="348">
        <f>M63/Q63</f>
        <v>0.70717375326949261</v>
      </c>
      <c r="U63" s="1043">
        <f t="shared" si="3"/>
        <v>0.8431687058213182</v>
      </c>
      <c r="V63" s="2088" t="str">
        <f>Table24[[#This Row],[Column3]]</f>
        <v>1980-Q1</v>
      </c>
    </row>
    <row r="64" spans="1:22" x14ac:dyDescent="0.3">
      <c r="A64" s="211">
        <f t="shared" si="6"/>
        <v>1980</v>
      </c>
      <c r="B64" s="211" t="str">
        <f t="shared" si="7"/>
        <v>Q2</v>
      </c>
      <c r="C64" s="2088" t="str">
        <f t="shared" si="0"/>
        <v>1980-Q2</v>
      </c>
      <c r="E64" s="252">
        <v>340</v>
      </c>
      <c r="F64" s="252">
        <v>250</v>
      </c>
      <c r="G64" s="252">
        <f t="shared" si="1"/>
        <v>295</v>
      </c>
      <c r="J64" s="230"/>
      <c r="L64" s="252">
        <f>K63*E64</f>
        <v>342244680</v>
      </c>
      <c r="M64" s="252">
        <f>K63*F64</f>
        <v>251650500</v>
      </c>
      <c r="N64" s="252">
        <f t="shared" si="2"/>
        <v>296947590</v>
      </c>
      <c r="P64" s="252"/>
      <c r="Q64" s="252"/>
      <c r="S64" s="348">
        <f>L64/Q63</f>
        <v>0.92476567735241344</v>
      </c>
      <c r="T64" s="348">
        <f>M64/Q63</f>
        <v>0.6799747627591276</v>
      </c>
      <c r="U64" s="1043">
        <f t="shared" si="3"/>
        <v>0.80237022005577052</v>
      </c>
      <c r="V64" s="2088" t="str">
        <f>Table24[[#This Row],[Column3]]</f>
        <v>1980-Q2</v>
      </c>
    </row>
    <row r="65" spans="1:22" x14ac:dyDescent="0.3">
      <c r="A65" s="211">
        <f t="shared" si="6"/>
        <v>1980</v>
      </c>
      <c r="B65" s="211" t="str">
        <f t="shared" si="7"/>
        <v>Q3</v>
      </c>
      <c r="C65" s="2088" t="str">
        <f t="shared" si="0"/>
        <v>1980-Q3</v>
      </c>
      <c r="E65" s="252">
        <v>415</v>
      </c>
      <c r="F65" s="252">
        <v>305</v>
      </c>
      <c r="G65" s="252">
        <f t="shared" si="1"/>
        <v>360</v>
      </c>
      <c r="J65" s="230"/>
      <c r="L65" s="252">
        <f>K63*E65</f>
        <v>417739830</v>
      </c>
      <c r="M65" s="252">
        <f>K63*F65</f>
        <v>307013610</v>
      </c>
      <c r="N65" s="252">
        <f t="shared" si="2"/>
        <v>362376720</v>
      </c>
      <c r="P65" s="252"/>
      <c r="Q65" s="252"/>
      <c r="S65" s="348">
        <f>L65/Q63</f>
        <v>1.1287581061801517</v>
      </c>
      <c r="T65" s="348">
        <f>M65/Q63</f>
        <v>0.82956921056613564</v>
      </c>
      <c r="U65" s="1043">
        <f t="shared" si="3"/>
        <v>0.97916365837314367</v>
      </c>
      <c r="V65" s="2088" t="str">
        <f>Table24[[#This Row],[Column3]]</f>
        <v>1980-Q3</v>
      </c>
    </row>
    <row r="66" spans="1:22" x14ac:dyDescent="0.3">
      <c r="A66" s="211">
        <f t="shared" si="6"/>
        <v>1980</v>
      </c>
      <c r="B66" s="211" t="str">
        <f t="shared" si="7"/>
        <v>Q4</v>
      </c>
      <c r="C66" s="2088" t="str">
        <f t="shared" si="0"/>
        <v>1980-Q4</v>
      </c>
      <c r="E66" s="252">
        <v>490</v>
      </c>
      <c r="F66" s="252">
        <v>385</v>
      </c>
      <c r="G66" s="252">
        <f t="shared" si="1"/>
        <v>437.5</v>
      </c>
      <c r="J66" s="230"/>
      <c r="L66" s="252">
        <f>K63*E66</f>
        <v>493234980</v>
      </c>
      <c r="M66" s="252">
        <f>K63*F66</f>
        <v>387541770</v>
      </c>
      <c r="N66" s="252">
        <f t="shared" si="2"/>
        <v>440388375</v>
      </c>
      <c r="P66" s="252"/>
      <c r="Q66" s="252"/>
      <c r="S66" s="348">
        <f>L66/Q63</f>
        <v>1.3327505350078901</v>
      </c>
      <c r="T66" s="348">
        <f>M66/Q63</f>
        <v>1.0471611346490564</v>
      </c>
      <c r="U66" s="1043">
        <f t="shared" si="3"/>
        <v>1.1899558348284733</v>
      </c>
      <c r="V66" s="2088" t="str">
        <f>Table24[[#This Row],[Column3]]</f>
        <v>1980-Q4</v>
      </c>
    </row>
    <row r="67" spans="1:22" x14ac:dyDescent="0.3">
      <c r="A67" s="211">
        <f t="shared" si="6"/>
        <v>1981</v>
      </c>
      <c r="B67" s="211" t="str">
        <f t="shared" si="7"/>
        <v>Q1</v>
      </c>
      <c r="C67" s="2088" t="str">
        <f t="shared" si="0"/>
        <v>1981-Q1</v>
      </c>
      <c r="D67" s="211">
        <v>1981</v>
      </c>
      <c r="E67" s="252">
        <v>505</v>
      </c>
      <c r="F67" s="252">
        <v>425</v>
      </c>
      <c r="G67" s="252">
        <f t="shared" si="1"/>
        <v>465</v>
      </c>
      <c r="I67" s="2088">
        <v>29951</v>
      </c>
      <c r="J67" s="230">
        <v>986509</v>
      </c>
      <c r="K67" s="278">
        <f>AVERAGE(J63,J67)</f>
        <v>986284</v>
      </c>
      <c r="L67" s="252">
        <f>K67*E67</f>
        <v>498073420</v>
      </c>
      <c r="M67" s="252">
        <f>K67*F67</f>
        <v>419170700</v>
      </c>
      <c r="N67" s="252">
        <f t="shared" si="2"/>
        <v>458622060</v>
      </c>
      <c r="P67" s="252">
        <f>'4. Financials'!G84</f>
        <v>519463000</v>
      </c>
      <c r="Q67" s="252">
        <f>AVERAGE(P63,P67)</f>
        <v>457338500</v>
      </c>
      <c r="S67" s="348">
        <f>L67/Q67</f>
        <v>1.0890695185294919</v>
      </c>
      <c r="T67" s="348">
        <f>M67/Q67</f>
        <v>0.91654365420798822</v>
      </c>
      <c r="U67" s="1043">
        <f t="shared" si="3"/>
        <v>1.0028065863687401</v>
      </c>
      <c r="V67" s="2088" t="str">
        <f>Table24[[#This Row],[Column3]]</f>
        <v>1981-Q1</v>
      </c>
    </row>
    <row r="68" spans="1:22" x14ac:dyDescent="0.3">
      <c r="A68" s="211">
        <f t="shared" si="6"/>
        <v>1981</v>
      </c>
      <c r="B68" s="211" t="str">
        <f t="shared" si="7"/>
        <v>Q2</v>
      </c>
      <c r="C68" s="2088" t="str">
        <f t="shared" ref="C68:C82" si="8">CONCATENATE(A68,"-",B68)</f>
        <v>1981-Q2</v>
      </c>
      <c r="E68" s="252">
        <v>525</v>
      </c>
      <c r="F68" s="252">
        <v>485</v>
      </c>
      <c r="G68" s="252">
        <f t="shared" si="1"/>
        <v>505</v>
      </c>
      <c r="J68" s="230"/>
      <c r="L68" s="252">
        <f>K67*E68</f>
        <v>517799100</v>
      </c>
      <c r="M68" s="252">
        <f>K67*F68</f>
        <v>478347740</v>
      </c>
      <c r="N68" s="252">
        <f t="shared" ref="N68:N82" si="9">AVERAGE(L68:M68)</f>
        <v>498073420</v>
      </c>
      <c r="P68" s="252"/>
      <c r="Q68" s="252"/>
      <c r="S68" s="348">
        <f>L68/Q67</f>
        <v>1.1322009846098677</v>
      </c>
      <c r="T68" s="348">
        <f>M68/Q67</f>
        <v>1.045938052449116</v>
      </c>
      <c r="U68" s="1043">
        <f t="shared" ref="U68:U82" si="10">AVERAGE(S68:T68)</f>
        <v>1.0890695185294919</v>
      </c>
      <c r="V68" s="2088" t="str">
        <f>Table24[[#This Row],[Column3]]</f>
        <v>1981-Q2</v>
      </c>
    </row>
    <row r="69" spans="1:22" x14ac:dyDescent="0.3">
      <c r="A69" s="211">
        <f t="shared" si="6"/>
        <v>1981</v>
      </c>
      <c r="B69" s="211" t="str">
        <f t="shared" si="7"/>
        <v>Q3</v>
      </c>
      <c r="C69" s="2088" t="str">
        <f t="shared" si="8"/>
        <v>1981-Q3</v>
      </c>
      <c r="E69" s="252">
        <v>520</v>
      </c>
      <c r="F69" s="252">
        <v>460</v>
      </c>
      <c r="G69" s="252">
        <f t="shared" si="1"/>
        <v>490</v>
      </c>
      <c r="J69" s="230"/>
      <c r="L69" s="252">
        <f>K67*E69</f>
        <v>512867680</v>
      </c>
      <c r="M69" s="252">
        <f>K67*F69</f>
        <v>453690640</v>
      </c>
      <c r="N69" s="252">
        <f t="shared" si="9"/>
        <v>483279160</v>
      </c>
      <c r="P69" s="252"/>
      <c r="Q69" s="252"/>
      <c r="S69" s="348">
        <f>L69/Q67</f>
        <v>1.1214181180897738</v>
      </c>
      <c r="T69" s="348">
        <f>M69/Q67</f>
        <v>0.99202371984864601</v>
      </c>
      <c r="U69" s="1043">
        <f t="shared" si="10"/>
        <v>1.0567209189692099</v>
      </c>
      <c r="V69" s="2088" t="str">
        <f>Table24[[#This Row],[Column3]]</f>
        <v>1981-Q3</v>
      </c>
    </row>
    <row r="70" spans="1:22" x14ac:dyDescent="0.3">
      <c r="A70" s="211">
        <f t="shared" si="6"/>
        <v>1981</v>
      </c>
      <c r="B70" s="211" t="str">
        <f t="shared" si="7"/>
        <v>Q4</v>
      </c>
      <c r="C70" s="2088" t="str">
        <f t="shared" si="8"/>
        <v>1981-Q4</v>
      </c>
      <c r="E70" s="252">
        <v>590</v>
      </c>
      <c r="F70" s="252">
        <v>460</v>
      </c>
      <c r="G70" s="252">
        <f t="shared" si="1"/>
        <v>525</v>
      </c>
      <c r="J70" s="230"/>
      <c r="L70" s="252">
        <f>K67*E70</f>
        <v>581907560</v>
      </c>
      <c r="M70" s="252">
        <f>K67*F70</f>
        <v>453690640</v>
      </c>
      <c r="N70" s="252">
        <f t="shared" si="9"/>
        <v>517799100</v>
      </c>
      <c r="P70" s="252"/>
      <c r="Q70" s="252"/>
      <c r="S70" s="348">
        <f>L70/Q67</f>
        <v>1.2723782493710896</v>
      </c>
      <c r="T70" s="348">
        <f>M70/Q67</f>
        <v>0.99202371984864601</v>
      </c>
      <c r="U70" s="1043">
        <f t="shared" si="10"/>
        <v>1.1322009846098677</v>
      </c>
      <c r="V70" s="2088" t="str">
        <f>Table24[[#This Row],[Column3]]</f>
        <v>1981-Q4</v>
      </c>
    </row>
    <row r="71" spans="1:22" x14ac:dyDescent="0.3">
      <c r="A71" s="211">
        <f t="shared" si="6"/>
        <v>1982</v>
      </c>
      <c r="B71" s="211" t="str">
        <f t="shared" si="7"/>
        <v>Q1</v>
      </c>
      <c r="C71" s="2088" t="str">
        <f t="shared" si="8"/>
        <v>1982-Q1</v>
      </c>
      <c r="D71" s="211">
        <v>1982</v>
      </c>
      <c r="E71" s="252">
        <v>560</v>
      </c>
      <c r="F71" s="252">
        <v>465</v>
      </c>
      <c r="G71" s="252">
        <f t="shared" si="1"/>
        <v>512.5</v>
      </c>
      <c r="I71" s="2088">
        <v>30316</v>
      </c>
      <c r="J71" s="230">
        <v>986509</v>
      </c>
      <c r="K71" s="278">
        <f>AVERAGE(J67,J71)</f>
        <v>986509</v>
      </c>
      <c r="L71" s="252">
        <f>K71*E71</f>
        <v>552445040</v>
      </c>
      <c r="M71" s="252">
        <f>K71*F71</f>
        <v>458726685</v>
      </c>
      <c r="N71" s="252">
        <f t="shared" si="9"/>
        <v>505585862.5</v>
      </c>
      <c r="P71" s="252">
        <f>'4. Financials'!D84</f>
        <v>727483000</v>
      </c>
      <c r="Q71" s="252">
        <f>AVERAGE(P67,P71)</f>
        <v>623473000</v>
      </c>
      <c r="S71" s="348">
        <f>L71/Q71</f>
        <v>0.88607692714840902</v>
      </c>
      <c r="T71" s="348">
        <f>M71/Q71</f>
        <v>0.73576030557858962</v>
      </c>
      <c r="U71" s="1043">
        <f t="shared" si="10"/>
        <v>0.81091861636349938</v>
      </c>
      <c r="V71" s="2088" t="str">
        <f>Table24[[#This Row],[Column3]]</f>
        <v>1982-Q1</v>
      </c>
    </row>
    <row r="72" spans="1:22" x14ac:dyDescent="0.3">
      <c r="A72" s="211">
        <f t="shared" si="6"/>
        <v>1982</v>
      </c>
      <c r="B72" s="211" t="str">
        <f t="shared" si="7"/>
        <v>Q2</v>
      </c>
      <c r="C72" s="2088" t="str">
        <f t="shared" si="8"/>
        <v>1982-Q2</v>
      </c>
      <c r="E72" s="252">
        <v>520</v>
      </c>
      <c r="F72" s="252">
        <v>470</v>
      </c>
      <c r="G72" s="252">
        <f t="shared" si="1"/>
        <v>495</v>
      </c>
      <c r="J72" s="230"/>
      <c r="L72" s="252">
        <f>K71*E72</f>
        <v>512984680</v>
      </c>
      <c r="M72" s="252">
        <f>K71*F72</f>
        <v>463659230</v>
      </c>
      <c r="N72" s="252">
        <f t="shared" si="9"/>
        <v>488321955</v>
      </c>
      <c r="P72" s="252"/>
      <c r="Q72" s="252"/>
      <c r="S72" s="348">
        <f>L72/Q71</f>
        <v>0.82278571806637979</v>
      </c>
      <c r="T72" s="348">
        <f>M72/Q71</f>
        <v>0.74367170671384331</v>
      </c>
      <c r="U72" s="1043">
        <f t="shared" si="10"/>
        <v>0.7832287123901116</v>
      </c>
      <c r="V72" s="2088" t="str">
        <f>Table24[[#This Row],[Column3]]</f>
        <v>1982-Q2</v>
      </c>
    </row>
    <row r="73" spans="1:22" x14ac:dyDescent="0.3">
      <c r="A73" s="211">
        <f t="shared" si="6"/>
        <v>1982</v>
      </c>
      <c r="B73" s="211" t="str">
        <f t="shared" si="7"/>
        <v>Q3</v>
      </c>
      <c r="C73" s="2088" t="str">
        <f t="shared" si="8"/>
        <v>1982-Q3</v>
      </c>
      <c r="E73" s="252">
        <v>550</v>
      </c>
      <c r="F73" s="252">
        <v>430</v>
      </c>
      <c r="G73" s="252">
        <f t="shared" si="1"/>
        <v>490</v>
      </c>
      <c r="J73" s="230"/>
      <c r="L73" s="252">
        <f>K71*E73</f>
        <v>542579950</v>
      </c>
      <c r="M73" s="252">
        <f>K71*F73</f>
        <v>424198870</v>
      </c>
      <c r="N73" s="252">
        <f t="shared" si="9"/>
        <v>483389410</v>
      </c>
      <c r="P73" s="252"/>
      <c r="Q73" s="252"/>
      <c r="S73" s="348">
        <f>L73/Q71</f>
        <v>0.87025412487790166</v>
      </c>
      <c r="T73" s="348">
        <f>M73/Q71</f>
        <v>0.68038049763181407</v>
      </c>
      <c r="U73" s="1043">
        <f t="shared" si="10"/>
        <v>0.77531731125485792</v>
      </c>
      <c r="V73" s="2088" t="str">
        <f>Table24[[#This Row],[Column3]]</f>
        <v>1982-Q3</v>
      </c>
    </row>
    <row r="74" spans="1:22" x14ac:dyDescent="0.3">
      <c r="A74" s="211">
        <f t="shared" si="6"/>
        <v>1982</v>
      </c>
      <c r="B74" s="211" t="str">
        <f t="shared" si="7"/>
        <v>Q4</v>
      </c>
      <c r="C74" s="2088" t="str">
        <f t="shared" si="8"/>
        <v>1982-Q4</v>
      </c>
      <c r="E74" s="252">
        <v>775</v>
      </c>
      <c r="F74" s="252">
        <v>540</v>
      </c>
      <c r="G74" s="252">
        <f t="shared" si="1"/>
        <v>657.5</v>
      </c>
      <c r="J74" s="230"/>
      <c r="L74" s="252">
        <f>K71*E74</f>
        <v>764544475</v>
      </c>
      <c r="M74" s="252">
        <f>K71*F74</f>
        <v>532714860</v>
      </c>
      <c r="N74" s="252">
        <f t="shared" si="9"/>
        <v>648629667.5</v>
      </c>
      <c r="P74" s="252"/>
      <c r="Q74" s="252"/>
      <c r="S74" s="348">
        <f>L74/Q71</f>
        <v>1.226267175964316</v>
      </c>
      <c r="T74" s="348">
        <f>M74/Q71</f>
        <v>0.85443132260739441</v>
      </c>
      <c r="U74" s="1043">
        <f t="shared" si="10"/>
        <v>1.0403492492858553</v>
      </c>
      <c r="V74" s="2088" t="str">
        <f>Table24[[#This Row],[Column3]]</f>
        <v>1982-Q4</v>
      </c>
    </row>
    <row r="75" spans="1:22" x14ac:dyDescent="0.3">
      <c r="A75" s="211">
        <f t="shared" si="6"/>
        <v>1983</v>
      </c>
      <c r="B75" s="211" t="str">
        <f t="shared" si="7"/>
        <v>Q1</v>
      </c>
      <c r="C75" s="2088" t="str">
        <f t="shared" si="8"/>
        <v>1983-Q1</v>
      </c>
      <c r="D75" s="211">
        <v>1983</v>
      </c>
      <c r="E75" s="252">
        <v>965</v>
      </c>
      <c r="F75" s="252">
        <v>775</v>
      </c>
      <c r="G75" s="252">
        <f t="shared" si="1"/>
        <v>870</v>
      </c>
      <c r="I75" s="2088">
        <v>30681</v>
      </c>
      <c r="J75" s="230">
        <v>1146909</v>
      </c>
      <c r="K75" s="278">
        <f>AVERAGE(J71,J75)</f>
        <v>1066709</v>
      </c>
      <c r="L75" s="252">
        <f>K75*E75</f>
        <v>1029374185</v>
      </c>
      <c r="M75" s="252">
        <f>K75*F75</f>
        <v>826699475</v>
      </c>
      <c r="N75" s="252">
        <f t="shared" si="9"/>
        <v>928036830</v>
      </c>
      <c r="P75" s="252">
        <f>'4. Financials'!C84</f>
        <v>1119193000</v>
      </c>
      <c r="Q75" s="252">
        <f>AVERAGE(P71,P75)</f>
        <v>923338000</v>
      </c>
      <c r="S75" s="348">
        <f>L75/Q75</f>
        <v>1.114840053154966</v>
      </c>
      <c r="T75" s="348">
        <f>M75/Q75</f>
        <v>0.89533786652341829</v>
      </c>
      <c r="U75" s="1043">
        <f t="shared" si="10"/>
        <v>1.0050889598391921</v>
      </c>
      <c r="V75" s="2088" t="str">
        <f>Table24[[#This Row],[Column3]]</f>
        <v>1983-Q1</v>
      </c>
    </row>
    <row r="76" spans="1:22" x14ac:dyDescent="0.3">
      <c r="A76" s="211">
        <f t="shared" ref="A76:A122" si="11">A72+1</f>
        <v>1983</v>
      </c>
      <c r="B76" s="211" t="str">
        <f t="shared" ref="B76:B122" si="12">B72</f>
        <v>Q2</v>
      </c>
      <c r="C76" s="2088" t="str">
        <f t="shared" si="8"/>
        <v>1983-Q2</v>
      </c>
      <c r="E76" s="252">
        <v>985</v>
      </c>
      <c r="F76" s="252">
        <v>890</v>
      </c>
      <c r="G76" s="252">
        <f t="shared" si="1"/>
        <v>937.5</v>
      </c>
      <c r="J76" s="230"/>
      <c r="L76" s="252">
        <f>K75*E76</f>
        <v>1050708365</v>
      </c>
      <c r="M76" s="252">
        <f>K75*F76</f>
        <v>949371010</v>
      </c>
      <c r="N76" s="252">
        <f t="shared" si="9"/>
        <v>1000039687.5</v>
      </c>
      <c r="P76" s="252"/>
      <c r="Q76" s="252"/>
      <c r="S76" s="348">
        <f>L76/Q75</f>
        <v>1.1379455464846027</v>
      </c>
      <c r="T76" s="348">
        <f>M76/Q75</f>
        <v>1.0281944531688287</v>
      </c>
      <c r="U76" s="1043">
        <f t="shared" si="10"/>
        <v>1.0830699998267157</v>
      </c>
      <c r="V76" s="2088" t="str">
        <f>Table24[[#This Row],[Column3]]</f>
        <v>1983-Q2</v>
      </c>
    </row>
    <row r="77" spans="1:22" x14ac:dyDescent="0.3">
      <c r="A77" s="211">
        <f t="shared" si="11"/>
        <v>1983</v>
      </c>
      <c r="B77" s="211" t="str">
        <f t="shared" si="12"/>
        <v>Q3</v>
      </c>
      <c r="C77" s="2088" t="str">
        <f t="shared" si="8"/>
        <v>1983-Q3</v>
      </c>
      <c r="E77" s="252">
        <v>1245</v>
      </c>
      <c r="F77" s="252">
        <v>905</v>
      </c>
      <c r="G77" s="252">
        <f t="shared" si="1"/>
        <v>1075</v>
      </c>
      <c r="J77" s="230"/>
      <c r="L77" s="252">
        <f>K75*E77</f>
        <v>1328052705</v>
      </c>
      <c r="M77" s="252">
        <f>K75*F77</f>
        <v>965371645</v>
      </c>
      <c r="N77" s="252">
        <f t="shared" si="9"/>
        <v>1146712175</v>
      </c>
      <c r="P77" s="252"/>
      <c r="Q77" s="252"/>
      <c r="S77" s="348">
        <f>L77/Q75</f>
        <v>1.4383169597698784</v>
      </c>
      <c r="T77" s="348">
        <f>M77/Q75</f>
        <v>1.0455235731660562</v>
      </c>
      <c r="U77" s="1043">
        <f t="shared" si="10"/>
        <v>1.2419202664679672</v>
      </c>
      <c r="V77" s="2088" t="str">
        <f>Table24[[#This Row],[Column3]]</f>
        <v>1983-Q3</v>
      </c>
    </row>
    <row r="78" spans="1:22" x14ac:dyDescent="0.3">
      <c r="A78" s="211">
        <f t="shared" si="11"/>
        <v>1983</v>
      </c>
      <c r="B78" s="211" t="str">
        <f t="shared" si="12"/>
        <v>Q4</v>
      </c>
      <c r="C78" s="2088" t="str">
        <f t="shared" si="8"/>
        <v>1983-Q4</v>
      </c>
      <c r="E78" s="252">
        <v>1385</v>
      </c>
      <c r="F78" s="252">
        <v>1240</v>
      </c>
      <c r="G78" s="252">
        <f t="shared" si="1"/>
        <v>1312.5</v>
      </c>
      <c r="J78" s="230"/>
      <c r="L78" s="252">
        <f>K75*E78</f>
        <v>1477391965</v>
      </c>
      <c r="M78" s="252">
        <f>K75*F78</f>
        <v>1322719160</v>
      </c>
      <c r="N78" s="252">
        <f t="shared" si="9"/>
        <v>1400055562.5</v>
      </c>
      <c r="P78" s="252"/>
      <c r="Q78" s="252"/>
      <c r="S78" s="348">
        <f>L78/Q75</f>
        <v>1.6000554130773346</v>
      </c>
      <c r="T78" s="348">
        <f>M78/Q75</f>
        <v>1.4325405864374692</v>
      </c>
      <c r="U78" s="1043">
        <f t="shared" si="10"/>
        <v>1.516297999757402</v>
      </c>
      <c r="V78" s="2088" t="str">
        <f>Table24[[#This Row],[Column3]]</f>
        <v>1983-Q4</v>
      </c>
    </row>
    <row r="79" spans="1:22" x14ac:dyDescent="0.3">
      <c r="A79" s="211">
        <f t="shared" si="11"/>
        <v>1984</v>
      </c>
      <c r="B79" s="211" t="str">
        <f t="shared" si="12"/>
        <v>Q1</v>
      </c>
      <c r="C79" s="2088" t="str">
        <f t="shared" si="8"/>
        <v>1984-Q1</v>
      </c>
      <c r="D79" s="211">
        <v>1984</v>
      </c>
      <c r="E79" s="252">
        <v>1360</v>
      </c>
      <c r="F79" s="252">
        <v>1240</v>
      </c>
      <c r="G79" s="252">
        <f t="shared" si="1"/>
        <v>1300</v>
      </c>
      <c r="I79" s="2088">
        <v>31047</v>
      </c>
      <c r="J79" s="230">
        <v>1146909</v>
      </c>
      <c r="K79" s="278">
        <f>AVERAGE(J75,J79)</f>
        <v>1146909</v>
      </c>
      <c r="L79" s="252">
        <f>K79*E79</f>
        <v>1559796240</v>
      </c>
      <c r="M79" s="252">
        <f>K79*F79</f>
        <v>1422167160</v>
      </c>
      <c r="N79" s="252">
        <f t="shared" si="9"/>
        <v>1490981700</v>
      </c>
      <c r="P79" s="252">
        <f>'4. Financials'!B84</f>
        <v>1271761000</v>
      </c>
      <c r="Q79" s="252">
        <f>AVERAGE(P75,P79)</f>
        <v>1195477000</v>
      </c>
      <c r="S79" s="348">
        <f>L79/Q79</f>
        <v>1.3047480127179361</v>
      </c>
      <c r="T79" s="348">
        <f>M79/Q79</f>
        <v>1.1896231880663535</v>
      </c>
      <c r="U79" s="1043">
        <f t="shared" si="10"/>
        <v>1.2471856003921449</v>
      </c>
      <c r="V79" s="2088" t="str">
        <f>Table24[[#This Row],[Column3]]</f>
        <v>1984-Q1</v>
      </c>
    </row>
    <row r="80" spans="1:22" x14ac:dyDescent="0.3">
      <c r="A80" s="211">
        <f t="shared" si="11"/>
        <v>1984</v>
      </c>
      <c r="B80" s="211" t="str">
        <f t="shared" si="12"/>
        <v>Q2</v>
      </c>
      <c r="C80" s="2088" t="str">
        <f t="shared" si="8"/>
        <v>1984-Q2</v>
      </c>
      <c r="E80" s="252">
        <v>1345</v>
      </c>
      <c r="F80" s="252">
        <v>1220</v>
      </c>
      <c r="G80" s="252">
        <f t="shared" si="1"/>
        <v>1282.5</v>
      </c>
      <c r="J80" s="230"/>
      <c r="L80" s="252">
        <f>K79*E80</f>
        <v>1542592605</v>
      </c>
      <c r="M80" s="252">
        <f>K79*F80</f>
        <v>1399228980</v>
      </c>
      <c r="N80" s="252">
        <f t="shared" si="9"/>
        <v>1470910792.5</v>
      </c>
      <c r="P80" s="252"/>
      <c r="Q80" s="252"/>
      <c r="S80" s="348">
        <f>L80/Q79</f>
        <v>1.2903574096364883</v>
      </c>
      <c r="T80" s="348">
        <f>M80/Q79</f>
        <v>1.1704357172910897</v>
      </c>
      <c r="U80" s="1043">
        <f t="shared" si="10"/>
        <v>1.230396563463789</v>
      </c>
      <c r="V80" s="2088" t="str">
        <f>Table24[[#This Row],[Column3]]</f>
        <v>1984-Q2</v>
      </c>
    </row>
    <row r="81" spans="1:22" x14ac:dyDescent="0.3">
      <c r="A81" s="211">
        <f t="shared" si="11"/>
        <v>1984</v>
      </c>
      <c r="B81" s="211" t="str">
        <f t="shared" si="12"/>
        <v>Q3</v>
      </c>
      <c r="C81" s="2088" t="str">
        <f t="shared" si="8"/>
        <v>1984-Q3</v>
      </c>
      <c r="E81" s="252">
        <v>1305</v>
      </c>
      <c r="F81" s="252">
        <v>1230</v>
      </c>
      <c r="G81" s="252">
        <f t="shared" si="1"/>
        <v>1267.5</v>
      </c>
      <c r="J81" s="230"/>
      <c r="L81" s="252">
        <f>K79*E81</f>
        <v>1496716245</v>
      </c>
      <c r="M81" s="252">
        <f>K79*F81</f>
        <v>1410698070</v>
      </c>
      <c r="N81" s="252">
        <f t="shared" si="9"/>
        <v>1453707157.5</v>
      </c>
      <c r="P81" s="252"/>
      <c r="Q81" s="252"/>
      <c r="S81" s="348">
        <f>L81/Q79</f>
        <v>1.2519824680859606</v>
      </c>
      <c r="T81" s="348">
        <f>M81/Q79</f>
        <v>1.1800294526787216</v>
      </c>
      <c r="U81" s="1043">
        <f t="shared" si="10"/>
        <v>1.2160059603823412</v>
      </c>
      <c r="V81" s="2088" t="str">
        <f>Table24[[#This Row],[Column3]]</f>
        <v>1984-Q3</v>
      </c>
    </row>
    <row r="82" spans="1:22" x14ac:dyDescent="0.3">
      <c r="A82" s="211">
        <f t="shared" si="11"/>
        <v>1984</v>
      </c>
      <c r="B82" s="211" t="str">
        <f t="shared" si="12"/>
        <v>Q4</v>
      </c>
      <c r="C82" s="2088" t="str">
        <f t="shared" si="8"/>
        <v>1984-Q4</v>
      </c>
      <c r="E82" s="252">
        <v>1305</v>
      </c>
      <c r="F82" s="252">
        <v>1265</v>
      </c>
      <c r="G82" s="252">
        <f t="shared" si="1"/>
        <v>1285</v>
      </c>
      <c r="J82" s="230"/>
      <c r="L82" s="252">
        <f>K79*E82</f>
        <v>1496716245</v>
      </c>
      <c r="M82" s="252">
        <f>K79*F82</f>
        <v>1450839885</v>
      </c>
      <c r="N82" s="252">
        <f t="shared" si="9"/>
        <v>1473778065</v>
      </c>
      <c r="P82" s="252"/>
      <c r="Q82" s="252"/>
      <c r="S82" s="348">
        <f>L82/Q79</f>
        <v>1.2519824680859606</v>
      </c>
      <c r="T82" s="348">
        <f>M82/Q79</f>
        <v>1.2136075265354331</v>
      </c>
      <c r="U82" s="1043">
        <f t="shared" si="10"/>
        <v>1.2327949973106969</v>
      </c>
      <c r="V82" s="2088" t="str">
        <f>Table24[[#This Row],[Column3]]</f>
        <v>1984-Q4</v>
      </c>
    </row>
    <row r="83" spans="1:22" x14ac:dyDescent="0.3">
      <c r="A83" s="211">
        <f t="shared" si="11"/>
        <v>1985</v>
      </c>
      <c r="B83" s="211" t="str">
        <f t="shared" si="12"/>
        <v>Q1</v>
      </c>
      <c r="C83" s="2088" t="str">
        <f t="shared" ref="C83:C96" si="13">CONCATENATE(A83,"-",B83)</f>
        <v>1985-Q1</v>
      </c>
      <c r="D83" s="211">
        <v>1985</v>
      </c>
      <c r="E83" s="252">
        <v>1930</v>
      </c>
      <c r="F83" s="252">
        <v>1275</v>
      </c>
      <c r="G83" s="252">
        <f t="shared" ref="G83:G96" si="14">AVERAGE(E83:F83)</f>
        <v>1602.5</v>
      </c>
      <c r="I83" s="2088">
        <v>31412</v>
      </c>
      <c r="J83" s="230">
        <v>1147000</v>
      </c>
      <c r="K83" s="278">
        <f>AVERAGE(J79,J83)</f>
        <v>1146954.5</v>
      </c>
      <c r="L83" s="252">
        <f>K83*E83</f>
        <v>2213622185</v>
      </c>
      <c r="M83" s="252">
        <f>K83*F83</f>
        <v>1462366987.5</v>
      </c>
      <c r="N83" s="252">
        <f t="shared" ref="N83:N96" si="15">AVERAGE(L83:M83)</f>
        <v>1837994586.25</v>
      </c>
      <c r="P83" s="252">
        <v>1885330000</v>
      </c>
      <c r="Q83" s="252">
        <f>AVERAGE(P79,P83)</f>
        <v>1578545500</v>
      </c>
      <c r="S83" s="348">
        <f>L83/Q83</f>
        <v>1.4023176303755578</v>
      </c>
      <c r="T83" s="348">
        <f>M83/Q83</f>
        <v>0.92640154338281666</v>
      </c>
      <c r="U83" s="1043">
        <f t="shared" ref="U83:U96" si="16">AVERAGE(S83:T83)</f>
        <v>1.1643595868791872</v>
      </c>
      <c r="V83" s="2088" t="str">
        <f>Table24[[#This Row],[Column3]]</f>
        <v>1985-Q1</v>
      </c>
    </row>
    <row r="84" spans="1:22" x14ac:dyDescent="0.3">
      <c r="A84" s="211">
        <f t="shared" si="11"/>
        <v>1985</v>
      </c>
      <c r="B84" s="211" t="str">
        <f t="shared" si="12"/>
        <v>Q2</v>
      </c>
      <c r="C84" s="2088" t="str">
        <f t="shared" si="13"/>
        <v>1985-Q2</v>
      </c>
      <c r="E84" s="252">
        <v>2160</v>
      </c>
      <c r="F84" s="252">
        <v>1725</v>
      </c>
      <c r="G84" s="252">
        <f t="shared" si="14"/>
        <v>1942.5</v>
      </c>
      <c r="J84" s="230"/>
      <c r="L84" s="252">
        <f>K83*E84</f>
        <v>2477421720</v>
      </c>
      <c r="M84" s="252">
        <f>K83*F84</f>
        <v>1978496512.5</v>
      </c>
      <c r="N84" s="252">
        <f t="shared" si="15"/>
        <v>2227959116.25</v>
      </c>
      <c r="P84" s="252"/>
      <c r="Q84" s="252"/>
      <c r="S84" s="348">
        <f>L84/Q83</f>
        <v>1.5694332029073599</v>
      </c>
      <c r="T84" s="348">
        <f>M84/Q83</f>
        <v>1.2533667939885167</v>
      </c>
      <c r="U84" s="1043">
        <f t="shared" si="16"/>
        <v>1.4113999984479384</v>
      </c>
      <c r="V84" s="2088" t="str">
        <f>Table24[[#This Row],[Column3]]</f>
        <v>1985-Q2</v>
      </c>
    </row>
    <row r="85" spans="1:22" x14ac:dyDescent="0.3">
      <c r="A85" s="211">
        <f t="shared" si="11"/>
        <v>1985</v>
      </c>
      <c r="B85" s="211" t="str">
        <f t="shared" si="12"/>
        <v>Q3</v>
      </c>
      <c r="C85" s="2088" t="str">
        <f t="shared" si="13"/>
        <v>1985-Q3</v>
      </c>
      <c r="E85" s="252">
        <v>2235</v>
      </c>
      <c r="F85" s="252">
        <v>2005</v>
      </c>
      <c r="G85" s="252">
        <f t="shared" si="14"/>
        <v>2120</v>
      </c>
      <c r="J85" s="230"/>
      <c r="L85" s="252">
        <f>K83*E85</f>
        <v>2563443307.5</v>
      </c>
      <c r="M85" s="252">
        <f>K83*F85</f>
        <v>2299643772.5</v>
      </c>
      <c r="N85" s="252">
        <f t="shared" si="15"/>
        <v>2431543540</v>
      </c>
      <c r="P85" s="252"/>
      <c r="Q85" s="252"/>
      <c r="S85" s="348">
        <f>L85/Q83</f>
        <v>1.6239274113416433</v>
      </c>
      <c r="T85" s="348">
        <f>M85/Q83</f>
        <v>1.456811838809841</v>
      </c>
      <c r="U85" s="1043">
        <f t="shared" si="16"/>
        <v>1.5403696250757422</v>
      </c>
      <c r="V85" s="2088" t="str">
        <f>Table24[[#This Row],[Column3]]</f>
        <v>1985-Q3</v>
      </c>
    </row>
    <row r="86" spans="1:22" x14ac:dyDescent="0.3">
      <c r="A86" s="211">
        <f t="shared" si="11"/>
        <v>1985</v>
      </c>
      <c r="B86" s="211" t="str">
        <f t="shared" si="12"/>
        <v>Q4</v>
      </c>
      <c r="C86" s="2088" t="str">
        <f t="shared" si="13"/>
        <v>1985-Q4</v>
      </c>
      <c r="E86" s="252">
        <v>2730</v>
      </c>
      <c r="F86" s="252">
        <v>2075</v>
      </c>
      <c r="G86" s="252">
        <f t="shared" si="14"/>
        <v>2402.5</v>
      </c>
      <c r="J86" s="230"/>
      <c r="L86" s="252">
        <f>K83*E86</f>
        <v>3131185785</v>
      </c>
      <c r="M86" s="252">
        <f>K83*F86</f>
        <v>2379930587.5</v>
      </c>
      <c r="N86" s="252">
        <f t="shared" si="15"/>
        <v>2755558186.25</v>
      </c>
      <c r="P86" s="252"/>
      <c r="Q86" s="252"/>
      <c r="S86" s="348">
        <f>L86/Q83</f>
        <v>1.9835891870079132</v>
      </c>
      <c r="T86" s="348">
        <f>M86/Q83</f>
        <v>1.5076731000151722</v>
      </c>
      <c r="U86" s="1043">
        <f t="shared" si="16"/>
        <v>1.7456311435115426</v>
      </c>
      <c r="V86" s="2088" t="str">
        <f>Table24[[#This Row],[Column3]]</f>
        <v>1985-Q4</v>
      </c>
    </row>
    <row r="87" spans="1:22" x14ac:dyDescent="0.3">
      <c r="A87" s="211">
        <f t="shared" si="11"/>
        <v>1986</v>
      </c>
      <c r="B87" s="211" t="str">
        <f t="shared" si="12"/>
        <v>Q1</v>
      </c>
      <c r="C87" s="2088" t="str">
        <f t="shared" si="13"/>
        <v>1986-Q1</v>
      </c>
      <c r="D87" s="211">
        <v>1986</v>
      </c>
      <c r="E87" s="252">
        <v>3250</v>
      </c>
      <c r="F87" s="252">
        <v>2220</v>
      </c>
      <c r="G87" s="252">
        <f t="shared" si="14"/>
        <v>2735</v>
      </c>
      <c r="I87" s="2088">
        <v>31777</v>
      </c>
      <c r="J87" s="230">
        <v>1147000</v>
      </c>
      <c r="K87" s="278">
        <f>AVERAGE(J83,J87)</f>
        <v>1147000</v>
      </c>
      <c r="L87" s="252">
        <f>K87*E87</f>
        <v>3727750000</v>
      </c>
      <c r="M87" s="252">
        <f>K87*F87</f>
        <v>2546340000</v>
      </c>
      <c r="N87" s="252">
        <f t="shared" si="15"/>
        <v>3137045000</v>
      </c>
      <c r="P87" s="252">
        <v>2377797000</v>
      </c>
      <c r="Q87" s="252">
        <f>AVERAGE(P83,P87)</f>
        <v>2131563500</v>
      </c>
      <c r="S87" s="348">
        <f>L87/Q87</f>
        <v>1.7488336613007307</v>
      </c>
      <c r="T87" s="348">
        <f>M87/Q87</f>
        <v>1.1945879163346529</v>
      </c>
      <c r="U87" s="1043">
        <f t="shared" si="16"/>
        <v>1.4717107888176919</v>
      </c>
      <c r="V87" s="2088" t="str">
        <f>Table24[[#This Row],[Column3]]</f>
        <v>1986-Q1</v>
      </c>
    </row>
    <row r="88" spans="1:22" x14ac:dyDescent="0.3">
      <c r="A88" s="211">
        <f t="shared" si="11"/>
        <v>1986</v>
      </c>
      <c r="B88" s="211" t="str">
        <f t="shared" si="12"/>
        <v>Q2</v>
      </c>
      <c r="C88" s="2088" t="str">
        <f t="shared" si="13"/>
        <v>1986-Q2</v>
      </c>
      <c r="E88" s="252">
        <v>3160</v>
      </c>
      <c r="F88" s="252">
        <v>2640</v>
      </c>
      <c r="G88" s="252">
        <f t="shared" si="14"/>
        <v>2900</v>
      </c>
      <c r="J88" s="230"/>
      <c r="L88" s="252">
        <f>K87*E88</f>
        <v>3624520000</v>
      </c>
      <c r="M88" s="252">
        <f>K87*F88</f>
        <v>3028080000</v>
      </c>
      <c r="N88" s="252">
        <f t="shared" si="15"/>
        <v>3326300000</v>
      </c>
      <c r="P88" s="252"/>
      <c r="Q88" s="252"/>
      <c r="S88" s="348">
        <f>L88/Q87</f>
        <v>1.7004044214493259</v>
      </c>
      <c r="T88" s="348">
        <f>M88/Q87</f>
        <v>1.4205910356412088</v>
      </c>
      <c r="U88" s="1043">
        <f t="shared" si="16"/>
        <v>1.5604977285452675</v>
      </c>
      <c r="V88" s="2088" t="str">
        <f>Table24[[#This Row],[Column3]]</f>
        <v>1986-Q2</v>
      </c>
    </row>
    <row r="89" spans="1:22" x14ac:dyDescent="0.3">
      <c r="A89" s="211">
        <f t="shared" si="11"/>
        <v>1986</v>
      </c>
      <c r="B89" s="211" t="str">
        <f t="shared" si="12"/>
        <v>Q3</v>
      </c>
      <c r="C89" s="2088" t="str">
        <f t="shared" si="13"/>
        <v>1986-Q3</v>
      </c>
      <c r="E89" s="252">
        <v>3100</v>
      </c>
      <c r="F89" s="252">
        <v>2525</v>
      </c>
      <c r="G89" s="252">
        <f t="shared" si="14"/>
        <v>2812.5</v>
      </c>
      <c r="J89" s="230"/>
      <c r="L89" s="252">
        <f>K87*E89</f>
        <v>3555700000</v>
      </c>
      <c r="M89" s="252">
        <f>K87*F89</f>
        <v>2896175000</v>
      </c>
      <c r="N89" s="252">
        <f t="shared" si="15"/>
        <v>3225937500</v>
      </c>
      <c r="P89" s="252"/>
      <c r="Q89" s="252"/>
      <c r="S89" s="348">
        <f>L89/Q87</f>
        <v>1.6681182615483892</v>
      </c>
      <c r="T89" s="348">
        <f>M89/Q87</f>
        <v>1.3587092291644138</v>
      </c>
      <c r="U89" s="1043">
        <f t="shared" si="16"/>
        <v>1.5134137453564014</v>
      </c>
      <c r="V89" s="2088" t="str">
        <f>Table24[[#This Row],[Column3]]</f>
        <v>1986-Q3</v>
      </c>
    </row>
    <row r="90" spans="1:22" x14ac:dyDescent="0.3">
      <c r="A90" s="211">
        <f t="shared" si="11"/>
        <v>1986</v>
      </c>
      <c r="B90" s="211" t="str">
        <f t="shared" si="12"/>
        <v>Q4</v>
      </c>
      <c r="C90" s="2088" t="str">
        <f t="shared" si="13"/>
        <v>1986-Q4</v>
      </c>
      <c r="E90" s="252">
        <v>2925</v>
      </c>
      <c r="F90" s="252">
        <v>2620</v>
      </c>
      <c r="G90" s="252">
        <f t="shared" si="14"/>
        <v>2772.5</v>
      </c>
      <c r="J90" s="230"/>
      <c r="L90" s="252">
        <f>K87*E90</f>
        <v>3354975000</v>
      </c>
      <c r="M90" s="252">
        <f>K87*F90</f>
        <v>3005140000</v>
      </c>
      <c r="N90" s="252">
        <f t="shared" si="15"/>
        <v>3180057500</v>
      </c>
      <c r="P90" s="252"/>
      <c r="Q90" s="252"/>
      <c r="S90" s="348">
        <f>L90/Q87</f>
        <v>1.5739502951706577</v>
      </c>
      <c r="T90" s="348">
        <f>M90/Q87</f>
        <v>1.4098289823408967</v>
      </c>
      <c r="U90" s="1043">
        <f t="shared" si="16"/>
        <v>1.4918896387557772</v>
      </c>
      <c r="V90" s="2088" t="str">
        <f>Table24[[#This Row],[Column3]]</f>
        <v>1986-Q4</v>
      </c>
    </row>
    <row r="91" spans="1:22" x14ac:dyDescent="0.3">
      <c r="A91" s="211">
        <f t="shared" si="11"/>
        <v>1987</v>
      </c>
      <c r="B91" s="211" t="str">
        <f t="shared" si="12"/>
        <v>Q1</v>
      </c>
      <c r="C91" s="2088" t="str">
        <f t="shared" si="13"/>
        <v>1987-Q1</v>
      </c>
      <c r="D91" s="211">
        <v>1987</v>
      </c>
      <c r="E91" s="252">
        <v>3630</v>
      </c>
      <c r="F91" s="252">
        <v>2800</v>
      </c>
      <c r="G91" s="252">
        <f t="shared" si="14"/>
        <v>3215</v>
      </c>
      <c r="I91" s="2088">
        <v>32142</v>
      </c>
      <c r="J91" s="230">
        <v>1147000</v>
      </c>
      <c r="K91" s="278">
        <f>AVERAGE(J87,J91)</f>
        <v>1147000</v>
      </c>
      <c r="L91" s="252">
        <f>K91*E91</f>
        <v>4163610000</v>
      </c>
      <c r="M91" s="252">
        <f>K91*F91</f>
        <v>3211600000</v>
      </c>
      <c r="N91" s="252">
        <f t="shared" si="15"/>
        <v>3687605000</v>
      </c>
      <c r="P91" s="252">
        <v>2841659000</v>
      </c>
      <c r="Q91" s="252">
        <f>AVERAGE(P87,P91)</f>
        <v>2609728000</v>
      </c>
      <c r="S91" s="348">
        <f>L91/Q91</f>
        <v>1.5954191394658754</v>
      </c>
      <c r="T91" s="348">
        <f>M91/Q91</f>
        <v>1.2306263334723007</v>
      </c>
      <c r="U91" s="1043">
        <f t="shared" si="16"/>
        <v>1.4130227364690882</v>
      </c>
      <c r="V91" s="2088" t="str">
        <f>Table24[[#This Row],[Column3]]</f>
        <v>1987-Q1</v>
      </c>
    </row>
    <row r="92" spans="1:22" x14ac:dyDescent="0.3">
      <c r="A92" s="211">
        <f t="shared" si="11"/>
        <v>1987</v>
      </c>
      <c r="B92" s="211" t="str">
        <f t="shared" si="12"/>
        <v>Q2</v>
      </c>
      <c r="C92" s="2088" t="str">
        <f t="shared" si="13"/>
        <v>1987-Q2</v>
      </c>
      <c r="E92" s="252">
        <v>3530</v>
      </c>
      <c r="F92" s="252">
        <v>3300</v>
      </c>
      <c r="G92" s="252">
        <f t="shared" si="14"/>
        <v>3415</v>
      </c>
      <c r="J92" s="230"/>
      <c r="L92" s="252">
        <f>K91*E92</f>
        <v>4048910000</v>
      </c>
      <c r="M92" s="252">
        <f>K91*F92</f>
        <v>3785100000</v>
      </c>
      <c r="N92" s="252">
        <f t="shared" si="15"/>
        <v>3917005000</v>
      </c>
      <c r="P92" s="252"/>
      <c r="Q92" s="252"/>
      <c r="S92" s="348">
        <f>L92/Q91</f>
        <v>1.5514681989847219</v>
      </c>
      <c r="T92" s="348">
        <f>M92/Q91</f>
        <v>1.4503810358780684</v>
      </c>
      <c r="U92" s="1043">
        <f t="shared" si="16"/>
        <v>1.5009246174313953</v>
      </c>
      <c r="V92" s="2088" t="str">
        <f>Table24[[#This Row],[Column3]]</f>
        <v>1987-Q2</v>
      </c>
    </row>
    <row r="93" spans="1:22" x14ac:dyDescent="0.3">
      <c r="A93" s="211">
        <f t="shared" si="11"/>
        <v>1987</v>
      </c>
      <c r="B93" s="211" t="str">
        <f t="shared" si="12"/>
        <v>Q3</v>
      </c>
      <c r="C93" s="2088" t="str">
        <f t="shared" si="13"/>
        <v>1987-Q3</v>
      </c>
      <c r="E93" s="252">
        <v>4220</v>
      </c>
      <c r="F93" s="252">
        <v>3420</v>
      </c>
      <c r="G93" s="252">
        <f t="shared" si="14"/>
        <v>3820</v>
      </c>
      <c r="J93" s="230"/>
      <c r="L93" s="252">
        <f>K91*E93</f>
        <v>4840340000</v>
      </c>
      <c r="M93" s="252">
        <f>K91*F93</f>
        <v>3922740000</v>
      </c>
      <c r="N93" s="252">
        <f t="shared" si="15"/>
        <v>4381540000</v>
      </c>
      <c r="P93" s="252"/>
      <c r="Q93" s="252"/>
      <c r="S93" s="348">
        <f>L93/Q91</f>
        <v>1.8547296883046815</v>
      </c>
      <c r="T93" s="348">
        <f>M93/Q91</f>
        <v>1.5031221644554529</v>
      </c>
      <c r="U93" s="1043">
        <f t="shared" si="16"/>
        <v>1.6789259263800673</v>
      </c>
      <c r="V93" s="2088" t="str">
        <f>Table24[[#This Row],[Column3]]</f>
        <v>1987-Q3</v>
      </c>
    </row>
    <row r="94" spans="1:22" x14ac:dyDescent="0.3">
      <c r="A94" s="211">
        <f t="shared" si="11"/>
        <v>1987</v>
      </c>
      <c r="B94" s="211" t="str">
        <f t="shared" si="12"/>
        <v>Q4</v>
      </c>
      <c r="C94" s="2088" t="str">
        <f t="shared" si="13"/>
        <v>1987-Q4</v>
      </c>
      <c r="E94" s="252">
        <v>4270</v>
      </c>
      <c r="F94" s="252">
        <v>2550</v>
      </c>
      <c r="G94" s="252">
        <f t="shared" si="14"/>
        <v>3410</v>
      </c>
      <c r="J94" s="230"/>
      <c r="L94" s="252">
        <f>K91*E94</f>
        <v>4897690000</v>
      </c>
      <c r="M94" s="252">
        <f>K91*F94</f>
        <v>2924850000</v>
      </c>
      <c r="N94" s="252">
        <f t="shared" si="15"/>
        <v>3911270000</v>
      </c>
      <c r="P94" s="252"/>
      <c r="Q94" s="252"/>
      <c r="S94" s="348">
        <f>L94/Q91</f>
        <v>1.8767051585452583</v>
      </c>
      <c r="T94" s="348">
        <f>M94/Q91</f>
        <v>1.1207489822694165</v>
      </c>
      <c r="U94" s="1043">
        <f t="shared" si="16"/>
        <v>1.4987270704073374</v>
      </c>
      <c r="V94" s="2088" t="str">
        <f>Table24[[#This Row],[Column3]]</f>
        <v>1987-Q4</v>
      </c>
    </row>
    <row r="95" spans="1:22" x14ac:dyDescent="0.3">
      <c r="A95" s="211">
        <f t="shared" si="11"/>
        <v>1988</v>
      </c>
      <c r="B95" s="211" t="str">
        <f t="shared" si="12"/>
        <v>Q1</v>
      </c>
      <c r="C95" s="2088" t="str">
        <f t="shared" si="13"/>
        <v>1988-Q1</v>
      </c>
      <c r="D95" s="211">
        <v>1988</v>
      </c>
      <c r="E95" s="252">
        <v>3500</v>
      </c>
      <c r="F95" s="252">
        <v>3000</v>
      </c>
      <c r="G95" s="252">
        <f t="shared" si="14"/>
        <v>3250</v>
      </c>
      <c r="I95" s="2088">
        <v>32508</v>
      </c>
      <c r="J95" s="230">
        <v>1146000</v>
      </c>
      <c r="K95" s="278">
        <f>AVERAGE(J91,J95)</f>
        <v>1146500</v>
      </c>
      <c r="L95" s="252">
        <f>K95*E95</f>
        <v>4012750000</v>
      </c>
      <c r="M95" s="252">
        <f>K95*F95</f>
        <v>3439500000</v>
      </c>
      <c r="N95" s="252">
        <f t="shared" si="15"/>
        <v>3726125000</v>
      </c>
      <c r="P95" s="252">
        <v>3410108000</v>
      </c>
      <c r="Q95" s="252">
        <f>AVERAGE(P91,P95)</f>
        <v>3125883500</v>
      </c>
      <c r="S95" s="348">
        <f>L95/Q95</f>
        <v>1.2837170675106735</v>
      </c>
      <c r="T95" s="348">
        <f>M95/Q95</f>
        <v>1.1003289150091486</v>
      </c>
      <c r="U95" s="1043">
        <f t="shared" si="16"/>
        <v>1.1920229912599112</v>
      </c>
      <c r="V95" s="2088" t="str">
        <f>Table24[[#This Row],[Column3]]</f>
        <v>1988-Q1</v>
      </c>
    </row>
    <row r="96" spans="1:22" x14ac:dyDescent="0.3">
      <c r="A96" s="211">
        <f t="shared" si="11"/>
        <v>1988</v>
      </c>
      <c r="B96" s="211" t="str">
        <f t="shared" si="12"/>
        <v>Q2</v>
      </c>
      <c r="C96" s="2088" t="str">
        <f t="shared" si="13"/>
        <v>1988-Q2</v>
      </c>
      <c r="E96" s="252">
        <v>4150</v>
      </c>
      <c r="F96" s="252">
        <v>3400</v>
      </c>
      <c r="G96" s="252">
        <f t="shared" si="14"/>
        <v>3775</v>
      </c>
      <c r="J96" s="230"/>
      <c r="L96" s="252">
        <f>K95*E96</f>
        <v>4757975000</v>
      </c>
      <c r="M96" s="252">
        <f>K95*F96</f>
        <v>3898100000</v>
      </c>
      <c r="N96" s="252">
        <f t="shared" si="15"/>
        <v>4328037500</v>
      </c>
      <c r="P96" s="252"/>
      <c r="Q96" s="252"/>
      <c r="S96" s="348">
        <f>L96/Q95</f>
        <v>1.5221216657626555</v>
      </c>
      <c r="T96" s="348">
        <f>M96/Q95</f>
        <v>1.2470394370103683</v>
      </c>
      <c r="U96" s="1043">
        <f t="shared" si="16"/>
        <v>1.3845805513865119</v>
      </c>
      <c r="V96" s="2088" t="str">
        <f>Table24[[#This Row],[Column3]]</f>
        <v>1988-Q2</v>
      </c>
    </row>
    <row r="97" spans="1:22" x14ac:dyDescent="0.3">
      <c r="A97" s="211">
        <f t="shared" si="11"/>
        <v>1988</v>
      </c>
      <c r="B97" s="211" t="str">
        <f t="shared" si="12"/>
        <v>Q3</v>
      </c>
      <c r="C97" s="2088" t="str">
        <f t="shared" ref="C97:C100" si="17">CONCATENATE(A97,"-",B97)</f>
        <v>1988-Q3</v>
      </c>
      <c r="E97" s="252">
        <v>5000</v>
      </c>
      <c r="F97" s="252">
        <v>4040</v>
      </c>
      <c r="G97" s="252">
        <f t="shared" ref="G97:G100" si="18">AVERAGE(E97:F97)</f>
        <v>4520</v>
      </c>
      <c r="J97" s="230"/>
      <c r="L97" s="252">
        <f>K95*E97</f>
        <v>5732500000</v>
      </c>
      <c r="M97" s="252">
        <f>K95*F97</f>
        <v>4631860000</v>
      </c>
      <c r="N97" s="252">
        <f t="shared" ref="N97:N100" si="19">AVERAGE(L97:M97)</f>
        <v>5182180000</v>
      </c>
      <c r="P97" s="252"/>
      <c r="Q97" s="252"/>
      <c r="S97" s="348">
        <f>L97/Q95</f>
        <v>1.8338815250152476</v>
      </c>
      <c r="T97" s="348">
        <f>M97/Q95</f>
        <v>1.4817762722123202</v>
      </c>
      <c r="U97" s="1043">
        <f t="shared" ref="U97:U100" si="20">AVERAGE(S97:T97)</f>
        <v>1.6578288986137839</v>
      </c>
      <c r="V97" s="2088" t="str">
        <f>Table24[[#This Row],[Column3]]</f>
        <v>1988-Q3</v>
      </c>
    </row>
    <row r="98" spans="1:22" x14ac:dyDescent="0.3">
      <c r="A98" s="211">
        <f t="shared" si="11"/>
        <v>1988</v>
      </c>
      <c r="B98" s="211" t="str">
        <f t="shared" si="12"/>
        <v>Q4</v>
      </c>
      <c r="C98" s="2088" t="str">
        <f t="shared" si="17"/>
        <v>1988-Q4</v>
      </c>
      <c r="E98" s="252">
        <v>5050</v>
      </c>
      <c r="F98" s="252">
        <v>4600</v>
      </c>
      <c r="G98" s="252">
        <f t="shared" si="18"/>
        <v>4825</v>
      </c>
      <c r="J98" s="230"/>
      <c r="L98" s="252">
        <f>K95*E98</f>
        <v>5789825000</v>
      </c>
      <c r="M98" s="252">
        <f>K95*F98</f>
        <v>5273900000</v>
      </c>
      <c r="N98" s="252">
        <f t="shared" si="19"/>
        <v>5531862500</v>
      </c>
      <c r="P98" s="252"/>
      <c r="Q98" s="252"/>
      <c r="S98" s="348">
        <f>L98/Q95</f>
        <v>1.8522203402654001</v>
      </c>
      <c r="T98" s="348">
        <f>M98/Q95</f>
        <v>1.6871710030140279</v>
      </c>
      <c r="U98" s="1043">
        <f t="shared" si="20"/>
        <v>1.7696956716397141</v>
      </c>
      <c r="V98" s="2088" t="str">
        <f>Table24[[#This Row],[Column3]]</f>
        <v>1988-Q4</v>
      </c>
    </row>
    <row r="99" spans="1:22" x14ac:dyDescent="0.3">
      <c r="A99" s="211">
        <f t="shared" si="11"/>
        <v>1989</v>
      </c>
      <c r="B99" s="211" t="str">
        <f t="shared" si="12"/>
        <v>Q1</v>
      </c>
      <c r="C99" s="2088" t="str">
        <f t="shared" si="17"/>
        <v>1989-Q1</v>
      </c>
      <c r="D99" s="211">
        <v>1989</v>
      </c>
      <c r="E99" s="252">
        <v>5025</v>
      </c>
      <c r="F99" s="252">
        <v>4625</v>
      </c>
      <c r="G99" s="252">
        <f t="shared" si="18"/>
        <v>4825</v>
      </c>
      <c r="I99" s="2088">
        <v>32873</v>
      </c>
      <c r="J99" s="230">
        <v>1146000</v>
      </c>
      <c r="K99" s="278">
        <f>AVERAGE(J95,J99)</f>
        <v>1146000</v>
      </c>
      <c r="L99" s="252">
        <f>K99*E99</f>
        <v>5758650000</v>
      </c>
      <c r="M99" s="252">
        <f>K99*F99</f>
        <v>5300250000</v>
      </c>
      <c r="N99" s="252">
        <f t="shared" si="19"/>
        <v>5529450000</v>
      </c>
      <c r="P99" s="252">
        <v>4925126000</v>
      </c>
      <c r="Q99" s="252">
        <f>AVERAGE(P95,P99)</f>
        <v>4167617000</v>
      </c>
      <c r="S99" s="348">
        <f>L99/Q99</f>
        <v>1.3817608479857915</v>
      </c>
      <c r="T99" s="348">
        <f>M99/Q99</f>
        <v>1.2717699347132907</v>
      </c>
      <c r="U99" s="1043">
        <f t="shared" si="20"/>
        <v>1.3267653913495412</v>
      </c>
      <c r="V99" s="2088" t="str">
        <f>Table24[[#This Row],[Column3]]</f>
        <v>1989-Q1</v>
      </c>
    </row>
    <row r="100" spans="1:22" x14ac:dyDescent="0.3">
      <c r="A100" s="211">
        <f t="shared" si="11"/>
        <v>1989</v>
      </c>
      <c r="B100" s="211" t="str">
        <f t="shared" si="12"/>
        <v>Q2</v>
      </c>
      <c r="C100" s="2088" t="str">
        <f t="shared" si="17"/>
        <v>1989-Q2</v>
      </c>
      <c r="E100" s="252">
        <v>7000</v>
      </c>
      <c r="F100" s="252">
        <v>4950</v>
      </c>
      <c r="G100" s="252">
        <f t="shared" si="18"/>
        <v>5975</v>
      </c>
      <c r="J100" s="230"/>
      <c r="L100" s="252">
        <f>K99*E100</f>
        <v>8022000000</v>
      </c>
      <c r="M100" s="252">
        <f>K99*F100</f>
        <v>5672700000</v>
      </c>
      <c r="N100" s="252">
        <f t="shared" si="19"/>
        <v>6847350000</v>
      </c>
      <c r="P100" s="252"/>
      <c r="Q100" s="252"/>
      <c r="S100" s="348">
        <f>L100/Q99</f>
        <v>1.9248409822687642</v>
      </c>
      <c r="T100" s="348">
        <f>M100/Q99</f>
        <v>1.3611375517471975</v>
      </c>
      <c r="U100" s="1043">
        <f t="shared" si="20"/>
        <v>1.6429892670079809</v>
      </c>
      <c r="V100" s="2088" t="str">
        <f>Table24[[#This Row],[Column3]]</f>
        <v>1989-Q2</v>
      </c>
    </row>
    <row r="101" spans="1:22" x14ac:dyDescent="0.3">
      <c r="A101" s="211">
        <f t="shared" si="11"/>
        <v>1989</v>
      </c>
      <c r="B101" s="211" t="str">
        <f t="shared" si="12"/>
        <v>Q3</v>
      </c>
      <c r="C101" s="2088" t="str">
        <f t="shared" ref="C101:C122" si="21">CONCATENATE(A101,"-",B101)</f>
        <v>1989-Q3</v>
      </c>
      <c r="E101" s="252">
        <v>8750</v>
      </c>
      <c r="F101" s="252">
        <v>6600</v>
      </c>
      <c r="G101" s="252">
        <f t="shared" ref="G101:G122" si="22">AVERAGE(E101:F101)</f>
        <v>7675</v>
      </c>
      <c r="J101" s="230"/>
      <c r="L101" s="252">
        <f>K99*E101</f>
        <v>10027500000</v>
      </c>
      <c r="M101" s="252">
        <f>K99*F101</f>
        <v>7563600000</v>
      </c>
      <c r="N101" s="252">
        <f t="shared" ref="N101:N122" si="23">AVERAGE(L101:M101)</f>
        <v>8795550000</v>
      </c>
      <c r="P101" s="252"/>
      <c r="Q101" s="252"/>
      <c r="S101" s="348">
        <f>L101/Q99</f>
        <v>2.4060512278359552</v>
      </c>
      <c r="T101" s="348">
        <f>M101/Q99</f>
        <v>1.8148500689962632</v>
      </c>
      <c r="U101" s="1043">
        <f t="shared" ref="U101:U122" si="24">AVERAGE(S101:T101)</f>
        <v>2.1104506484161094</v>
      </c>
      <c r="V101" s="2088" t="str">
        <f>Table24[[#This Row],[Column3]]</f>
        <v>1989-Q3</v>
      </c>
    </row>
    <row r="102" spans="1:22" x14ac:dyDescent="0.3">
      <c r="A102" s="211">
        <f t="shared" si="11"/>
        <v>1989</v>
      </c>
      <c r="B102" s="211" t="str">
        <f t="shared" si="12"/>
        <v>Q4</v>
      </c>
      <c r="C102" s="2088" t="str">
        <f t="shared" si="21"/>
        <v>1989-Q4</v>
      </c>
      <c r="E102" s="252">
        <v>8900</v>
      </c>
      <c r="F102" s="252">
        <v>7950</v>
      </c>
      <c r="G102" s="252">
        <f t="shared" si="22"/>
        <v>8425</v>
      </c>
      <c r="J102" s="230"/>
      <c r="L102" s="252">
        <f>K99*E102</f>
        <v>10199400000</v>
      </c>
      <c r="M102" s="252">
        <f>K99*F102</f>
        <v>9110700000</v>
      </c>
      <c r="N102" s="252">
        <f t="shared" si="23"/>
        <v>9655050000</v>
      </c>
      <c r="P102" s="252"/>
      <c r="Q102" s="252"/>
      <c r="S102" s="348">
        <f>L102/Q99</f>
        <v>2.447297820313143</v>
      </c>
      <c r="T102" s="348">
        <f>M102/Q99</f>
        <v>2.1860694012909536</v>
      </c>
      <c r="U102" s="1043">
        <f t="shared" si="24"/>
        <v>2.3166836108020483</v>
      </c>
      <c r="V102" s="2088" t="str">
        <f>Table24[[#This Row],[Column3]]</f>
        <v>1989-Q4</v>
      </c>
    </row>
    <row r="103" spans="1:22" x14ac:dyDescent="0.3">
      <c r="A103" s="211">
        <f t="shared" si="11"/>
        <v>1990</v>
      </c>
      <c r="B103" s="211" t="str">
        <f t="shared" si="12"/>
        <v>Q1</v>
      </c>
      <c r="C103" s="2088" t="str">
        <f t="shared" si="21"/>
        <v>1990-Q1</v>
      </c>
      <c r="D103" s="211">
        <v>1990</v>
      </c>
      <c r="E103" s="252">
        <v>8725</v>
      </c>
      <c r="F103" s="252">
        <v>6675</v>
      </c>
      <c r="G103" s="252">
        <f t="shared" si="22"/>
        <v>7700</v>
      </c>
      <c r="I103" s="2088">
        <v>33238</v>
      </c>
      <c r="J103" s="230">
        <v>1146000</v>
      </c>
      <c r="K103" s="278">
        <f>AVERAGE(J99,J103)</f>
        <v>1146000</v>
      </c>
      <c r="L103" s="252">
        <f>K103*E103</f>
        <v>9998850000</v>
      </c>
      <c r="M103" s="252">
        <f>K103*F103</f>
        <v>7649550000</v>
      </c>
      <c r="N103" s="252">
        <f t="shared" si="23"/>
        <v>8824200000</v>
      </c>
      <c r="P103" s="252">
        <v>5287454000</v>
      </c>
      <c r="Q103" s="252">
        <f>AVERAGE(P99,P103)</f>
        <v>5106290000</v>
      </c>
      <c r="S103" s="348">
        <f>L103/Q103</f>
        <v>1.9581437795346524</v>
      </c>
      <c r="T103" s="348">
        <f>M103/Q103</f>
        <v>1.4980641522514389</v>
      </c>
      <c r="U103" s="1043">
        <f t="shared" si="24"/>
        <v>1.7281039658930455</v>
      </c>
      <c r="V103" s="2088" t="str">
        <f>Table24[[#This Row],[Column3]]</f>
        <v>1990-Q1</v>
      </c>
    </row>
    <row r="104" spans="1:22" x14ac:dyDescent="0.3">
      <c r="A104" s="211">
        <f t="shared" si="11"/>
        <v>1990</v>
      </c>
      <c r="B104" s="211" t="str">
        <f t="shared" si="12"/>
        <v>Q2</v>
      </c>
      <c r="C104" s="2088" t="str">
        <f t="shared" si="21"/>
        <v>1990-Q2</v>
      </c>
      <c r="E104" s="252">
        <v>7675</v>
      </c>
      <c r="F104" s="252">
        <v>6600</v>
      </c>
      <c r="G104" s="252">
        <f t="shared" si="22"/>
        <v>7137.5</v>
      </c>
      <c r="J104" s="230"/>
      <c r="L104" s="252">
        <f>K103*E104</f>
        <v>8795550000</v>
      </c>
      <c r="M104" s="252">
        <f>K103*F104</f>
        <v>7563600000</v>
      </c>
      <c r="N104" s="252">
        <f t="shared" si="23"/>
        <v>8179575000</v>
      </c>
      <c r="P104" s="252"/>
      <c r="Q104" s="252"/>
      <c r="S104" s="348">
        <f>L104/Q103</f>
        <v>1.7224932387310552</v>
      </c>
      <c r="T104" s="348">
        <f>M104/Q103</f>
        <v>1.4812319707654678</v>
      </c>
      <c r="U104" s="1043">
        <f t="shared" si="24"/>
        <v>1.6018626047482614</v>
      </c>
      <c r="V104" s="2088" t="str">
        <f>Table24[[#This Row],[Column3]]</f>
        <v>1990-Q2</v>
      </c>
    </row>
    <row r="105" spans="1:22" x14ac:dyDescent="0.3">
      <c r="A105" s="211">
        <f t="shared" si="11"/>
        <v>1990</v>
      </c>
      <c r="B105" s="211" t="str">
        <f t="shared" si="12"/>
        <v>Q3</v>
      </c>
      <c r="C105" s="2088" t="str">
        <f t="shared" si="21"/>
        <v>1990-Q3</v>
      </c>
      <c r="E105" s="252">
        <v>7325</v>
      </c>
      <c r="F105" s="252">
        <v>5500</v>
      </c>
      <c r="G105" s="252">
        <f t="shared" si="22"/>
        <v>6412.5</v>
      </c>
      <c r="J105" s="230"/>
      <c r="L105" s="252">
        <f>K103*E105</f>
        <v>8394450000</v>
      </c>
      <c r="M105" s="252">
        <f>K103*F105</f>
        <v>6303000000</v>
      </c>
      <c r="N105" s="252">
        <f t="shared" si="23"/>
        <v>7348725000</v>
      </c>
      <c r="P105" s="252"/>
      <c r="Q105" s="252"/>
      <c r="S105" s="348">
        <f>L105/Q103</f>
        <v>1.6439430584631896</v>
      </c>
      <c r="T105" s="348">
        <f>M105/Q103</f>
        <v>1.2343599756378898</v>
      </c>
      <c r="U105" s="1043">
        <f t="shared" si="24"/>
        <v>1.4391515170505396</v>
      </c>
      <c r="V105" s="2088" t="str">
        <f>Table24[[#This Row],[Column3]]</f>
        <v>1990-Q3</v>
      </c>
    </row>
    <row r="106" spans="1:22" x14ac:dyDescent="0.3">
      <c r="A106" s="211">
        <f t="shared" si="11"/>
        <v>1990</v>
      </c>
      <c r="B106" s="211" t="str">
        <f t="shared" si="12"/>
        <v>Q4</v>
      </c>
      <c r="C106" s="2088" t="str">
        <f t="shared" si="21"/>
        <v>1990-Q4</v>
      </c>
      <c r="E106" s="252">
        <v>6900</v>
      </c>
      <c r="F106" s="252">
        <v>5500</v>
      </c>
      <c r="G106" s="252">
        <f t="shared" si="22"/>
        <v>6200</v>
      </c>
      <c r="J106" s="230"/>
      <c r="L106" s="252">
        <f>K103*E106</f>
        <v>7907400000</v>
      </c>
      <c r="M106" s="252">
        <f>K103*F106</f>
        <v>6303000000</v>
      </c>
      <c r="N106" s="252">
        <f t="shared" si="23"/>
        <v>7105200000</v>
      </c>
      <c r="P106" s="252"/>
      <c r="Q106" s="252"/>
      <c r="S106" s="348">
        <f>L106/Q103</f>
        <v>1.5485606967093526</v>
      </c>
      <c r="T106" s="348">
        <f>M106/Q103</f>
        <v>1.2343599756378898</v>
      </c>
      <c r="U106" s="1043">
        <f t="shared" si="24"/>
        <v>1.3914603361736213</v>
      </c>
      <c r="V106" s="2088" t="str">
        <f>Table24[[#This Row],[Column3]]</f>
        <v>1990-Q4</v>
      </c>
    </row>
    <row r="107" spans="1:22" x14ac:dyDescent="0.3">
      <c r="A107" s="211">
        <f t="shared" si="11"/>
        <v>1991</v>
      </c>
      <c r="B107" s="211" t="str">
        <f t="shared" si="12"/>
        <v>Q1</v>
      </c>
      <c r="C107" s="2088" t="str">
        <f t="shared" si="21"/>
        <v>1991-Q1</v>
      </c>
      <c r="D107" s="211">
        <v>1991</v>
      </c>
      <c r="E107" s="252">
        <v>8275</v>
      </c>
      <c r="F107" s="252">
        <v>6550</v>
      </c>
      <c r="G107" s="252">
        <f t="shared" si="22"/>
        <v>7412.5</v>
      </c>
      <c r="I107" s="2088">
        <v>33603</v>
      </c>
      <c r="J107" s="230">
        <v>1146000</v>
      </c>
      <c r="K107" s="278">
        <f>AVERAGE(J103,J107)</f>
        <v>1146000</v>
      </c>
      <c r="L107" s="252">
        <f>K107*E107</f>
        <v>9483150000</v>
      </c>
      <c r="M107" s="252">
        <f>K107*F107</f>
        <v>7506300000</v>
      </c>
      <c r="N107" s="252">
        <f t="shared" si="23"/>
        <v>8494725000</v>
      </c>
      <c r="P107" s="252">
        <v>7379918000</v>
      </c>
      <c r="Q107" s="252">
        <f>AVERAGE(P103,P107)</f>
        <v>6333686000</v>
      </c>
      <c r="S107" s="348">
        <f>L107/Q107</f>
        <v>1.4972561001603173</v>
      </c>
      <c r="T107" s="348">
        <f>M107/Q107</f>
        <v>1.1851392696133025</v>
      </c>
      <c r="U107" s="1043">
        <f t="shared" si="24"/>
        <v>1.3411976848868099</v>
      </c>
      <c r="V107" s="2088" t="str">
        <f>Table24[[#This Row],[Column3]]</f>
        <v>1991-Q1</v>
      </c>
    </row>
    <row r="108" spans="1:22" x14ac:dyDescent="0.3">
      <c r="A108" s="211">
        <f t="shared" si="11"/>
        <v>1991</v>
      </c>
      <c r="B108" s="211" t="str">
        <f t="shared" si="12"/>
        <v>Q2</v>
      </c>
      <c r="C108" s="2088" t="str">
        <f t="shared" si="21"/>
        <v>1991-Q2</v>
      </c>
      <c r="E108" s="252">
        <v>8750</v>
      </c>
      <c r="F108" s="252">
        <v>7760</v>
      </c>
      <c r="G108" s="252">
        <f t="shared" si="22"/>
        <v>8255</v>
      </c>
      <c r="J108" s="230"/>
      <c r="L108" s="252">
        <f>K107*E108</f>
        <v>10027500000</v>
      </c>
      <c r="M108" s="252">
        <f>K107*F108</f>
        <v>8892960000</v>
      </c>
      <c r="N108" s="252">
        <f t="shared" si="23"/>
        <v>9460230000</v>
      </c>
      <c r="P108" s="252"/>
      <c r="Q108" s="252"/>
      <c r="S108" s="348">
        <f>L108/Q107</f>
        <v>1.5832013143689156</v>
      </c>
      <c r="T108" s="348">
        <f>M108/Q107</f>
        <v>1.4040733942288899</v>
      </c>
      <c r="U108" s="1043">
        <f t="shared" si="24"/>
        <v>1.4936373542989028</v>
      </c>
      <c r="V108" s="2088" t="str">
        <f>Table24[[#This Row],[Column3]]</f>
        <v>1991-Q2</v>
      </c>
    </row>
    <row r="109" spans="1:22" x14ac:dyDescent="0.3">
      <c r="A109" s="211">
        <f t="shared" si="11"/>
        <v>1991</v>
      </c>
      <c r="B109" s="211" t="str">
        <f t="shared" si="12"/>
        <v>Q3</v>
      </c>
      <c r="C109" s="2088" t="str">
        <f t="shared" si="21"/>
        <v>1991-Q3</v>
      </c>
      <c r="E109" s="252">
        <v>9000</v>
      </c>
      <c r="F109" s="252">
        <v>8325</v>
      </c>
      <c r="G109" s="252">
        <f t="shared" si="22"/>
        <v>8662.5</v>
      </c>
      <c r="J109" s="230"/>
      <c r="L109" s="252">
        <f>K107*E109</f>
        <v>10314000000</v>
      </c>
      <c r="M109" s="252">
        <f>K107*F109</f>
        <v>9540450000</v>
      </c>
      <c r="N109" s="252">
        <f t="shared" si="23"/>
        <v>9927225000</v>
      </c>
      <c r="P109" s="252"/>
      <c r="Q109" s="252"/>
      <c r="S109" s="348">
        <f>L109/Q107</f>
        <v>1.6284356376365989</v>
      </c>
      <c r="T109" s="348">
        <f>M109/Q107</f>
        <v>1.506302964813854</v>
      </c>
      <c r="U109" s="1043">
        <f t="shared" si="24"/>
        <v>1.5673693012252263</v>
      </c>
      <c r="V109" s="2088" t="str">
        <f>Table24[[#This Row],[Column3]]</f>
        <v>1991-Q3</v>
      </c>
    </row>
    <row r="110" spans="1:22" x14ac:dyDescent="0.3">
      <c r="A110" s="211">
        <f t="shared" si="11"/>
        <v>1991</v>
      </c>
      <c r="B110" s="211" t="str">
        <f t="shared" si="12"/>
        <v>Q4</v>
      </c>
      <c r="C110" s="2088" t="str">
        <f t="shared" si="21"/>
        <v>1991-Q4</v>
      </c>
      <c r="E110" s="252">
        <v>9125</v>
      </c>
      <c r="F110" s="252">
        <v>8150</v>
      </c>
      <c r="G110" s="252">
        <f t="shared" si="22"/>
        <v>8637.5</v>
      </c>
      <c r="J110" s="230"/>
      <c r="L110" s="252">
        <f>K107*E110</f>
        <v>10457250000</v>
      </c>
      <c r="M110" s="252">
        <f>K107*F110</f>
        <v>9339900000</v>
      </c>
      <c r="N110" s="252">
        <f t="shared" si="23"/>
        <v>9898575000</v>
      </c>
      <c r="P110" s="252"/>
      <c r="Q110" s="252"/>
      <c r="S110" s="348">
        <f>L110/Q107</f>
        <v>1.6510527992704407</v>
      </c>
      <c r="T110" s="348">
        <f>M110/Q107</f>
        <v>1.4746389385264758</v>
      </c>
      <c r="U110" s="1043">
        <f t="shared" si="24"/>
        <v>1.5628458688984583</v>
      </c>
      <c r="V110" s="2088" t="str">
        <f>Table24[[#This Row],[Column3]]</f>
        <v>1991-Q4</v>
      </c>
    </row>
    <row r="111" spans="1:22" x14ac:dyDescent="0.3">
      <c r="A111" s="211">
        <f t="shared" si="11"/>
        <v>1992</v>
      </c>
      <c r="B111" s="211" t="str">
        <f t="shared" si="12"/>
        <v>Q1</v>
      </c>
      <c r="C111" s="2088" t="str">
        <f t="shared" si="21"/>
        <v>1992-Q1</v>
      </c>
      <c r="D111" s="211">
        <v>1992</v>
      </c>
      <c r="E111" s="252">
        <v>9000</v>
      </c>
      <c r="F111" s="252">
        <v>8575</v>
      </c>
      <c r="G111" s="252">
        <f t="shared" si="22"/>
        <v>8787.5</v>
      </c>
      <c r="I111" s="2088">
        <v>33969</v>
      </c>
      <c r="J111" s="230">
        <v>1149000</v>
      </c>
      <c r="K111" s="278">
        <f>AVERAGE(J107,J111)</f>
        <v>1147500</v>
      </c>
      <c r="L111" s="252">
        <f>K111*E111</f>
        <v>10327500000</v>
      </c>
      <c r="M111" s="252">
        <f>K111*F111</f>
        <v>9839812500</v>
      </c>
      <c r="N111" s="252">
        <f t="shared" si="23"/>
        <v>10083656250</v>
      </c>
      <c r="P111" s="252">
        <v>8896331000</v>
      </c>
      <c r="Q111" s="252">
        <f>AVERAGE(P107,P111)</f>
        <v>8138124500</v>
      </c>
      <c r="S111" s="348">
        <f>L111/Q111</f>
        <v>1.2690270344229804</v>
      </c>
      <c r="T111" s="348">
        <f>M111/Q111</f>
        <v>1.2091007577974509</v>
      </c>
      <c r="U111" s="1043">
        <f t="shared" si="24"/>
        <v>1.2390638961102156</v>
      </c>
      <c r="V111" s="2088" t="str">
        <f>Table24[[#This Row],[Column3]]</f>
        <v>1992-Q1</v>
      </c>
    </row>
    <row r="112" spans="1:22" x14ac:dyDescent="0.3">
      <c r="A112" s="211">
        <f t="shared" si="11"/>
        <v>1992</v>
      </c>
      <c r="B112" s="211" t="str">
        <f t="shared" si="12"/>
        <v>Q2</v>
      </c>
      <c r="C112" s="2088" t="str">
        <f t="shared" si="21"/>
        <v>1992-Q2</v>
      </c>
      <c r="E112" s="252">
        <v>9300</v>
      </c>
      <c r="F112" s="252">
        <v>8850</v>
      </c>
      <c r="G112" s="252">
        <f t="shared" si="22"/>
        <v>9075</v>
      </c>
      <c r="J112" s="230"/>
      <c r="L112" s="252">
        <f>K111*E112</f>
        <v>10671750000</v>
      </c>
      <c r="M112" s="252">
        <f>K111*F112</f>
        <v>10155375000</v>
      </c>
      <c r="N112" s="252">
        <f t="shared" si="23"/>
        <v>10413562500</v>
      </c>
      <c r="P112" s="252"/>
      <c r="Q112" s="252"/>
      <c r="S112" s="348">
        <f>L112/Q111</f>
        <v>1.3113279355704131</v>
      </c>
      <c r="T112" s="348">
        <f>M112/Q111</f>
        <v>1.247876583849264</v>
      </c>
      <c r="U112" s="1043">
        <f t="shared" si="24"/>
        <v>1.2796022597098387</v>
      </c>
      <c r="V112" s="2088" t="str">
        <f>Table24[[#This Row],[Column3]]</f>
        <v>1992-Q2</v>
      </c>
    </row>
    <row r="113" spans="1:22" x14ac:dyDescent="0.3">
      <c r="A113" s="211">
        <f t="shared" si="11"/>
        <v>1992</v>
      </c>
      <c r="B113" s="211" t="str">
        <f t="shared" si="12"/>
        <v>Q3</v>
      </c>
      <c r="C113" s="2088" t="str">
        <f t="shared" si="21"/>
        <v>1992-Q3</v>
      </c>
      <c r="E113" s="252">
        <v>9950</v>
      </c>
      <c r="F113" s="252">
        <v>9050</v>
      </c>
      <c r="G113" s="252">
        <f t="shared" si="22"/>
        <v>9500</v>
      </c>
      <c r="J113" s="230"/>
      <c r="L113" s="252">
        <f>K111*E113</f>
        <v>11417625000</v>
      </c>
      <c r="M113" s="252">
        <f>K111*F113</f>
        <v>10384875000</v>
      </c>
      <c r="N113" s="252">
        <f t="shared" si="23"/>
        <v>10901250000</v>
      </c>
      <c r="P113" s="252"/>
      <c r="Q113" s="252"/>
      <c r="S113" s="348">
        <f>L113/Q111</f>
        <v>1.4029798880565172</v>
      </c>
      <c r="T113" s="348">
        <f>M113/Q111</f>
        <v>1.2760771846142192</v>
      </c>
      <c r="U113" s="1043">
        <f t="shared" si="24"/>
        <v>1.3395285363353682</v>
      </c>
      <c r="V113" s="2088" t="str">
        <f>Table24[[#This Row],[Column3]]</f>
        <v>1992-Q3</v>
      </c>
    </row>
    <row r="114" spans="1:22" x14ac:dyDescent="0.3">
      <c r="A114" s="211">
        <f t="shared" si="11"/>
        <v>1992</v>
      </c>
      <c r="B114" s="211" t="str">
        <f t="shared" si="12"/>
        <v>Q4</v>
      </c>
      <c r="C114" s="2088" t="str">
        <f t="shared" si="21"/>
        <v>1992-Q4</v>
      </c>
      <c r="E114" s="252">
        <v>11750</v>
      </c>
      <c r="F114" s="252">
        <v>9150</v>
      </c>
      <c r="G114" s="252">
        <f t="shared" si="22"/>
        <v>10450</v>
      </c>
      <c r="J114" s="230"/>
      <c r="L114" s="252">
        <f>K111*E114</f>
        <v>13483125000</v>
      </c>
      <c r="M114" s="252">
        <f>K111*F114</f>
        <v>10499625000</v>
      </c>
      <c r="N114" s="252">
        <f t="shared" si="23"/>
        <v>11991375000</v>
      </c>
      <c r="P114" s="252"/>
      <c r="Q114" s="252"/>
      <c r="S114" s="348">
        <f>L114/Q111</f>
        <v>1.6567852949411133</v>
      </c>
      <c r="T114" s="348">
        <f>M114/Q111</f>
        <v>1.2901774849966967</v>
      </c>
      <c r="U114" s="1043">
        <f t="shared" si="24"/>
        <v>1.473481389968905</v>
      </c>
      <c r="V114" s="2088" t="str">
        <f>Table24[[#This Row],[Column3]]</f>
        <v>1992-Q4</v>
      </c>
    </row>
    <row r="115" spans="1:22" x14ac:dyDescent="0.3">
      <c r="A115" s="211">
        <f t="shared" si="11"/>
        <v>1993</v>
      </c>
      <c r="B115" s="211" t="str">
        <f t="shared" si="12"/>
        <v>Q1</v>
      </c>
      <c r="C115" s="2088" t="str">
        <f t="shared" si="21"/>
        <v>1993-Q1</v>
      </c>
      <c r="D115" s="211">
        <v>1993</v>
      </c>
      <c r="E115" s="252">
        <v>13200</v>
      </c>
      <c r="F115" s="252">
        <v>11350</v>
      </c>
      <c r="G115" s="252">
        <f t="shared" si="22"/>
        <v>12275</v>
      </c>
      <c r="I115" s="2088">
        <v>34334</v>
      </c>
      <c r="J115" s="230">
        <v>1178000</v>
      </c>
      <c r="K115" s="278">
        <f>AVERAGE(J111,J115)</f>
        <v>1163500</v>
      </c>
      <c r="L115" s="252">
        <f>K115*E115</f>
        <v>15358200000</v>
      </c>
      <c r="M115" s="252">
        <f>K115*F115</f>
        <v>13205725000</v>
      </c>
      <c r="N115" s="252">
        <f t="shared" si="23"/>
        <v>14281962500</v>
      </c>
      <c r="P115" s="252">
        <v>10428374000</v>
      </c>
      <c r="Q115" s="252">
        <f>AVERAGE(P111,P115)</f>
        <v>9662352500</v>
      </c>
      <c r="S115" s="348">
        <f>L115/Q115</f>
        <v>1.5894886881843733</v>
      </c>
      <c r="T115" s="348">
        <f>M115/Q115</f>
        <v>1.3667194402191392</v>
      </c>
      <c r="U115" s="1043">
        <f t="shared" si="24"/>
        <v>1.4781040642017562</v>
      </c>
      <c r="V115" s="2088" t="str">
        <f>Table24[[#This Row],[Column3]]</f>
        <v>1993-Q1</v>
      </c>
    </row>
    <row r="116" spans="1:22" x14ac:dyDescent="0.3">
      <c r="A116" s="211">
        <f t="shared" si="11"/>
        <v>1993</v>
      </c>
      <c r="B116" s="211" t="str">
        <f t="shared" si="12"/>
        <v>Q2</v>
      </c>
      <c r="C116" s="2088" t="str">
        <f t="shared" si="21"/>
        <v>1993-Q2</v>
      </c>
      <c r="E116" s="252">
        <v>16200</v>
      </c>
      <c r="F116" s="252">
        <v>11800</v>
      </c>
      <c r="G116" s="252">
        <f t="shared" si="22"/>
        <v>14000</v>
      </c>
      <c r="J116" s="230"/>
      <c r="L116" s="252">
        <f>K115*E116</f>
        <v>18848700000</v>
      </c>
      <c r="M116" s="252">
        <f>K115*F116</f>
        <v>13729300000</v>
      </c>
      <c r="N116" s="252">
        <f t="shared" si="23"/>
        <v>16289000000</v>
      </c>
      <c r="P116" s="252"/>
      <c r="Q116" s="252"/>
      <c r="S116" s="348">
        <f>L116/Q115</f>
        <v>1.9507361173171855</v>
      </c>
      <c r="T116" s="348">
        <f>M116/Q115</f>
        <v>1.4209065545890609</v>
      </c>
      <c r="U116" s="1043">
        <f t="shared" si="24"/>
        <v>1.6858213359531233</v>
      </c>
      <c r="V116" s="2088" t="str">
        <f>Table24[[#This Row],[Column3]]</f>
        <v>1993-Q2</v>
      </c>
    </row>
    <row r="117" spans="1:22" x14ac:dyDescent="0.3">
      <c r="A117" s="211">
        <f t="shared" si="11"/>
        <v>1993</v>
      </c>
      <c r="B117" s="211" t="str">
        <f t="shared" si="12"/>
        <v>Q3</v>
      </c>
      <c r="C117" s="2088" t="str">
        <f t="shared" si="21"/>
        <v>1993-Q3</v>
      </c>
      <c r="E117" s="252">
        <v>17800</v>
      </c>
      <c r="F117" s="252">
        <v>15100</v>
      </c>
      <c r="G117" s="252">
        <f t="shared" si="22"/>
        <v>16450</v>
      </c>
      <c r="J117" s="230"/>
      <c r="L117" s="252">
        <f>K115*E117</f>
        <v>20710300000</v>
      </c>
      <c r="M117" s="252">
        <f>K115*F117</f>
        <v>17568850000</v>
      </c>
      <c r="N117" s="252">
        <f t="shared" si="23"/>
        <v>19139575000</v>
      </c>
      <c r="P117" s="252"/>
      <c r="Q117" s="252"/>
      <c r="S117" s="348">
        <f>L117/Q115</f>
        <v>2.1434014128546854</v>
      </c>
      <c r="T117" s="348">
        <f>M117/Q115</f>
        <v>1.8182787266351543</v>
      </c>
      <c r="U117" s="1043">
        <f t="shared" si="24"/>
        <v>1.9808400697449198</v>
      </c>
      <c r="V117" s="2088" t="str">
        <f>Table24[[#This Row],[Column3]]</f>
        <v>1993-Q3</v>
      </c>
    </row>
    <row r="118" spans="1:22" x14ac:dyDescent="0.3">
      <c r="A118" s="211">
        <f t="shared" si="11"/>
        <v>1993</v>
      </c>
      <c r="B118" s="211" t="str">
        <f t="shared" si="12"/>
        <v>Q4</v>
      </c>
      <c r="C118" s="2088" t="str">
        <f t="shared" si="21"/>
        <v>1993-Q4</v>
      </c>
      <c r="E118" s="252">
        <v>17800</v>
      </c>
      <c r="F118" s="252">
        <v>16200</v>
      </c>
      <c r="G118" s="252">
        <f t="shared" si="22"/>
        <v>17000</v>
      </c>
      <c r="J118" s="230"/>
      <c r="L118" s="252">
        <f>K115*E118</f>
        <v>20710300000</v>
      </c>
      <c r="M118" s="252">
        <f>K115*F118</f>
        <v>18848700000</v>
      </c>
      <c r="N118" s="252">
        <f t="shared" si="23"/>
        <v>19779500000</v>
      </c>
      <c r="P118" s="252"/>
      <c r="Q118" s="252"/>
      <c r="S118" s="348">
        <f>L118/Q115</f>
        <v>2.1434014128546854</v>
      </c>
      <c r="T118" s="348">
        <f>M118/Q115</f>
        <v>1.9507361173171855</v>
      </c>
      <c r="U118" s="1043">
        <f t="shared" si="24"/>
        <v>2.0470687650859354</v>
      </c>
      <c r="V118" s="2088" t="str">
        <f>Table24[[#This Row],[Column3]]</f>
        <v>1993-Q4</v>
      </c>
    </row>
    <row r="119" spans="1:22" x14ac:dyDescent="0.3">
      <c r="A119" s="211">
        <f t="shared" si="11"/>
        <v>1994</v>
      </c>
      <c r="B119" s="211" t="str">
        <f t="shared" si="12"/>
        <v>Q1</v>
      </c>
      <c r="C119" s="2088" t="str">
        <f t="shared" si="21"/>
        <v>1994-Q1</v>
      </c>
      <c r="D119" s="211">
        <v>1994</v>
      </c>
      <c r="E119" s="252">
        <v>16900</v>
      </c>
      <c r="F119" s="252">
        <v>15150</v>
      </c>
      <c r="G119" s="252">
        <f t="shared" si="22"/>
        <v>16025</v>
      </c>
      <c r="I119" s="2088">
        <v>34699</v>
      </c>
      <c r="J119" s="230">
        <v>1178000</v>
      </c>
      <c r="K119" s="278">
        <f>AVERAGE(J115,J119)</f>
        <v>1178000</v>
      </c>
      <c r="L119" s="252">
        <f>K119*E119</f>
        <v>19908200000</v>
      </c>
      <c r="M119" s="252">
        <f>K119*F119</f>
        <v>17846700000</v>
      </c>
      <c r="N119" s="252">
        <f t="shared" si="23"/>
        <v>18877450000</v>
      </c>
      <c r="P119" s="252">
        <v>11874882000</v>
      </c>
      <c r="Q119" s="252">
        <f>AVERAGE(P115,P119)</f>
        <v>11151628000</v>
      </c>
      <c r="S119" s="348">
        <f>L119/Q119</f>
        <v>1.7852281299196853</v>
      </c>
      <c r="T119" s="348">
        <f>M119/Q119</f>
        <v>1.6003672288924988</v>
      </c>
      <c r="U119" s="1043">
        <f t="shared" si="24"/>
        <v>1.6927976794060919</v>
      </c>
      <c r="V119" s="2088" t="str">
        <f>Table24[[#This Row],[Column3]]</f>
        <v>1994-Q1</v>
      </c>
    </row>
    <row r="120" spans="1:22" x14ac:dyDescent="0.3">
      <c r="A120" s="211">
        <f t="shared" si="11"/>
        <v>1994</v>
      </c>
      <c r="B120" s="211" t="str">
        <f t="shared" si="12"/>
        <v>Q2</v>
      </c>
      <c r="C120" s="2088" t="str">
        <f t="shared" si="21"/>
        <v>1994-Q2</v>
      </c>
      <c r="E120" s="252">
        <v>16700</v>
      </c>
      <c r="F120" s="252">
        <v>15400</v>
      </c>
      <c r="G120" s="252">
        <f t="shared" si="22"/>
        <v>16050</v>
      </c>
      <c r="J120" s="230"/>
      <c r="L120" s="252">
        <f>K119*E120</f>
        <v>19672600000</v>
      </c>
      <c r="M120" s="252">
        <f>K119*F120</f>
        <v>18141200000</v>
      </c>
      <c r="N120" s="252">
        <f t="shared" si="23"/>
        <v>18906900000</v>
      </c>
      <c r="P120" s="252"/>
      <c r="Q120" s="252"/>
      <c r="S120" s="348">
        <f>L120/Q119</f>
        <v>1.7641011698022926</v>
      </c>
      <c r="T120" s="348">
        <f>M120/Q119</f>
        <v>1.6267759290392398</v>
      </c>
      <c r="U120" s="1043">
        <f t="shared" si="24"/>
        <v>1.6954385494207662</v>
      </c>
      <c r="V120" s="2088" t="str">
        <f>Table24[[#This Row],[Column3]]</f>
        <v>1994-Q2</v>
      </c>
    </row>
    <row r="121" spans="1:22" x14ac:dyDescent="0.3">
      <c r="A121" s="211">
        <f t="shared" si="11"/>
        <v>1994</v>
      </c>
      <c r="B121" s="211" t="str">
        <f t="shared" si="12"/>
        <v>Q3</v>
      </c>
      <c r="C121" s="2088" t="str">
        <f t="shared" si="21"/>
        <v>1994-Q3</v>
      </c>
      <c r="E121" s="252">
        <v>19750</v>
      </c>
      <c r="F121" s="252">
        <v>16425</v>
      </c>
      <c r="G121" s="252">
        <f t="shared" si="22"/>
        <v>18087.5</v>
      </c>
      <c r="J121" s="230"/>
      <c r="L121" s="252">
        <f>K119*E121</f>
        <v>23265500000</v>
      </c>
      <c r="M121" s="252">
        <f>K119*F121</f>
        <v>19348650000</v>
      </c>
      <c r="N121" s="252">
        <f t="shared" si="23"/>
        <v>21307075000</v>
      </c>
      <c r="P121" s="252"/>
      <c r="Q121" s="252"/>
      <c r="S121" s="348">
        <f>L121/Q119</f>
        <v>2.0862873115925318</v>
      </c>
      <c r="T121" s="348">
        <f>M121/Q119</f>
        <v>1.7350515996408775</v>
      </c>
      <c r="U121" s="1043">
        <f t="shared" si="24"/>
        <v>1.9106694556167048</v>
      </c>
      <c r="V121" s="2088" t="str">
        <f>Table24[[#This Row],[Column3]]</f>
        <v>1994-Q3</v>
      </c>
    </row>
    <row r="122" spans="1:22" x14ac:dyDescent="0.3">
      <c r="A122" s="211">
        <f t="shared" si="11"/>
        <v>1994</v>
      </c>
      <c r="B122" s="211" t="str">
        <f t="shared" si="12"/>
        <v>Q4</v>
      </c>
      <c r="C122" s="2088" t="str">
        <f t="shared" si="21"/>
        <v>1994-Q4</v>
      </c>
      <c r="E122" s="252">
        <v>20800</v>
      </c>
      <c r="F122" s="252">
        <v>19200</v>
      </c>
      <c r="G122" s="252">
        <f t="shared" si="22"/>
        <v>20000</v>
      </c>
      <c r="J122" s="230"/>
      <c r="L122" s="252">
        <f>K119*E122</f>
        <v>24502400000</v>
      </c>
      <c r="M122" s="252">
        <f>K119*F122</f>
        <v>22617600000</v>
      </c>
      <c r="N122" s="252">
        <f t="shared" si="23"/>
        <v>23560000000</v>
      </c>
      <c r="P122" s="252"/>
      <c r="Q122" s="252"/>
      <c r="S122" s="348">
        <f>L122/Q119</f>
        <v>2.1972038522088435</v>
      </c>
      <c r="T122" s="348">
        <f>M122/Q119</f>
        <v>2.0281881712697016</v>
      </c>
      <c r="U122" s="1043">
        <f t="shared" si="24"/>
        <v>2.1126960117392724</v>
      </c>
      <c r="V122" s="2088" t="str">
        <f>Table24[[#This Row],[Column3]]</f>
        <v>1994-Q4</v>
      </c>
    </row>
    <row r="123" spans="1:22" x14ac:dyDescent="0.3">
      <c r="C123" s="2088"/>
      <c r="D123" s="211">
        <v>1995</v>
      </c>
      <c r="E123" s="252"/>
      <c r="F123" s="252"/>
      <c r="G123" s="252"/>
      <c r="J123" s="230"/>
      <c r="L123" s="252"/>
      <c r="M123" s="252"/>
      <c r="N123" s="252"/>
      <c r="P123" s="252"/>
      <c r="Q123" s="252"/>
      <c r="S123" s="348"/>
      <c r="T123" s="348"/>
      <c r="U123" s="1043"/>
      <c r="V123" s="2088">
        <f>Table24[[#This Row],[Column3]]</f>
        <v>0</v>
      </c>
    </row>
    <row r="124" spans="1:22" x14ac:dyDescent="0.3">
      <c r="C124" s="2088"/>
    </row>
    <row r="125" spans="1:22" x14ac:dyDescent="0.3">
      <c r="C125" s="2088"/>
    </row>
    <row r="126" spans="1:22" x14ac:dyDescent="0.3">
      <c r="C126" s="2088"/>
    </row>
    <row r="127" spans="1:22" x14ac:dyDescent="0.3">
      <c r="C127" s="2088"/>
    </row>
    <row r="128" spans="1:22" x14ac:dyDescent="0.3">
      <c r="C128" s="2088"/>
      <c r="G128" s="211">
        <f>G122/G82</f>
        <v>15.56420233463035</v>
      </c>
      <c r="J128" s="211">
        <f>J119/J79</f>
        <v>1.0271085151481067</v>
      </c>
      <c r="K128" s="211">
        <f>K119/K79</f>
        <v>1.0271085151481067</v>
      </c>
      <c r="N128" s="211">
        <f>N122/N82</f>
        <v>15.986124749386876</v>
      </c>
      <c r="P128" s="211">
        <f>P119/P79</f>
        <v>9.337353480724758</v>
      </c>
      <c r="Q128" s="211">
        <f>Q119/Q79</f>
        <v>9.328182809037731</v>
      </c>
      <c r="U128" s="211">
        <f>U122/U82</f>
        <v>1.7137447964568737</v>
      </c>
    </row>
    <row r="129" spans="3:21" x14ac:dyDescent="0.3">
      <c r="C129" s="2088"/>
      <c r="G129" s="227">
        <f>G128^0.1-1</f>
        <v>0.31586909427589016</v>
      </c>
      <c r="J129" s="227">
        <f>J128^0.1-1</f>
        <v>2.6783391218532238E-3</v>
      </c>
      <c r="K129" s="227">
        <f>K128^0.1-1</f>
        <v>2.6783391218532238E-3</v>
      </c>
      <c r="N129" s="227">
        <f>N128^0.1-1</f>
        <v>0.31939343795032693</v>
      </c>
      <c r="P129" s="227">
        <f>P128^0.1-1</f>
        <v>0.25032346005647965</v>
      </c>
      <c r="Q129" s="227">
        <f>Q128^0.1-1</f>
        <v>0.25020060536470878</v>
      </c>
      <c r="U129" s="227">
        <f>U128^0.1-1</f>
        <v>5.5345384003740117E-2</v>
      </c>
    </row>
    <row r="130" spans="3:21" ht="16.2" thickBot="1" x14ac:dyDescent="0.35">
      <c r="C130" s="2088"/>
    </row>
    <row r="131" spans="3:21" x14ac:dyDescent="0.3">
      <c r="C131" s="2088"/>
      <c r="F131" s="453" t="s">
        <v>3740</v>
      </c>
      <c r="G131" s="389"/>
      <c r="H131" s="211" t="s">
        <v>3741</v>
      </c>
    </row>
    <row r="132" spans="3:21" x14ac:dyDescent="0.3">
      <c r="C132" s="2088"/>
      <c r="F132" s="214">
        <v>1984</v>
      </c>
      <c r="G132" s="223">
        <f>1275</f>
        <v>1275</v>
      </c>
    </row>
    <row r="133" spans="3:21" x14ac:dyDescent="0.3">
      <c r="C133" s="2088"/>
      <c r="F133" s="214">
        <v>1995</v>
      </c>
      <c r="G133" s="223">
        <v>20400</v>
      </c>
    </row>
    <row r="134" spans="3:21" ht="16.2" thickBot="1" x14ac:dyDescent="0.35">
      <c r="C134" s="2088"/>
      <c r="F134" s="224"/>
      <c r="G134" s="2457">
        <f>(G133/G132)^0.1-1</f>
        <v>0.3195079107728942</v>
      </c>
      <c r="L134" s="211" t="s">
        <v>3734</v>
      </c>
      <c r="M134" s="365">
        <f>P129</f>
        <v>0.25032346005647965</v>
      </c>
    </row>
    <row r="135" spans="3:21" x14ac:dyDescent="0.3">
      <c r="C135" s="2088"/>
      <c r="H135" s="211" t="s">
        <v>3742</v>
      </c>
      <c r="I135" s="211" t="s">
        <v>3743</v>
      </c>
      <c r="J135" s="211" t="s">
        <v>3744</v>
      </c>
      <c r="L135" s="211" t="s">
        <v>3735</v>
      </c>
      <c r="M135" s="365">
        <f>-K129</f>
        <v>-2.6783391218532238E-3</v>
      </c>
    </row>
    <row r="136" spans="3:21" x14ac:dyDescent="0.3">
      <c r="C136" s="2088"/>
      <c r="L136" s="211" t="s">
        <v>3736</v>
      </c>
      <c r="M136" s="365">
        <f>U129</f>
        <v>5.5345384003740117E-2</v>
      </c>
      <c r="N136" s="365"/>
    </row>
    <row r="137" spans="3:21" x14ac:dyDescent="0.3">
      <c r="C137" s="2088"/>
      <c r="M137" s="365">
        <f>SUM(M134:M136)</f>
        <v>0.30299050493836654</v>
      </c>
      <c r="N137" s="227"/>
    </row>
    <row r="138" spans="3:21" x14ac:dyDescent="0.3">
      <c r="C138" s="2088"/>
    </row>
    <row r="139" spans="3:21" x14ac:dyDescent="0.3">
      <c r="C139" s="2088"/>
    </row>
    <row r="140" spans="3:21" x14ac:dyDescent="0.3">
      <c r="C140" s="2088"/>
      <c r="L140" s="211" t="s">
        <v>3737</v>
      </c>
      <c r="M140" s="365">
        <f>N129</f>
        <v>0.31939343795032693</v>
      </c>
    </row>
    <row r="141" spans="3:21" x14ac:dyDescent="0.3">
      <c r="C141" s="2088"/>
      <c r="L141" s="211" t="s">
        <v>3738</v>
      </c>
      <c r="M141" s="365">
        <f>-P129</f>
        <v>-0.25032346005647965</v>
      </c>
    </row>
    <row r="142" spans="3:21" x14ac:dyDescent="0.3">
      <c r="L142" s="211" t="s">
        <v>3735</v>
      </c>
      <c r="M142" s="365">
        <f>-J129</f>
        <v>-2.6783391218532238E-3</v>
      </c>
    </row>
    <row r="143" spans="3:21" x14ac:dyDescent="0.3">
      <c r="L143" s="211" t="s">
        <v>3739</v>
      </c>
      <c r="M143" s="365">
        <f>SUM(M140:M142)</f>
        <v>6.6391638771994055E-2</v>
      </c>
    </row>
  </sheetData>
  <pageMargins left="0.7" right="0.7" top="0.75" bottom="0.75" header="0.3" footer="0.3"/>
  <pageSetup orientation="portrait"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C4322-3E12-4732-8613-76DF456A11B6}">
  <sheetPr codeName="Sheet30">
    <tabColor theme="4"/>
  </sheetPr>
  <dimension ref="A1:AE48"/>
  <sheetViews>
    <sheetView showGridLines="0" zoomScale="70" zoomScaleNormal="70" workbookViewId="0">
      <pane xSplit="1" ySplit="8" topLeftCell="B15" activePane="bottomRight" state="frozen"/>
      <selection pane="topRight" activeCell="B1" sqref="B1"/>
      <selection pane="bottomLeft" activeCell="A2" sqref="A2"/>
      <selection pane="bottomRight" activeCell="R30" sqref="R30"/>
    </sheetView>
  </sheetViews>
  <sheetFormatPr defaultColWidth="8.6640625" defaultRowHeight="15.6" outlineLevelRow="1" x14ac:dyDescent="0.3"/>
  <cols>
    <col min="1" max="1" width="39.33203125" style="211" customWidth="1"/>
    <col min="2" max="2" width="13.6640625" style="211" bestFit="1" customWidth="1"/>
    <col min="3" max="3" width="1.88671875" style="211" customWidth="1"/>
    <col min="4" max="4" width="13.6640625" style="211" bestFit="1" customWidth="1"/>
    <col min="5" max="5" width="1.88671875" style="211" customWidth="1"/>
    <col min="6" max="6" width="13.6640625" style="211" bestFit="1" customWidth="1"/>
    <col min="7" max="7" width="1.88671875" style="211" customWidth="1"/>
    <col min="8" max="8" width="13.6640625" style="211" bestFit="1" customWidth="1"/>
    <col min="9" max="9" width="1.88671875" style="211" customWidth="1"/>
    <col min="10" max="10" width="13.6640625" style="211" bestFit="1" customWidth="1"/>
    <col min="11" max="11" width="1.88671875" style="211" customWidth="1"/>
    <col min="12" max="12" width="12.33203125" style="211" bestFit="1" customWidth="1"/>
    <col min="13" max="13" width="1.88671875" style="211" customWidth="1"/>
    <col min="14" max="14" width="12.33203125" style="356" bestFit="1" customWidth="1"/>
    <col min="15" max="15" width="1.88671875" style="211" customWidth="1"/>
    <col min="16" max="16" width="12.33203125" style="356" bestFit="1" customWidth="1"/>
    <col min="17" max="17" width="1.88671875" style="211" customWidth="1"/>
    <col min="18" max="18" width="12.33203125" style="356" bestFit="1" customWidth="1"/>
    <col min="19" max="19" width="1.88671875" style="211" customWidth="1"/>
    <col min="20" max="20" width="12.33203125" style="356" bestFit="1" customWidth="1"/>
    <col min="21" max="16384" width="8.6640625" style="211"/>
  </cols>
  <sheetData>
    <row r="1" spans="1:20" s="345" customFormat="1" outlineLevel="1" x14ac:dyDescent="0.3">
      <c r="A1" s="345" t="s">
        <v>708</v>
      </c>
      <c r="B1" s="345">
        <v>1994</v>
      </c>
      <c r="D1" s="345">
        <v>1994</v>
      </c>
      <c r="F1" s="345">
        <v>1994</v>
      </c>
      <c r="H1" s="345">
        <v>1994</v>
      </c>
      <c r="J1" s="345">
        <v>1994</v>
      </c>
      <c r="L1" s="345">
        <v>1989</v>
      </c>
      <c r="N1" s="345">
        <v>1989</v>
      </c>
      <c r="P1" s="345">
        <v>1989</v>
      </c>
      <c r="R1" s="345">
        <v>1989</v>
      </c>
      <c r="T1" s="345">
        <v>1989</v>
      </c>
    </row>
    <row r="2" spans="1:20" x14ac:dyDescent="0.3">
      <c r="N2" s="211"/>
      <c r="P2" s="211"/>
      <c r="R2" s="211"/>
      <c r="T2" s="211"/>
    </row>
    <row r="3" spans="1:20" x14ac:dyDescent="0.3">
      <c r="N3" s="211"/>
      <c r="P3" s="211"/>
      <c r="R3" s="211"/>
      <c r="T3" s="211"/>
    </row>
    <row r="4" spans="1:20" x14ac:dyDescent="0.3">
      <c r="N4" s="211"/>
      <c r="P4" s="211"/>
      <c r="R4" s="211"/>
      <c r="T4" s="211"/>
    </row>
    <row r="5" spans="1:20" x14ac:dyDescent="0.3">
      <c r="A5" s="459" t="s">
        <v>1522</v>
      </c>
      <c r="N5" s="211"/>
      <c r="P5" s="211"/>
      <c r="R5" s="211"/>
      <c r="T5" s="211"/>
    </row>
    <row r="6" spans="1:20" x14ac:dyDescent="0.3">
      <c r="A6" s="152" t="s">
        <v>1586</v>
      </c>
      <c r="N6" s="211"/>
      <c r="P6" s="211"/>
      <c r="R6" s="211"/>
      <c r="T6" s="211"/>
    </row>
    <row r="7" spans="1:20" ht="8.25" customHeight="1" thickBot="1" x14ac:dyDescent="0.35">
      <c r="N7" s="211"/>
      <c r="P7" s="211"/>
      <c r="R7" s="211"/>
      <c r="T7" s="211"/>
    </row>
    <row r="8" spans="1:20" x14ac:dyDescent="0.3">
      <c r="A8" s="956" t="s">
        <v>1587</v>
      </c>
      <c r="B8" s="960">
        <v>1994</v>
      </c>
      <c r="C8" s="960"/>
      <c r="D8" s="960">
        <v>1993</v>
      </c>
      <c r="E8" s="960"/>
      <c r="F8" s="960">
        <v>1992</v>
      </c>
      <c r="G8" s="960"/>
      <c r="H8" s="960">
        <v>1991</v>
      </c>
      <c r="I8" s="960"/>
      <c r="J8" s="960">
        <v>1990</v>
      </c>
      <c r="K8" s="960"/>
      <c r="L8" s="960">
        <v>1989</v>
      </c>
      <c r="M8" s="960"/>
      <c r="N8" s="960">
        <v>1988</v>
      </c>
      <c r="O8" s="960"/>
      <c r="P8" s="960">
        <v>1987</v>
      </c>
      <c r="Q8" s="960"/>
      <c r="R8" s="960">
        <v>1986</v>
      </c>
      <c r="S8" s="960"/>
      <c r="T8" s="961">
        <v>1985</v>
      </c>
    </row>
    <row r="9" spans="1:20" ht="8.25" customHeight="1" x14ac:dyDescent="0.3">
      <c r="A9" s="962"/>
      <c r="B9" s="963"/>
      <c r="C9" s="963"/>
      <c r="D9" s="963"/>
      <c r="E9" s="963"/>
      <c r="F9" s="963"/>
      <c r="G9" s="963"/>
      <c r="H9" s="963"/>
      <c r="I9" s="963"/>
      <c r="J9" s="963"/>
      <c r="K9" s="963"/>
      <c r="L9" s="963"/>
      <c r="M9" s="963"/>
      <c r="N9" s="963"/>
      <c r="O9" s="963"/>
      <c r="P9" s="963"/>
      <c r="Q9" s="963"/>
      <c r="R9" s="963"/>
      <c r="S9" s="963"/>
      <c r="T9" s="964"/>
    </row>
    <row r="10" spans="1:20" x14ac:dyDescent="0.3">
      <c r="A10" s="965" t="s">
        <v>561</v>
      </c>
      <c r="B10" s="954"/>
      <c r="C10" s="954"/>
      <c r="D10" s="954"/>
      <c r="E10" s="954"/>
      <c r="F10" s="954"/>
      <c r="G10" s="954"/>
      <c r="H10" s="954"/>
      <c r="I10" s="954"/>
      <c r="J10" s="954"/>
      <c r="K10" s="954"/>
      <c r="L10" s="954"/>
      <c r="M10" s="954"/>
      <c r="N10" s="954"/>
      <c r="O10" s="954"/>
      <c r="P10" s="954"/>
      <c r="Q10" s="954"/>
      <c r="R10" s="954"/>
      <c r="S10" s="954"/>
      <c r="T10" s="955"/>
    </row>
    <row r="11" spans="1:20" x14ac:dyDescent="0.3">
      <c r="A11" s="966" t="s">
        <v>697</v>
      </c>
      <c r="B11" s="969">
        <v>2351918</v>
      </c>
      <c r="C11" s="969"/>
      <c r="D11" s="969">
        <v>1962862</v>
      </c>
      <c r="E11" s="969"/>
      <c r="F11" s="969">
        <v>1774436</v>
      </c>
      <c r="G11" s="969"/>
      <c r="H11" s="969">
        <v>1651134</v>
      </c>
      <c r="I11" s="969"/>
      <c r="J11" s="969">
        <v>1580074</v>
      </c>
      <c r="K11" s="969"/>
      <c r="L11" s="969">
        <v>1526459</v>
      </c>
      <c r="M11" s="969"/>
      <c r="N11" s="969">
        <v>1407642</v>
      </c>
      <c r="O11" s="969"/>
      <c r="P11" s="969">
        <v>1326829</v>
      </c>
      <c r="Q11" s="969"/>
      <c r="R11" s="969">
        <v>1219252</v>
      </c>
      <c r="S11" s="969"/>
      <c r="T11" s="970">
        <v>504872</v>
      </c>
    </row>
    <row r="12" spans="1:20" x14ac:dyDescent="0.3">
      <c r="A12" s="966" t="s">
        <v>698</v>
      </c>
      <c r="B12" s="971">
        <v>923180</v>
      </c>
      <c r="C12" s="971"/>
      <c r="D12" s="971">
        <v>650726</v>
      </c>
      <c r="E12" s="971"/>
      <c r="F12" s="971">
        <v>664293</v>
      </c>
      <c r="G12" s="971"/>
      <c r="H12" s="971">
        <v>776413</v>
      </c>
      <c r="I12" s="971"/>
      <c r="J12" s="971">
        <v>591540</v>
      </c>
      <c r="K12" s="971"/>
      <c r="L12" s="971">
        <v>394279</v>
      </c>
      <c r="M12" s="971"/>
      <c r="N12" s="971">
        <v>584235</v>
      </c>
      <c r="O12" s="971"/>
      <c r="P12" s="971">
        <v>824895</v>
      </c>
      <c r="Q12" s="971"/>
      <c r="R12" s="971">
        <v>823884</v>
      </c>
      <c r="S12" s="971"/>
      <c r="T12" s="972">
        <v>317059</v>
      </c>
    </row>
    <row r="13" spans="1:20" x14ac:dyDescent="0.3">
      <c r="A13" s="966" t="s">
        <v>699</v>
      </c>
      <c r="B13" s="971">
        <v>426094</v>
      </c>
      <c r="C13" s="971"/>
      <c r="D13" s="971">
        <v>354028</v>
      </c>
      <c r="E13" s="971"/>
      <c r="F13" s="971">
        <v>364895</v>
      </c>
      <c r="G13" s="971"/>
      <c r="H13" s="971">
        <v>347293</v>
      </c>
      <c r="I13" s="971"/>
      <c r="J13" s="971">
        <v>317095</v>
      </c>
      <c r="K13" s="971"/>
      <c r="L13" s="971">
        <v>331452</v>
      </c>
      <c r="M13" s="971"/>
      <c r="N13" s="971">
        <v>314251</v>
      </c>
      <c r="O13" s="971"/>
      <c r="P13" s="971">
        <v>237319</v>
      </c>
      <c r="Q13" s="971"/>
      <c r="R13" s="971">
        <v>181992</v>
      </c>
      <c r="S13" s="971"/>
      <c r="T13" s="972">
        <v>144722</v>
      </c>
    </row>
    <row r="14" spans="1:20" ht="17.100000000000001" customHeight="1" x14ac:dyDescent="0.3">
      <c r="A14" s="966" t="s">
        <v>1588</v>
      </c>
      <c r="B14" s="971">
        <v>30058</v>
      </c>
      <c r="C14" s="971"/>
      <c r="D14" s="971">
        <v>63000</v>
      </c>
      <c r="E14" s="971"/>
      <c r="F14" s="971">
        <v>63000</v>
      </c>
      <c r="G14" s="971"/>
      <c r="H14" s="971">
        <v>63000</v>
      </c>
      <c r="I14" s="971"/>
      <c r="J14" s="971">
        <v>63000</v>
      </c>
      <c r="K14" s="971"/>
      <c r="L14" s="971">
        <v>0</v>
      </c>
      <c r="M14" s="971"/>
      <c r="N14" s="971">
        <v>0</v>
      </c>
      <c r="O14" s="971"/>
      <c r="P14" s="971">
        <v>0</v>
      </c>
      <c r="Q14" s="971"/>
      <c r="R14" s="971">
        <v>0</v>
      </c>
      <c r="S14" s="971"/>
      <c r="T14" s="972">
        <v>0</v>
      </c>
    </row>
    <row r="15" spans="1:20" x14ac:dyDescent="0.3">
      <c r="A15" s="966" t="s">
        <v>700</v>
      </c>
      <c r="B15" s="971">
        <v>24885</v>
      </c>
      <c r="C15" s="971"/>
      <c r="D15" s="971">
        <v>22226</v>
      </c>
      <c r="E15" s="971"/>
      <c r="F15" s="971">
        <v>20696</v>
      </c>
      <c r="G15" s="971"/>
      <c r="H15" s="971">
        <v>19475</v>
      </c>
      <c r="I15" s="971"/>
      <c r="J15" s="971">
        <v>13498</v>
      </c>
      <c r="K15" s="971"/>
      <c r="L15" s="971">
        <v>0</v>
      </c>
      <c r="M15" s="971"/>
      <c r="N15" s="971">
        <v>0</v>
      </c>
      <c r="O15" s="971"/>
      <c r="P15" s="971">
        <v>0</v>
      </c>
      <c r="Q15" s="971"/>
      <c r="R15" s="971">
        <v>0</v>
      </c>
      <c r="S15" s="971"/>
      <c r="T15" s="972">
        <v>0</v>
      </c>
    </row>
    <row r="16" spans="1:20" x14ac:dyDescent="0.3">
      <c r="A16" s="966" t="s">
        <v>710</v>
      </c>
      <c r="B16" s="2383"/>
      <c r="C16" s="973"/>
      <c r="D16" s="2383"/>
      <c r="E16" s="973"/>
      <c r="F16" s="2383"/>
      <c r="G16" s="973"/>
      <c r="H16" s="2383"/>
      <c r="I16" s="973"/>
      <c r="J16" s="2383"/>
      <c r="K16" s="973"/>
      <c r="L16" s="971">
        <v>7892</v>
      </c>
      <c r="M16" s="971"/>
      <c r="N16" s="971">
        <v>27094</v>
      </c>
      <c r="O16" s="971"/>
      <c r="P16" s="971">
        <v>13901</v>
      </c>
      <c r="Q16" s="971"/>
      <c r="R16" s="971">
        <v>6316</v>
      </c>
      <c r="S16" s="971"/>
      <c r="T16" s="972">
        <v>1930</v>
      </c>
    </row>
    <row r="17" spans="1:31" x14ac:dyDescent="0.3">
      <c r="A17" s="966" t="s">
        <v>701</v>
      </c>
      <c r="B17" s="973">
        <v>91332</v>
      </c>
      <c r="C17" s="973"/>
      <c r="D17" s="973">
        <v>546422</v>
      </c>
      <c r="E17" s="973"/>
      <c r="F17" s="973">
        <v>89937</v>
      </c>
      <c r="G17" s="973"/>
      <c r="H17" s="973">
        <v>192478</v>
      </c>
      <c r="I17" s="973"/>
      <c r="J17" s="973">
        <v>33989</v>
      </c>
      <c r="K17" s="973"/>
      <c r="L17" s="971">
        <v>223810</v>
      </c>
      <c r="M17" s="971"/>
      <c r="N17" s="971">
        <v>131671</v>
      </c>
      <c r="O17" s="971"/>
      <c r="P17" s="971">
        <v>28838</v>
      </c>
      <c r="Q17" s="971"/>
      <c r="R17" s="971">
        <v>220764</v>
      </c>
      <c r="S17" s="971"/>
      <c r="T17" s="972">
        <v>495055</v>
      </c>
    </row>
    <row r="18" spans="1:31" ht="16.2" thickBot="1" x14ac:dyDescent="0.35">
      <c r="A18" s="966" t="s">
        <v>702</v>
      </c>
      <c r="B18" s="968">
        <f>SUM(B11:B17)</f>
        <v>3847467</v>
      </c>
      <c r="C18" s="969"/>
      <c r="D18" s="968">
        <f t="shared" ref="D18:J18" si="0">SUM(D11:D17)</f>
        <v>3599264</v>
      </c>
      <c r="E18" s="969"/>
      <c r="F18" s="968">
        <f t="shared" si="0"/>
        <v>2977257</v>
      </c>
      <c r="G18" s="969"/>
      <c r="H18" s="968">
        <f t="shared" si="0"/>
        <v>3049793</v>
      </c>
      <c r="I18" s="969"/>
      <c r="J18" s="968">
        <f t="shared" si="0"/>
        <v>2599196</v>
      </c>
      <c r="K18" s="969"/>
      <c r="L18" s="968">
        <f>SUM(L11:L17)</f>
        <v>2483892</v>
      </c>
      <c r="M18" s="969"/>
      <c r="N18" s="968">
        <f>SUM(N11:N17)</f>
        <v>2464893</v>
      </c>
      <c r="O18" s="969"/>
      <c r="P18" s="968">
        <f>SUM(P11:P17)</f>
        <v>2431782</v>
      </c>
      <c r="Q18" s="969"/>
      <c r="R18" s="968">
        <f>SUM(R11:R17)</f>
        <v>2452208</v>
      </c>
      <c r="S18" s="969"/>
      <c r="T18" s="974">
        <f>SUM(T11:T17)</f>
        <v>1463638</v>
      </c>
    </row>
    <row r="19" spans="1:31" ht="8.25" customHeight="1" thickTop="1" x14ac:dyDescent="0.3">
      <c r="A19" s="966"/>
      <c r="B19" s="975"/>
      <c r="C19" s="975"/>
      <c r="D19" s="975"/>
      <c r="E19" s="975"/>
      <c r="F19" s="975"/>
      <c r="G19" s="975"/>
      <c r="H19" s="975"/>
      <c r="I19" s="975"/>
      <c r="J19" s="975"/>
      <c r="K19" s="975"/>
      <c r="L19" s="975"/>
      <c r="M19" s="975"/>
      <c r="N19" s="975"/>
      <c r="O19" s="975"/>
      <c r="P19" s="975"/>
      <c r="Q19" s="975"/>
      <c r="R19" s="975"/>
      <c r="S19" s="975"/>
      <c r="T19" s="967"/>
    </row>
    <row r="20" spans="1:31" x14ac:dyDescent="0.3">
      <c r="A20" s="965" t="s">
        <v>694</v>
      </c>
      <c r="B20" s="954"/>
      <c r="C20" s="954"/>
      <c r="D20" s="954"/>
      <c r="E20" s="954"/>
      <c r="F20" s="954"/>
      <c r="G20" s="954"/>
      <c r="H20" s="954"/>
      <c r="I20" s="954"/>
      <c r="J20" s="954"/>
      <c r="K20" s="954"/>
      <c r="L20" s="954"/>
      <c r="M20" s="954"/>
      <c r="N20" s="954"/>
      <c r="O20" s="954"/>
      <c r="P20" s="954"/>
      <c r="Q20" s="954"/>
      <c r="R20" s="954"/>
      <c r="S20" s="954"/>
      <c r="T20" s="955"/>
    </row>
    <row r="21" spans="1:31" ht="34.200000000000003" x14ac:dyDescent="0.3">
      <c r="A21" s="966" t="s">
        <v>1589</v>
      </c>
      <c r="B21" s="969">
        <v>433659</v>
      </c>
      <c r="C21" s="969"/>
      <c r="D21" s="969">
        <v>402403</v>
      </c>
      <c r="E21" s="969"/>
      <c r="F21" s="969">
        <v>347726</v>
      </c>
      <c r="G21" s="969"/>
      <c r="H21" s="969">
        <v>315753</v>
      </c>
      <c r="I21" s="969"/>
      <c r="J21" s="969">
        <v>370745</v>
      </c>
      <c r="K21" s="969"/>
      <c r="L21" s="969">
        <v>299902</v>
      </c>
      <c r="M21" s="969"/>
      <c r="N21" s="969">
        <v>313441</v>
      </c>
      <c r="O21" s="969"/>
      <c r="P21" s="969">
        <v>214746</v>
      </c>
      <c r="Q21" s="969"/>
      <c r="R21" s="969">
        <v>131464</v>
      </c>
      <c r="S21" s="969"/>
      <c r="T21" s="970">
        <v>92948</v>
      </c>
    </row>
    <row r="22" spans="1:31" x14ac:dyDescent="0.3">
      <c r="A22" s="966" t="s">
        <v>701</v>
      </c>
      <c r="B22" s="971">
        <v>61139</v>
      </c>
      <c r="C22" s="971"/>
      <c r="D22" s="971">
        <v>356702</v>
      </c>
      <c r="E22" s="971"/>
      <c r="F22" s="971">
        <v>59559</v>
      </c>
      <c r="G22" s="971"/>
      <c r="H22" s="971">
        <v>124155</v>
      </c>
      <c r="I22" s="971"/>
      <c r="J22" s="971">
        <v>23348</v>
      </c>
      <c r="K22" s="971"/>
      <c r="L22" s="971">
        <v>147575</v>
      </c>
      <c r="M22" s="971"/>
      <c r="N22" s="971">
        <v>85829</v>
      </c>
      <c r="O22" s="971"/>
      <c r="P22" s="971">
        <v>19806</v>
      </c>
      <c r="Q22" s="971"/>
      <c r="R22" s="971">
        <v>150897</v>
      </c>
      <c r="S22" s="971"/>
      <c r="T22" s="972">
        <v>342867</v>
      </c>
    </row>
    <row r="23" spans="1:31" x14ac:dyDescent="0.3">
      <c r="A23" s="2860" t="s">
        <v>703</v>
      </c>
      <c r="B23" s="971"/>
      <c r="C23" s="971"/>
      <c r="D23" s="971"/>
      <c r="E23" s="971"/>
      <c r="F23" s="971"/>
      <c r="G23" s="971"/>
      <c r="H23" s="971"/>
      <c r="I23" s="971"/>
      <c r="J23" s="971"/>
      <c r="K23" s="971"/>
      <c r="L23" s="971"/>
      <c r="M23" s="971"/>
      <c r="N23" s="971"/>
      <c r="O23" s="971"/>
      <c r="P23" s="971"/>
      <c r="Q23" s="971"/>
      <c r="R23" s="971"/>
      <c r="S23" s="971"/>
      <c r="T23" s="972"/>
    </row>
    <row r="24" spans="1:31" x14ac:dyDescent="0.3">
      <c r="A24" s="2860"/>
      <c r="B24" s="971">
        <v>0</v>
      </c>
      <c r="C24" s="971"/>
      <c r="D24" s="971">
        <v>-70984</v>
      </c>
      <c r="E24" s="971"/>
      <c r="F24" s="971">
        <v>0</v>
      </c>
      <c r="G24" s="971"/>
      <c r="H24" s="971">
        <v>0</v>
      </c>
      <c r="I24" s="971"/>
      <c r="J24" s="971">
        <v>0</v>
      </c>
      <c r="K24" s="971"/>
      <c r="L24" s="971">
        <v>0</v>
      </c>
      <c r="M24" s="971"/>
      <c r="N24" s="971">
        <v>0</v>
      </c>
      <c r="O24" s="971"/>
      <c r="P24" s="971">
        <v>0</v>
      </c>
      <c r="Q24" s="971"/>
      <c r="R24" s="971">
        <v>0</v>
      </c>
      <c r="S24" s="971"/>
      <c r="T24" s="972">
        <v>0</v>
      </c>
      <c r="W24" s="211" t="s">
        <v>176</v>
      </c>
    </row>
    <row r="25" spans="1:31" ht="16.2" thickBot="1" x14ac:dyDescent="0.35">
      <c r="A25" s="966" t="s">
        <v>704</v>
      </c>
      <c r="B25" s="968">
        <f>SUM(B21:B24)</f>
        <v>494798</v>
      </c>
      <c r="C25" s="969"/>
      <c r="D25" s="968">
        <f>SUM(D21:D24)</f>
        <v>688121</v>
      </c>
      <c r="E25" s="969"/>
      <c r="F25" s="968">
        <f>SUM(F21:F24)</f>
        <v>407285</v>
      </c>
      <c r="G25" s="969"/>
      <c r="H25" s="968">
        <f>SUM(H21:H24)</f>
        <v>439908</v>
      </c>
      <c r="I25" s="969"/>
      <c r="J25" s="968">
        <f>SUM(J21:J24)</f>
        <v>394093</v>
      </c>
      <c r="K25" s="969"/>
      <c r="L25" s="968">
        <f>SUM(L21:L24)</f>
        <v>447477</v>
      </c>
      <c r="M25" s="969"/>
      <c r="N25" s="968">
        <f>SUM(N21:N24)</f>
        <v>399270</v>
      </c>
      <c r="O25" s="969"/>
      <c r="P25" s="968">
        <f>SUM(P21:P24)</f>
        <v>234552</v>
      </c>
      <c r="Q25" s="969"/>
      <c r="R25" s="968">
        <f>SUM(R21:R24)</f>
        <v>282361</v>
      </c>
      <c r="S25" s="969"/>
      <c r="T25" s="974">
        <f>SUM(T21:T24)</f>
        <v>435815</v>
      </c>
    </row>
    <row r="26" spans="1:31" ht="16.2" thickTop="1" x14ac:dyDescent="0.3">
      <c r="A26" s="214"/>
      <c r="B26" s="220"/>
      <c r="C26" s="220"/>
      <c r="D26" s="220"/>
      <c r="E26" s="220"/>
      <c r="F26" s="220"/>
      <c r="G26" s="220"/>
      <c r="H26" s="220"/>
      <c r="I26" s="220"/>
      <c r="J26" s="220"/>
      <c r="K26" s="220"/>
      <c r="L26" s="220"/>
      <c r="M26" s="220"/>
      <c r="N26" s="220"/>
      <c r="O26" s="220"/>
      <c r="P26" s="220"/>
      <c r="Q26" s="220"/>
      <c r="R26" s="220"/>
      <c r="S26" s="220"/>
      <c r="T26" s="223"/>
    </row>
    <row r="27" spans="1:31" x14ac:dyDescent="0.3">
      <c r="A27" s="965" t="s">
        <v>695</v>
      </c>
      <c r="B27" s="954"/>
      <c r="C27" s="954"/>
      <c r="D27" s="954"/>
      <c r="E27" s="954"/>
      <c r="F27" s="954"/>
      <c r="G27" s="954"/>
      <c r="H27" s="954"/>
      <c r="I27" s="954"/>
      <c r="J27" s="954"/>
      <c r="K27" s="954"/>
      <c r="L27" s="954"/>
      <c r="M27" s="954"/>
      <c r="N27" s="954"/>
      <c r="O27" s="954"/>
      <c r="P27" s="954"/>
      <c r="Q27" s="954"/>
      <c r="R27" s="954"/>
      <c r="S27" s="954"/>
      <c r="T27" s="955"/>
    </row>
    <row r="28" spans="1:31" x14ac:dyDescent="0.3">
      <c r="A28" s="966" t="s">
        <v>705</v>
      </c>
      <c r="B28" s="969">
        <v>21338182</v>
      </c>
      <c r="C28" s="969"/>
      <c r="D28" s="969">
        <v>19520469</v>
      </c>
      <c r="E28" s="969"/>
      <c r="F28" s="969">
        <v>17131998</v>
      </c>
      <c r="G28" s="969"/>
      <c r="H28" s="969">
        <v>14461902</v>
      </c>
      <c r="I28" s="969"/>
      <c r="J28" s="969">
        <v>10670423</v>
      </c>
      <c r="K28" s="969"/>
      <c r="L28" s="969">
        <v>9459594</v>
      </c>
      <c r="M28" s="969"/>
      <c r="N28" s="969">
        <v>6816848</v>
      </c>
      <c r="O28" s="969"/>
      <c r="P28" s="969">
        <v>5863235</v>
      </c>
      <c r="Q28" s="969"/>
      <c r="R28" s="969">
        <v>4931354</v>
      </c>
      <c r="S28" s="969"/>
      <c r="T28" s="970">
        <v>3480789</v>
      </c>
      <c r="V28" s="356" t="s">
        <v>1593</v>
      </c>
      <c r="W28" s="356"/>
      <c r="X28" s="356"/>
      <c r="Y28" s="356"/>
      <c r="Z28" s="356"/>
      <c r="AA28" s="356"/>
      <c r="AB28" s="356"/>
      <c r="AC28" s="356"/>
      <c r="AD28" s="356"/>
      <c r="AE28" s="356"/>
    </row>
    <row r="29" spans="1:31" ht="34.200000000000003" x14ac:dyDescent="0.3">
      <c r="A29" s="966" t="s">
        <v>1590</v>
      </c>
      <c r="B29" s="971">
        <v>810719</v>
      </c>
      <c r="C29" s="971"/>
      <c r="D29" s="971">
        <v>972389</v>
      </c>
      <c r="E29" s="971"/>
      <c r="F29" s="971">
        <v>1154697</v>
      </c>
      <c r="G29" s="971"/>
      <c r="H29" s="971">
        <v>1100464</v>
      </c>
      <c r="I29" s="971"/>
      <c r="J29" s="971">
        <v>1082265</v>
      </c>
      <c r="K29" s="971"/>
      <c r="L29" s="971">
        <v>1007516</v>
      </c>
      <c r="M29" s="971"/>
      <c r="N29" s="971">
        <v>480009</v>
      </c>
      <c r="O29" s="971"/>
      <c r="P29" s="971">
        <v>289886</v>
      </c>
      <c r="Q29" s="971"/>
      <c r="R29" s="971">
        <v>260170</v>
      </c>
      <c r="S29" s="971"/>
      <c r="T29" s="972">
        <v>117879</v>
      </c>
    </row>
    <row r="30" spans="1:31" x14ac:dyDescent="0.3">
      <c r="A30" s="966" t="s">
        <v>706</v>
      </c>
      <c r="B30" s="971">
        <v>11874882</v>
      </c>
      <c r="C30" s="971"/>
      <c r="D30" s="971">
        <v>10428374</v>
      </c>
      <c r="E30" s="971"/>
      <c r="F30" s="971">
        <v>8896331</v>
      </c>
      <c r="G30" s="971"/>
      <c r="H30" s="971">
        <v>7379918</v>
      </c>
      <c r="I30" s="971"/>
      <c r="J30" s="971">
        <v>5287454</v>
      </c>
      <c r="K30" s="971"/>
      <c r="L30" s="971">
        <v>4925126</v>
      </c>
      <c r="M30" s="971"/>
      <c r="N30" s="971">
        <v>3410108</v>
      </c>
      <c r="O30" s="971"/>
      <c r="P30" s="971">
        <v>2841659</v>
      </c>
      <c r="Q30" s="971"/>
      <c r="R30" s="971">
        <v>2377797</v>
      </c>
      <c r="S30" s="971"/>
      <c r="T30" s="972">
        <v>1885330</v>
      </c>
    </row>
    <row r="31" spans="1:31" x14ac:dyDescent="0.3">
      <c r="A31" s="966" t="s">
        <v>3056</v>
      </c>
      <c r="B31" s="971">
        <v>1178</v>
      </c>
      <c r="C31" s="971"/>
      <c r="D31" s="971">
        <v>1178</v>
      </c>
      <c r="E31" s="971"/>
      <c r="F31" s="971">
        <v>1149</v>
      </c>
      <c r="G31" s="971"/>
      <c r="H31" s="971">
        <v>1146</v>
      </c>
      <c r="I31" s="971"/>
      <c r="J31" s="971">
        <v>1146</v>
      </c>
      <c r="K31" s="971"/>
      <c r="L31" s="971">
        <v>1146</v>
      </c>
      <c r="M31" s="971"/>
      <c r="N31" s="971">
        <v>1146</v>
      </c>
      <c r="O31" s="971"/>
      <c r="P31" s="971">
        <v>1147</v>
      </c>
      <c r="Q31" s="971"/>
      <c r="R31" s="971">
        <v>1147</v>
      </c>
      <c r="S31" s="971"/>
      <c r="T31" s="972">
        <v>1147</v>
      </c>
    </row>
    <row r="32" spans="1:31" x14ac:dyDescent="0.3">
      <c r="A32" s="966" t="s">
        <v>709</v>
      </c>
      <c r="B32" s="971">
        <v>10083</v>
      </c>
      <c r="C32" s="971"/>
      <c r="D32" s="971">
        <v>8854</v>
      </c>
      <c r="E32" s="971"/>
      <c r="F32" s="971">
        <v>7745</v>
      </c>
      <c r="G32" s="971"/>
      <c r="H32" s="971">
        <v>6437</v>
      </c>
      <c r="I32" s="971"/>
      <c r="J32" s="971">
        <v>4612</v>
      </c>
      <c r="K32" s="971"/>
      <c r="L32" s="971">
        <v>4296</v>
      </c>
      <c r="M32" s="971"/>
      <c r="N32" s="971">
        <v>2975</v>
      </c>
      <c r="O32" s="971"/>
      <c r="P32" s="971">
        <v>2477</v>
      </c>
      <c r="Q32" s="971"/>
      <c r="R32" s="971">
        <v>2073</v>
      </c>
      <c r="S32" s="971"/>
      <c r="T32" s="972">
        <v>1644</v>
      </c>
    </row>
    <row r="33" spans="1:23" ht="8.25" customHeight="1" x14ac:dyDescent="0.3">
      <c r="A33" s="214"/>
      <c r="B33" s="220"/>
      <c r="C33" s="220"/>
      <c r="D33" s="220"/>
      <c r="E33" s="220"/>
      <c r="F33" s="220"/>
      <c r="G33" s="220"/>
      <c r="H33" s="220"/>
      <c r="I33" s="220"/>
      <c r="J33" s="220"/>
      <c r="K33" s="220"/>
      <c r="L33" s="220"/>
      <c r="M33" s="220"/>
      <c r="N33" s="220"/>
      <c r="O33" s="220"/>
      <c r="P33" s="220"/>
      <c r="Q33" s="220"/>
      <c r="R33" s="220"/>
      <c r="S33" s="220"/>
      <c r="T33" s="223"/>
    </row>
    <row r="34" spans="1:23" x14ac:dyDescent="0.3">
      <c r="A34" s="28" t="s">
        <v>1591</v>
      </c>
      <c r="B34" s="220"/>
      <c r="C34" s="220"/>
      <c r="D34" s="220"/>
      <c r="E34" s="220"/>
      <c r="F34" s="220"/>
      <c r="G34" s="220"/>
      <c r="H34" s="220"/>
      <c r="I34" s="220"/>
      <c r="J34" s="220"/>
      <c r="K34" s="220"/>
      <c r="L34" s="220"/>
      <c r="M34" s="220"/>
      <c r="N34" s="220"/>
      <c r="O34" s="220"/>
      <c r="P34" s="220"/>
      <c r="Q34" s="220"/>
      <c r="R34" s="220"/>
      <c r="S34" s="220"/>
      <c r="T34" s="223"/>
      <c r="W34" s="211" t="s">
        <v>176</v>
      </c>
    </row>
    <row r="35" spans="1:23" s="1" customFormat="1" ht="13.8" x14ac:dyDescent="0.25">
      <c r="A35" s="2861" t="s">
        <v>1592</v>
      </c>
      <c r="B35" s="2862"/>
      <c r="C35" s="2862"/>
      <c r="D35" s="2862"/>
      <c r="E35" s="2862"/>
      <c r="F35" s="2862"/>
      <c r="G35" s="2862"/>
      <c r="H35" s="2862"/>
      <c r="I35" s="2862"/>
      <c r="J35" s="2862"/>
      <c r="K35" s="2862"/>
      <c r="L35" s="2862"/>
      <c r="M35" s="2862"/>
      <c r="N35" s="2862"/>
      <c r="O35" s="2862"/>
      <c r="P35" s="2862"/>
      <c r="Q35" s="2862"/>
      <c r="R35" s="2862"/>
      <c r="S35" s="2862"/>
      <c r="T35" s="2863"/>
    </row>
    <row r="36" spans="1:23" s="1" customFormat="1" ht="9" customHeight="1" x14ac:dyDescent="0.25">
      <c r="A36" s="952"/>
      <c r="B36" s="953"/>
      <c r="C36" s="953"/>
      <c r="D36" s="953"/>
      <c r="E36" s="953"/>
      <c r="F36" s="953"/>
      <c r="G36" s="953"/>
      <c r="H36" s="953"/>
      <c r="I36" s="953"/>
      <c r="J36" s="953"/>
      <c r="K36" s="953"/>
      <c r="L36" s="953"/>
      <c r="M36" s="953"/>
      <c r="N36" s="953"/>
      <c r="O36" s="205"/>
      <c r="P36" s="205"/>
      <c r="Q36" s="205"/>
      <c r="R36" s="205"/>
      <c r="S36" s="205"/>
      <c r="T36" s="8"/>
    </row>
    <row r="37" spans="1:23" s="1" customFormat="1" ht="13.8" x14ac:dyDescent="0.25">
      <c r="A37" s="959" t="s">
        <v>1398</v>
      </c>
      <c r="B37" s="953"/>
      <c r="C37" s="953"/>
      <c r="D37" s="953"/>
      <c r="E37" s="953"/>
      <c r="F37" s="953"/>
      <c r="G37" s="953"/>
      <c r="H37" s="953"/>
      <c r="I37" s="953"/>
      <c r="J37" s="953"/>
      <c r="K37" s="953"/>
      <c r="L37" s="953"/>
      <c r="M37" s="953"/>
      <c r="N37" s="953"/>
      <c r="O37" s="205"/>
      <c r="P37" s="205"/>
      <c r="Q37" s="205"/>
      <c r="R37" s="205"/>
      <c r="S37" s="205"/>
      <c r="T37" s="8"/>
    </row>
    <row r="38" spans="1:23" ht="50.1" customHeight="1" x14ac:dyDescent="0.3">
      <c r="A38" s="2858" t="s">
        <v>707</v>
      </c>
      <c r="B38" s="2859"/>
      <c r="C38" s="2859"/>
      <c r="D38" s="2859"/>
      <c r="E38" s="2859"/>
      <c r="F38" s="2859"/>
      <c r="G38" s="2859"/>
      <c r="H38" s="2859"/>
      <c r="I38" s="2859"/>
      <c r="J38" s="2859"/>
      <c r="K38" s="220"/>
      <c r="L38" s="220"/>
      <c r="M38" s="220"/>
      <c r="N38" s="220"/>
      <c r="O38" s="220"/>
      <c r="P38" s="220"/>
      <c r="Q38" s="220"/>
      <c r="R38" s="220"/>
      <c r="S38" s="220"/>
      <c r="T38" s="223"/>
    </row>
    <row r="39" spans="1:23" ht="16.2" thickBot="1" x14ac:dyDescent="0.35">
      <c r="A39" s="9" t="s">
        <v>696</v>
      </c>
      <c r="B39" s="25"/>
      <c r="C39" s="25"/>
      <c r="D39" s="25"/>
      <c r="E39" s="25"/>
      <c r="F39" s="25"/>
      <c r="G39" s="25"/>
      <c r="H39" s="25"/>
      <c r="I39" s="25"/>
      <c r="J39" s="25"/>
      <c r="K39" s="218"/>
      <c r="L39" s="218"/>
      <c r="M39" s="218"/>
      <c r="N39" s="218"/>
      <c r="O39" s="218"/>
      <c r="P39" s="218"/>
      <c r="Q39" s="218"/>
      <c r="R39" s="218"/>
      <c r="S39" s="218"/>
      <c r="T39" s="219"/>
    </row>
    <row r="40" spans="1:23" x14ac:dyDescent="0.3">
      <c r="A40" s="12" t="s">
        <v>1899</v>
      </c>
      <c r="N40" s="211"/>
      <c r="P40" s="211"/>
      <c r="R40" s="211"/>
      <c r="T40" s="211"/>
    </row>
    <row r="41" spans="1:23" x14ac:dyDescent="0.3">
      <c r="N41" s="211"/>
      <c r="P41" s="211"/>
      <c r="R41" s="211"/>
      <c r="T41" s="211"/>
    </row>
    <row r="42" spans="1:23" x14ac:dyDescent="0.3">
      <c r="N42" s="211"/>
      <c r="P42" s="211"/>
      <c r="R42" s="211"/>
      <c r="T42" s="211"/>
    </row>
    <row r="43" spans="1:23" x14ac:dyDescent="0.3">
      <c r="N43" s="211"/>
      <c r="P43" s="211"/>
      <c r="R43" s="211"/>
      <c r="T43" s="211"/>
    </row>
    <row r="44" spans="1:23" x14ac:dyDescent="0.3">
      <c r="N44" s="211"/>
      <c r="P44" s="211"/>
      <c r="R44" s="211"/>
      <c r="T44" s="211"/>
    </row>
    <row r="45" spans="1:23" x14ac:dyDescent="0.3">
      <c r="N45" s="211"/>
      <c r="P45" s="211"/>
      <c r="R45" s="211"/>
      <c r="T45" s="211"/>
    </row>
    <row r="46" spans="1:23" x14ac:dyDescent="0.3">
      <c r="N46" s="211"/>
      <c r="P46" s="211"/>
      <c r="R46" s="211"/>
      <c r="T46" s="211"/>
    </row>
    <row r="47" spans="1:23" x14ac:dyDescent="0.3">
      <c r="N47" s="211"/>
      <c r="P47" s="211"/>
      <c r="R47" s="211"/>
      <c r="T47" s="211"/>
    </row>
    <row r="48" spans="1:23" x14ac:dyDescent="0.3">
      <c r="N48" s="211"/>
      <c r="P48" s="211"/>
      <c r="R48" s="211"/>
      <c r="T48" s="211"/>
    </row>
  </sheetData>
  <mergeCells count="3">
    <mergeCell ref="A38:J38"/>
    <mergeCell ref="A23:A24"/>
    <mergeCell ref="A35:T35"/>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DBA4-8E2B-4D05-9E9B-C4E872E8A541}">
  <sheetPr codeName="Sheet36">
    <tabColor theme="4"/>
  </sheetPr>
  <dimension ref="A1:AM56"/>
  <sheetViews>
    <sheetView showGridLines="0" zoomScale="55" zoomScaleNormal="55" workbookViewId="0">
      <pane xSplit="1" ySplit="5" topLeftCell="B6" activePane="bottomRight" state="frozen"/>
      <selection pane="topRight" activeCell="B1" sqref="B1"/>
      <selection pane="bottomLeft" activeCell="A4" sqref="A4"/>
      <selection pane="bottomRight" activeCell="AS36" sqref="AS36"/>
    </sheetView>
  </sheetViews>
  <sheetFormatPr defaultColWidth="9.109375" defaultRowHeight="15.6" outlineLevelRow="1" outlineLevelCol="1" x14ac:dyDescent="0.3"/>
  <cols>
    <col min="1" max="1" width="51.6640625" style="211" customWidth="1"/>
    <col min="2" max="2" width="13.6640625" style="211" customWidth="1"/>
    <col min="3" max="3" width="0.6640625" style="211" customWidth="1"/>
    <col min="4" max="4" width="13.6640625" style="211" customWidth="1"/>
    <col min="5" max="5" width="0.6640625" style="211" customWidth="1"/>
    <col min="6" max="6" width="13.6640625" style="211" customWidth="1"/>
    <col min="7" max="7" width="0.6640625" style="211" customWidth="1"/>
    <col min="8" max="8" width="13.6640625" style="211" customWidth="1"/>
    <col min="9" max="9" width="0.6640625" style="211" customWidth="1"/>
    <col min="10" max="10" width="13.6640625" style="211" customWidth="1"/>
    <col min="11" max="11" width="0.6640625" style="211" customWidth="1"/>
    <col min="12" max="12" width="13.6640625" style="211" customWidth="1"/>
    <col min="13" max="13" width="0.6640625" style="211" customWidth="1"/>
    <col min="14" max="14" width="13.6640625" style="211" customWidth="1"/>
    <col min="15" max="15" width="0.6640625" style="211" customWidth="1"/>
    <col min="16" max="16" width="13.6640625" style="211" customWidth="1"/>
    <col min="17" max="17" width="0.6640625" style="211" customWidth="1"/>
    <col min="18" max="18" width="13.6640625" style="211" customWidth="1"/>
    <col min="19" max="19" width="0.6640625" style="211" customWidth="1"/>
    <col min="20" max="20" width="13.6640625" style="211" customWidth="1"/>
    <col min="21" max="22" width="10.44140625" style="211" hidden="1" customWidth="1" outlineLevel="1"/>
    <col min="23" max="23" width="8.6640625" style="211" hidden="1" customWidth="1" outlineLevel="1"/>
    <col min="24" max="24" width="0" style="211" hidden="1" customWidth="1" outlineLevel="1"/>
    <col min="25" max="30" width="8.6640625" style="211" hidden="1" customWidth="1" outlineLevel="1"/>
    <col min="31" max="31" width="0" style="211" hidden="1" customWidth="1" outlineLevel="1"/>
    <col min="32" max="33" width="8.6640625" style="211" hidden="1" customWidth="1" outlineLevel="1"/>
    <col min="34" max="35" width="7.6640625" style="211" hidden="1" customWidth="1" outlineLevel="1"/>
    <col min="36" max="36" width="8.6640625" style="211" collapsed="1"/>
    <col min="37" max="16384" width="9.109375" style="211"/>
  </cols>
  <sheetData>
    <row r="1" spans="1:38" s="976" customFormat="1" outlineLevel="1" x14ac:dyDescent="0.3">
      <c r="A1" s="976" t="s">
        <v>708</v>
      </c>
      <c r="B1" s="976">
        <v>1994</v>
      </c>
      <c r="D1" s="976">
        <v>1993</v>
      </c>
      <c r="F1" s="976">
        <v>1992</v>
      </c>
      <c r="H1" s="976">
        <v>1991</v>
      </c>
      <c r="J1" s="976">
        <v>1990</v>
      </c>
      <c r="L1" s="976">
        <v>1989</v>
      </c>
      <c r="N1" s="976">
        <v>1988</v>
      </c>
      <c r="P1" s="976">
        <v>1987</v>
      </c>
      <c r="R1" s="976">
        <v>1986</v>
      </c>
      <c r="T1" s="976">
        <v>1985</v>
      </c>
    </row>
    <row r="3" spans="1:38" x14ac:dyDescent="0.3">
      <c r="A3" s="459" t="s">
        <v>1522</v>
      </c>
    </row>
    <row r="4" spans="1:38" ht="16.2" thickBot="1" x14ac:dyDescent="0.35">
      <c r="A4" s="152" t="s">
        <v>1600</v>
      </c>
    </row>
    <row r="5" spans="1:38" x14ac:dyDescent="0.3">
      <c r="A5" s="212" t="s">
        <v>1204</v>
      </c>
      <c r="B5" s="1009">
        <v>1994</v>
      </c>
      <c r="C5" s="712"/>
      <c r="D5" s="1009">
        <v>1993</v>
      </c>
      <c r="E5" s="712"/>
      <c r="F5" s="1009">
        <v>1992</v>
      </c>
      <c r="G5" s="712"/>
      <c r="H5" s="1009">
        <v>1991</v>
      </c>
      <c r="I5" s="712"/>
      <c r="J5" s="1009">
        <v>1990</v>
      </c>
      <c r="K5" s="712"/>
      <c r="L5" s="1009">
        <v>1989</v>
      </c>
      <c r="M5" s="712"/>
      <c r="N5" s="1009">
        <v>1988</v>
      </c>
      <c r="O5" s="712"/>
      <c r="P5" s="1009">
        <v>1987</v>
      </c>
      <c r="Q5" s="712"/>
      <c r="R5" s="1009">
        <v>1986</v>
      </c>
      <c r="S5" s="712"/>
      <c r="T5" s="1010">
        <v>1985</v>
      </c>
      <c r="U5" s="977">
        <v>31047</v>
      </c>
      <c r="V5" s="977">
        <v>30681</v>
      </c>
      <c r="W5" s="977">
        <v>30316</v>
      </c>
      <c r="X5" s="979"/>
      <c r="Y5" s="977">
        <v>30316</v>
      </c>
      <c r="Z5" s="977">
        <v>29951</v>
      </c>
      <c r="AA5" s="977">
        <v>29586</v>
      </c>
      <c r="AB5" s="977">
        <v>29220</v>
      </c>
      <c r="AC5" s="977">
        <v>28855</v>
      </c>
      <c r="AD5" s="977">
        <v>28490</v>
      </c>
      <c r="AE5" s="979"/>
      <c r="AF5" s="977">
        <v>28490</v>
      </c>
      <c r="AG5" s="977">
        <v>28125</v>
      </c>
      <c r="AH5" s="977">
        <v>27759</v>
      </c>
      <c r="AI5" s="978">
        <v>27394</v>
      </c>
    </row>
    <row r="6" spans="1:38" ht="15.9" customHeight="1" x14ac:dyDescent="0.3">
      <c r="A6" s="214" t="s">
        <v>11</v>
      </c>
      <c r="B6" s="996">
        <f>D17</f>
        <v>10428374000</v>
      </c>
      <c r="C6" s="996"/>
      <c r="D6" s="996">
        <f>F17</f>
        <v>8896331000</v>
      </c>
      <c r="E6" s="996"/>
      <c r="F6" s="996">
        <f>H17</f>
        <v>7379918000</v>
      </c>
      <c r="G6" s="996"/>
      <c r="H6" s="996">
        <f>J17</f>
        <v>5287454000</v>
      </c>
      <c r="I6" s="996"/>
      <c r="J6" s="996">
        <f>L17</f>
        <v>4925126000</v>
      </c>
      <c r="K6" s="996"/>
      <c r="L6" s="996">
        <f>N17</f>
        <v>3410108000</v>
      </c>
      <c r="M6" s="996"/>
      <c r="N6" s="996">
        <f>P17</f>
        <v>2841659000</v>
      </c>
      <c r="O6" s="996"/>
      <c r="P6" s="996">
        <f>R17</f>
        <v>2377797000</v>
      </c>
      <c r="Q6" s="996"/>
      <c r="R6" s="996">
        <f>T17</f>
        <v>1885330000</v>
      </c>
      <c r="S6" s="996"/>
      <c r="T6" s="999">
        <f t="shared" ref="T6" si="0">U17</f>
        <v>1271761000</v>
      </c>
      <c r="U6" s="250">
        <v>1119193000</v>
      </c>
      <c r="V6" s="250">
        <v>727483000</v>
      </c>
      <c r="W6" s="250">
        <v>519463000</v>
      </c>
      <c r="X6" s="559"/>
      <c r="Y6" s="250">
        <v>519463000</v>
      </c>
      <c r="Z6" s="250">
        <v>395214000</v>
      </c>
      <c r="AA6" s="250">
        <v>344962000</v>
      </c>
      <c r="AB6" s="250">
        <v>254166000</v>
      </c>
      <c r="AC6" s="250">
        <v>154564000</v>
      </c>
      <c r="AD6" s="560"/>
      <c r="AE6" s="559"/>
      <c r="AF6" s="250">
        <v>115293133</v>
      </c>
      <c r="AG6" s="250">
        <v>92890192</v>
      </c>
      <c r="AH6" s="250">
        <v>88198627</v>
      </c>
      <c r="AI6" s="251">
        <v>81155466</v>
      </c>
    </row>
    <row r="7" spans="1:38" ht="15.9" hidden="1" customHeight="1" outlineLevel="1" x14ac:dyDescent="0.3">
      <c r="A7" s="214" t="s">
        <v>331</v>
      </c>
      <c r="B7" s="1000"/>
      <c r="C7" s="1000"/>
      <c r="D7" s="1000"/>
      <c r="E7" s="1000"/>
      <c r="F7" s="1000"/>
      <c r="G7" s="1000"/>
      <c r="H7" s="1000"/>
      <c r="I7" s="1000"/>
      <c r="J7" s="1000"/>
      <c r="K7" s="1000"/>
      <c r="L7" s="1000"/>
      <c r="M7" s="1000"/>
      <c r="N7" s="1000"/>
      <c r="O7" s="1000"/>
      <c r="P7" s="1000"/>
      <c r="Q7" s="1000"/>
      <c r="R7" s="1000"/>
      <c r="S7" s="1000"/>
      <c r="T7" s="981"/>
      <c r="U7" s="980"/>
      <c r="V7" s="982"/>
      <c r="W7" s="982"/>
      <c r="X7" s="983"/>
      <c r="Y7" s="982"/>
      <c r="Z7" s="982"/>
      <c r="AA7" s="982"/>
      <c r="AB7" s="982"/>
      <c r="AC7" s="982"/>
      <c r="AD7" s="984">
        <v>115293000</v>
      </c>
      <c r="AE7" s="983"/>
      <c r="AF7" s="985"/>
      <c r="AG7" s="985"/>
      <c r="AH7" s="985"/>
      <c r="AI7" s="244"/>
    </row>
    <row r="8" spans="1:38" ht="15.9" customHeight="1" collapsed="1" x14ac:dyDescent="0.3">
      <c r="A8" s="214" t="s">
        <v>13</v>
      </c>
      <c r="B8" s="998">
        <v>494798000</v>
      </c>
      <c r="C8" s="998"/>
      <c r="D8" s="998">
        <v>688121000</v>
      </c>
      <c r="E8" s="998"/>
      <c r="F8" s="998">
        <v>407285000</v>
      </c>
      <c r="G8" s="998"/>
      <c r="H8" s="998">
        <v>439908000</v>
      </c>
      <c r="I8" s="998"/>
      <c r="J8" s="998">
        <v>394093000</v>
      </c>
      <c r="K8" s="998"/>
      <c r="L8" s="998">
        <v>447477000</v>
      </c>
      <c r="M8" s="998"/>
      <c r="N8" s="998">
        <v>399270000</v>
      </c>
      <c r="O8" s="998"/>
      <c r="P8" s="998">
        <v>234552000</v>
      </c>
      <c r="Q8" s="998"/>
      <c r="R8" s="998">
        <v>282361000</v>
      </c>
      <c r="S8" s="998"/>
      <c r="T8" s="1001">
        <v>435815000</v>
      </c>
      <c r="U8" s="234">
        <v>148895000</v>
      </c>
      <c r="V8" s="234">
        <v>113493000</v>
      </c>
      <c r="W8" s="234">
        <v>46374000</v>
      </c>
      <c r="X8" s="986"/>
      <c r="Y8" s="234">
        <v>46374000</v>
      </c>
      <c r="Z8" s="234">
        <v>62604000</v>
      </c>
      <c r="AA8" s="234">
        <v>53122000</v>
      </c>
      <c r="AB8" s="234">
        <v>42817000</v>
      </c>
      <c r="AC8" s="234">
        <v>39242000</v>
      </c>
      <c r="AD8" s="234">
        <v>30393000</v>
      </c>
      <c r="AE8" s="986"/>
      <c r="AF8" s="234">
        <v>26724432</v>
      </c>
      <c r="AG8" s="234">
        <v>22834996</v>
      </c>
      <c r="AH8" s="234">
        <v>4691565</v>
      </c>
      <c r="AI8" s="237">
        <v>7043161</v>
      </c>
    </row>
    <row r="9" spans="1:38" ht="15.9" customHeight="1" x14ac:dyDescent="0.3">
      <c r="A9" s="214" t="s">
        <v>1594</v>
      </c>
      <c r="B9" s="998">
        <v>0</v>
      </c>
      <c r="C9" s="998"/>
      <c r="D9" s="998">
        <f>6907000-6887000</f>
        <v>20000</v>
      </c>
      <c r="E9" s="998"/>
      <c r="F9" s="998">
        <f>6887000-6876000</f>
        <v>11000</v>
      </c>
      <c r="G9" s="998"/>
      <c r="H9" s="998">
        <v>0</v>
      </c>
      <c r="I9" s="998"/>
      <c r="J9" s="998">
        <v>0</v>
      </c>
      <c r="K9" s="998"/>
      <c r="L9" s="998">
        <v>0</v>
      </c>
      <c r="M9" s="998"/>
      <c r="N9" s="998">
        <v>0</v>
      </c>
      <c r="O9" s="998"/>
      <c r="P9" s="998">
        <v>0</v>
      </c>
      <c r="Q9" s="998"/>
      <c r="R9" s="998">
        <v>0</v>
      </c>
      <c r="S9" s="998"/>
      <c r="T9" s="1001">
        <v>0</v>
      </c>
      <c r="U9" s="234">
        <v>0</v>
      </c>
      <c r="V9" s="234">
        <v>805000</v>
      </c>
      <c r="W9" s="234">
        <v>0</v>
      </c>
      <c r="X9" s="986"/>
      <c r="Y9" s="234">
        <v>0</v>
      </c>
      <c r="Z9" s="234">
        <v>0</v>
      </c>
      <c r="AA9" s="234">
        <v>0</v>
      </c>
      <c r="AB9" s="234">
        <v>0</v>
      </c>
      <c r="AC9" s="234">
        <v>0</v>
      </c>
      <c r="AD9" s="234">
        <v>1173000</v>
      </c>
      <c r="AE9" s="986"/>
      <c r="AF9" s="234">
        <v>0</v>
      </c>
      <c r="AG9" s="234">
        <v>0</v>
      </c>
      <c r="AH9" s="234">
        <v>0</v>
      </c>
      <c r="AI9" s="237">
        <v>0</v>
      </c>
    </row>
    <row r="10" spans="1:38" ht="15.9" customHeight="1" x14ac:dyDescent="0.3">
      <c r="A10" s="214" t="s">
        <v>1595</v>
      </c>
      <c r="B10" s="998">
        <v>0</v>
      </c>
      <c r="C10" s="998"/>
      <c r="D10" s="998">
        <f>656074000-182264000</f>
        <v>473810000</v>
      </c>
      <c r="E10" s="998"/>
      <c r="F10" s="998">
        <f>182264000-157377000</f>
        <v>24887000</v>
      </c>
      <c r="G10" s="998"/>
      <c r="H10" s="998">
        <v>0</v>
      </c>
      <c r="I10" s="998"/>
      <c r="J10" s="998">
        <v>0</v>
      </c>
      <c r="K10" s="998"/>
      <c r="L10" s="998">
        <v>0</v>
      </c>
      <c r="M10" s="998"/>
      <c r="N10" s="998">
        <v>0</v>
      </c>
      <c r="O10" s="998"/>
      <c r="P10" s="998">
        <v>0</v>
      </c>
      <c r="Q10" s="998"/>
      <c r="R10" s="998">
        <v>0</v>
      </c>
      <c r="S10" s="998"/>
      <c r="T10" s="1001">
        <v>0</v>
      </c>
      <c r="U10" s="234">
        <v>0</v>
      </c>
      <c r="V10" s="234">
        <v>153860000</v>
      </c>
      <c r="W10" s="234">
        <v>0</v>
      </c>
      <c r="X10" s="986"/>
      <c r="Y10" s="234">
        <v>0</v>
      </c>
      <c r="Z10" s="234">
        <v>0</v>
      </c>
      <c r="AA10" s="234">
        <v>0</v>
      </c>
      <c r="AB10" s="234">
        <v>0</v>
      </c>
      <c r="AC10" s="234">
        <v>0</v>
      </c>
      <c r="AD10" s="234">
        <v>3517000</v>
      </c>
      <c r="AE10" s="986"/>
      <c r="AF10" s="234">
        <v>0</v>
      </c>
      <c r="AG10" s="234">
        <v>0</v>
      </c>
      <c r="AH10" s="234">
        <v>0</v>
      </c>
      <c r="AI10" s="237">
        <v>0</v>
      </c>
    </row>
    <row r="11" spans="1:38" ht="15.9" customHeight="1" x14ac:dyDescent="0.3">
      <c r="A11" s="214" t="s">
        <v>1596</v>
      </c>
      <c r="B11" s="998">
        <v>0</v>
      </c>
      <c r="C11" s="998"/>
      <c r="D11" s="998">
        <f>42293000-37634000</f>
        <v>4659000</v>
      </c>
      <c r="E11" s="998"/>
      <c r="F11" s="998"/>
      <c r="G11" s="998"/>
      <c r="H11" s="998">
        <v>0</v>
      </c>
      <c r="I11" s="998"/>
      <c r="J11" s="998">
        <v>0</v>
      </c>
      <c r="K11" s="998"/>
      <c r="L11" s="998">
        <v>0</v>
      </c>
      <c r="M11" s="998"/>
      <c r="N11" s="998">
        <f>40938000-42293000</f>
        <v>-1355000</v>
      </c>
      <c r="O11" s="998"/>
      <c r="P11" s="998">
        <v>0</v>
      </c>
      <c r="Q11" s="998"/>
      <c r="R11" s="998">
        <v>0</v>
      </c>
      <c r="S11" s="998"/>
      <c r="T11" s="1001">
        <v>0</v>
      </c>
      <c r="U11" s="234">
        <v>0</v>
      </c>
      <c r="V11" s="234">
        <v>-280000</v>
      </c>
      <c r="W11" s="234">
        <v>0</v>
      </c>
      <c r="X11" s="986"/>
      <c r="Y11" s="234">
        <v>0</v>
      </c>
      <c r="Z11" s="234">
        <v>180000</v>
      </c>
      <c r="AA11" s="234">
        <v>-28967000</v>
      </c>
      <c r="AB11" s="234">
        <v>0</v>
      </c>
      <c r="AC11" s="234">
        <v>-574000</v>
      </c>
      <c r="AD11" s="234">
        <v>-1476000</v>
      </c>
      <c r="AE11" s="986"/>
      <c r="AF11" s="234">
        <v>-229162</v>
      </c>
      <c r="AG11" s="234">
        <v>-432055</v>
      </c>
      <c r="AH11" s="234">
        <v>0</v>
      </c>
      <c r="AI11" s="237">
        <v>0</v>
      </c>
    </row>
    <row r="12" spans="1:38" ht="15.9" hidden="1" customHeight="1" outlineLevel="1" x14ac:dyDescent="0.3">
      <c r="A12" s="282" t="s">
        <v>332</v>
      </c>
      <c r="B12" s="998">
        <v>0</v>
      </c>
      <c r="C12" s="998"/>
      <c r="D12" s="998"/>
      <c r="E12" s="998"/>
      <c r="F12" s="998"/>
      <c r="G12" s="998"/>
      <c r="H12" s="998"/>
      <c r="I12" s="998"/>
      <c r="J12" s="998"/>
      <c r="K12" s="998"/>
      <c r="L12" s="998"/>
      <c r="M12" s="998"/>
      <c r="N12" s="998"/>
      <c r="O12" s="998"/>
      <c r="P12" s="998"/>
      <c r="Q12" s="998"/>
      <c r="R12" s="998"/>
      <c r="S12" s="998"/>
      <c r="T12" s="1001"/>
      <c r="U12" s="987"/>
      <c r="V12" s="988"/>
      <c r="W12" s="988"/>
      <c r="X12" s="986"/>
      <c r="Y12" s="988"/>
      <c r="Z12" s="988"/>
      <c r="AA12" s="988"/>
      <c r="AB12" s="988"/>
      <c r="AC12" s="988"/>
      <c r="AD12" s="234">
        <v>-9389000</v>
      </c>
      <c r="AE12" s="986"/>
      <c r="AF12" s="989"/>
      <c r="AG12" s="989"/>
      <c r="AH12" s="989"/>
      <c r="AI12" s="261"/>
    </row>
    <row r="13" spans="1:38" ht="15.9" hidden="1" customHeight="1" outlineLevel="1" x14ac:dyDescent="0.3">
      <c r="A13" s="282" t="s">
        <v>335</v>
      </c>
      <c r="B13" s="998">
        <v>0</v>
      </c>
      <c r="C13" s="998"/>
      <c r="D13" s="998"/>
      <c r="E13" s="998"/>
      <c r="F13" s="998"/>
      <c r="G13" s="998"/>
      <c r="H13" s="998"/>
      <c r="I13" s="998"/>
      <c r="J13" s="998"/>
      <c r="K13" s="998"/>
      <c r="L13" s="998"/>
      <c r="M13" s="998"/>
      <c r="N13" s="998"/>
      <c r="O13" s="998"/>
      <c r="P13" s="998"/>
      <c r="Q13" s="998"/>
      <c r="R13" s="998"/>
      <c r="S13" s="998"/>
      <c r="T13" s="1001"/>
      <c r="U13" s="987"/>
      <c r="V13" s="988"/>
      <c r="W13" s="988"/>
      <c r="X13" s="986"/>
      <c r="Y13" s="988"/>
      <c r="Z13" s="988"/>
      <c r="AA13" s="988"/>
      <c r="AB13" s="988"/>
      <c r="AC13" s="988"/>
      <c r="AD13" s="234">
        <v>15053000</v>
      </c>
      <c r="AE13" s="986"/>
      <c r="AF13" s="989"/>
      <c r="AG13" s="989"/>
      <c r="AH13" s="989"/>
      <c r="AI13" s="261"/>
    </row>
    <row r="14" spans="1:38" ht="15.9" hidden="1" customHeight="1" outlineLevel="1" x14ac:dyDescent="0.3">
      <c r="A14" s="282" t="s">
        <v>1601</v>
      </c>
      <c r="B14" s="998">
        <v>0</v>
      </c>
      <c r="C14" s="998"/>
      <c r="D14" s="998"/>
      <c r="E14" s="998"/>
      <c r="F14" s="998"/>
      <c r="G14" s="998"/>
      <c r="H14" s="998"/>
      <c r="I14" s="998"/>
      <c r="J14" s="998"/>
      <c r="K14" s="998"/>
      <c r="L14" s="998"/>
      <c r="M14" s="998"/>
      <c r="N14" s="998"/>
      <c r="O14" s="998"/>
      <c r="P14" s="998"/>
      <c r="Q14" s="998"/>
      <c r="R14" s="998"/>
      <c r="S14" s="998"/>
      <c r="T14" s="1001"/>
      <c r="U14" s="231"/>
      <c r="V14" s="989"/>
      <c r="W14" s="989"/>
      <c r="X14" s="986"/>
      <c r="Y14" s="989"/>
      <c r="Z14" s="989"/>
      <c r="AA14" s="989"/>
      <c r="AB14" s="989"/>
      <c r="AC14" s="234">
        <v>60934000</v>
      </c>
      <c r="AD14" s="989"/>
      <c r="AE14" s="986"/>
      <c r="AF14" s="989"/>
      <c r="AG14" s="989"/>
      <c r="AH14" s="989"/>
      <c r="AI14" s="261"/>
    </row>
    <row r="15" spans="1:38" ht="15.9" customHeight="1" collapsed="1" x14ac:dyDescent="0.3">
      <c r="A15" s="282" t="s">
        <v>712</v>
      </c>
      <c r="B15" s="998">
        <v>0</v>
      </c>
      <c r="C15" s="998"/>
      <c r="D15" s="998">
        <v>171775000</v>
      </c>
      <c r="E15" s="998"/>
      <c r="F15" s="998">
        <v>0</v>
      </c>
      <c r="G15" s="998"/>
      <c r="H15" s="998">
        <v>0</v>
      </c>
      <c r="I15" s="998"/>
      <c r="J15" s="998">
        <v>0</v>
      </c>
      <c r="K15" s="998"/>
      <c r="L15" s="998">
        <v>0</v>
      </c>
      <c r="M15" s="998"/>
      <c r="N15" s="998">
        <v>0</v>
      </c>
      <c r="O15" s="998"/>
      <c r="P15" s="998">
        <v>0</v>
      </c>
      <c r="Q15" s="998"/>
      <c r="R15" s="998">
        <v>0</v>
      </c>
      <c r="S15" s="998"/>
      <c r="T15" s="1001">
        <v>0</v>
      </c>
      <c r="U15" s="231"/>
      <c r="V15" s="989"/>
      <c r="W15" s="989"/>
      <c r="X15" s="986"/>
      <c r="Y15" s="989"/>
      <c r="Z15" s="989"/>
      <c r="AA15" s="989"/>
      <c r="AB15" s="989"/>
      <c r="AC15" s="234"/>
      <c r="AD15" s="989"/>
      <c r="AE15" s="986"/>
      <c r="AF15" s="989"/>
      <c r="AG15" s="989"/>
      <c r="AH15" s="989"/>
      <c r="AI15" s="261"/>
      <c r="AL15" s="211" t="s">
        <v>176</v>
      </c>
    </row>
    <row r="16" spans="1:38" ht="15.9" customHeight="1" x14ac:dyDescent="0.3">
      <c r="A16" s="282" t="s">
        <v>338</v>
      </c>
      <c r="B16" s="998">
        <f>6364362000-5412652000</f>
        <v>951710000</v>
      </c>
      <c r="C16" s="998"/>
      <c r="D16" s="998">
        <f>5412652000-5047219000-171775000</f>
        <v>193658000</v>
      </c>
      <c r="E16" s="998"/>
      <c r="F16" s="998">
        <f>5047219000-3962989000</f>
        <v>1084230000</v>
      </c>
      <c r="G16" s="998"/>
      <c r="H16" s="998">
        <f>3962989000-2310433000</f>
        <v>1652556000</v>
      </c>
      <c r="I16" s="998"/>
      <c r="J16" s="998">
        <f>2310433000-2342198000</f>
        <v>-31765000</v>
      </c>
      <c r="K16" s="998"/>
      <c r="L16" s="998">
        <f>2342198000-1274657000</f>
        <v>1067541000</v>
      </c>
      <c r="M16" s="998"/>
      <c r="N16" s="998">
        <f>1274657000-1104123000</f>
        <v>170534000</v>
      </c>
      <c r="O16" s="998"/>
      <c r="P16" s="998">
        <f>1104123000-874813000</f>
        <v>229310000</v>
      </c>
      <c r="Q16" s="998"/>
      <c r="R16" s="998">
        <f>874813000-664707000</f>
        <v>210106000</v>
      </c>
      <c r="S16" s="998"/>
      <c r="T16" s="1001">
        <v>177754000</v>
      </c>
      <c r="U16" s="234">
        <v>3673000</v>
      </c>
      <c r="V16" s="234">
        <v>123832000</v>
      </c>
      <c r="W16" s="234">
        <v>161646000</v>
      </c>
      <c r="X16" s="986"/>
      <c r="Y16" s="234">
        <v>161646000</v>
      </c>
      <c r="Z16" s="234">
        <v>61465000</v>
      </c>
      <c r="AA16" s="234">
        <v>26097000</v>
      </c>
      <c r="AB16" s="234">
        <v>47979000</v>
      </c>
      <c r="AC16" s="989"/>
      <c r="AD16" s="989"/>
      <c r="AE16" s="986"/>
      <c r="AF16" s="989"/>
      <c r="AG16" s="989"/>
      <c r="AH16" s="989"/>
      <c r="AI16" s="261"/>
    </row>
    <row r="17" spans="1:39" ht="15.9" customHeight="1" thickBot="1" x14ac:dyDescent="0.35">
      <c r="A17" s="214" t="s">
        <v>14</v>
      </c>
      <c r="B17" s="997">
        <f t="shared" ref="B17:T17" si="1">SUM(B6:B16)</f>
        <v>11874882000</v>
      </c>
      <c r="C17" s="996"/>
      <c r="D17" s="997">
        <f t="shared" si="1"/>
        <v>10428374000</v>
      </c>
      <c r="E17" s="996"/>
      <c r="F17" s="997">
        <f t="shared" si="1"/>
        <v>8896331000</v>
      </c>
      <c r="G17" s="996"/>
      <c r="H17" s="997">
        <f t="shared" si="1"/>
        <v>7379918000</v>
      </c>
      <c r="I17" s="996"/>
      <c r="J17" s="997">
        <f t="shared" si="1"/>
        <v>5287454000</v>
      </c>
      <c r="K17" s="996"/>
      <c r="L17" s="997">
        <f t="shared" si="1"/>
        <v>4925126000</v>
      </c>
      <c r="M17" s="996"/>
      <c r="N17" s="997">
        <f t="shared" si="1"/>
        <v>3410108000</v>
      </c>
      <c r="O17" s="996"/>
      <c r="P17" s="997">
        <f t="shared" si="1"/>
        <v>2841659000</v>
      </c>
      <c r="Q17" s="996"/>
      <c r="R17" s="997">
        <f t="shared" si="1"/>
        <v>2377797000</v>
      </c>
      <c r="S17" s="996"/>
      <c r="T17" s="1002">
        <f t="shared" si="1"/>
        <v>1885330000</v>
      </c>
      <c r="U17" s="990">
        <v>1271761000</v>
      </c>
      <c r="V17" s="990">
        <v>1119193000</v>
      </c>
      <c r="W17" s="990">
        <v>727483000</v>
      </c>
      <c r="X17" s="992"/>
      <c r="Y17" s="990">
        <v>727483000</v>
      </c>
      <c r="Z17" s="990">
        <v>519463000</v>
      </c>
      <c r="AA17" s="990">
        <v>395214000</v>
      </c>
      <c r="AB17" s="990">
        <v>344962000</v>
      </c>
      <c r="AC17" s="990">
        <v>254166000</v>
      </c>
      <c r="AD17" s="990">
        <v>154564000</v>
      </c>
      <c r="AE17" s="992"/>
      <c r="AF17" s="990">
        <v>141788403</v>
      </c>
      <c r="AG17" s="990">
        <v>115293133</v>
      </c>
      <c r="AH17" s="990">
        <v>92890192</v>
      </c>
      <c r="AI17" s="991">
        <v>88198627</v>
      </c>
    </row>
    <row r="18" spans="1:39" ht="9.75" customHeight="1" thickTop="1" x14ac:dyDescent="0.3">
      <c r="A18" s="214"/>
      <c r="B18" s="220"/>
      <c r="C18" s="220"/>
      <c r="D18" s="220"/>
      <c r="E18" s="220"/>
      <c r="F18" s="220"/>
      <c r="G18" s="220"/>
      <c r="H18" s="220"/>
      <c r="I18" s="220"/>
      <c r="J18" s="220"/>
      <c r="K18" s="220"/>
      <c r="L18" s="220"/>
      <c r="M18" s="220"/>
      <c r="N18" s="220"/>
      <c r="O18" s="220"/>
      <c r="P18" s="220"/>
      <c r="Q18" s="220"/>
      <c r="R18" s="220"/>
      <c r="S18" s="220"/>
      <c r="T18" s="223"/>
    </row>
    <row r="19" spans="1:39" s="345" customFormat="1" hidden="1" outlineLevel="1" x14ac:dyDescent="0.3">
      <c r="A19" s="342" t="s">
        <v>20</v>
      </c>
      <c r="B19" s="1003"/>
      <c r="C19" s="1003"/>
      <c r="D19" s="1003"/>
      <c r="E19" s="1003"/>
      <c r="F19" s="1003"/>
      <c r="G19" s="1003"/>
      <c r="H19" s="1003"/>
      <c r="I19" s="1003"/>
      <c r="J19" s="1003"/>
      <c r="K19" s="1003"/>
      <c r="L19" s="1003"/>
      <c r="M19" s="1003"/>
      <c r="N19" s="1003"/>
      <c r="O19" s="1003"/>
      <c r="P19" s="1003"/>
      <c r="Q19" s="1003"/>
      <c r="R19" s="1003"/>
      <c r="S19" s="1003"/>
      <c r="T19" s="1004"/>
    </row>
    <row r="20" spans="1:39" s="345" customFormat="1" hidden="1" outlineLevel="1" x14ac:dyDescent="0.3">
      <c r="A20" s="342" t="s">
        <v>711</v>
      </c>
      <c r="B20" s="1005">
        <v>11874882000</v>
      </c>
      <c r="C20" s="1005"/>
      <c r="D20" s="1005">
        <v>10428374000</v>
      </c>
      <c r="E20" s="1005"/>
      <c r="F20" s="1005">
        <v>8896331000</v>
      </c>
      <c r="G20" s="1005"/>
      <c r="H20" s="1005">
        <v>7379918000</v>
      </c>
      <c r="I20" s="1005"/>
      <c r="J20" s="1005">
        <v>5287454000</v>
      </c>
      <c r="K20" s="1005"/>
      <c r="L20" s="1005">
        <v>4925126000</v>
      </c>
      <c r="M20" s="1005"/>
      <c r="N20" s="1005">
        <v>3410108000</v>
      </c>
      <c r="O20" s="1005"/>
      <c r="P20" s="1005">
        <v>2841659000</v>
      </c>
      <c r="Q20" s="1005"/>
      <c r="R20" s="1005">
        <v>2377797000</v>
      </c>
      <c r="S20" s="1005"/>
      <c r="T20" s="1006">
        <v>1885330000</v>
      </c>
    </row>
    <row r="21" spans="1:39" s="345" customFormat="1" hidden="1" outlineLevel="1" x14ac:dyDescent="0.3">
      <c r="A21" s="342" t="s">
        <v>475</v>
      </c>
      <c r="B21" s="1007">
        <f>B17-B20</f>
        <v>0</v>
      </c>
      <c r="C21" s="1007"/>
      <c r="D21" s="1007">
        <f>D17-D20</f>
        <v>0</v>
      </c>
      <c r="E21" s="1007"/>
      <c r="F21" s="1007">
        <f>F17-F20</f>
        <v>0</v>
      </c>
      <c r="G21" s="1007"/>
      <c r="H21" s="1007">
        <f>H17-H20</f>
        <v>0</v>
      </c>
      <c r="I21" s="1007"/>
      <c r="J21" s="1007">
        <f>J17-J20</f>
        <v>0</v>
      </c>
      <c r="K21" s="1007"/>
      <c r="L21" s="1007">
        <f>L17-L20</f>
        <v>0</v>
      </c>
      <c r="M21" s="1007"/>
      <c r="N21" s="1007">
        <f>N17-N20</f>
        <v>0</v>
      </c>
      <c r="O21" s="1007"/>
      <c r="P21" s="1007">
        <f>P17-P20</f>
        <v>0</v>
      </c>
      <c r="Q21" s="1007"/>
      <c r="R21" s="1007">
        <f>R17-R20</f>
        <v>0</v>
      </c>
      <c r="S21" s="1007"/>
      <c r="T21" s="1008">
        <f>T17-T20</f>
        <v>0</v>
      </c>
    </row>
    <row r="22" spans="1:39" collapsed="1" x14ac:dyDescent="0.3">
      <c r="A22" s="28" t="s">
        <v>1398</v>
      </c>
      <c r="B22" s="220"/>
      <c r="C22" s="220"/>
      <c r="D22" s="220"/>
      <c r="E22" s="220"/>
      <c r="F22" s="220"/>
      <c r="G22" s="220"/>
      <c r="H22" s="220"/>
      <c r="I22" s="220"/>
      <c r="J22" s="220"/>
      <c r="K22" s="220"/>
      <c r="L22" s="220"/>
      <c r="M22" s="220"/>
      <c r="N22" s="220"/>
      <c r="O22" s="220"/>
      <c r="P22" s="220"/>
      <c r="Q22" s="220"/>
      <c r="R22" s="220"/>
      <c r="S22" s="220"/>
      <c r="T22" s="223"/>
    </row>
    <row r="23" spans="1:39" ht="46.5" customHeight="1" x14ac:dyDescent="0.3">
      <c r="A23" s="2799" t="s">
        <v>1597</v>
      </c>
      <c r="B23" s="2800"/>
      <c r="C23" s="2800"/>
      <c r="D23" s="2800"/>
      <c r="E23" s="2800"/>
      <c r="F23" s="2800"/>
      <c r="G23" s="2800"/>
      <c r="H23" s="2800"/>
      <c r="I23" s="2800"/>
      <c r="J23" s="2800"/>
      <c r="K23" s="953"/>
      <c r="L23" s="205"/>
      <c r="M23" s="220"/>
      <c r="N23" s="220"/>
      <c r="O23" s="220"/>
      <c r="P23" s="220"/>
      <c r="Q23" s="220"/>
      <c r="R23" s="220"/>
      <c r="S23" s="220"/>
      <c r="T23" s="223"/>
    </row>
    <row r="24" spans="1:39" ht="44.1" customHeight="1" x14ac:dyDescent="0.3">
      <c r="A24" s="2799" t="s">
        <v>1598</v>
      </c>
      <c r="B24" s="2800"/>
      <c r="C24" s="2800"/>
      <c r="D24" s="2800"/>
      <c r="E24" s="2800"/>
      <c r="F24" s="2800"/>
      <c r="G24" s="2800"/>
      <c r="H24" s="2800"/>
      <c r="I24" s="2800"/>
      <c r="J24" s="2800"/>
      <c r="K24" s="2800"/>
      <c r="L24" s="2800"/>
      <c r="M24" s="220"/>
      <c r="N24" s="220"/>
      <c r="O24" s="220"/>
      <c r="P24" s="220"/>
      <c r="Q24" s="220"/>
      <c r="R24" s="220"/>
      <c r="S24" s="220"/>
      <c r="T24" s="223"/>
      <c r="AM24" s="211" t="s">
        <v>176</v>
      </c>
    </row>
    <row r="25" spans="1:39" ht="45.75" customHeight="1" thickBot="1" x14ac:dyDescent="0.35">
      <c r="A25" s="2802" t="s">
        <v>1599</v>
      </c>
      <c r="B25" s="2803"/>
      <c r="C25" s="2803"/>
      <c r="D25" s="2803"/>
      <c r="E25" s="2803"/>
      <c r="F25" s="2803"/>
      <c r="G25" s="2803"/>
      <c r="H25" s="2803"/>
      <c r="I25" s="2803"/>
      <c r="J25" s="2803"/>
      <c r="K25" s="951"/>
      <c r="L25" s="25"/>
      <c r="M25" s="218"/>
      <c r="N25" s="218"/>
      <c r="O25" s="218"/>
      <c r="P25" s="218"/>
      <c r="Q25" s="218"/>
      <c r="R25" s="218"/>
      <c r="S25" s="218"/>
      <c r="T25" s="219"/>
    </row>
    <row r="26" spans="1:39" x14ac:dyDescent="0.3">
      <c r="A26" s="2805" t="s">
        <v>1900</v>
      </c>
      <c r="B26" s="2805"/>
      <c r="C26" s="2805"/>
      <c r="D26" s="2805"/>
      <c r="E26" s="2805"/>
      <c r="F26" s="2805"/>
      <c r="G26" s="950"/>
      <c r="H26" s="957"/>
      <c r="I26" s="957"/>
      <c r="J26" s="957"/>
      <c r="K26" s="957"/>
      <c r="L26" s="1"/>
    </row>
    <row r="27" spans="1:39" x14ac:dyDescent="0.3">
      <c r="A27" s="957"/>
      <c r="B27" s="957"/>
      <c r="C27" s="957"/>
      <c r="D27" s="957"/>
      <c r="E27" s="957"/>
      <c r="F27" s="957"/>
      <c r="G27" s="957"/>
      <c r="H27" s="957"/>
      <c r="I27" s="957"/>
      <c r="J27" s="957"/>
      <c r="K27" s="957"/>
      <c r="L27" s="1"/>
    </row>
    <row r="28" spans="1:39" x14ac:dyDescent="0.3">
      <c r="A28" s="957"/>
      <c r="B28" s="957"/>
      <c r="C28" s="957"/>
      <c r="D28" s="957"/>
      <c r="E28" s="957"/>
      <c r="F28" s="957"/>
      <c r="G28" s="957"/>
      <c r="H28" s="957"/>
      <c r="I28" s="957"/>
      <c r="J28" s="957"/>
      <c r="K28" s="957"/>
      <c r="L28" s="1"/>
    </row>
    <row r="29" spans="1:39" x14ac:dyDescent="0.3">
      <c r="F29" s="211" t="s">
        <v>176</v>
      </c>
    </row>
    <row r="32" spans="1:39" x14ac:dyDescent="0.3">
      <c r="A32" s="211" t="s">
        <v>472</v>
      </c>
      <c r="B32" s="340">
        <f>T6</f>
        <v>1271761000</v>
      </c>
      <c r="C32" s="340"/>
      <c r="H32" s="211" t="str">
        <f>A32</f>
        <v>1984 Ending Equity</v>
      </c>
      <c r="L32" s="340">
        <f>B32</f>
        <v>1271761000</v>
      </c>
    </row>
    <row r="33" spans="1:12" x14ac:dyDescent="0.3">
      <c r="A33" s="211" t="s">
        <v>713</v>
      </c>
      <c r="B33" s="239">
        <f>SUM(B8:T8)</f>
        <v>4223680000</v>
      </c>
      <c r="C33" s="239"/>
      <c r="H33" s="211" t="s">
        <v>774</v>
      </c>
      <c r="L33" s="239">
        <f>SUM(L8:T8)</f>
        <v>1799475000</v>
      </c>
    </row>
    <row r="34" spans="1:12" x14ac:dyDescent="0.3">
      <c r="A34" s="211" t="s">
        <v>718</v>
      </c>
      <c r="B34" s="239">
        <f>SUM(B16:T16)</f>
        <v>5705634000</v>
      </c>
      <c r="C34" s="239"/>
      <c r="H34" s="211" t="s">
        <v>477</v>
      </c>
      <c r="L34" s="239">
        <f>N11</f>
        <v>-1355000</v>
      </c>
    </row>
    <row r="35" spans="1:12" x14ac:dyDescent="0.3">
      <c r="A35" s="211" t="s">
        <v>714</v>
      </c>
      <c r="B35" s="239">
        <f>D9+428353000+D11</f>
        <v>433032000</v>
      </c>
      <c r="C35" s="239"/>
      <c r="H35" s="211" t="s">
        <v>777</v>
      </c>
      <c r="L35" s="239">
        <f>SUM(L16:T16)</f>
        <v>1855245000</v>
      </c>
    </row>
    <row r="36" spans="1:12" x14ac:dyDescent="0.3">
      <c r="A36" s="211" t="s">
        <v>719</v>
      </c>
      <c r="B36" s="239">
        <f>N11</f>
        <v>-1355000</v>
      </c>
      <c r="C36" s="239"/>
      <c r="H36" s="211" t="s">
        <v>775</v>
      </c>
      <c r="L36" s="340">
        <f>SUM(L32:L35)</f>
        <v>4925126000</v>
      </c>
    </row>
    <row r="37" spans="1:12" x14ac:dyDescent="0.3">
      <c r="A37" s="211" t="s">
        <v>720</v>
      </c>
      <c r="B37" s="239">
        <f>F9+F10+45457000</f>
        <v>70355000</v>
      </c>
      <c r="C37" s="239"/>
      <c r="H37" s="211" t="s">
        <v>776</v>
      </c>
      <c r="L37" s="340">
        <f>L17</f>
        <v>4925126000</v>
      </c>
    </row>
    <row r="38" spans="1:12" x14ac:dyDescent="0.3">
      <c r="A38" s="211" t="s">
        <v>715</v>
      </c>
      <c r="B38" s="239">
        <f>D15</f>
        <v>171775000</v>
      </c>
      <c r="C38" s="239"/>
      <c r="H38" s="211" t="s">
        <v>20</v>
      </c>
      <c r="L38" s="340">
        <f>L36-L37</f>
        <v>0</v>
      </c>
    </row>
    <row r="39" spans="1:12" x14ac:dyDescent="0.3">
      <c r="A39" s="211" t="s">
        <v>716</v>
      </c>
      <c r="B39" s="994">
        <f>SUM(B32:B38)</f>
        <v>11874882000</v>
      </c>
      <c r="C39" s="414"/>
    </row>
    <row r="41" spans="1:12" s="345" customFormat="1" outlineLevel="1" x14ac:dyDescent="0.3">
      <c r="A41" s="345" t="s">
        <v>717</v>
      </c>
      <c r="B41" s="993">
        <f>B17</f>
        <v>11874882000</v>
      </c>
      <c r="C41" s="993"/>
    </row>
    <row r="42" spans="1:12" s="345" customFormat="1" outlineLevel="1" x14ac:dyDescent="0.3">
      <c r="A42" s="345" t="s">
        <v>649</v>
      </c>
      <c r="B42" s="993">
        <f>B39-B41</f>
        <v>0</v>
      </c>
      <c r="C42" s="993"/>
    </row>
    <row r="45" spans="1:12" x14ac:dyDescent="0.3">
      <c r="A45" s="320" t="s">
        <v>494</v>
      </c>
    </row>
    <row r="46" spans="1:12" x14ac:dyDescent="0.3">
      <c r="A46" s="995" t="s">
        <v>721</v>
      </c>
      <c r="B46" s="252">
        <v>1271.8</v>
      </c>
      <c r="C46" s="252"/>
    </row>
    <row r="47" spans="1:12" x14ac:dyDescent="0.3">
      <c r="A47" s="995" t="s">
        <v>713</v>
      </c>
      <c r="B47" s="230">
        <v>4223.7</v>
      </c>
      <c r="C47" s="230"/>
    </row>
    <row r="48" spans="1:12" x14ac:dyDescent="0.3">
      <c r="A48" s="995" t="s">
        <v>725</v>
      </c>
      <c r="B48" s="230">
        <v>5705.6</v>
      </c>
      <c r="C48" s="230"/>
    </row>
    <row r="49" spans="1:3" x14ac:dyDescent="0.3">
      <c r="A49" s="995" t="s">
        <v>722</v>
      </c>
      <c r="B49" s="230">
        <f>433</f>
        <v>433</v>
      </c>
      <c r="C49" s="230"/>
    </row>
    <row r="50" spans="1:3" x14ac:dyDescent="0.3">
      <c r="A50" s="995" t="s">
        <v>723</v>
      </c>
      <c r="B50" s="230">
        <v>172</v>
      </c>
      <c r="C50" s="230"/>
    </row>
    <row r="51" spans="1:3" x14ac:dyDescent="0.3">
      <c r="A51" s="995" t="s">
        <v>15</v>
      </c>
      <c r="B51" s="230">
        <v>69</v>
      </c>
      <c r="C51" s="230"/>
    </row>
    <row r="52" spans="1:3" x14ac:dyDescent="0.3">
      <c r="A52" s="995" t="s">
        <v>724</v>
      </c>
      <c r="B52" s="505">
        <f>SUM(B46:B51)</f>
        <v>11875.1</v>
      </c>
      <c r="C52" s="392"/>
    </row>
    <row r="55" spans="1:3" s="345" customFormat="1" outlineLevel="1" x14ac:dyDescent="0.3">
      <c r="A55" s="345" t="s">
        <v>717</v>
      </c>
      <c r="B55" s="343">
        <v>11875</v>
      </c>
      <c r="C55" s="343"/>
    </row>
    <row r="56" spans="1:3" s="345" customFormat="1" outlineLevel="1" x14ac:dyDescent="0.3">
      <c r="A56" s="345" t="s">
        <v>649</v>
      </c>
      <c r="B56" s="343">
        <f>B52-B55</f>
        <v>0.1000000000003638</v>
      </c>
      <c r="C56" s="343"/>
    </row>
  </sheetData>
  <mergeCells count="4">
    <mergeCell ref="A23:J23"/>
    <mergeCell ref="A25:J25"/>
    <mergeCell ref="A24:L24"/>
    <mergeCell ref="A26:F26"/>
  </mergeCells>
  <pageMargins left="0.7" right="0.7" top="0.75" bottom="0.75" header="0.3" footer="0.3"/>
  <pageSetup orientation="portrait" horizontalDpi="1200" verticalDpi="1200" r:id="rId1"/>
  <ignoredErrors>
    <ignoredError sqref="B33" formulaRange="1"/>
  </ignoredErrors>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744A9-3EBA-4054-BFA8-B1BBBAD6ECF0}">
  <sheetPr codeName="Sheet35">
    <tabColor theme="4"/>
  </sheetPr>
  <dimension ref="A1:E16"/>
  <sheetViews>
    <sheetView workbookViewId="0">
      <selection activeCell="R24" sqref="R24"/>
    </sheetView>
  </sheetViews>
  <sheetFormatPr defaultColWidth="8.6640625" defaultRowHeight="13.8" x14ac:dyDescent="0.25"/>
  <cols>
    <col min="1" max="1" width="11.5546875" style="1" customWidth="1"/>
    <col min="2" max="2" width="8.6640625" style="1"/>
    <col min="3" max="3" width="18.109375" style="1" bestFit="1" customWidth="1"/>
    <col min="4" max="16384" width="8.6640625" style="1"/>
  </cols>
  <sheetData>
    <row r="1" spans="1:5" x14ac:dyDescent="0.25">
      <c r="A1" s="1" t="s">
        <v>750</v>
      </c>
      <c r="C1" s="135">
        <v>902600000</v>
      </c>
    </row>
    <row r="3" spans="1:5" x14ac:dyDescent="0.25">
      <c r="A3" s="1" t="s">
        <v>751</v>
      </c>
      <c r="C3" s="136">
        <v>0.44313999999999998</v>
      </c>
    </row>
    <row r="5" spans="1:5" x14ac:dyDescent="0.25">
      <c r="A5" s="1" t="s">
        <v>752</v>
      </c>
      <c r="C5" s="137">
        <f>C1*C3</f>
        <v>399978164</v>
      </c>
      <c r="E5" s="1" t="s">
        <v>759</v>
      </c>
    </row>
    <row r="7" spans="1:5" x14ac:dyDescent="0.25">
      <c r="A7" s="1" t="s">
        <v>753</v>
      </c>
      <c r="C7" s="1">
        <v>0.45150000000000001</v>
      </c>
    </row>
    <row r="8" spans="1:5" x14ac:dyDescent="0.25">
      <c r="A8" s="1" t="s">
        <v>754</v>
      </c>
      <c r="C8" s="135">
        <v>9815</v>
      </c>
    </row>
    <row r="10" spans="1:5" x14ac:dyDescent="0.25">
      <c r="A10" s="1" t="s">
        <v>755</v>
      </c>
      <c r="C10" s="2">
        <v>1146000</v>
      </c>
    </row>
    <row r="12" spans="1:5" x14ac:dyDescent="0.25">
      <c r="A12" s="1" t="s">
        <v>756</v>
      </c>
      <c r="C12" s="13">
        <f>C8*C10</f>
        <v>11247990000</v>
      </c>
    </row>
    <row r="14" spans="1:5" x14ac:dyDescent="0.25">
      <c r="A14" s="1" t="s">
        <v>757</v>
      </c>
      <c r="C14" s="13">
        <v>4925126000</v>
      </c>
    </row>
    <row r="16" spans="1:5" x14ac:dyDescent="0.25">
      <c r="A16" s="1" t="s">
        <v>758</v>
      </c>
      <c r="C16" s="31">
        <f>C12/C14</f>
        <v>2.2837974094469868</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1186-762B-49B3-8518-F2EEEC1A47B4}">
  <sheetPr codeName="Sheet38">
    <tabColor theme="4"/>
  </sheetPr>
  <dimension ref="A1:AX148"/>
  <sheetViews>
    <sheetView showGridLines="0" zoomScale="70" zoomScaleNormal="70" workbookViewId="0">
      <pane xSplit="1" ySplit="3" topLeftCell="B6" activePane="bottomRight" state="frozen"/>
      <selection pane="topRight" activeCell="B1" sqref="B1"/>
      <selection pane="bottomLeft" activeCell="A2" sqref="A2"/>
      <selection pane="bottomRight" activeCell="AC39" sqref="AC39"/>
    </sheetView>
  </sheetViews>
  <sheetFormatPr defaultColWidth="8.6640625" defaultRowHeight="15.6" outlineLevelRow="1" outlineLevelCol="1" x14ac:dyDescent="0.3"/>
  <cols>
    <col min="1" max="1" width="56.5546875" style="211" customWidth="1"/>
    <col min="2" max="2" width="9.44140625" style="356" customWidth="1" outlineLevel="1"/>
    <col min="3" max="3" width="1.6640625" style="356" customWidth="1" outlineLevel="1"/>
    <col min="4" max="4" width="9.109375" style="356" customWidth="1" outlineLevel="1"/>
    <col min="5" max="5" width="1.6640625" style="356" customWidth="1" outlineLevel="1"/>
    <col min="6" max="6" width="9.44140625" style="356" customWidth="1" outlineLevel="1"/>
    <col min="7" max="7" width="1.6640625" style="356" customWidth="1" outlineLevel="1"/>
    <col min="8" max="8" width="9.109375" style="356" customWidth="1" outlineLevel="1"/>
    <col min="9" max="9" width="1.6640625" style="356" customWidth="1" outlineLevel="1"/>
    <col min="10" max="10" width="9.44140625" style="356" customWidth="1" outlineLevel="1"/>
    <col min="11" max="11" width="1.6640625" style="356" customWidth="1" outlineLevel="1"/>
    <col min="12" max="12" width="9.109375" style="356" customWidth="1" outlineLevel="1"/>
    <col min="13" max="13" width="1.6640625" style="356" customWidth="1" outlineLevel="1"/>
    <col min="14" max="14" width="9.44140625" style="356" customWidth="1" outlineLevel="1"/>
    <col min="15" max="15" width="1.6640625" style="356" customWidth="1" outlineLevel="1"/>
    <col min="16" max="16" width="9.109375" style="356" customWidth="1" outlineLevel="1"/>
    <col min="17" max="17" width="1.6640625" style="356" customWidth="1" outlineLevel="1"/>
    <col min="18" max="18" width="9.44140625" style="356" customWidth="1" outlineLevel="1"/>
    <col min="19" max="19" width="1.6640625" style="356" customWidth="1" outlineLevel="1"/>
    <col min="20" max="20" width="9.109375" style="356" customWidth="1" outlineLevel="1"/>
    <col min="21" max="22" width="1.6640625" style="356" customWidth="1" outlineLevel="1"/>
    <col min="23" max="23" width="8.44140625" style="356" bestFit="1" customWidth="1"/>
    <col min="24" max="24" width="1.6640625" style="356" customWidth="1"/>
    <col min="25" max="25" width="9.109375" style="356" bestFit="1" customWidth="1"/>
    <col min="26" max="26" width="1.6640625" style="356" customWidth="1"/>
    <col min="27" max="27" width="8.44140625" style="356" bestFit="1" customWidth="1"/>
    <col min="28" max="28" width="1.6640625" style="356" customWidth="1"/>
    <col min="29" max="29" width="9.109375" style="356" bestFit="1" customWidth="1"/>
    <col min="30" max="30" width="1.6640625" style="356" customWidth="1"/>
    <col min="31" max="31" width="8.44140625" style="356" bestFit="1" customWidth="1"/>
    <col min="32" max="32" width="1.6640625" style="356" customWidth="1"/>
    <col min="33" max="33" width="8" style="356" bestFit="1" customWidth="1"/>
    <col min="34" max="34" width="1.6640625" style="356" customWidth="1"/>
    <col min="35" max="35" width="9.6640625" style="356" bestFit="1" customWidth="1"/>
    <col min="36" max="36" width="1.6640625" style="356" customWidth="1"/>
    <col min="37" max="37" width="8" style="356" bestFit="1" customWidth="1"/>
    <col min="38" max="38" width="1.6640625" style="356" customWidth="1"/>
    <col min="39" max="39" width="8.44140625" style="356" bestFit="1" customWidth="1"/>
    <col min="40" max="40" width="1.6640625" style="356" customWidth="1"/>
    <col min="41" max="41" width="8" style="356" bestFit="1" customWidth="1"/>
    <col min="42" max="42" width="1.6640625" style="356" customWidth="1"/>
    <col min="43" max="43" width="9.5546875" style="356" bestFit="1" customWidth="1"/>
    <col min="44" max="44" width="1.6640625" style="356" customWidth="1"/>
    <col min="45" max="45" width="8" style="356" bestFit="1" customWidth="1"/>
    <col min="46" max="46" width="2.21875" style="211" customWidth="1"/>
    <col min="47" max="47" width="11.109375" style="211" bestFit="1" customWidth="1"/>
    <col min="48" max="16384" width="8.6640625" style="211"/>
  </cols>
  <sheetData>
    <row r="1" spans="1:49" s="152" customFormat="1" hidden="1" outlineLevel="1" x14ac:dyDescent="0.3">
      <c r="A1" s="459" t="s">
        <v>691</v>
      </c>
      <c r="B1" s="152">
        <f>B7</f>
        <v>1994</v>
      </c>
      <c r="F1" s="152">
        <f>F7</f>
        <v>1993</v>
      </c>
      <c r="J1" s="152">
        <f>J7</f>
        <v>1992</v>
      </c>
      <c r="N1" s="152">
        <f>N7</f>
        <v>1991</v>
      </c>
      <c r="R1" s="152">
        <f>R7</f>
        <v>1990</v>
      </c>
      <c r="W1" s="152">
        <f>W7</f>
        <v>1989</v>
      </c>
      <c r="AA1" s="152">
        <f>AA7</f>
        <v>1988</v>
      </c>
      <c r="AE1" s="152">
        <f>AE7</f>
        <v>1987</v>
      </c>
      <c r="AI1" s="152">
        <f>AI7</f>
        <v>1986</v>
      </c>
      <c r="AM1" s="152">
        <f>AM7</f>
        <v>1985</v>
      </c>
      <c r="AQ1" s="152">
        <f>AQ7</f>
        <v>1984</v>
      </c>
    </row>
    <row r="2" spans="1:49" s="377" customFormat="1" hidden="1" outlineLevel="1" x14ac:dyDescent="0.3">
      <c r="A2" s="377" t="s">
        <v>556</v>
      </c>
      <c r="B2" s="377">
        <v>1994</v>
      </c>
      <c r="F2" s="377">
        <v>1994</v>
      </c>
      <c r="J2" s="377">
        <v>1992</v>
      </c>
      <c r="N2" s="377">
        <v>1992</v>
      </c>
      <c r="R2" s="377">
        <v>1992</v>
      </c>
      <c r="W2" s="377">
        <v>1990</v>
      </c>
      <c r="AA2" s="377">
        <v>1988</v>
      </c>
      <c r="AE2" s="377">
        <v>1987</v>
      </c>
      <c r="AI2" s="377">
        <v>1987</v>
      </c>
      <c r="AM2" s="377">
        <v>1987</v>
      </c>
      <c r="AO2" s="893"/>
      <c r="AQ2" s="377">
        <v>1985</v>
      </c>
    </row>
    <row r="3" spans="1:49" collapsed="1" x14ac:dyDescent="0.3">
      <c r="A3" s="2864" t="s">
        <v>1862</v>
      </c>
      <c r="B3" s="2864"/>
      <c r="C3" s="2864"/>
      <c r="D3" s="2864"/>
      <c r="E3" s="2864"/>
      <c r="F3" s="2864"/>
      <c r="G3" s="2864"/>
      <c r="H3" s="2864"/>
      <c r="I3" s="2864"/>
      <c r="J3" s="2864"/>
      <c r="K3" s="2864"/>
      <c r="L3" s="2864"/>
      <c r="M3" s="2864"/>
      <c r="N3" s="2864"/>
      <c r="O3" s="2864"/>
      <c r="P3" s="2864"/>
      <c r="Q3" s="2864"/>
      <c r="R3" s="2864"/>
      <c r="S3" s="2864"/>
      <c r="T3" s="2864"/>
      <c r="U3" s="2864"/>
      <c r="V3" s="2864"/>
      <c r="W3" s="2864"/>
      <c r="X3" s="2864"/>
      <c r="Y3" s="2864"/>
      <c r="Z3" s="2864"/>
      <c r="AA3" s="2864"/>
      <c r="AB3" s="2864"/>
      <c r="AC3" s="2864"/>
      <c r="AD3" s="2864"/>
      <c r="AE3" s="2864"/>
      <c r="AF3" s="2864"/>
      <c r="AG3" s="2864"/>
      <c r="AH3" s="211"/>
      <c r="AI3" s="211"/>
      <c r="AJ3" s="211"/>
      <c r="AK3" s="211"/>
      <c r="AL3" s="211"/>
      <c r="AM3" s="211"/>
      <c r="AN3" s="211"/>
      <c r="AO3" s="220"/>
      <c r="AP3" s="211"/>
      <c r="AQ3" s="211"/>
      <c r="AR3" s="211"/>
      <c r="AS3" s="211"/>
    </row>
    <row r="4" spans="1:49" x14ac:dyDescent="0.3">
      <c r="A4" s="459" t="s">
        <v>1522</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20"/>
      <c r="AP4" s="211"/>
      <c r="AQ4" s="211"/>
      <c r="AR4" s="211"/>
      <c r="AS4" s="220"/>
    </row>
    <row r="5" spans="1:49" x14ac:dyDescent="0.3">
      <c r="A5" s="152" t="s">
        <v>1333</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20"/>
      <c r="AP5" s="211"/>
      <c r="AQ5" s="211"/>
      <c r="AR5" s="211"/>
      <c r="AS5" s="220"/>
    </row>
    <row r="6" spans="1:49" ht="8.25" customHeight="1" thickBot="1" x14ac:dyDescent="0.35">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20"/>
      <c r="AP6" s="211"/>
      <c r="AQ6" s="211"/>
      <c r="AR6" s="211"/>
      <c r="AS6" s="220"/>
    </row>
    <row r="7" spans="1:49" x14ac:dyDescent="0.3">
      <c r="A7" s="453"/>
      <c r="B7" s="2865">
        <v>1994</v>
      </c>
      <c r="C7" s="2865"/>
      <c r="D7" s="2865"/>
      <c r="E7" s="885"/>
      <c r="F7" s="2865">
        <v>1993</v>
      </c>
      <c r="G7" s="2865"/>
      <c r="H7" s="2865"/>
      <c r="I7" s="885"/>
      <c r="J7" s="2865">
        <v>1992</v>
      </c>
      <c r="K7" s="2865"/>
      <c r="L7" s="2865"/>
      <c r="M7" s="885"/>
      <c r="N7" s="2865">
        <v>1991</v>
      </c>
      <c r="O7" s="2865"/>
      <c r="P7" s="2865"/>
      <c r="Q7" s="885"/>
      <c r="R7" s="2865">
        <v>1990</v>
      </c>
      <c r="S7" s="2865"/>
      <c r="T7" s="2865"/>
      <c r="U7" s="2227"/>
      <c r="V7" s="2286"/>
      <c r="W7" s="2865">
        <v>1989</v>
      </c>
      <c r="X7" s="2865"/>
      <c r="Y7" s="2865"/>
      <c r="Z7" s="885"/>
      <c r="AA7" s="2865">
        <v>1988</v>
      </c>
      <c r="AB7" s="2865"/>
      <c r="AC7" s="2865"/>
      <c r="AD7" s="885"/>
      <c r="AE7" s="2865">
        <v>1987</v>
      </c>
      <c r="AF7" s="2865"/>
      <c r="AG7" s="2865"/>
      <c r="AH7" s="885"/>
      <c r="AI7" s="2865">
        <v>1986</v>
      </c>
      <c r="AJ7" s="2865"/>
      <c r="AK7" s="2865"/>
      <c r="AL7" s="885"/>
      <c r="AM7" s="2865">
        <v>1985</v>
      </c>
      <c r="AN7" s="2865"/>
      <c r="AO7" s="2865"/>
      <c r="AP7" s="885"/>
      <c r="AQ7" s="2865">
        <v>1984</v>
      </c>
      <c r="AR7" s="2865"/>
      <c r="AS7" s="2865"/>
      <c r="AT7" s="389"/>
    </row>
    <row r="8" spans="1:49" x14ac:dyDescent="0.3">
      <c r="A8" s="221" t="s">
        <v>1250</v>
      </c>
      <c r="B8" s="864" t="s">
        <v>688</v>
      </c>
      <c r="C8" s="886"/>
      <c r="D8" s="864" t="s">
        <v>689</v>
      </c>
      <c r="E8" s="887"/>
      <c r="F8" s="864" t="s">
        <v>688</v>
      </c>
      <c r="G8" s="886"/>
      <c r="H8" s="864" t="s">
        <v>689</v>
      </c>
      <c r="I8" s="887"/>
      <c r="J8" s="864" t="s">
        <v>688</v>
      </c>
      <c r="K8" s="2696"/>
      <c r="L8" s="864" t="s">
        <v>689</v>
      </c>
      <c r="M8" s="887"/>
      <c r="N8" s="864" t="s">
        <v>688</v>
      </c>
      <c r="O8" s="2696"/>
      <c r="P8" s="864" t="s">
        <v>689</v>
      </c>
      <c r="Q8" s="887"/>
      <c r="R8" s="864" t="s">
        <v>688</v>
      </c>
      <c r="S8" s="886"/>
      <c r="T8" s="864" t="s">
        <v>689</v>
      </c>
      <c r="U8" s="1267"/>
      <c r="V8" s="2699"/>
      <c r="W8" s="864" t="s">
        <v>688</v>
      </c>
      <c r="X8" s="886"/>
      <c r="Y8" s="864" t="s">
        <v>689</v>
      </c>
      <c r="Z8" s="887"/>
      <c r="AA8" s="864" t="s">
        <v>688</v>
      </c>
      <c r="AB8" s="886"/>
      <c r="AC8" s="864" t="s">
        <v>689</v>
      </c>
      <c r="AD8" s="887"/>
      <c r="AE8" s="864" t="s">
        <v>688</v>
      </c>
      <c r="AF8" s="886"/>
      <c r="AG8" s="864" t="s">
        <v>689</v>
      </c>
      <c r="AH8" s="887"/>
      <c r="AI8" s="864" t="s">
        <v>688</v>
      </c>
      <c r="AJ8" s="886"/>
      <c r="AK8" s="864" t="s">
        <v>689</v>
      </c>
      <c r="AL8" s="887"/>
      <c r="AM8" s="864" t="s">
        <v>688</v>
      </c>
      <c r="AN8" s="886"/>
      <c r="AO8" s="864" t="s">
        <v>689</v>
      </c>
      <c r="AP8" s="887"/>
      <c r="AQ8" s="864" t="s">
        <v>688</v>
      </c>
      <c r="AR8" s="886"/>
      <c r="AS8" s="864" t="s">
        <v>689</v>
      </c>
      <c r="AT8" s="223"/>
    </row>
    <row r="9" spans="1:49" x14ac:dyDescent="0.3">
      <c r="A9" s="213" t="s">
        <v>3745</v>
      </c>
      <c r="B9" s="848"/>
      <c r="C9" s="220"/>
      <c r="D9" s="848"/>
      <c r="E9" s="220"/>
      <c r="F9" s="848"/>
      <c r="G9" s="220"/>
      <c r="H9" s="848"/>
      <c r="I9" s="220"/>
      <c r="J9" s="848"/>
      <c r="K9" s="220"/>
      <c r="L9" s="848"/>
      <c r="M9" s="220"/>
      <c r="N9" s="848"/>
      <c r="O9" s="220"/>
      <c r="P9" s="848"/>
      <c r="Q9" s="220"/>
      <c r="R9" s="848"/>
      <c r="S9" s="848"/>
      <c r="T9" s="848"/>
      <c r="U9" s="223"/>
      <c r="V9" s="2700"/>
      <c r="W9" s="848"/>
      <c r="X9" s="848"/>
      <c r="Y9" s="848"/>
      <c r="Z9" s="220"/>
      <c r="AA9" s="848"/>
      <c r="AB9" s="848"/>
      <c r="AC9" s="848"/>
      <c r="AD9" s="220"/>
      <c r="AE9" s="848"/>
      <c r="AF9" s="848"/>
      <c r="AG9" s="848"/>
      <c r="AH9" s="220"/>
      <c r="AI9" s="848"/>
      <c r="AJ9" s="848"/>
      <c r="AK9" s="848"/>
      <c r="AL9" s="220"/>
      <c r="AM9" s="848"/>
      <c r="AN9" s="848"/>
      <c r="AO9" s="848"/>
      <c r="AP9" s="220"/>
      <c r="AQ9" s="848"/>
      <c r="AR9" s="848"/>
      <c r="AS9" s="848"/>
      <c r="AT9" s="223"/>
      <c r="AU9" s="220"/>
    </row>
    <row r="10" spans="1:49" ht="16.2" thickBot="1" x14ac:dyDescent="0.35">
      <c r="A10" s="214" t="s">
        <v>526</v>
      </c>
      <c r="B10" s="866">
        <v>225700</v>
      </c>
      <c r="C10" s="392"/>
      <c r="D10" s="392"/>
      <c r="E10" s="392"/>
      <c r="F10" s="866">
        <v>208400</v>
      </c>
      <c r="G10" s="392"/>
      <c r="H10" s="392"/>
      <c r="I10" s="392"/>
      <c r="J10" s="866">
        <v>132400</v>
      </c>
      <c r="K10" s="392"/>
      <c r="L10" s="392"/>
      <c r="M10" s="392"/>
      <c r="N10" s="2234">
        <v>135500</v>
      </c>
      <c r="O10" s="392"/>
      <c r="P10" s="392"/>
      <c r="Q10" s="392"/>
      <c r="R10" s="866">
        <v>139100</v>
      </c>
      <c r="S10" s="392"/>
      <c r="T10" s="392"/>
      <c r="U10" s="253"/>
      <c r="V10" s="2701"/>
      <c r="W10" s="866">
        <v>169661</v>
      </c>
      <c r="X10" s="392"/>
      <c r="Y10" s="392"/>
      <c r="Z10" s="392"/>
      <c r="AA10" s="866">
        <v>218838</v>
      </c>
      <c r="AB10" s="392"/>
      <c r="AC10" s="392"/>
      <c r="AD10" s="392"/>
      <c r="AE10" s="2234">
        <v>412748</v>
      </c>
      <c r="AF10" s="392"/>
      <c r="AG10" s="392"/>
      <c r="AH10" s="392"/>
      <c r="AI10" s="866">
        <v>594607</v>
      </c>
      <c r="AJ10" s="392"/>
      <c r="AK10" s="392"/>
      <c r="AL10" s="392"/>
      <c r="AM10" s="2234">
        <v>269057</v>
      </c>
      <c r="AN10" s="392"/>
      <c r="AO10" s="392"/>
      <c r="AP10" s="392"/>
      <c r="AQ10" s="2234">
        <v>118090</v>
      </c>
      <c r="AR10" s="392"/>
      <c r="AS10" s="392"/>
      <c r="AT10" s="223"/>
    </row>
    <row r="11" spans="1:49" ht="16.2" thickTop="1" x14ac:dyDescent="0.3">
      <c r="A11" s="214" t="s">
        <v>101</v>
      </c>
      <c r="B11" s="867">
        <v>234800</v>
      </c>
      <c r="C11" s="215"/>
      <c r="D11" s="868">
        <f>B11/B$11</f>
        <v>1</v>
      </c>
      <c r="E11" s="464"/>
      <c r="F11" s="867">
        <v>208300</v>
      </c>
      <c r="G11" s="215"/>
      <c r="H11" s="868">
        <f>F11/F$11</f>
        <v>1</v>
      </c>
      <c r="I11" s="464"/>
      <c r="J11" s="869">
        <v>152800</v>
      </c>
      <c r="K11" s="215"/>
      <c r="L11" s="868">
        <f>J11/J$11</f>
        <v>1</v>
      </c>
      <c r="M11" s="464"/>
      <c r="N11" s="2213">
        <v>141000</v>
      </c>
      <c r="O11" s="215"/>
      <c r="P11" s="868">
        <f>N11/N$11</f>
        <v>1</v>
      </c>
      <c r="Q11" s="464"/>
      <c r="R11" s="869">
        <v>154015</v>
      </c>
      <c r="S11" s="215"/>
      <c r="T11" s="868">
        <f>R11/R$11</f>
        <v>1</v>
      </c>
      <c r="U11" s="347"/>
      <c r="V11" s="364"/>
      <c r="W11" s="869">
        <v>188920</v>
      </c>
      <c r="X11" s="215"/>
      <c r="Y11" s="868">
        <f>W11/W$11</f>
        <v>1</v>
      </c>
      <c r="Z11" s="464"/>
      <c r="AA11" s="869">
        <v>292309</v>
      </c>
      <c r="AB11" s="215"/>
      <c r="AC11" s="868">
        <f>AA11/AA$11</f>
        <v>1</v>
      </c>
      <c r="AD11" s="464"/>
      <c r="AE11" s="2213">
        <v>441635</v>
      </c>
      <c r="AF11" s="215"/>
      <c r="AG11" s="868">
        <f>AE11/AE$11</f>
        <v>1</v>
      </c>
      <c r="AH11" s="464"/>
      <c r="AI11" s="869">
        <v>463117</v>
      </c>
      <c r="AJ11" s="215"/>
      <c r="AK11" s="868">
        <f>AI11/AI$11</f>
        <v>1</v>
      </c>
      <c r="AL11" s="464"/>
      <c r="AM11" s="2213">
        <v>184333</v>
      </c>
      <c r="AN11" s="215"/>
      <c r="AO11" s="868">
        <f>AM11/AM$11</f>
        <v>1</v>
      </c>
      <c r="AP11" s="464"/>
      <c r="AQ11" s="2213">
        <v>119266</v>
      </c>
      <c r="AR11" s="215"/>
      <c r="AS11" s="868">
        <f>AQ11/AQ$11</f>
        <v>1</v>
      </c>
      <c r="AT11" s="223"/>
      <c r="AW11" s="211" t="s">
        <v>176</v>
      </c>
    </row>
    <row r="12" spans="1:49" x14ac:dyDescent="0.3">
      <c r="A12" s="214" t="s">
        <v>527</v>
      </c>
      <c r="B12" s="875">
        <v>88400</v>
      </c>
      <c r="C12" s="215"/>
      <c r="D12" s="464">
        <f>B12/B$11</f>
        <v>0.37649063032367974</v>
      </c>
      <c r="E12" s="464"/>
      <c r="F12" s="875">
        <v>99800</v>
      </c>
      <c r="G12" s="215"/>
      <c r="H12" s="464">
        <f>F12/F$11</f>
        <v>0.47911665866538644</v>
      </c>
      <c r="I12" s="464"/>
      <c r="J12" s="876">
        <v>98000</v>
      </c>
      <c r="K12" s="215"/>
      <c r="L12" s="464">
        <f>J12/J$11</f>
        <v>0.6413612565445026</v>
      </c>
      <c r="M12" s="464"/>
      <c r="N12" s="2211">
        <v>95200</v>
      </c>
      <c r="O12" s="215"/>
      <c r="P12" s="464">
        <f>N12/N$11</f>
        <v>0.67517730496453898</v>
      </c>
      <c r="Q12" s="464"/>
      <c r="R12" s="876">
        <v>102000</v>
      </c>
      <c r="S12" s="215"/>
      <c r="T12" s="464">
        <f>R12/R$11</f>
        <v>0.66227315521215468</v>
      </c>
      <c r="U12" s="347"/>
      <c r="V12" s="364"/>
      <c r="W12" s="876">
        <v>125873</v>
      </c>
      <c r="X12" s="215"/>
      <c r="Y12" s="464">
        <f>W12/W$11</f>
        <v>0.66627673089138262</v>
      </c>
      <c r="Z12" s="464"/>
      <c r="AA12" s="876">
        <v>196165</v>
      </c>
      <c r="AB12" s="215"/>
      <c r="AC12" s="464">
        <f>AA12/AA$11</f>
        <v>0.67108778723884654</v>
      </c>
      <c r="AD12" s="464"/>
      <c r="AE12" s="2211">
        <v>338575</v>
      </c>
      <c r="AF12" s="215"/>
      <c r="AG12" s="464">
        <f>AE12/AE$11</f>
        <v>0.76663987229273045</v>
      </c>
      <c r="AH12" s="464"/>
      <c r="AI12" s="876">
        <v>347468</v>
      </c>
      <c r="AJ12" s="215"/>
      <c r="AK12" s="464">
        <f>AI12/AI$11</f>
        <v>0.75028124642368987</v>
      </c>
      <c r="AL12" s="464"/>
      <c r="AM12" s="2211">
        <v>140029</v>
      </c>
      <c r="AN12" s="215"/>
      <c r="AO12" s="464">
        <f>AM12/AM$11</f>
        <v>0.75965236826829707</v>
      </c>
      <c r="AP12" s="464"/>
      <c r="AQ12" s="2211">
        <v>110491</v>
      </c>
      <c r="AR12" s="215"/>
      <c r="AS12" s="464">
        <f>AQ12/AQ$11</f>
        <v>0.92642496604229196</v>
      </c>
      <c r="AT12" s="223"/>
    </row>
    <row r="13" spans="1:49" x14ac:dyDescent="0.3">
      <c r="A13" s="214" t="s">
        <v>102</v>
      </c>
      <c r="B13" s="871">
        <v>98100</v>
      </c>
      <c r="C13" s="215"/>
      <c r="D13" s="868">
        <f>B13/B$11</f>
        <v>0.41780238500851791</v>
      </c>
      <c r="E13" s="464"/>
      <c r="F13" s="871">
        <v>95800</v>
      </c>
      <c r="G13" s="215"/>
      <c r="H13" s="868">
        <f>F13/F$11</f>
        <v>0.4599135861737878</v>
      </c>
      <c r="I13" s="464"/>
      <c r="J13" s="872">
        <v>46800</v>
      </c>
      <c r="K13" s="215"/>
      <c r="L13" s="868">
        <f>J13/J$11</f>
        <v>0.30628272251308902</v>
      </c>
      <c r="M13" s="464"/>
      <c r="N13" s="2212">
        <v>48300</v>
      </c>
      <c r="O13" s="215"/>
      <c r="P13" s="868">
        <f>N13/N$11</f>
        <v>0.3425531914893617</v>
      </c>
      <c r="Q13" s="464"/>
      <c r="R13" s="872">
        <v>51500</v>
      </c>
      <c r="S13" s="215"/>
      <c r="T13" s="868">
        <f>R13/R$11</f>
        <v>0.33438301464143105</v>
      </c>
      <c r="U13" s="347"/>
      <c r="V13" s="364"/>
      <c r="W13" s="872">
        <v>58804</v>
      </c>
      <c r="X13" s="215"/>
      <c r="Y13" s="868">
        <f>W13/W$11</f>
        <v>0.31126402710141859</v>
      </c>
      <c r="Z13" s="464"/>
      <c r="AA13" s="872">
        <f>274843-196165</f>
        <v>78678</v>
      </c>
      <c r="AB13" s="215"/>
      <c r="AC13" s="868">
        <f>AA13/AA$11</f>
        <v>0.26916037480884952</v>
      </c>
      <c r="AD13" s="464"/>
      <c r="AE13" s="2212">
        <v>105775</v>
      </c>
      <c r="AF13" s="215"/>
      <c r="AG13" s="868">
        <f>AE13/AE$11</f>
        <v>0.2395077382906699</v>
      </c>
      <c r="AH13" s="464"/>
      <c r="AI13" s="872">
        <v>112111</v>
      </c>
      <c r="AJ13" s="215"/>
      <c r="AK13" s="868">
        <f>AI13/AI$11</f>
        <v>0.24207921540345095</v>
      </c>
      <c r="AL13" s="464"/>
      <c r="AM13" s="2212">
        <v>52451</v>
      </c>
      <c r="AN13" s="215"/>
      <c r="AO13" s="868">
        <f>AM13/AM$11</f>
        <v>0.28454481834506029</v>
      </c>
      <c r="AP13" s="464"/>
      <c r="AQ13" s="2212">
        <v>41628</v>
      </c>
      <c r="AR13" s="215"/>
      <c r="AS13" s="868">
        <f>AQ13/AQ$11</f>
        <v>0.349034930323814</v>
      </c>
      <c r="AT13" s="223"/>
    </row>
    <row r="14" spans="1:49" x14ac:dyDescent="0.3">
      <c r="A14" s="214" t="s">
        <v>685</v>
      </c>
      <c r="B14" s="875">
        <f>B12+B13</f>
        <v>186500</v>
      </c>
      <c r="C14" s="215"/>
      <c r="D14" s="464">
        <f>B14/B$11</f>
        <v>0.79429301533219765</v>
      </c>
      <c r="E14" s="464"/>
      <c r="F14" s="875">
        <f>F12+F13</f>
        <v>195600</v>
      </c>
      <c r="G14" s="215"/>
      <c r="H14" s="464">
        <f>F14/F$11</f>
        <v>0.9390302448391743</v>
      </c>
      <c r="I14" s="464"/>
      <c r="J14" s="876">
        <f>J12+J13</f>
        <v>144800</v>
      </c>
      <c r="K14" s="215"/>
      <c r="L14" s="464">
        <f>J14/J$11</f>
        <v>0.94764397905759157</v>
      </c>
      <c r="M14" s="464"/>
      <c r="N14" s="2211">
        <f>N12+N13</f>
        <v>143500</v>
      </c>
      <c r="O14" s="215"/>
      <c r="P14" s="464">
        <f>N14/N$11</f>
        <v>1.0177304964539007</v>
      </c>
      <c r="Q14" s="464"/>
      <c r="R14" s="876">
        <f>R12+R13</f>
        <v>153500</v>
      </c>
      <c r="S14" s="215"/>
      <c r="T14" s="464">
        <f>R14/R$11</f>
        <v>0.99665616985358574</v>
      </c>
      <c r="U14" s="347"/>
      <c r="V14" s="364"/>
      <c r="W14" s="876">
        <f>W12+W13</f>
        <v>184677</v>
      </c>
      <c r="X14" s="215"/>
      <c r="Y14" s="464">
        <f>W14/W$11</f>
        <v>0.97754075799280116</v>
      </c>
      <c r="Z14" s="464"/>
      <c r="AA14" s="876">
        <f>AA12+AA13</f>
        <v>274843</v>
      </c>
      <c r="AB14" s="215"/>
      <c r="AC14" s="464">
        <f>AA14/AA$11</f>
        <v>0.94024816204769612</v>
      </c>
      <c r="AD14" s="464"/>
      <c r="AE14" s="2211">
        <f>AE12+AE13</f>
        <v>444350</v>
      </c>
      <c r="AF14" s="215"/>
      <c r="AG14" s="464">
        <f>AE14/AE$11</f>
        <v>1.0061476105834004</v>
      </c>
      <c r="AH14" s="464"/>
      <c r="AI14" s="876">
        <f>AI12+AI13</f>
        <v>459579</v>
      </c>
      <c r="AJ14" s="215"/>
      <c r="AK14" s="464">
        <f>AI14/AI$11</f>
        <v>0.99236046182714088</v>
      </c>
      <c r="AL14" s="464"/>
      <c r="AM14" s="2211">
        <f>AM12+AM13</f>
        <v>192480</v>
      </c>
      <c r="AN14" s="215"/>
      <c r="AO14" s="464">
        <f>AM14/AM$11</f>
        <v>1.0441971866133573</v>
      </c>
      <c r="AP14" s="464"/>
      <c r="AQ14" s="2211">
        <f>AQ12+AQ13</f>
        <v>152119</v>
      </c>
      <c r="AR14" s="215"/>
      <c r="AS14" s="464">
        <f>AQ14/AQ$11</f>
        <v>1.2754598963661059</v>
      </c>
      <c r="AT14" s="223"/>
    </row>
    <row r="15" spans="1:49" ht="16.2" thickBot="1" x14ac:dyDescent="0.35">
      <c r="A15" s="214" t="s">
        <v>1523</v>
      </c>
      <c r="B15" s="873">
        <f>B11-B14</f>
        <v>48300</v>
      </c>
      <c r="C15" s="215"/>
      <c r="D15" s="464"/>
      <c r="E15" s="464"/>
      <c r="F15" s="873">
        <f>F11-F14</f>
        <v>12700</v>
      </c>
      <c r="G15" s="215"/>
      <c r="H15" s="464"/>
      <c r="I15" s="464"/>
      <c r="J15" s="874">
        <f>J11-J14</f>
        <v>8000</v>
      </c>
      <c r="K15" s="215"/>
      <c r="L15" s="464"/>
      <c r="M15" s="464"/>
      <c r="N15" s="2210">
        <f>N11-N14</f>
        <v>-2500</v>
      </c>
      <c r="O15" s="215"/>
      <c r="P15" s="464"/>
      <c r="Q15" s="464"/>
      <c r="R15" s="874">
        <f>R11-R14</f>
        <v>515</v>
      </c>
      <c r="S15" s="215"/>
      <c r="T15" s="464"/>
      <c r="U15" s="347"/>
      <c r="V15" s="364"/>
      <c r="W15" s="874">
        <f>W11-W14</f>
        <v>4243</v>
      </c>
      <c r="X15" s="215"/>
      <c r="Y15" s="464"/>
      <c r="Z15" s="464"/>
      <c r="AA15" s="874">
        <f>AA11-AA14</f>
        <v>17466</v>
      </c>
      <c r="AB15" s="215"/>
      <c r="AC15" s="464"/>
      <c r="AD15" s="464"/>
      <c r="AE15" s="2210">
        <f>AE11-AE14</f>
        <v>-2715</v>
      </c>
      <c r="AF15" s="215"/>
      <c r="AG15" s="464"/>
      <c r="AH15" s="464"/>
      <c r="AI15" s="874">
        <f>AI11-AI14</f>
        <v>3538</v>
      </c>
      <c r="AJ15" s="215"/>
      <c r="AK15" s="464"/>
      <c r="AL15" s="464"/>
      <c r="AM15" s="2210">
        <f>AM11-AM14</f>
        <v>-8147</v>
      </c>
      <c r="AN15" s="215"/>
      <c r="AO15" s="464"/>
      <c r="AP15" s="464"/>
      <c r="AQ15" s="2210">
        <f>AQ11-AQ14</f>
        <v>-32853</v>
      </c>
      <c r="AR15" s="215"/>
      <c r="AS15" s="464"/>
      <c r="AT15" s="223"/>
    </row>
    <row r="16" spans="1:49" ht="9" customHeight="1" thickTop="1" x14ac:dyDescent="0.3">
      <c r="A16" s="214"/>
      <c r="B16" s="875"/>
      <c r="C16" s="215"/>
      <c r="D16" s="464"/>
      <c r="E16" s="464"/>
      <c r="F16" s="875"/>
      <c r="G16" s="215"/>
      <c r="H16" s="464"/>
      <c r="I16" s="464"/>
      <c r="J16" s="876"/>
      <c r="K16" s="215"/>
      <c r="L16" s="464"/>
      <c r="M16" s="464"/>
      <c r="N16" s="876"/>
      <c r="O16" s="215"/>
      <c r="P16" s="464"/>
      <c r="Q16" s="464"/>
      <c r="R16" s="876"/>
      <c r="S16" s="215"/>
      <c r="T16" s="464"/>
      <c r="U16" s="347"/>
      <c r="V16" s="364"/>
      <c r="W16" s="876"/>
      <c r="X16" s="215"/>
      <c r="Y16" s="464"/>
      <c r="Z16" s="464"/>
      <c r="AA16" s="876"/>
      <c r="AB16" s="215"/>
      <c r="AC16" s="464"/>
      <c r="AD16" s="464"/>
      <c r="AE16" s="876"/>
      <c r="AF16" s="215"/>
      <c r="AG16" s="464"/>
      <c r="AH16" s="464"/>
      <c r="AI16" s="876"/>
      <c r="AJ16" s="215"/>
      <c r="AK16" s="464"/>
      <c r="AL16" s="464"/>
      <c r="AM16" s="876"/>
      <c r="AN16" s="215"/>
      <c r="AO16" s="464"/>
      <c r="AP16" s="464"/>
      <c r="AQ16" s="876"/>
      <c r="AR16" s="215"/>
      <c r="AS16" s="464"/>
      <c r="AT16" s="223"/>
    </row>
    <row r="17" spans="1:47" s="320" customFormat="1" ht="31.2" x14ac:dyDescent="0.3">
      <c r="A17" s="940" t="s">
        <v>687</v>
      </c>
      <c r="B17" s="941">
        <f>D17*B11</f>
        <v>-53935.199999999997</v>
      </c>
      <c r="C17" s="428"/>
      <c r="D17" s="942">
        <f>D14-1.024</f>
        <v>-0.22970698466780237</v>
      </c>
      <c r="E17" s="943"/>
      <c r="F17" s="941">
        <f>H17*F11</f>
        <v>-41653.699999999997</v>
      </c>
      <c r="G17" s="428"/>
      <c r="H17" s="942">
        <f>H14-1.139</f>
        <v>-0.19996975516082571</v>
      </c>
      <c r="I17" s="943"/>
      <c r="J17" s="941">
        <v>-36400</v>
      </c>
      <c r="K17" s="428"/>
      <c r="L17" s="942">
        <f>J17/J$11</f>
        <v>-0.23821989528795812</v>
      </c>
      <c r="M17" s="943"/>
      <c r="N17" s="941">
        <v>-23800</v>
      </c>
      <c r="O17" s="428"/>
      <c r="P17" s="942">
        <f>N17/N$11</f>
        <v>-0.16879432624113475</v>
      </c>
      <c r="Q17" s="943"/>
      <c r="R17" s="941">
        <v>-18343</v>
      </c>
      <c r="S17" s="428"/>
      <c r="T17" s="942">
        <f>R17/R$11</f>
        <v>-0.11909878907898581</v>
      </c>
      <c r="U17" s="944"/>
      <c r="V17" s="2702"/>
      <c r="W17" s="945">
        <v>-20034</v>
      </c>
      <c r="X17" s="428"/>
      <c r="Y17" s="942">
        <f>W17/W$11</f>
        <v>-0.10604488672453949</v>
      </c>
      <c r="Z17" s="943"/>
      <c r="AA17" s="945">
        <v>-29144</v>
      </c>
      <c r="AB17" s="428"/>
      <c r="AC17" s="942">
        <f>AA17/AA$11</f>
        <v>-9.9702711856289067E-2</v>
      </c>
      <c r="AD17" s="943"/>
      <c r="AE17" s="945">
        <v>-9435</v>
      </c>
      <c r="AF17" s="428"/>
      <c r="AG17" s="942">
        <f>AE17/AE$11</f>
        <v>-2.1363795894800003E-2</v>
      </c>
      <c r="AH17" s="943"/>
      <c r="AI17" s="946">
        <v>16005</v>
      </c>
      <c r="AJ17" s="428"/>
      <c r="AK17" s="942">
        <f>AI17/AI$11</f>
        <v>3.4559301429228466E-2</v>
      </c>
      <c r="AL17" s="943"/>
      <c r="AM17" s="945">
        <v>63</v>
      </c>
      <c r="AN17" s="428"/>
      <c r="AO17" s="942">
        <f>AM17/AM$11</f>
        <v>3.4177276993267622E-4</v>
      </c>
      <c r="AP17" s="943"/>
      <c r="AQ17" s="945">
        <v>8105</v>
      </c>
      <c r="AR17" s="428"/>
      <c r="AS17" s="942">
        <f>AQ17/AQ$11</f>
        <v>6.7957339057233418E-2</v>
      </c>
      <c r="AT17" s="222"/>
    </row>
    <row r="18" spans="1:47" ht="9" customHeight="1" x14ac:dyDescent="0.3">
      <c r="A18" s="214"/>
      <c r="B18" s="875"/>
      <c r="C18" s="215"/>
      <c r="D18" s="464"/>
      <c r="E18" s="464"/>
      <c r="F18" s="875"/>
      <c r="G18" s="215"/>
      <c r="H18" s="464"/>
      <c r="I18" s="464"/>
      <c r="J18" s="875"/>
      <c r="K18" s="215"/>
      <c r="L18" s="464"/>
      <c r="M18" s="464"/>
      <c r="N18" s="875"/>
      <c r="O18" s="215"/>
      <c r="P18" s="464"/>
      <c r="Q18" s="464"/>
      <c r="R18" s="875"/>
      <c r="S18" s="215"/>
      <c r="T18" s="464"/>
      <c r="U18" s="347"/>
      <c r="V18" s="364"/>
      <c r="W18" s="875"/>
      <c r="X18" s="215"/>
      <c r="Y18" s="464"/>
      <c r="Z18" s="464"/>
      <c r="AA18" s="875"/>
      <c r="AB18" s="215"/>
      <c r="AC18" s="464"/>
      <c r="AD18" s="464"/>
      <c r="AE18" s="875"/>
      <c r="AF18" s="215"/>
      <c r="AG18" s="464"/>
      <c r="AH18" s="464"/>
      <c r="AI18" s="875"/>
      <c r="AJ18" s="215"/>
      <c r="AK18" s="464"/>
      <c r="AL18" s="464"/>
      <c r="AM18" s="875"/>
      <c r="AN18" s="215"/>
      <c r="AO18" s="464"/>
      <c r="AP18" s="464"/>
      <c r="AQ18" s="875"/>
      <c r="AR18" s="215"/>
      <c r="AS18" s="464"/>
      <c r="AT18" s="223"/>
    </row>
    <row r="19" spans="1:47" x14ac:dyDescent="0.3">
      <c r="A19" s="214" t="s">
        <v>1521</v>
      </c>
      <c r="B19" s="827"/>
      <c r="C19" s="397"/>
      <c r="D19" s="464">
        <f>(B12/B11)+(B13/B10)</f>
        <v>0.81113839284029465</v>
      </c>
      <c r="E19" s="215"/>
      <c r="F19" s="464"/>
      <c r="G19" s="464"/>
      <c r="H19" s="464">
        <f>(F12/F11)+(F13/F10)</f>
        <v>0.93880955693793922</v>
      </c>
      <c r="I19" s="215"/>
      <c r="J19" s="464"/>
      <c r="K19" s="464"/>
      <c r="L19" s="464">
        <f>(J12/J11)+(J13/J10)</f>
        <v>0.9948355767861945</v>
      </c>
      <c r="M19" s="215"/>
      <c r="N19" s="464"/>
      <c r="O19" s="464"/>
      <c r="P19" s="464">
        <f>(N12/N11)+(N13/N10)</f>
        <v>1.0316348695401847</v>
      </c>
      <c r="Q19" s="215"/>
      <c r="R19" s="464"/>
      <c r="S19" s="464"/>
      <c r="T19" s="464">
        <f>(R12/R11)+(R13/R10)</f>
        <v>1.0325103946082725</v>
      </c>
      <c r="U19" s="347"/>
      <c r="V19" s="364"/>
      <c r="W19" s="397"/>
      <c r="X19" s="397"/>
      <c r="Y19" s="827">
        <f>(W12/W11)+(W13/W10)</f>
        <v>1.0128737685134643</v>
      </c>
      <c r="Z19" s="813"/>
      <c r="AA19" s="827"/>
      <c r="AB19" s="827"/>
      <c r="AC19" s="827">
        <f>(AA12/AA11)+(AA13/AA10)</f>
        <v>1.0306140121175238</v>
      </c>
      <c r="AD19" s="813"/>
      <c r="AE19" s="827"/>
      <c r="AF19" s="464"/>
      <c r="AG19" s="464">
        <f>(AE12/AE11)+(AE13/AE10)</f>
        <v>1.0229100419846491</v>
      </c>
      <c r="AH19" s="215"/>
      <c r="AI19" s="464"/>
      <c r="AJ19" s="464"/>
      <c r="AK19" s="464">
        <f>(AI12/AI11)+(AI13/AI10)</f>
        <v>0.9388276308423058</v>
      </c>
      <c r="AL19" s="215"/>
      <c r="AM19" s="464"/>
      <c r="AN19" s="464"/>
      <c r="AO19" s="464">
        <f>(AM12/AM11)+(AM13/AM10)</f>
        <v>0.95459619058104117</v>
      </c>
      <c r="AP19" s="215"/>
      <c r="AQ19" s="464"/>
      <c r="AR19" s="464"/>
      <c r="AS19" s="464">
        <f>(AQ12/AQ11)+(AQ13/AQ10)</f>
        <v>1.2789357628921523</v>
      </c>
      <c r="AT19" s="223"/>
    </row>
    <row r="20" spans="1:47" ht="4.5" customHeight="1" x14ac:dyDescent="0.3">
      <c r="A20" s="214"/>
      <c r="B20" s="827"/>
      <c r="C20" s="397"/>
      <c r="D20" s="464"/>
      <c r="E20" s="215"/>
      <c r="F20" s="464"/>
      <c r="G20" s="464"/>
      <c r="H20" s="464"/>
      <c r="I20" s="215"/>
      <c r="J20" s="464"/>
      <c r="K20" s="464"/>
      <c r="L20" s="464"/>
      <c r="M20" s="215"/>
      <c r="N20" s="464"/>
      <c r="O20" s="464"/>
      <c r="P20" s="464"/>
      <c r="Q20" s="215"/>
      <c r="R20" s="464"/>
      <c r="S20" s="464"/>
      <c r="T20" s="464"/>
      <c r="U20" s="347"/>
      <c r="V20" s="364"/>
      <c r="W20" s="397"/>
      <c r="X20" s="397"/>
      <c r="Y20" s="827"/>
      <c r="Z20" s="813"/>
      <c r="AA20" s="827"/>
      <c r="AB20" s="827"/>
      <c r="AC20" s="827"/>
      <c r="AD20" s="813"/>
      <c r="AE20" s="827"/>
      <c r="AF20" s="464"/>
      <c r="AG20" s="464"/>
      <c r="AH20" s="215"/>
      <c r="AI20" s="464"/>
      <c r="AJ20" s="464"/>
      <c r="AK20" s="464"/>
      <c r="AL20" s="215"/>
      <c r="AM20" s="464"/>
      <c r="AN20" s="464"/>
      <c r="AO20" s="464"/>
      <c r="AP20" s="215"/>
      <c r="AQ20" s="464"/>
      <c r="AR20" s="464"/>
      <c r="AS20" s="464"/>
      <c r="AT20" s="223"/>
    </row>
    <row r="21" spans="1:47" s="597" customFormat="1" ht="4.5" customHeight="1" x14ac:dyDescent="0.3">
      <c r="A21" s="1155"/>
      <c r="B21" s="728"/>
      <c r="C21" s="684"/>
      <c r="D21" s="728"/>
      <c r="E21" s="686"/>
      <c r="F21" s="728"/>
      <c r="G21" s="728"/>
      <c r="H21" s="728"/>
      <c r="I21" s="686"/>
      <c r="J21" s="728"/>
      <c r="K21" s="728"/>
      <c r="L21" s="728"/>
      <c r="M21" s="686"/>
      <c r="N21" s="728"/>
      <c r="O21" s="728"/>
      <c r="P21" s="728"/>
      <c r="Q21" s="686"/>
      <c r="R21" s="728"/>
      <c r="S21" s="728"/>
      <c r="T21" s="728"/>
      <c r="U21" s="1518"/>
      <c r="V21" s="2703"/>
      <c r="W21" s="684"/>
      <c r="X21" s="684"/>
      <c r="Y21" s="728"/>
      <c r="Z21" s="686"/>
      <c r="AA21" s="728"/>
      <c r="AB21" s="728"/>
      <c r="AC21" s="728"/>
      <c r="AD21" s="686"/>
      <c r="AE21" s="728"/>
      <c r="AF21" s="728"/>
      <c r="AG21" s="728"/>
      <c r="AH21" s="686"/>
      <c r="AI21" s="728"/>
      <c r="AJ21" s="728"/>
      <c r="AK21" s="728"/>
      <c r="AL21" s="686"/>
      <c r="AM21" s="728"/>
      <c r="AN21" s="728"/>
      <c r="AO21" s="728"/>
      <c r="AP21" s="686"/>
      <c r="AQ21" s="728"/>
      <c r="AR21" s="728"/>
      <c r="AS21" s="728"/>
      <c r="AT21" s="1279"/>
    </row>
    <row r="22" spans="1:47" ht="4.5" customHeight="1" x14ac:dyDescent="0.3">
      <c r="A22" s="214"/>
      <c r="B22" s="220"/>
      <c r="C22" s="220"/>
      <c r="D22" s="220"/>
      <c r="E22" s="220"/>
      <c r="F22" s="220"/>
      <c r="G22" s="220"/>
      <c r="H22" s="220"/>
      <c r="I22" s="220"/>
      <c r="J22" s="220"/>
      <c r="K22" s="220"/>
      <c r="L22" s="220"/>
      <c r="M22" s="220"/>
      <c r="N22" s="220"/>
      <c r="O22" s="220"/>
      <c r="P22" s="220"/>
      <c r="Q22" s="220"/>
      <c r="R22" s="220"/>
      <c r="S22" s="220"/>
      <c r="T22" s="220"/>
      <c r="U22" s="223"/>
      <c r="V22" s="214"/>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3"/>
    </row>
    <row r="23" spans="1:47" x14ac:dyDescent="0.3">
      <c r="A23" s="2695" t="s">
        <v>3746</v>
      </c>
      <c r="B23" s="220"/>
      <c r="C23" s="220"/>
      <c r="D23" s="220"/>
      <c r="E23" s="220"/>
      <c r="F23" s="220"/>
      <c r="G23" s="220"/>
      <c r="H23" s="220"/>
      <c r="I23" s="220"/>
      <c r="J23" s="220"/>
      <c r="K23" s="220"/>
      <c r="L23" s="220"/>
      <c r="M23" s="220"/>
      <c r="N23" s="220"/>
      <c r="O23" s="220"/>
      <c r="P23" s="220"/>
      <c r="Q23" s="220"/>
      <c r="R23" s="220"/>
      <c r="S23" s="220"/>
      <c r="T23" s="220"/>
      <c r="U23" s="223"/>
      <c r="V23" s="214"/>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3"/>
    </row>
    <row r="24" spans="1:47" ht="16.2" thickBot="1" x14ac:dyDescent="0.35">
      <c r="A24" s="214" t="s">
        <v>526</v>
      </c>
      <c r="B24" s="866">
        <v>689800</v>
      </c>
      <c r="C24" s="392"/>
      <c r="D24" s="392"/>
      <c r="E24" s="392"/>
      <c r="F24" s="866">
        <v>528700</v>
      </c>
      <c r="G24" s="392"/>
      <c r="H24" s="392"/>
      <c r="I24" s="392"/>
      <c r="J24" s="2234">
        <v>607200</v>
      </c>
      <c r="K24" s="392"/>
      <c r="L24" s="392"/>
      <c r="M24" s="392"/>
      <c r="N24" s="2234">
        <v>667000</v>
      </c>
      <c r="O24" s="392"/>
      <c r="P24" s="392"/>
      <c r="Q24" s="392"/>
      <c r="R24" s="2234">
        <v>435205</v>
      </c>
      <c r="S24" s="392"/>
      <c r="T24" s="392"/>
      <c r="U24" s="253"/>
      <c r="V24" s="2701"/>
      <c r="W24" s="2234">
        <v>65954</v>
      </c>
      <c r="X24" s="392"/>
      <c r="Y24" s="392"/>
      <c r="Z24" s="392"/>
      <c r="AA24" s="2234">
        <v>203268</v>
      </c>
      <c r="AB24" s="392"/>
      <c r="AC24" s="392"/>
      <c r="AD24" s="392"/>
      <c r="AE24" s="2234">
        <v>328011</v>
      </c>
      <c r="AF24" s="392"/>
      <c r="AG24" s="392"/>
      <c r="AH24" s="392"/>
      <c r="AI24" s="2234">
        <v>398446</v>
      </c>
      <c r="AJ24" s="392"/>
      <c r="AK24" s="392"/>
      <c r="AL24" s="392"/>
      <c r="AM24" s="2234">
        <v>178502</v>
      </c>
      <c r="AN24" s="392"/>
      <c r="AO24" s="392"/>
      <c r="AP24" s="392"/>
      <c r="AQ24" s="2234">
        <v>10542</v>
      </c>
      <c r="AR24" s="392"/>
      <c r="AS24" s="392"/>
      <c r="AT24" s="223"/>
    </row>
    <row r="25" spans="1:47" ht="16.2" thickTop="1" x14ac:dyDescent="0.3">
      <c r="A25" s="214" t="s">
        <v>101</v>
      </c>
      <c r="B25" s="867">
        <v>688400</v>
      </c>
      <c r="C25" s="215"/>
      <c r="D25" s="868">
        <f>B25/B$25</f>
        <v>1</v>
      </c>
      <c r="E25" s="215"/>
      <c r="F25" s="867">
        <v>442400</v>
      </c>
      <c r="G25" s="215"/>
      <c r="H25" s="868">
        <f>F25/F$25</f>
        <v>1</v>
      </c>
      <c r="I25" s="215"/>
      <c r="J25" s="2213">
        <v>511500</v>
      </c>
      <c r="K25" s="215"/>
      <c r="L25" s="868">
        <f>J25/J$25</f>
        <v>1</v>
      </c>
      <c r="M25" s="215"/>
      <c r="N25" s="2213">
        <v>635400</v>
      </c>
      <c r="O25" s="215"/>
      <c r="P25" s="868">
        <f>N25/N$25</f>
        <v>1</v>
      </c>
      <c r="Q25" s="215"/>
      <c r="R25" s="2213">
        <v>437525</v>
      </c>
      <c r="S25" s="215"/>
      <c r="T25" s="868">
        <f>R25/R$25</f>
        <v>1</v>
      </c>
      <c r="U25" s="347"/>
      <c r="V25" s="2704"/>
      <c r="W25" s="2213">
        <v>146827</v>
      </c>
      <c r="X25" s="215"/>
      <c r="Y25" s="868">
        <f>W25/W$25</f>
        <v>1</v>
      </c>
      <c r="Z25" s="215"/>
      <c r="AA25" s="2213">
        <v>229323</v>
      </c>
      <c r="AB25" s="215"/>
      <c r="AC25" s="868">
        <f>AA25/AA$25</f>
        <v>1</v>
      </c>
      <c r="AD25" s="215"/>
      <c r="AE25" s="2213">
        <v>372763</v>
      </c>
      <c r="AF25" s="215"/>
      <c r="AG25" s="868">
        <f>AE25/AE$25</f>
        <v>1</v>
      </c>
      <c r="AH25" s="215"/>
      <c r="AI25" s="2213">
        <v>344385</v>
      </c>
      <c r="AJ25" s="215"/>
      <c r="AK25" s="868">
        <f>AI25/AI$25</f>
        <v>1</v>
      </c>
      <c r="AL25" s="215"/>
      <c r="AM25" s="2213">
        <v>82877</v>
      </c>
      <c r="AN25" s="215"/>
      <c r="AO25" s="868">
        <f>AM25/AM$25</f>
        <v>1</v>
      </c>
      <c r="AP25" s="215"/>
      <c r="AQ25" s="2213">
        <v>16066</v>
      </c>
      <c r="AR25" s="215"/>
      <c r="AS25" s="868">
        <f>AQ25/AQ$25</f>
        <v>1</v>
      </c>
      <c r="AT25" s="223"/>
    </row>
    <row r="26" spans="1:47" x14ac:dyDescent="0.3">
      <c r="A26" s="214" t="s">
        <v>527</v>
      </c>
      <c r="B26" s="875">
        <v>476900</v>
      </c>
      <c r="C26" s="215"/>
      <c r="D26" s="464">
        <f>B26/B$25</f>
        <v>0.69276583381754797</v>
      </c>
      <c r="E26" s="215"/>
      <c r="F26" s="875">
        <v>350900</v>
      </c>
      <c r="G26" s="215"/>
      <c r="H26" s="464">
        <f t="shared" ref="H26:H28" si="0">F26/F$25</f>
        <v>0.79317359855334535</v>
      </c>
      <c r="I26" s="215"/>
      <c r="J26" s="2211">
        <v>589700</v>
      </c>
      <c r="K26" s="215"/>
      <c r="L26" s="464">
        <f t="shared" ref="L26:L28" si="1">J26/J$25</f>
        <v>1.1528836754643206</v>
      </c>
      <c r="M26" s="215"/>
      <c r="N26" s="2211">
        <v>731900</v>
      </c>
      <c r="O26" s="215"/>
      <c r="P26" s="464">
        <f t="shared" ref="P26:P28" si="2">N26/N$25</f>
        <v>1.1518728360088133</v>
      </c>
      <c r="Q26" s="215"/>
      <c r="R26" s="2211">
        <v>432228</v>
      </c>
      <c r="S26" s="215"/>
      <c r="T26" s="464">
        <f t="shared" ref="T26:T28" si="3">R26/R$25</f>
        <v>0.98789326324210047</v>
      </c>
      <c r="U26" s="347"/>
      <c r="V26" s="2704"/>
      <c r="W26" s="2211">
        <v>109419</v>
      </c>
      <c r="X26" s="215"/>
      <c r="Y26" s="464">
        <f>W26/W$25</f>
        <v>0.74522397106799154</v>
      </c>
      <c r="Z26" s="215"/>
      <c r="AA26" s="2211">
        <v>170492</v>
      </c>
      <c r="AB26" s="215"/>
      <c r="AC26" s="464">
        <f t="shared" ref="AC26:AC28" si="4">AA26/AA$25</f>
        <v>0.74345791743523326</v>
      </c>
      <c r="AD26" s="215"/>
      <c r="AE26" s="2211">
        <v>287638</v>
      </c>
      <c r="AF26" s="215"/>
      <c r="AG26" s="464">
        <f>AE26/AE$25</f>
        <v>0.77163774301634014</v>
      </c>
      <c r="AH26" s="215"/>
      <c r="AI26" s="2211">
        <v>282563</v>
      </c>
      <c r="AJ26" s="215"/>
      <c r="AK26" s="464">
        <f t="shared" ref="AK26:AK28" si="5">AI26/AI$25</f>
        <v>0.82048579351597772</v>
      </c>
      <c r="AL26" s="215"/>
      <c r="AM26" s="2211">
        <v>85670</v>
      </c>
      <c r="AN26" s="215"/>
      <c r="AO26" s="464">
        <f>AM26/AM$25</f>
        <v>1.0337005441799294</v>
      </c>
      <c r="AP26" s="215"/>
      <c r="AQ26" s="2211">
        <v>23720</v>
      </c>
      <c r="AR26" s="215"/>
      <c r="AS26" s="464">
        <f>AQ26/AQ$25</f>
        <v>1.4764098095356655</v>
      </c>
      <c r="AT26" s="223"/>
    </row>
    <row r="27" spans="1:47" x14ac:dyDescent="0.3">
      <c r="A27" s="214" t="s">
        <v>102</v>
      </c>
      <c r="B27" s="871">
        <v>130800</v>
      </c>
      <c r="C27" s="215"/>
      <c r="D27" s="868">
        <f>B27/B$25</f>
        <v>0.19000581057524696</v>
      </c>
      <c r="E27" s="215"/>
      <c r="F27" s="871">
        <v>74200</v>
      </c>
      <c r="G27" s="215"/>
      <c r="H27" s="868">
        <f t="shared" si="0"/>
        <v>0.16772151898734178</v>
      </c>
      <c r="I27" s="215"/>
      <c r="J27" s="2212">
        <v>38800</v>
      </c>
      <c r="K27" s="215"/>
      <c r="L27" s="868">
        <f t="shared" si="1"/>
        <v>7.5855327468230691E-2</v>
      </c>
      <c r="M27" s="215"/>
      <c r="N27" s="2212">
        <v>20600</v>
      </c>
      <c r="O27" s="215"/>
      <c r="P27" s="868">
        <f t="shared" si="2"/>
        <v>3.2420522505508344E-2</v>
      </c>
      <c r="Q27" s="215"/>
      <c r="R27" s="2212">
        <v>32490</v>
      </c>
      <c r="S27" s="215"/>
      <c r="T27" s="868">
        <f t="shared" si="3"/>
        <v>7.4258613793497519E-2</v>
      </c>
      <c r="U27" s="347"/>
      <c r="V27" s="2704"/>
      <c r="W27" s="2212">
        <v>48612</v>
      </c>
      <c r="X27" s="215"/>
      <c r="Y27" s="868">
        <f>W27/W$25</f>
        <v>0.33108352006102421</v>
      </c>
      <c r="Z27" s="215"/>
      <c r="AA27" s="2212">
        <v>73303</v>
      </c>
      <c r="AB27" s="215"/>
      <c r="AC27" s="868">
        <f t="shared" si="4"/>
        <v>0.3196495772338579</v>
      </c>
      <c r="AD27" s="215"/>
      <c r="AE27" s="2212">
        <v>112870</v>
      </c>
      <c r="AF27" s="215"/>
      <c r="AG27" s="868">
        <f>AE27/AE$25</f>
        <v>0.30279292740964098</v>
      </c>
      <c r="AH27" s="215"/>
      <c r="AI27" s="2212">
        <v>111177</v>
      </c>
      <c r="AJ27" s="215"/>
      <c r="AK27" s="868">
        <f t="shared" si="5"/>
        <v>0.32282764928786095</v>
      </c>
      <c r="AL27" s="215"/>
      <c r="AM27" s="2212">
        <v>27180</v>
      </c>
      <c r="AN27" s="215"/>
      <c r="AO27" s="868">
        <f>AM27/AM$25</f>
        <v>0.32795588643411322</v>
      </c>
      <c r="AP27" s="215"/>
      <c r="AQ27" s="2212">
        <v>4906</v>
      </c>
      <c r="AR27" s="215"/>
      <c r="AS27" s="868">
        <f>AQ27/AQ$25</f>
        <v>0.30536536785758744</v>
      </c>
      <c r="AT27" s="223"/>
    </row>
    <row r="28" spans="1:47" x14ac:dyDescent="0.3">
      <c r="A28" s="214" t="s">
        <v>685</v>
      </c>
      <c r="B28" s="875">
        <f>B26+B27</f>
        <v>607700</v>
      </c>
      <c r="C28" s="215"/>
      <c r="D28" s="464">
        <f>B28/B$25</f>
        <v>0.88277164439279487</v>
      </c>
      <c r="E28" s="215"/>
      <c r="F28" s="875">
        <f>F26+F27</f>
        <v>425100</v>
      </c>
      <c r="G28" s="215"/>
      <c r="H28" s="464">
        <f t="shared" si="0"/>
        <v>0.96089511754068713</v>
      </c>
      <c r="I28" s="215"/>
      <c r="J28" s="2211">
        <f>J26+J27</f>
        <v>628500</v>
      </c>
      <c r="K28" s="215"/>
      <c r="L28" s="464">
        <f t="shared" si="1"/>
        <v>1.2287390029325513</v>
      </c>
      <c r="M28" s="215"/>
      <c r="N28" s="2211">
        <f>N26+N27</f>
        <v>752500</v>
      </c>
      <c r="O28" s="215"/>
      <c r="P28" s="464">
        <f t="shared" si="2"/>
        <v>1.1842933585143216</v>
      </c>
      <c r="Q28" s="215"/>
      <c r="R28" s="2211">
        <f>R26+R27</f>
        <v>464718</v>
      </c>
      <c r="S28" s="215"/>
      <c r="T28" s="464">
        <f t="shared" si="3"/>
        <v>1.062151877035598</v>
      </c>
      <c r="U28" s="347"/>
      <c r="V28" s="2704"/>
      <c r="W28" s="2211">
        <f>W26+W27</f>
        <v>158031</v>
      </c>
      <c r="X28" s="215"/>
      <c r="Y28" s="464">
        <f>W28/W$25</f>
        <v>1.0763074911290158</v>
      </c>
      <c r="Z28" s="215"/>
      <c r="AA28" s="2211">
        <f>AA26+AA27</f>
        <v>243795</v>
      </c>
      <c r="AB28" s="215"/>
      <c r="AC28" s="464">
        <f t="shared" si="4"/>
        <v>1.0631074946690913</v>
      </c>
      <c r="AD28" s="215"/>
      <c r="AE28" s="2211">
        <f>AE26+AE27</f>
        <v>400508</v>
      </c>
      <c r="AF28" s="215"/>
      <c r="AG28" s="464">
        <f>AE28/AE$25</f>
        <v>1.0744306704259812</v>
      </c>
      <c r="AH28" s="215"/>
      <c r="AI28" s="2211">
        <f>AI26+AI27</f>
        <v>393740</v>
      </c>
      <c r="AJ28" s="215"/>
      <c r="AK28" s="464">
        <f t="shared" si="5"/>
        <v>1.1433134428038387</v>
      </c>
      <c r="AL28" s="215"/>
      <c r="AM28" s="2211">
        <f>AM26+AM27</f>
        <v>112850</v>
      </c>
      <c r="AN28" s="215"/>
      <c r="AO28" s="464">
        <f>AM28/AM$25</f>
        <v>1.3616564306140424</v>
      </c>
      <c r="AP28" s="215"/>
      <c r="AQ28" s="2211">
        <f>AQ26+AQ27</f>
        <v>28626</v>
      </c>
      <c r="AR28" s="215"/>
      <c r="AS28" s="464">
        <f>AQ28/AQ$25</f>
        <v>1.7817751773932529</v>
      </c>
      <c r="AT28" s="223"/>
    </row>
    <row r="29" spans="1:47" ht="16.2" thickBot="1" x14ac:dyDescent="0.35">
      <c r="A29" s="214" t="s">
        <v>1523</v>
      </c>
      <c r="B29" s="873">
        <f>B25-B28</f>
        <v>80700</v>
      </c>
      <c r="C29" s="215"/>
      <c r="D29" s="215"/>
      <c r="E29" s="215"/>
      <c r="F29" s="873">
        <f>F25-F28</f>
        <v>17300</v>
      </c>
      <c r="G29" s="215"/>
      <c r="H29" s="215"/>
      <c r="I29" s="215"/>
      <c r="J29" s="2210">
        <f>J25-J28</f>
        <v>-117000</v>
      </c>
      <c r="K29" s="215"/>
      <c r="L29" s="215"/>
      <c r="M29" s="215"/>
      <c r="N29" s="2210">
        <f>N25-N28</f>
        <v>-117100</v>
      </c>
      <c r="O29" s="215"/>
      <c r="P29" s="215"/>
      <c r="Q29" s="215"/>
      <c r="R29" s="2210">
        <f>R25-R28</f>
        <v>-27193</v>
      </c>
      <c r="S29" s="215"/>
      <c r="T29" s="215"/>
      <c r="U29" s="260"/>
      <c r="V29" s="2704"/>
      <c r="W29" s="2210">
        <f>W25-W28</f>
        <v>-11204</v>
      </c>
      <c r="X29" s="215"/>
      <c r="Y29" s="215"/>
      <c r="Z29" s="215"/>
      <c r="AA29" s="2210">
        <f>AA25-AA28</f>
        <v>-14472</v>
      </c>
      <c r="AB29" s="215"/>
      <c r="AC29" s="215"/>
      <c r="AD29" s="215"/>
      <c r="AE29" s="2210">
        <f>AE25-AE28</f>
        <v>-27745</v>
      </c>
      <c r="AF29" s="215"/>
      <c r="AG29" s="215"/>
      <c r="AH29" s="215"/>
      <c r="AI29" s="2210">
        <f>AI25-AI28</f>
        <v>-49355</v>
      </c>
      <c r="AJ29" s="215"/>
      <c r="AK29" s="215"/>
      <c r="AL29" s="215"/>
      <c r="AM29" s="2210">
        <f>AM25-AM28</f>
        <v>-29973</v>
      </c>
      <c r="AN29" s="215"/>
      <c r="AO29" s="215"/>
      <c r="AP29" s="215"/>
      <c r="AQ29" s="2210">
        <f>AQ25-AQ28</f>
        <v>-12560</v>
      </c>
      <c r="AR29" s="215"/>
      <c r="AS29" s="215"/>
      <c r="AT29" s="223"/>
      <c r="AU29" s="226"/>
    </row>
    <row r="30" spans="1:47" ht="9" customHeight="1" thickTop="1" x14ac:dyDescent="0.3">
      <c r="A30" s="214"/>
      <c r="B30" s="875"/>
      <c r="C30" s="215"/>
      <c r="D30" s="215"/>
      <c r="E30" s="215"/>
      <c r="F30" s="875"/>
      <c r="G30" s="215"/>
      <c r="H30" s="215"/>
      <c r="I30" s="215"/>
      <c r="J30" s="877"/>
      <c r="K30" s="215"/>
      <c r="L30" s="215"/>
      <c r="M30" s="215"/>
      <c r="N30" s="877"/>
      <c r="O30" s="215"/>
      <c r="P30" s="215"/>
      <c r="Q30" s="215"/>
      <c r="R30" s="877"/>
      <c r="S30" s="215"/>
      <c r="T30" s="215"/>
      <c r="U30" s="260"/>
      <c r="V30" s="2704"/>
      <c r="W30" s="877"/>
      <c r="X30" s="215"/>
      <c r="Y30" s="215"/>
      <c r="Z30" s="215"/>
      <c r="AA30" s="877"/>
      <c r="AB30" s="215"/>
      <c r="AC30" s="215"/>
      <c r="AD30" s="215"/>
      <c r="AE30" s="877"/>
      <c r="AF30" s="215"/>
      <c r="AG30" s="215"/>
      <c r="AH30" s="215"/>
      <c r="AI30" s="877"/>
      <c r="AJ30" s="215"/>
      <c r="AK30" s="215"/>
      <c r="AL30" s="215"/>
      <c r="AM30" s="877"/>
      <c r="AN30" s="215"/>
      <c r="AO30" s="215"/>
      <c r="AP30" s="215"/>
      <c r="AQ30" s="877"/>
      <c r="AR30" s="215"/>
      <c r="AS30" s="215"/>
      <c r="AT30" s="223"/>
    </row>
    <row r="31" spans="1:47" s="320" customFormat="1" ht="31.2" x14ac:dyDescent="0.3">
      <c r="A31" s="940" t="s">
        <v>687</v>
      </c>
      <c r="B31" s="947">
        <v>37000</v>
      </c>
      <c r="C31" s="428"/>
      <c r="D31" s="942">
        <f>1.024-D28</f>
        <v>0.14122835560720515</v>
      </c>
      <c r="E31" s="943"/>
      <c r="F31" s="947">
        <v>0</v>
      </c>
      <c r="G31" s="428"/>
      <c r="H31" s="942">
        <f>F31/F$25</f>
        <v>0</v>
      </c>
      <c r="I31" s="943"/>
      <c r="J31" s="947">
        <v>0</v>
      </c>
      <c r="K31" s="428"/>
      <c r="L31" s="942">
        <f>J31/J$25</f>
        <v>0</v>
      </c>
      <c r="M31" s="943"/>
      <c r="N31" s="947">
        <v>-30000</v>
      </c>
      <c r="O31" s="428"/>
      <c r="P31" s="942">
        <f>N31/N$25</f>
        <v>-4.7214353163361665E-2</v>
      </c>
      <c r="Q31" s="943"/>
      <c r="R31" s="947">
        <v>0</v>
      </c>
      <c r="S31" s="428"/>
      <c r="T31" s="942">
        <f>R31/R$25</f>
        <v>0</v>
      </c>
      <c r="U31" s="944"/>
      <c r="V31" s="2702"/>
      <c r="W31" s="947">
        <v>188</v>
      </c>
      <c r="X31" s="428"/>
      <c r="Y31" s="942">
        <f>W31/W$25</f>
        <v>1.2804184516471767E-3</v>
      </c>
      <c r="Z31" s="943"/>
      <c r="AA31" s="947">
        <f>D31/D$25</f>
        <v>0.14122835560720515</v>
      </c>
      <c r="AB31" s="428"/>
      <c r="AC31" s="942">
        <f>AA31/AA$25</f>
        <v>6.1584906706787E-7</v>
      </c>
      <c r="AD31" s="943"/>
      <c r="AE31" s="947">
        <v>4487</v>
      </c>
      <c r="AF31" s="428"/>
      <c r="AG31" s="942">
        <f>AE31/AE$25</f>
        <v>1.2037138879126953E-2</v>
      </c>
      <c r="AH31" s="943"/>
      <c r="AI31" s="947">
        <v>21009</v>
      </c>
      <c r="AJ31" s="428"/>
      <c r="AK31" s="942">
        <f>AI31/AI$25</f>
        <v>6.1004399146304282E-2</v>
      </c>
      <c r="AL31" s="943"/>
      <c r="AM31" s="947">
        <v>19442</v>
      </c>
      <c r="AN31" s="428"/>
      <c r="AO31" s="942">
        <f>AM31/AM$25</f>
        <v>0.23458860721309893</v>
      </c>
      <c r="AP31" s="943"/>
      <c r="AQ31" s="947">
        <v>9665</v>
      </c>
      <c r="AR31" s="428"/>
      <c r="AS31" s="942">
        <f>AQ31/AQ$25</f>
        <v>0.60158097846383662</v>
      </c>
      <c r="AT31" s="222"/>
    </row>
    <row r="32" spans="1:47" ht="9" customHeight="1" x14ac:dyDescent="0.3">
      <c r="A32" s="214" t="s">
        <v>176</v>
      </c>
      <c r="B32" s="875"/>
      <c r="C32" s="215"/>
      <c r="D32" s="464"/>
      <c r="E32" s="464"/>
      <c r="F32" s="875"/>
      <c r="G32" s="215"/>
      <c r="H32" s="464"/>
      <c r="I32" s="464"/>
      <c r="J32" s="875"/>
      <c r="K32" s="215"/>
      <c r="L32" s="464"/>
      <c r="M32" s="464"/>
      <c r="N32" s="875"/>
      <c r="O32" s="215"/>
      <c r="P32" s="464"/>
      <c r="Q32" s="464"/>
      <c r="R32" s="875"/>
      <c r="S32" s="215"/>
      <c r="T32" s="464"/>
      <c r="U32" s="347"/>
      <c r="V32" s="364"/>
      <c r="W32" s="875"/>
      <c r="X32" s="215"/>
      <c r="Y32" s="464"/>
      <c r="Z32" s="464"/>
      <c r="AA32" s="875"/>
      <c r="AB32" s="215"/>
      <c r="AC32" s="464"/>
      <c r="AD32" s="464"/>
      <c r="AE32" s="875"/>
      <c r="AF32" s="215"/>
      <c r="AG32" s="464"/>
      <c r="AH32" s="464"/>
      <c r="AI32" s="875"/>
      <c r="AJ32" s="215"/>
      <c r="AK32" s="464"/>
      <c r="AL32" s="464"/>
      <c r="AM32" s="875"/>
      <c r="AN32" s="215"/>
      <c r="AO32" s="464"/>
      <c r="AP32" s="464"/>
      <c r="AQ32" s="875"/>
      <c r="AR32" s="215"/>
      <c r="AS32" s="464"/>
      <c r="AT32" s="223"/>
    </row>
    <row r="33" spans="1:46" x14ac:dyDescent="0.3">
      <c r="A33" s="214" t="s">
        <v>1521</v>
      </c>
      <c r="B33" s="827"/>
      <c r="C33" s="397"/>
      <c r="D33" s="464">
        <f>(B26/B25)+(B27/B24)</f>
        <v>0.88238601357979785</v>
      </c>
      <c r="E33" s="215"/>
      <c r="F33" s="464"/>
      <c r="G33" s="464"/>
      <c r="H33" s="464">
        <f>(F26/F25)+(F27/F24)</f>
        <v>0.93351783914347208</v>
      </c>
      <c r="I33" s="215"/>
      <c r="J33" s="464"/>
      <c r="K33" s="464"/>
      <c r="L33" s="464">
        <f>(J26/J25)+(J27/J24)</f>
        <v>1.2167835437120149</v>
      </c>
      <c r="M33" s="215"/>
      <c r="N33" s="464"/>
      <c r="O33" s="464"/>
      <c r="P33" s="464">
        <f>(N26/N25)+(N27/N24)</f>
        <v>1.1827573937299527</v>
      </c>
      <c r="Q33" s="215"/>
      <c r="R33" s="464"/>
      <c r="S33" s="464"/>
      <c r="T33" s="464">
        <f>(R26/R25)+(R27/R24)</f>
        <v>1.0625477364214069</v>
      </c>
      <c r="U33" s="347"/>
      <c r="V33" s="364"/>
      <c r="W33" s="397"/>
      <c r="X33" s="397"/>
      <c r="Y33" s="827">
        <f>(W26/W25)+(W27/W24)</f>
        <v>1.4822831335145452</v>
      </c>
      <c r="Z33" s="813"/>
      <c r="AA33" s="827"/>
      <c r="AB33" s="827"/>
      <c r="AC33" s="827">
        <f>(AA26/AA25)+(AA27/AA24)</f>
        <v>1.1040803469371716</v>
      </c>
      <c r="AD33" s="813"/>
      <c r="AE33" s="827"/>
      <c r="AF33" s="464"/>
      <c r="AG33" s="464">
        <f>(AE26/AE25)+(AE27/AE24)</f>
        <v>1.1157420565911897</v>
      </c>
      <c r="AH33" s="215"/>
      <c r="AI33" s="464"/>
      <c r="AJ33" s="464"/>
      <c r="AK33" s="464">
        <f>(AI26/AI25)+(AI27/AI24)</f>
        <v>1.0995123115384953</v>
      </c>
      <c r="AL33" s="215"/>
      <c r="AM33" s="464"/>
      <c r="AN33" s="464"/>
      <c r="AO33" s="464">
        <f>(AM26/AM25)+(AM27/AM24)</f>
        <v>1.1859677456678679</v>
      </c>
      <c r="AP33" s="215"/>
      <c r="AQ33" s="464"/>
      <c r="AR33" s="464"/>
      <c r="AS33" s="464">
        <f>(AQ26/AQ25)+(AQ27/AQ24)</f>
        <v>1.9417863984182304</v>
      </c>
      <c r="AT33" s="223"/>
    </row>
    <row r="34" spans="1:46" ht="8.25" customHeight="1" x14ac:dyDescent="0.3">
      <c r="A34" s="214"/>
      <c r="B34" s="220"/>
      <c r="C34" s="220"/>
      <c r="D34" s="220"/>
      <c r="E34" s="220"/>
      <c r="F34" s="220"/>
      <c r="G34" s="220"/>
      <c r="H34" s="220"/>
      <c r="I34" s="220"/>
      <c r="J34" s="220"/>
      <c r="K34" s="220"/>
      <c r="L34" s="220"/>
      <c r="M34" s="220"/>
      <c r="N34" s="220"/>
      <c r="O34" s="220"/>
      <c r="P34" s="220"/>
      <c r="Q34" s="220"/>
      <c r="R34" s="220"/>
      <c r="S34" s="220"/>
      <c r="T34" s="220"/>
      <c r="U34" s="223"/>
      <c r="V34" s="214"/>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3"/>
    </row>
    <row r="35" spans="1:46" ht="4.5" customHeight="1" x14ac:dyDescent="0.3">
      <c r="A35" s="214"/>
      <c r="B35" s="827"/>
      <c r="C35" s="397"/>
      <c r="D35" s="464"/>
      <c r="E35" s="215"/>
      <c r="F35" s="464"/>
      <c r="G35" s="464"/>
      <c r="H35" s="464"/>
      <c r="I35" s="215"/>
      <c r="J35" s="464"/>
      <c r="K35" s="464"/>
      <c r="L35" s="464"/>
      <c r="M35" s="215"/>
      <c r="N35" s="464"/>
      <c r="O35" s="464"/>
      <c r="P35" s="464"/>
      <c r="Q35" s="215"/>
      <c r="R35" s="464"/>
      <c r="S35" s="464"/>
      <c r="T35" s="464"/>
      <c r="U35" s="347"/>
      <c r="V35" s="364"/>
      <c r="W35" s="397"/>
      <c r="X35" s="397"/>
      <c r="Y35" s="827"/>
      <c r="Z35" s="813"/>
      <c r="AA35" s="827"/>
      <c r="AB35" s="827"/>
      <c r="AC35" s="827"/>
      <c r="AD35" s="813"/>
      <c r="AE35" s="827"/>
      <c r="AF35" s="464"/>
      <c r="AG35" s="464"/>
      <c r="AH35" s="215"/>
      <c r="AI35" s="464"/>
      <c r="AJ35" s="464"/>
      <c r="AK35" s="464"/>
      <c r="AL35" s="215"/>
      <c r="AM35" s="464"/>
      <c r="AN35" s="464"/>
      <c r="AO35" s="464"/>
      <c r="AP35" s="215"/>
      <c r="AQ35" s="464"/>
      <c r="AR35" s="464"/>
      <c r="AS35" s="464"/>
      <c r="AT35" s="223"/>
    </row>
    <row r="36" spans="1:46" s="597" customFormat="1" ht="4.5" customHeight="1" x14ac:dyDescent="0.3">
      <c r="A36" s="1155"/>
      <c r="B36" s="728"/>
      <c r="C36" s="684"/>
      <c r="D36" s="728"/>
      <c r="E36" s="686"/>
      <c r="F36" s="728"/>
      <c r="G36" s="728"/>
      <c r="H36" s="728"/>
      <c r="I36" s="686"/>
      <c r="J36" s="728"/>
      <c r="K36" s="728"/>
      <c r="L36" s="728"/>
      <c r="M36" s="686"/>
      <c r="N36" s="728"/>
      <c r="O36" s="728"/>
      <c r="P36" s="728"/>
      <c r="Q36" s="686"/>
      <c r="R36" s="728"/>
      <c r="S36" s="728"/>
      <c r="T36" s="728"/>
      <c r="U36" s="1518"/>
      <c r="V36" s="2703"/>
      <c r="W36" s="684"/>
      <c r="X36" s="684"/>
      <c r="Y36" s="728"/>
      <c r="Z36" s="686"/>
      <c r="AA36" s="728"/>
      <c r="AB36" s="728"/>
      <c r="AC36" s="728"/>
      <c r="AD36" s="686"/>
      <c r="AE36" s="728"/>
      <c r="AF36" s="728"/>
      <c r="AG36" s="728"/>
      <c r="AH36" s="686"/>
      <c r="AI36" s="728"/>
      <c r="AJ36" s="728"/>
      <c r="AK36" s="728"/>
      <c r="AL36" s="686"/>
      <c r="AM36" s="728"/>
      <c r="AN36" s="728"/>
      <c r="AO36" s="728"/>
      <c r="AP36" s="686"/>
      <c r="AQ36" s="728"/>
      <c r="AR36" s="728"/>
      <c r="AS36" s="728"/>
      <c r="AT36" s="1279"/>
    </row>
    <row r="37" spans="1:46" ht="4.5" customHeight="1" x14ac:dyDescent="0.3">
      <c r="A37" s="214"/>
      <c r="B37" s="220"/>
      <c r="C37" s="220"/>
      <c r="D37" s="220"/>
      <c r="E37" s="220"/>
      <c r="F37" s="220"/>
      <c r="G37" s="220"/>
      <c r="H37" s="220"/>
      <c r="I37" s="220"/>
      <c r="J37" s="220"/>
      <c r="K37" s="220"/>
      <c r="L37" s="220"/>
      <c r="M37" s="220"/>
      <c r="N37" s="220"/>
      <c r="O37" s="220"/>
      <c r="P37" s="220"/>
      <c r="Q37" s="220"/>
      <c r="R37" s="220"/>
      <c r="S37" s="220"/>
      <c r="T37" s="220"/>
      <c r="U37" s="223"/>
      <c r="V37" s="214"/>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3"/>
    </row>
    <row r="38" spans="1:46" outlineLevel="1" x14ac:dyDescent="0.3">
      <c r="A38" s="213" t="s">
        <v>1388</v>
      </c>
      <c r="B38" s="220"/>
      <c r="C38" s="220"/>
      <c r="D38" s="220"/>
      <c r="E38" s="220"/>
      <c r="F38" s="220"/>
      <c r="G38" s="220"/>
      <c r="H38" s="220"/>
      <c r="I38" s="220"/>
      <c r="J38" s="220"/>
      <c r="K38" s="220"/>
      <c r="L38" s="220"/>
      <c r="M38" s="220"/>
      <c r="N38" s="220"/>
      <c r="O38" s="220"/>
      <c r="P38" s="220"/>
      <c r="Q38" s="220"/>
      <c r="R38" s="220"/>
      <c r="S38" s="220"/>
      <c r="T38" s="220"/>
      <c r="U38" s="223"/>
      <c r="V38" s="214"/>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3"/>
    </row>
    <row r="39" spans="1:46" ht="15.75" customHeight="1" outlineLevel="1" x14ac:dyDescent="0.3">
      <c r="A39" s="214" t="s">
        <v>1523</v>
      </c>
      <c r="B39" s="2294" t="s">
        <v>693</v>
      </c>
      <c r="C39" s="2295"/>
      <c r="D39" s="2697"/>
      <c r="E39" s="2697"/>
      <c r="F39" s="2294" t="s">
        <v>693</v>
      </c>
      <c r="G39" s="2295"/>
      <c r="H39" s="2697"/>
      <c r="I39" s="2697"/>
      <c r="J39" s="2294" t="s">
        <v>693</v>
      </c>
      <c r="K39" s="2295"/>
      <c r="L39" s="2697"/>
      <c r="M39" s="2697"/>
      <c r="N39" s="2294" t="s">
        <v>693</v>
      </c>
      <c r="O39" s="2295"/>
      <c r="P39" s="2697"/>
      <c r="Q39" s="2697"/>
      <c r="R39" s="2294" t="s">
        <v>693</v>
      </c>
      <c r="S39" s="891"/>
      <c r="T39" s="892"/>
      <c r="U39" s="2226"/>
      <c r="V39" s="2698"/>
      <c r="W39" s="875">
        <v>-17439</v>
      </c>
      <c r="X39" s="891"/>
      <c r="Y39" s="892"/>
      <c r="Z39" s="892"/>
      <c r="AA39" s="875">
        <v>-14075</v>
      </c>
      <c r="AB39" s="891"/>
      <c r="AC39" s="892"/>
      <c r="AD39" s="892"/>
      <c r="AE39" s="877">
        <v>-24969</v>
      </c>
      <c r="AF39" s="891"/>
      <c r="AG39" s="892"/>
      <c r="AH39" s="892"/>
      <c r="AI39" s="877">
        <v>-10027</v>
      </c>
      <c r="AJ39" s="891"/>
      <c r="AK39" s="892"/>
      <c r="AL39" s="892"/>
      <c r="AM39" s="875">
        <v>-6110</v>
      </c>
      <c r="AN39" s="215"/>
      <c r="AO39" s="220"/>
      <c r="AP39" s="892"/>
      <c r="AQ39" s="875">
        <f>-48060-AQ15-AQ29</f>
        <v>-2647</v>
      </c>
      <c r="AR39" s="215"/>
      <c r="AS39" s="220"/>
      <c r="AT39" s="223"/>
    </row>
    <row r="40" spans="1:46" ht="4.5" customHeight="1" outlineLevel="1" x14ac:dyDescent="0.3">
      <c r="A40" s="214"/>
      <c r="B40" s="827"/>
      <c r="C40" s="397"/>
      <c r="D40" s="464"/>
      <c r="E40" s="215"/>
      <c r="F40" s="464"/>
      <c r="G40" s="464"/>
      <c r="H40" s="464"/>
      <c r="I40" s="215"/>
      <c r="J40" s="464"/>
      <c r="K40" s="464"/>
      <c r="L40" s="464"/>
      <c r="M40" s="215"/>
      <c r="N40" s="464"/>
      <c r="O40" s="464"/>
      <c r="P40" s="464"/>
      <c r="Q40" s="215"/>
      <c r="R40" s="464"/>
      <c r="S40" s="464"/>
      <c r="T40" s="464"/>
      <c r="U40" s="347"/>
      <c r="V40" s="364"/>
      <c r="W40" s="397"/>
      <c r="X40" s="397"/>
      <c r="Y40" s="827"/>
      <c r="Z40" s="813"/>
      <c r="AA40" s="827"/>
      <c r="AB40" s="827"/>
      <c r="AC40" s="827"/>
      <c r="AD40" s="813"/>
      <c r="AE40" s="827"/>
      <c r="AF40" s="464"/>
      <c r="AG40" s="464"/>
      <c r="AH40" s="215"/>
      <c r="AI40" s="464"/>
      <c r="AJ40" s="464"/>
      <c r="AK40" s="464"/>
      <c r="AL40" s="215"/>
      <c r="AM40" s="464"/>
      <c r="AN40" s="464"/>
      <c r="AO40" s="464"/>
      <c r="AP40" s="215"/>
      <c r="AQ40" s="464"/>
      <c r="AR40" s="464"/>
      <c r="AS40" s="464"/>
      <c r="AT40" s="223"/>
    </row>
    <row r="41" spans="1:46" s="597" customFormat="1" ht="4.5" customHeight="1" outlineLevel="1" x14ac:dyDescent="0.3">
      <c r="A41" s="1155"/>
      <c r="B41" s="728"/>
      <c r="C41" s="684"/>
      <c r="D41" s="728"/>
      <c r="E41" s="686"/>
      <c r="F41" s="728"/>
      <c r="G41" s="728"/>
      <c r="H41" s="728"/>
      <c r="I41" s="686"/>
      <c r="J41" s="728"/>
      <c r="K41" s="728"/>
      <c r="L41" s="728"/>
      <c r="M41" s="686"/>
      <c r="N41" s="728"/>
      <c r="O41" s="728"/>
      <c r="P41" s="728"/>
      <c r="Q41" s="686"/>
      <c r="R41" s="728"/>
      <c r="S41" s="728"/>
      <c r="T41" s="728"/>
      <c r="U41" s="1518"/>
      <c r="V41" s="2703"/>
      <c r="W41" s="684"/>
      <c r="X41" s="684"/>
      <c r="Y41" s="728"/>
      <c r="Z41" s="686"/>
      <c r="AA41" s="728"/>
      <c r="AB41" s="728"/>
      <c r="AC41" s="728"/>
      <c r="AD41" s="686"/>
      <c r="AE41" s="728"/>
      <c r="AF41" s="728"/>
      <c r="AG41" s="728"/>
      <c r="AH41" s="686"/>
      <c r="AI41" s="728"/>
      <c r="AJ41" s="728"/>
      <c r="AK41" s="728"/>
      <c r="AL41" s="686"/>
      <c r="AM41" s="728"/>
      <c r="AN41" s="728"/>
      <c r="AO41" s="728"/>
      <c r="AP41" s="686"/>
      <c r="AQ41" s="728"/>
      <c r="AR41" s="728"/>
      <c r="AS41" s="728"/>
      <c r="AT41" s="1279"/>
    </row>
    <row r="42" spans="1:46" ht="4.5" customHeight="1" outlineLevel="1" x14ac:dyDescent="0.3">
      <c r="A42" s="214"/>
      <c r="B42" s="220"/>
      <c r="C42" s="220"/>
      <c r="D42" s="220"/>
      <c r="E42" s="220"/>
      <c r="F42" s="220"/>
      <c r="G42" s="220"/>
      <c r="H42" s="220"/>
      <c r="I42" s="220"/>
      <c r="J42" s="220"/>
      <c r="K42" s="220"/>
      <c r="L42" s="220"/>
      <c r="M42" s="220"/>
      <c r="N42" s="220"/>
      <c r="O42" s="220"/>
      <c r="P42" s="220"/>
      <c r="Q42" s="220"/>
      <c r="R42" s="220"/>
      <c r="S42" s="220"/>
      <c r="T42" s="220"/>
      <c r="U42" s="223"/>
      <c r="V42" s="214"/>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3"/>
    </row>
    <row r="43" spans="1:46" ht="8.25" customHeight="1" outlineLevel="1" x14ac:dyDescent="0.3">
      <c r="A43" s="214"/>
      <c r="B43" s="2294"/>
      <c r="C43" s="2295"/>
      <c r="D43" s="2697"/>
      <c r="E43" s="2697"/>
      <c r="F43" s="2294"/>
      <c r="G43" s="2295"/>
      <c r="H43" s="2697"/>
      <c r="I43" s="2697"/>
      <c r="J43" s="2294"/>
      <c r="K43" s="2295"/>
      <c r="L43" s="2697"/>
      <c r="M43" s="2697"/>
      <c r="N43" s="2294"/>
      <c r="O43" s="2295"/>
      <c r="P43" s="2697"/>
      <c r="Q43" s="2697"/>
      <c r="R43" s="2294"/>
      <c r="S43" s="891"/>
      <c r="T43" s="892"/>
      <c r="U43" s="2226"/>
      <c r="V43" s="2698"/>
      <c r="W43" s="875"/>
      <c r="X43" s="891"/>
      <c r="Y43" s="892"/>
      <c r="Z43" s="892"/>
      <c r="AA43" s="875"/>
      <c r="AB43" s="891"/>
      <c r="AC43" s="892"/>
      <c r="AD43" s="892"/>
      <c r="AE43" s="877"/>
      <c r="AF43" s="891"/>
      <c r="AG43" s="892"/>
      <c r="AH43" s="892"/>
      <c r="AI43" s="877"/>
      <c r="AJ43" s="891"/>
      <c r="AK43" s="892"/>
      <c r="AL43" s="892"/>
      <c r="AM43" s="875"/>
      <c r="AN43" s="215"/>
      <c r="AO43" s="220"/>
      <c r="AP43" s="892"/>
      <c r="AQ43" s="875"/>
      <c r="AR43" s="215"/>
      <c r="AS43" s="220"/>
      <c r="AT43" s="223"/>
    </row>
    <row r="44" spans="1:46" ht="16.2" thickBot="1" x14ac:dyDescent="0.35">
      <c r="A44" s="213" t="s">
        <v>1524</v>
      </c>
      <c r="B44" s="1603">
        <f>B15+B29</f>
        <v>129000</v>
      </c>
      <c r="C44" s="888"/>
      <c r="D44" s="889"/>
      <c r="E44" s="889"/>
      <c r="F44" s="1603">
        <f>F15+F29</f>
        <v>30000</v>
      </c>
      <c r="G44" s="888"/>
      <c r="H44" s="889"/>
      <c r="I44" s="889"/>
      <c r="J44" s="880">
        <f>J15+J29</f>
        <v>-109000</v>
      </c>
      <c r="K44" s="888"/>
      <c r="L44" s="889"/>
      <c r="M44" s="889"/>
      <c r="N44" s="880">
        <f>N15+N29</f>
        <v>-119600</v>
      </c>
      <c r="O44" s="888"/>
      <c r="P44" s="889"/>
      <c r="Q44" s="889"/>
      <c r="R44" s="880">
        <f>R15+R29</f>
        <v>-26678</v>
      </c>
      <c r="S44" s="888"/>
      <c r="T44" s="889"/>
      <c r="U44" s="881"/>
      <c r="V44" s="2705"/>
      <c r="W44" s="880">
        <f>W15+W29+W39</f>
        <v>-24400</v>
      </c>
      <c r="X44" s="888"/>
      <c r="Y44" s="889"/>
      <c r="Z44" s="889"/>
      <c r="AA44" s="880">
        <f>AA15+AA29+AA39</f>
        <v>-11081</v>
      </c>
      <c r="AB44" s="888"/>
      <c r="AC44" s="889"/>
      <c r="AD44" s="889"/>
      <c r="AE44" s="880">
        <f>AE15+AE29+AE39</f>
        <v>-55429</v>
      </c>
      <c r="AF44" s="888"/>
      <c r="AG44" s="889"/>
      <c r="AH44" s="889"/>
      <c r="AI44" s="880">
        <f>AI15+AI29+AI39</f>
        <v>-55844</v>
      </c>
      <c r="AJ44" s="888"/>
      <c r="AK44" s="889"/>
      <c r="AL44" s="889"/>
      <c r="AM44" s="880">
        <f>AM15+AM29+AM39</f>
        <v>-44230</v>
      </c>
      <c r="AN44" s="398"/>
      <c r="AO44" s="215"/>
      <c r="AP44" s="889"/>
      <c r="AQ44" s="880">
        <f>AQ15+AQ29+AQ39</f>
        <v>-48060</v>
      </c>
      <c r="AR44" s="398"/>
      <c r="AS44" s="215"/>
      <c r="AT44" s="223"/>
    </row>
    <row r="45" spans="1:46" ht="9" customHeight="1" thickTop="1" x14ac:dyDescent="0.3">
      <c r="A45" s="213"/>
      <c r="B45" s="894"/>
      <c r="C45" s="888"/>
      <c r="D45" s="889"/>
      <c r="E45" s="889"/>
      <c r="F45" s="894"/>
      <c r="G45" s="888"/>
      <c r="H45" s="889"/>
      <c r="I45" s="889"/>
      <c r="J45" s="895"/>
      <c r="K45" s="888"/>
      <c r="L45" s="889"/>
      <c r="M45" s="889"/>
      <c r="N45" s="895"/>
      <c r="O45" s="888"/>
      <c r="P45" s="889"/>
      <c r="Q45" s="889"/>
      <c r="R45" s="895"/>
      <c r="S45" s="888"/>
      <c r="T45" s="889"/>
      <c r="U45" s="881"/>
      <c r="V45" s="2705"/>
      <c r="W45" s="895"/>
      <c r="X45" s="888"/>
      <c r="Y45" s="889"/>
      <c r="Z45" s="889"/>
      <c r="AA45" s="895"/>
      <c r="AB45" s="888"/>
      <c r="AC45" s="889"/>
      <c r="AD45" s="889"/>
      <c r="AE45" s="895"/>
      <c r="AF45" s="888"/>
      <c r="AG45" s="889"/>
      <c r="AH45" s="889"/>
      <c r="AI45" s="895"/>
      <c r="AJ45" s="888"/>
      <c r="AK45" s="889"/>
      <c r="AL45" s="889"/>
      <c r="AM45" s="895"/>
      <c r="AN45" s="398"/>
      <c r="AO45" s="215"/>
      <c r="AP45" s="889"/>
      <c r="AQ45" s="895"/>
      <c r="AR45" s="398"/>
      <c r="AS45" s="215"/>
      <c r="AT45" s="223"/>
    </row>
    <row r="46" spans="1:46" x14ac:dyDescent="0.3">
      <c r="A46" s="214" t="s">
        <v>1859</v>
      </c>
      <c r="B46" s="397"/>
      <c r="C46" s="397"/>
      <c r="D46" s="827">
        <v>0.86099999999999999</v>
      </c>
      <c r="E46" s="399"/>
      <c r="F46" s="813"/>
      <c r="G46" s="813"/>
      <c r="H46" s="827">
        <v>0.92200000000000004</v>
      </c>
      <c r="I46" s="399"/>
      <c r="J46" s="813"/>
      <c r="K46" s="813"/>
      <c r="L46" s="827">
        <v>1.151</v>
      </c>
      <c r="M46" s="399"/>
      <c r="N46" s="813"/>
      <c r="O46" s="813"/>
      <c r="P46" s="827">
        <v>1.151</v>
      </c>
      <c r="Q46" s="827"/>
      <c r="R46" s="827"/>
      <c r="S46" s="827"/>
      <c r="T46" s="827">
        <v>1.0489999999999999</v>
      </c>
      <c r="U46" s="890"/>
      <c r="V46" s="2706"/>
      <c r="W46" s="813"/>
      <c r="X46" s="813"/>
      <c r="Y46" s="827">
        <v>1.1539999999999999</v>
      </c>
      <c r="Z46" s="827"/>
      <c r="AA46" s="827"/>
      <c r="AB46" s="827"/>
      <c r="AC46" s="827">
        <v>1.0740000000000001</v>
      </c>
      <c r="AD46" s="827"/>
      <c r="AE46" s="827"/>
      <c r="AF46" s="827"/>
      <c r="AG46" s="827">
        <v>1.093</v>
      </c>
      <c r="AH46" s="827"/>
      <c r="AI46" s="827"/>
      <c r="AJ46" s="827"/>
      <c r="AK46" s="827">
        <v>1.018</v>
      </c>
      <c r="AL46" s="399"/>
      <c r="AM46" s="813"/>
      <c r="AN46" s="813"/>
      <c r="AO46" s="827">
        <f>(280249/317059)+(81040/497400)</f>
        <v>1.046828955929584</v>
      </c>
      <c r="AP46" s="398"/>
      <c r="AQ46" s="215"/>
      <c r="AR46" s="215"/>
      <c r="AS46" s="464">
        <f>(141550/140242)+(46752/133558)</f>
        <v>1.3593769006860241</v>
      </c>
      <c r="AT46" s="223"/>
    </row>
    <row r="47" spans="1:46" ht="9" customHeight="1" outlineLevel="1" x14ac:dyDescent="0.3">
      <c r="A47" s="213"/>
      <c r="B47" s="888"/>
      <c r="C47" s="888"/>
      <c r="D47" s="889"/>
      <c r="E47" s="889"/>
      <c r="F47" s="888"/>
      <c r="G47" s="888"/>
      <c r="H47" s="889"/>
      <c r="I47" s="889"/>
      <c r="J47" s="888"/>
      <c r="K47" s="888"/>
      <c r="L47" s="889"/>
      <c r="M47" s="889"/>
      <c r="N47" s="888"/>
      <c r="O47" s="888"/>
      <c r="P47" s="889"/>
      <c r="Q47" s="889"/>
      <c r="R47" s="888"/>
      <c r="S47" s="888"/>
      <c r="T47" s="889"/>
      <c r="U47" s="881"/>
      <c r="V47" s="2705"/>
      <c r="W47" s="888"/>
      <c r="X47" s="888"/>
      <c r="Y47" s="889"/>
      <c r="Z47" s="889"/>
      <c r="AA47" s="888"/>
      <c r="AB47" s="888"/>
      <c r="AC47" s="889"/>
      <c r="AD47" s="889"/>
      <c r="AE47" s="888"/>
      <c r="AF47" s="888"/>
      <c r="AG47" s="889"/>
      <c r="AH47" s="889"/>
      <c r="AI47" s="888"/>
      <c r="AJ47" s="888"/>
      <c r="AK47" s="889"/>
      <c r="AL47" s="889"/>
      <c r="AM47" s="888"/>
      <c r="AN47" s="398"/>
      <c r="AO47" s="215"/>
      <c r="AP47" s="889"/>
      <c r="AQ47" s="888"/>
      <c r="AR47" s="398"/>
      <c r="AS47" s="215"/>
      <c r="AT47" s="223"/>
    </row>
    <row r="48" spans="1:46" outlineLevel="1" x14ac:dyDescent="0.3">
      <c r="A48" s="6" t="s">
        <v>998</v>
      </c>
      <c r="B48" s="888"/>
      <c r="C48" s="398"/>
      <c r="D48" s="215"/>
      <c r="E48" s="889"/>
      <c r="F48" s="888"/>
      <c r="G48" s="398"/>
      <c r="H48" s="215"/>
      <c r="I48" s="220"/>
      <c r="J48" s="220"/>
      <c r="K48" s="220"/>
      <c r="L48" s="220"/>
      <c r="M48" s="220"/>
      <c r="N48" s="220"/>
      <c r="O48" s="220"/>
      <c r="P48" s="220"/>
      <c r="Q48" s="220"/>
      <c r="R48" s="220"/>
      <c r="S48" s="220"/>
      <c r="T48" s="220"/>
      <c r="U48" s="223"/>
      <c r="V48" s="214"/>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3"/>
    </row>
    <row r="49" spans="1:50" outlineLevel="1" x14ac:dyDescent="0.3">
      <c r="A49" s="6" t="s">
        <v>1860</v>
      </c>
      <c r="B49" s="888"/>
      <c r="C49" s="398"/>
      <c r="D49" s="215"/>
      <c r="E49" s="889"/>
      <c r="F49" s="888"/>
      <c r="G49" s="398"/>
      <c r="H49" s="215"/>
      <c r="I49" s="220"/>
      <c r="J49" s="220"/>
      <c r="K49" s="220"/>
      <c r="L49" s="220"/>
      <c r="M49" s="220"/>
      <c r="N49" s="220"/>
      <c r="O49" s="220"/>
      <c r="P49" s="220"/>
      <c r="Q49" s="220"/>
      <c r="R49" s="220"/>
      <c r="S49" s="220"/>
      <c r="T49" s="220"/>
      <c r="U49" s="223"/>
      <c r="V49" s="214"/>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3"/>
    </row>
    <row r="50" spans="1:50" ht="45" customHeight="1" outlineLevel="1" x14ac:dyDescent="0.3">
      <c r="A50" s="2799" t="s">
        <v>1861</v>
      </c>
      <c r="B50" s="2800"/>
      <c r="C50" s="2800"/>
      <c r="D50" s="2800"/>
      <c r="E50" s="2800"/>
      <c r="F50" s="2800"/>
      <c r="G50" s="2800"/>
      <c r="H50" s="2800"/>
      <c r="I50" s="2800"/>
      <c r="J50" s="2800"/>
      <c r="K50" s="2800"/>
      <c r="L50" s="2800"/>
      <c r="M50" s="2800"/>
      <c r="N50" s="2800"/>
      <c r="O50" s="2800"/>
      <c r="P50" s="2800"/>
      <c r="Q50" s="2800"/>
      <c r="R50" s="2800"/>
      <c r="S50" s="2800"/>
      <c r="T50" s="2800"/>
      <c r="U50" s="2687"/>
      <c r="V50" s="1377"/>
      <c r="W50" s="1854"/>
      <c r="X50" s="1854"/>
      <c r="Y50" s="1854"/>
      <c r="Z50" s="1854"/>
      <c r="AA50" s="1854"/>
      <c r="AB50" s="1854"/>
      <c r="AC50" s="1854"/>
      <c r="AD50" s="1854"/>
      <c r="AE50" s="1854"/>
      <c r="AF50" s="1854"/>
      <c r="AG50" s="1854"/>
      <c r="AH50" s="1854"/>
      <c r="AI50" s="1854"/>
      <c r="AJ50" s="1854"/>
      <c r="AK50" s="1854"/>
      <c r="AL50" s="1854"/>
      <c r="AM50" s="1854"/>
      <c r="AN50" s="1854"/>
      <c r="AO50" s="1854"/>
      <c r="AP50" s="1854"/>
      <c r="AQ50" s="1854"/>
      <c r="AR50" s="1854"/>
      <c r="AS50" s="1854"/>
      <c r="AT50" s="223"/>
      <c r="AX50" s="211" t="s">
        <v>176</v>
      </c>
    </row>
    <row r="51" spans="1:50" ht="15.75" customHeight="1" outlineLevel="1" x14ac:dyDescent="0.3">
      <c r="A51" s="2799" t="s">
        <v>1894</v>
      </c>
      <c r="B51" s="2800"/>
      <c r="C51" s="2800"/>
      <c r="D51" s="2800"/>
      <c r="E51" s="2800"/>
      <c r="F51" s="2800"/>
      <c r="G51" s="2800"/>
      <c r="H51" s="2800"/>
      <c r="I51" s="2800"/>
      <c r="J51" s="2800"/>
      <c r="K51" s="2800"/>
      <c r="L51" s="2800"/>
      <c r="M51" s="2800"/>
      <c r="N51" s="2800"/>
      <c r="O51" s="2800"/>
      <c r="P51" s="2800"/>
      <c r="Q51" s="2800"/>
      <c r="R51" s="2800"/>
      <c r="S51" s="1854"/>
      <c r="T51" s="1854"/>
      <c r="U51" s="1492"/>
      <c r="V51" s="1377"/>
      <c r="W51" s="1854"/>
      <c r="X51" s="1854"/>
      <c r="Y51" s="1854"/>
      <c r="Z51" s="1854"/>
      <c r="AA51" s="1854"/>
      <c r="AB51" s="1854"/>
      <c r="AC51" s="1854"/>
      <c r="AD51" s="1854"/>
      <c r="AE51" s="1854"/>
      <c r="AF51" s="1854"/>
      <c r="AG51" s="1854"/>
      <c r="AH51" s="1854"/>
      <c r="AI51" s="1854"/>
      <c r="AJ51" s="1854"/>
      <c r="AK51" s="1854"/>
      <c r="AL51" s="1854"/>
      <c r="AM51" s="1854"/>
      <c r="AN51" s="1854"/>
      <c r="AO51" s="1854"/>
      <c r="AP51" s="1854"/>
      <c r="AQ51" s="1854"/>
      <c r="AR51" s="220"/>
      <c r="AS51" s="220"/>
      <c r="AT51" s="223"/>
    </row>
    <row r="52" spans="1:50" ht="5.4" customHeight="1" thickBot="1" x14ac:dyDescent="0.35">
      <c r="A52" s="224"/>
      <c r="B52" s="882"/>
      <c r="C52" s="882"/>
      <c r="D52" s="323"/>
      <c r="E52" s="323"/>
      <c r="F52" s="882"/>
      <c r="G52" s="882"/>
      <c r="H52" s="323"/>
      <c r="I52" s="323"/>
      <c r="J52" s="882"/>
      <c r="K52" s="882"/>
      <c r="L52" s="323"/>
      <c r="M52" s="323"/>
      <c r="N52" s="882"/>
      <c r="O52" s="882"/>
      <c r="P52" s="323"/>
      <c r="Q52" s="323"/>
      <c r="R52" s="882"/>
      <c r="S52" s="882"/>
      <c r="T52" s="323"/>
      <c r="U52" s="324"/>
      <c r="V52" s="2707"/>
      <c r="W52" s="882"/>
      <c r="X52" s="882"/>
      <c r="Y52" s="323"/>
      <c r="Z52" s="323"/>
      <c r="AA52" s="882"/>
      <c r="AB52" s="882"/>
      <c r="AC52" s="323"/>
      <c r="AD52" s="323"/>
      <c r="AE52" s="882"/>
      <c r="AF52" s="882"/>
      <c r="AG52" s="323"/>
      <c r="AH52" s="323"/>
      <c r="AI52" s="882"/>
      <c r="AJ52" s="882"/>
      <c r="AK52" s="323"/>
      <c r="AL52" s="323"/>
      <c r="AM52" s="882"/>
      <c r="AN52" s="882"/>
      <c r="AO52" s="323"/>
      <c r="AP52" s="323"/>
      <c r="AQ52" s="882"/>
      <c r="AR52" s="882"/>
      <c r="AS52" s="323"/>
      <c r="AT52" s="219"/>
    </row>
    <row r="53" spans="1:50" ht="16.5" customHeight="1" x14ac:dyDescent="0.3">
      <c r="A53" s="12" t="s">
        <v>1897</v>
      </c>
      <c r="B53" s="278"/>
      <c r="C53" s="278"/>
      <c r="D53" s="230"/>
      <c r="E53" s="230"/>
      <c r="F53" s="278"/>
      <c r="G53" s="278"/>
      <c r="H53" s="230"/>
      <c r="I53" s="230"/>
      <c r="J53" s="278"/>
      <c r="K53" s="278"/>
      <c r="L53" s="230"/>
      <c r="M53" s="230"/>
      <c r="N53" s="278"/>
      <c r="O53" s="278"/>
      <c r="P53" s="230"/>
      <c r="Q53" s="230"/>
      <c r="R53" s="278"/>
      <c r="S53" s="278"/>
      <c r="T53" s="230"/>
      <c r="U53" s="230"/>
      <c r="V53" s="230"/>
      <c r="W53" s="278"/>
      <c r="X53" s="278"/>
      <c r="Y53" s="230"/>
      <c r="Z53" s="230"/>
      <c r="AA53" s="278"/>
      <c r="AB53" s="278"/>
      <c r="AC53" s="230"/>
      <c r="AD53" s="230"/>
      <c r="AE53" s="278"/>
      <c r="AF53" s="278"/>
      <c r="AG53" s="230"/>
      <c r="AH53" s="230"/>
      <c r="AI53" s="278"/>
      <c r="AJ53" s="278"/>
      <c r="AK53" s="230"/>
      <c r="AL53" s="230"/>
      <c r="AM53" s="278"/>
      <c r="AN53" s="278"/>
      <c r="AO53" s="230"/>
      <c r="AP53" s="230"/>
      <c r="AQ53" s="278"/>
      <c r="AR53" s="278"/>
      <c r="AS53" s="230"/>
    </row>
    <row r="54" spans="1:50" ht="9.9" customHeight="1" x14ac:dyDescent="0.3">
      <c r="B54" s="278"/>
      <c r="C54" s="278"/>
      <c r="D54" s="230"/>
      <c r="E54" s="230"/>
      <c r="F54" s="278"/>
      <c r="G54" s="278"/>
      <c r="H54" s="230"/>
      <c r="I54" s="230"/>
      <c r="J54" s="278"/>
      <c r="K54" s="278"/>
      <c r="L54" s="230"/>
      <c r="M54" s="230"/>
      <c r="N54" s="278"/>
      <c r="O54" s="278"/>
      <c r="P54" s="230"/>
      <c r="Q54" s="230"/>
      <c r="R54" s="278"/>
      <c r="S54" s="278"/>
      <c r="T54" s="230"/>
      <c r="U54" s="230"/>
      <c r="V54" s="230"/>
      <c r="W54" s="278"/>
      <c r="X54" s="278"/>
      <c r="Y54" s="230"/>
      <c r="Z54" s="230"/>
      <c r="AA54" s="278"/>
      <c r="AB54" s="278"/>
      <c r="AC54" s="230"/>
      <c r="AD54" s="230"/>
      <c r="AE54" s="278"/>
      <c r="AF54" s="278"/>
      <c r="AG54" s="230"/>
      <c r="AH54" s="230"/>
      <c r="AI54" s="278"/>
      <c r="AJ54" s="278"/>
      <c r="AK54" s="230"/>
      <c r="AL54" s="230"/>
      <c r="AM54" s="278"/>
      <c r="AN54" s="278"/>
      <c r="AO54" s="230"/>
      <c r="AP54" s="230"/>
      <c r="AQ54" s="278"/>
      <c r="AR54" s="278"/>
      <c r="AS54" s="230"/>
    </row>
    <row r="55" spans="1:50" ht="14.4" customHeight="1" x14ac:dyDescent="0.3">
      <c r="A55" s="211" t="s">
        <v>828</v>
      </c>
      <c r="B55" s="278"/>
      <c r="C55" s="278"/>
      <c r="D55" s="230"/>
      <c r="E55" s="230"/>
      <c r="F55" s="278"/>
      <c r="G55" s="278"/>
      <c r="H55" s="230"/>
      <c r="I55" s="230"/>
      <c r="J55" s="278"/>
      <c r="K55" s="278"/>
      <c r="L55" s="230"/>
      <c r="M55" s="230"/>
      <c r="N55" s="278"/>
      <c r="O55" s="278"/>
      <c r="P55" s="230"/>
      <c r="Q55" s="230"/>
      <c r="R55" s="278"/>
      <c r="S55" s="278"/>
      <c r="T55" s="230"/>
      <c r="U55" s="230"/>
      <c r="V55" s="230"/>
      <c r="W55" s="278"/>
      <c r="X55" s="278"/>
      <c r="Y55" s="230"/>
      <c r="Z55" s="230"/>
      <c r="AA55" s="278"/>
      <c r="AB55" s="278"/>
      <c r="AC55" s="230"/>
      <c r="AD55" s="230"/>
      <c r="AE55" s="278"/>
      <c r="AF55" s="278"/>
      <c r="AG55" s="230"/>
      <c r="AH55" s="230"/>
      <c r="AI55" s="278"/>
      <c r="AJ55" s="278"/>
      <c r="AK55" s="230"/>
      <c r="AL55" s="230"/>
      <c r="AM55" s="278"/>
      <c r="AN55" s="278"/>
      <c r="AO55" s="230"/>
      <c r="AP55" s="230"/>
      <c r="AQ55" s="278" t="s">
        <v>1526</v>
      </c>
      <c r="AR55" s="278"/>
      <c r="AS55" s="230"/>
    </row>
    <row r="56" spans="1:50" x14ac:dyDescent="0.3">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row>
    <row r="57" spans="1:50" s="345" customFormat="1" outlineLevel="1" x14ac:dyDescent="0.3">
      <c r="A57" s="345" t="s">
        <v>690</v>
      </c>
      <c r="B57" s="883">
        <f>B44-'5. "Summary Table"'!B6</f>
        <v>-926</v>
      </c>
      <c r="F57" s="883">
        <f>F44-'5. "Summary Table"'!C6</f>
        <v>-876</v>
      </c>
      <c r="J57" s="883">
        <f>J44-'5. "Summary Table"'!D6</f>
        <v>-39</v>
      </c>
      <c r="N57" s="883">
        <f>N44-'5. "Summary Table"'!E6</f>
        <v>-7</v>
      </c>
      <c r="R57" s="883">
        <f>R44-'5. "Summary Table"'!F6</f>
        <v>-31</v>
      </c>
      <c r="W57" s="883">
        <f>W44-'5. "Summary Table"'!G6</f>
        <v>0</v>
      </c>
      <c r="AA57" s="883">
        <f>AA44-'5. "Summary Table"'!H6</f>
        <v>0</v>
      </c>
      <c r="AE57" s="883">
        <f>AE44-'5. "Summary Table"'!I6</f>
        <v>0</v>
      </c>
      <c r="AI57" s="883">
        <f>AI44-'5. "Summary Table"'!J6</f>
        <v>0</v>
      </c>
      <c r="AM57" s="883">
        <f>AM44-'5. "Summary Table"'!K6</f>
        <v>0</v>
      </c>
      <c r="AQ57" s="883">
        <f>AQ44-'5. "Summary Table"'!L6</f>
        <v>0</v>
      </c>
    </row>
    <row r="58" spans="1:50" x14ac:dyDescent="0.3">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row>
    <row r="59" spans="1:50" x14ac:dyDescent="0.3">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row>
    <row r="60" spans="1:50" x14ac:dyDescent="0.3">
      <c r="A60" s="211" t="s">
        <v>1525</v>
      </c>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403">
        <f>((AE12+AE26)/(AE25+AE11))+((AE13+AE27)/(AE10+AE24))</f>
        <v>1.0640909519400994</v>
      </c>
      <c r="AH60" s="211"/>
      <c r="AI60" s="211"/>
      <c r="AJ60" s="211"/>
      <c r="AK60" s="403">
        <f>((AI12+AI26)/(AI25+AI11))+((AI13+AI27)/(AI10+AI24))</f>
        <v>1.0050722493483906</v>
      </c>
      <c r="AL60" s="211"/>
      <c r="AM60" s="211"/>
      <c r="AN60" s="211"/>
      <c r="AO60" s="403">
        <f>((AM12+AM26)/(AM25+AM11))+((AM13+AM27)/(AM10+AM24))</f>
        <v>1.0225731857869411</v>
      </c>
      <c r="AP60" s="211"/>
      <c r="AQ60" s="211"/>
      <c r="AR60" s="211"/>
      <c r="AS60" s="403">
        <f>((AQ12+AQ26)/(AQ25+AQ11))+((AQ13+AQ27)/(AQ10+AQ24))</f>
        <v>1.3534773487937124</v>
      </c>
    </row>
    <row r="61" spans="1:50" x14ac:dyDescent="0.3">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row>
    <row r="62" spans="1:50" x14ac:dyDescent="0.3">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row>
    <row r="63" spans="1:50" x14ac:dyDescent="0.3">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row>
    <row r="64" spans="1:50" x14ac:dyDescent="0.3">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row>
    <row r="65" spans="1:45" x14ac:dyDescent="0.3">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row>
    <row r="66" spans="1:45" x14ac:dyDescent="0.3">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row>
    <row r="67" spans="1:45" x14ac:dyDescent="0.3">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row>
    <row r="68" spans="1:45" x14ac:dyDescent="0.3">
      <c r="A68" s="211" t="s">
        <v>1807</v>
      </c>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26">
        <f>(W28+W14)/(W25+W11)</f>
        <v>1.0207328732646903</v>
      </c>
      <c r="Z68" s="211"/>
      <c r="AA68" s="211"/>
      <c r="AB68" s="211"/>
      <c r="AC68" s="226">
        <f>(AA28+AA14)/(AA25+AA11)</f>
        <v>0.99426032145267162</v>
      </c>
      <c r="AD68" s="211"/>
      <c r="AE68" s="211"/>
      <c r="AF68" s="211"/>
      <c r="AG68" s="226">
        <f>(AE28+AE14)/(AE25+AE11)</f>
        <v>1.0374018600242143</v>
      </c>
      <c r="AH68" s="211"/>
      <c r="AI68" s="211"/>
      <c r="AJ68" s="211"/>
      <c r="AK68" s="226">
        <f>(AI28+AI14)/(AI25+AI11)</f>
        <v>1.0567391783549762</v>
      </c>
      <c r="AL68" s="211"/>
      <c r="AM68" s="211"/>
      <c r="AN68" s="211"/>
      <c r="AO68" s="226">
        <f>(AM28+AM14)/(AM25+AM11)</f>
        <v>1.142659331611841</v>
      </c>
      <c r="AP68" s="211"/>
      <c r="AQ68" s="211"/>
      <c r="AR68" s="211"/>
      <c r="AS68" s="226">
        <f>(AQ28+AQ14)/(AQ25+AQ11)</f>
        <v>1.3355673454910886</v>
      </c>
    </row>
    <row r="69" spans="1:45" x14ac:dyDescent="0.3">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row>
    <row r="70" spans="1:45" x14ac:dyDescent="0.3">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row>
    <row r="71" spans="1:45" x14ac:dyDescent="0.3">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row>
    <row r="72" spans="1:45" x14ac:dyDescent="0.3">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row>
    <row r="73" spans="1:45" x14ac:dyDescent="0.3">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row>
    <row r="74" spans="1:45" x14ac:dyDescent="0.3">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row>
    <row r="75" spans="1:45" x14ac:dyDescent="0.3">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row>
    <row r="76" spans="1:45" x14ac:dyDescent="0.3">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row>
    <row r="77" spans="1:45" x14ac:dyDescent="0.3">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row>
    <row r="78" spans="1:45" x14ac:dyDescent="0.3">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row>
    <row r="79" spans="1:45" x14ac:dyDescent="0.3">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row>
    <row r="80" spans="1:45" x14ac:dyDescent="0.3">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row>
    <row r="81" s="211" customFormat="1" x14ac:dyDescent="0.3"/>
    <row r="82" s="211" customFormat="1" x14ac:dyDescent="0.3"/>
    <row r="83" s="211" customFormat="1" x14ac:dyDescent="0.3"/>
    <row r="84" s="211" customFormat="1" x14ac:dyDescent="0.3"/>
    <row r="85" s="211" customFormat="1" x14ac:dyDescent="0.3"/>
    <row r="86" s="211" customFormat="1" x14ac:dyDescent="0.3"/>
    <row r="87" s="211" customFormat="1" x14ac:dyDescent="0.3"/>
    <row r="88" s="211" customFormat="1" x14ac:dyDescent="0.3"/>
    <row r="89" s="211" customFormat="1" x14ac:dyDescent="0.3"/>
    <row r="90" s="211" customFormat="1" x14ac:dyDescent="0.3"/>
    <row r="91" s="211" customFormat="1" x14ac:dyDescent="0.3"/>
    <row r="92" s="211" customFormat="1" x14ac:dyDescent="0.3"/>
    <row r="93" s="211" customFormat="1" x14ac:dyDescent="0.3"/>
    <row r="94" s="211" customFormat="1" x14ac:dyDescent="0.3"/>
    <row r="95" s="211" customFormat="1" x14ac:dyDescent="0.3"/>
    <row r="96" s="211" customFormat="1" x14ac:dyDescent="0.3"/>
    <row r="97" s="211" customFormat="1" x14ac:dyDescent="0.3"/>
    <row r="98" s="211" customFormat="1" x14ac:dyDescent="0.3"/>
    <row r="99" s="211" customFormat="1" x14ac:dyDescent="0.3"/>
    <row r="100" s="211" customFormat="1" x14ac:dyDescent="0.3"/>
    <row r="101" s="211" customFormat="1" x14ac:dyDescent="0.3"/>
    <row r="102" s="211" customFormat="1" x14ac:dyDescent="0.3"/>
    <row r="103" s="211" customFormat="1" x14ac:dyDescent="0.3"/>
    <row r="104" s="211" customFormat="1" x14ac:dyDescent="0.3"/>
    <row r="105" s="211" customFormat="1" x14ac:dyDescent="0.3"/>
    <row r="106" s="211" customFormat="1" x14ac:dyDescent="0.3"/>
    <row r="107" s="211" customFormat="1" x14ac:dyDescent="0.3"/>
    <row r="108" s="211" customFormat="1" x14ac:dyDescent="0.3"/>
    <row r="109" s="211" customFormat="1" x14ac:dyDescent="0.3"/>
    <row r="110" s="211" customFormat="1" x14ac:dyDescent="0.3"/>
    <row r="111" s="211" customFormat="1" x14ac:dyDescent="0.3"/>
    <row r="112" s="211" customFormat="1" x14ac:dyDescent="0.3"/>
    <row r="113" s="211" customFormat="1" x14ac:dyDescent="0.3"/>
    <row r="114" s="211" customFormat="1" x14ac:dyDescent="0.3"/>
    <row r="115" s="211" customFormat="1" x14ac:dyDescent="0.3"/>
    <row r="116" s="211" customFormat="1" x14ac:dyDescent="0.3"/>
    <row r="117" s="211" customFormat="1" x14ac:dyDescent="0.3"/>
    <row r="118" s="211" customFormat="1" x14ac:dyDescent="0.3"/>
    <row r="119" s="211" customFormat="1" x14ac:dyDescent="0.3"/>
    <row r="120" s="211" customFormat="1" x14ac:dyDescent="0.3"/>
    <row r="121" s="211" customFormat="1" x14ac:dyDescent="0.3"/>
    <row r="122" s="211" customFormat="1" x14ac:dyDescent="0.3"/>
    <row r="123" s="211" customFormat="1" x14ac:dyDescent="0.3"/>
    <row r="124" s="211" customFormat="1" x14ac:dyDescent="0.3"/>
    <row r="125" s="211" customFormat="1" x14ac:dyDescent="0.3"/>
    <row r="126" s="211" customFormat="1" x14ac:dyDescent="0.3"/>
    <row r="127" s="211" customFormat="1" x14ac:dyDescent="0.3"/>
    <row r="128" s="211" customFormat="1" x14ac:dyDescent="0.3"/>
    <row r="129" s="211" customFormat="1" x14ac:dyDescent="0.3"/>
    <row r="130" s="211" customFormat="1" x14ac:dyDescent="0.3"/>
    <row r="131" s="211" customFormat="1" x14ac:dyDescent="0.3"/>
    <row r="132" s="211" customFormat="1" x14ac:dyDescent="0.3"/>
    <row r="133" s="211" customFormat="1" x14ac:dyDescent="0.3"/>
    <row r="134" s="211" customFormat="1" x14ac:dyDescent="0.3"/>
    <row r="135" s="211" customFormat="1" x14ac:dyDescent="0.3"/>
    <row r="136" s="211" customFormat="1" x14ac:dyDescent="0.3"/>
    <row r="137" s="211" customFormat="1" x14ac:dyDescent="0.3"/>
    <row r="138" s="211" customFormat="1" x14ac:dyDescent="0.3"/>
    <row r="139" s="211" customFormat="1" x14ac:dyDescent="0.3"/>
    <row r="140" s="211" customFormat="1" x14ac:dyDescent="0.3"/>
    <row r="141" s="211" customFormat="1" x14ac:dyDescent="0.3"/>
    <row r="142" s="211" customFormat="1" x14ac:dyDescent="0.3"/>
    <row r="143" s="211" customFormat="1" x14ac:dyDescent="0.3"/>
    <row r="144" s="211" customFormat="1" x14ac:dyDescent="0.3"/>
    <row r="145" s="211" customFormat="1" x14ac:dyDescent="0.3"/>
    <row r="146" s="211" customFormat="1" x14ac:dyDescent="0.3"/>
    <row r="147" s="211" customFormat="1" x14ac:dyDescent="0.3"/>
    <row r="148" s="211" customFormat="1" x14ac:dyDescent="0.3"/>
  </sheetData>
  <mergeCells count="14">
    <mergeCell ref="A3:AG3"/>
    <mergeCell ref="A50:T50"/>
    <mergeCell ref="A51:R51"/>
    <mergeCell ref="AM7:AO7"/>
    <mergeCell ref="AQ7:AS7"/>
    <mergeCell ref="W7:Y7"/>
    <mergeCell ref="B7:D7"/>
    <mergeCell ref="F7:H7"/>
    <mergeCell ref="J7:L7"/>
    <mergeCell ref="N7:P7"/>
    <mergeCell ref="R7:T7"/>
    <mergeCell ref="AA7:AC7"/>
    <mergeCell ref="AE7:AG7"/>
    <mergeCell ref="AI7:AK7"/>
  </mergeCells>
  <pageMargins left="0.7" right="0.7" top="0.75" bottom="0.75" header="0.3" footer="0.3"/>
  <pageSetup orientation="portrait" r:id="rId1"/>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2DA0-822A-4246-AC6E-8E78AA0281D4}">
  <sheetPr codeName="Sheet39">
    <tabColor theme="4"/>
  </sheetPr>
  <dimension ref="A1:Q131"/>
  <sheetViews>
    <sheetView showGridLines="0" zoomScale="70" zoomScaleNormal="70" workbookViewId="0">
      <pane xSplit="1" topLeftCell="B1" activePane="topRight" state="frozen"/>
      <selection pane="topRight" activeCell="S31" sqref="S31"/>
    </sheetView>
  </sheetViews>
  <sheetFormatPr defaultColWidth="8.6640625" defaultRowHeight="15.6" outlineLevelRow="2" x14ac:dyDescent="0.3"/>
  <cols>
    <col min="1" max="1" width="35.88671875" style="211" customWidth="1"/>
    <col min="2" max="9" width="11.44140625" style="211" customWidth="1"/>
    <col min="10" max="10" width="10.5546875" style="211" bestFit="1" customWidth="1"/>
    <col min="11" max="11" width="11.5546875" style="211" customWidth="1"/>
    <col min="12" max="12" width="9.5546875" style="211" customWidth="1"/>
    <col min="13" max="16384" width="8.6640625" style="211"/>
  </cols>
  <sheetData>
    <row r="1" spans="1:17" s="309" customFormat="1" outlineLevel="1" x14ac:dyDescent="0.3">
      <c r="A1" s="309" t="s">
        <v>556</v>
      </c>
      <c r="B1" s="309">
        <v>1994</v>
      </c>
      <c r="C1" s="309">
        <v>1994</v>
      </c>
      <c r="D1" s="309">
        <v>1992</v>
      </c>
      <c r="E1" s="1011">
        <v>1992</v>
      </c>
      <c r="F1" s="1011">
        <v>1991</v>
      </c>
      <c r="G1" s="1011">
        <v>1990</v>
      </c>
      <c r="H1" s="1011">
        <v>1989</v>
      </c>
      <c r="I1" s="1011">
        <v>1988</v>
      </c>
    </row>
    <row r="2" spans="1:17" x14ac:dyDescent="0.3">
      <c r="E2" s="1012"/>
      <c r="F2" s="1012"/>
      <c r="G2" s="1012"/>
      <c r="H2" s="1012"/>
      <c r="I2" s="1012"/>
    </row>
    <row r="3" spans="1:17" x14ac:dyDescent="0.3">
      <c r="A3" s="459" t="s">
        <v>1522</v>
      </c>
      <c r="E3" s="1012"/>
      <c r="F3" s="1012"/>
      <c r="G3" s="1012"/>
      <c r="H3" s="1012"/>
      <c r="I3" s="1012"/>
    </row>
    <row r="4" spans="1:17" x14ac:dyDescent="0.3">
      <c r="A4" s="152" t="s">
        <v>1604</v>
      </c>
      <c r="E4" s="1012"/>
      <c r="F4" s="1012"/>
      <c r="G4" s="1012"/>
      <c r="H4" s="1012"/>
      <c r="I4" s="1012"/>
    </row>
    <row r="5" spans="1:17" ht="8.25" customHeight="1" thickBot="1" x14ac:dyDescent="0.35">
      <c r="E5" s="1012"/>
      <c r="F5" s="1012"/>
      <c r="G5" s="1012"/>
      <c r="H5" s="1012"/>
      <c r="I5" s="1012"/>
    </row>
    <row r="6" spans="1:17" x14ac:dyDescent="0.3">
      <c r="A6" s="212" t="s">
        <v>1250</v>
      </c>
      <c r="B6" s="501">
        <v>1994</v>
      </c>
      <c r="C6" s="501">
        <v>1993</v>
      </c>
      <c r="D6" s="501">
        <v>1992</v>
      </c>
      <c r="E6" s="1048">
        <v>1991</v>
      </c>
      <c r="F6" s="1048">
        <v>1990</v>
      </c>
      <c r="G6" s="1048">
        <v>1989</v>
      </c>
      <c r="H6" s="1048">
        <v>1988</v>
      </c>
      <c r="I6" s="1049">
        <v>1987</v>
      </c>
    </row>
    <row r="7" spans="1:17" ht="8.25" customHeight="1" x14ac:dyDescent="0.3">
      <c r="A7" s="221"/>
      <c r="B7" s="902"/>
      <c r="C7" s="902"/>
      <c r="D7" s="902"/>
      <c r="E7" s="1050"/>
      <c r="F7" s="1050"/>
      <c r="G7" s="1050"/>
      <c r="H7" s="1050"/>
      <c r="I7" s="1044"/>
    </row>
    <row r="8" spans="1:17" outlineLevel="2" x14ac:dyDescent="0.3">
      <c r="A8" s="221" t="s">
        <v>515</v>
      </c>
      <c r="B8" s="220"/>
      <c r="C8" s="220"/>
      <c r="D8" s="220"/>
      <c r="E8" s="1051"/>
      <c r="F8" s="1051"/>
      <c r="G8" s="1051"/>
      <c r="H8" s="1051"/>
      <c r="I8" s="1013"/>
    </row>
    <row r="9" spans="1:17" outlineLevel="2" x14ac:dyDescent="0.3">
      <c r="A9" s="221" t="s">
        <v>1605</v>
      </c>
      <c r="B9" s="220"/>
      <c r="C9" s="220"/>
      <c r="D9" s="220"/>
      <c r="E9" s="1051"/>
      <c r="F9" s="1051"/>
      <c r="G9" s="1051"/>
      <c r="H9" s="1051"/>
      <c r="I9" s="1013"/>
      <c r="Q9" s="211" t="s">
        <v>176</v>
      </c>
    </row>
    <row r="10" spans="1:17" ht="18.600000000000001" outlineLevel="2" x14ac:dyDescent="0.3">
      <c r="A10" s="221" t="s">
        <v>1603</v>
      </c>
      <c r="B10" s="220"/>
      <c r="C10" s="220"/>
      <c r="D10" s="220"/>
      <c r="E10" s="1051"/>
      <c r="F10" s="1051"/>
      <c r="G10" s="1051"/>
      <c r="H10" s="1051"/>
      <c r="I10" s="1013"/>
    </row>
    <row r="11" spans="1:17" outlineLevel="2" x14ac:dyDescent="0.3">
      <c r="A11" s="214" t="s">
        <v>606</v>
      </c>
      <c r="B11" s="2384"/>
      <c r="C11" s="2384"/>
      <c r="D11" s="1052">
        <v>58.8</v>
      </c>
      <c r="E11" s="1053">
        <v>158.6</v>
      </c>
      <c r="F11" s="1053">
        <v>188.9</v>
      </c>
      <c r="G11" s="1053">
        <v>194</v>
      </c>
      <c r="H11" s="1053">
        <v>246.982</v>
      </c>
      <c r="I11" s="1045">
        <v>235.68199999999999</v>
      </c>
    </row>
    <row r="12" spans="1:17" outlineLevel="2" x14ac:dyDescent="0.3">
      <c r="A12" s="214" t="s">
        <v>607</v>
      </c>
      <c r="B12" s="2385"/>
      <c r="C12" s="2385"/>
      <c r="D12" s="1054">
        <v>0</v>
      </c>
      <c r="E12" s="1055">
        <v>98.9</v>
      </c>
      <c r="F12" s="1055">
        <v>187.7</v>
      </c>
      <c r="G12" s="1055">
        <v>136.5</v>
      </c>
      <c r="H12" s="1055">
        <v>0</v>
      </c>
      <c r="I12" s="1046">
        <v>0</v>
      </c>
    </row>
    <row r="13" spans="1:17" outlineLevel="2" x14ac:dyDescent="0.3">
      <c r="A13" s="214" t="s">
        <v>549</v>
      </c>
      <c r="B13" s="2385"/>
      <c r="C13" s="2385"/>
      <c r="D13" s="1054">
        <v>479.2</v>
      </c>
      <c r="E13" s="1055">
        <v>367</v>
      </c>
      <c r="F13" s="1055">
        <v>377.4</v>
      </c>
      <c r="G13" s="1055">
        <v>409.4</v>
      </c>
      <c r="H13" s="1055">
        <v>802.91600000000005</v>
      </c>
      <c r="I13" s="1046">
        <v>1004.755</v>
      </c>
    </row>
    <row r="14" spans="1:17" outlineLevel="2" x14ac:dyDescent="0.3">
      <c r="A14" s="214" t="s">
        <v>542</v>
      </c>
      <c r="B14" s="1052">
        <v>1099</v>
      </c>
      <c r="C14" s="1052">
        <v>715.9</v>
      </c>
      <c r="D14" s="2384"/>
      <c r="E14" s="2384"/>
      <c r="F14" s="2384"/>
      <c r="G14" s="2384"/>
      <c r="H14" s="2384"/>
      <c r="I14" s="2386"/>
    </row>
    <row r="15" spans="1:17" outlineLevel="2" x14ac:dyDescent="0.3">
      <c r="A15" s="214"/>
      <c r="B15" s="1056"/>
      <c r="C15" s="1056"/>
      <c r="D15" s="1054"/>
      <c r="E15" s="1055"/>
      <c r="F15" s="1055"/>
      <c r="G15" s="1055"/>
      <c r="H15" s="1055"/>
      <c r="I15" s="1046"/>
    </row>
    <row r="16" spans="1:17" outlineLevel="2" x14ac:dyDescent="0.3">
      <c r="A16" s="221" t="s">
        <v>608</v>
      </c>
      <c r="B16" s="1057"/>
      <c r="C16" s="1057"/>
      <c r="D16" s="1054"/>
      <c r="E16" s="1055"/>
      <c r="F16" s="1055"/>
      <c r="G16" s="1055"/>
      <c r="H16" s="1055"/>
      <c r="I16" s="1046"/>
    </row>
    <row r="17" spans="1:9" outlineLevel="2" x14ac:dyDescent="0.3">
      <c r="A17" s="214" t="s">
        <v>609</v>
      </c>
      <c r="B17" s="2384"/>
      <c r="C17" s="2384"/>
      <c r="D17" s="1054">
        <v>279</v>
      </c>
      <c r="E17" s="1055">
        <v>279</v>
      </c>
      <c r="F17" s="1055">
        <v>279</v>
      </c>
      <c r="G17" s="1055">
        <v>279</v>
      </c>
      <c r="H17" s="1055">
        <v>0</v>
      </c>
      <c r="I17" s="1046">
        <v>0</v>
      </c>
    </row>
    <row r="18" spans="1:9" outlineLevel="2" x14ac:dyDescent="0.3">
      <c r="A18" s="214" t="s">
        <v>610</v>
      </c>
      <c r="B18" s="2384"/>
      <c r="C18" s="2384"/>
      <c r="D18" s="1054">
        <v>650</v>
      </c>
      <c r="E18" s="1055">
        <v>650</v>
      </c>
      <c r="F18" s="1055">
        <v>637</v>
      </c>
      <c r="G18" s="1055">
        <v>624</v>
      </c>
      <c r="H18" s="1055">
        <v>624</v>
      </c>
      <c r="I18" s="1046">
        <v>624</v>
      </c>
    </row>
    <row r="19" spans="1:9" outlineLevel="2" x14ac:dyDescent="0.3">
      <c r="A19" s="214" t="s">
        <v>611</v>
      </c>
      <c r="B19" s="2384"/>
      <c r="C19" s="2384"/>
      <c r="D19" s="1054">
        <v>348</v>
      </c>
      <c r="E19" s="1055">
        <v>348</v>
      </c>
      <c r="F19" s="1055">
        <v>348</v>
      </c>
      <c r="G19" s="1055">
        <v>348</v>
      </c>
      <c r="H19" s="1055">
        <v>0</v>
      </c>
      <c r="I19" s="1046">
        <v>0</v>
      </c>
    </row>
    <row r="20" spans="1:9" outlineLevel="2" x14ac:dyDescent="0.3">
      <c r="A20" s="214" t="s">
        <v>547</v>
      </c>
      <c r="B20" s="2384"/>
      <c r="C20" s="2384"/>
      <c r="D20" s="2384"/>
      <c r="E20" s="2384"/>
      <c r="F20" s="2384"/>
      <c r="G20" s="1055">
        <v>600</v>
      </c>
      <c r="H20" s="2384"/>
      <c r="I20" s="2386"/>
    </row>
    <row r="21" spans="1:9" outlineLevel="2" x14ac:dyDescent="0.3">
      <c r="A21" s="214" t="s">
        <v>549</v>
      </c>
      <c r="B21" s="2384"/>
      <c r="C21" s="2384"/>
      <c r="D21" s="1054">
        <v>10.6</v>
      </c>
      <c r="E21" s="1055">
        <v>0.5</v>
      </c>
      <c r="F21" s="1055">
        <v>0.7</v>
      </c>
      <c r="G21" s="1055">
        <v>0.7</v>
      </c>
      <c r="H21" s="1055">
        <v>10.548</v>
      </c>
      <c r="I21" s="1046">
        <v>15.689</v>
      </c>
    </row>
    <row r="22" spans="1:9" outlineLevel="2" x14ac:dyDescent="0.3">
      <c r="A22" s="214" t="s">
        <v>543</v>
      </c>
      <c r="B22" s="1054">
        <v>410.4</v>
      </c>
      <c r="C22" s="1054">
        <v>650.9</v>
      </c>
      <c r="D22" s="2384"/>
      <c r="E22" s="2384"/>
      <c r="F22" s="2384"/>
      <c r="G22" s="2384"/>
      <c r="H22" s="2384"/>
      <c r="I22" s="2386"/>
    </row>
    <row r="23" spans="1:9" outlineLevel="2" x14ac:dyDescent="0.3">
      <c r="A23" s="214"/>
      <c r="B23" s="902"/>
      <c r="C23" s="902"/>
      <c r="D23" s="902"/>
      <c r="E23" s="1050"/>
      <c r="F23" s="1050"/>
      <c r="G23" s="1050"/>
      <c r="H23" s="1050"/>
      <c r="I23" s="1044"/>
    </row>
    <row r="24" spans="1:9" outlineLevel="1" x14ac:dyDescent="0.3">
      <c r="A24" s="221" t="s">
        <v>584</v>
      </c>
      <c r="B24" s="1054"/>
      <c r="C24" s="1054"/>
      <c r="D24" s="1054"/>
      <c r="E24" s="1060"/>
      <c r="F24" s="1055"/>
      <c r="G24" s="1055"/>
      <c r="H24" s="1055"/>
      <c r="I24" s="1046"/>
    </row>
    <row r="25" spans="1:9" outlineLevel="1" x14ac:dyDescent="0.3">
      <c r="A25" s="214" t="s">
        <v>544</v>
      </c>
      <c r="B25" s="1054">
        <v>1662.4</v>
      </c>
      <c r="C25" s="1054">
        <v>1208</v>
      </c>
      <c r="D25" s="1054">
        <v>1497.9</v>
      </c>
      <c r="E25" s="1055">
        <v>1278.8</v>
      </c>
      <c r="F25" s="1055">
        <v>1354.4</v>
      </c>
      <c r="G25" s="1055">
        <v>1664.2</v>
      </c>
      <c r="H25" s="1055">
        <v>1068.6369999999999</v>
      </c>
      <c r="I25" s="1046">
        <v>1017.75</v>
      </c>
    </row>
    <row r="26" spans="1:9" outlineLevel="1" x14ac:dyDescent="0.3">
      <c r="A26" s="214" t="s">
        <v>545</v>
      </c>
      <c r="B26" s="1054">
        <v>5137.6000000000004</v>
      </c>
      <c r="C26" s="1054">
        <v>4157.3</v>
      </c>
      <c r="D26" s="1054">
        <v>3901.1</v>
      </c>
      <c r="E26" s="1055">
        <v>3738</v>
      </c>
      <c r="F26" s="1055">
        <v>2166</v>
      </c>
      <c r="G26" s="1055">
        <v>1799.2</v>
      </c>
      <c r="H26" s="1055">
        <v>632.44799999999998</v>
      </c>
      <c r="I26" s="2386"/>
    </row>
    <row r="27" spans="1:9" outlineLevel="1" x14ac:dyDescent="0.3">
      <c r="A27" s="214" t="s">
        <v>546</v>
      </c>
      <c r="B27" s="1054">
        <v>1678.3</v>
      </c>
      <c r="C27" s="1054">
        <v>1759.6</v>
      </c>
      <c r="D27" s="1054">
        <v>2226.1999999999998</v>
      </c>
      <c r="E27" s="1055">
        <v>1363.2</v>
      </c>
      <c r="F27" s="1055">
        <v>1110.5999999999999</v>
      </c>
      <c r="G27" s="1055">
        <v>1044.5999999999999</v>
      </c>
      <c r="H27" s="1055">
        <v>849.4</v>
      </c>
      <c r="I27" s="1046">
        <v>756.92499999999995</v>
      </c>
    </row>
    <row r="28" spans="1:9" outlineLevel="1" x14ac:dyDescent="0.3">
      <c r="A28" s="214" t="s">
        <v>547</v>
      </c>
      <c r="B28" s="1054">
        <v>1797</v>
      </c>
      <c r="C28" s="1054">
        <v>1431</v>
      </c>
      <c r="D28" s="1054">
        <v>1365</v>
      </c>
      <c r="E28" s="1055">
        <v>1347</v>
      </c>
      <c r="F28" s="1055">
        <v>600</v>
      </c>
      <c r="G28" s="2384"/>
      <c r="H28" s="2384"/>
      <c r="I28" s="2386"/>
    </row>
    <row r="29" spans="1:9" outlineLevel="1" x14ac:dyDescent="0.3">
      <c r="A29" s="214" t="s">
        <v>548</v>
      </c>
      <c r="B29" s="1054">
        <v>957.8</v>
      </c>
      <c r="C29" s="1054">
        <v>854.6</v>
      </c>
      <c r="D29" s="1054">
        <v>471.5</v>
      </c>
      <c r="E29" s="1055">
        <v>279.3</v>
      </c>
      <c r="F29" s="1055">
        <v>278.7</v>
      </c>
      <c r="G29" s="1055">
        <v>60.6</v>
      </c>
      <c r="H29" s="2384"/>
      <c r="I29" s="2386"/>
    </row>
    <row r="30" spans="1:9" outlineLevel="1" x14ac:dyDescent="0.3">
      <c r="A30" s="214" t="s">
        <v>612</v>
      </c>
      <c r="B30" s="1054">
        <v>972.2</v>
      </c>
      <c r="C30" s="1054">
        <v>673.6</v>
      </c>
      <c r="D30" s="2384"/>
      <c r="E30" s="2384"/>
      <c r="F30" s="2384"/>
      <c r="G30" s="2384"/>
      <c r="H30" s="2384"/>
      <c r="I30" s="2386"/>
    </row>
    <row r="31" spans="1:9" outlineLevel="1" x14ac:dyDescent="0.3">
      <c r="A31" s="214" t="s">
        <v>613</v>
      </c>
      <c r="B31" s="2384"/>
      <c r="C31" s="2384"/>
      <c r="D31" s="1054">
        <v>435.2</v>
      </c>
      <c r="E31" s="1055">
        <v>13.1</v>
      </c>
      <c r="F31" s="2384"/>
      <c r="G31" s="2384"/>
      <c r="H31" s="2384"/>
      <c r="I31" s="2386"/>
    </row>
    <row r="32" spans="1:9" outlineLevel="1" x14ac:dyDescent="0.3">
      <c r="A32" s="214" t="s">
        <v>614</v>
      </c>
      <c r="B32" s="2384"/>
      <c r="C32" s="2384"/>
      <c r="D32" s="1054">
        <v>450.8</v>
      </c>
      <c r="E32" s="2384"/>
      <c r="F32" s="2384"/>
      <c r="G32" s="2384"/>
      <c r="H32" s="2384"/>
      <c r="I32" s="2386"/>
    </row>
    <row r="33" spans="1:13" outlineLevel="1" x14ac:dyDescent="0.3">
      <c r="A33" s="214" t="s">
        <v>1609</v>
      </c>
      <c r="B33" s="2384"/>
      <c r="C33" s="2384"/>
      <c r="D33" s="1054">
        <v>299.5</v>
      </c>
      <c r="E33" s="1055">
        <v>296.8</v>
      </c>
      <c r="F33" s="2384"/>
      <c r="G33" s="2384"/>
      <c r="H33" s="2384"/>
      <c r="I33" s="2386"/>
    </row>
    <row r="34" spans="1:13" outlineLevel="2" x14ac:dyDescent="0.3">
      <c r="A34" s="214"/>
      <c r="B34" s="1054"/>
      <c r="C34" s="1054"/>
      <c r="D34" s="1058"/>
      <c r="E34" s="1058"/>
      <c r="F34" s="1058"/>
      <c r="G34" s="1058"/>
      <c r="H34" s="1058"/>
      <c r="I34" s="1059"/>
    </row>
    <row r="35" spans="1:13" outlineLevel="2" x14ac:dyDescent="0.3">
      <c r="A35" s="214" t="s">
        <v>1607</v>
      </c>
      <c r="B35" s="1054"/>
      <c r="C35" s="1054"/>
      <c r="D35" s="1058"/>
      <c r="E35" s="1058"/>
      <c r="F35" s="1058"/>
      <c r="G35" s="1058"/>
      <c r="H35" s="1058"/>
      <c r="I35" s="1059"/>
    </row>
    <row r="36" spans="1:13" outlineLevel="2" x14ac:dyDescent="0.3">
      <c r="A36" s="214" t="s">
        <v>1606</v>
      </c>
      <c r="B36" s="1054"/>
      <c r="C36" s="1054"/>
      <c r="D36" s="1058"/>
      <c r="E36" s="1058"/>
      <c r="F36" s="1058"/>
      <c r="G36" s="1058"/>
      <c r="H36" s="1058"/>
      <c r="I36" s="1059"/>
    </row>
    <row r="37" spans="1:13" outlineLevel="2" x14ac:dyDescent="0.3">
      <c r="A37" s="214"/>
      <c r="B37" s="1067">
        <v>1994</v>
      </c>
      <c r="C37" s="1067">
        <v>1993</v>
      </c>
      <c r="D37" s="1067">
        <v>1992</v>
      </c>
      <c r="E37" s="1068">
        <v>1991</v>
      </c>
      <c r="F37" s="1068">
        <v>1990</v>
      </c>
      <c r="G37" s="1068">
        <v>1989</v>
      </c>
      <c r="H37" s="1068">
        <v>1988</v>
      </c>
      <c r="I37" s="1069">
        <v>1987</v>
      </c>
    </row>
    <row r="38" spans="1:13" outlineLevel="1" x14ac:dyDescent="0.3">
      <c r="A38" s="214" t="s">
        <v>615</v>
      </c>
      <c r="B38" s="2384"/>
      <c r="C38" s="2384"/>
      <c r="D38" s="1054">
        <v>396.9</v>
      </c>
      <c r="E38" s="1055">
        <v>336</v>
      </c>
      <c r="F38" s="1055">
        <v>342.1</v>
      </c>
      <c r="G38" s="1055">
        <v>486.4</v>
      </c>
      <c r="H38" s="1055">
        <v>364.12599999999998</v>
      </c>
      <c r="I38" s="1046">
        <v>323.09199999999998</v>
      </c>
    </row>
    <row r="39" spans="1:13" outlineLevel="1" x14ac:dyDescent="0.3">
      <c r="A39" s="214" t="s">
        <v>549</v>
      </c>
      <c r="B39" s="1054">
        <v>3890.4</v>
      </c>
      <c r="C39" s="1054">
        <v>2873.6</v>
      </c>
      <c r="D39" s="1054">
        <v>86.9</v>
      </c>
      <c r="E39" s="1055">
        <v>91.9</v>
      </c>
      <c r="F39" s="1055">
        <v>232.9</v>
      </c>
      <c r="G39" s="1055">
        <f>63.1</f>
        <v>63.1</v>
      </c>
      <c r="H39" s="1055">
        <v>498.61399999999998</v>
      </c>
      <c r="I39" s="1046">
        <v>215.107</v>
      </c>
    </row>
    <row r="40" spans="1:13" outlineLevel="1" x14ac:dyDescent="0.3">
      <c r="A40" s="221" t="s">
        <v>608</v>
      </c>
      <c r="B40" s="1054"/>
      <c r="C40" s="1054"/>
      <c r="D40" s="1054"/>
      <c r="E40" s="1055"/>
      <c r="F40" s="1055"/>
      <c r="G40" s="1055"/>
      <c r="H40" s="1055"/>
      <c r="I40" s="1046"/>
    </row>
    <row r="41" spans="1:13" outlineLevel="1" x14ac:dyDescent="0.3">
      <c r="A41" s="214" t="s">
        <v>616</v>
      </c>
      <c r="B41" s="2384"/>
      <c r="C41" s="2384"/>
      <c r="D41" s="1054">
        <v>290.5</v>
      </c>
      <c r="E41" s="1055">
        <v>247.5</v>
      </c>
      <c r="F41" s="2384"/>
      <c r="G41" s="2384"/>
      <c r="H41" s="2384"/>
      <c r="I41" s="2386"/>
    </row>
    <row r="42" spans="1:13" outlineLevel="1" x14ac:dyDescent="0.3">
      <c r="A42" s="214" t="s">
        <v>617</v>
      </c>
      <c r="B42" s="2384"/>
      <c r="C42" s="2384"/>
      <c r="D42" s="1054">
        <v>68</v>
      </c>
      <c r="E42" s="1055">
        <v>50</v>
      </c>
      <c r="F42" s="2384"/>
      <c r="G42" s="2384"/>
      <c r="H42" s="2384"/>
      <c r="I42" s="2386"/>
    </row>
    <row r="43" spans="1:13" outlineLevel="1" x14ac:dyDescent="0.3">
      <c r="A43" s="214" t="s">
        <v>549</v>
      </c>
      <c r="B43" s="2384"/>
      <c r="C43" s="2384"/>
      <c r="D43" s="1054">
        <v>53.2</v>
      </c>
      <c r="E43" s="1055">
        <v>31.1</v>
      </c>
      <c r="F43" s="1055">
        <v>72.599999999999994</v>
      </c>
      <c r="G43" s="1055">
        <v>23.5</v>
      </c>
      <c r="H43" s="1055">
        <f>8.6</f>
        <v>8.6</v>
      </c>
      <c r="I43" s="1046">
        <v>4.43</v>
      </c>
    </row>
    <row r="44" spans="1:13" outlineLevel="1" x14ac:dyDescent="0.3">
      <c r="A44" s="214" t="s">
        <v>550</v>
      </c>
      <c r="B44" s="2790">
        <f>SUM(B11:B33)+SUM(B38:B43)</f>
        <v>17605.100000000002</v>
      </c>
      <c r="C44" s="2790">
        <f t="shared" ref="C44:G44" si="0">SUM(C11:C33)+SUM(C38:C43)</f>
        <v>14324.500000000002</v>
      </c>
      <c r="D44" s="2790">
        <f t="shared" si="0"/>
        <v>13368.3</v>
      </c>
      <c r="E44" s="2790">
        <f t="shared" si="0"/>
        <v>10974.699999999999</v>
      </c>
      <c r="F44" s="2790">
        <f>SUM(F11:F33)+SUM(F38:F43)</f>
        <v>8176.0000000000009</v>
      </c>
      <c r="G44" s="2790">
        <f t="shared" si="0"/>
        <v>7733.2000000000007</v>
      </c>
      <c r="H44" s="2790">
        <f>SUM(H11:H33)+SUM(H38:H43)</f>
        <v>5106.2709999999997</v>
      </c>
      <c r="I44" s="2790">
        <f>SUM(I11:I33)+SUM(I38:I43)</f>
        <v>4197.43</v>
      </c>
    </row>
    <row r="45" spans="1:13" outlineLevel="1" x14ac:dyDescent="0.3">
      <c r="A45" s="214"/>
      <c r="B45" s="1047"/>
      <c r="C45" s="1047"/>
      <c r="D45" s="1047"/>
      <c r="E45" s="1061"/>
      <c r="F45" s="1061"/>
      <c r="G45" s="1061"/>
      <c r="H45" s="1061"/>
      <c r="I45" s="1024"/>
      <c r="M45" s="211" t="s">
        <v>176</v>
      </c>
    </row>
    <row r="46" spans="1:13" outlineLevel="1" x14ac:dyDescent="0.3">
      <c r="A46" s="214" t="s">
        <v>517</v>
      </c>
      <c r="B46" s="1047">
        <v>90.3</v>
      </c>
      <c r="C46" s="1047">
        <v>1368</v>
      </c>
      <c r="D46" s="1047">
        <v>471.2</v>
      </c>
      <c r="E46" s="1062">
        <v>458.5</v>
      </c>
      <c r="F46" s="1062">
        <v>115.6</v>
      </c>
      <c r="G46" s="1062">
        <v>45.4</v>
      </c>
      <c r="H46" s="1062">
        <v>121.614</v>
      </c>
      <c r="I46" s="1019">
        <v>109.134</v>
      </c>
    </row>
    <row r="47" spans="1:13" outlineLevel="1" x14ac:dyDescent="0.3">
      <c r="A47" s="214" t="s">
        <v>518</v>
      </c>
      <c r="B47" s="1047">
        <v>468.2</v>
      </c>
      <c r="C47" s="1047">
        <v>490.6</v>
      </c>
      <c r="D47" s="1047">
        <v>529.20000000000005</v>
      </c>
      <c r="E47" s="1062">
        <v>552.5</v>
      </c>
      <c r="F47" s="1062">
        <v>364.2</v>
      </c>
      <c r="G47" s="1062">
        <v>15</v>
      </c>
      <c r="H47" s="1062">
        <v>45.456000000000003</v>
      </c>
      <c r="I47" s="1019">
        <v>57.238999999999997</v>
      </c>
    </row>
    <row r="48" spans="1:13" outlineLevel="1" x14ac:dyDescent="0.3">
      <c r="A48" s="214" t="s">
        <v>618</v>
      </c>
      <c r="B48" s="2384"/>
      <c r="C48" s="2384"/>
      <c r="D48" s="1047">
        <v>188.1</v>
      </c>
      <c r="E48" s="1062">
        <v>414.1</v>
      </c>
      <c r="F48" s="1062">
        <v>222.2</v>
      </c>
      <c r="G48" s="1062">
        <v>71</v>
      </c>
      <c r="H48" s="1062">
        <v>139.702</v>
      </c>
      <c r="I48" s="1019">
        <v>131.22999999999999</v>
      </c>
    </row>
    <row r="49" spans="1:9" outlineLevel="1" x14ac:dyDescent="0.3">
      <c r="A49" s="214" t="s">
        <v>15</v>
      </c>
      <c r="B49" s="1047">
        <v>301.89999999999998</v>
      </c>
      <c r="C49" s="1047">
        <v>290.39999999999998</v>
      </c>
      <c r="D49" s="1047">
        <v>8</v>
      </c>
      <c r="E49" s="1062">
        <v>2.8</v>
      </c>
      <c r="F49" s="1062">
        <v>2.2999999999999998</v>
      </c>
      <c r="G49" s="1062">
        <v>2.2999999999999998</v>
      </c>
      <c r="H49" s="1062">
        <v>3.2989999999999999</v>
      </c>
      <c r="I49" s="1019">
        <v>24.623999999999999</v>
      </c>
    </row>
    <row r="50" spans="1:9" ht="16.2" outlineLevel="1" thickBot="1" x14ac:dyDescent="0.35">
      <c r="A50" s="214"/>
      <c r="B50" s="1025">
        <f>SUM(B44:B49)</f>
        <v>18465.500000000004</v>
      </c>
      <c r="C50" s="1025">
        <f t="shared" ref="C50" si="1">SUM(C44:C49)</f>
        <v>16473.500000000004</v>
      </c>
      <c r="D50" s="1025">
        <f t="shared" ref="D50:I50" si="2">SUM(D44:D49)</f>
        <v>14564.800000000001</v>
      </c>
      <c r="E50" s="1026">
        <f t="shared" si="2"/>
        <v>12402.599999999999</v>
      </c>
      <c r="F50" s="1026">
        <f t="shared" si="2"/>
        <v>8880.3000000000011</v>
      </c>
      <c r="G50" s="1026">
        <f t="shared" si="2"/>
        <v>7866.9000000000005</v>
      </c>
      <c r="H50" s="1026">
        <f t="shared" si="2"/>
        <v>5416.3419999999996</v>
      </c>
      <c r="I50" s="1027">
        <f t="shared" si="2"/>
        <v>4519.6569999999992</v>
      </c>
    </row>
    <row r="51" spans="1:9" ht="16.2" thickTop="1" x14ac:dyDescent="0.3">
      <c r="A51" s="214"/>
      <c r="B51" s="1047"/>
      <c r="C51" s="1047"/>
      <c r="D51" s="1047"/>
      <c r="E51" s="220"/>
      <c r="F51" s="1063"/>
      <c r="G51" s="1063"/>
      <c r="H51" s="1063"/>
      <c r="I51" s="1029"/>
    </row>
    <row r="52" spans="1:9" x14ac:dyDescent="0.3">
      <c r="A52" s="213" t="s">
        <v>519</v>
      </c>
      <c r="B52" s="1047"/>
      <c r="C52" s="1047"/>
      <c r="D52" s="1047"/>
      <c r="E52" s="220"/>
      <c r="F52" s="1063"/>
      <c r="G52" s="1063"/>
      <c r="H52" s="1063"/>
      <c r="I52" s="1029"/>
    </row>
    <row r="53" spans="1:9" x14ac:dyDescent="0.3">
      <c r="A53" s="214" t="s">
        <v>68</v>
      </c>
      <c r="B53" s="1052">
        <v>3430</v>
      </c>
      <c r="C53" s="1052">
        <v>3155.9</v>
      </c>
      <c r="D53" s="1052">
        <v>2978.5</v>
      </c>
      <c r="E53" s="1052">
        <v>2849.1</v>
      </c>
      <c r="F53" s="1052">
        <v>2050.3000000000002</v>
      </c>
      <c r="G53" s="1052">
        <v>1436.3</v>
      </c>
      <c r="H53" s="1052">
        <v>1407.1890000000001</v>
      </c>
      <c r="I53" s="1071">
        <v>1260.422</v>
      </c>
    </row>
    <row r="54" spans="1:9" x14ac:dyDescent="0.3">
      <c r="A54" s="214" t="s">
        <v>69</v>
      </c>
      <c r="B54" s="1047">
        <v>307.2</v>
      </c>
      <c r="C54" s="1047">
        <v>315.8</v>
      </c>
      <c r="D54" s="1047">
        <v>227.8</v>
      </c>
      <c r="E54" s="1062">
        <v>152.5</v>
      </c>
      <c r="F54" s="1062">
        <v>126.4</v>
      </c>
      <c r="G54" s="1062">
        <v>143.6</v>
      </c>
      <c r="H54" s="1062">
        <v>241.81800000000001</v>
      </c>
      <c r="I54" s="1019">
        <v>341.34399999999999</v>
      </c>
    </row>
    <row r="55" spans="1:9" x14ac:dyDescent="0.3">
      <c r="A55" s="214" t="s">
        <v>520</v>
      </c>
      <c r="B55" s="1047">
        <v>307.3</v>
      </c>
      <c r="C55" s="1047">
        <v>215.8</v>
      </c>
      <c r="D55" s="2384"/>
      <c r="E55" s="2384"/>
      <c r="F55" s="2384"/>
      <c r="G55" s="2384"/>
      <c r="H55" s="2384"/>
      <c r="I55" s="2386"/>
    </row>
    <row r="56" spans="1:9" x14ac:dyDescent="0.3">
      <c r="A56" s="214" t="s">
        <v>521</v>
      </c>
      <c r="B56" s="1047">
        <v>255</v>
      </c>
      <c r="C56" s="1047">
        <v>233.6</v>
      </c>
      <c r="D56" s="1047">
        <v>379.9</v>
      </c>
      <c r="E56" s="1062">
        <v>222.1</v>
      </c>
      <c r="F56" s="1062">
        <v>226</v>
      </c>
      <c r="G56" s="1062">
        <v>201</v>
      </c>
      <c r="H56" s="1062">
        <v>85.387</v>
      </c>
      <c r="I56" s="1019">
        <v>55.716999999999999</v>
      </c>
    </row>
    <row r="57" spans="1:9" x14ac:dyDescent="0.3">
      <c r="A57" s="214" t="s">
        <v>522</v>
      </c>
      <c r="B57" s="1047">
        <v>3209.3</v>
      </c>
      <c r="C57" s="1047">
        <v>2944.5</v>
      </c>
      <c r="D57" s="1047">
        <v>2476.3000000000002</v>
      </c>
      <c r="E57" s="1062">
        <v>1908.2</v>
      </c>
      <c r="F57" s="1062">
        <v>1099</v>
      </c>
      <c r="G57" s="1062">
        <v>1136.2</v>
      </c>
      <c r="H57" s="1062">
        <v>565.30999999999995</v>
      </c>
      <c r="I57" s="1019">
        <v>471.93900000000002</v>
      </c>
    </row>
    <row r="58" spans="1:9" x14ac:dyDescent="0.3">
      <c r="A58" s="214"/>
      <c r="B58" s="1030">
        <f t="shared" ref="B58:I58" si="3">SUM(B53:B57)</f>
        <v>7508.8</v>
      </c>
      <c r="C58" s="1030">
        <f t="shared" si="3"/>
        <v>6865.6</v>
      </c>
      <c r="D58" s="1030">
        <f t="shared" si="3"/>
        <v>6062.5</v>
      </c>
      <c r="E58" s="1031">
        <f t="shared" si="3"/>
        <v>5131.8999999999996</v>
      </c>
      <c r="F58" s="1031">
        <f t="shared" si="3"/>
        <v>3501.7000000000003</v>
      </c>
      <c r="G58" s="1031">
        <f t="shared" si="3"/>
        <v>2917.1</v>
      </c>
      <c r="H58" s="1031">
        <f t="shared" si="3"/>
        <v>2299.7039999999997</v>
      </c>
      <c r="I58" s="1032">
        <f t="shared" si="3"/>
        <v>2129.422</v>
      </c>
    </row>
    <row r="59" spans="1:9" x14ac:dyDescent="0.3">
      <c r="A59" s="214"/>
      <c r="B59" s="1047"/>
      <c r="C59" s="1047"/>
      <c r="D59" s="1047"/>
      <c r="E59" s="1062"/>
      <c r="F59" s="1061"/>
      <c r="G59" s="1061"/>
      <c r="H59" s="1061"/>
      <c r="I59" s="1024"/>
    </row>
    <row r="60" spans="1:9" x14ac:dyDescent="0.3">
      <c r="A60" s="214" t="s">
        <v>95</v>
      </c>
      <c r="B60" s="1047"/>
      <c r="C60" s="1047"/>
      <c r="D60" s="1047"/>
      <c r="E60" s="1062"/>
      <c r="F60" s="1061"/>
      <c r="G60" s="1061"/>
      <c r="H60" s="1061"/>
      <c r="I60" s="1024"/>
    </row>
    <row r="61" spans="1:9" x14ac:dyDescent="0.3">
      <c r="A61" s="214" t="s">
        <v>523</v>
      </c>
      <c r="B61" s="1047">
        <v>136.5</v>
      </c>
      <c r="C61" s="1047">
        <v>124.9</v>
      </c>
      <c r="D61" s="1047">
        <v>70.400000000000006</v>
      </c>
      <c r="E61" s="1062">
        <v>56.5</v>
      </c>
      <c r="F61" s="1062">
        <v>39.799999999999997</v>
      </c>
      <c r="G61" s="1062">
        <v>35.200000000000003</v>
      </c>
      <c r="H61" s="1062">
        <v>24.957000000000001</v>
      </c>
      <c r="I61" s="1019">
        <v>21.152000000000001</v>
      </c>
    </row>
    <row r="62" spans="1:9" x14ac:dyDescent="0.3">
      <c r="A62" s="214" t="s">
        <v>524</v>
      </c>
      <c r="B62" s="1047">
        <v>10820.2</v>
      </c>
      <c r="C62" s="1047">
        <v>9483</v>
      </c>
      <c r="D62" s="1047">
        <v>8431.9</v>
      </c>
      <c r="E62" s="1062">
        <v>7214.2</v>
      </c>
      <c r="F62" s="1062">
        <v>5338.8</v>
      </c>
      <c r="G62" s="1062">
        <v>4914.6000000000004</v>
      </c>
      <c r="H62" s="1062">
        <v>3091.6869999999999</v>
      </c>
      <c r="I62" s="1019">
        <v>2369.0830000000001</v>
      </c>
    </row>
    <row r="63" spans="1:9" x14ac:dyDescent="0.3">
      <c r="A63" s="214"/>
      <c r="B63" s="1030">
        <f t="shared" ref="B63:I63" si="4">B61+B62</f>
        <v>10956.7</v>
      </c>
      <c r="C63" s="1030">
        <f t="shared" si="4"/>
        <v>9607.9</v>
      </c>
      <c r="D63" s="1030">
        <f t="shared" si="4"/>
        <v>8502.2999999999993</v>
      </c>
      <c r="E63" s="1031">
        <f t="shared" si="4"/>
        <v>7270.7</v>
      </c>
      <c r="F63" s="1031">
        <f t="shared" si="4"/>
        <v>5378.6</v>
      </c>
      <c r="G63" s="1031">
        <f t="shared" si="4"/>
        <v>4949.8</v>
      </c>
      <c r="H63" s="1031">
        <f t="shared" si="4"/>
        <v>3116.6439999999998</v>
      </c>
      <c r="I63" s="1032">
        <f t="shared" si="4"/>
        <v>2390.2350000000001</v>
      </c>
    </row>
    <row r="64" spans="1:9" ht="16.2" thickBot="1" x14ac:dyDescent="0.35">
      <c r="A64" s="214"/>
      <c r="B64" s="1025">
        <f>B58+B63</f>
        <v>18465.5</v>
      </c>
      <c r="C64" s="1025">
        <f t="shared" ref="C64:I64" si="5">C58+C63</f>
        <v>16473.5</v>
      </c>
      <c r="D64" s="1025">
        <f t="shared" si="5"/>
        <v>14564.8</v>
      </c>
      <c r="E64" s="1026">
        <f t="shared" si="5"/>
        <v>12402.599999999999</v>
      </c>
      <c r="F64" s="2387">
        <f t="shared" si="5"/>
        <v>8880.3000000000011</v>
      </c>
      <c r="G64" s="2387">
        <f t="shared" si="5"/>
        <v>7866.9</v>
      </c>
      <c r="H64" s="2387">
        <f t="shared" si="5"/>
        <v>5416.348</v>
      </c>
      <c r="I64" s="2388">
        <f t="shared" si="5"/>
        <v>4519.6570000000002</v>
      </c>
    </row>
    <row r="65" spans="1:10" s="309" customFormat="1" ht="16.2" hidden="1" outlineLevel="1" thickTop="1" x14ac:dyDescent="0.3">
      <c r="A65" s="305" t="s">
        <v>20</v>
      </c>
      <c r="B65" s="1065">
        <f t="shared" ref="B65:I65" si="6">B50-B64</f>
        <v>0</v>
      </c>
      <c r="C65" s="1065">
        <f t="shared" si="6"/>
        <v>0</v>
      </c>
      <c r="D65" s="1065">
        <f t="shared" si="6"/>
        <v>0</v>
      </c>
      <c r="E65" s="1066">
        <f t="shared" si="6"/>
        <v>0</v>
      </c>
      <c r="F65" s="1066">
        <f t="shared" si="6"/>
        <v>0</v>
      </c>
      <c r="G65" s="1066">
        <f t="shared" si="6"/>
        <v>0</v>
      </c>
      <c r="H65" s="1066">
        <f t="shared" si="6"/>
        <v>-6.0000000003128662E-3</v>
      </c>
      <c r="I65" s="1035">
        <f t="shared" si="6"/>
        <v>0</v>
      </c>
    </row>
    <row r="66" spans="1:10" ht="9" customHeight="1" collapsed="1" thickTop="1" x14ac:dyDescent="0.3">
      <c r="A66" s="214"/>
      <c r="B66" s="1056"/>
      <c r="C66" s="1056"/>
      <c r="D66" s="220"/>
      <c r="E66" s="220"/>
      <c r="F66" s="220"/>
      <c r="G66" s="220"/>
      <c r="H66" s="220"/>
      <c r="I66" s="223"/>
    </row>
    <row r="67" spans="1:10" x14ac:dyDescent="0.3">
      <c r="A67" s="28" t="s">
        <v>1405</v>
      </c>
      <c r="B67" s="1056"/>
      <c r="C67" s="1056"/>
      <c r="D67" s="220"/>
      <c r="E67" s="220"/>
      <c r="F67" s="220"/>
      <c r="G67" s="220"/>
      <c r="H67" s="220"/>
      <c r="I67" s="223"/>
    </row>
    <row r="68" spans="1:10" ht="16.2" thickBot="1" x14ac:dyDescent="0.35">
      <c r="A68" s="9" t="s">
        <v>541</v>
      </c>
      <c r="B68" s="1036"/>
      <c r="C68" s="1036"/>
      <c r="D68" s="218"/>
      <c r="E68" s="218"/>
      <c r="F68" s="218"/>
      <c r="G68" s="218"/>
      <c r="H68" s="218"/>
      <c r="I68" s="219"/>
    </row>
    <row r="69" spans="1:10" x14ac:dyDescent="0.3">
      <c r="A69" s="410" t="s">
        <v>1896</v>
      </c>
      <c r="B69" s="1047"/>
      <c r="C69" s="1047"/>
      <c r="D69" s="220"/>
      <c r="E69" s="220"/>
      <c r="F69" s="220"/>
      <c r="G69" s="220"/>
      <c r="H69" s="220"/>
      <c r="I69" s="220"/>
    </row>
    <row r="70" spans="1:10" x14ac:dyDescent="0.3">
      <c r="A70" s="220"/>
      <c r="B70" s="1047"/>
      <c r="C70" s="1047"/>
      <c r="D70" s="220"/>
      <c r="E70" s="220"/>
      <c r="F70" s="220"/>
      <c r="G70" s="220"/>
      <c r="H70" s="220"/>
      <c r="I70" s="220"/>
    </row>
    <row r="71" spans="1:10" x14ac:dyDescent="0.3">
      <c r="B71" s="1018"/>
      <c r="C71" s="1018"/>
    </row>
    <row r="72" spans="1:10" x14ac:dyDescent="0.3">
      <c r="B72" s="1018"/>
      <c r="C72" s="1018"/>
    </row>
    <row r="73" spans="1:10" s="309" customFormat="1" hidden="1" outlineLevel="1" x14ac:dyDescent="0.3">
      <c r="A73" s="309" t="s">
        <v>556</v>
      </c>
      <c r="B73" s="309">
        <v>1994</v>
      </c>
      <c r="C73" s="309">
        <v>1994</v>
      </c>
      <c r="D73" s="309">
        <v>1994</v>
      </c>
      <c r="E73" s="309">
        <v>1992</v>
      </c>
      <c r="F73" s="1011">
        <v>1992</v>
      </c>
      <c r="G73" s="1011">
        <v>1991</v>
      </c>
      <c r="H73" s="309">
        <v>1990</v>
      </c>
      <c r="I73" s="309">
        <v>1989</v>
      </c>
      <c r="J73" s="309">
        <v>1988</v>
      </c>
    </row>
    <row r="74" spans="1:10" collapsed="1" x14ac:dyDescent="0.3">
      <c r="A74" s="152"/>
      <c r="B74" s="1018"/>
      <c r="C74" s="1018"/>
      <c r="D74" s="1018"/>
      <c r="F74" s="1012"/>
      <c r="G74" s="1028"/>
    </row>
    <row r="75" spans="1:10" x14ac:dyDescent="0.3">
      <c r="A75" s="459" t="s">
        <v>1522</v>
      </c>
      <c r="E75" s="1012"/>
      <c r="F75" s="1012"/>
      <c r="G75" s="1012"/>
      <c r="H75" s="1012"/>
      <c r="I75" s="1012"/>
    </row>
    <row r="76" spans="1:10" x14ac:dyDescent="0.3">
      <c r="A76" s="152" t="s">
        <v>1608</v>
      </c>
      <c r="E76" s="1012"/>
      <c r="F76" s="1012"/>
      <c r="G76" s="1012"/>
      <c r="H76" s="1012"/>
      <c r="I76" s="1012"/>
    </row>
    <row r="77" spans="1:10" ht="8.25" customHeight="1" thickBot="1" x14ac:dyDescent="0.35">
      <c r="E77" s="1012"/>
      <c r="F77" s="1012"/>
      <c r="G77" s="1012"/>
      <c r="H77" s="1012"/>
      <c r="I77" s="1012"/>
    </row>
    <row r="78" spans="1:10" x14ac:dyDescent="0.3">
      <c r="A78" s="453"/>
      <c r="B78" s="712">
        <v>1994</v>
      </c>
      <c r="C78" s="712">
        <v>1993</v>
      </c>
      <c r="D78" s="712">
        <v>1992</v>
      </c>
      <c r="E78" s="1095">
        <v>1991</v>
      </c>
      <c r="F78" s="1095">
        <v>1990</v>
      </c>
      <c r="G78" s="1095">
        <v>1989</v>
      </c>
      <c r="H78" s="1095">
        <v>1988</v>
      </c>
      <c r="I78" s="1095">
        <v>1987</v>
      </c>
      <c r="J78" s="1096">
        <v>1986</v>
      </c>
    </row>
    <row r="79" spans="1:10" x14ac:dyDescent="0.3">
      <c r="A79" s="221" t="s">
        <v>1250</v>
      </c>
      <c r="B79" s="1067"/>
      <c r="C79" s="1067"/>
      <c r="D79" s="1067"/>
      <c r="E79" s="1068"/>
      <c r="F79" s="1068"/>
      <c r="G79" s="1068"/>
      <c r="H79" s="1068"/>
      <c r="I79" s="1068"/>
      <c r="J79" s="1069"/>
    </row>
    <row r="80" spans="1:10" ht="16.2" thickBot="1" x14ac:dyDescent="0.35">
      <c r="A80" s="214" t="s">
        <v>526</v>
      </c>
      <c r="B80" s="1072">
        <v>915.5</v>
      </c>
      <c r="C80" s="1072">
        <v>737.1</v>
      </c>
      <c r="D80" s="1072">
        <v>739.6</v>
      </c>
      <c r="E80" s="1072">
        <v>802.5</v>
      </c>
      <c r="F80" s="1072">
        <v>574.29999999999995</v>
      </c>
      <c r="G80" s="1072">
        <v>296.10000000000002</v>
      </c>
      <c r="H80" s="1072">
        <v>484.7</v>
      </c>
      <c r="I80" s="1072">
        <v>751.25300000000004</v>
      </c>
      <c r="J80" s="1097">
        <v>1009.43</v>
      </c>
    </row>
    <row r="81" spans="1:10" ht="16.2" thickTop="1" x14ac:dyDescent="0.3">
      <c r="A81" s="214"/>
      <c r="B81" s="1056"/>
      <c r="C81" s="1056"/>
      <c r="D81" s="1056"/>
      <c r="E81" s="1064"/>
      <c r="F81" s="1064"/>
      <c r="G81" s="1064"/>
      <c r="H81" s="1064"/>
      <c r="I81" s="1064"/>
      <c r="J81" s="1017"/>
    </row>
    <row r="82" spans="1:10" x14ac:dyDescent="0.3">
      <c r="A82" s="214" t="s">
        <v>101</v>
      </c>
      <c r="B82" s="1073">
        <v>923.2</v>
      </c>
      <c r="C82" s="1073">
        <v>650.70000000000005</v>
      </c>
      <c r="D82" s="1073">
        <v>664.3</v>
      </c>
      <c r="E82" s="1074">
        <v>776.4</v>
      </c>
      <c r="F82" s="1074">
        <v>591.5</v>
      </c>
      <c r="G82" s="1074">
        <v>394.3</v>
      </c>
      <c r="H82" s="1074">
        <v>584.20000000000005</v>
      </c>
      <c r="I82" s="1074">
        <v>824.89499999999998</v>
      </c>
      <c r="J82" s="1075">
        <v>823.88400000000001</v>
      </c>
    </row>
    <row r="83" spans="1:10" x14ac:dyDescent="0.3">
      <c r="A83" s="214" t="s">
        <v>527</v>
      </c>
      <c r="B83" s="1098">
        <v>564.29999999999995</v>
      </c>
      <c r="C83" s="1098">
        <v>450.7</v>
      </c>
      <c r="D83" s="1098">
        <v>687.6</v>
      </c>
      <c r="E83" s="1099">
        <v>827.2</v>
      </c>
      <c r="F83" s="1099">
        <v>534.20000000000005</v>
      </c>
      <c r="G83" s="1099">
        <v>309.39999999999998</v>
      </c>
      <c r="H83" s="1099">
        <v>437.7</v>
      </c>
      <c r="I83" s="1099">
        <v>661.14599999999996</v>
      </c>
      <c r="J83" s="1080">
        <v>655.75800000000004</v>
      </c>
    </row>
    <row r="84" spans="1:10" x14ac:dyDescent="0.3">
      <c r="A84" s="214" t="s">
        <v>102</v>
      </c>
      <c r="B84" s="1081">
        <v>229</v>
      </c>
      <c r="C84" s="1081">
        <v>169.1</v>
      </c>
      <c r="D84" s="1081">
        <v>85.7</v>
      </c>
      <c r="E84" s="1082">
        <v>68.8</v>
      </c>
      <c r="F84" s="1082">
        <v>83.9</v>
      </c>
      <c r="G84" s="1082">
        <v>109.3</v>
      </c>
      <c r="H84" s="1082">
        <v>157.6</v>
      </c>
      <c r="I84" s="1082">
        <v>219.178</v>
      </c>
      <c r="J84" s="1083">
        <v>223.97</v>
      </c>
    </row>
    <row r="85" spans="1:10" x14ac:dyDescent="0.3">
      <c r="A85" s="214" t="s">
        <v>528</v>
      </c>
      <c r="B85" s="1084">
        <f t="shared" ref="B85:G85" si="7">B83+B84</f>
        <v>793.3</v>
      </c>
      <c r="C85" s="1084">
        <f t="shared" si="7"/>
        <v>619.79999999999995</v>
      </c>
      <c r="D85" s="1084">
        <f t="shared" si="7"/>
        <v>773.30000000000007</v>
      </c>
      <c r="E85" s="1085">
        <f t="shared" si="7"/>
        <v>896</v>
      </c>
      <c r="F85" s="1085">
        <f t="shared" si="7"/>
        <v>618.1</v>
      </c>
      <c r="G85" s="1085">
        <f t="shared" si="7"/>
        <v>418.7</v>
      </c>
      <c r="H85" s="1085">
        <f t="shared" ref="H85:I85" si="8">H83+H84</f>
        <v>595.29999999999995</v>
      </c>
      <c r="I85" s="1085">
        <f t="shared" si="8"/>
        <v>880.32399999999996</v>
      </c>
      <c r="J85" s="1086">
        <f t="shared" ref="J85" si="9">J83+J84</f>
        <v>879.72800000000007</v>
      </c>
    </row>
    <row r="86" spans="1:10" x14ac:dyDescent="0.3">
      <c r="A86" s="214" t="s">
        <v>529</v>
      </c>
      <c r="B86" s="1098">
        <f t="shared" ref="B86:G86" si="10">B82-B85</f>
        <v>129.90000000000009</v>
      </c>
      <c r="C86" s="1098">
        <f t="shared" si="10"/>
        <v>30.900000000000091</v>
      </c>
      <c r="D86" s="1098">
        <f t="shared" si="10"/>
        <v>-109.00000000000011</v>
      </c>
      <c r="E86" s="1099">
        <f t="shared" si="10"/>
        <v>-119.60000000000002</v>
      </c>
      <c r="F86" s="1099">
        <f t="shared" si="10"/>
        <v>-26.600000000000023</v>
      </c>
      <c r="G86" s="1099">
        <f t="shared" si="10"/>
        <v>-24.399999999999977</v>
      </c>
      <c r="H86" s="1099">
        <f t="shared" ref="H86:I86" si="11">H82-H85</f>
        <v>-11.099999999999909</v>
      </c>
      <c r="I86" s="1099">
        <f t="shared" si="11"/>
        <v>-55.428999999999974</v>
      </c>
      <c r="J86" s="1080">
        <f t="shared" ref="J86" si="12">J82-J85</f>
        <v>-55.844000000000051</v>
      </c>
    </row>
    <row r="87" spans="1:10" x14ac:dyDescent="0.3">
      <c r="A87" s="214" t="s">
        <v>456</v>
      </c>
      <c r="B87" s="1098">
        <v>419.4</v>
      </c>
      <c r="C87" s="1098">
        <v>375.4</v>
      </c>
      <c r="D87" s="1098">
        <v>355.1</v>
      </c>
      <c r="E87" s="1099">
        <v>331.8</v>
      </c>
      <c r="F87" s="1099">
        <v>327</v>
      </c>
      <c r="G87" s="1099">
        <v>243.9</v>
      </c>
      <c r="H87" s="1099">
        <v>231.2</v>
      </c>
      <c r="I87" s="1099">
        <v>152.483</v>
      </c>
      <c r="J87" s="1080">
        <v>107.143</v>
      </c>
    </row>
    <row r="88" spans="1:10" x14ac:dyDescent="0.3">
      <c r="A88" s="214" t="s">
        <v>530</v>
      </c>
      <c r="B88" s="1098">
        <v>92</v>
      </c>
      <c r="C88" s="1098">
        <v>555.9</v>
      </c>
      <c r="D88" s="1098">
        <v>52.6</v>
      </c>
      <c r="E88" s="1099">
        <v>110.8</v>
      </c>
      <c r="F88" s="1099">
        <v>15.8</v>
      </c>
      <c r="G88" s="1099">
        <v>220.6</v>
      </c>
      <c r="H88" s="1099">
        <v>127.9</v>
      </c>
      <c r="I88" s="1099">
        <v>26.321999999999999</v>
      </c>
      <c r="J88" s="1080">
        <v>147.499</v>
      </c>
    </row>
    <row r="89" spans="1:10" ht="46.8" x14ac:dyDescent="0.3">
      <c r="A89" s="282" t="s">
        <v>531</v>
      </c>
      <c r="B89" s="1081">
        <v>-261</v>
      </c>
      <c r="C89" s="2389"/>
      <c r="D89" s="2389"/>
      <c r="E89" s="2390"/>
      <c r="F89" s="2390"/>
      <c r="G89" s="2390"/>
      <c r="H89" s="2390"/>
      <c r="I89" s="2390"/>
      <c r="J89" s="2391"/>
    </row>
    <row r="90" spans="1:10" x14ac:dyDescent="0.3">
      <c r="A90" s="214" t="s">
        <v>532</v>
      </c>
      <c r="B90" s="1098">
        <f t="shared" ref="B90:G90" si="13">SUM(B86:B89)</f>
        <v>380.30000000000007</v>
      </c>
      <c r="C90" s="1098">
        <f t="shared" si="13"/>
        <v>962.2</v>
      </c>
      <c r="D90" s="1098">
        <f t="shared" si="13"/>
        <v>298.69999999999993</v>
      </c>
      <c r="E90" s="1099">
        <f t="shared" si="13"/>
        <v>323</v>
      </c>
      <c r="F90" s="1099">
        <f t="shared" si="13"/>
        <v>316.2</v>
      </c>
      <c r="G90" s="1099">
        <f t="shared" si="13"/>
        <v>440.1</v>
      </c>
      <c r="H90" s="1099">
        <f t="shared" ref="H90:I90" si="14">SUM(H86:H89)</f>
        <v>348.00000000000011</v>
      </c>
      <c r="I90" s="1099">
        <f t="shared" si="14"/>
        <v>123.37600000000003</v>
      </c>
      <c r="J90" s="1080">
        <f>SUM(J86:J89)</f>
        <v>198.79799999999994</v>
      </c>
    </row>
    <row r="91" spans="1:10" x14ac:dyDescent="0.3">
      <c r="A91" s="214" t="s">
        <v>595</v>
      </c>
      <c r="B91" s="1098">
        <v>51.7</v>
      </c>
      <c r="C91" s="1098">
        <v>254.4</v>
      </c>
      <c r="D91" s="1098">
        <v>25.4</v>
      </c>
      <c r="E91" s="1099">
        <v>38.4</v>
      </c>
      <c r="F91" s="1099">
        <v>34.1</v>
      </c>
      <c r="G91" s="1099">
        <v>88.9</v>
      </c>
      <c r="H91" s="1099">
        <v>63.7</v>
      </c>
      <c r="I91" s="1099">
        <v>-13.199</v>
      </c>
      <c r="J91" s="1080">
        <v>-16.594000000000001</v>
      </c>
    </row>
    <row r="92" spans="1:10" x14ac:dyDescent="0.3">
      <c r="A92" s="214"/>
      <c r="B92" s="1087">
        <f t="shared" ref="B92:G92" si="15">B90-B91</f>
        <v>328.60000000000008</v>
      </c>
      <c r="C92" s="1087">
        <f t="shared" si="15"/>
        <v>707.80000000000007</v>
      </c>
      <c r="D92" s="1087">
        <f t="shared" si="15"/>
        <v>273.29999999999995</v>
      </c>
      <c r="E92" s="1088">
        <f t="shared" si="15"/>
        <v>284.60000000000002</v>
      </c>
      <c r="F92" s="1088">
        <f t="shared" si="15"/>
        <v>282.09999999999997</v>
      </c>
      <c r="G92" s="1088">
        <f t="shared" si="15"/>
        <v>351.20000000000005</v>
      </c>
      <c r="H92" s="1088">
        <f t="shared" ref="H92:I92" si="16">H90-H91</f>
        <v>284.30000000000013</v>
      </c>
      <c r="I92" s="1088">
        <f t="shared" si="16"/>
        <v>136.57500000000005</v>
      </c>
      <c r="J92" s="1089">
        <f t="shared" ref="J92" si="17">J90-J91</f>
        <v>215.39199999999994</v>
      </c>
    </row>
    <row r="93" spans="1:10" x14ac:dyDescent="0.3">
      <c r="A93" s="214"/>
      <c r="B93" s="1098"/>
      <c r="C93" s="1098"/>
      <c r="D93" s="1098"/>
      <c r="E93" s="1099"/>
      <c r="F93" s="1099"/>
      <c r="G93" s="1099"/>
      <c r="H93" s="1099"/>
      <c r="I93" s="1099"/>
      <c r="J93" s="1080"/>
    </row>
    <row r="94" spans="1:10" x14ac:dyDescent="0.3">
      <c r="A94" s="214" t="s">
        <v>534</v>
      </c>
      <c r="B94" s="1098">
        <v>4.3</v>
      </c>
      <c r="C94" s="1098">
        <v>4.0999999999999996</v>
      </c>
      <c r="D94" s="1098">
        <v>2.6</v>
      </c>
      <c r="E94" s="1099">
        <v>2.8</v>
      </c>
      <c r="F94" s="1099">
        <v>3</v>
      </c>
      <c r="G94" s="1099">
        <v>4</v>
      </c>
      <c r="H94" s="1099">
        <v>3.6</v>
      </c>
      <c r="I94" s="1099">
        <v>1.8839999999999999</v>
      </c>
      <c r="J94" s="1080">
        <v>1.3169999999999999</v>
      </c>
    </row>
    <row r="95" spans="1:10" ht="16.2" thickBot="1" x14ac:dyDescent="0.35">
      <c r="A95" s="214" t="s">
        <v>301</v>
      </c>
      <c r="B95" s="1076">
        <f t="shared" ref="B95:G95" si="18">B92-B94</f>
        <v>324.30000000000007</v>
      </c>
      <c r="C95" s="1076">
        <f t="shared" si="18"/>
        <v>703.7</v>
      </c>
      <c r="D95" s="1076">
        <f t="shared" si="18"/>
        <v>270.69999999999993</v>
      </c>
      <c r="E95" s="1077">
        <f t="shared" si="18"/>
        <v>281.8</v>
      </c>
      <c r="F95" s="1077">
        <f t="shared" si="18"/>
        <v>279.09999999999997</v>
      </c>
      <c r="G95" s="1077">
        <f t="shared" si="18"/>
        <v>347.20000000000005</v>
      </c>
      <c r="H95" s="1077">
        <f t="shared" ref="H95:I95" si="19">H92-H94</f>
        <v>280.7000000000001</v>
      </c>
      <c r="I95" s="1077">
        <f t="shared" si="19"/>
        <v>134.69100000000006</v>
      </c>
      <c r="J95" s="1078">
        <f t="shared" ref="J95" si="20">J92-J94</f>
        <v>214.07499999999993</v>
      </c>
    </row>
    <row r="96" spans="1:10" ht="16.2" thickTop="1" x14ac:dyDescent="0.3">
      <c r="A96" s="214"/>
      <c r="B96" s="1047"/>
      <c r="C96" s="1047"/>
      <c r="D96" s="1047"/>
      <c r="E96" s="220"/>
      <c r="F96" s="1100"/>
      <c r="G96" s="1051"/>
      <c r="H96" s="1051"/>
      <c r="I96" s="1051"/>
      <c r="J96" s="1013"/>
    </row>
    <row r="97" spans="1:10" x14ac:dyDescent="0.3">
      <c r="A97" s="214" t="s">
        <v>535</v>
      </c>
      <c r="B97" s="1047"/>
      <c r="C97" s="1047"/>
      <c r="D97" s="1047"/>
      <c r="E97" s="220"/>
      <c r="F97" s="1100"/>
      <c r="G97" s="1051"/>
      <c r="H97" s="1051"/>
      <c r="I97" s="1051"/>
      <c r="J97" s="1013"/>
    </row>
    <row r="98" spans="1:10" x14ac:dyDescent="0.3">
      <c r="A98" s="214" t="s">
        <v>537</v>
      </c>
      <c r="B98" s="1101">
        <v>362.4</v>
      </c>
      <c r="C98" s="1101">
        <v>306.7</v>
      </c>
      <c r="D98" s="1101">
        <v>287.5</v>
      </c>
      <c r="E98" s="1101">
        <f>331.8-E99-E101</f>
        <v>244.70000000000002</v>
      </c>
      <c r="F98" s="1102">
        <f>327-F99-F101</f>
        <v>244.70000000000002</v>
      </c>
      <c r="G98" s="1102">
        <f>243.9-G99-G101</f>
        <v>149.90000000000003</v>
      </c>
      <c r="H98" s="1102">
        <f>231.2-H99-H101</f>
        <v>85.999999999999986</v>
      </c>
      <c r="I98" s="1102">
        <f>152.483-I99-I101</f>
        <v>31.215000000000003</v>
      </c>
      <c r="J98" s="1093">
        <f>107.143-J99-J101</f>
        <v>16.800999999999995</v>
      </c>
    </row>
    <row r="99" spans="1:10" x14ac:dyDescent="0.3">
      <c r="A99" s="214" t="s">
        <v>538</v>
      </c>
      <c r="B99" s="1103">
        <v>92.2</v>
      </c>
      <c r="C99" s="1103">
        <v>77.900000000000006</v>
      </c>
      <c r="D99" s="1103">
        <v>74</v>
      </c>
      <c r="E99" s="1103">
        <v>98.7</v>
      </c>
      <c r="F99" s="1104">
        <v>91.2</v>
      </c>
      <c r="G99" s="1104">
        <v>100.8</v>
      </c>
      <c r="H99" s="1104">
        <v>145.9</v>
      </c>
      <c r="I99" s="1104">
        <v>121.78</v>
      </c>
      <c r="J99" s="1094">
        <v>89.989000000000004</v>
      </c>
    </row>
    <row r="100" spans="1:10" x14ac:dyDescent="0.3">
      <c r="A100" s="214" t="s">
        <v>539</v>
      </c>
      <c r="B100" s="1103">
        <v>-31.7</v>
      </c>
      <c r="C100" s="2392"/>
      <c r="D100" s="2392"/>
      <c r="E100" s="2393"/>
      <c r="F100" s="2393"/>
      <c r="G100" s="2393"/>
      <c r="H100" s="2393"/>
      <c r="I100" s="2393"/>
      <c r="J100" s="2394"/>
    </row>
    <row r="101" spans="1:10" x14ac:dyDescent="0.3">
      <c r="A101" s="214" t="s">
        <v>540</v>
      </c>
      <c r="B101" s="1103">
        <v>-3.5</v>
      </c>
      <c r="C101" s="1103">
        <v>-9.1999999999999993</v>
      </c>
      <c r="D101" s="1103">
        <v>-6.4</v>
      </c>
      <c r="E101" s="1103">
        <v>-11.6</v>
      </c>
      <c r="F101" s="1104">
        <v>-8.9</v>
      </c>
      <c r="G101" s="1104">
        <v>-6.8</v>
      </c>
      <c r="H101" s="1104">
        <v>-0.7</v>
      </c>
      <c r="I101" s="1104">
        <v>-0.51200000000000001</v>
      </c>
      <c r="J101" s="1094">
        <v>0.35299999999999998</v>
      </c>
    </row>
    <row r="102" spans="1:10" ht="16.2" thickBot="1" x14ac:dyDescent="0.35">
      <c r="A102" s="214" t="s">
        <v>536</v>
      </c>
      <c r="B102" s="1090">
        <f t="shared" ref="B102:G102" si="21">SUM(B98:B101)</f>
        <v>419.4</v>
      </c>
      <c r="C102" s="1090">
        <f t="shared" si="21"/>
        <v>375.40000000000003</v>
      </c>
      <c r="D102" s="1090">
        <f t="shared" si="21"/>
        <v>355.1</v>
      </c>
      <c r="E102" s="1090">
        <f t="shared" si="21"/>
        <v>331.8</v>
      </c>
      <c r="F102" s="1091">
        <f t="shared" si="21"/>
        <v>327.00000000000006</v>
      </c>
      <c r="G102" s="1091">
        <f t="shared" si="21"/>
        <v>243.90000000000003</v>
      </c>
      <c r="H102" s="1091">
        <f t="shared" ref="H102:I102" si="22">SUM(H98:H101)</f>
        <v>231.2</v>
      </c>
      <c r="I102" s="1091">
        <f t="shared" si="22"/>
        <v>152.483</v>
      </c>
      <c r="J102" s="1092">
        <f t="shared" ref="J102" si="23">SUM(J98:J101)</f>
        <v>107.14299999999999</v>
      </c>
    </row>
    <row r="103" spans="1:10" ht="9.9" customHeight="1" thickTop="1" thickBot="1" x14ac:dyDescent="0.35">
      <c r="A103" s="224"/>
      <c r="B103" s="1036"/>
      <c r="C103" s="1036"/>
      <c r="D103" s="218"/>
      <c r="E103" s="218"/>
      <c r="F103" s="218"/>
      <c r="G103" s="218"/>
      <c r="H103" s="218"/>
      <c r="I103" s="218"/>
      <c r="J103" s="219"/>
    </row>
    <row r="104" spans="1:10" x14ac:dyDescent="0.3">
      <c r="A104" s="410" t="s">
        <v>1896</v>
      </c>
      <c r="B104" s="1018"/>
      <c r="C104" s="1018"/>
    </row>
    <row r="105" spans="1:10" x14ac:dyDescent="0.3">
      <c r="B105" s="1018"/>
      <c r="C105" s="1018"/>
    </row>
    <row r="106" spans="1:10" x14ac:dyDescent="0.3">
      <c r="B106" s="1018"/>
      <c r="C106" s="1018"/>
    </row>
    <row r="107" spans="1:10" x14ac:dyDescent="0.3">
      <c r="B107" s="1018"/>
      <c r="C107" s="1018"/>
    </row>
    <row r="108" spans="1:10" x14ac:dyDescent="0.3">
      <c r="A108" s="459" t="s">
        <v>1522</v>
      </c>
      <c r="E108" s="1012"/>
      <c r="F108" s="1012"/>
      <c r="G108" s="1012"/>
      <c r="H108" s="1012"/>
      <c r="I108" s="1012"/>
    </row>
    <row r="109" spans="1:10" x14ac:dyDescent="0.3">
      <c r="A109" s="152" t="s">
        <v>1610</v>
      </c>
      <c r="E109" s="1012"/>
      <c r="F109" s="1012"/>
      <c r="G109" s="1012"/>
      <c r="H109" s="1012"/>
      <c r="I109" s="1012"/>
    </row>
    <row r="110" spans="1:10" ht="8.25" customHeight="1" thickBot="1" x14ac:dyDescent="0.35">
      <c r="E110" s="1012"/>
      <c r="F110" s="1012"/>
      <c r="G110" s="1012"/>
      <c r="H110" s="1012"/>
      <c r="I110" s="1012"/>
    </row>
    <row r="111" spans="1:10" x14ac:dyDescent="0.3">
      <c r="A111" s="212" t="s">
        <v>554</v>
      </c>
      <c r="B111" s="712">
        <v>1994</v>
      </c>
      <c r="C111" s="712">
        <v>1993</v>
      </c>
      <c r="D111" s="712">
        <v>1992</v>
      </c>
      <c r="E111" s="1095">
        <v>1991</v>
      </c>
      <c r="F111" s="1095">
        <v>1990</v>
      </c>
      <c r="G111" s="1095">
        <v>1989</v>
      </c>
      <c r="H111" s="1095">
        <v>1988</v>
      </c>
      <c r="I111" s="1095">
        <v>1987</v>
      </c>
      <c r="J111" s="1096">
        <v>1986</v>
      </c>
    </row>
    <row r="112" spans="1:10" x14ac:dyDescent="0.3">
      <c r="A112" s="214" t="s">
        <v>551</v>
      </c>
      <c r="B112" s="1765">
        <f t="shared" ref="B112:G112" si="24">B83/B82</f>
        <v>0.61124350086655099</v>
      </c>
      <c r="C112" s="1765">
        <f t="shared" si="24"/>
        <v>0.69263869678807433</v>
      </c>
      <c r="D112" s="1765">
        <f t="shared" si="24"/>
        <v>1.0350745145265694</v>
      </c>
      <c r="E112" s="1765">
        <f t="shared" si="24"/>
        <v>1.0654301906233901</v>
      </c>
      <c r="F112" s="1765">
        <f t="shared" si="24"/>
        <v>0.90312764158918013</v>
      </c>
      <c r="G112" s="1765">
        <f t="shared" si="24"/>
        <v>0.7846817144306365</v>
      </c>
      <c r="H112" s="1765">
        <f t="shared" ref="H112:J112" si="25">H83/H82</f>
        <v>0.74922971585073594</v>
      </c>
      <c r="I112" s="1765">
        <f t="shared" si="25"/>
        <v>0.80149109886712855</v>
      </c>
      <c r="J112" s="1762">
        <f t="shared" si="25"/>
        <v>0.79593486461686358</v>
      </c>
    </row>
    <row r="113" spans="1:12" x14ac:dyDescent="0.3">
      <c r="A113" s="214" t="s">
        <v>692</v>
      </c>
      <c r="B113" s="1765">
        <f>B84/B80</f>
        <v>0.25013653741125069</v>
      </c>
      <c r="C113" s="1765">
        <f t="shared" ref="C113:G113" si="26">C84/C80</f>
        <v>0.22941256274589605</v>
      </c>
      <c r="D113" s="1765">
        <f>D84/D80</f>
        <v>0.11587344510546241</v>
      </c>
      <c r="E113" s="1765">
        <f t="shared" si="26"/>
        <v>8.5732087227414322E-2</v>
      </c>
      <c r="F113" s="1765">
        <f t="shared" si="26"/>
        <v>0.14609089326136168</v>
      </c>
      <c r="G113" s="1765">
        <f t="shared" si="26"/>
        <v>0.36913204998311377</v>
      </c>
      <c r="H113" s="1765">
        <f t="shared" ref="H113:I113" si="27">H84/H80</f>
        <v>0.32514957705797398</v>
      </c>
      <c r="I113" s="1765">
        <f t="shared" si="27"/>
        <v>0.29174991647287929</v>
      </c>
      <c r="J113" s="1762">
        <f>J84/J80</f>
        <v>0.22187769335169355</v>
      </c>
    </row>
    <row r="114" spans="1:12" x14ac:dyDescent="0.3">
      <c r="A114" s="214" t="s">
        <v>552</v>
      </c>
      <c r="B114" s="1893">
        <f>B112+B113</f>
        <v>0.86138003827780163</v>
      </c>
      <c r="C114" s="1893">
        <f t="shared" ref="C114:G114" si="28">C112+C113</f>
        <v>0.92205125953397038</v>
      </c>
      <c r="D114" s="1893">
        <f t="shared" si="28"/>
        <v>1.1509479596320318</v>
      </c>
      <c r="E114" s="1893">
        <f t="shared" si="28"/>
        <v>1.1511622778508044</v>
      </c>
      <c r="F114" s="1893">
        <f t="shared" si="28"/>
        <v>1.0492185348505418</v>
      </c>
      <c r="G114" s="1893">
        <f t="shared" si="28"/>
        <v>1.1538137644137503</v>
      </c>
      <c r="H114" s="1893">
        <f t="shared" ref="H114:J114" si="29">H112+H113</f>
        <v>1.0743792929087099</v>
      </c>
      <c r="I114" s="1893">
        <f t="shared" si="29"/>
        <v>1.0932410153400078</v>
      </c>
      <c r="J114" s="2127">
        <f t="shared" si="29"/>
        <v>1.0178125579685571</v>
      </c>
    </row>
    <row r="115" spans="1:12" x14ac:dyDescent="0.3">
      <c r="A115" s="214"/>
      <c r="B115" s="1764"/>
      <c r="C115" s="1764"/>
      <c r="D115" s="1764"/>
      <c r="E115" s="1764"/>
      <c r="F115" s="1764"/>
      <c r="G115" s="1764"/>
      <c r="H115" s="1764"/>
      <c r="I115" s="1764"/>
      <c r="J115" s="2126"/>
    </row>
    <row r="116" spans="1:12" x14ac:dyDescent="0.3">
      <c r="A116" s="214" t="s">
        <v>557</v>
      </c>
      <c r="B116" s="1765">
        <f>B80/C80-1</f>
        <v>0.2420295753629087</v>
      </c>
      <c r="C116" s="1765">
        <f t="shared" ref="C116:D116" si="30">C80/D80-1</f>
        <v>-3.380205516495427E-3</v>
      </c>
      <c r="D116" s="1765">
        <f t="shared" si="30"/>
        <v>-7.8380062305295928E-2</v>
      </c>
      <c r="E116" s="1765">
        <f t="shared" ref="E116:I116" si="31">E80/F80-1</f>
        <v>0.39735329966916266</v>
      </c>
      <c r="F116" s="1765">
        <f t="shared" si="31"/>
        <v>0.9395474501857477</v>
      </c>
      <c r="G116" s="1765">
        <f t="shared" si="31"/>
        <v>-0.38910666391582416</v>
      </c>
      <c r="H116" s="1765">
        <f t="shared" si="31"/>
        <v>-0.3548112287072398</v>
      </c>
      <c r="I116" s="1765">
        <f t="shared" si="31"/>
        <v>-0.25576513477903362</v>
      </c>
      <c r="J116" s="2397"/>
      <c r="L116" s="365"/>
    </row>
    <row r="117" spans="1:12" x14ac:dyDescent="0.3">
      <c r="A117" s="214" t="s">
        <v>555</v>
      </c>
      <c r="B117" s="1765">
        <f>B82/C82-1</f>
        <v>0.41877977562624857</v>
      </c>
      <c r="C117" s="1765">
        <f t="shared" ref="C117:D117" si="32">C82/D82-1</f>
        <v>-2.0472678006924427E-2</v>
      </c>
      <c r="D117" s="1765">
        <f t="shared" si="32"/>
        <v>-0.14438433797011851</v>
      </c>
      <c r="E117" s="1765">
        <f t="shared" ref="E117:H117" si="33">E82/F82-1</f>
        <v>0.31259509721048184</v>
      </c>
      <c r="F117" s="1765">
        <f t="shared" si="33"/>
        <v>0.50012680699974643</v>
      </c>
      <c r="G117" s="1765">
        <f t="shared" si="33"/>
        <v>-0.32505991098938725</v>
      </c>
      <c r="H117" s="1765">
        <f t="shared" si="33"/>
        <v>-0.29178865188902825</v>
      </c>
      <c r="I117" s="1765">
        <f>I82/J82-1</f>
        <v>1.2271144967008762E-3</v>
      </c>
      <c r="J117" s="2397"/>
    </row>
    <row r="118" spans="1:12" x14ac:dyDescent="0.3">
      <c r="A118" s="214"/>
      <c r="B118" s="1764"/>
      <c r="C118" s="1764"/>
      <c r="D118" s="1764"/>
      <c r="E118" s="1764"/>
      <c r="F118" s="1764"/>
      <c r="G118" s="1764"/>
      <c r="H118" s="1764"/>
      <c r="I118" s="1764"/>
      <c r="J118" s="2126"/>
    </row>
    <row r="119" spans="1:12" x14ac:dyDescent="0.3">
      <c r="A119" s="214" t="s">
        <v>553</v>
      </c>
      <c r="B119" s="1765">
        <f t="shared" ref="B119:G119" si="34">B80/(AVERAGE(B63:C63))</f>
        <v>8.9036499615844714E-2</v>
      </c>
      <c r="C119" s="1765">
        <f t="shared" si="34"/>
        <v>8.1401641064151709E-2</v>
      </c>
      <c r="D119" s="1765">
        <f t="shared" si="34"/>
        <v>9.3780510999809802E-2</v>
      </c>
      <c r="E119" s="1765">
        <f t="shared" si="34"/>
        <v>0.12688449163194801</v>
      </c>
      <c r="F119" s="1765">
        <f t="shared" si="34"/>
        <v>0.11120793152860073</v>
      </c>
      <c r="G119" s="1765">
        <f t="shared" si="34"/>
        <v>7.3415249644081096E-2</v>
      </c>
      <c r="H119" s="1765">
        <f>H80/(AVERAGE(H63:I63))</f>
        <v>0.176034374461469</v>
      </c>
      <c r="I119" s="2196"/>
      <c r="J119" s="2397"/>
    </row>
    <row r="120" spans="1:12" ht="6.9" customHeight="1" thickBot="1" x14ac:dyDescent="0.35">
      <c r="A120" s="224"/>
      <c r="B120" s="218"/>
      <c r="C120" s="218"/>
      <c r="D120" s="218"/>
      <c r="E120" s="218"/>
      <c r="F120" s="218"/>
      <c r="G120" s="218"/>
      <c r="H120" s="218"/>
      <c r="I120" s="218"/>
      <c r="J120" s="219"/>
    </row>
    <row r="121" spans="1:12" x14ac:dyDescent="0.3">
      <c r="A121" s="410" t="s">
        <v>1896</v>
      </c>
    </row>
    <row r="123" spans="1:12" x14ac:dyDescent="0.3">
      <c r="A123" s="211" t="s">
        <v>728</v>
      </c>
      <c r="F123" s="226"/>
      <c r="G123" s="226"/>
      <c r="H123" s="226">
        <f ca="1">(H50*1000)/OFFSET('5. Select Parent Fin''l Data'!P28,0,-2)</f>
        <v>0.79455226227722842</v>
      </c>
      <c r="I123" s="226">
        <f>(I50*1000)/'5. Select Parent Fin''l Data'!P28</f>
        <v>0.77084698123135076</v>
      </c>
    </row>
    <row r="124" spans="1:12" x14ac:dyDescent="0.3">
      <c r="A124" s="211" t="s">
        <v>729</v>
      </c>
      <c r="F124" s="226"/>
      <c r="G124" s="226"/>
      <c r="H124" s="226">
        <f ca="1">(H63*1000)/OFFSET('5. Select Parent Fin''l Data'!P30,0,-2)</f>
        <v>0.91394290151514268</v>
      </c>
      <c r="I124" s="226">
        <f>I63*1000/'5. Select Parent Fin''l Data'!P30</f>
        <v>0.8411406857754572</v>
      </c>
    </row>
    <row r="127" spans="1:12" s="345" customFormat="1" outlineLevel="1" x14ac:dyDescent="0.3">
      <c r="A127" s="345" t="s">
        <v>736</v>
      </c>
      <c r="I127" s="1042">
        <f>I123+'5. Manuf., Pub., Retail'!I88+'5. Finance'!I81+'5. Non-Op'!I71</f>
        <v>1.0041676651200231</v>
      </c>
    </row>
    <row r="128" spans="1:12" s="345" customFormat="1" outlineLevel="1" x14ac:dyDescent="0.3">
      <c r="A128" s="345" t="s">
        <v>737</v>
      </c>
      <c r="I128" s="1042">
        <f>I124+'5. Manuf., Pub., Retail'!I89+'5. Finance'!I82+'5. Non-Op'!I72</f>
        <v>1.0201030454393014</v>
      </c>
    </row>
    <row r="131" spans="2:4" x14ac:dyDescent="0.3">
      <c r="B131" s="1043"/>
      <c r="C131" s="1043"/>
      <c r="D131" s="1043"/>
    </row>
  </sheetData>
  <pageMargins left="0.7" right="0.7" top="0.75" bottom="0.75" header="0.3" footer="0.3"/>
  <pageSetup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F6E5-6362-4EC3-809D-4CABEC25A7C2}">
  <sheetPr codeName="Sheet41">
    <tabColor theme="4"/>
  </sheetPr>
  <dimension ref="A1:Q89"/>
  <sheetViews>
    <sheetView showGridLines="0" zoomScale="70" zoomScaleNormal="70" workbookViewId="0">
      <pane xSplit="1" topLeftCell="B1" activePane="topRight" state="frozen"/>
      <selection pane="topRight" activeCell="R35" sqref="R35"/>
    </sheetView>
  </sheetViews>
  <sheetFormatPr defaultColWidth="8.6640625" defaultRowHeight="15.6" outlineLevelRow="1" x14ac:dyDescent="0.3"/>
  <cols>
    <col min="1" max="1" width="39.6640625" style="211" customWidth="1"/>
    <col min="2" max="10" width="10.5546875" style="211" bestFit="1" customWidth="1"/>
    <col min="11" max="16384" width="8.6640625" style="211"/>
  </cols>
  <sheetData>
    <row r="1" spans="1:9" s="309" customFormat="1" outlineLevel="1" x14ac:dyDescent="0.3">
      <c r="A1" s="309" t="s">
        <v>556</v>
      </c>
      <c r="B1" s="309">
        <v>1994</v>
      </c>
      <c r="C1" s="309">
        <v>1994</v>
      </c>
      <c r="D1" s="1011">
        <v>1992</v>
      </c>
      <c r="E1" s="1011">
        <v>1992</v>
      </c>
      <c r="F1" s="1011">
        <v>1991</v>
      </c>
      <c r="G1" s="1011">
        <v>1990</v>
      </c>
      <c r="H1" s="1011">
        <v>1989</v>
      </c>
      <c r="I1" s="1011">
        <v>1988</v>
      </c>
    </row>
    <row r="2" spans="1:9" x14ac:dyDescent="0.3">
      <c r="D2" s="1012"/>
      <c r="E2" s="1012"/>
      <c r="F2" s="1012"/>
      <c r="G2" s="1012"/>
      <c r="H2" s="1012"/>
      <c r="I2" s="1012"/>
    </row>
    <row r="3" spans="1:9" x14ac:dyDescent="0.3">
      <c r="A3" s="459" t="s">
        <v>1522</v>
      </c>
      <c r="D3" s="1012"/>
      <c r="E3" s="1012"/>
      <c r="F3" s="1012"/>
      <c r="G3" s="1012"/>
      <c r="H3" s="1012"/>
      <c r="I3" s="1012"/>
    </row>
    <row r="4" spans="1:9" x14ac:dyDescent="0.3">
      <c r="A4" s="152" t="s">
        <v>1902</v>
      </c>
      <c r="D4" s="1012"/>
      <c r="E4" s="1012"/>
      <c r="F4" s="1012"/>
      <c r="G4" s="1012"/>
      <c r="H4" s="1012"/>
      <c r="I4" s="1012"/>
    </row>
    <row r="5" spans="1:9" ht="8.25" customHeight="1" thickBot="1" x14ac:dyDescent="0.35">
      <c r="D5" s="1012"/>
      <c r="E5" s="1012"/>
      <c r="F5" s="1012"/>
      <c r="G5" s="1012"/>
      <c r="H5" s="1012"/>
      <c r="I5" s="1012"/>
    </row>
    <row r="6" spans="1:9" x14ac:dyDescent="0.3">
      <c r="A6" s="212" t="s">
        <v>1250</v>
      </c>
      <c r="B6" s="712">
        <v>1994</v>
      </c>
      <c r="C6" s="712">
        <v>1993</v>
      </c>
      <c r="D6" s="712">
        <v>1992</v>
      </c>
      <c r="E6" s="1095">
        <v>1991</v>
      </c>
      <c r="F6" s="1095">
        <v>1990</v>
      </c>
      <c r="G6" s="1095">
        <v>1989</v>
      </c>
      <c r="H6" s="1095">
        <v>1988</v>
      </c>
      <c r="I6" s="1096">
        <v>1987</v>
      </c>
    </row>
    <row r="7" spans="1:9" x14ac:dyDescent="0.3">
      <c r="A7" s="221" t="s">
        <v>515</v>
      </c>
      <c r="B7" s="220"/>
      <c r="C7" s="220"/>
      <c r="D7" s="1051"/>
      <c r="E7" s="1051"/>
      <c r="F7" s="1051"/>
      <c r="G7" s="1051"/>
      <c r="H7" s="1051"/>
      <c r="I7" s="1013"/>
    </row>
    <row r="8" spans="1:9" x14ac:dyDescent="0.3">
      <c r="A8" s="214" t="s">
        <v>517</v>
      </c>
      <c r="B8" s="1111">
        <v>77</v>
      </c>
      <c r="C8" s="1111">
        <v>90.4</v>
      </c>
      <c r="D8" s="1112">
        <v>62.7</v>
      </c>
      <c r="E8" s="1112">
        <v>67.3</v>
      </c>
      <c r="F8" s="1112">
        <v>28.9</v>
      </c>
      <c r="G8" s="1112">
        <v>25.2</v>
      </c>
      <c r="H8" s="1112">
        <v>43.375999999999998</v>
      </c>
      <c r="I8" s="1110">
        <v>36.201000000000001</v>
      </c>
    </row>
    <row r="9" spans="1:9" x14ac:dyDescent="0.3">
      <c r="A9" s="214" t="s">
        <v>558</v>
      </c>
      <c r="B9" s="1098">
        <v>308.8</v>
      </c>
      <c r="C9" s="1098">
        <v>275.89999999999998</v>
      </c>
      <c r="D9" s="1099">
        <v>230.9</v>
      </c>
      <c r="E9" s="1099">
        <v>211.3</v>
      </c>
      <c r="F9" s="1099">
        <v>184</v>
      </c>
      <c r="G9" s="1099">
        <v>175.6</v>
      </c>
      <c r="H9" s="1099">
        <v>150.39400000000001</v>
      </c>
      <c r="I9" s="1080">
        <v>141.98599999999999</v>
      </c>
    </row>
    <row r="10" spans="1:9" x14ac:dyDescent="0.3">
      <c r="A10" s="214" t="s">
        <v>10</v>
      </c>
      <c r="B10" s="1098">
        <v>398.2</v>
      </c>
      <c r="C10" s="1098">
        <v>351</v>
      </c>
      <c r="D10" s="1099">
        <v>253.7</v>
      </c>
      <c r="E10" s="1099">
        <v>227</v>
      </c>
      <c r="F10" s="1099">
        <v>174.1</v>
      </c>
      <c r="G10" s="1099">
        <v>165.7</v>
      </c>
      <c r="H10" s="1099">
        <v>133.762</v>
      </c>
      <c r="I10" s="1080">
        <v>122.48399999999999</v>
      </c>
    </row>
    <row r="11" spans="1:9" x14ac:dyDescent="0.3">
      <c r="A11" s="214" t="s">
        <v>559</v>
      </c>
      <c r="B11" s="1098">
        <v>219.6</v>
      </c>
      <c r="C11" s="1098">
        <v>195.9</v>
      </c>
      <c r="D11" s="1099">
        <v>163.9</v>
      </c>
      <c r="E11" s="1099">
        <v>154.69999999999999</v>
      </c>
      <c r="F11" s="1099">
        <v>149.1</v>
      </c>
      <c r="G11" s="1099">
        <v>141.9</v>
      </c>
      <c r="H11" s="1099">
        <v>130.363</v>
      </c>
      <c r="I11" s="1080">
        <v>130.59100000000001</v>
      </c>
    </row>
    <row r="12" spans="1:9" x14ac:dyDescent="0.3">
      <c r="A12" s="214" t="s">
        <v>15</v>
      </c>
      <c r="B12" s="1098">
        <v>29.8</v>
      </c>
      <c r="C12" s="1098">
        <v>36.1</v>
      </c>
      <c r="D12" s="1099">
        <v>29.9</v>
      </c>
      <c r="E12" s="1099">
        <v>18.7</v>
      </c>
      <c r="F12" s="1099">
        <v>19.7</v>
      </c>
      <c r="G12" s="1099">
        <v>18.399999999999999</v>
      </c>
      <c r="H12" s="1099">
        <v>15.67</v>
      </c>
      <c r="I12" s="1080">
        <v>21.952999999999999</v>
      </c>
    </row>
    <row r="13" spans="1:9" ht="16.2" thickBot="1" x14ac:dyDescent="0.35">
      <c r="A13" s="214" t="s">
        <v>282</v>
      </c>
      <c r="B13" s="1076">
        <f t="shared" ref="B13:I13" si="0">SUM(B8:B12)</f>
        <v>1033.4000000000001</v>
      </c>
      <c r="C13" s="1076">
        <f t="shared" si="0"/>
        <v>949.3</v>
      </c>
      <c r="D13" s="1077">
        <f t="shared" si="0"/>
        <v>741.09999999999991</v>
      </c>
      <c r="E13" s="1077">
        <f t="shared" si="0"/>
        <v>679</v>
      </c>
      <c r="F13" s="1077">
        <f t="shared" si="0"/>
        <v>555.80000000000007</v>
      </c>
      <c r="G13" s="1077">
        <f t="shared" si="0"/>
        <v>526.79999999999995</v>
      </c>
      <c r="H13" s="1077">
        <f t="shared" si="0"/>
        <v>473.56500000000005</v>
      </c>
      <c r="I13" s="1078">
        <f t="shared" si="0"/>
        <v>453.21499999999997</v>
      </c>
    </row>
    <row r="14" spans="1:9" ht="16.2" thickTop="1" x14ac:dyDescent="0.3">
      <c r="A14" s="214"/>
      <c r="B14" s="1047"/>
      <c r="C14" s="1047"/>
      <c r="D14" s="1062"/>
      <c r="E14" s="1062"/>
      <c r="F14" s="1062"/>
      <c r="G14" s="1062"/>
      <c r="H14" s="1062"/>
      <c r="I14" s="1019"/>
    </row>
    <row r="15" spans="1:9" x14ac:dyDescent="0.3">
      <c r="A15" s="221" t="s">
        <v>519</v>
      </c>
      <c r="B15" s="1047"/>
      <c r="C15" s="1047"/>
      <c r="D15" s="1062"/>
      <c r="E15" s="1062"/>
      <c r="F15" s="1062"/>
      <c r="G15" s="1062"/>
      <c r="H15" s="1062"/>
      <c r="I15" s="1019"/>
    </row>
    <row r="16" spans="1:9" x14ac:dyDescent="0.3">
      <c r="A16" s="214" t="s">
        <v>521</v>
      </c>
      <c r="B16" s="1111">
        <v>293.39999999999998</v>
      </c>
      <c r="C16" s="1111">
        <v>257.2</v>
      </c>
      <c r="D16" s="1112">
        <v>223.3</v>
      </c>
      <c r="E16" s="1112">
        <v>211.2</v>
      </c>
      <c r="F16" s="1112">
        <v>198</v>
      </c>
      <c r="G16" s="1112">
        <v>214.2</v>
      </c>
      <c r="H16" s="1112">
        <v>179.30099999999999</v>
      </c>
      <c r="I16" s="1110">
        <v>193.614</v>
      </c>
    </row>
    <row r="17" spans="1:10" x14ac:dyDescent="0.3">
      <c r="A17" s="214" t="s">
        <v>391</v>
      </c>
      <c r="B17" s="1098">
        <v>30.5</v>
      </c>
      <c r="C17" s="1098">
        <v>38.5</v>
      </c>
      <c r="D17" s="1099">
        <v>40.6</v>
      </c>
      <c r="E17" s="1099">
        <v>37</v>
      </c>
      <c r="F17" s="1099">
        <v>38.4</v>
      </c>
      <c r="G17" s="1099">
        <v>37.9</v>
      </c>
      <c r="H17" s="1099">
        <v>47.738</v>
      </c>
      <c r="I17" s="1080">
        <v>52.323999999999998</v>
      </c>
    </row>
    <row r="18" spans="1:10" x14ac:dyDescent="0.3">
      <c r="A18" s="214" t="s">
        <v>560</v>
      </c>
      <c r="B18" s="1098">
        <v>21.7</v>
      </c>
      <c r="C18" s="1098">
        <v>24.7</v>
      </c>
      <c r="D18" s="1099">
        <v>28.1</v>
      </c>
      <c r="E18" s="1099">
        <v>40.9</v>
      </c>
      <c r="F18" s="1099">
        <v>36.1</v>
      </c>
      <c r="G18" s="1099">
        <v>38</v>
      </c>
      <c r="H18" s="1099">
        <v>37.704000000000001</v>
      </c>
      <c r="I18" s="1080">
        <v>38.75</v>
      </c>
    </row>
    <row r="19" spans="1:10" x14ac:dyDescent="0.3">
      <c r="A19" s="214" t="s">
        <v>136</v>
      </c>
      <c r="B19" s="1084">
        <f t="shared" ref="B19:I19" si="1">SUM(B16:B18)</f>
        <v>345.59999999999997</v>
      </c>
      <c r="C19" s="1084">
        <f t="shared" si="1"/>
        <v>320.39999999999998</v>
      </c>
      <c r="D19" s="1085">
        <f t="shared" si="1"/>
        <v>292.00000000000006</v>
      </c>
      <c r="E19" s="1085">
        <f t="shared" si="1"/>
        <v>289.09999999999997</v>
      </c>
      <c r="F19" s="1085">
        <f t="shared" si="1"/>
        <v>272.5</v>
      </c>
      <c r="G19" s="1085">
        <f t="shared" si="1"/>
        <v>290.10000000000002</v>
      </c>
      <c r="H19" s="1085">
        <f t="shared" si="1"/>
        <v>264.74299999999999</v>
      </c>
      <c r="I19" s="1086">
        <f t="shared" si="1"/>
        <v>284.68799999999999</v>
      </c>
    </row>
    <row r="20" spans="1:10" x14ac:dyDescent="0.3">
      <c r="A20" s="214"/>
      <c r="B20" s="1098"/>
      <c r="C20" s="1098"/>
      <c r="D20" s="1099"/>
      <c r="E20" s="1099"/>
      <c r="F20" s="1099"/>
      <c r="G20" s="1099"/>
      <c r="H20" s="1099"/>
      <c r="I20" s="1080"/>
    </row>
    <row r="21" spans="1:10" x14ac:dyDescent="0.3">
      <c r="A21" s="214" t="s">
        <v>95</v>
      </c>
      <c r="B21" s="1098"/>
      <c r="C21" s="1098"/>
      <c r="D21" s="1099"/>
      <c r="E21" s="1099"/>
      <c r="F21" s="1099"/>
      <c r="G21" s="1099"/>
      <c r="H21" s="1099"/>
      <c r="I21" s="1080"/>
    </row>
    <row r="22" spans="1:10" x14ac:dyDescent="0.3">
      <c r="A22" s="214" t="s">
        <v>1611</v>
      </c>
      <c r="B22" s="1098">
        <v>40.1</v>
      </c>
      <c r="C22" s="1098">
        <v>35.799999999999997</v>
      </c>
      <c r="D22" s="1099">
        <v>33.200000000000003</v>
      </c>
      <c r="E22" s="1099">
        <v>31.1</v>
      </c>
      <c r="F22" s="1099">
        <v>28.2</v>
      </c>
      <c r="G22" s="1099">
        <v>25.2</v>
      </c>
      <c r="H22" s="1099">
        <v>18.998999999999999</v>
      </c>
      <c r="I22" s="1080">
        <v>14.457000000000001</v>
      </c>
    </row>
    <row r="23" spans="1:10" x14ac:dyDescent="0.3">
      <c r="A23" s="214" t="s">
        <v>583</v>
      </c>
      <c r="B23" s="1098">
        <v>647.70000000000005</v>
      </c>
      <c r="C23" s="1098">
        <v>593.1</v>
      </c>
      <c r="D23" s="1099">
        <v>415.9</v>
      </c>
      <c r="E23" s="1099">
        <v>358.8</v>
      </c>
      <c r="F23" s="1099">
        <v>255.1</v>
      </c>
      <c r="G23" s="1099">
        <v>211.5</v>
      </c>
      <c r="H23" s="1099">
        <v>189.82300000000001</v>
      </c>
      <c r="I23" s="1080">
        <v>154.07</v>
      </c>
    </row>
    <row r="24" spans="1:10" x14ac:dyDescent="0.3">
      <c r="A24" s="214" t="s">
        <v>256</v>
      </c>
      <c r="B24" s="1084">
        <f t="shared" ref="B24:I24" si="2">B22+B23</f>
        <v>687.80000000000007</v>
      </c>
      <c r="C24" s="1084">
        <f t="shared" si="2"/>
        <v>628.9</v>
      </c>
      <c r="D24" s="1085">
        <f t="shared" si="2"/>
        <v>449.09999999999997</v>
      </c>
      <c r="E24" s="1085">
        <f t="shared" si="2"/>
        <v>389.90000000000003</v>
      </c>
      <c r="F24" s="1085">
        <f t="shared" si="2"/>
        <v>283.3</v>
      </c>
      <c r="G24" s="1085">
        <f t="shared" si="2"/>
        <v>236.7</v>
      </c>
      <c r="H24" s="1085">
        <f t="shared" si="2"/>
        <v>208.822</v>
      </c>
      <c r="I24" s="1086">
        <f t="shared" si="2"/>
        <v>168.52699999999999</v>
      </c>
    </row>
    <row r="25" spans="1:10" ht="16.2" thickBot="1" x14ac:dyDescent="0.35">
      <c r="A25" s="214" t="s">
        <v>525</v>
      </c>
      <c r="B25" s="1076">
        <f t="shared" ref="B25:I25" si="3">B19+B24</f>
        <v>1033.4000000000001</v>
      </c>
      <c r="C25" s="1076">
        <f t="shared" si="3"/>
        <v>949.3</v>
      </c>
      <c r="D25" s="1077">
        <f t="shared" si="3"/>
        <v>741.1</v>
      </c>
      <c r="E25" s="1077">
        <f t="shared" si="3"/>
        <v>679</v>
      </c>
      <c r="F25" s="1077">
        <f t="shared" si="3"/>
        <v>555.79999999999995</v>
      </c>
      <c r="G25" s="1077">
        <f t="shared" si="3"/>
        <v>526.79999999999995</v>
      </c>
      <c r="H25" s="1077">
        <f t="shared" si="3"/>
        <v>473.565</v>
      </c>
      <c r="I25" s="1078">
        <f t="shared" si="3"/>
        <v>453.21499999999997</v>
      </c>
    </row>
    <row r="26" spans="1:10" s="309" customFormat="1" ht="16.2" hidden="1" outlineLevel="1" thickTop="1" x14ac:dyDescent="0.3">
      <c r="A26" s="305" t="s">
        <v>20</v>
      </c>
      <c r="B26" s="1065">
        <f t="shared" ref="B26:I26" si="4">B13-B25</f>
        <v>0</v>
      </c>
      <c r="C26" s="1065">
        <f t="shared" si="4"/>
        <v>0</v>
      </c>
      <c r="D26" s="1066">
        <f t="shared" si="4"/>
        <v>0</v>
      </c>
      <c r="E26" s="1066">
        <f t="shared" si="4"/>
        <v>0</v>
      </c>
      <c r="F26" s="1066">
        <f t="shared" si="4"/>
        <v>0</v>
      </c>
      <c r="G26" s="1066">
        <f t="shared" si="4"/>
        <v>0</v>
      </c>
      <c r="H26" s="1066">
        <f t="shared" si="4"/>
        <v>0</v>
      </c>
      <c r="I26" s="1035">
        <f t="shared" si="4"/>
        <v>0</v>
      </c>
    </row>
    <row r="27" spans="1:10" ht="10.5" customHeight="1" collapsed="1" thickTop="1" x14ac:dyDescent="0.3">
      <c r="A27" s="214"/>
      <c r="B27" s="1056"/>
      <c r="C27" s="1056"/>
      <c r="D27" s="220"/>
      <c r="E27" s="220"/>
      <c r="F27" s="220"/>
      <c r="G27" s="220"/>
      <c r="H27" s="220"/>
      <c r="I27" s="223"/>
    </row>
    <row r="28" spans="1:10" x14ac:dyDescent="0.3">
      <c r="A28" s="28" t="s">
        <v>1405</v>
      </c>
      <c r="B28" s="1056"/>
      <c r="C28" s="1056"/>
      <c r="D28" s="220"/>
      <c r="E28" s="220"/>
      <c r="F28" s="220"/>
      <c r="G28" s="220"/>
      <c r="H28" s="220"/>
      <c r="I28" s="223"/>
    </row>
    <row r="29" spans="1:10" ht="16.2" thickBot="1" x14ac:dyDescent="0.35">
      <c r="A29" s="9" t="s">
        <v>541</v>
      </c>
      <c r="B29" s="1036"/>
      <c r="C29" s="1036"/>
      <c r="D29" s="218"/>
      <c r="E29" s="218"/>
      <c r="F29" s="218"/>
      <c r="G29" s="218"/>
      <c r="H29" s="218"/>
      <c r="I29" s="219"/>
    </row>
    <row r="30" spans="1:10" x14ac:dyDescent="0.3">
      <c r="A30" s="495" t="s">
        <v>1896</v>
      </c>
      <c r="B30" s="1047"/>
      <c r="C30" s="1047"/>
      <c r="D30" s="220"/>
      <c r="E30" s="220"/>
      <c r="F30" s="220"/>
      <c r="G30" s="220"/>
      <c r="H30" s="220"/>
      <c r="I30" s="220"/>
    </row>
    <row r="31" spans="1:10" x14ac:dyDescent="0.3">
      <c r="A31" s="220"/>
      <c r="B31" s="1018"/>
      <c r="C31" s="1018"/>
    </row>
    <row r="32" spans="1:10" s="309" customFormat="1" hidden="1" outlineLevel="1" x14ac:dyDescent="0.3">
      <c r="A32" s="309" t="s">
        <v>556</v>
      </c>
      <c r="B32" s="309">
        <v>1994</v>
      </c>
      <c r="C32" s="309">
        <v>1994</v>
      </c>
      <c r="D32" s="309">
        <v>1994</v>
      </c>
      <c r="E32" s="309">
        <v>1992</v>
      </c>
      <c r="F32" s="309">
        <v>1992</v>
      </c>
      <c r="G32" s="309">
        <v>1990</v>
      </c>
      <c r="H32" s="309">
        <v>1990</v>
      </c>
      <c r="I32" s="309">
        <v>1989</v>
      </c>
      <c r="J32" s="309">
        <v>1988</v>
      </c>
    </row>
    <row r="33" spans="1:10" collapsed="1" x14ac:dyDescent="0.3">
      <c r="A33" s="441"/>
      <c r="B33" s="1018"/>
      <c r="C33" s="1018"/>
      <c r="D33" s="1018"/>
      <c r="E33" s="1018"/>
    </row>
    <row r="34" spans="1:10" x14ac:dyDescent="0.3">
      <c r="A34" s="1113" t="s">
        <v>1522</v>
      </c>
      <c r="D34" s="1012"/>
      <c r="E34" s="1012"/>
      <c r="F34" s="1012"/>
      <c r="G34" s="1012"/>
      <c r="H34" s="1012"/>
      <c r="I34" s="1012"/>
    </row>
    <row r="35" spans="1:10" x14ac:dyDescent="0.3">
      <c r="A35" s="152" t="s">
        <v>1901</v>
      </c>
      <c r="D35" s="1012"/>
      <c r="E35" s="1012"/>
      <c r="F35" s="1012"/>
      <c r="G35" s="1012"/>
      <c r="H35" s="1012"/>
      <c r="I35" s="1012"/>
    </row>
    <row r="36" spans="1:10" ht="8.25" customHeight="1" thickBot="1" x14ac:dyDescent="0.35">
      <c r="D36" s="1012"/>
      <c r="E36" s="1012"/>
      <c r="F36" s="1012"/>
      <c r="G36" s="1012"/>
      <c r="H36" s="1012"/>
      <c r="I36" s="1012"/>
    </row>
    <row r="37" spans="1:10" x14ac:dyDescent="0.3">
      <c r="A37" s="212" t="s">
        <v>1250</v>
      </c>
      <c r="B37" s="712">
        <v>1994</v>
      </c>
      <c r="C37" s="712">
        <v>1993</v>
      </c>
      <c r="D37" s="712">
        <v>1992</v>
      </c>
      <c r="E37" s="1095">
        <v>1991</v>
      </c>
      <c r="F37" s="1095">
        <v>1990</v>
      </c>
      <c r="G37" s="1095">
        <v>1989</v>
      </c>
      <c r="H37" s="1095">
        <v>1988</v>
      </c>
      <c r="I37" s="1095">
        <v>1987</v>
      </c>
      <c r="J37" s="1096">
        <v>1986</v>
      </c>
    </row>
    <row r="38" spans="1:10" x14ac:dyDescent="0.3">
      <c r="A38" s="221" t="s">
        <v>561</v>
      </c>
      <c r="B38" s="1015"/>
      <c r="C38" s="1015"/>
      <c r="D38" s="1015"/>
      <c r="E38" s="1015"/>
      <c r="F38" s="1015"/>
      <c r="G38" s="1015"/>
      <c r="H38" s="1015"/>
      <c r="I38" s="1015"/>
      <c r="J38" s="1105"/>
    </row>
    <row r="39" spans="1:10" x14ac:dyDescent="0.3">
      <c r="A39" s="214" t="s">
        <v>562</v>
      </c>
      <c r="B39" s="1109">
        <v>2352</v>
      </c>
      <c r="C39" s="1109">
        <v>1962.9</v>
      </c>
      <c r="D39" s="1109">
        <v>1774.4</v>
      </c>
      <c r="E39" s="1109">
        <v>1651.1</v>
      </c>
      <c r="F39" s="1109">
        <v>1580.1</v>
      </c>
      <c r="G39" s="1109">
        <v>1526.4</v>
      </c>
      <c r="H39" s="1109">
        <v>1407.6</v>
      </c>
      <c r="I39" s="1109">
        <v>1326.829</v>
      </c>
      <c r="J39" s="1114">
        <v>1219.252</v>
      </c>
    </row>
    <row r="40" spans="1:10" x14ac:dyDescent="0.3">
      <c r="A40" s="214" t="s">
        <v>563</v>
      </c>
      <c r="B40" s="1079">
        <v>9</v>
      </c>
      <c r="C40" s="1079">
        <v>8</v>
      </c>
      <c r="D40" s="1079">
        <v>7.5</v>
      </c>
      <c r="E40" s="1079">
        <v>8.5</v>
      </c>
      <c r="F40" s="1079">
        <v>6.7</v>
      </c>
      <c r="G40" s="1079">
        <v>8.4</v>
      </c>
      <c r="H40" s="1079">
        <v>6.7</v>
      </c>
      <c r="I40" s="1079">
        <v>6.7889999999999997</v>
      </c>
      <c r="J40" s="1116">
        <v>7.9489999999999998</v>
      </c>
    </row>
    <row r="41" spans="1:10" x14ac:dyDescent="0.3">
      <c r="A41" s="214" t="s">
        <v>619</v>
      </c>
      <c r="B41" s="2398"/>
      <c r="C41" s="2398"/>
      <c r="D41" s="2398"/>
      <c r="E41" s="1079">
        <v>2.1</v>
      </c>
      <c r="F41" s="1079">
        <v>1.4</v>
      </c>
      <c r="G41" s="1079">
        <v>2.6</v>
      </c>
      <c r="H41" s="1079">
        <v>2.5</v>
      </c>
      <c r="I41" s="1079">
        <v>0.72199999999999998</v>
      </c>
      <c r="J41" s="1116">
        <v>0.81799999999999995</v>
      </c>
    </row>
    <row r="42" spans="1:10" x14ac:dyDescent="0.3">
      <c r="A42" s="214"/>
      <c r="B42" s="1087">
        <f>SUM(B39:B41)</f>
        <v>2361</v>
      </c>
      <c r="C42" s="1087">
        <f t="shared" ref="C42:F42" si="5">SUM(C39:C41)</f>
        <v>1970.9</v>
      </c>
      <c r="D42" s="1087">
        <f t="shared" si="5"/>
        <v>1781.9</v>
      </c>
      <c r="E42" s="1087">
        <f t="shared" si="5"/>
        <v>1661.6999999999998</v>
      </c>
      <c r="F42" s="1087">
        <f t="shared" si="5"/>
        <v>1588.2</v>
      </c>
      <c r="G42" s="1087">
        <f t="shared" ref="G42:H42" si="6">SUM(G39:G41)</f>
        <v>1537.4</v>
      </c>
      <c r="H42" s="1087">
        <f t="shared" si="6"/>
        <v>1416.8</v>
      </c>
      <c r="I42" s="1087">
        <f t="shared" ref="I42:J42" si="7">SUM(I39:I41)</f>
        <v>1334.34</v>
      </c>
      <c r="J42" s="1117">
        <f t="shared" si="7"/>
        <v>1228.019</v>
      </c>
    </row>
    <row r="43" spans="1:10" x14ac:dyDescent="0.3">
      <c r="A43" s="214"/>
      <c r="B43" s="1079"/>
      <c r="C43" s="1079"/>
      <c r="D43" s="1079"/>
      <c r="E43" s="1079"/>
      <c r="F43" s="1079"/>
      <c r="G43" s="1079"/>
      <c r="H43" s="1079"/>
      <c r="I43" s="1079"/>
      <c r="J43" s="1116"/>
    </row>
    <row r="44" spans="1:10" x14ac:dyDescent="0.3">
      <c r="A44" s="221" t="s">
        <v>567</v>
      </c>
      <c r="B44" s="1079"/>
      <c r="C44" s="1079"/>
      <c r="D44" s="1079"/>
      <c r="E44" s="1079"/>
      <c r="F44" s="1079"/>
      <c r="G44" s="1079"/>
      <c r="H44" s="1079"/>
      <c r="I44" s="1079"/>
      <c r="J44" s="1116"/>
    </row>
    <row r="45" spans="1:10" x14ac:dyDescent="0.3">
      <c r="A45" s="214" t="s">
        <v>564</v>
      </c>
      <c r="B45" s="1079">
        <v>1442.9</v>
      </c>
      <c r="C45" s="1079">
        <v>1172.5</v>
      </c>
      <c r="D45" s="1079">
        <v>1043.5999999999999</v>
      </c>
      <c r="E45" s="1079">
        <v>933.7</v>
      </c>
      <c r="F45" s="1079">
        <v>865.6</v>
      </c>
      <c r="G45" s="1079">
        <v>838.7</v>
      </c>
      <c r="H45" s="1079">
        <v>747.8</v>
      </c>
      <c r="I45" s="1079">
        <v>699.73</v>
      </c>
      <c r="J45" s="1116">
        <v>641.88400000000001</v>
      </c>
    </row>
    <row r="46" spans="1:10" ht="31.2" x14ac:dyDescent="0.3">
      <c r="A46" s="282" t="s">
        <v>565</v>
      </c>
      <c r="B46" s="1079">
        <v>578.5</v>
      </c>
      <c r="C46" s="1079">
        <v>522.20000000000005</v>
      </c>
      <c r="D46" s="1079">
        <v>481.5</v>
      </c>
      <c r="E46" s="1079">
        <v>508.6</v>
      </c>
      <c r="F46" s="1079">
        <v>499.3</v>
      </c>
      <c r="G46" s="1079">
        <v>487.7</v>
      </c>
      <c r="H46" s="1079">
        <v>461.8</v>
      </c>
      <c r="I46" s="1079">
        <v>445.97</v>
      </c>
      <c r="J46" s="1116">
        <v>413.09500000000003</v>
      </c>
    </row>
    <row r="47" spans="1:10" x14ac:dyDescent="0.3">
      <c r="A47" s="214" t="s">
        <v>566</v>
      </c>
      <c r="B47" s="1079">
        <v>3.7</v>
      </c>
      <c r="C47" s="1079">
        <v>3.7</v>
      </c>
      <c r="D47" s="1079">
        <v>4.5999999999999996</v>
      </c>
      <c r="E47" s="1079">
        <v>4.9000000000000004</v>
      </c>
      <c r="F47" s="1079">
        <v>6.5</v>
      </c>
      <c r="G47" s="1079">
        <v>6.2</v>
      </c>
      <c r="H47" s="1079">
        <v>4.9000000000000004</v>
      </c>
      <c r="I47" s="1079">
        <v>6.73</v>
      </c>
      <c r="J47" s="1116">
        <v>6.0730000000000004</v>
      </c>
    </row>
    <row r="48" spans="1:10" x14ac:dyDescent="0.3">
      <c r="A48" s="214"/>
      <c r="B48" s="1087">
        <f t="shared" ref="B48:F48" si="8">SUM(B45:B47)</f>
        <v>2025.1000000000001</v>
      </c>
      <c r="C48" s="1087">
        <f t="shared" si="8"/>
        <v>1698.4</v>
      </c>
      <c r="D48" s="1087">
        <f t="shared" si="8"/>
        <v>1529.6999999999998</v>
      </c>
      <c r="E48" s="1087">
        <f t="shared" si="8"/>
        <v>1447.2000000000003</v>
      </c>
      <c r="F48" s="1087">
        <f t="shared" si="8"/>
        <v>1371.4</v>
      </c>
      <c r="G48" s="1087">
        <f t="shared" ref="G48:H48" si="9">SUM(G45:G47)</f>
        <v>1332.6000000000001</v>
      </c>
      <c r="H48" s="1087">
        <f t="shared" si="9"/>
        <v>1214.5</v>
      </c>
      <c r="I48" s="1087">
        <f t="shared" ref="I48:J48" si="10">SUM(I45:I47)</f>
        <v>1152.43</v>
      </c>
      <c r="J48" s="1117">
        <f t="shared" si="10"/>
        <v>1061.0520000000001</v>
      </c>
    </row>
    <row r="49" spans="1:10" ht="31.2" x14ac:dyDescent="0.3">
      <c r="A49" s="282" t="s">
        <v>568</v>
      </c>
      <c r="B49" s="1079">
        <f t="shared" ref="B49:F49" si="11">B42-B48</f>
        <v>335.89999999999986</v>
      </c>
      <c r="C49" s="1079">
        <f t="shared" si="11"/>
        <v>272.5</v>
      </c>
      <c r="D49" s="1079">
        <f t="shared" si="11"/>
        <v>252.20000000000027</v>
      </c>
      <c r="E49" s="1079">
        <f t="shared" si="11"/>
        <v>214.49999999999955</v>
      </c>
      <c r="F49" s="1079">
        <f t="shared" si="11"/>
        <v>216.79999999999995</v>
      </c>
      <c r="G49" s="1079">
        <f t="shared" ref="G49:H49" si="12">G42-G48</f>
        <v>204.79999999999995</v>
      </c>
      <c r="H49" s="1079">
        <f t="shared" si="12"/>
        <v>202.29999999999995</v>
      </c>
      <c r="I49" s="1079">
        <f t="shared" ref="I49:J49" si="13">I42-I48</f>
        <v>181.90999999999985</v>
      </c>
      <c r="J49" s="1116">
        <f t="shared" si="13"/>
        <v>166.96699999999987</v>
      </c>
    </row>
    <row r="50" spans="1:10" x14ac:dyDescent="0.3">
      <c r="A50" s="214" t="s">
        <v>533</v>
      </c>
      <c r="B50" s="1079">
        <v>122.3</v>
      </c>
      <c r="C50" s="1079">
        <v>103.7</v>
      </c>
      <c r="D50" s="1079">
        <v>97.4</v>
      </c>
      <c r="E50" s="1079">
        <v>82.3</v>
      </c>
      <c r="F50" s="1079">
        <v>83.9</v>
      </c>
      <c r="G50" s="1079">
        <v>78.900000000000006</v>
      </c>
      <c r="H50" s="1079">
        <v>76.2</v>
      </c>
      <c r="I50" s="1079">
        <v>79.587999999999994</v>
      </c>
      <c r="J50" s="1116">
        <v>83.183999999999997</v>
      </c>
    </row>
    <row r="51" spans="1:10" x14ac:dyDescent="0.3">
      <c r="A51" s="214"/>
      <c r="B51" s="1087">
        <f t="shared" ref="B51:F51" si="14">B49-B50</f>
        <v>213.59999999999985</v>
      </c>
      <c r="C51" s="1087">
        <f t="shared" si="14"/>
        <v>168.8</v>
      </c>
      <c r="D51" s="1087">
        <f t="shared" si="14"/>
        <v>154.80000000000027</v>
      </c>
      <c r="E51" s="1087">
        <f t="shared" si="14"/>
        <v>132.19999999999953</v>
      </c>
      <c r="F51" s="1087">
        <f t="shared" si="14"/>
        <v>132.89999999999995</v>
      </c>
      <c r="G51" s="1087">
        <f t="shared" ref="G51:H51" si="15">G49-G50</f>
        <v>125.89999999999995</v>
      </c>
      <c r="H51" s="1087">
        <f t="shared" si="15"/>
        <v>126.09999999999995</v>
      </c>
      <c r="I51" s="1087">
        <f t="shared" ref="I51:J51" si="16">I49-I50</f>
        <v>102.32199999999986</v>
      </c>
      <c r="J51" s="1117">
        <f t="shared" si="16"/>
        <v>83.782999999999873</v>
      </c>
    </row>
    <row r="52" spans="1:10" x14ac:dyDescent="0.3">
      <c r="A52" s="282" t="s">
        <v>534</v>
      </c>
      <c r="B52" s="1079">
        <v>4.9000000000000004</v>
      </c>
      <c r="C52" s="1079">
        <v>4.5</v>
      </c>
      <c r="D52" s="1079">
        <v>4.2</v>
      </c>
      <c r="E52" s="1079">
        <v>4.5999999999999996</v>
      </c>
      <c r="F52" s="1079">
        <v>5.4</v>
      </c>
      <c r="G52" s="1079">
        <v>5</v>
      </c>
      <c r="H52" s="1079">
        <v>4.4000000000000004</v>
      </c>
      <c r="I52" s="1079">
        <v>3.4830000000000001</v>
      </c>
      <c r="J52" s="1116">
        <v>3.0289999999999999</v>
      </c>
    </row>
    <row r="53" spans="1:10" ht="16.2" thickBot="1" x14ac:dyDescent="0.35">
      <c r="A53" s="214" t="s">
        <v>301</v>
      </c>
      <c r="B53" s="1076">
        <f t="shared" ref="B53:F53" si="17">B51-B52</f>
        <v>208.69999999999985</v>
      </c>
      <c r="C53" s="1076">
        <f t="shared" si="17"/>
        <v>164.3</v>
      </c>
      <c r="D53" s="1076">
        <f t="shared" si="17"/>
        <v>150.60000000000028</v>
      </c>
      <c r="E53" s="1076">
        <f t="shared" si="17"/>
        <v>127.59999999999954</v>
      </c>
      <c r="F53" s="1076">
        <f t="shared" si="17"/>
        <v>127.49999999999994</v>
      </c>
      <c r="G53" s="1076">
        <f t="shared" ref="G53:H53" si="18">G51-G52</f>
        <v>120.89999999999995</v>
      </c>
      <c r="H53" s="1076">
        <f t="shared" si="18"/>
        <v>121.69999999999995</v>
      </c>
      <c r="I53" s="1076">
        <f t="shared" ref="I53:J53" si="19">I51-I52</f>
        <v>98.838999999999857</v>
      </c>
      <c r="J53" s="1115">
        <f t="shared" si="19"/>
        <v>80.753999999999877</v>
      </c>
    </row>
    <row r="54" spans="1:10" ht="10.5" customHeight="1" thickTop="1" thickBot="1" x14ac:dyDescent="0.35">
      <c r="A54" s="224"/>
      <c r="B54" s="1036"/>
      <c r="C54" s="1036"/>
      <c r="D54" s="1036"/>
      <c r="E54" s="1036"/>
      <c r="F54" s="1036"/>
      <c r="G54" s="1036"/>
      <c r="H54" s="1036"/>
      <c r="I54" s="218"/>
      <c r="J54" s="219"/>
    </row>
    <row r="55" spans="1:10" x14ac:dyDescent="0.3">
      <c r="A55" s="495" t="s">
        <v>1896</v>
      </c>
      <c r="B55" s="1047"/>
      <c r="C55" s="1047"/>
      <c r="D55" s="220"/>
      <c r="E55" s="220"/>
      <c r="F55" s="220"/>
      <c r="G55" s="220"/>
      <c r="H55" s="220"/>
      <c r="I55" s="220"/>
    </row>
    <row r="56" spans="1:10" x14ac:dyDescent="0.3">
      <c r="A56" s="220"/>
      <c r="B56" s="1018"/>
      <c r="C56" s="1018"/>
    </row>
    <row r="57" spans="1:10" ht="10.5" customHeight="1" x14ac:dyDescent="0.3">
      <c r="B57" s="1018"/>
      <c r="C57" s="1018"/>
      <c r="D57" s="1018"/>
      <c r="E57" s="1018"/>
      <c r="F57" s="1018"/>
      <c r="G57" s="1018"/>
      <c r="H57" s="1018"/>
    </row>
    <row r="58" spans="1:10" x14ac:dyDescent="0.3">
      <c r="A58" s="441"/>
      <c r="B58" s="1018"/>
      <c r="C58" s="1018"/>
      <c r="D58" s="1018"/>
      <c r="E58" s="1018"/>
      <c r="F58" s="1018"/>
      <c r="G58" s="1018"/>
      <c r="H58" s="1018"/>
    </row>
    <row r="59" spans="1:10" x14ac:dyDescent="0.3">
      <c r="A59" s="1113" t="s">
        <v>1522</v>
      </c>
      <c r="D59" s="1012"/>
      <c r="E59" s="1012"/>
      <c r="F59" s="1012"/>
      <c r="G59" s="1012"/>
      <c r="H59" s="1012"/>
      <c r="I59" s="1012"/>
    </row>
    <row r="60" spans="1:10" x14ac:dyDescent="0.3">
      <c r="A60" s="152" t="s">
        <v>1903</v>
      </c>
      <c r="D60" s="1012"/>
      <c r="E60" s="1012"/>
      <c r="F60" s="1012"/>
      <c r="G60" s="1012"/>
      <c r="H60" s="1012"/>
      <c r="I60" s="1012"/>
    </row>
    <row r="61" spans="1:10" ht="8.25" customHeight="1" thickBot="1" x14ac:dyDescent="0.35">
      <c r="D61" s="1012"/>
      <c r="E61" s="1012"/>
      <c r="F61" s="1012"/>
      <c r="G61" s="1012"/>
      <c r="H61" s="1012"/>
      <c r="I61" s="1012"/>
    </row>
    <row r="62" spans="1:10" x14ac:dyDescent="0.3">
      <c r="A62" s="212"/>
      <c r="B62" s="712">
        <v>1994</v>
      </c>
      <c r="C62" s="712">
        <v>1993</v>
      </c>
      <c r="D62" s="712">
        <v>1992</v>
      </c>
      <c r="E62" s="1095">
        <v>1991</v>
      </c>
      <c r="F62" s="1095">
        <v>1990</v>
      </c>
      <c r="G62" s="1095">
        <v>1989</v>
      </c>
      <c r="H62" s="1095">
        <v>1988</v>
      </c>
      <c r="I62" s="1095">
        <v>1987</v>
      </c>
      <c r="J62" s="1096">
        <v>1986</v>
      </c>
    </row>
    <row r="63" spans="1:10" x14ac:dyDescent="0.3">
      <c r="A63" s="214" t="s">
        <v>2545</v>
      </c>
      <c r="B63" s="464">
        <f>B42/C42-1</f>
        <v>0.19792987975036769</v>
      </c>
      <c r="C63" s="464">
        <f t="shared" ref="C63:I63" si="20">C42/D42-1</f>
        <v>0.10606655816824739</v>
      </c>
      <c r="D63" s="464">
        <f t="shared" si="20"/>
        <v>7.2335559968706997E-2</v>
      </c>
      <c r="E63" s="464">
        <f t="shared" si="20"/>
        <v>4.6278806195693134E-2</v>
      </c>
      <c r="F63" s="464">
        <f t="shared" si="20"/>
        <v>3.3042799531676881E-2</v>
      </c>
      <c r="G63" s="464">
        <f t="shared" si="20"/>
        <v>8.5121400338791675E-2</v>
      </c>
      <c r="H63" s="464">
        <f t="shared" si="20"/>
        <v>6.1798342251599969E-2</v>
      </c>
      <c r="I63" s="464">
        <f t="shared" si="20"/>
        <v>8.6579279310824875E-2</v>
      </c>
      <c r="J63" s="1279"/>
    </row>
    <row r="64" spans="1:10" x14ac:dyDescent="0.3">
      <c r="A64" s="214" t="s">
        <v>805</v>
      </c>
      <c r="B64" s="464">
        <f t="shared" ref="B64:I64" si="21">B49/C49-1</f>
        <v>0.23266055045871514</v>
      </c>
      <c r="C64" s="464">
        <f t="shared" si="21"/>
        <v>8.0491673275177256E-2</v>
      </c>
      <c r="D64" s="464">
        <f t="shared" si="21"/>
        <v>0.17575757575757955</v>
      </c>
      <c r="E64" s="464">
        <f t="shared" si="21"/>
        <v>-1.0608856088562768E-2</v>
      </c>
      <c r="F64" s="464">
        <f t="shared" si="21"/>
        <v>5.859375E-2</v>
      </c>
      <c r="G64" s="464">
        <f t="shared" si="21"/>
        <v>1.2357884330202573E-2</v>
      </c>
      <c r="H64" s="464">
        <f t="shared" si="21"/>
        <v>0.11208839536034376</v>
      </c>
      <c r="I64" s="464">
        <f t="shared" si="21"/>
        <v>8.9496726898129486E-2</v>
      </c>
      <c r="J64" s="1279"/>
    </row>
    <row r="65" spans="1:17" ht="4.5" customHeight="1" x14ac:dyDescent="0.3">
      <c r="A65" s="214"/>
      <c r="B65" s="464"/>
      <c r="C65" s="464"/>
      <c r="D65" s="464"/>
      <c r="E65" s="464"/>
      <c r="F65" s="464"/>
      <c r="G65" s="464"/>
      <c r="H65" s="464"/>
      <c r="I65" s="464"/>
      <c r="J65" s="2399"/>
    </row>
    <row r="66" spans="1:17" ht="4.5" customHeight="1" x14ac:dyDescent="0.3">
      <c r="A66" s="1155"/>
      <c r="B66" s="728"/>
      <c r="C66" s="728"/>
      <c r="D66" s="728"/>
      <c r="E66" s="728"/>
      <c r="F66" s="728"/>
      <c r="G66" s="728"/>
      <c r="H66" s="728"/>
      <c r="I66" s="728"/>
      <c r="J66" s="1279"/>
    </row>
    <row r="67" spans="1:17" ht="4.5" customHeight="1" x14ac:dyDescent="0.3">
      <c r="A67" s="221"/>
      <c r="B67" s="1070"/>
      <c r="C67" s="1070"/>
      <c r="D67" s="1070"/>
      <c r="E67" s="1070"/>
      <c r="F67" s="1070"/>
      <c r="G67" s="1070"/>
      <c r="H67" s="1070"/>
      <c r="I67" s="1070"/>
      <c r="J67" s="1107"/>
      <c r="Q67" s="211" t="s">
        <v>176</v>
      </c>
    </row>
    <row r="68" spans="1:17" x14ac:dyDescent="0.3">
      <c r="A68" s="214" t="s">
        <v>569</v>
      </c>
      <c r="B68" s="464">
        <f t="shared" ref="B68:J68" si="22">(B39-B45)/B39</f>
        <v>0.38652210884353738</v>
      </c>
      <c r="C68" s="464">
        <f t="shared" si="22"/>
        <v>0.40266951958836417</v>
      </c>
      <c r="D68" s="464">
        <f t="shared" si="22"/>
        <v>0.41185752930568087</v>
      </c>
      <c r="E68" s="464">
        <f t="shared" si="22"/>
        <v>0.43449821331233718</v>
      </c>
      <c r="F68" s="464">
        <f t="shared" si="22"/>
        <v>0.45218657047022337</v>
      </c>
      <c r="G68" s="464">
        <f t="shared" si="22"/>
        <v>0.45053721174004191</v>
      </c>
      <c r="H68" s="464">
        <f t="shared" si="22"/>
        <v>0.46874111963626031</v>
      </c>
      <c r="I68" s="464">
        <f t="shared" si="22"/>
        <v>0.47262985659794893</v>
      </c>
      <c r="J68" s="347">
        <f t="shared" si="22"/>
        <v>0.47354279509076053</v>
      </c>
    </row>
    <row r="69" spans="1:17" x14ac:dyDescent="0.3">
      <c r="A69" s="214" t="s">
        <v>570</v>
      </c>
      <c r="B69" s="464">
        <f t="shared" ref="B69:J69" si="23">B49/B42</f>
        <v>0.14227022448115201</v>
      </c>
      <c r="C69" s="464">
        <f t="shared" si="23"/>
        <v>0.13826170784920594</v>
      </c>
      <c r="D69" s="464">
        <f t="shared" si="23"/>
        <v>0.1415343173017567</v>
      </c>
      <c r="E69" s="464">
        <f t="shared" si="23"/>
        <v>0.12908467232352383</v>
      </c>
      <c r="F69" s="464">
        <f t="shared" si="23"/>
        <v>0.13650673718675227</v>
      </c>
      <c r="G69" s="464">
        <f t="shared" si="23"/>
        <v>0.13321191622219328</v>
      </c>
      <c r="H69" s="464">
        <f t="shared" si="23"/>
        <v>0.14278656126482211</v>
      </c>
      <c r="I69" s="464">
        <f t="shared" si="23"/>
        <v>0.13632957117376371</v>
      </c>
      <c r="J69" s="347">
        <f t="shared" si="23"/>
        <v>0.13596450869245497</v>
      </c>
    </row>
    <row r="70" spans="1:17" hidden="1" outlineLevel="1" x14ac:dyDescent="0.3">
      <c r="A70" s="214"/>
      <c r="B70" s="220"/>
      <c r="C70" s="220"/>
      <c r="D70" s="220"/>
      <c r="E70" s="220"/>
      <c r="F70" s="220"/>
      <c r="G70" s="220"/>
      <c r="H70" s="220"/>
      <c r="I70" s="220"/>
      <c r="J70" s="223"/>
    </row>
    <row r="71" spans="1:17" s="309" customFormat="1" hidden="1" outlineLevel="1" x14ac:dyDescent="0.3">
      <c r="A71" s="305" t="s">
        <v>575</v>
      </c>
      <c r="B71" s="1065">
        <f t="shared" ref="B71:H71" si="24">(B24+B18+C24+C18)/2</f>
        <v>681.55000000000007</v>
      </c>
      <c r="C71" s="1065">
        <f t="shared" si="24"/>
        <v>565.4</v>
      </c>
      <c r="D71" s="1065">
        <f t="shared" si="24"/>
        <v>454</v>
      </c>
      <c r="E71" s="1065">
        <f t="shared" si="24"/>
        <v>375.1</v>
      </c>
      <c r="F71" s="1065">
        <f t="shared" si="24"/>
        <v>297.05</v>
      </c>
      <c r="G71" s="1065">
        <f t="shared" si="24"/>
        <v>260.613</v>
      </c>
      <c r="H71" s="1065">
        <f t="shared" si="24"/>
        <v>226.9015</v>
      </c>
      <c r="I71" s="1065"/>
      <c r="J71" s="373"/>
    </row>
    <row r="72" spans="1:17" ht="4.5" customHeight="1" collapsed="1" x14ac:dyDescent="0.3">
      <c r="A72" s="214"/>
      <c r="B72" s="464"/>
      <c r="C72" s="464"/>
      <c r="D72" s="464"/>
      <c r="E72" s="464"/>
      <c r="F72" s="464"/>
      <c r="G72" s="464"/>
      <c r="H72" s="464"/>
      <c r="I72" s="464"/>
      <c r="J72" s="2399"/>
    </row>
    <row r="73" spans="1:17" ht="4.5" customHeight="1" x14ac:dyDescent="0.3">
      <c r="A73" s="1155"/>
      <c r="B73" s="728"/>
      <c r="C73" s="728"/>
      <c r="D73" s="728"/>
      <c r="E73" s="728"/>
      <c r="F73" s="728"/>
      <c r="G73" s="728"/>
      <c r="H73" s="728"/>
      <c r="I73" s="728"/>
      <c r="J73" s="1279"/>
    </row>
    <row r="74" spans="1:17" ht="4.5" customHeight="1" x14ac:dyDescent="0.3">
      <c r="A74" s="221"/>
      <c r="B74" s="1070"/>
      <c r="C74" s="1070"/>
      <c r="D74" s="1070"/>
      <c r="E74" s="1070"/>
      <c r="F74" s="1070"/>
      <c r="G74" s="1070"/>
      <c r="H74" s="1070"/>
      <c r="I74" s="1070"/>
      <c r="J74" s="1107"/>
      <c r="Q74" s="211" t="s">
        <v>176</v>
      </c>
    </row>
    <row r="75" spans="1:17" x14ac:dyDescent="0.3">
      <c r="A75" s="532" t="s">
        <v>573</v>
      </c>
      <c r="B75" s="1365">
        <f t="shared" ref="B75:G75" si="25">B49/B71</f>
        <v>0.49284718656004672</v>
      </c>
      <c r="C75" s="1365">
        <f t="shared" si="25"/>
        <v>0.48195967456667849</v>
      </c>
      <c r="D75" s="1365">
        <f t="shared" si="25"/>
        <v>0.55550660792951601</v>
      </c>
      <c r="E75" s="1365">
        <f t="shared" si="25"/>
        <v>0.57184750733137701</v>
      </c>
      <c r="F75" s="1365">
        <f t="shared" si="25"/>
        <v>0.72984346069685224</v>
      </c>
      <c r="G75" s="1365">
        <f t="shared" si="25"/>
        <v>0.78583953985411303</v>
      </c>
      <c r="H75" s="1365">
        <f>H49/H71</f>
        <v>0.89157630072961158</v>
      </c>
      <c r="I75" s="684"/>
      <c r="J75" s="1279"/>
    </row>
    <row r="76" spans="1:17" x14ac:dyDescent="0.3">
      <c r="A76" s="214" t="s">
        <v>574</v>
      </c>
      <c r="B76" s="464">
        <f t="shared" ref="B76:H76" si="26">B51/B71</f>
        <v>0.31340327195363482</v>
      </c>
      <c r="C76" s="464">
        <f t="shared" si="26"/>
        <v>0.29854969932790948</v>
      </c>
      <c r="D76" s="464">
        <f t="shared" si="26"/>
        <v>0.34096916299559532</v>
      </c>
      <c r="E76" s="464">
        <f t="shared" si="26"/>
        <v>0.35243934950679695</v>
      </c>
      <c r="F76" s="464">
        <f t="shared" si="26"/>
        <v>0.44739942770577323</v>
      </c>
      <c r="G76" s="464">
        <f t="shared" si="26"/>
        <v>0.48309178743961334</v>
      </c>
      <c r="H76" s="464">
        <f t="shared" si="26"/>
        <v>0.55574775838855162</v>
      </c>
      <c r="I76" s="684"/>
      <c r="J76" s="1279"/>
    </row>
    <row r="77" spans="1:17" ht="4.5" customHeight="1" collapsed="1" x14ac:dyDescent="0.3">
      <c r="A77" s="214"/>
      <c r="B77" s="464"/>
      <c r="C77" s="464"/>
      <c r="D77" s="464"/>
      <c r="E77" s="464"/>
      <c r="F77" s="464"/>
      <c r="G77" s="464"/>
      <c r="H77" s="464"/>
      <c r="I77" s="464"/>
      <c r="J77" s="2399"/>
    </row>
    <row r="78" spans="1:17" ht="4.5" customHeight="1" x14ac:dyDescent="0.3">
      <c r="A78" s="1155"/>
      <c r="B78" s="728"/>
      <c r="C78" s="728"/>
      <c r="D78" s="728"/>
      <c r="E78" s="728"/>
      <c r="F78" s="728"/>
      <c r="G78" s="728"/>
      <c r="H78" s="728"/>
      <c r="I78" s="728"/>
      <c r="J78" s="1279"/>
    </row>
    <row r="79" spans="1:17" ht="4.5" customHeight="1" x14ac:dyDescent="0.3">
      <c r="A79" s="221"/>
      <c r="B79" s="1070"/>
      <c r="C79" s="1070"/>
      <c r="D79" s="1070"/>
      <c r="E79" s="1070"/>
      <c r="F79" s="1070"/>
      <c r="G79" s="1070"/>
      <c r="H79" s="1070"/>
      <c r="I79" s="1070"/>
      <c r="J79" s="1107"/>
      <c r="Q79" s="211" t="s">
        <v>176</v>
      </c>
    </row>
    <row r="80" spans="1:17" x14ac:dyDescent="0.3">
      <c r="A80" s="214" t="s">
        <v>572</v>
      </c>
      <c r="B80" s="464">
        <f t="shared" ref="B80:F80" si="27">B49/(AVERAGE(B24:C24))</f>
        <v>0.51021493126756268</v>
      </c>
      <c r="C80" s="464">
        <f t="shared" si="27"/>
        <v>0.50556586270871984</v>
      </c>
      <c r="D80" s="464">
        <f t="shared" si="27"/>
        <v>0.60119189511323068</v>
      </c>
      <c r="E80" s="464">
        <f t="shared" si="27"/>
        <v>0.63725490196078294</v>
      </c>
      <c r="F80" s="464">
        <f t="shared" si="27"/>
        <v>0.83384615384615368</v>
      </c>
      <c r="G80" s="464">
        <f>G49/(AVERAGE(G24:H24))</f>
        <v>0.91937098504675396</v>
      </c>
      <c r="H80" s="464">
        <f>H49/(AVERAGE(H24:I24))</f>
        <v>1.0722169662567012</v>
      </c>
      <c r="I80" s="684"/>
      <c r="J80" s="1279"/>
    </row>
    <row r="81" spans="1:17" x14ac:dyDescent="0.3">
      <c r="A81" s="214" t="s">
        <v>571</v>
      </c>
      <c r="B81" s="464">
        <f t="shared" ref="B81:H81" si="28">B51/(AVERAGE(B24:C24))</f>
        <v>0.32444748234221893</v>
      </c>
      <c r="C81" s="464">
        <f t="shared" si="28"/>
        <v>0.31317254174397036</v>
      </c>
      <c r="D81" s="464">
        <f t="shared" si="28"/>
        <v>0.36901072705601973</v>
      </c>
      <c r="E81" s="464">
        <f t="shared" si="28"/>
        <v>0.39275103980986192</v>
      </c>
      <c r="F81" s="464">
        <f t="shared" si="28"/>
        <v>0.51115384615384596</v>
      </c>
      <c r="G81" s="464">
        <f t="shared" si="28"/>
        <v>0.56517972176458153</v>
      </c>
      <c r="H81" s="464">
        <f t="shared" si="28"/>
        <v>0.66834680892224418</v>
      </c>
      <c r="I81" s="684"/>
      <c r="J81" s="1279"/>
      <c r="M81" s="211" t="s">
        <v>176</v>
      </c>
    </row>
    <row r="82" spans="1:17" ht="4.5" customHeight="1" collapsed="1" x14ac:dyDescent="0.3">
      <c r="A82" s="214"/>
      <c r="B82" s="464"/>
      <c r="C82" s="464"/>
      <c r="D82" s="464"/>
      <c r="E82" s="464"/>
      <c r="F82" s="464"/>
      <c r="G82" s="464"/>
      <c r="H82" s="464"/>
      <c r="I82" s="464"/>
      <c r="J82" s="2399"/>
    </row>
    <row r="83" spans="1:17" ht="4.5" customHeight="1" x14ac:dyDescent="0.3">
      <c r="A83" s="1155"/>
      <c r="B83" s="728"/>
      <c r="C83" s="728"/>
      <c r="D83" s="728"/>
      <c r="E83" s="728"/>
      <c r="F83" s="728"/>
      <c r="G83" s="728"/>
      <c r="H83" s="728"/>
      <c r="I83" s="728"/>
      <c r="J83" s="1279"/>
    </row>
    <row r="84" spans="1:17" ht="4.5" customHeight="1" x14ac:dyDescent="0.3">
      <c r="A84" s="221"/>
      <c r="B84" s="1070"/>
      <c r="C84" s="1070"/>
      <c r="D84" s="1070"/>
      <c r="E84" s="1070"/>
      <c r="F84" s="1070"/>
      <c r="G84" s="1070"/>
      <c r="H84" s="1070"/>
      <c r="I84" s="1070"/>
      <c r="J84" s="1107"/>
      <c r="Q84" s="211" t="s">
        <v>176</v>
      </c>
    </row>
    <row r="85" spans="1:17" ht="16.2" thickBot="1" x14ac:dyDescent="0.35">
      <c r="A85" s="224" t="s">
        <v>934</v>
      </c>
      <c r="B85" s="232">
        <f t="shared" ref="B85:I85" si="29">B18/B24</f>
        <v>3.1549869148008135E-2</v>
      </c>
      <c r="C85" s="232">
        <f t="shared" si="29"/>
        <v>3.9274924471299093E-2</v>
      </c>
      <c r="D85" s="232">
        <f t="shared" si="29"/>
        <v>6.2569583611667784E-2</v>
      </c>
      <c r="E85" s="232">
        <f t="shared" si="29"/>
        <v>0.10489869197230058</v>
      </c>
      <c r="F85" s="232">
        <f>F18/F24</f>
        <v>0.12742675608895165</v>
      </c>
      <c r="G85" s="232">
        <f t="shared" si="29"/>
        <v>0.16054076890578792</v>
      </c>
      <c r="H85" s="232">
        <f t="shared" si="29"/>
        <v>0.1805556885768741</v>
      </c>
      <c r="I85" s="232">
        <f t="shared" si="29"/>
        <v>0.22993348246868456</v>
      </c>
      <c r="J85" s="1939"/>
    </row>
    <row r="86" spans="1:17" x14ac:dyDescent="0.3">
      <c r="A86" s="410" t="s">
        <v>1895</v>
      </c>
    </row>
    <row r="87" spans="1:17" x14ac:dyDescent="0.3">
      <c r="B87" s="352"/>
    </row>
    <row r="88" spans="1:17" x14ac:dyDescent="0.3">
      <c r="A88" s="211" t="s">
        <v>730</v>
      </c>
      <c r="I88" s="226">
        <f>I13*1000/'5. Select Parent Fin''l Data'!P28</f>
        <v>7.7297771622662229E-2</v>
      </c>
    </row>
    <row r="89" spans="1:17" x14ac:dyDescent="0.3">
      <c r="A89" s="211" t="s">
        <v>731</v>
      </c>
      <c r="E89" s="211" t="s">
        <v>176</v>
      </c>
      <c r="I89" s="226">
        <f>I24*1000/'5. Select Parent Fin''l Data'!P30</f>
        <v>5.9305849153610618E-2</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2D1C-6973-4636-BD04-C6312D3BD639}">
  <sheetPr codeName="Sheet42">
    <tabColor theme="4"/>
  </sheetPr>
  <dimension ref="A1:K88"/>
  <sheetViews>
    <sheetView showGridLines="0" zoomScaleNormal="100" workbookViewId="0">
      <pane xSplit="1" topLeftCell="B1" activePane="topRight" state="frozen"/>
      <selection pane="topRight" activeCell="K5" sqref="K5"/>
    </sheetView>
  </sheetViews>
  <sheetFormatPr defaultColWidth="8.6640625" defaultRowHeight="15.6" outlineLevelRow="1" x14ac:dyDescent="0.3"/>
  <cols>
    <col min="1" max="1" width="43.6640625" style="211" customWidth="1"/>
    <col min="2" max="6" width="8.6640625" style="211" bestFit="1" customWidth="1"/>
    <col min="7" max="8" width="8.88671875" style="211" bestFit="1" customWidth="1"/>
    <col min="9" max="9" width="8.6640625" style="211" bestFit="1" customWidth="1"/>
    <col min="10" max="10" width="7.5546875" style="211" bestFit="1" customWidth="1"/>
    <col min="11" max="16384" width="8.6640625" style="211"/>
  </cols>
  <sheetData>
    <row r="1" spans="1:9" s="309" customFormat="1" outlineLevel="1" x14ac:dyDescent="0.3">
      <c r="A1" s="309" t="s">
        <v>556</v>
      </c>
      <c r="B1" s="309">
        <v>1994</v>
      </c>
      <c r="C1" s="309">
        <v>1994</v>
      </c>
      <c r="D1" s="1011">
        <v>1992</v>
      </c>
      <c r="E1" s="1011">
        <v>1992</v>
      </c>
      <c r="F1" s="1011">
        <v>1991</v>
      </c>
      <c r="G1" s="1011">
        <v>1990</v>
      </c>
      <c r="H1" s="1011">
        <v>1989</v>
      </c>
      <c r="I1" s="1011">
        <v>1988</v>
      </c>
    </row>
    <row r="2" spans="1:9" x14ac:dyDescent="0.3">
      <c r="D2" s="1012"/>
      <c r="E2" s="1012"/>
      <c r="F2" s="1028"/>
      <c r="G2" s="1028"/>
      <c r="H2" s="1028"/>
      <c r="I2" s="1028"/>
    </row>
    <row r="3" spans="1:9" x14ac:dyDescent="0.3">
      <c r="A3" s="459" t="s">
        <v>1522</v>
      </c>
      <c r="D3" s="1012"/>
      <c r="E3" s="1012"/>
      <c r="F3" s="1012"/>
      <c r="G3" s="1012"/>
      <c r="H3" s="1012"/>
      <c r="I3" s="1012"/>
    </row>
    <row r="4" spans="1:9" x14ac:dyDescent="0.3">
      <c r="A4" s="152" t="s">
        <v>1904</v>
      </c>
      <c r="D4" s="1012"/>
      <c r="E4" s="1012"/>
      <c r="F4" s="1012"/>
      <c r="G4" s="1012"/>
      <c r="H4" s="1012"/>
      <c r="I4" s="1012"/>
    </row>
    <row r="5" spans="1:9" ht="8.25" customHeight="1" thickBot="1" x14ac:dyDescent="0.35">
      <c r="D5" s="1012"/>
      <c r="E5" s="1012"/>
      <c r="F5" s="1012"/>
      <c r="G5" s="1012"/>
      <c r="H5" s="1012"/>
      <c r="I5" s="1012"/>
    </row>
    <row r="6" spans="1:9" x14ac:dyDescent="0.3">
      <c r="A6" s="212" t="s">
        <v>1250</v>
      </c>
      <c r="B6" s="712">
        <v>1994</v>
      </c>
      <c r="C6" s="712">
        <v>1993</v>
      </c>
      <c r="D6" s="712">
        <v>1992</v>
      </c>
      <c r="E6" s="1095">
        <v>1991</v>
      </c>
      <c r="F6" s="1095">
        <v>1990</v>
      </c>
      <c r="G6" s="1095">
        <v>1989</v>
      </c>
      <c r="H6" s="1095">
        <v>1988</v>
      </c>
      <c r="I6" s="1096">
        <v>1987</v>
      </c>
    </row>
    <row r="7" spans="1:9" x14ac:dyDescent="0.3">
      <c r="A7" s="221" t="s">
        <v>515</v>
      </c>
      <c r="B7" s="220"/>
      <c r="C7" s="220"/>
      <c r="D7" s="1051"/>
      <c r="E7" s="1051"/>
      <c r="F7" s="1051"/>
      <c r="G7" s="1051"/>
      <c r="H7" s="1051"/>
      <c r="I7" s="1013"/>
    </row>
    <row r="8" spans="1:9" x14ac:dyDescent="0.3">
      <c r="A8" s="214" t="s">
        <v>517</v>
      </c>
      <c r="B8" s="1111">
        <v>16</v>
      </c>
      <c r="C8" s="1111">
        <v>37</v>
      </c>
      <c r="D8" s="1112">
        <v>64.400000000000006</v>
      </c>
      <c r="E8" s="1112">
        <v>32.700000000000003</v>
      </c>
      <c r="F8" s="1112">
        <v>72.900000000000006</v>
      </c>
      <c r="G8" s="1112">
        <v>40</v>
      </c>
      <c r="H8" s="1112">
        <v>63.192999999999998</v>
      </c>
      <c r="I8" s="1110">
        <v>77.028999999999996</v>
      </c>
    </row>
    <row r="9" spans="1:9" ht="18.600000000000001" x14ac:dyDescent="0.3">
      <c r="A9" s="1118" t="s">
        <v>1612</v>
      </c>
      <c r="B9" s="1121">
        <v>538.9</v>
      </c>
      <c r="C9" s="1121">
        <v>667.1</v>
      </c>
      <c r="D9" s="1122">
        <f>68.9</f>
        <v>68.900000000000006</v>
      </c>
      <c r="E9" s="1122">
        <f>(14.2+129.5)</f>
        <v>143.69999999999999</v>
      </c>
      <c r="F9" s="1122">
        <f>17+23.7+17.5</f>
        <v>58.2</v>
      </c>
      <c r="G9" s="1122">
        <f>17.5+30.5</f>
        <v>48</v>
      </c>
      <c r="H9" s="1122">
        <f>48.013+30.524</f>
        <v>78.537000000000006</v>
      </c>
      <c r="I9" s="1123">
        <f>103.425+27.506</f>
        <v>130.93099999999998</v>
      </c>
    </row>
    <row r="10" spans="1:9" x14ac:dyDescent="0.3">
      <c r="A10" s="1118" t="s">
        <v>623</v>
      </c>
      <c r="B10" s="1124">
        <v>0</v>
      </c>
      <c r="C10" s="1124">
        <v>0</v>
      </c>
      <c r="D10" s="1125">
        <v>71.7</v>
      </c>
      <c r="E10" s="1125">
        <v>71.7</v>
      </c>
      <c r="F10" s="1125">
        <f>71.7+36.8</f>
        <v>108.5</v>
      </c>
      <c r="G10" s="1125">
        <f>71.7+36.8</f>
        <v>108.5</v>
      </c>
      <c r="H10" s="1125">
        <f>71.729+36.852</f>
        <v>108.58099999999999</v>
      </c>
      <c r="I10" s="1126">
        <f>6.422+27.257</f>
        <v>33.679000000000002</v>
      </c>
    </row>
    <row r="11" spans="1:9" x14ac:dyDescent="0.3">
      <c r="A11" s="1118" t="s">
        <v>624</v>
      </c>
      <c r="B11" s="1124">
        <v>0</v>
      </c>
      <c r="C11" s="1124">
        <v>0</v>
      </c>
      <c r="D11" s="1125">
        <v>101.9</v>
      </c>
      <c r="E11" s="1125">
        <v>100.9</v>
      </c>
      <c r="F11" s="1125">
        <v>107.4</v>
      </c>
      <c r="G11" s="1125">
        <v>153.80000000000001</v>
      </c>
      <c r="H11" s="1125">
        <v>136.97</v>
      </c>
      <c r="I11" s="1126">
        <v>139.43799999999999</v>
      </c>
    </row>
    <row r="12" spans="1:9" x14ac:dyDescent="0.3">
      <c r="A12" s="214" t="s">
        <v>578</v>
      </c>
      <c r="B12" s="1124">
        <v>173.2</v>
      </c>
      <c r="C12" s="1124">
        <v>179.8</v>
      </c>
      <c r="D12" s="1125">
        <v>181.1</v>
      </c>
      <c r="E12" s="1125">
        <v>177.7</v>
      </c>
      <c r="F12" s="1125">
        <v>169.7</v>
      </c>
      <c r="G12" s="1125">
        <v>173.2</v>
      </c>
      <c r="H12" s="1125">
        <v>152.80699999999999</v>
      </c>
      <c r="I12" s="1126">
        <v>164.65600000000001</v>
      </c>
    </row>
    <row r="13" spans="1:9" x14ac:dyDescent="0.3">
      <c r="A13" s="214" t="s">
        <v>579</v>
      </c>
      <c r="B13" s="1124">
        <v>6.2</v>
      </c>
      <c r="C13" s="1124">
        <v>4.2</v>
      </c>
      <c r="D13" s="1125">
        <v>0</v>
      </c>
      <c r="E13" s="1125">
        <v>0</v>
      </c>
      <c r="F13" s="1125">
        <v>0</v>
      </c>
      <c r="G13" s="1125">
        <v>0</v>
      </c>
      <c r="H13" s="1125">
        <v>0</v>
      </c>
      <c r="I13" s="1126">
        <v>0</v>
      </c>
    </row>
    <row r="14" spans="1:9" x14ac:dyDescent="0.3">
      <c r="A14" s="214" t="s">
        <v>15</v>
      </c>
      <c r="B14" s="1124">
        <v>1.5</v>
      </c>
      <c r="C14" s="1124">
        <v>1.6</v>
      </c>
      <c r="D14" s="1125">
        <f>26.3+4.9</f>
        <v>31.200000000000003</v>
      </c>
      <c r="E14" s="1125">
        <f>7.3+28.9</f>
        <v>36.199999999999996</v>
      </c>
      <c r="F14" s="1125">
        <f>11.1+21.2</f>
        <v>32.299999999999997</v>
      </c>
      <c r="G14" s="1125">
        <f>12.9+17.2</f>
        <v>30.1</v>
      </c>
      <c r="H14" s="1125">
        <f>13.558+14.375</f>
        <v>27.933</v>
      </c>
      <c r="I14" s="1126">
        <f>3.011+9.332</f>
        <v>12.343</v>
      </c>
    </row>
    <row r="15" spans="1:9" ht="16.2" thickBot="1" x14ac:dyDescent="0.35">
      <c r="A15" s="214"/>
      <c r="B15" s="1025">
        <f t="shared" ref="B15:I15" si="0">SUM(B8:B14)</f>
        <v>735.8</v>
      </c>
      <c r="C15" s="1025">
        <f t="shared" si="0"/>
        <v>889.70000000000016</v>
      </c>
      <c r="D15" s="1026">
        <f t="shared" si="0"/>
        <v>519.20000000000005</v>
      </c>
      <c r="E15" s="1026">
        <f t="shared" si="0"/>
        <v>562.90000000000009</v>
      </c>
      <c r="F15" s="1026">
        <f t="shared" si="0"/>
        <v>549</v>
      </c>
      <c r="G15" s="1026">
        <f t="shared" si="0"/>
        <v>553.6</v>
      </c>
      <c r="H15" s="1026">
        <f t="shared" si="0"/>
        <v>568.02099999999996</v>
      </c>
      <c r="I15" s="1027">
        <f t="shared" si="0"/>
        <v>558.07599999999991</v>
      </c>
    </row>
    <row r="16" spans="1:9" ht="8.25" customHeight="1" thickTop="1" x14ac:dyDescent="0.3">
      <c r="A16" s="214"/>
      <c r="B16" s="1047"/>
      <c r="C16" s="1047"/>
      <c r="D16" s="1062"/>
      <c r="E16" s="1062"/>
      <c r="F16" s="1061"/>
      <c r="G16" s="1061"/>
      <c r="H16" s="1061"/>
      <c r="I16" s="1024"/>
    </row>
    <row r="17" spans="1:9" x14ac:dyDescent="0.3">
      <c r="A17" s="221" t="s">
        <v>519</v>
      </c>
      <c r="B17" s="1047"/>
      <c r="C17" s="1047"/>
      <c r="D17" s="1062"/>
      <c r="E17" s="1062"/>
      <c r="F17" s="1061"/>
      <c r="G17" s="1061"/>
      <c r="H17" s="1061"/>
      <c r="I17" s="1024"/>
    </row>
    <row r="18" spans="1:9" ht="31.2" x14ac:dyDescent="0.3">
      <c r="A18" s="282" t="s">
        <v>580</v>
      </c>
      <c r="B18" s="1111">
        <v>601.6</v>
      </c>
      <c r="C18" s="1111">
        <v>772.7</v>
      </c>
      <c r="D18" s="2400"/>
      <c r="E18" s="2400"/>
      <c r="F18" s="2400"/>
      <c r="G18" s="2400"/>
      <c r="H18" s="2400"/>
      <c r="I18" s="2401"/>
    </row>
    <row r="19" spans="1:9" x14ac:dyDescent="0.3">
      <c r="A19" s="282" t="s">
        <v>620</v>
      </c>
      <c r="B19" s="1125">
        <v>0</v>
      </c>
      <c r="C19" s="1125">
        <v>0</v>
      </c>
      <c r="D19" s="1111">
        <v>250.9</v>
      </c>
      <c r="E19" s="1111">
        <v>289</v>
      </c>
      <c r="F19" s="1111">
        <v>286.39999999999998</v>
      </c>
      <c r="G19" s="1111">
        <v>293.10000000000002</v>
      </c>
      <c r="H19" s="1111">
        <v>288.52199999999999</v>
      </c>
      <c r="I19" s="1114">
        <v>287.12599999999998</v>
      </c>
    </row>
    <row r="20" spans="1:9" x14ac:dyDescent="0.3">
      <c r="A20" s="214" t="s">
        <v>581</v>
      </c>
      <c r="B20" s="1125">
        <v>31.5</v>
      </c>
      <c r="C20" s="1125">
        <v>52.1</v>
      </c>
      <c r="D20" s="1125">
        <v>27.8</v>
      </c>
      <c r="E20" s="1125">
        <v>26.2</v>
      </c>
      <c r="F20" s="1125">
        <v>22.2</v>
      </c>
      <c r="G20" s="1125">
        <v>18.399999999999999</v>
      </c>
      <c r="H20" s="1125">
        <v>32.759</v>
      </c>
      <c r="I20" s="1126">
        <v>12.673</v>
      </c>
    </row>
    <row r="21" spans="1:9" x14ac:dyDescent="0.3">
      <c r="A21" s="214" t="s">
        <v>582</v>
      </c>
      <c r="B21" s="1125">
        <v>41</v>
      </c>
      <c r="C21" s="1125">
        <v>5.4</v>
      </c>
      <c r="D21" s="2400"/>
      <c r="E21" s="2400"/>
      <c r="F21" s="2400"/>
      <c r="G21" s="2400"/>
      <c r="H21" s="2400"/>
      <c r="I21" s="2401"/>
    </row>
    <row r="22" spans="1:9" x14ac:dyDescent="0.3">
      <c r="A22" s="214" t="s">
        <v>560</v>
      </c>
      <c r="B22" s="2400"/>
      <c r="C22" s="2400"/>
      <c r="D22" s="1125">
        <v>145.1</v>
      </c>
      <c r="E22" s="1125">
        <v>154.6</v>
      </c>
      <c r="F22" s="1125">
        <v>157.1</v>
      </c>
      <c r="G22" s="1125">
        <v>159.6</v>
      </c>
      <c r="H22" s="1125">
        <v>150.202</v>
      </c>
      <c r="I22" s="1126">
        <v>157.721</v>
      </c>
    </row>
    <row r="23" spans="1:9" x14ac:dyDescent="0.3">
      <c r="A23" s="214" t="s">
        <v>391</v>
      </c>
      <c r="B23" s="2400"/>
      <c r="C23" s="2400"/>
      <c r="D23" s="1125">
        <v>0.7</v>
      </c>
      <c r="E23" s="1125">
        <v>1.5</v>
      </c>
      <c r="F23" s="1125">
        <v>1.3</v>
      </c>
      <c r="G23" s="1125">
        <v>1.5</v>
      </c>
      <c r="H23" s="1125">
        <v>1.8069999999999999</v>
      </c>
      <c r="I23" s="1126">
        <v>2.8340000000000001</v>
      </c>
    </row>
    <row r="24" spans="1:9" x14ac:dyDescent="0.3">
      <c r="A24" s="214"/>
      <c r="B24" s="1030">
        <f>SUM(B18:B23)</f>
        <v>674.1</v>
      </c>
      <c r="C24" s="1030">
        <f>SUM(C18:C23)</f>
        <v>830.2</v>
      </c>
      <c r="D24" s="1031">
        <f t="shared" ref="D24:I24" si="1">SUM(D18:D23)</f>
        <v>424.49999999999994</v>
      </c>
      <c r="E24" s="1031">
        <f t="shared" si="1"/>
        <v>471.29999999999995</v>
      </c>
      <c r="F24" s="1031">
        <f t="shared" si="1"/>
        <v>466.99999999999994</v>
      </c>
      <c r="G24" s="1031">
        <f t="shared" si="1"/>
        <v>472.6</v>
      </c>
      <c r="H24" s="1031">
        <f t="shared" si="1"/>
        <v>473.29</v>
      </c>
      <c r="I24" s="1032">
        <f t="shared" si="1"/>
        <v>460.35399999999998</v>
      </c>
    </row>
    <row r="25" spans="1:9" x14ac:dyDescent="0.3">
      <c r="A25" s="214"/>
      <c r="B25" s="1047"/>
      <c r="C25" s="1047"/>
      <c r="D25" s="1062"/>
      <c r="E25" s="1062"/>
      <c r="F25" s="1062"/>
      <c r="G25" s="1062"/>
      <c r="H25" s="1062"/>
      <c r="I25" s="1019"/>
    </row>
    <row r="26" spans="1:9" x14ac:dyDescent="0.3">
      <c r="A26" s="221" t="s">
        <v>95</v>
      </c>
      <c r="B26" s="1125"/>
      <c r="C26" s="1125"/>
      <c r="D26" s="1125"/>
      <c r="E26" s="1125"/>
      <c r="F26" s="1125"/>
      <c r="G26" s="1125"/>
      <c r="H26" s="1125"/>
      <c r="I26" s="1126"/>
    </row>
    <row r="27" spans="1:9" x14ac:dyDescent="0.3">
      <c r="A27" s="214" t="s">
        <v>523</v>
      </c>
      <c r="B27" s="1125">
        <v>0</v>
      </c>
      <c r="C27" s="1125">
        <v>0</v>
      </c>
      <c r="D27" s="1125">
        <v>12.5</v>
      </c>
      <c r="E27" s="1125">
        <v>11.8</v>
      </c>
      <c r="F27" s="1125">
        <v>10.1</v>
      </c>
      <c r="G27" s="1125">
        <v>9.6999999999999993</v>
      </c>
      <c r="H27" s="1125">
        <v>9.8819999999999997</v>
      </c>
      <c r="I27" s="1126">
        <v>11.255000000000001</v>
      </c>
    </row>
    <row r="28" spans="1:9" x14ac:dyDescent="0.3">
      <c r="A28" s="214" t="s">
        <v>524</v>
      </c>
      <c r="B28" s="1125">
        <v>61.7</v>
      </c>
      <c r="C28" s="1125">
        <v>59.5</v>
      </c>
      <c r="D28" s="1125">
        <v>82.2</v>
      </c>
      <c r="E28" s="1125">
        <v>79.8</v>
      </c>
      <c r="F28" s="1125">
        <v>71.900000000000006</v>
      </c>
      <c r="G28" s="1125">
        <v>71.3</v>
      </c>
      <c r="H28" s="1125">
        <v>84.849000000000004</v>
      </c>
      <c r="I28" s="1126">
        <v>86.466999999999999</v>
      </c>
    </row>
    <row r="29" spans="1:9" x14ac:dyDescent="0.3">
      <c r="A29" s="214" t="s">
        <v>3</v>
      </c>
      <c r="B29" s="1127">
        <f>B27+B28</f>
        <v>61.7</v>
      </c>
      <c r="C29" s="1127">
        <f t="shared" ref="C29:E29" si="2">C27+C28</f>
        <v>59.5</v>
      </c>
      <c r="D29" s="1127">
        <f t="shared" si="2"/>
        <v>94.7</v>
      </c>
      <c r="E29" s="1127">
        <f t="shared" si="2"/>
        <v>91.6</v>
      </c>
      <c r="F29" s="1127">
        <f t="shared" ref="F29:G29" si="3">F27+F28</f>
        <v>82</v>
      </c>
      <c r="G29" s="1127">
        <f t="shared" si="3"/>
        <v>81</v>
      </c>
      <c r="H29" s="1127">
        <f t="shared" ref="H29:I29" si="4">H27+H28</f>
        <v>94.731000000000009</v>
      </c>
      <c r="I29" s="1128">
        <f t="shared" si="4"/>
        <v>97.721999999999994</v>
      </c>
    </row>
    <row r="30" spans="1:9" ht="16.2" thickBot="1" x14ac:dyDescent="0.35">
      <c r="A30" s="214"/>
      <c r="B30" s="1025">
        <f>B24+B29</f>
        <v>735.80000000000007</v>
      </c>
      <c r="C30" s="1025">
        <f t="shared" ref="C30:E30" si="5">C24+C29</f>
        <v>889.7</v>
      </c>
      <c r="D30" s="1026">
        <f t="shared" si="5"/>
        <v>519.19999999999993</v>
      </c>
      <c r="E30" s="1026">
        <f t="shared" si="5"/>
        <v>562.9</v>
      </c>
      <c r="F30" s="1026">
        <f t="shared" ref="F30:G30" si="6">F24+F29</f>
        <v>549</v>
      </c>
      <c r="G30" s="1026">
        <f t="shared" si="6"/>
        <v>553.6</v>
      </c>
      <c r="H30" s="1026">
        <f t="shared" ref="H30:I30" si="7">H24+H29</f>
        <v>568.02100000000007</v>
      </c>
      <c r="I30" s="1027">
        <f t="shared" si="7"/>
        <v>558.07600000000002</v>
      </c>
    </row>
    <row r="31" spans="1:9" s="309" customFormat="1" ht="16.2" hidden="1" outlineLevel="1" thickTop="1" x14ac:dyDescent="0.3">
      <c r="A31" s="305" t="s">
        <v>20</v>
      </c>
      <c r="B31" s="1065">
        <f t="shared" ref="B31:I31" si="8">B15-B30</f>
        <v>0</v>
      </c>
      <c r="C31" s="1065">
        <f t="shared" si="8"/>
        <v>0</v>
      </c>
      <c r="D31" s="1066">
        <f t="shared" si="8"/>
        <v>0</v>
      </c>
      <c r="E31" s="1066">
        <f t="shared" si="8"/>
        <v>0</v>
      </c>
      <c r="F31" s="1066">
        <f t="shared" si="8"/>
        <v>0</v>
      </c>
      <c r="G31" s="1066">
        <f t="shared" si="8"/>
        <v>0</v>
      </c>
      <c r="H31" s="1066">
        <f t="shared" si="8"/>
        <v>0</v>
      </c>
      <c r="I31" s="1035">
        <f t="shared" si="8"/>
        <v>0</v>
      </c>
    </row>
    <row r="32" spans="1:9" ht="10.5" customHeight="1" collapsed="1" thickTop="1" x14ac:dyDescent="0.3">
      <c r="A32" s="214"/>
      <c r="B32" s="1056"/>
      <c r="C32" s="1056"/>
      <c r="D32" s="220"/>
      <c r="E32" s="220"/>
      <c r="F32" s="220"/>
      <c r="G32" s="220"/>
      <c r="H32" s="220"/>
      <c r="I32" s="223"/>
    </row>
    <row r="33" spans="1:10" x14ac:dyDescent="0.3">
      <c r="A33" s="28" t="s">
        <v>1405</v>
      </c>
      <c r="B33" s="1056"/>
      <c r="C33" s="1056"/>
      <c r="D33" s="220"/>
      <c r="E33" s="220"/>
      <c r="F33" s="220"/>
      <c r="G33" s="220"/>
      <c r="H33" s="220"/>
      <c r="I33" s="223"/>
    </row>
    <row r="34" spans="1:10" ht="16.2" thickBot="1" x14ac:dyDescent="0.35">
      <c r="A34" s="9" t="s">
        <v>726</v>
      </c>
      <c r="B34" s="1036"/>
      <c r="C34" s="1036"/>
      <c r="D34" s="218"/>
      <c r="E34" s="218"/>
      <c r="F34" s="218"/>
      <c r="G34" s="218"/>
      <c r="H34" s="218"/>
      <c r="I34" s="219"/>
    </row>
    <row r="35" spans="1:10" x14ac:dyDescent="0.3">
      <c r="A35" s="495" t="s">
        <v>1896</v>
      </c>
      <c r="B35" s="1018"/>
      <c r="C35" s="1018"/>
    </row>
    <row r="36" spans="1:10" x14ac:dyDescent="0.3">
      <c r="B36" s="1018"/>
      <c r="C36" s="1018"/>
    </row>
    <row r="37" spans="1:10" s="309" customFormat="1" outlineLevel="1" x14ac:dyDescent="0.3">
      <c r="A37" s="309" t="s">
        <v>556</v>
      </c>
      <c r="B37" s="309">
        <v>1994</v>
      </c>
      <c r="C37" s="1011">
        <v>1994</v>
      </c>
      <c r="D37" s="1011">
        <v>1994</v>
      </c>
      <c r="E37" s="1011">
        <v>1992</v>
      </c>
      <c r="F37" s="1011">
        <v>1992</v>
      </c>
      <c r="G37" s="1011">
        <v>1991</v>
      </c>
      <c r="H37" s="1011">
        <v>1990</v>
      </c>
      <c r="I37" s="1011">
        <v>1989</v>
      </c>
      <c r="J37" s="1011">
        <v>1988</v>
      </c>
    </row>
    <row r="38" spans="1:10" x14ac:dyDescent="0.3">
      <c r="A38" s="441"/>
      <c r="B38" s="1018"/>
      <c r="C38" s="1014"/>
      <c r="D38" s="1014"/>
      <c r="E38" s="1014"/>
      <c r="F38" s="1014"/>
      <c r="G38" s="1020"/>
      <c r="H38" s="1020"/>
      <c r="I38" s="1020"/>
      <c r="J38" s="1020"/>
    </row>
    <row r="39" spans="1:10" x14ac:dyDescent="0.3">
      <c r="A39" s="459" t="s">
        <v>1522</v>
      </c>
      <c r="D39" s="1012"/>
      <c r="E39" s="1012"/>
      <c r="F39" s="1012"/>
      <c r="G39" s="1012"/>
      <c r="H39" s="1012"/>
      <c r="I39" s="1012"/>
    </row>
    <row r="40" spans="1:10" x14ac:dyDescent="0.3">
      <c r="A40" s="152" t="s">
        <v>1905</v>
      </c>
      <c r="D40" s="1012"/>
      <c r="E40" s="1012"/>
      <c r="F40" s="1012"/>
      <c r="G40" s="1012"/>
      <c r="H40" s="1012"/>
      <c r="I40" s="1012"/>
    </row>
    <row r="41" spans="1:10" ht="8.25" customHeight="1" thickBot="1" x14ac:dyDescent="0.35">
      <c r="D41" s="1012"/>
      <c r="E41" s="1012"/>
      <c r="F41" s="1012"/>
      <c r="G41" s="1012"/>
      <c r="H41" s="1012"/>
      <c r="I41" s="1012"/>
    </row>
    <row r="42" spans="1:10" x14ac:dyDescent="0.3">
      <c r="A42" s="212" t="s">
        <v>1250</v>
      </c>
      <c r="B42" s="712">
        <v>1994</v>
      </c>
      <c r="C42" s="712">
        <v>1993</v>
      </c>
      <c r="D42" s="712">
        <v>1992</v>
      </c>
      <c r="E42" s="1095">
        <v>1991</v>
      </c>
      <c r="F42" s="1095">
        <v>1990</v>
      </c>
      <c r="G42" s="1095">
        <v>1989</v>
      </c>
      <c r="H42" s="1095">
        <v>1988</v>
      </c>
      <c r="I42" s="1095">
        <v>1987</v>
      </c>
      <c r="J42" s="1096">
        <v>1986</v>
      </c>
    </row>
    <row r="43" spans="1:10" x14ac:dyDescent="0.3">
      <c r="A43" s="221" t="s">
        <v>975</v>
      </c>
      <c r="B43" s="1056"/>
      <c r="C43" s="1064"/>
      <c r="D43" s="1064"/>
      <c r="E43" s="1064"/>
      <c r="F43" s="1064"/>
      <c r="G43" s="1064"/>
      <c r="H43" s="1064"/>
      <c r="I43" s="1064"/>
      <c r="J43" s="1017"/>
    </row>
    <row r="44" spans="1:10" ht="31.2" x14ac:dyDescent="0.3">
      <c r="A44" s="282" t="s">
        <v>585</v>
      </c>
      <c r="B44" s="1111">
        <v>37.799999999999997</v>
      </c>
      <c r="C44" s="1111">
        <v>43.6</v>
      </c>
      <c r="D44" s="1112">
        <v>49.7</v>
      </c>
      <c r="E44" s="1112">
        <v>53.2</v>
      </c>
      <c r="F44" s="1112">
        <v>51.9</v>
      </c>
      <c r="G44" s="1112">
        <v>49.4</v>
      </c>
      <c r="H44" s="1112">
        <v>50.2</v>
      </c>
      <c r="I44" s="1112">
        <v>47.857999999999997</v>
      </c>
      <c r="J44" s="1110">
        <v>40.798999999999999</v>
      </c>
    </row>
    <row r="45" spans="1:10" x14ac:dyDescent="0.3">
      <c r="A45" s="282" t="s">
        <v>586</v>
      </c>
      <c r="B45" s="1121">
        <v>35.4</v>
      </c>
      <c r="C45" s="1121">
        <v>21</v>
      </c>
      <c r="D45" s="1122">
        <v>16.399999999999999</v>
      </c>
      <c r="E45" s="1122">
        <v>18.3</v>
      </c>
      <c r="F45" s="1122">
        <v>18.3</v>
      </c>
      <c r="G45" s="1122">
        <v>19.2</v>
      </c>
      <c r="H45" s="1122">
        <v>20.9</v>
      </c>
      <c r="I45" s="1122">
        <v>22.707999999999998</v>
      </c>
      <c r="J45" s="1123">
        <v>19.606999999999999</v>
      </c>
    </row>
    <row r="46" spans="1:10" x14ac:dyDescent="0.3">
      <c r="A46" s="214" t="s">
        <v>587</v>
      </c>
      <c r="B46" s="1121">
        <v>36</v>
      </c>
      <c r="C46" s="1121">
        <v>5.6</v>
      </c>
      <c r="D46" s="2402"/>
      <c r="E46" s="2402"/>
      <c r="F46" s="2402"/>
      <c r="G46" s="2402"/>
      <c r="H46" s="2402"/>
      <c r="I46" s="2402"/>
      <c r="J46" s="2403"/>
    </row>
    <row r="47" spans="1:10" x14ac:dyDescent="0.3">
      <c r="A47" s="214" t="s">
        <v>619</v>
      </c>
      <c r="B47" s="2402"/>
      <c r="C47" s="2402"/>
      <c r="D47" s="2402"/>
      <c r="E47" s="1121">
        <v>1.3</v>
      </c>
      <c r="F47" s="1121">
        <v>0.3</v>
      </c>
      <c r="G47" s="1121">
        <v>0.3</v>
      </c>
      <c r="H47" s="1121">
        <v>0.6</v>
      </c>
      <c r="I47" s="1121">
        <v>1.774</v>
      </c>
      <c r="J47" s="1129">
        <f>0.495+2.022</f>
        <v>2.5169999999999999</v>
      </c>
    </row>
    <row r="48" spans="1:10" x14ac:dyDescent="0.3">
      <c r="A48" s="214"/>
      <c r="B48" s="1021">
        <f>SUM(B44:B47)</f>
        <v>109.19999999999999</v>
      </c>
      <c r="C48" s="1022">
        <f t="shared" ref="C48:F48" si="9">SUM(C44:C47)</f>
        <v>70.199999999999989</v>
      </c>
      <c r="D48" s="1022">
        <f t="shared" si="9"/>
        <v>66.099999999999994</v>
      </c>
      <c r="E48" s="1022">
        <f t="shared" si="9"/>
        <v>72.8</v>
      </c>
      <c r="F48" s="1022">
        <f t="shared" si="9"/>
        <v>70.5</v>
      </c>
      <c r="G48" s="1022">
        <f t="shared" ref="G48:H48" si="10">SUM(G44:G47)</f>
        <v>68.899999999999991</v>
      </c>
      <c r="H48" s="1022">
        <f t="shared" si="10"/>
        <v>71.699999999999989</v>
      </c>
      <c r="I48" s="1022">
        <f t="shared" ref="I48:J48" si="11">SUM(I44:I47)</f>
        <v>72.34</v>
      </c>
      <c r="J48" s="1023">
        <f t="shared" si="11"/>
        <v>62.923000000000002</v>
      </c>
    </row>
    <row r="49" spans="1:11" ht="8.25" customHeight="1" x14ac:dyDescent="0.3">
      <c r="A49" s="214"/>
      <c r="B49" s="1047"/>
      <c r="C49" s="1062"/>
      <c r="D49" s="1062"/>
      <c r="E49" s="1062"/>
      <c r="F49" s="1062"/>
      <c r="G49" s="1062"/>
      <c r="H49" s="1062"/>
      <c r="I49" s="1062"/>
      <c r="J49" s="1019"/>
    </row>
    <row r="50" spans="1:11" x14ac:dyDescent="0.3">
      <c r="A50" s="221" t="s">
        <v>1615</v>
      </c>
      <c r="B50" s="1047"/>
      <c r="C50" s="1062"/>
      <c r="D50" s="1062"/>
      <c r="E50" s="1062"/>
      <c r="F50" s="1062"/>
      <c r="G50" s="1062"/>
      <c r="H50" s="1062"/>
      <c r="I50" s="1062"/>
      <c r="J50" s="1019"/>
      <c r="K50" s="211" t="s">
        <v>176</v>
      </c>
    </row>
    <row r="51" spans="1:11" x14ac:dyDescent="0.3">
      <c r="A51" s="214" t="s">
        <v>621</v>
      </c>
      <c r="B51" s="2402"/>
      <c r="C51" s="2402"/>
      <c r="D51" s="2402"/>
      <c r="E51" s="1062">
        <v>18.3</v>
      </c>
      <c r="F51" s="1062">
        <v>22</v>
      </c>
      <c r="G51" s="1062">
        <v>21.5</v>
      </c>
      <c r="H51" s="1062">
        <v>20.8</v>
      </c>
      <c r="I51" s="1062">
        <v>20.943999999999999</v>
      </c>
      <c r="J51" s="1019">
        <v>22.396000000000001</v>
      </c>
    </row>
    <row r="52" spans="1:11" x14ac:dyDescent="0.3">
      <c r="A52" s="214" t="s">
        <v>566</v>
      </c>
      <c r="B52" s="2402"/>
      <c r="C52" s="2402"/>
      <c r="D52" s="2402"/>
      <c r="E52" s="1062">
        <v>14.3</v>
      </c>
      <c r="F52" s="1062">
        <v>14.3</v>
      </c>
      <c r="G52" s="1062">
        <v>13.9</v>
      </c>
      <c r="H52" s="1062">
        <v>14.1</v>
      </c>
      <c r="I52" s="1062">
        <v>15.06</v>
      </c>
      <c r="J52" s="1019">
        <v>9.2349999999999994</v>
      </c>
    </row>
    <row r="53" spans="1:11" x14ac:dyDescent="0.3">
      <c r="A53" s="214" t="s">
        <v>293</v>
      </c>
      <c r="B53" s="1021">
        <v>35.5</v>
      </c>
      <c r="C53" s="1022">
        <v>25.2</v>
      </c>
      <c r="D53" s="1022">
        <v>25.9</v>
      </c>
      <c r="E53" s="1022">
        <f t="shared" ref="E53:J53" si="12">E51+E52</f>
        <v>32.6</v>
      </c>
      <c r="F53" s="1022">
        <f t="shared" si="12"/>
        <v>36.299999999999997</v>
      </c>
      <c r="G53" s="1022">
        <f t="shared" si="12"/>
        <v>35.4</v>
      </c>
      <c r="H53" s="1022">
        <f t="shared" si="12"/>
        <v>34.9</v>
      </c>
      <c r="I53" s="1022">
        <f t="shared" si="12"/>
        <v>36.003999999999998</v>
      </c>
      <c r="J53" s="1023">
        <f t="shared" si="12"/>
        <v>31.631</v>
      </c>
    </row>
    <row r="54" spans="1:11" x14ac:dyDescent="0.3">
      <c r="A54" s="214" t="s">
        <v>589</v>
      </c>
      <c r="B54" s="1047">
        <v>37.700000000000003</v>
      </c>
      <c r="C54" s="1062">
        <v>5.6</v>
      </c>
      <c r="D54" s="2402"/>
      <c r="E54" s="2402"/>
      <c r="F54" s="2402"/>
      <c r="G54" s="2402"/>
      <c r="H54" s="2402"/>
      <c r="I54" s="2402"/>
      <c r="J54" s="2403"/>
    </row>
    <row r="55" spans="1:11" ht="18.600000000000001" x14ac:dyDescent="0.3">
      <c r="A55" s="214" t="s">
        <v>1613</v>
      </c>
      <c r="B55" s="1047">
        <v>13.9</v>
      </c>
      <c r="C55" s="1062">
        <v>16.2</v>
      </c>
      <c r="D55" s="1062">
        <v>20.399999999999999</v>
      </c>
      <c r="E55" s="1062">
        <v>20.7</v>
      </c>
      <c r="F55" s="1062">
        <v>20.7</v>
      </c>
      <c r="G55" s="1062">
        <v>20.8</v>
      </c>
      <c r="H55" s="1062">
        <v>23.3</v>
      </c>
      <c r="I55" s="1062">
        <v>29.492999999999999</v>
      </c>
      <c r="J55" s="1019">
        <v>20.513000000000002</v>
      </c>
    </row>
    <row r="56" spans="1:11" x14ac:dyDescent="0.3">
      <c r="A56" s="214"/>
      <c r="B56" s="1022">
        <f t="shared" ref="B56:D56" si="13">SUM(B53:B55)</f>
        <v>87.100000000000009</v>
      </c>
      <c r="C56" s="1022">
        <f>SUM(C53:C55)</f>
        <v>47</v>
      </c>
      <c r="D56" s="1022">
        <f t="shared" si="13"/>
        <v>46.3</v>
      </c>
      <c r="E56" s="1022">
        <f t="shared" ref="E56:J56" si="14">SUM(E53:E55)</f>
        <v>53.3</v>
      </c>
      <c r="F56" s="1022">
        <f t="shared" si="14"/>
        <v>57</v>
      </c>
      <c r="G56" s="1022">
        <f t="shared" si="14"/>
        <v>56.2</v>
      </c>
      <c r="H56" s="1022">
        <f t="shared" si="14"/>
        <v>58.2</v>
      </c>
      <c r="I56" s="1022">
        <f t="shared" si="14"/>
        <v>65.497</v>
      </c>
      <c r="J56" s="1023">
        <f t="shared" si="14"/>
        <v>52.144000000000005</v>
      </c>
    </row>
    <row r="57" spans="1:11" x14ac:dyDescent="0.3">
      <c r="A57" s="214" t="s">
        <v>568</v>
      </c>
      <c r="B57" s="1047">
        <f t="shared" ref="B57:G57" si="15">B48-B56</f>
        <v>22.09999999999998</v>
      </c>
      <c r="C57" s="1062">
        <f t="shared" si="15"/>
        <v>23.199999999999989</v>
      </c>
      <c r="D57" s="1062">
        <f t="shared" si="15"/>
        <v>19.799999999999997</v>
      </c>
      <c r="E57" s="1062">
        <f t="shared" si="15"/>
        <v>19.5</v>
      </c>
      <c r="F57" s="1062">
        <f t="shared" si="15"/>
        <v>13.5</v>
      </c>
      <c r="G57" s="1062">
        <f t="shared" si="15"/>
        <v>12.699999999999989</v>
      </c>
      <c r="H57" s="1062">
        <f t="shared" ref="H57:I57" si="16">H48-H56</f>
        <v>13.499999999999986</v>
      </c>
      <c r="I57" s="1062">
        <f t="shared" si="16"/>
        <v>6.8430000000000035</v>
      </c>
      <c r="J57" s="1019">
        <f t="shared" ref="J57" si="17">J48-J56</f>
        <v>10.778999999999996</v>
      </c>
    </row>
    <row r="58" spans="1:11" x14ac:dyDescent="0.3">
      <c r="A58" s="214" t="s">
        <v>533</v>
      </c>
      <c r="B58" s="1047">
        <v>7.5</v>
      </c>
      <c r="C58" s="1062">
        <v>7.7</v>
      </c>
      <c r="D58" s="1062">
        <v>6.4</v>
      </c>
      <c r="E58" s="1062">
        <v>4.5999999999999996</v>
      </c>
      <c r="F58" s="1062">
        <v>1.7</v>
      </c>
      <c r="G58" s="1062">
        <v>1.2</v>
      </c>
      <c r="H58" s="1062">
        <v>2</v>
      </c>
      <c r="I58" s="1062">
        <v>0.54500000000000004</v>
      </c>
      <c r="J58" s="1019">
        <v>1.2350000000000001</v>
      </c>
    </row>
    <row r="59" spans="1:11" x14ac:dyDescent="0.3">
      <c r="A59" s="214"/>
      <c r="B59" s="1021">
        <f t="shared" ref="B59:G59" si="18">B57-B58</f>
        <v>14.59999999999998</v>
      </c>
      <c r="C59" s="1022">
        <f t="shared" si="18"/>
        <v>15.499999999999989</v>
      </c>
      <c r="D59" s="1022">
        <f t="shared" si="18"/>
        <v>13.399999999999997</v>
      </c>
      <c r="E59" s="1022">
        <f t="shared" si="18"/>
        <v>14.9</v>
      </c>
      <c r="F59" s="1022">
        <f t="shared" si="18"/>
        <v>11.8</v>
      </c>
      <c r="G59" s="1022">
        <f t="shared" si="18"/>
        <v>11.499999999999989</v>
      </c>
      <c r="H59" s="1022">
        <f t="shared" ref="H59:I59" si="19">H57-H58</f>
        <v>11.499999999999986</v>
      </c>
      <c r="I59" s="1022">
        <f t="shared" si="19"/>
        <v>6.2980000000000036</v>
      </c>
      <c r="J59" s="1023">
        <f t="shared" ref="J59" si="20">J57-J58</f>
        <v>9.5439999999999969</v>
      </c>
    </row>
    <row r="60" spans="1:11" x14ac:dyDescent="0.3">
      <c r="A60" s="282" t="s">
        <v>534</v>
      </c>
      <c r="B60" s="1124">
        <v>0</v>
      </c>
      <c r="C60" s="1062">
        <v>0.8</v>
      </c>
      <c r="D60" s="1062">
        <v>0.7</v>
      </c>
      <c r="E60" s="1062">
        <v>0.9</v>
      </c>
      <c r="F60" s="1062">
        <v>0.8</v>
      </c>
      <c r="G60" s="1062">
        <v>0.8</v>
      </c>
      <c r="H60" s="1062">
        <v>1</v>
      </c>
      <c r="I60" s="1062">
        <v>0.35699999999999998</v>
      </c>
      <c r="J60" s="1019">
        <v>0.43</v>
      </c>
    </row>
    <row r="61" spans="1:11" x14ac:dyDescent="0.3">
      <c r="A61" s="282" t="s">
        <v>622</v>
      </c>
      <c r="B61" s="1021">
        <f>B59-B60</f>
        <v>14.59999999999998</v>
      </c>
      <c r="C61" s="1022">
        <f t="shared" ref="C61:F61" si="21">C59-C60</f>
        <v>14.699999999999989</v>
      </c>
      <c r="D61" s="1022">
        <f t="shared" si="21"/>
        <v>12.699999999999998</v>
      </c>
      <c r="E61" s="1022">
        <f t="shared" si="21"/>
        <v>14</v>
      </c>
      <c r="F61" s="1022">
        <f t="shared" si="21"/>
        <v>11</v>
      </c>
      <c r="G61" s="1022">
        <f t="shared" ref="G61:H61" si="22">G59-G60</f>
        <v>10.699999999999989</v>
      </c>
      <c r="H61" s="1022">
        <f t="shared" si="22"/>
        <v>10.499999999999986</v>
      </c>
      <c r="I61" s="1022">
        <f t="shared" ref="I61:J61" si="23">I59-I60</f>
        <v>5.9410000000000034</v>
      </c>
      <c r="J61" s="1023">
        <f t="shared" si="23"/>
        <v>9.1139999999999972</v>
      </c>
    </row>
    <row r="62" spans="1:11" x14ac:dyDescent="0.3">
      <c r="A62" s="282" t="s">
        <v>1614</v>
      </c>
      <c r="B62" s="2402"/>
      <c r="C62" s="2402"/>
      <c r="D62" s="2402"/>
      <c r="E62" s="1062">
        <v>4.5</v>
      </c>
      <c r="F62" s="2402"/>
      <c r="G62" s="2402"/>
      <c r="H62" s="2402"/>
      <c r="I62" s="2402"/>
      <c r="J62" s="2403"/>
    </row>
    <row r="63" spans="1:11" ht="16.2" thickBot="1" x14ac:dyDescent="0.35">
      <c r="A63" s="214" t="s">
        <v>301</v>
      </c>
      <c r="B63" s="1076">
        <f>B59-B60</f>
        <v>14.59999999999998</v>
      </c>
      <c r="C63" s="1077">
        <f t="shared" ref="C63:D63" si="24">SUM(C61:C62)</f>
        <v>14.699999999999989</v>
      </c>
      <c r="D63" s="1077">
        <f t="shared" si="24"/>
        <v>12.699999999999998</v>
      </c>
      <c r="E63" s="1077">
        <f t="shared" ref="E63:J63" si="25">SUM(E61:E62)</f>
        <v>18.5</v>
      </c>
      <c r="F63" s="1077">
        <f t="shared" si="25"/>
        <v>11</v>
      </c>
      <c r="G63" s="1077">
        <f t="shared" si="25"/>
        <v>10.699999999999989</v>
      </c>
      <c r="H63" s="1077">
        <f t="shared" si="25"/>
        <v>10.499999999999986</v>
      </c>
      <c r="I63" s="1077">
        <f t="shared" si="25"/>
        <v>5.9410000000000034</v>
      </c>
      <c r="J63" s="1078">
        <f t="shared" si="25"/>
        <v>9.1139999999999972</v>
      </c>
    </row>
    <row r="64" spans="1:11" ht="11.25" customHeight="1" thickTop="1" x14ac:dyDescent="0.3">
      <c r="A64" s="214"/>
      <c r="B64" s="1047"/>
      <c r="C64" s="1047"/>
      <c r="D64" s="220"/>
      <c r="E64" s="220"/>
      <c r="F64" s="220"/>
      <c r="G64" s="220"/>
      <c r="H64" s="220"/>
      <c r="I64" s="220"/>
      <c r="J64" s="223"/>
    </row>
    <row r="65" spans="1:11" x14ac:dyDescent="0.3">
      <c r="A65" s="28" t="s">
        <v>1405</v>
      </c>
      <c r="B65" s="1056"/>
      <c r="C65" s="1056"/>
      <c r="D65" s="220"/>
      <c r="E65" s="220"/>
      <c r="F65" s="220"/>
      <c r="G65" s="220"/>
      <c r="H65" s="220"/>
      <c r="I65" s="220"/>
      <c r="J65" s="223"/>
    </row>
    <row r="66" spans="1:11" ht="16.2" thickBot="1" x14ac:dyDescent="0.35">
      <c r="A66" s="224" t="s">
        <v>683</v>
      </c>
      <c r="B66" s="1036"/>
      <c r="C66" s="1036"/>
      <c r="D66" s="218"/>
      <c r="E66" s="218"/>
      <c r="F66" s="218"/>
      <c r="G66" s="218"/>
      <c r="H66" s="218"/>
      <c r="I66" s="218"/>
      <c r="J66" s="219"/>
    </row>
    <row r="67" spans="1:11" x14ac:dyDescent="0.3">
      <c r="A67" s="495" t="s">
        <v>1896</v>
      </c>
      <c r="B67" s="1018"/>
      <c r="C67" s="1018"/>
    </row>
    <row r="68" spans="1:11" x14ac:dyDescent="0.3">
      <c r="B68" s="1018"/>
      <c r="C68" s="1018"/>
    </row>
    <row r="69" spans="1:11" x14ac:dyDescent="0.3">
      <c r="A69" s="459" t="s">
        <v>1522</v>
      </c>
      <c r="D69" s="1012"/>
      <c r="E69" s="1012"/>
      <c r="F69" s="1012"/>
      <c r="G69" s="1012"/>
      <c r="H69" s="1012"/>
      <c r="I69" s="1012"/>
    </row>
    <row r="70" spans="1:11" x14ac:dyDescent="0.3">
      <c r="A70" s="152" t="s">
        <v>1906</v>
      </c>
      <c r="D70" s="1012"/>
      <c r="E70" s="1012"/>
      <c r="F70" s="1012"/>
      <c r="G70" s="1012"/>
      <c r="H70" s="1012"/>
      <c r="I70" s="1012"/>
    </row>
    <row r="71" spans="1:11" ht="8.25" customHeight="1" thickBot="1" x14ac:dyDescent="0.35">
      <c r="D71" s="1012"/>
      <c r="E71" s="1012"/>
      <c r="F71" s="1012"/>
      <c r="G71" s="1012"/>
      <c r="H71" s="1012"/>
      <c r="I71" s="1012"/>
    </row>
    <row r="72" spans="1:11" x14ac:dyDescent="0.3">
      <c r="A72" s="212"/>
      <c r="B72" s="712">
        <v>1994</v>
      </c>
      <c r="C72" s="712">
        <v>1993</v>
      </c>
      <c r="D72" s="712">
        <v>1992</v>
      </c>
      <c r="E72" s="1095">
        <v>1991</v>
      </c>
      <c r="F72" s="1095">
        <v>1990</v>
      </c>
      <c r="G72" s="1095">
        <v>1989</v>
      </c>
      <c r="H72" s="1095">
        <v>1988</v>
      </c>
      <c r="I72" s="1096">
        <v>1987</v>
      </c>
      <c r="J72" s="286"/>
    </row>
    <row r="73" spans="1:11" ht="3.75" customHeight="1" x14ac:dyDescent="0.3">
      <c r="A73" s="214"/>
      <c r="I73" s="223"/>
    </row>
    <row r="74" spans="1:11" x14ac:dyDescent="0.3">
      <c r="A74" s="214" t="s">
        <v>576</v>
      </c>
      <c r="B74" s="1018">
        <f t="shared" ref="B74:I74" si="26">B15/B28</f>
        <v>11.925445705024311</v>
      </c>
      <c r="C74" s="1018">
        <f t="shared" si="26"/>
        <v>14.95294117647059</v>
      </c>
      <c r="D74" s="1018">
        <f t="shared" si="26"/>
        <v>6.3163017031630178</v>
      </c>
      <c r="E74" s="1018">
        <f t="shared" si="26"/>
        <v>7.0538847117794496</v>
      </c>
      <c r="F74" s="1018">
        <f t="shared" si="26"/>
        <v>7.6356050069541022</v>
      </c>
      <c r="G74" s="1018">
        <f t="shared" si="26"/>
        <v>7.7643758765778408</v>
      </c>
      <c r="H74" s="1018">
        <f t="shared" si="26"/>
        <v>6.6944925691522581</v>
      </c>
      <c r="I74" s="1106">
        <f t="shared" si="26"/>
        <v>6.454207963731827</v>
      </c>
      <c r="J74" s="1018"/>
    </row>
    <row r="75" spans="1:11" x14ac:dyDescent="0.3">
      <c r="A75" s="214" t="s">
        <v>603</v>
      </c>
      <c r="B75" s="227">
        <f>1/B74</f>
        <v>8.3854308235933678E-2</v>
      </c>
      <c r="C75" s="227">
        <f>1/C74</f>
        <v>6.6876475216365056E-2</v>
      </c>
      <c r="D75" s="227">
        <f t="shared" ref="D75:E75" si="27">1/D74</f>
        <v>0.15832049306625576</v>
      </c>
      <c r="E75" s="227">
        <f t="shared" si="27"/>
        <v>0.14176585539172143</v>
      </c>
      <c r="F75" s="227">
        <f t="shared" ref="F75:I75" si="28">1/F74</f>
        <v>0.13096539162112933</v>
      </c>
      <c r="G75" s="227">
        <f t="shared" si="28"/>
        <v>0.12879335260115607</v>
      </c>
      <c r="H75" s="227">
        <f t="shared" si="28"/>
        <v>0.14937651953008782</v>
      </c>
      <c r="I75" s="347">
        <f t="shared" si="28"/>
        <v>0.1549376787390965</v>
      </c>
      <c r="J75" s="227"/>
    </row>
    <row r="76" spans="1:11" x14ac:dyDescent="0.3">
      <c r="A76" s="214"/>
      <c r="I76" s="223"/>
    </row>
    <row r="77" spans="1:11" x14ac:dyDescent="0.3">
      <c r="A77" s="214" t="s">
        <v>605</v>
      </c>
      <c r="B77" s="350">
        <f t="shared" ref="B77:H77" si="29">B59/AVERAGE(B15:C15)</f>
        <v>1.7963703475853559E-2</v>
      </c>
      <c r="C77" s="350">
        <f t="shared" si="29"/>
        <v>2.2002981049045339E-2</v>
      </c>
      <c r="D77" s="350">
        <f t="shared" si="29"/>
        <v>2.4766657425376575E-2</v>
      </c>
      <c r="E77" s="350">
        <f t="shared" si="29"/>
        <v>2.6800971310369636E-2</v>
      </c>
      <c r="F77" s="350">
        <f t="shared" si="29"/>
        <v>2.1403954289860333E-2</v>
      </c>
      <c r="G77" s="350">
        <f t="shared" si="29"/>
        <v>2.0506035461176259E-2</v>
      </c>
      <c r="H77" s="350">
        <f t="shared" si="29"/>
        <v>2.0424528259998895E-2</v>
      </c>
      <c r="I77" s="1279"/>
    </row>
    <row r="78" spans="1:11" ht="16.2" thickBot="1" x14ac:dyDescent="0.35">
      <c r="A78" s="224" t="s">
        <v>604</v>
      </c>
      <c r="B78" s="232">
        <f t="shared" ref="B78:H78" si="30">B59/(AVERAGE(B28:C28))</f>
        <v>0.24092409240924059</v>
      </c>
      <c r="C78" s="232">
        <f t="shared" si="30"/>
        <v>0.21877205363443883</v>
      </c>
      <c r="D78" s="232">
        <f t="shared" si="30"/>
        <v>0.16543209876543205</v>
      </c>
      <c r="E78" s="232">
        <f t="shared" si="30"/>
        <v>0.19644034278180622</v>
      </c>
      <c r="F78" s="232">
        <f t="shared" si="30"/>
        <v>0.16480446927374304</v>
      </c>
      <c r="G78" s="232">
        <f t="shared" si="30"/>
        <v>0.14729521162479414</v>
      </c>
      <c r="H78" s="232">
        <f t="shared" si="30"/>
        <v>0.13425482733661753</v>
      </c>
      <c r="I78" s="1939"/>
    </row>
    <row r="79" spans="1:11" x14ac:dyDescent="0.3">
      <c r="A79" s="495" t="s">
        <v>1907</v>
      </c>
    </row>
    <row r="80" spans="1:11" x14ac:dyDescent="0.3">
      <c r="I80" s="350"/>
      <c r="K80" s="211" t="s">
        <v>176</v>
      </c>
    </row>
    <row r="81" spans="1:9" x14ac:dyDescent="0.3">
      <c r="A81" s="211" t="s">
        <v>732</v>
      </c>
      <c r="B81" s="1043"/>
      <c r="I81" s="226">
        <f>I15*1000/'5. Select Parent Fin''l Data'!P28</f>
        <v>9.5182267127276982E-2</v>
      </c>
    </row>
    <row r="82" spans="1:9" x14ac:dyDescent="0.3">
      <c r="A82" s="211" t="s">
        <v>733</v>
      </c>
      <c r="I82" s="226">
        <f>I29*1000/'5. Select Parent Fin''l Data'!P30</f>
        <v>3.4389066386923975E-2</v>
      </c>
    </row>
    <row r="84" spans="1:9" x14ac:dyDescent="0.3">
      <c r="A84" s="1028" t="s">
        <v>739</v>
      </c>
      <c r="B84" s="1119">
        <f t="shared" ref="B84:H84" si="31">B48/(AVERAGE(B15:C15))</f>
        <v>0.13435865887419254</v>
      </c>
      <c r="C84" s="1119">
        <f t="shared" si="31"/>
        <v>9.9652210944708622E-2</v>
      </c>
      <c r="D84" s="1119">
        <f t="shared" si="31"/>
        <v>0.12216985491174566</v>
      </c>
      <c r="E84" s="1119">
        <f t="shared" si="31"/>
        <v>0.13094702761039662</v>
      </c>
      <c r="F84" s="1119">
        <f t="shared" si="31"/>
        <v>0.12787955740975876</v>
      </c>
      <c r="G84" s="1119">
        <f t="shared" si="31"/>
        <v>0.12285789941522134</v>
      </c>
      <c r="H84" s="1119">
        <f t="shared" si="31"/>
        <v>0.12734249358625413</v>
      </c>
      <c r="I84" s="908"/>
    </row>
    <row r="85" spans="1:9" x14ac:dyDescent="0.3">
      <c r="A85" s="1028" t="s">
        <v>738</v>
      </c>
      <c r="B85" s="1119">
        <f t="shared" ref="B85:H85" si="32">B53/AVERAGE(B24:C24)</f>
        <v>4.7198032307385486E-2</v>
      </c>
      <c r="C85" s="1119">
        <f t="shared" si="32"/>
        <v>4.0168964692755237E-2</v>
      </c>
      <c r="D85" s="1119">
        <f t="shared" si="32"/>
        <v>5.7825407457021659E-2</v>
      </c>
      <c r="E85" s="1119">
        <f t="shared" si="32"/>
        <v>6.9487370776937021E-2</v>
      </c>
      <c r="F85" s="1119">
        <f t="shared" si="32"/>
        <v>7.7266922094508306E-2</v>
      </c>
      <c r="G85" s="1119">
        <f t="shared" si="32"/>
        <v>7.4850141136918652E-2</v>
      </c>
      <c r="H85" s="1119">
        <f t="shared" si="32"/>
        <v>7.476082960957281E-2</v>
      </c>
    </row>
    <row r="86" spans="1:9" x14ac:dyDescent="0.3">
      <c r="A86" s="1028" t="s">
        <v>207</v>
      </c>
      <c r="B86" s="1120">
        <f t="shared" ref="B86:G86" si="33">B84-B85</f>
        <v>8.7160626566807065E-2</v>
      </c>
      <c r="C86" s="1120">
        <f t="shared" si="33"/>
        <v>5.9483246251953385E-2</v>
      </c>
      <c r="D86" s="1120">
        <f t="shared" si="33"/>
        <v>6.4344447454724008E-2</v>
      </c>
      <c r="E86" s="1120">
        <f t="shared" si="33"/>
        <v>6.1459656833459594E-2</v>
      </c>
      <c r="F86" s="1120">
        <f t="shared" si="33"/>
        <v>5.0612635315250454E-2</v>
      </c>
      <c r="G86" s="1120">
        <f t="shared" si="33"/>
        <v>4.8007758278302684E-2</v>
      </c>
      <c r="H86" s="1120">
        <f>H84-H85</f>
        <v>5.258166397668132E-2</v>
      </c>
    </row>
    <row r="87" spans="1:9" x14ac:dyDescent="0.3">
      <c r="A87" s="1028"/>
      <c r="B87" s="1028"/>
      <c r="C87" s="1028"/>
      <c r="D87" s="1028"/>
      <c r="E87" s="1028"/>
      <c r="F87" s="1028"/>
      <c r="G87" s="1028"/>
      <c r="H87" s="1028"/>
    </row>
    <row r="88" spans="1:9" x14ac:dyDescent="0.3">
      <c r="A88" s="1028" t="s">
        <v>208</v>
      </c>
      <c r="B88" s="1028">
        <f>B55/B48</f>
        <v>0.12728937728937731</v>
      </c>
      <c r="C88" s="1028">
        <f t="shared" ref="C88:H88" si="34">C55/C48</f>
        <v>0.23076923076923081</v>
      </c>
      <c r="D88" s="1028">
        <f t="shared" si="34"/>
        <v>0.30862329803328292</v>
      </c>
      <c r="E88" s="1028">
        <f t="shared" si="34"/>
        <v>0.28434065934065933</v>
      </c>
      <c r="F88" s="1028">
        <f t="shared" si="34"/>
        <v>0.29361702127659572</v>
      </c>
      <c r="G88" s="1028">
        <f t="shared" si="34"/>
        <v>0.30188679245283023</v>
      </c>
      <c r="H88" s="1028">
        <f t="shared" si="34"/>
        <v>0.32496513249651332</v>
      </c>
    </row>
  </sheetData>
  <pageMargins left="0.7" right="0.7" top="0.75" bottom="0.75" header="0.3" footer="0.3"/>
  <pageSetup orientation="portrait" r:id="rId1"/>
  <ignoredErrors>
    <ignoredError sqref="B78:E78 F78:H78 B56:D56" formulaRange="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74B7-C3A3-42F3-99F8-78C969B78709}">
  <sheetPr codeName="Sheet43">
    <tabColor theme="4"/>
  </sheetPr>
  <dimension ref="A1:D22"/>
  <sheetViews>
    <sheetView workbookViewId="0">
      <selection activeCell="N21" sqref="N21"/>
    </sheetView>
  </sheetViews>
  <sheetFormatPr defaultColWidth="8.6640625" defaultRowHeight="13.8" x14ac:dyDescent="0.25"/>
  <cols>
    <col min="1" max="1" width="32.33203125" style="1" customWidth="1"/>
    <col min="2" max="4" width="13.33203125" style="1" customWidth="1"/>
    <col min="5" max="16384" width="8.6640625" style="1"/>
  </cols>
  <sheetData>
    <row r="1" spans="1:4" ht="55.2" x14ac:dyDescent="0.25">
      <c r="A1" s="11">
        <v>1987</v>
      </c>
      <c r="B1" s="115" t="s">
        <v>748</v>
      </c>
      <c r="C1" s="115" t="s">
        <v>747</v>
      </c>
      <c r="D1" s="1" t="s">
        <v>122</v>
      </c>
    </row>
    <row r="2" spans="1:4" x14ac:dyDescent="0.25">
      <c r="A2" s="1" t="s">
        <v>740</v>
      </c>
      <c r="B2" s="13">
        <v>173396</v>
      </c>
      <c r="C2" s="13"/>
    </row>
    <row r="3" spans="1:4" x14ac:dyDescent="0.25">
      <c r="A3" s="1" t="s">
        <v>517</v>
      </c>
      <c r="B3" s="13"/>
      <c r="C3" s="13">
        <v>42244</v>
      </c>
    </row>
    <row r="4" spans="1:4" x14ac:dyDescent="0.25">
      <c r="A4" s="1" t="s">
        <v>741</v>
      </c>
      <c r="B4" s="2">
        <v>26000</v>
      </c>
      <c r="C4" s="2"/>
    </row>
    <row r="5" spans="1:4" x14ac:dyDescent="0.25">
      <c r="A5" s="1" t="s">
        <v>742</v>
      </c>
      <c r="B5" s="2">
        <v>139427</v>
      </c>
      <c r="C5" s="2"/>
    </row>
    <row r="6" spans="1:4" x14ac:dyDescent="0.25">
      <c r="A6" s="1" t="s">
        <v>743</v>
      </c>
      <c r="B6" s="2"/>
      <c r="C6" s="2">
        <v>164949</v>
      </c>
    </row>
    <row r="7" spans="1:4" x14ac:dyDescent="0.25">
      <c r="A7" s="1" t="s">
        <v>348</v>
      </c>
      <c r="B7" s="2">
        <v>8733</v>
      </c>
      <c r="C7" s="2">
        <v>6222</v>
      </c>
    </row>
    <row r="8" spans="1:4" ht="14.4" thickBot="1" x14ac:dyDescent="0.3">
      <c r="A8" s="1" t="s">
        <v>282</v>
      </c>
      <c r="B8" s="134">
        <f>SUM(B2:B7)</f>
        <v>347556</v>
      </c>
      <c r="C8" s="134">
        <f>SUM(C2:C7)</f>
        <v>213415</v>
      </c>
      <c r="D8" s="14">
        <f>B8+C8</f>
        <v>560971</v>
      </c>
    </row>
    <row r="9" spans="1:4" ht="14.4" thickTop="1" x14ac:dyDescent="0.25">
      <c r="B9" s="2"/>
      <c r="C9" s="2"/>
    </row>
    <row r="10" spans="1:4" x14ac:dyDescent="0.25">
      <c r="A10" s="1" t="s">
        <v>620</v>
      </c>
      <c r="B10" s="2">
        <v>287126</v>
      </c>
      <c r="C10" s="2"/>
    </row>
    <row r="11" spans="1:4" x14ac:dyDescent="0.25">
      <c r="A11" s="1" t="s">
        <v>744</v>
      </c>
      <c r="B11" s="2"/>
      <c r="C11" s="2">
        <v>13424</v>
      </c>
    </row>
    <row r="12" spans="1:4" x14ac:dyDescent="0.25">
      <c r="A12" s="1" t="s">
        <v>745</v>
      </c>
      <c r="B12" s="2"/>
      <c r="C12" s="2">
        <v>157721</v>
      </c>
    </row>
    <row r="13" spans="1:4" x14ac:dyDescent="0.25">
      <c r="A13" s="1" t="s">
        <v>135</v>
      </c>
      <c r="B13" s="2">
        <v>3871</v>
      </c>
      <c r="C13" s="2"/>
    </row>
    <row r="14" spans="1:4" ht="14.4" thickBot="1" x14ac:dyDescent="0.3">
      <c r="A14" s="1" t="s">
        <v>136</v>
      </c>
      <c r="B14" s="134">
        <f>SUM(B10:B13)</f>
        <v>290997</v>
      </c>
      <c r="C14" s="134">
        <f>SUM(C10:C13)</f>
        <v>171145</v>
      </c>
      <c r="D14" s="14">
        <f>B14+C14</f>
        <v>462142</v>
      </c>
    </row>
    <row r="15" spans="1:4" ht="14.4" thickTop="1" x14ac:dyDescent="0.25">
      <c r="B15" s="2"/>
      <c r="C15" s="2"/>
    </row>
    <row r="16" spans="1:4" ht="14.4" thickBot="1" x14ac:dyDescent="0.3">
      <c r="A16" s="1" t="s">
        <v>746</v>
      </c>
      <c r="B16" s="134">
        <v>56559</v>
      </c>
      <c r="C16" s="134">
        <v>42270</v>
      </c>
      <c r="D16" s="14">
        <f>B16+C16</f>
        <v>98829</v>
      </c>
    </row>
    <row r="17" spans="1:4" ht="14.4" thickTop="1" x14ac:dyDescent="0.25">
      <c r="B17" s="2"/>
      <c r="C17" s="2"/>
    </row>
    <row r="18" spans="1:4" x14ac:dyDescent="0.25">
      <c r="A18" s="1" t="s">
        <v>289</v>
      </c>
      <c r="B18" s="13">
        <v>26576</v>
      </c>
      <c r="C18" s="13">
        <v>37233</v>
      </c>
      <c r="D18" s="14">
        <f>B18+C18</f>
        <v>63809</v>
      </c>
    </row>
    <row r="19" spans="1:4" x14ac:dyDescent="0.25">
      <c r="A19" s="1" t="s">
        <v>99</v>
      </c>
      <c r="B19" s="13">
        <v>1796</v>
      </c>
      <c r="C19" s="13">
        <v>5367</v>
      </c>
      <c r="D19" s="14">
        <f>B19+C19</f>
        <v>7163</v>
      </c>
    </row>
    <row r="22" spans="1:4" x14ac:dyDescent="0.25">
      <c r="A22" s="1" t="s">
        <v>749</v>
      </c>
      <c r="B22" s="31">
        <f>B8/B16</f>
        <v>6.1450167082161986</v>
      </c>
      <c r="C22" s="31">
        <f t="shared" ref="C22:D22" si="0">C8/C16</f>
        <v>5.0488526141471493</v>
      </c>
      <c r="D22" s="31">
        <f t="shared" si="0"/>
        <v>5.6761780449058472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AA57-9D87-4202-810B-57BA2F53A6A7}">
  <sheetPr codeName="Sheet4">
    <tabColor theme="4"/>
  </sheetPr>
  <dimension ref="A1:Q130"/>
  <sheetViews>
    <sheetView showGridLines="0" zoomScale="85" zoomScaleNormal="85" workbookViewId="0">
      <pane xSplit="1" ySplit="2" topLeftCell="B7" activePane="bottomRight" state="frozen"/>
      <selection pane="topRight" activeCell="B1" sqref="B1"/>
      <selection pane="bottomLeft" activeCell="A2" sqref="A2"/>
      <selection pane="bottomRight" activeCell="N34" sqref="N34"/>
    </sheetView>
  </sheetViews>
  <sheetFormatPr defaultColWidth="8.6640625" defaultRowHeight="13.8" x14ac:dyDescent="0.25"/>
  <cols>
    <col min="1" max="1" width="8.6640625" style="1"/>
    <col min="2" max="2" width="17.88671875" style="1" customWidth="1"/>
    <col min="3" max="8" width="12.88671875" style="1" customWidth="1"/>
    <col min="9" max="9" width="18.109375" style="1" customWidth="1"/>
    <col min="10" max="10" width="11.6640625" style="1" bestFit="1" customWidth="1"/>
    <col min="11" max="11" width="11.6640625" style="1" customWidth="1"/>
    <col min="12" max="14" width="8.6640625" style="1"/>
    <col min="15" max="15" width="33.88671875" style="1" customWidth="1"/>
    <col min="16" max="16" width="13.109375" style="1" customWidth="1"/>
    <col min="17" max="16384" width="8.6640625" style="1"/>
  </cols>
  <sheetData>
    <row r="1" spans="1:17" x14ac:dyDescent="0.25">
      <c r="B1" s="51">
        <v>5</v>
      </c>
      <c r="C1" s="51">
        <v>5</v>
      </c>
      <c r="D1" s="51">
        <v>5</v>
      </c>
      <c r="E1" s="51">
        <v>5.5</v>
      </c>
      <c r="F1" s="51">
        <v>3</v>
      </c>
      <c r="G1" s="51">
        <v>3.5</v>
      </c>
      <c r="H1" s="51">
        <v>7</v>
      </c>
      <c r="I1" s="51">
        <v>0.25</v>
      </c>
      <c r="J1" s="51">
        <v>6.5</v>
      </c>
      <c r="K1" s="51">
        <v>6</v>
      </c>
      <c r="L1" s="51">
        <v>4.5</v>
      </c>
      <c r="M1" s="51">
        <v>1</v>
      </c>
    </row>
    <row r="2" spans="1:17" s="115" customFormat="1" ht="24.6" customHeight="1" x14ac:dyDescent="0.25">
      <c r="B2" s="121" t="s">
        <v>656</v>
      </c>
      <c r="C2" s="121" t="s">
        <v>666</v>
      </c>
      <c r="D2" s="121" t="s">
        <v>662</v>
      </c>
      <c r="E2" s="121" t="s">
        <v>658</v>
      </c>
      <c r="F2" s="121" t="s">
        <v>659</v>
      </c>
      <c r="G2" s="121" t="s">
        <v>660</v>
      </c>
      <c r="H2" s="121" t="s">
        <v>661</v>
      </c>
      <c r="I2" s="121" t="s">
        <v>657</v>
      </c>
      <c r="J2" s="121" t="s">
        <v>663</v>
      </c>
      <c r="K2" s="121" t="s">
        <v>664</v>
      </c>
      <c r="L2" s="121" t="s">
        <v>665</v>
      </c>
      <c r="M2" s="121" t="s">
        <v>681</v>
      </c>
      <c r="P2" s="120"/>
      <c r="Q2" s="120"/>
    </row>
    <row r="3" spans="1:17" x14ac:dyDescent="0.25">
      <c r="P3" s="77"/>
      <c r="Q3" s="77"/>
    </row>
    <row r="4" spans="1:17" x14ac:dyDescent="0.25">
      <c r="A4" s="1">
        <v>1839</v>
      </c>
      <c r="J4" s="1">
        <f t="shared" ref="J4:J67" si="0">$J$1</f>
        <v>6.5</v>
      </c>
      <c r="P4" s="77"/>
      <c r="Q4" s="77"/>
    </row>
    <row r="5" spans="1:17" x14ac:dyDescent="0.25">
      <c r="A5" s="1">
        <v>1840</v>
      </c>
      <c r="J5" s="1">
        <f t="shared" si="0"/>
        <v>6.5</v>
      </c>
      <c r="P5" s="77"/>
      <c r="Q5" s="77"/>
    </row>
    <row r="6" spans="1:17" x14ac:dyDescent="0.25">
      <c r="A6" s="1">
        <v>1841</v>
      </c>
      <c r="J6" s="1">
        <f t="shared" si="0"/>
        <v>6.5</v>
      </c>
      <c r="P6" s="77"/>
      <c r="Q6" s="77"/>
    </row>
    <row r="7" spans="1:17" x14ac:dyDescent="0.25">
      <c r="A7" s="1">
        <v>1842</v>
      </c>
      <c r="J7" s="1">
        <f t="shared" si="0"/>
        <v>6.5</v>
      </c>
      <c r="P7" s="77"/>
      <c r="Q7" s="77"/>
    </row>
    <row r="8" spans="1:17" x14ac:dyDescent="0.25">
      <c r="A8" s="1">
        <v>1843</v>
      </c>
      <c r="J8" s="1">
        <f t="shared" si="0"/>
        <v>6.5</v>
      </c>
      <c r="P8" s="77"/>
      <c r="Q8" s="77"/>
    </row>
    <row r="9" spans="1:17" x14ac:dyDescent="0.25">
      <c r="A9" s="1">
        <v>1844</v>
      </c>
      <c r="J9" s="1">
        <f t="shared" si="0"/>
        <v>6.5</v>
      </c>
      <c r="P9" s="77"/>
      <c r="Q9" s="77"/>
    </row>
    <row r="10" spans="1:17" x14ac:dyDescent="0.25">
      <c r="A10" s="1">
        <v>1845</v>
      </c>
      <c r="J10" s="1">
        <f t="shared" si="0"/>
        <v>6.5</v>
      </c>
      <c r="P10" s="77"/>
      <c r="Q10" s="77"/>
    </row>
    <row r="11" spans="1:17" x14ac:dyDescent="0.25">
      <c r="A11" s="1">
        <v>1846</v>
      </c>
      <c r="J11" s="1">
        <f t="shared" si="0"/>
        <v>6.5</v>
      </c>
      <c r="P11" s="77"/>
      <c r="Q11" s="77"/>
    </row>
    <row r="12" spans="1:17" x14ac:dyDescent="0.25">
      <c r="A12" s="1">
        <v>1847</v>
      </c>
      <c r="J12" s="1">
        <f t="shared" si="0"/>
        <v>6.5</v>
      </c>
      <c r="P12" s="77"/>
      <c r="Q12" s="77"/>
    </row>
    <row r="13" spans="1:17" x14ac:dyDescent="0.25">
      <c r="A13" s="1">
        <v>1848</v>
      </c>
      <c r="J13" s="1">
        <f t="shared" si="0"/>
        <v>6.5</v>
      </c>
      <c r="P13" s="77"/>
      <c r="Q13" s="77"/>
    </row>
    <row r="14" spans="1:17" x14ac:dyDescent="0.25">
      <c r="A14" s="1">
        <v>1849</v>
      </c>
      <c r="J14" s="1">
        <f t="shared" si="0"/>
        <v>6.5</v>
      </c>
      <c r="P14" s="77"/>
      <c r="Q14" s="77"/>
    </row>
    <row r="15" spans="1:17" x14ac:dyDescent="0.25">
      <c r="A15" s="1">
        <v>1850</v>
      </c>
      <c r="J15" s="1">
        <f t="shared" si="0"/>
        <v>6.5</v>
      </c>
      <c r="P15" s="77"/>
      <c r="Q15" s="77"/>
    </row>
    <row r="16" spans="1:17" x14ac:dyDescent="0.25">
      <c r="A16" s="1">
        <v>1851</v>
      </c>
      <c r="J16" s="1">
        <f t="shared" si="0"/>
        <v>6.5</v>
      </c>
      <c r="P16" s="77"/>
      <c r="Q16" s="77"/>
    </row>
    <row r="17" spans="1:17" x14ac:dyDescent="0.25">
      <c r="A17" s="1">
        <v>1852</v>
      </c>
      <c r="J17" s="1">
        <f t="shared" si="0"/>
        <v>6.5</v>
      </c>
      <c r="P17" s="77"/>
      <c r="Q17" s="77"/>
    </row>
    <row r="18" spans="1:17" x14ac:dyDescent="0.25">
      <c r="A18" s="1">
        <v>1853</v>
      </c>
      <c r="J18" s="1">
        <f t="shared" si="0"/>
        <v>6.5</v>
      </c>
      <c r="P18" s="77"/>
      <c r="Q18" s="77"/>
    </row>
    <row r="19" spans="1:17" x14ac:dyDescent="0.25">
      <c r="A19" s="1">
        <v>1854</v>
      </c>
      <c r="J19" s="1">
        <f t="shared" si="0"/>
        <v>6.5</v>
      </c>
      <c r="P19" s="77"/>
      <c r="Q19" s="77"/>
    </row>
    <row r="20" spans="1:17" x14ac:dyDescent="0.25">
      <c r="A20" s="1">
        <v>1855</v>
      </c>
      <c r="J20" s="1">
        <f t="shared" si="0"/>
        <v>6.5</v>
      </c>
      <c r="P20" s="77"/>
      <c r="Q20" s="77"/>
    </row>
    <row r="21" spans="1:17" x14ac:dyDescent="0.25">
      <c r="A21" s="1">
        <v>1856</v>
      </c>
      <c r="J21" s="1">
        <f t="shared" si="0"/>
        <v>6.5</v>
      </c>
      <c r="P21" s="77"/>
      <c r="Q21" s="77"/>
    </row>
    <row r="22" spans="1:17" x14ac:dyDescent="0.25">
      <c r="A22" s="1">
        <v>1857</v>
      </c>
      <c r="J22" s="1">
        <f t="shared" si="0"/>
        <v>6.5</v>
      </c>
      <c r="P22" s="77"/>
      <c r="Q22" s="77"/>
    </row>
    <row r="23" spans="1:17" x14ac:dyDescent="0.25">
      <c r="A23" s="1">
        <v>1858</v>
      </c>
      <c r="J23" s="1">
        <f t="shared" si="0"/>
        <v>6.5</v>
      </c>
      <c r="P23" s="77"/>
      <c r="Q23" s="77"/>
    </row>
    <row r="24" spans="1:17" x14ac:dyDescent="0.25">
      <c r="A24" s="1">
        <v>1859</v>
      </c>
      <c r="J24" s="1">
        <f t="shared" si="0"/>
        <v>6.5</v>
      </c>
      <c r="P24" s="77"/>
      <c r="Q24" s="77"/>
    </row>
    <row r="25" spans="1:17" x14ac:dyDescent="0.25">
      <c r="A25" s="1">
        <v>1860</v>
      </c>
      <c r="J25" s="1">
        <f t="shared" si="0"/>
        <v>6.5</v>
      </c>
      <c r="P25" s="77"/>
      <c r="Q25" s="77"/>
    </row>
    <row r="26" spans="1:17" x14ac:dyDescent="0.25">
      <c r="A26" s="1">
        <v>1861</v>
      </c>
      <c r="J26" s="1">
        <f t="shared" si="0"/>
        <v>6.5</v>
      </c>
      <c r="P26" s="77"/>
      <c r="Q26" s="77"/>
    </row>
    <row r="27" spans="1:17" x14ac:dyDescent="0.25">
      <c r="A27" s="1">
        <v>1862</v>
      </c>
      <c r="J27" s="122">
        <f t="shared" si="0"/>
        <v>6.5</v>
      </c>
      <c r="P27" s="77"/>
      <c r="Q27" s="77"/>
    </row>
    <row r="28" spans="1:17" x14ac:dyDescent="0.25">
      <c r="A28" s="1">
        <v>1863</v>
      </c>
      <c r="J28" s="1">
        <f t="shared" si="0"/>
        <v>6.5</v>
      </c>
      <c r="P28" s="77"/>
      <c r="Q28" s="77"/>
    </row>
    <row r="29" spans="1:17" x14ac:dyDescent="0.25">
      <c r="A29" s="1">
        <v>1864</v>
      </c>
      <c r="J29" s="1">
        <f t="shared" si="0"/>
        <v>6.5</v>
      </c>
      <c r="K29" s="1">
        <f>$K$1</f>
        <v>6</v>
      </c>
      <c r="P29" s="77"/>
      <c r="Q29" s="77"/>
    </row>
    <row r="30" spans="1:17" x14ac:dyDescent="0.25">
      <c r="A30" s="1">
        <v>1865</v>
      </c>
      <c r="J30" s="1">
        <f t="shared" si="0"/>
        <v>6.5</v>
      </c>
      <c r="K30" s="1">
        <f t="shared" ref="K30:K93" si="1">$K$1</f>
        <v>6</v>
      </c>
      <c r="P30" s="77"/>
      <c r="Q30" s="77"/>
    </row>
    <row r="31" spans="1:17" x14ac:dyDescent="0.25">
      <c r="A31" s="1">
        <v>1866</v>
      </c>
      <c r="J31" s="1">
        <f t="shared" si="0"/>
        <v>6.5</v>
      </c>
      <c r="K31" s="1">
        <f t="shared" si="1"/>
        <v>6</v>
      </c>
      <c r="P31" s="77"/>
      <c r="Q31" s="77"/>
    </row>
    <row r="32" spans="1:17" x14ac:dyDescent="0.25">
      <c r="A32" s="1">
        <v>1867</v>
      </c>
      <c r="J32" s="1">
        <f t="shared" si="0"/>
        <v>6.5</v>
      </c>
      <c r="K32" s="1">
        <f t="shared" si="1"/>
        <v>6</v>
      </c>
      <c r="P32" s="77"/>
      <c r="Q32" s="77"/>
    </row>
    <row r="33" spans="1:17" x14ac:dyDescent="0.25">
      <c r="A33" s="1">
        <v>1868</v>
      </c>
      <c r="J33" s="1">
        <f t="shared" si="0"/>
        <v>6.5</v>
      </c>
      <c r="K33" s="1">
        <f t="shared" si="1"/>
        <v>6</v>
      </c>
      <c r="P33" s="77"/>
      <c r="Q33" s="77"/>
    </row>
    <row r="34" spans="1:17" x14ac:dyDescent="0.25">
      <c r="A34" s="1">
        <v>1869</v>
      </c>
      <c r="J34" s="1">
        <f t="shared" si="0"/>
        <v>6.5</v>
      </c>
      <c r="K34" s="1">
        <f t="shared" si="1"/>
        <v>6</v>
      </c>
      <c r="P34" s="77"/>
      <c r="Q34" s="77"/>
    </row>
    <row r="35" spans="1:17" x14ac:dyDescent="0.25">
      <c r="A35" s="1">
        <v>1870</v>
      </c>
      <c r="J35" s="1">
        <f t="shared" si="0"/>
        <v>6.5</v>
      </c>
      <c r="K35" s="1">
        <f t="shared" si="1"/>
        <v>6</v>
      </c>
      <c r="P35" s="77"/>
      <c r="Q35" s="77"/>
    </row>
    <row r="36" spans="1:17" x14ac:dyDescent="0.25">
      <c r="A36" s="1">
        <v>1871</v>
      </c>
      <c r="H36" s="1">
        <f>$H$1</f>
        <v>7</v>
      </c>
      <c r="J36" s="1">
        <f t="shared" si="0"/>
        <v>6.5</v>
      </c>
      <c r="K36" s="1">
        <f t="shared" si="1"/>
        <v>6</v>
      </c>
      <c r="P36" s="77"/>
      <c r="Q36" s="77"/>
    </row>
    <row r="37" spans="1:17" x14ac:dyDescent="0.25">
      <c r="A37" s="1">
        <v>1872</v>
      </c>
      <c r="H37" s="1">
        <f t="shared" ref="H37:H94" si="2">$H$1</f>
        <v>7</v>
      </c>
      <c r="J37" s="1">
        <f t="shared" si="0"/>
        <v>6.5</v>
      </c>
      <c r="K37" s="1">
        <f t="shared" si="1"/>
        <v>6</v>
      </c>
      <c r="P37" s="77"/>
      <c r="Q37" s="77"/>
    </row>
    <row r="38" spans="1:17" x14ac:dyDescent="0.25">
      <c r="A38" s="1">
        <v>1873</v>
      </c>
      <c r="H38" s="1">
        <f t="shared" si="2"/>
        <v>7</v>
      </c>
      <c r="J38" s="1">
        <f t="shared" si="0"/>
        <v>6.5</v>
      </c>
      <c r="K38" s="1">
        <f t="shared" si="1"/>
        <v>6</v>
      </c>
      <c r="P38" s="77"/>
      <c r="Q38" s="77"/>
    </row>
    <row r="39" spans="1:17" x14ac:dyDescent="0.25">
      <c r="A39" s="1">
        <v>1874</v>
      </c>
      <c r="H39" s="1">
        <f t="shared" si="2"/>
        <v>7</v>
      </c>
      <c r="J39" s="1">
        <f t="shared" si="0"/>
        <v>6.5</v>
      </c>
      <c r="K39" s="1">
        <f t="shared" si="1"/>
        <v>6</v>
      </c>
      <c r="P39" s="77"/>
      <c r="Q39" s="77"/>
    </row>
    <row r="40" spans="1:17" x14ac:dyDescent="0.25">
      <c r="A40" s="1">
        <v>1875</v>
      </c>
      <c r="H40" s="1">
        <f t="shared" si="2"/>
        <v>7</v>
      </c>
      <c r="J40" s="1">
        <f t="shared" si="0"/>
        <v>6.5</v>
      </c>
      <c r="K40" s="1">
        <f t="shared" si="1"/>
        <v>6</v>
      </c>
      <c r="P40" s="77"/>
      <c r="Q40" s="77"/>
    </row>
    <row r="41" spans="1:17" x14ac:dyDescent="0.25">
      <c r="A41" s="1">
        <v>1876</v>
      </c>
      <c r="H41" s="1">
        <f t="shared" si="2"/>
        <v>7</v>
      </c>
      <c r="J41" s="1">
        <f t="shared" si="0"/>
        <v>6.5</v>
      </c>
      <c r="K41" s="1">
        <f t="shared" si="1"/>
        <v>6</v>
      </c>
      <c r="P41" s="77"/>
      <c r="Q41" s="77"/>
    </row>
    <row r="42" spans="1:17" x14ac:dyDescent="0.25">
      <c r="A42" s="1">
        <v>1877</v>
      </c>
      <c r="H42" s="1">
        <f t="shared" si="2"/>
        <v>7</v>
      </c>
      <c r="J42" s="1">
        <f t="shared" si="0"/>
        <v>6.5</v>
      </c>
      <c r="K42" s="1">
        <f t="shared" si="1"/>
        <v>6</v>
      </c>
      <c r="P42" s="77"/>
      <c r="Q42" s="77"/>
    </row>
    <row r="43" spans="1:17" x14ac:dyDescent="0.25">
      <c r="A43" s="1">
        <v>1878</v>
      </c>
      <c r="H43" s="1">
        <f t="shared" si="2"/>
        <v>7</v>
      </c>
      <c r="J43" s="1">
        <f t="shared" si="0"/>
        <v>6.5</v>
      </c>
      <c r="K43" s="1">
        <f t="shared" si="1"/>
        <v>6</v>
      </c>
      <c r="P43" s="77"/>
      <c r="Q43" s="77"/>
    </row>
    <row r="44" spans="1:17" x14ac:dyDescent="0.25">
      <c r="A44" s="1">
        <v>1879</v>
      </c>
      <c r="H44" s="1">
        <f t="shared" si="2"/>
        <v>7</v>
      </c>
      <c r="J44" s="1">
        <f t="shared" si="0"/>
        <v>6.5</v>
      </c>
      <c r="K44" s="1">
        <f t="shared" si="1"/>
        <v>6</v>
      </c>
      <c r="P44" s="77"/>
      <c r="Q44" s="77"/>
    </row>
    <row r="45" spans="1:17" x14ac:dyDescent="0.25">
      <c r="A45" s="1">
        <v>1880</v>
      </c>
      <c r="E45" s="1">
        <f>$E$1</f>
        <v>5.5</v>
      </c>
      <c r="H45" s="1">
        <f t="shared" si="2"/>
        <v>7</v>
      </c>
      <c r="J45" s="1">
        <f t="shared" si="0"/>
        <v>6.5</v>
      </c>
      <c r="K45" s="1">
        <f t="shared" si="1"/>
        <v>6</v>
      </c>
      <c r="P45" s="77"/>
      <c r="Q45" s="77"/>
    </row>
    <row r="46" spans="1:17" x14ac:dyDescent="0.25">
      <c r="A46" s="1">
        <v>1881</v>
      </c>
      <c r="E46" s="1">
        <f t="shared" ref="E46:E93" si="3">$E$1</f>
        <v>5.5</v>
      </c>
      <c r="H46" s="1">
        <f t="shared" si="2"/>
        <v>7</v>
      </c>
      <c r="J46" s="1">
        <f t="shared" si="0"/>
        <v>6.5</v>
      </c>
      <c r="K46" s="1">
        <f t="shared" si="1"/>
        <v>6</v>
      </c>
      <c r="P46" s="77"/>
      <c r="Q46" s="77"/>
    </row>
    <row r="47" spans="1:17" x14ac:dyDescent="0.25">
      <c r="A47" s="1">
        <v>1882</v>
      </c>
      <c r="E47" s="1">
        <f t="shared" si="3"/>
        <v>5.5</v>
      </c>
      <c r="H47" s="1">
        <f t="shared" si="2"/>
        <v>7</v>
      </c>
      <c r="J47" s="1">
        <f t="shared" si="0"/>
        <v>6.5</v>
      </c>
      <c r="K47" s="1">
        <f t="shared" si="1"/>
        <v>6</v>
      </c>
      <c r="P47" s="77"/>
      <c r="Q47" s="77"/>
    </row>
    <row r="48" spans="1:17" x14ac:dyDescent="0.25">
      <c r="A48" s="1">
        <v>1883</v>
      </c>
      <c r="E48" s="1">
        <f t="shared" si="3"/>
        <v>5.5</v>
      </c>
      <c r="H48" s="1">
        <f t="shared" si="2"/>
        <v>7</v>
      </c>
      <c r="J48" s="1">
        <f t="shared" si="0"/>
        <v>6.5</v>
      </c>
      <c r="K48" s="1">
        <f t="shared" si="1"/>
        <v>6</v>
      </c>
      <c r="P48" s="77"/>
      <c r="Q48" s="77"/>
    </row>
    <row r="49" spans="1:17" x14ac:dyDescent="0.25">
      <c r="A49" s="1">
        <v>1884</v>
      </c>
      <c r="E49" s="1">
        <f t="shared" si="3"/>
        <v>5.5</v>
      </c>
      <c r="H49" s="1">
        <f t="shared" si="2"/>
        <v>7</v>
      </c>
      <c r="J49" s="1">
        <f t="shared" si="0"/>
        <v>6.5</v>
      </c>
      <c r="K49" s="1">
        <f t="shared" si="1"/>
        <v>6</v>
      </c>
      <c r="P49" s="77"/>
      <c r="Q49" s="77"/>
    </row>
    <row r="50" spans="1:17" x14ac:dyDescent="0.25">
      <c r="A50" s="1">
        <v>1885</v>
      </c>
      <c r="E50" s="1">
        <f t="shared" si="3"/>
        <v>5.5</v>
      </c>
      <c r="H50" s="1">
        <f t="shared" si="2"/>
        <v>7</v>
      </c>
      <c r="J50" s="1">
        <f t="shared" si="0"/>
        <v>6.5</v>
      </c>
      <c r="K50" s="1">
        <f t="shared" si="1"/>
        <v>6</v>
      </c>
      <c r="P50" s="77"/>
      <c r="Q50" s="77"/>
    </row>
    <row r="51" spans="1:17" x14ac:dyDescent="0.25">
      <c r="A51" s="1">
        <v>1886</v>
      </c>
      <c r="E51" s="1">
        <f t="shared" si="3"/>
        <v>5.5</v>
      </c>
      <c r="H51" s="1">
        <f t="shared" si="2"/>
        <v>7</v>
      </c>
      <c r="J51" s="1">
        <f t="shared" si="0"/>
        <v>6.5</v>
      </c>
      <c r="K51" s="1">
        <f t="shared" si="1"/>
        <v>6</v>
      </c>
      <c r="P51" s="77"/>
      <c r="Q51" s="77"/>
    </row>
    <row r="52" spans="1:17" x14ac:dyDescent="0.25">
      <c r="A52" s="1">
        <v>1887</v>
      </c>
      <c r="E52" s="1">
        <f t="shared" si="3"/>
        <v>5.5</v>
      </c>
      <c r="H52" s="1">
        <f t="shared" si="2"/>
        <v>7</v>
      </c>
      <c r="J52" s="1">
        <f t="shared" si="0"/>
        <v>6.5</v>
      </c>
      <c r="K52" s="1">
        <f t="shared" si="1"/>
        <v>6</v>
      </c>
      <c r="P52" s="77"/>
      <c r="Q52" s="77"/>
    </row>
    <row r="53" spans="1:17" x14ac:dyDescent="0.25">
      <c r="A53" s="1">
        <v>1888</v>
      </c>
      <c r="E53" s="1">
        <f t="shared" si="3"/>
        <v>5.5</v>
      </c>
      <c r="G53" s="1">
        <f t="shared" ref="G53:G84" si="4">$G$1</f>
        <v>3.5</v>
      </c>
      <c r="H53" s="1">
        <f t="shared" si="2"/>
        <v>7</v>
      </c>
      <c r="J53" s="1">
        <f t="shared" si="0"/>
        <v>6.5</v>
      </c>
      <c r="K53" s="1">
        <f t="shared" si="1"/>
        <v>6</v>
      </c>
      <c r="P53" s="77"/>
      <c r="Q53" s="77"/>
    </row>
    <row r="54" spans="1:17" x14ac:dyDescent="0.25">
      <c r="A54" s="1">
        <v>1889</v>
      </c>
      <c r="D54" s="1">
        <f t="shared" ref="D54:D92" si="5">$D$1</f>
        <v>5</v>
      </c>
      <c r="E54" s="1">
        <f t="shared" si="3"/>
        <v>5.5</v>
      </c>
      <c r="G54" s="1">
        <f t="shared" si="4"/>
        <v>3.5</v>
      </c>
      <c r="H54" s="1">
        <f t="shared" si="2"/>
        <v>7</v>
      </c>
      <c r="I54" s="1">
        <f>$I$1</f>
        <v>0.25</v>
      </c>
      <c r="J54" s="1">
        <f t="shared" si="0"/>
        <v>6.5</v>
      </c>
      <c r="K54" s="1">
        <f t="shared" si="1"/>
        <v>6</v>
      </c>
      <c r="P54" s="77"/>
      <c r="Q54" s="77"/>
    </row>
    <row r="55" spans="1:17" x14ac:dyDescent="0.25">
      <c r="A55" s="1">
        <v>1890</v>
      </c>
      <c r="D55" s="1">
        <f t="shared" si="5"/>
        <v>5</v>
      </c>
      <c r="E55" s="1">
        <f t="shared" si="3"/>
        <v>5.5</v>
      </c>
      <c r="G55" s="1">
        <f t="shared" si="4"/>
        <v>3.5</v>
      </c>
      <c r="H55" s="1">
        <f t="shared" si="2"/>
        <v>7</v>
      </c>
      <c r="I55" s="1">
        <f t="shared" ref="I55:I118" si="6">$I$1</f>
        <v>0.25</v>
      </c>
      <c r="J55" s="1">
        <f t="shared" si="0"/>
        <v>6.5</v>
      </c>
      <c r="K55" s="1">
        <f t="shared" si="1"/>
        <v>6</v>
      </c>
      <c r="P55" s="77"/>
      <c r="Q55" s="77"/>
    </row>
    <row r="56" spans="1:17" x14ac:dyDescent="0.25">
      <c r="A56" s="1">
        <v>1891</v>
      </c>
      <c r="D56" s="1">
        <f t="shared" si="5"/>
        <v>5</v>
      </c>
      <c r="E56" s="1">
        <f t="shared" si="3"/>
        <v>5.5</v>
      </c>
      <c r="G56" s="1">
        <f t="shared" si="4"/>
        <v>3.5</v>
      </c>
      <c r="H56" s="1">
        <f t="shared" si="2"/>
        <v>7</v>
      </c>
      <c r="I56" s="1">
        <f t="shared" si="6"/>
        <v>0.25</v>
      </c>
      <c r="J56" s="1">
        <f t="shared" si="0"/>
        <v>6.5</v>
      </c>
      <c r="K56" s="1">
        <f t="shared" si="1"/>
        <v>6</v>
      </c>
      <c r="P56" s="77"/>
      <c r="Q56" s="77"/>
    </row>
    <row r="57" spans="1:17" x14ac:dyDescent="0.25">
      <c r="A57" s="1">
        <v>1892</v>
      </c>
      <c r="D57" s="1">
        <f t="shared" si="5"/>
        <v>5</v>
      </c>
      <c r="E57" s="1">
        <f t="shared" si="3"/>
        <v>5.5</v>
      </c>
      <c r="G57" s="1">
        <f t="shared" si="4"/>
        <v>3.5</v>
      </c>
      <c r="H57" s="1">
        <f t="shared" si="2"/>
        <v>7</v>
      </c>
      <c r="I57" s="1">
        <f t="shared" si="6"/>
        <v>0.25</v>
      </c>
      <c r="J57" s="1">
        <f t="shared" si="0"/>
        <v>6.5</v>
      </c>
      <c r="K57" s="1">
        <f t="shared" si="1"/>
        <v>6</v>
      </c>
      <c r="P57" s="77"/>
      <c r="Q57" s="77"/>
    </row>
    <row r="58" spans="1:17" x14ac:dyDescent="0.25">
      <c r="A58" s="1">
        <v>1893</v>
      </c>
      <c r="D58" s="1">
        <f t="shared" si="5"/>
        <v>5</v>
      </c>
      <c r="E58" s="1">
        <f t="shared" si="3"/>
        <v>5.5</v>
      </c>
      <c r="G58" s="1">
        <f t="shared" si="4"/>
        <v>3.5</v>
      </c>
      <c r="H58" s="1">
        <f t="shared" si="2"/>
        <v>7</v>
      </c>
      <c r="I58" s="1">
        <f t="shared" si="6"/>
        <v>0.25</v>
      </c>
      <c r="J58" s="1">
        <f t="shared" si="0"/>
        <v>6.5</v>
      </c>
      <c r="K58" s="1">
        <f t="shared" si="1"/>
        <v>6</v>
      </c>
      <c r="P58" s="77"/>
      <c r="Q58" s="77"/>
    </row>
    <row r="59" spans="1:17" x14ac:dyDescent="0.25">
      <c r="A59" s="1">
        <v>1894</v>
      </c>
      <c r="D59" s="1">
        <f t="shared" si="5"/>
        <v>5</v>
      </c>
      <c r="E59" s="1">
        <f t="shared" si="3"/>
        <v>5.5</v>
      </c>
      <c r="G59" s="1">
        <f t="shared" si="4"/>
        <v>3.5</v>
      </c>
      <c r="H59" s="1">
        <f t="shared" si="2"/>
        <v>7</v>
      </c>
      <c r="I59" s="1">
        <f t="shared" si="6"/>
        <v>0.25</v>
      </c>
      <c r="J59" s="1">
        <f t="shared" si="0"/>
        <v>6.5</v>
      </c>
      <c r="K59" s="1">
        <f t="shared" si="1"/>
        <v>6</v>
      </c>
      <c r="P59" s="77"/>
      <c r="Q59" s="77"/>
    </row>
    <row r="60" spans="1:17" x14ac:dyDescent="0.25">
      <c r="A60" s="1">
        <v>1895</v>
      </c>
      <c r="D60" s="1">
        <f t="shared" si="5"/>
        <v>5</v>
      </c>
      <c r="E60" s="1">
        <f t="shared" si="3"/>
        <v>5.5</v>
      </c>
      <c r="F60" s="1">
        <f t="shared" ref="F60:G86" si="7">$F$1</f>
        <v>3</v>
      </c>
      <c r="G60" s="1">
        <f t="shared" si="4"/>
        <v>3.5</v>
      </c>
      <c r="H60" s="1">
        <f t="shared" si="2"/>
        <v>7</v>
      </c>
      <c r="I60" s="1">
        <f t="shared" si="6"/>
        <v>0.25</v>
      </c>
      <c r="J60" s="1">
        <f t="shared" si="0"/>
        <v>6.5</v>
      </c>
      <c r="K60" s="1">
        <f t="shared" si="1"/>
        <v>6</v>
      </c>
      <c r="P60" s="77"/>
      <c r="Q60" s="77"/>
    </row>
    <row r="61" spans="1:17" x14ac:dyDescent="0.25">
      <c r="A61" s="1">
        <v>1896</v>
      </c>
      <c r="D61" s="1">
        <f t="shared" si="5"/>
        <v>5</v>
      </c>
      <c r="E61" s="1">
        <f t="shared" si="3"/>
        <v>5.5</v>
      </c>
      <c r="F61" s="1">
        <f t="shared" si="7"/>
        <v>3</v>
      </c>
      <c r="G61" s="1">
        <f t="shared" si="4"/>
        <v>3.5</v>
      </c>
      <c r="H61" s="1">
        <f t="shared" si="2"/>
        <v>7</v>
      </c>
      <c r="I61" s="1">
        <f t="shared" si="6"/>
        <v>0.25</v>
      </c>
      <c r="J61" s="1">
        <f t="shared" si="0"/>
        <v>6.5</v>
      </c>
      <c r="K61" s="1">
        <f t="shared" si="1"/>
        <v>6</v>
      </c>
      <c r="P61" s="77"/>
      <c r="Q61" s="77"/>
    </row>
    <row r="62" spans="1:17" x14ac:dyDescent="0.25">
      <c r="A62" s="1">
        <v>1897</v>
      </c>
      <c r="D62" s="1">
        <f t="shared" si="5"/>
        <v>5</v>
      </c>
      <c r="E62" s="1">
        <f t="shared" si="3"/>
        <v>5.5</v>
      </c>
      <c r="F62" s="1">
        <f t="shared" si="7"/>
        <v>3</v>
      </c>
      <c r="G62" s="1">
        <f t="shared" si="4"/>
        <v>3.5</v>
      </c>
      <c r="H62" s="1">
        <f t="shared" si="2"/>
        <v>7</v>
      </c>
      <c r="I62" s="1">
        <f t="shared" si="6"/>
        <v>0.25</v>
      </c>
      <c r="J62" s="1">
        <f t="shared" si="0"/>
        <v>6.5</v>
      </c>
      <c r="K62" s="1">
        <f t="shared" si="1"/>
        <v>6</v>
      </c>
      <c r="P62" s="77"/>
      <c r="Q62" s="77"/>
    </row>
    <row r="63" spans="1:17" x14ac:dyDescent="0.25">
      <c r="A63" s="1">
        <v>1898</v>
      </c>
      <c r="D63" s="1">
        <f t="shared" si="5"/>
        <v>5</v>
      </c>
      <c r="E63" s="1">
        <f t="shared" si="3"/>
        <v>5.5</v>
      </c>
      <c r="F63" s="1">
        <f t="shared" si="7"/>
        <v>3</v>
      </c>
      <c r="G63" s="1">
        <f t="shared" si="4"/>
        <v>3.5</v>
      </c>
      <c r="H63" s="1">
        <f t="shared" si="2"/>
        <v>7</v>
      </c>
      <c r="I63" s="1">
        <f t="shared" si="6"/>
        <v>0.25</v>
      </c>
      <c r="J63" s="1">
        <f t="shared" si="0"/>
        <v>6.5</v>
      </c>
      <c r="K63" s="1">
        <f t="shared" si="1"/>
        <v>6</v>
      </c>
      <c r="P63" s="77"/>
      <c r="Q63" s="77"/>
    </row>
    <row r="64" spans="1:17" x14ac:dyDescent="0.25">
      <c r="A64" s="1">
        <v>1899</v>
      </c>
      <c r="D64" s="1">
        <f t="shared" si="5"/>
        <v>5</v>
      </c>
      <c r="E64" s="1">
        <f t="shared" si="3"/>
        <v>5.5</v>
      </c>
      <c r="F64" s="1">
        <f t="shared" si="7"/>
        <v>3</v>
      </c>
      <c r="G64" s="1">
        <f t="shared" si="4"/>
        <v>3.5</v>
      </c>
      <c r="H64" s="1">
        <f t="shared" si="2"/>
        <v>7</v>
      </c>
      <c r="I64" s="1">
        <f t="shared" si="6"/>
        <v>0.25</v>
      </c>
      <c r="J64" s="1">
        <f t="shared" si="0"/>
        <v>6.5</v>
      </c>
      <c r="K64" s="1">
        <f t="shared" si="1"/>
        <v>6</v>
      </c>
      <c r="P64" s="77"/>
      <c r="Q64" s="77"/>
    </row>
    <row r="65" spans="1:15" x14ac:dyDescent="0.25">
      <c r="A65" s="1">
        <v>1900</v>
      </c>
      <c r="D65" s="1">
        <f t="shared" si="5"/>
        <v>5</v>
      </c>
      <c r="E65" s="1">
        <f t="shared" si="3"/>
        <v>5.5</v>
      </c>
      <c r="F65" s="1">
        <f t="shared" si="7"/>
        <v>3</v>
      </c>
      <c r="G65" s="1">
        <f t="shared" si="4"/>
        <v>3.5</v>
      </c>
      <c r="H65" s="1">
        <f t="shared" si="2"/>
        <v>7</v>
      </c>
      <c r="I65" s="1">
        <f t="shared" si="6"/>
        <v>0.25</v>
      </c>
      <c r="J65" s="1">
        <f t="shared" si="0"/>
        <v>6.5</v>
      </c>
      <c r="K65" s="1">
        <f t="shared" si="1"/>
        <v>6</v>
      </c>
    </row>
    <row r="66" spans="1:15" x14ac:dyDescent="0.25">
      <c r="A66" s="1">
        <v>1901</v>
      </c>
      <c r="D66" s="1">
        <f t="shared" si="5"/>
        <v>5</v>
      </c>
      <c r="E66" s="1">
        <f t="shared" si="3"/>
        <v>5.5</v>
      </c>
      <c r="F66" s="1">
        <f t="shared" si="7"/>
        <v>3</v>
      </c>
      <c r="G66" s="1">
        <f t="shared" si="4"/>
        <v>3.5</v>
      </c>
      <c r="H66" s="1">
        <f t="shared" si="2"/>
        <v>7</v>
      </c>
      <c r="I66" s="1">
        <f t="shared" si="6"/>
        <v>0.25</v>
      </c>
      <c r="J66" s="1">
        <f t="shared" si="0"/>
        <v>6.5</v>
      </c>
      <c r="K66" s="1">
        <f t="shared" si="1"/>
        <v>6</v>
      </c>
      <c r="M66" s="1" t="s">
        <v>682</v>
      </c>
      <c r="O66" s="77"/>
    </row>
    <row r="67" spans="1:15" x14ac:dyDescent="0.25">
      <c r="A67" s="1">
        <v>1902</v>
      </c>
      <c r="D67" s="1">
        <f t="shared" si="5"/>
        <v>5</v>
      </c>
      <c r="E67" s="1">
        <f t="shared" si="3"/>
        <v>5.5</v>
      </c>
      <c r="F67" s="1">
        <f t="shared" si="7"/>
        <v>3</v>
      </c>
      <c r="G67" s="1">
        <f t="shared" si="4"/>
        <v>3.5</v>
      </c>
      <c r="H67" s="1">
        <f t="shared" si="2"/>
        <v>7</v>
      </c>
      <c r="I67" s="1">
        <f t="shared" si="6"/>
        <v>0.25</v>
      </c>
      <c r="J67" s="1">
        <f t="shared" si="0"/>
        <v>6.5</v>
      </c>
      <c r="K67" s="1">
        <f t="shared" si="1"/>
        <v>6</v>
      </c>
      <c r="M67" s="1">
        <f t="shared" ref="M67:M81" si="8">$M$1</f>
        <v>1</v>
      </c>
    </row>
    <row r="68" spans="1:15" x14ac:dyDescent="0.25">
      <c r="A68" s="1">
        <v>1903</v>
      </c>
      <c r="D68" s="1">
        <f t="shared" si="5"/>
        <v>5</v>
      </c>
      <c r="E68" s="1">
        <f t="shared" si="3"/>
        <v>5.5</v>
      </c>
      <c r="F68" s="1">
        <f t="shared" si="7"/>
        <v>3</v>
      </c>
      <c r="G68" s="1">
        <f t="shared" si="4"/>
        <v>3.5</v>
      </c>
      <c r="H68" s="1">
        <f t="shared" si="2"/>
        <v>7</v>
      </c>
      <c r="I68" s="1">
        <f t="shared" si="6"/>
        <v>0.25</v>
      </c>
      <c r="J68" s="1">
        <f t="shared" ref="J68:J92" si="9">$J$1</f>
        <v>6.5</v>
      </c>
      <c r="K68" s="1">
        <f t="shared" si="1"/>
        <v>6</v>
      </c>
      <c r="M68" s="1">
        <f t="shared" si="8"/>
        <v>1</v>
      </c>
    </row>
    <row r="69" spans="1:15" x14ac:dyDescent="0.25">
      <c r="A69" s="1">
        <v>1904</v>
      </c>
      <c r="D69" s="1">
        <f t="shared" si="5"/>
        <v>5</v>
      </c>
      <c r="E69" s="1">
        <f t="shared" si="3"/>
        <v>5.5</v>
      </c>
      <c r="F69" s="1">
        <f t="shared" si="7"/>
        <v>3</v>
      </c>
      <c r="G69" s="1">
        <f t="shared" si="4"/>
        <v>3.5</v>
      </c>
      <c r="H69" s="1">
        <f t="shared" si="2"/>
        <v>7</v>
      </c>
      <c r="I69" s="1">
        <f t="shared" si="6"/>
        <v>0.25</v>
      </c>
      <c r="J69" s="1">
        <f t="shared" si="9"/>
        <v>6.5</v>
      </c>
      <c r="K69" s="1">
        <f t="shared" si="1"/>
        <v>6</v>
      </c>
      <c r="M69" s="1">
        <f t="shared" si="8"/>
        <v>1</v>
      </c>
    </row>
    <row r="70" spans="1:15" x14ac:dyDescent="0.25">
      <c r="A70" s="1">
        <v>1905</v>
      </c>
      <c r="D70" s="1">
        <f t="shared" si="5"/>
        <v>5</v>
      </c>
      <c r="E70" s="1">
        <f t="shared" si="3"/>
        <v>5.5</v>
      </c>
      <c r="F70" s="1">
        <f t="shared" si="7"/>
        <v>3</v>
      </c>
      <c r="G70" s="1">
        <f t="shared" si="4"/>
        <v>3.5</v>
      </c>
      <c r="H70" s="1">
        <f t="shared" si="2"/>
        <v>7</v>
      </c>
      <c r="I70" s="1">
        <f t="shared" si="6"/>
        <v>0.25</v>
      </c>
      <c r="J70" s="1">
        <f t="shared" si="9"/>
        <v>6.5</v>
      </c>
      <c r="K70" s="1">
        <f t="shared" si="1"/>
        <v>6</v>
      </c>
      <c r="M70" s="1">
        <f t="shared" si="8"/>
        <v>1</v>
      </c>
    </row>
    <row r="71" spans="1:15" x14ac:dyDescent="0.25">
      <c r="A71" s="1">
        <v>1906</v>
      </c>
      <c r="D71" s="1">
        <f t="shared" si="5"/>
        <v>5</v>
      </c>
      <c r="E71" s="1">
        <f t="shared" si="3"/>
        <v>5.5</v>
      </c>
      <c r="F71" s="1">
        <f t="shared" si="7"/>
        <v>3</v>
      </c>
      <c r="G71" s="1">
        <f t="shared" si="4"/>
        <v>3.5</v>
      </c>
      <c r="H71" s="1">
        <f t="shared" si="2"/>
        <v>7</v>
      </c>
      <c r="I71" s="1">
        <f t="shared" si="6"/>
        <v>0.25</v>
      </c>
      <c r="J71" s="1">
        <f t="shared" si="9"/>
        <v>6.5</v>
      </c>
      <c r="K71" s="1">
        <f t="shared" si="1"/>
        <v>6</v>
      </c>
      <c r="M71" s="1">
        <f t="shared" si="8"/>
        <v>1</v>
      </c>
    </row>
    <row r="72" spans="1:15" x14ac:dyDescent="0.25">
      <c r="A72" s="1">
        <v>1907</v>
      </c>
      <c r="D72" s="1">
        <f t="shared" si="5"/>
        <v>5</v>
      </c>
      <c r="E72" s="1">
        <f t="shared" si="3"/>
        <v>5.5</v>
      </c>
      <c r="F72" s="1">
        <f t="shared" si="7"/>
        <v>3</v>
      </c>
      <c r="G72" s="1">
        <f t="shared" si="4"/>
        <v>3.5</v>
      </c>
      <c r="H72" s="1">
        <f t="shared" si="2"/>
        <v>7</v>
      </c>
      <c r="I72" s="1">
        <f t="shared" si="6"/>
        <v>0.25</v>
      </c>
      <c r="J72" s="1">
        <f t="shared" si="9"/>
        <v>6.5</v>
      </c>
      <c r="K72" s="1">
        <f t="shared" si="1"/>
        <v>6</v>
      </c>
      <c r="M72" s="1">
        <f t="shared" si="8"/>
        <v>1</v>
      </c>
    </row>
    <row r="73" spans="1:15" x14ac:dyDescent="0.25">
      <c r="A73" s="1">
        <v>1908</v>
      </c>
      <c r="D73" s="1">
        <f t="shared" si="5"/>
        <v>5</v>
      </c>
      <c r="E73" s="1">
        <f t="shared" si="3"/>
        <v>5.5</v>
      </c>
      <c r="F73" s="1">
        <f t="shared" si="7"/>
        <v>3</v>
      </c>
      <c r="G73" s="1">
        <f t="shared" si="4"/>
        <v>3.5</v>
      </c>
      <c r="H73" s="1">
        <f t="shared" si="2"/>
        <v>7</v>
      </c>
      <c r="I73" s="1">
        <f t="shared" si="6"/>
        <v>0.25</v>
      </c>
      <c r="J73" s="1">
        <f t="shared" si="9"/>
        <v>6.5</v>
      </c>
      <c r="K73" s="1">
        <f t="shared" si="1"/>
        <v>6</v>
      </c>
      <c r="M73" s="1">
        <f t="shared" si="8"/>
        <v>1</v>
      </c>
    </row>
    <row r="74" spans="1:15" x14ac:dyDescent="0.25">
      <c r="A74" s="1">
        <v>1909</v>
      </c>
      <c r="D74" s="1">
        <f t="shared" si="5"/>
        <v>5</v>
      </c>
      <c r="E74" s="1">
        <f t="shared" si="3"/>
        <v>5.5</v>
      </c>
      <c r="F74" s="1">
        <f t="shared" si="7"/>
        <v>3</v>
      </c>
      <c r="G74" s="1">
        <f t="shared" si="4"/>
        <v>3.5</v>
      </c>
      <c r="H74" s="1">
        <f t="shared" si="2"/>
        <v>7</v>
      </c>
      <c r="I74" s="1">
        <f t="shared" si="6"/>
        <v>0.25</v>
      </c>
      <c r="J74" s="1">
        <f t="shared" si="9"/>
        <v>6.5</v>
      </c>
      <c r="K74" s="1">
        <f t="shared" si="1"/>
        <v>6</v>
      </c>
      <c r="M74" s="1">
        <f t="shared" si="8"/>
        <v>1</v>
      </c>
    </row>
    <row r="75" spans="1:15" x14ac:dyDescent="0.25">
      <c r="A75" s="1">
        <v>1910</v>
      </c>
      <c r="D75" s="1">
        <f t="shared" si="5"/>
        <v>5</v>
      </c>
      <c r="E75" s="1">
        <f t="shared" si="3"/>
        <v>5.5</v>
      </c>
      <c r="F75" s="1">
        <f t="shared" si="7"/>
        <v>3</v>
      </c>
      <c r="G75" s="1">
        <f t="shared" si="4"/>
        <v>3.5</v>
      </c>
      <c r="H75" s="1">
        <f t="shared" si="2"/>
        <v>7</v>
      </c>
      <c r="I75" s="1">
        <f t="shared" si="6"/>
        <v>0.25</v>
      </c>
      <c r="J75" s="1">
        <f t="shared" si="9"/>
        <v>6.5</v>
      </c>
      <c r="K75" s="1">
        <f t="shared" si="1"/>
        <v>6</v>
      </c>
      <c r="L75" s="1">
        <f t="shared" ref="L75:L84" si="10">$L$1</f>
        <v>4.5</v>
      </c>
      <c r="M75" s="1">
        <f t="shared" si="8"/>
        <v>1</v>
      </c>
    </row>
    <row r="76" spans="1:15" x14ac:dyDescent="0.25">
      <c r="A76" s="1">
        <v>1911</v>
      </c>
      <c r="D76" s="1">
        <f t="shared" si="5"/>
        <v>5</v>
      </c>
      <c r="E76" s="1">
        <f t="shared" si="3"/>
        <v>5.5</v>
      </c>
      <c r="F76" s="1">
        <f t="shared" si="7"/>
        <v>3</v>
      </c>
      <c r="G76" s="1">
        <f t="shared" si="4"/>
        <v>3.5</v>
      </c>
      <c r="H76" s="1">
        <f t="shared" si="2"/>
        <v>7</v>
      </c>
      <c r="I76" s="1">
        <f t="shared" si="6"/>
        <v>0.25</v>
      </c>
      <c r="J76" s="1">
        <f t="shared" si="9"/>
        <v>6.5</v>
      </c>
      <c r="K76" s="1">
        <f t="shared" si="1"/>
        <v>6</v>
      </c>
      <c r="L76" s="1">
        <f t="shared" si="10"/>
        <v>4.5</v>
      </c>
      <c r="M76" s="1">
        <f t="shared" si="8"/>
        <v>1</v>
      </c>
    </row>
    <row r="77" spans="1:15" x14ac:dyDescent="0.25">
      <c r="A77" s="1">
        <v>1912</v>
      </c>
      <c r="D77" s="1">
        <f t="shared" si="5"/>
        <v>5</v>
      </c>
      <c r="E77" s="1">
        <f t="shared" si="3"/>
        <v>5.5</v>
      </c>
      <c r="F77" s="1">
        <f t="shared" si="7"/>
        <v>3</v>
      </c>
      <c r="G77" s="1">
        <f t="shared" si="4"/>
        <v>3.5</v>
      </c>
      <c r="H77" s="1">
        <f t="shared" si="2"/>
        <v>7</v>
      </c>
      <c r="I77" s="1">
        <f t="shared" si="6"/>
        <v>0.25</v>
      </c>
      <c r="J77" s="1">
        <f t="shared" si="9"/>
        <v>6.5</v>
      </c>
      <c r="K77" s="1">
        <f t="shared" si="1"/>
        <v>6</v>
      </c>
      <c r="L77" s="1">
        <f t="shared" si="10"/>
        <v>4.5</v>
      </c>
      <c r="M77" s="1">
        <f t="shared" si="8"/>
        <v>1</v>
      </c>
    </row>
    <row r="78" spans="1:15" x14ac:dyDescent="0.25">
      <c r="A78" s="1">
        <v>1913</v>
      </c>
      <c r="D78" s="1">
        <f t="shared" si="5"/>
        <v>5</v>
      </c>
      <c r="E78" s="1">
        <f t="shared" si="3"/>
        <v>5.5</v>
      </c>
      <c r="F78" s="1">
        <f t="shared" si="7"/>
        <v>3</v>
      </c>
      <c r="G78" s="1">
        <f t="shared" si="4"/>
        <v>3.5</v>
      </c>
      <c r="H78" s="1">
        <f t="shared" si="2"/>
        <v>7</v>
      </c>
      <c r="I78" s="1">
        <f t="shared" si="6"/>
        <v>0.25</v>
      </c>
      <c r="J78" s="1">
        <f t="shared" si="9"/>
        <v>6.5</v>
      </c>
      <c r="K78" s="1">
        <f t="shared" si="1"/>
        <v>6</v>
      </c>
      <c r="L78" s="1">
        <f t="shared" si="10"/>
        <v>4.5</v>
      </c>
      <c r="M78" s="1">
        <f t="shared" si="8"/>
        <v>1</v>
      </c>
    </row>
    <row r="79" spans="1:15" x14ac:dyDescent="0.25">
      <c r="A79" s="1">
        <v>1914</v>
      </c>
      <c r="D79" s="1">
        <f t="shared" si="5"/>
        <v>5</v>
      </c>
      <c r="E79" s="1">
        <f t="shared" si="3"/>
        <v>5.5</v>
      </c>
      <c r="F79" s="1">
        <f t="shared" si="7"/>
        <v>3</v>
      </c>
      <c r="G79" s="1">
        <f t="shared" si="4"/>
        <v>3.5</v>
      </c>
      <c r="H79" s="1">
        <f t="shared" si="2"/>
        <v>7</v>
      </c>
      <c r="I79" s="1">
        <f t="shared" si="6"/>
        <v>0.25</v>
      </c>
      <c r="J79" s="1">
        <f t="shared" si="9"/>
        <v>6.5</v>
      </c>
      <c r="K79" s="1">
        <f t="shared" si="1"/>
        <v>6</v>
      </c>
      <c r="L79" s="1">
        <f t="shared" si="10"/>
        <v>4.5</v>
      </c>
      <c r="M79" s="1">
        <f t="shared" si="8"/>
        <v>1</v>
      </c>
    </row>
    <row r="80" spans="1:15" x14ac:dyDescent="0.25">
      <c r="A80" s="1">
        <v>1915</v>
      </c>
      <c r="D80" s="1">
        <f t="shared" si="5"/>
        <v>5</v>
      </c>
      <c r="E80" s="1">
        <f t="shared" si="3"/>
        <v>5.5</v>
      </c>
      <c r="F80" s="1">
        <f t="shared" si="7"/>
        <v>3</v>
      </c>
      <c r="G80" s="1">
        <f t="shared" si="4"/>
        <v>3.5</v>
      </c>
      <c r="H80" s="1">
        <f t="shared" si="2"/>
        <v>7</v>
      </c>
      <c r="I80" s="1">
        <f t="shared" si="6"/>
        <v>0.25</v>
      </c>
      <c r="J80" s="1">
        <f t="shared" si="9"/>
        <v>6.5</v>
      </c>
      <c r="K80" s="1">
        <f t="shared" si="1"/>
        <v>6</v>
      </c>
      <c r="L80" s="1">
        <f t="shared" si="10"/>
        <v>4.5</v>
      </c>
      <c r="M80" s="1">
        <f t="shared" si="8"/>
        <v>1</v>
      </c>
    </row>
    <row r="81" spans="1:13" x14ac:dyDescent="0.25">
      <c r="A81" s="1">
        <v>1916</v>
      </c>
      <c r="D81" s="1">
        <f t="shared" si="5"/>
        <v>5</v>
      </c>
      <c r="E81" s="1">
        <f t="shared" si="3"/>
        <v>5.5</v>
      </c>
      <c r="F81" s="1">
        <f t="shared" si="7"/>
        <v>3</v>
      </c>
      <c r="G81" s="1">
        <f t="shared" si="4"/>
        <v>3.5</v>
      </c>
      <c r="H81" s="1">
        <f t="shared" si="2"/>
        <v>7</v>
      </c>
      <c r="I81" s="1">
        <f t="shared" si="6"/>
        <v>0.25</v>
      </c>
      <c r="J81" s="1">
        <f t="shared" si="9"/>
        <v>6.5</v>
      </c>
      <c r="K81" s="1">
        <f t="shared" si="1"/>
        <v>6</v>
      </c>
      <c r="L81" s="1">
        <f t="shared" si="10"/>
        <v>4.5</v>
      </c>
      <c r="M81" s="1">
        <f t="shared" si="8"/>
        <v>1</v>
      </c>
    </row>
    <row r="82" spans="1:13" x14ac:dyDescent="0.25">
      <c r="A82" s="1">
        <v>1917</v>
      </c>
      <c r="D82" s="1">
        <f t="shared" si="5"/>
        <v>5</v>
      </c>
      <c r="E82" s="1">
        <f t="shared" si="3"/>
        <v>5.5</v>
      </c>
      <c r="F82" s="1">
        <f t="shared" si="7"/>
        <v>3</v>
      </c>
      <c r="G82" s="1">
        <f t="shared" si="4"/>
        <v>3.5</v>
      </c>
      <c r="H82" s="1">
        <f t="shared" si="2"/>
        <v>7</v>
      </c>
      <c r="I82" s="1">
        <f t="shared" si="6"/>
        <v>0.25</v>
      </c>
      <c r="J82" s="1">
        <f t="shared" si="9"/>
        <v>6.5</v>
      </c>
      <c r="K82" s="1">
        <f t="shared" si="1"/>
        <v>6</v>
      </c>
      <c r="L82" s="1">
        <f t="shared" si="10"/>
        <v>4.5</v>
      </c>
      <c r="M82" s="1">
        <f t="shared" ref="M82:M98" si="11">$M$1</f>
        <v>1</v>
      </c>
    </row>
    <row r="83" spans="1:13" x14ac:dyDescent="0.25">
      <c r="A83" s="1">
        <v>1918</v>
      </c>
      <c r="D83" s="1">
        <f t="shared" si="5"/>
        <v>5</v>
      </c>
      <c r="E83" s="1">
        <f t="shared" si="3"/>
        <v>5.5</v>
      </c>
      <c r="F83" s="1">
        <f t="shared" si="7"/>
        <v>3</v>
      </c>
      <c r="G83" s="1">
        <f t="shared" si="4"/>
        <v>3.5</v>
      </c>
      <c r="H83" s="1">
        <f t="shared" si="2"/>
        <v>7</v>
      </c>
      <c r="I83" s="1">
        <f t="shared" si="6"/>
        <v>0.25</v>
      </c>
      <c r="J83" s="1">
        <f t="shared" si="9"/>
        <v>6.5</v>
      </c>
      <c r="K83" s="1">
        <f t="shared" si="1"/>
        <v>6</v>
      </c>
      <c r="L83" s="1">
        <f t="shared" si="10"/>
        <v>4.5</v>
      </c>
      <c r="M83" s="1">
        <f t="shared" si="11"/>
        <v>1</v>
      </c>
    </row>
    <row r="84" spans="1:13" x14ac:dyDescent="0.25">
      <c r="A84" s="1">
        <v>1919</v>
      </c>
      <c r="D84" s="1">
        <f t="shared" si="5"/>
        <v>5</v>
      </c>
      <c r="E84" s="1">
        <f t="shared" si="3"/>
        <v>5.5</v>
      </c>
      <c r="F84" s="1">
        <f t="shared" si="7"/>
        <v>3</v>
      </c>
      <c r="G84" s="1">
        <f t="shared" si="4"/>
        <v>3.5</v>
      </c>
      <c r="H84" s="1">
        <f t="shared" si="2"/>
        <v>7</v>
      </c>
      <c r="I84" s="1">
        <f t="shared" si="6"/>
        <v>0.25</v>
      </c>
      <c r="J84" s="1">
        <f t="shared" si="9"/>
        <v>6.5</v>
      </c>
      <c r="K84" s="1">
        <f t="shared" si="1"/>
        <v>6</v>
      </c>
      <c r="L84" s="1">
        <f t="shared" si="10"/>
        <v>4.5</v>
      </c>
      <c r="M84" s="1">
        <f t="shared" si="11"/>
        <v>1</v>
      </c>
    </row>
    <row r="85" spans="1:13" x14ac:dyDescent="0.25">
      <c r="A85" s="1">
        <v>1920</v>
      </c>
      <c r="D85" s="1">
        <f t="shared" si="5"/>
        <v>5</v>
      </c>
      <c r="E85" s="1">
        <f t="shared" si="3"/>
        <v>5.5</v>
      </c>
      <c r="F85" s="1">
        <f t="shared" si="7"/>
        <v>3</v>
      </c>
      <c r="G85" s="1">
        <f>$G$1</f>
        <v>3.5</v>
      </c>
      <c r="H85" s="1">
        <f t="shared" si="2"/>
        <v>7</v>
      </c>
      <c r="I85" s="1">
        <f t="shared" si="6"/>
        <v>0.25</v>
      </c>
      <c r="J85" s="1">
        <f t="shared" si="9"/>
        <v>6.5</v>
      </c>
      <c r="K85" s="1">
        <f t="shared" si="1"/>
        <v>6</v>
      </c>
      <c r="L85" s="1">
        <f t="shared" ref="L85:L92" si="12">$L$1</f>
        <v>4.5</v>
      </c>
      <c r="M85" s="1">
        <f t="shared" si="11"/>
        <v>1</v>
      </c>
    </row>
    <row r="86" spans="1:13" x14ac:dyDescent="0.25">
      <c r="A86" s="1">
        <v>1921</v>
      </c>
      <c r="D86" s="1">
        <f t="shared" si="5"/>
        <v>5</v>
      </c>
      <c r="E86" s="1">
        <f t="shared" si="3"/>
        <v>5.5</v>
      </c>
      <c r="F86" s="1">
        <f t="shared" si="7"/>
        <v>3</v>
      </c>
      <c r="G86" s="1">
        <f t="shared" si="7"/>
        <v>3</v>
      </c>
      <c r="H86" s="1">
        <f t="shared" si="2"/>
        <v>7</v>
      </c>
      <c r="I86" s="1">
        <f t="shared" si="6"/>
        <v>0.25</v>
      </c>
      <c r="J86" s="1">
        <f t="shared" si="9"/>
        <v>6.5</v>
      </c>
      <c r="K86" s="1">
        <f t="shared" si="1"/>
        <v>6</v>
      </c>
      <c r="L86" s="1">
        <f t="shared" si="12"/>
        <v>4.5</v>
      </c>
      <c r="M86" s="1">
        <f t="shared" si="11"/>
        <v>1</v>
      </c>
    </row>
    <row r="87" spans="1:13" x14ac:dyDescent="0.25">
      <c r="A87" s="1">
        <v>1922</v>
      </c>
      <c r="D87" s="1">
        <f t="shared" si="5"/>
        <v>5</v>
      </c>
      <c r="E87" s="1">
        <f t="shared" si="3"/>
        <v>5.5</v>
      </c>
      <c r="F87" s="1">
        <f t="shared" ref="F87:F89" si="13">$F$1</f>
        <v>3</v>
      </c>
      <c r="H87" s="1">
        <f t="shared" si="2"/>
        <v>7</v>
      </c>
      <c r="I87" s="1">
        <f t="shared" si="6"/>
        <v>0.25</v>
      </c>
      <c r="J87" s="1">
        <f t="shared" si="9"/>
        <v>6.5</v>
      </c>
      <c r="K87" s="1">
        <f t="shared" si="1"/>
        <v>6</v>
      </c>
      <c r="L87" s="1">
        <f t="shared" si="12"/>
        <v>4.5</v>
      </c>
      <c r="M87" s="1">
        <f t="shared" si="11"/>
        <v>1</v>
      </c>
    </row>
    <row r="88" spans="1:13" x14ac:dyDescent="0.25">
      <c r="A88" s="1">
        <v>1923</v>
      </c>
      <c r="D88" s="1">
        <f t="shared" si="5"/>
        <v>5</v>
      </c>
      <c r="E88" s="1">
        <f t="shared" si="3"/>
        <v>5.5</v>
      </c>
      <c r="F88" s="1">
        <f t="shared" si="13"/>
        <v>3</v>
      </c>
      <c r="H88" s="1">
        <f t="shared" si="2"/>
        <v>7</v>
      </c>
      <c r="I88" s="1">
        <f t="shared" si="6"/>
        <v>0.25</v>
      </c>
      <c r="J88" s="1">
        <f t="shared" si="9"/>
        <v>6.5</v>
      </c>
      <c r="K88" s="1">
        <f t="shared" si="1"/>
        <v>6</v>
      </c>
      <c r="L88" s="1">
        <f t="shared" si="12"/>
        <v>4.5</v>
      </c>
      <c r="M88" s="1">
        <f t="shared" si="11"/>
        <v>1</v>
      </c>
    </row>
    <row r="89" spans="1:13" x14ac:dyDescent="0.25">
      <c r="A89" s="1">
        <v>1924</v>
      </c>
      <c r="D89" s="1">
        <f t="shared" si="5"/>
        <v>5</v>
      </c>
      <c r="E89" s="1">
        <f t="shared" si="3"/>
        <v>5.5</v>
      </c>
      <c r="F89" s="1">
        <f t="shared" si="13"/>
        <v>3</v>
      </c>
      <c r="H89" s="1">
        <f t="shared" si="2"/>
        <v>7</v>
      </c>
      <c r="I89" s="1">
        <f t="shared" si="6"/>
        <v>0.25</v>
      </c>
      <c r="J89" s="1">
        <f t="shared" si="9"/>
        <v>6.5</v>
      </c>
      <c r="K89" s="1">
        <f t="shared" si="1"/>
        <v>6</v>
      </c>
      <c r="L89" s="1">
        <f t="shared" si="12"/>
        <v>4.5</v>
      </c>
      <c r="M89" s="1">
        <f t="shared" si="11"/>
        <v>1</v>
      </c>
    </row>
    <row r="90" spans="1:13" x14ac:dyDescent="0.25">
      <c r="A90" s="1">
        <v>1925</v>
      </c>
      <c r="D90" s="1">
        <f t="shared" si="5"/>
        <v>5</v>
      </c>
      <c r="E90" s="1">
        <f t="shared" si="3"/>
        <v>5.5</v>
      </c>
      <c r="F90" s="1">
        <f t="shared" ref="F90:F93" si="14">$F$1</f>
        <v>3</v>
      </c>
      <c r="H90" s="1">
        <f t="shared" si="2"/>
        <v>7</v>
      </c>
      <c r="I90" s="1">
        <f t="shared" si="6"/>
        <v>0.25</v>
      </c>
      <c r="J90" s="1">
        <f t="shared" si="9"/>
        <v>6.5</v>
      </c>
      <c r="K90" s="1">
        <f t="shared" si="1"/>
        <v>6</v>
      </c>
      <c r="L90" s="1">
        <f t="shared" si="12"/>
        <v>4.5</v>
      </c>
      <c r="M90" s="1">
        <f t="shared" si="11"/>
        <v>1</v>
      </c>
    </row>
    <row r="91" spans="1:13" x14ac:dyDescent="0.25">
      <c r="A91" s="1">
        <v>1926</v>
      </c>
      <c r="D91" s="1">
        <f t="shared" si="5"/>
        <v>5</v>
      </c>
      <c r="E91" s="1">
        <f t="shared" si="3"/>
        <v>5.5</v>
      </c>
      <c r="F91" s="1">
        <f t="shared" si="14"/>
        <v>3</v>
      </c>
      <c r="H91" s="1">
        <f t="shared" si="2"/>
        <v>7</v>
      </c>
      <c r="I91" s="1">
        <f t="shared" si="6"/>
        <v>0.25</v>
      </c>
      <c r="J91" s="1">
        <f t="shared" si="9"/>
        <v>6.5</v>
      </c>
      <c r="K91" s="1">
        <f t="shared" si="1"/>
        <v>6</v>
      </c>
      <c r="L91" s="1">
        <f t="shared" si="12"/>
        <v>4.5</v>
      </c>
      <c r="M91" s="1">
        <f t="shared" si="11"/>
        <v>1</v>
      </c>
    </row>
    <row r="92" spans="1:13" x14ac:dyDescent="0.25">
      <c r="A92" s="1">
        <v>1927</v>
      </c>
      <c r="D92" s="1">
        <f t="shared" si="5"/>
        <v>5</v>
      </c>
      <c r="E92" s="1">
        <f t="shared" si="3"/>
        <v>5.5</v>
      </c>
      <c r="F92" s="1">
        <f t="shared" si="14"/>
        <v>3</v>
      </c>
      <c r="H92" s="1">
        <f t="shared" si="2"/>
        <v>7</v>
      </c>
      <c r="I92" s="1">
        <f t="shared" si="6"/>
        <v>0.25</v>
      </c>
      <c r="J92" s="1">
        <f t="shared" si="9"/>
        <v>6.5</v>
      </c>
      <c r="K92" s="1">
        <f t="shared" si="1"/>
        <v>6</v>
      </c>
      <c r="L92" s="1">
        <f t="shared" si="12"/>
        <v>4.5</v>
      </c>
      <c r="M92" s="1">
        <f t="shared" si="11"/>
        <v>1</v>
      </c>
    </row>
    <row r="93" spans="1:13" x14ac:dyDescent="0.25">
      <c r="A93" s="1">
        <v>1928</v>
      </c>
      <c r="D93" s="1">
        <f>$D$1</f>
        <v>5</v>
      </c>
      <c r="E93" s="1">
        <f t="shared" si="3"/>
        <v>5.5</v>
      </c>
      <c r="F93" s="1">
        <f t="shared" si="14"/>
        <v>3</v>
      </c>
      <c r="H93" s="1">
        <f t="shared" si="2"/>
        <v>7</v>
      </c>
      <c r="I93" s="1">
        <f t="shared" si="6"/>
        <v>0.25</v>
      </c>
      <c r="J93" s="1">
        <f>$J$1</f>
        <v>6.5</v>
      </c>
      <c r="K93" s="1">
        <f t="shared" si="1"/>
        <v>6</v>
      </c>
      <c r="L93" s="1">
        <f>$L$1</f>
        <v>4.5</v>
      </c>
      <c r="M93" s="1">
        <f t="shared" si="11"/>
        <v>1</v>
      </c>
    </row>
    <row r="94" spans="1:13" x14ac:dyDescent="0.25">
      <c r="A94" s="1">
        <v>1929</v>
      </c>
      <c r="C94" s="1">
        <f t="shared" ref="C94:M118" si="15">$C$1</f>
        <v>5</v>
      </c>
      <c r="D94" s="1">
        <f t="shared" si="15"/>
        <v>5</v>
      </c>
      <c r="E94" s="1">
        <f t="shared" si="15"/>
        <v>5</v>
      </c>
      <c r="F94" s="1">
        <f>$F$1</f>
        <v>3</v>
      </c>
      <c r="H94" s="1">
        <f t="shared" si="2"/>
        <v>7</v>
      </c>
      <c r="I94" s="1">
        <f t="shared" si="6"/>
        <v>0.25</v>
      </c>
      <c r="J94" s="1">
        <f t="shared" si="15"/>
        <v>5</v>
      </c>
      <c r="K94" s="1">
        <f t="shared" si="15"/>
        <v>5</v>
      </c>
      <c r="L94" s="1">
        <f t="shared" si="15"/>
        <v>5</v>
      </c>
      <c r="M94" s="1">
        <f t="shared" si="11"/>
        <v>1</v>
      </c>
    </row>
    <row r="95" spans="1:13" x14ac:dyDescent="0.25">
      <c r="A95" s="1">
        <v>1930</v>
      </c>
      <c r="C95" s="1">
        <f t="shared" si="15"/>
        <v>5</v>
      </c>
      <c r="F95" s="1">
        <f t="shared" si="15"/>
        <v>5</v>
      </c>
      <c r="H95" s="1">
        <f t="shared" si="15"/>
        <v>5</v>
      </c>
      <c r="I95" s="1">
        <f t="shared" si="6"/>
        <v>0.25</v>
      </c>
      <c r="M95" s="1">
        <f t="shared" si="11"/>
        <v>1</v>
      </c>
    </row>
    <row r="96" spans="1:13" x14ac:dyDescent="0.25">
      <c r="A96" s="1">
        <v>1931</v>
      </c>
      <c r="C96" s="1">
        <f t="shared" si="15"/>
        <v>5</v>
      </c>
      <c r="I96" s="1">
        <f t="shared" si="6"/>
        <v>0.25</v>
      </c>
      <c r="M96" s="1">
        <f t="shared" si="11"/>
        <v>1</v>
      </c>
    </row>
    <row r="97" spans="1:13" x14ac:dyDescent="0.25">
      <c r="A97" s="1">
        <v>1932</v>
      </c>
      <c r="C97" s="1">
        <f t="shared" si="15"/>
        <v>5</v>
      </c>
      <c r="I97" s="1">
        <f t="shared" si="6"/>
        <v>0.25</v>
      </c>
      <c r="M97" s="1">
        <f t="shared" si="11"/>
        <v>1</v>
      </c>
    </row>
    <row r="98" spans="1:13" x14ac:dyDescent="0.25">
      <c r="A98" s="1">
        <v>1933</v>
      </c>
      <c r="C98" s="1">
        <f t="shared" si="15"/>
        <v>5</v>
      </c>
      <c r="I98" s="1">
        <f t="shared" si="6"/>
        <v>0.25</v>
      </c>
      <c r="M98" s="1">
        <f t="shared" si="11"/>
        <v>1</v>
      </c>
    </row>
    <row r="99" spans="1:13" x14ac:dyDescent="0.25">
      <c r="A99" s="1">
        <v>1934</v>
      </c>
      <c r="C99" s="1">
        <f t="shared" si="15"/>
        <v>5</v>
      </c>
      <c r="I99" s="1">
        <f t="shared" si="6"/>
        <v>0.25</v>
      </c>
      <c r="M99" s="1">
        <f t="shared" si="15"/>
        <v>5</v>
      </c>
    </row>
    <row r="100" spans="1:13" x14ac:dyDescent="0.25">
      <c r="A100" s="1">
        <v>1935</v>
      </c>
      <c r="C100" s="1">
        <f t="shared" si="15"/>
        <v>5</v>
      </c>
      <c r="I100" s="1">
        <f t="shared" si="6"/>
        <v>0.25</v>
      </c>
    </row>
    <row r="101" spans="1:13" x14ac:dyDescent="0.25">
      <c r="A101" s="1">
        <v>1936</v>
      </c>
      <c r="C101" s="1">
        <f t="shared" si="15"/>
        <v>5</v>
      </c>
      <c r="I101" s="1">
        <f t="shared" si="6"/>
        <v>0.25</v>
      </c>
    </row>
    <row r="102" spans="1:13" x14ac:dyDescent="0.25">
      <c r="A102" s="1">
        <v>1937</v>
      </c>
      <c r="C102" s="1">
        <f t="shared" si="15"/>
        <v>5</v>
      </c>
      <c r="I102" s="1">
        <f t="shared" si="6"/>
        <v>0.25</v>
      </c>
    </row>
    <row r="103" spans="1:13" x14ac:dyDescent="0.25">
      <c r="A103" s="1">
        <v>1938</v>
      </c>
      <c r="C103" s="1">
        <f t="shared" si="15"/>
        <v>5</v>
      </c>
      <c r="I103" s="1">
        <f t="shared" si="6"/>
        <v>0.25</v>
      </c>
    </row>
    <row r="104" spans="1:13" x14ac:dyDescent="0.25">
      <c r="A104" s="1">
        <v>1939</v>
      </c>
      <c r="C104" s="1">
        <f t="shared" si="15"/>
        <v>5</v>
      </c>
      <c r="I104" s="1">
        <f t="shared" si="6"/>
        <v>0.25</v>
      </c>
    </row>
    <row r="105" spans="1:13" x14ac:dyDescent="0.25">
      <c r="A105" s="1">
        <v>1940</v>
      </c>
      <c r="C105" s="1">
        <f t="shared" si="15"/>
        <v>5</v>
      </c>
      <c r="I105" s="1">
        <f t="shared" si="6"/>
        <v>0.25</v>
      </c>
    </row>
    <row r="106" spans="1:13" x14ac:dyDescent="0.25">
      <c r="A106" s="1">
        <v>1941</v>
      </c>
      <c r="C106" s="1">
        <f t="shared" si="15"/>
        <v>5</v>
      </c>
      <c r="I106" s="1">
        <f t="shared" si="6"/>
        <v>0.25</v>
      </c>
    </row>
    <row r="107" spans="1:13" x14ac:dyDescent="0.25">
      <c r="A107" s="1">
        <v>1942</v>
      </c>
      <c r="C107" s="1">
        <f t="shared" si="15"/>
        <v>5</v>
      </c>
      <c r="I107" s="1">
        <f t="shared" si="6"/>
        <v>0.25</v>
      </c>
    </row>
    <row r="108" spans="1:13" x14ac:dyDescent="0.25">
      <c r="A108" s="1">
        <v>1943</v>
      </c>
      <c r="C108" s="1">
        <f t="shared" si="15"/>
        <v>5</v>
      </c>
      <c r="I108" s="1">
        <f t="shared" si="6"/>
        <v>0.25</v>
      </c>
    </row>
    <row r="109" spans="1:13" x14ac:dyDescent="0.25">
      <c r="A109" s="1">
        <v>1944</v>
      </c>
      <c r="C109" s="1">
        <f t="shared" si="15"/>
        <v>5</v>
      </c>
      <c r="I109" s="1">
        <f t="shared" si="6"/>
        <v>0.25</v>
      </c>
    </row>
    <row r="110" spans="1:13" x14ac:dyDescent="0.25">
      <c r="A110" s="1">
        <v>1945</v>
      </c>
      <c r="C110" s="1">
        <f t="shared" si="15"/>
        <v>5</v>
      </c>
      <c r="I110" s="1">
        <f t="shared" si="6"/>
        <v>0.25</v>
      </c>
    </row>
    <row r="111" spans="1:13" x14ac:dyDescent="0.25">
      <c r="A111" s="1">
        <v>1946</v>
      </c>
      <c r="C111" s="1">
        <f t="shared" si="15"/>
        <v>5</v>
      </c>
      <c r="I111" s="1">
        <f t="shared" si="6"/>
        <v>0.25</v>
      </c>
    </row>
    <row r="112" spans="1:13" x14ac:dyDescent="0.25">
      <c r="A112" s="1">
        <v>1947</v>
      </c>
      <c r="C112" s="1">
        <f t="shared" si="15"/>
        <v>5</v>
      </c>
      <c r="I112" s="1">
        <f t="shared" si="6"/>
        <v>0.25</v>
      </c>
    </row>
    <row r="113" spans="1:9" x14ac:dyDescent="0.25">
      <c r="A113" s="1">
        <v>1948</v>
      </c>
      <c r="C113" s="1">
        <f t="shared" si="15"/>
        <v>5</v>
      </c>
      <c r="I113" s="1">
        <f t="shared" si="6"/>
        <v>0.25</v>
      </c>
    </row>
    <row r="114" spans="1:9" x14ac:dyDescent="0.25">
      <c r="A114" s="1">
        <v>1949</v>
      </c>
      <c r="C114" s="1">
        <f t="shared" si="15"/>
        <v>5</v>
      </c>
      <c r="I114" s="1">
        <f t="shared" si="6"/>
        <v>0.25</v>
      </c>
    </row>
    <row r="115" spans="1:9" x14ac:dyDescent="0.25">
      <c r="A115" s="1">
        <v>1950</v>
      </c>
      <c r="C115" s="1">
        <f t="shared" si="15"/>
        <v>5</v>
      </c>
      <c r="I115" s="1">
        <f t="shared" si="6"/>
        <v>0.25</v>
      </c>
    </row>
    <row r="116" spans="1:9" x14ac:dyDescent="0.25">
      <c r="A116" s="1">
        <v>1951</v>
      </c>
      <c r="C116" s="1">
        <f t="shared" si="15"/>
        <v>5</v>
      </c>
      <c r="I116" s="1">
        <f t="shared" si="6"/>
        <v>0.25</v>
      </c>
    </row>
    <row r="117" spans="1:9" x14ac:dyDescent="0.25">
      <c r="A117" s="1">
        <v>1952</v>
      </c>
      <c r="C117" s="1">
        <f t="shared" si="15"/>
        <v>5</v>
      </c>
      <c r="I117" s="1">
        <f t="shared" si="6"/>
        <v>0.25</v>
      </c>
    </row>
    <row r="118" spans="1:9" x14ac:dyDescent="0.25">
      <c r="A118" s="1">
        <v>1953</v>
      </c>
      <c r="C118" s="1">
        <f t="shared" si="15"/>
        <v>5</v>
      </c>
      <c r="I118" s="1">
        <f t="shared" si="6"/>
        <v>0.25</v>
      </c>
    </row>
    <row r="119" spans="1:9" x14ac:dyDescent="0.25">
      <c r="A119" s="1">
        <v>1954</v>
      </c>
      <c r="C119" s="1">
        <f>$C$1</f>
        <v>5</v>
      </c>
      <c r="I119" s="1">
        <f t="shared" ref="I119" si="16">$I$1</f>
        <v>0.25</v>
      </c>
    </row>
    <row r="120" spans="1:9" x14ac:dyDescent="0.25">
      <c r="A120" s="1">
        <v>1955</v>
      </c>
      <c r="B120" s="1">
        <f>$B$1</f>
        <v>5</v>
      </c>
      <c r="C120" s="1">
        <f>$B$1</f>
        <v>5</v>
      </c>
      <c r="I120" s="1">
        <f>$B$1</f>
        <v>5</v>
      </c>
    </row>
    <row r="121" spans="1:9" x14ac:dyDescent="0.25">
      <c r="A121" s="1">
        <v>1956</v>
      </c>
      <c r="B121" s="1">
        <f t="shared" ref="B121:B130" si="17">$B$1</f>
        <v>5</v>
      </c>
    </row>
    <row r="122" spans="1:9" x14ac:dyDescent="0.25">
      <c r="A122" s="1">
        <v>1957</v>
      </c>
      <c r="B122" s="1">
        <f t="shared" si="17"/>
        <v>5</v>
      </c>
    </row>
    <row r="123" spans="1:9" x14ac:dyDescent="0.25">
      <c r="A123" s="1">
        <v>1958</v>
      </c>
      <c r="B123" s="1">
        <f t="shared" si="17"/>
        <v>5</v>
      </c>
    </row>
    <row r="124" spans="1:9" x14ac:dyDescent="0.25">
      <c r="A124" s="1">
        <v>1959</v>
      </c>
      <c r="B124" s="1">
        <f t="shared" si="17"/>
        <v>5</v>
      </c>
    </row>
    <row r="125" spans="1:9" x14ac:dyDescent="0.25">
      <c r="A125" s="1">
        <v>1960</v>
      </c>
      <c r="B125" s="1">
        <f t="shared" si="17"/>
        <v>5</v>
      </c>
    </row>
    <row r="126" spans="1:9" x14ac:dyDescent="0.25">
      <c r="A126" s="1">
        <v>1961</v>
      </c>
      <c r="B126" s="1">
        <f t="shared" si="17"/>
        <v>5</v>
      </c>
    </row>
    <row r="127" spans="1:9" x14ac:dyDescent="0.25">
      <c r="A127" s="1">
        <v>1962</v>
      </c>
      <c r="B127" s="1">
        <f t="shared" si="17"/>
        <v>5</v>
      </c>
    </row>
    <row r="128" spans="1:9" x14ac:dyDescent="0.25">
      <c r="A128" s="1">
        <v>1963</v>
      </c>
      <c r="B128" s="1">
        <f t="shared" si="17"/>
        <v>5</v>
      </c>
    </row>
    <row r="129" spans="1:2" x14ac:dyDescent="0.25">
      <c r="A129" s="1">
        <v>1964</v>
      </c>
      <c r="B129" s="1">
        <f t="shared" si="17"/>
        <v>5</v>
      </c>
    </row>
    <row r="130" spans="1:2" x14ac:dyDescent="0.25">
      <c r="A130" s="1">
        <v>1965</v>
      </c>
      <c r="B130" s="1">
        <f t="shared" si="17"/>
        <v>5</v>
      </c>
    </row>
  </sheetData>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80DE-2608-4EFD-B519-C040EBDC350D}">
  <sheetPr codeName="Sheet44">
    <tabColor theme="4"/>
  </sheetPr>
  <dimension ref="A1:J72"/>
  <sheetViews>
    <sheetView showGridLines="0" topLeftCell="A7" zoomScaleNormal="100" workbookViewId="0">
      <pane xSplit="1" topLeftCell="B1" activePane="topRight" state="frozen"/>
      <selection activeCell="A32" sqref="A32"/>
      <selection pane="topRight" activeCell="N31" sqref="N31"/>
    </sheetView>
  </sheetViews>
  <sheetFormatPr defaultColWidth="8.6640625" defaultRowHeight="15.6" outlineLevelRow="1" x14ac:dyDescent="0.3"/>
  <cols>
    <col min="1" max="1" width="41.33203125" style="211" customWidth="1"/>
    <col min="2" max="10" width="10.44140625" style="211" customWidth="1"/>
    <col min="11" max="16384" width="8.6640625" style="211"/>
  </cols>
  <sheetData>
    <row r="1" spans="1:9" s="309" customFormat="1" outlineLevel="1" x14ac:dyDescent="0.3">
      <c r="A1" s="309" t="s">
        <v>556</v>
      </c>
      <c r="B1" s="309">
        <v>1994</v>
      </c>
      <c r="C1" s="309">
        <v>1994</v>
      </c>
      <c r="D1" s="1011">
        <v>1992</v>
      </c>
      <c r="E1" s="309">
        <v>1992</v>
      </c>
      <c r="F1" s="1011">
        <v>1991</v>
      </c>
      <c r="G1" s="1011">
        <v>1990</v>
      </c>
      <c r="H1" s="1011">
        <v>1989</v>
      </c>
      <c r="I1" s="1011">
        <v>1988</v>
      </c>
    </row>
    <row r="2" spans="1:9" x14ac:dyDescent="0.3">
      <c r="D2" s="1012"/>
      <c r="F2" s="1012"/>
      <c r="G2" s="1012"/>
      <c r="H2" s="1012"/>
      <c r="I2" s="1012"/>
    </row>
    <row r="3" spans="1:9" x14ac:dyDescent="0.3">
      <c r="D3" s="1012"/>
      <c r="F3" s="1012"/>
      <c r="G3" s="1012"/>
      <c r="H3" s="1012"/>
      <c r="I3" s="1012"/>
    </row>
    <row r="4" spans="1:9" x14ac:dyDescent="0.3">
      <c r="D4" s="1012"/>
      <c r="F4" s="1012"/>
      <c r="G4" s="1012"/>
      <c r="H4" s="1012"/>
      <c r="I4" s="1012"/>
    </row>
    <row r="5" spans="1:9" x14ac:dyDescent="0.3">
      <c r="A5" s="459" t="s">
        <v>1522</v>
      </c>
      <c r="D5" s="1012"/>
      <c r="E5" s="1012"/>
      <c r="F5" s="1012"/>
      <c r="G5" s="1012"/>
      <c r="H5" s="1012"/>
      <c r="I5" s="1012"/>
    </row>
    <row r="6" spans="1:9" x14ac:dyDescent="0.3">
      <c r="A6" s="152" t="s">
        <v>1908</v>
      </c>
      <c r="D6" s="1012"/>
      <c r="E6" s="1012"/>
      <c r="F6" s="1012"/>
      <c r="G6" s="1012"/>
      <c r="H6" s="1012"/>
      <c r="I6" s="1012"/>
    </row>
    <row r="7" spans="1:9" ht="8.25" customHeight="1" thickBot="1" x14ac:dyDescent="0.35">
      <c r="D7" s="1012"/>
      <c r="E7" s="1012"/>
      <c r="F7" s="1012"/>
      <c r="G7" s="1012"/>
      <c r="H7" s="1012"/>
      <c r="I7" s="1012"/>
    </row>
    <row r="8" spans="1:9" x14ac:dyDescent="0.3">
      <c r="A8" s="212" t="s">
        <v>1250</v>
      </c>
      <c r="B8" s="712">
        <v>1994</v>
      </c>
      <c r="C8" s="712">
        <v>1993</v>
      </c>
      <c r="D8" s="712">
        <v>1992</v>
      </c>
      <c r="E8" s="1095">
        <v>1991</v>
      </c>
      <c r="F8" s="1095">
        <v>1990</v>
      </c>
      <c r="G8" s="1095">
        <v>1989</v>
      </c>
      <c r="H8" s="1095">
        <v>1988</v>
      </c>
      <c r="I8" s="1096">
        <v>1987</v>
      </c>
    </row>
    <row r="9" spans="1:9" x14ac:dyDescent="0.3">
      <c r="A9" s="221" t="s">
        <v>515</v>
      </c>
      <c r="D9" s="1012"/>
      <c r="E9" s="1012"/>
      <c r="F9" s="1012"/>
      <c r="G9" s="1012"/>
      <c r="H9" s="1012"/>
      <c r="I9" s="1013"/>
    </row>
    <row r="10" spans="1:9" x14ac:dyDescent="0.3">
      <c r="A10" s="214" t="s">
        <v>517</v>
      </c>
      <c r="B10" s="1111">
        <v>106.2</v>
      </c>
      <c r="C10" s="1111">
        <v>358.9</v>
      </c>
      <c r="D10" s="1112">
        <v>595.29999999999995</v>
      </c>
      <c r="E10" s="1112">
        <v>205.6</v>
      </c>
      <c r="F10" s="1112">
        <v>29.9</v>
      </c>
      <c r="G10" s="1112">
        <v>96</v>
      </c>
      <c r="H10" s="1112">
        <v>38.511000000000003</v>
      </c>
      <c r="I10" s="1110">
        <v>10.513</v>
      </c>
    </row>
    <row r="11" spans="1:9" x14ac:dyDescent="0.3">
      <c r="A11" s="214" t="s">
        <v>598</v>
      </c>
      <c r="B11" s="1121"/>
      <c r="C11" s="1121"/>
      <c r="D11" s="1122"/>
      <c r="E11" s="1122"/>
      <c r="F11" s="1122"/>
      <c r="G11" s="1122"/>
      <c r="H11" s="1122"/>
      <c r="I11" s="1123"/>
    </row>
    <row r="12" spans="1:9" x14ac:dyDescent="0.3">
      <c r="A12" s="214" t="s">
        <v>599</v>
      </c>
      <c r="B12" s="1015"/>
      <c r="C12" s="1015"/>
      <c r="D12" s="1016"/>
      <c r="E12" s="1016"/>
      <c r="F12" s="1016"/>
      <c r="G12" s="1016"/>
      <c r="H12" s="1016"/>
      <c r="I12" s="1017"/>
    </row>
    <row r="13" spans="1:9" x14ac:dyDescent="0.3">
      <c r="A13" s="214" t="s">
        <v>600</v>
      </c>
      <c r="B13" s="1133">
        <v>286.8</v>
      </c>
      <c r="C13" s="1133">
        <v>0</v>
      </c>
      <c r="D13" s="1133">
        <f>127.1</f>
        <v>127.1</v>
      </c>
      <c r="E13" s="1133">
        <f>87.9+123.3</f>
        <v>211.2</v>
      </c>
      <c r="F13" s="1133">
        <f>252.6+58+16.3</f>
        <v>326.90000000000003</v>
      </c>
      <c r="G13" s="1133">
        <f>74.8+0.2</f>
        <v>75</v>
      </c>
      <c r="H13" s="1133">
        <v>2.3380000000000001</v>
      </c>
      <c r="I13" s="1123">
        <v>10.587999999999999</v>
      </c>
    </row>
    <row r="14" spans="1:9" x14ac:dyDescent="0.3">
      <c r="A14" s="214" t="s">
        <v>601</v>
      </c>
      <c r="B14" s="1133">
        <v>75.8</v>
      </c>
      <c r="C14" s="1133">
        <v>81</v>
      </c>
      <c r="D14" s="1133">
        <v>81</v>
      </c>
      <c r="E14" s="1133">
        <v>81</v>
      </c>
      <c r="F14" s="1133">
        <v>81</v>
      </c>
      <c r="G14" s="1133">
        <v>81</v>
      </c>
      <c r="H14" s="1133">
        <v>50</v>
      </c>
      <c r="I14" s="1019">
        <v>50</v>
      </c>
    </row>
    <row r="15" spans="1:9" x14ac:dyDescent="0.3">
      <c r="A15" s="214" t="s">
        <v>602</v>
      </c>
      <c r="B15" s="1133">
        <v>113</v>
      </c>
      <c r="C15" s="1133">
        <v>232.5</v>
      </c>
      <c r="D15" s="1133">
        <v>38.1</v>
      </c>
      <c r="E15" s="1133">
        <v>38.1</v>
      </c>
      <c r="F15" s="1133">
        <v>20.100000000000001</v>
      </c>
      <c r="G15" s="1133">
        <v>11.5</v>
      </c>
      <c r="H15" s="1133">
        <v>28.312000000000001</v>
      </c>
      <c r="I15" s="1019">
        <v>11.462</v>
      </c>
    </row>
    <row r="16" spans="1:9" ht="31.2" x14ac:dyDescent="0.3">
      <c r="A16" s="282" t="s">
        <v>590</v>
      </c>
      <c r="B16" s="1133">
        <v>520.4</v>
      </c>
      <c r="C16" s="1133">
        <v>541.79999999999995</v>
      </c>
      <c r="D16" s="1133">
        <f>70.8+206.9</f>
        <v>277.7</v>
      </c>
      <c r="E16" s="1133">
        <f>78.2+179</f>
        <v>257.2</v>
      </c>
      <c r="F16" s="1133">
        <f>73.6+136.5</f>
        <v>210.1</v>
      </c>
      <c r="G16" s="1133">
        <f>79.5+140.5</f>
        <v>220</v>
      </c>
      <c r="H16" s="1133">
        <f>117.97+83.348</f>
        <v>201.31799999999998</v>
      </c>
      <c r="I16" s="1019">
        <f>120.655+89.69</f>
        <v>210.345</v>
      </c>
    </row>
    <row r="17" spans="1:9" x14ac:dyDescent="0.3">
      <c r="A17" s="214" t="s">
        <v>579</v>
      </c>
      <c r="B17" s="1018">
        <v>8</v>
      </c>
      <c r="C17" s="1018">
        <v>7.7</v>
      </c>
      <c r="D17" s="2407"/>
      <c r="E17" s="2407"/>
      <c r="F17" s="2407"/>
      <c r="G17" s="2407"/>
      <c r="H17" s="2407"/>
      <c r="I17" s="2406"/>
    </row>
    <row r="18" spans="1:9" x14ac:dyDescent="0.3">
      <c r="A18" s="214" t="s">
        <v>15</v>
      </c>
      <c r="B18" s="1018">
        <v>186.3</v>
      </c>
      <c r="C18" s="1018">
        <v>174.9</v>
      </c>
      <c r="D18" s="1014">
        <f>6+22.5</f>
        <v>28.5</v>
      </c>
      <c r="E18" s="1014">
        <f>7+40.9</f>
        <v>47.9</v>
      </c>
      <c r="F18" s="1014">
        <f>8+32.8</f>
        <v>40.799999999999997</v>
      </c>
      <c r="G18" s="1014">
        <f>9+64.7</f>
        <v>73.7</v>
      </c>
      <c r="H18" s="1014">
        <f>9.983+53.606</f>
        <v>63.588999999999999</v>
      </c>
      <c r="I18" s="1019">
        <f>20.402+43.413</f>
        <v>63.814999999999998</v>
      </c>
    </row>
    <row r="19" spans="1:9" ht="16.2" thickBot="1" x14ac:dyDescent="0.35">
      <c r="A19" s="214"/>
      <c r="B19" s="1076">
        <f t="shared" ref="B19:I19" si="0">SUM(B10:B18)</f>
        <v>1296.4999999999998</v>
      </c>
      <c r="C19" s="1076">
        <f t="shared" si="0"/>
        <v>1396.8</v>
      </c>
      <c r="D19" s="1077">
        <f t="shared" si="0"/>
        <v>1147.7</v>
      </c>
      <c r="E19" s="1077">
        <f t="shared" si="0"/>
        <v>840.99999999999989</v>
      </c>
      <c r="F19" s="1077">
        <f t="shared" si="0"/>
        <v>708.8</v>
      </c>
      <c r="G19" s="1077">
        <f t="shared" si="0"/>
        <v>557.20000000000005</v>
      </c>
      <c r="H19" s="1077">
        <f t="shared" si="0"/>
        <v>384.06799999999998</v>
      </c>
      <c r="I19" s="1078">
        <f t="shared" si="0"/>
        <v>356.72300000000001</v>
      </c>
    </row>
    <row r="20" spans="1:9" ht="9" customHeight="1" thickTop="1" x14ac:dyDescent="0.3">
      <c r="A20" s="214"/>
      <c r="B20" s="1018"/>
      <c r="C20" s="1018"/>
      <c r="D20" s="1014"/>
      <c r="E20" s="1014"/>
      <c r="F20" s="1014"/>
      <c r="G20" s="1014"/>
      <c r="H20" s="1014"/>
      <c r="I20" s="1019"/>
    </row>
    <row r="21" spans="1:9" x14ac:dyDescent="0.3">
      <c r="A21" s="221" t="s">
        <v>519</v>
      </c>
      <c r="B21" s="1018"/>
      <c r="C21" s="1018"/>
      <c r="D21" s="1014"/>
      <c r="E21" s="1014"/>
      <c r="F21" s="1014"/>
      <c r="G21" s="1014"/>
      <c r="H21" s="1014"/>
      <c r="I21" s="1019"/>
    </row>
    <row r="22" spans="1:9" x14ac:dyDescent="0.3">
      <c r="A22" s="214" t="s">
        <v>581</v>
      </c>
      <c r="B22" s="1111">
        <v>62.2</v>
      </c>
      <c r="C22" s="1111">
        <v>62.8</v>
      </c>
      <c r="D22" s="1112">
        <v>16.5</v>
      </c>
      <c r="E22" s="1112">
        <v>34.5</v>
      </c>
      <c r="F22" s="1112">
        <v>33.799999999999997</v>
      </c>
      <c r="G22" s="1112">
        <v>31.6</v>
      </c>
      <c r="H22" s="1112">
        <v>28.067</v>
      </c>
      <c r="I22" s="1110">
        <v>18.192</v>
      </c>
    </row>
    <row r="23" spans="1:9" x14ac:dyDescent="0.3">
      <c r="A23" s="214" t="s">
        <v>391</v>
      </c>
      <c r="B23" s="1018">
        <v>67.3</v>
      </c>
      <c r="C23" s="1018">
        <v>59.4</v>
      </c>
      <c r="D23" s="1014">
        <v>10.5</v>
      </c>
      <c r="E23" s="1014">
        <v>-3.3</v>
      </c>
      <c r="F23" s="1014">
        <v>-7.8</v>
      </c>
      <c r="G23" s="1014">
        <v>-24.7</v>
      </c>
      <c r="H23" s="1014">
        <v>7.5910000000000002</v>
      </c>
      <c r="I23" s="1019">
        <v>2.8149999999999999</v>
      </c>
    </row>
    <row r="24" spans="1:9" ht="31.2" x14ac:dyDescent="0.3">
      <c r="A24" s="282" t="s">
        <v>580</v>
      </c>
      <c r="B24" s="1018">
        <v>799</v>
      </c>
      <c r="C24" s="1018">
        <v>960.2</v>
      </c>
      <c r="D24" s="1014">
        <v>1141</v>
      </c>
      <c r="E24" s="1014">
        <v>1065</v>
      </c>
      <c r="F24" s="1014">
        <v>1046.2</v>
      </c>
      <c r="G24" s="1014">
        <v>809.9</v>
      </c>
      <c r="H24" s="1014">
        <v>292.10300000000001</v>
      </c>
      <c r="I24" s="1019">
        <v>93.415000000000006</v>
      </c>
    </row>
    <row r="25" spans="1:9" x14ac:dyDescent="0.3">
      <c r="A25" s="214"/>
      <c r="B25" s="1030">
        <f t="shared" ref="B25:I25" si="1">SUM(B22:B24)</f>
        <v>928.5</v>
      </c>
      <c r="C25" s="1030">
        <f t="shared" si="1"/>
        <v>1082.4000000000001</v>
      </c>
      <c r="D25" s="1031">
        <f t="shared" si="1"/>
        <v>1168</v>
      </c>
      <c r="E25" s="1031">
        <f t="shared" si="1"/>
        <v>1096.2</v>
      </c>
      <c r="F25" s="1031">
        <f t="shared" si="1"/>
        <v>1072.2</v>
      </c>
      <c r="G25" s="1031">
        <f t="shared" si="1"/>
        <v>816.8</v>
      </c>
      <c r="H25" s="1031">
        <f t="shared" si="1"/>
        <v>327.76100000000002</v>
      </c>
      <c r="I25" s="1032">
        <f t="shared" si="1"/>
        <v>114.42200000000001</v>
      </c>
    </row>
    <row r="26" spans="1:9" ht="11.25" customHeight="1" x14ac:dyDescent="0.3">
      <c r="A26" s="214"/>
      <c r="B26" s="1018"/>
      <c r="C26" s="1018"/>
      <c r="D26" s="1014"/>
      <c r="E26" s="1014"/>
      <c r="F26" s="1014"/>
      <c r="G26" s="1014"/>
      <c r="H26" s="1014"/>
      <c r="I26" s="1019"/>
    </row>
    <row r="27" spans="1:9" x14ac:dyDescent="0.3">
      <c r="A27" s="214" t="s">
        <v>95</v>
      </c>
      <c r="B27" s="1018"/>
      <c r="C27" s="1018"/>
      <c r="D27" s="1014"/>
      <c r="E27" s="1014"/>
      <c r="F27" s="1014"/>
      <c r="G27" s="1014"/>
      <c r="H27" s="1014"/>
      <c r="I27" s="1019"/>
    </row>
    <row r="28" spans="1:9" x14ac:dyDescent="0.3">
      <c r="A28" s="214" t="s">
        <v>523</v>
      </c>
      <c r="B28" s="1018">
        <v>22.7</v>
      </c>
      <c r="C28" s="1018">
        <v>21.6</v>
      </c>
      <c r="D28" s="1014">
        <v>13.4</v>
      </c>
      <c r="E28" s="1014">
        <v>17.7</v>
      </c>
      <c r="F28" s="1014">
        <v>15</v>
      </c>
      <c r="G28" s="1014">
        <v>12.7</v>
      </c>
      <c r="H28" s="1014">
        <v>12.558</v>
      </c>
      <c r="I28" s="1019">
        <v>10.262</v>
      </c>
    </row>
    <row r="29" spans="1:9" x14ac:dyDescent="0.3">
      <c r="A29" s="214" t="s">
        <v>583</v>
      </c>
      <c r="B29" s="1037">
        <v>345.3</v>
      </c>
      <c r="C29" s="1037">
        <v>292.8</v>
      </c>
      <c r="D29" s="1038">
        <v>-33.700000000000003</v>
      </c>
      <c r="E29" s="1038">
        <v>-272.89999999999998</v>
      </c>
      <c r="F29" s="1038">
        <v>-378.4</v>
      </c>
      <c r="G29" s="1038">
        <v>-272.3</v>
      </c>
      <c r="H29" s="1038">
        <v>43.749000000000002</v>
      </c>
      <c r="I29" s="1039">
        <v>232.03899999999999</v>
      </c>
    </row>
    <row r="30" spans="1:9" x14ac:dyDescent="0.3">
      <c r="A30" s="214" t="s">
        <v>256</v>
      </c>
      <c r="B30" s="1021">
        <f t="shared" ref="B30:I30" si="2">B28+B29</f>
        <v>368</v>
      </c>
      <c r="C30" s="1021">
        <f t="shared" si="2"/>
        <v>314.40000000000003</v>
      </c>
      <c r="D30" s="1022">
        <f t="shared" si="2"/>
        <v>-20.300000000000004</v>
      </c>
      <c r="E30" s="1022">
        <f t="shared" si="2"/>
        <v>-255.2</v>
      </c>
      <c r="F30" s="1022">
        <f t="shared" si="2"/>
        <v>-363.4</v>
      </c>
      <c r="G30" s="1022">
        <f t="shared" si="2"/>
        <v>-259.60000000000002</v>
      </c>
      <c r="H30" s="1022">
        <f t="shared" si="2"/>
        <v>56.307000000000002</v>
      </c>
      <c r="I30" s="1023">
        <f t="shared" si="2"/>
        <v>242.30099999999999</v>
      </c>
    </row>
    <row r="31" spans="1:9" ht="16.2" thickBot="1" x14ac:dyDescent="0.35">
      <c r="A31" s="214"/>
      <c r="B31" s="1076">
        <f t="shared" ref="B31:I31" si="3">B25+B30</f>
        <v>1296.5</v>
      </c>
      <c r="C31" s="1076">
        <f t="shared" si="3"/>
        <v>1396.8000000000002</v>
      </c>
      <c r="D31" s="1077">
        <f t="shared" si="3"/>
        <v>1147.7</v>
      </c>
      <c r="E31" s="1077">
        <f t="shared" si="3"/>
        <v>841</v>
      </c>
      <c r="F31" s="1077">
        <f t="shared" si="3"/>
        <v>708.80000000000007</v>
      </c>
      <c r="G31" s="1077">
        <f t="shared" si="3"/>
        <v>557.19999999999993</v>
      </c>
      <c r="H31" s="1077">
        <f t="shared" si="3"/>
        <v>384.06800000000004</v>
      </c>
      <c r="I31" s="1078">
        <f t="shared" si="3"/>
        <v>356.72300000000001</v>
      </c>
    </row>
    <row r="32" spans="1:9" ht="8.1" customHeight="1" thickTop="1" thickBot="1" x14ac:dyDescent="0.35">
      <c r="A32" s="224"/>
      <c r="B32" s="1130"/>
      <c r="C32" s="1130"/>
      <c r="D32" s="1131"/>
      <c r="E32" s="1131"/>
      <c r="F32" s="1131"/>
      <c r="G32" s="1131"/>
      <c r="H32" s="1131"/>
      <c r="I32" s="1132"/>
    </row>
    <row r="33" spans="1:10" x14ac:dyDescent="0.3">
      <c r="A33" s="495" t="s">
        <v>1896</v>
      </c>
      <c r="B33" s="1018"/>
      <c r="C33" s="1018"/>
    </row>
    <row r="34" spans="1:10" x14ac:dyDescent="0.3">
      <c r="A34" s="220"/>
      <c r="B34" s="1056"/>
      <c r="C34" s="1056"/>
      <c r="D34" s="1064"/>
      <c r="E34" s="1064"/>
      <c r="F34" s="1064"/>
      <c r="G34" s="1064"/>
      <c r="H34" s="1064"/>
      <c r="I34" s="1064"/>
    </row>
    <row r="35" spans="1:10" s="309" customFormat="1" outlineLevel="1" x14ac:dyDescent="0.3">
      <c r="A35" s="309" t="s">
        <v>20</v>
      </c>
      <c r="B35" s="1033">
        <f t="shared" ref="B35:I35" si="4">B19-B31</f>
        <v>0</v>
      </c>
      <c r="C35" s="1033">
        <f t="shared" si="4"/>
        <v>0</v>
      </c>
      <c r="D35" s="1034">
        <f t="shared" si="4"/>
        <v>0</v>
      </c>
      <c r="E35" s="1034">
        <f t="shared" si="4"/>
        <v>0</v>
      </c>
      <c r="F35" s="1034">
        <f t="shared" si="4"/>
        <v>0</v>
      </c>
      <c r="G35" s="1034">
        <f t="shared" si="4"/>
        <v>0</v>
      </c>
      <c r="H35" s="1034">
        <f t="shared" si="4"/>
        <v>0</v>
      </c>
      <c r="I35" s="1034">
        <f t="shared" si="4"/>
        <v>0</v>
      </c>
    </row>
    <row r="36" spans="1:10" x14ac:dyDescent="0.3">
      <c r="B36" s="1015"/>
      <c r="C36" s="1015"/>
    </row>
    <row r="37" spans="1:10" x14ac:dyDescent="0.3">
      <c r="B37" s="1018"/>
      <c r="C37" s="1018"/>
    </row>
    <row r="38" spans="1:10" x14ac:dyDescent="0.3">
      <c r="B38" s="1018"/>
      <c r="C38" s="1018"/>
    </row>
    <row r="39" spans="1:10" x14ac:dyDescent="0.3">
      <c r="B39" s="1018"/>
      <c r="C39" s="1018"/>
    </row>
    <row r="40" spans="1:10" s="309" customFormat="1" outlineLevel="1" x14ac:dyDescent="0.3">
      <c r="A40" s="309" t="s">
        <v>556</v>
      </c>
      <c r="B40" s="309">
        <v>1994</v>
      </c>
      <c r="C40" s="309">
        <v>1994</v>
      </c>
      <c r="D40" s="309">
        <v>1994</v>
      </c>
      <c r="E40" s="1011">
        <v>1992</v>
      </c>
      <c r="F40" s="309">
        <v>1992</v>
      </c>
      <c r="G40" s="309">
        <v>1991</v>
      </c>
      <c r="H40" s="309">
        <v>1990</v>
      </c>
      <c r="I40" s="309">
        <v>1989</v>
      </c>
      <c r="J40" s="309">
        <v>1988</v>
      </c>
    </row>
    <row r="41" spans="1:10" outlineLevel="1" x14ac:dyDescent="0.3">
      <c r="E41" s="1012"/>
    </row>
    <row r="42" spans="1:10" x14ac:dyDescent="0.3">
      <c r="A42" s="459" t="s">
        <v>1522</v>
      </c>
      <c r="D42" s="1012"/>
      <c r="E42" s="1012"/>
      <c r="F42" s="1012"/>
      <c r="G42" s="1012"/>
      <c r="H42" s="1012"/>
      <c r="I42" s="1012"/>
    </row>
    <row r="43" spans="1:10" x14ac:dyDescent="0.3">
      <c r="A43" s="152" t="s">
        <v>1909</v>
      </c>
      <c r="D43" s="1012"/>
      <c r="E43" s="1012"/>
      <c r="F43" s="1012"/>
      <c r="G43" s="1012"/>
      <c r="H43" s="1012"/>
      <c r="I43" s="1012"/>
    </row>
    <row r="44" spans="1:10" ht="8.25" customHeight="1" thickBot="1" x14ac:dyDescent="0.35">
      <c r="D44" s="1012"/>
      <c r="E44" s="1012"/>
      <c r="F44" s="1012"/>
      <c r="G44" s="1012"/>
      <c r="H44" s="1012"/>
      <c r="I44" s="1012"/>
    </row>
    <row r="45" spans="1:10" x14ac:dyDescent="0.3">
      <c r="A45" s="212" t="s">
        <v>1250</v>
      </c>
      <c r="B45" s="712">
        <v>1994</v>
      </c>
      <c r="C45" s="712">
        <v>1993</v>
      </c>
      <c r="D45" s="712">
        <v>1992</v>
      </c>
      <c r="E45" s="1095">
        <v>1991</v>
      </c>
      <c r="F45" s="1095">
        <v>1990</v>
      </c>
      <c r="G45" s="1095">
        <v>1989</v>
      </c>
      <c r="H45" s="1095">
        <v>1988</v>
      </c>
      <c r="I45" s="1095">
        <v>1987</v>
      </c>
      <c r="J45" s="1096">
        <v>1986</v>
      </c>
    </row>
    <row r="46" spans="1:10" x14ac:dyDescent="0.3">
      <c r="A46" s="221" t="s">
        <v>975</v>
      </c>
      <c r="B46" s="1056"/>
      <c r="C46" s="1056"/>
      <c r="D46" s="1056"/>
      <c r="E46" s="1064"/>
      <c r="F46" s="1064"/>
      <c r="G46" s="1064"/>
      <c r="H46" s="1064"/>
      <c r="I46" s="1064"/>
      <c r="J46" s="1017"/>
    </row>
    <row r="47" spans="1:10" x14ac:dyDescent="0.3">
      <c r="A47" s="214" t="s">
        <v>287</v>
      </c>
      <c r="B47" s="1134">
        <v>31.1</v>
      </c>
      <c r="C47" s="1134">
        <v>24.3</v>
      </c>
      <c r="D47" s="1135">
        <v>58.9</v>
      </c>
      <c r="E47" s="1135">
        <v>60.1</v>
      </c>
      <c r="F47" s="1135">
        <v>41.1</v>
      </c>
      <c r="G47" s="1135">
        <v>7.2</v>
      </c>
      <c r="H47" s="1135">
        <v>7.4</v>
      </c>
      <c r="I47" s="1135">
        <v>6.9690000000000003</v>
      </c>
      <c r="J47" s="1136">
        <v>6.141</v>
      </c>
    </row>
    <row r="48" spans="1:10" x14ac:dyDescent="0.3">
      <c r="A48" s="214" t="s">
        <v>267</v>
      </c>
      <c r="B48" s="1124">
        <v>-0.7</v>
      </c>
      <c r="C48" s="1124">
        <v>-9.4</v>
      </c>
      <c r="D48" s="1125">
        <v>37.299999999999997</v>
      </c>
      <c r="E48" s="1125">
        <v>69.5</v>
      </c>
      <c r="F48" s="1125">
        <v>18.2</v>
      </c>
      <c r="G48" s="1125">
        <v>3.8</v>
      </c>
      <c r="H48" s="1125">
        <v>0</v>
      </c>
      <c r="I48" s="1125">
        <v>0</v>
      </c>
      <c r="J48" s="1126">
        <v>0</v>
      </c>
    </row>
    <row r="49" spans="1:10" x14ac:dyDescent="0.3">
      <c r="A49" s="214" t="s">
        <v>619</v>
      </c>
      <c r="B49" s="1144">
        <v>0</v>
      </c>
      <c r="C49" s="1144">
        <v>0</v>
      </c>
      <c r="D49" s="1144">
        <v>0</v>
      </c>
      <c r="E49" s="1145">
        <v>4.4000000000000004</v>
      </c>
      <c r="F49" s="1145">
        <v>2</v>
      </c>
      <c r="G49" s="1145">
        <v>5.5</v>
      </c>
      <c r="H49" s="1145">
        <v>28.5</v>
      </c>
      <c r="I49" s="1145">
        <v>14.823</v>
      </c>
      <c r="J49" s="1137">
        <f>5.481+1.376</f>
        <v>6.8569999999999993</v>
      </c>
    </row>
    <row r="50" spans="1:10" x14ac:dyDescent="0.3">
      <c r="A50" s="214"/>
      <c r="B50" s="1138">
        <f>SUM(B47:B49)</f>
        <v>30.400000000000002</v>
      </c>
      <c r="C50" s="1138">
        <f t="shared" ref="C50:F50" si="5">SUM(C47:C49)</f>
        <v>14.9</v>
      </c>
      <c r="D50" s="1138">
        <f t="shared" si="5"/>
        <v>96.199999999999989</v>
      </c>
      <c r="E50" s="1139">
        <f t="shared" si="5"/>
        <v>134</v>
      </c>
      <c r="F50" s="1139">
        <f t="shared" si="5"/>
        <v>61.3</v>
      </c>
      <c r="G50" s="1139">
        <f t="shared" ref="G50:H50" si="6">SUM(G47:G49)</f>
        <v>16.5</v>
      </c>
      <c r="H50" s="1139">
        <f t="shared" si="6"/>
        <v>35.9</v>
      </c>
      <c r="I50" s="1139">
        <f t="shared" ref="I50:J50" si="7">SUM(I47:I49)</f>
        <v>21.792000000000002</v>
      </c>
      <c r="J50" s="1140">
        <f t="shared" si="7"/>
        <v>12.997999999999999</v>
      </c>
    </row>
    <row r="51" spans="1:10" ht="8.25" customHeight="1" x14ac:dyDescent="0.3">
      <c r="A51" s="214"/>
      <c r="B51" s="1047"/>
      <c r="C51" s="1047"/>
      <c r="D51" s="1047"/>
      <c r="E51" s="1062"/>
      <c r="F51" s="1062"/>
      <c r="G51" s="1062"/>
      <c r="H51" s="1062"/>
      <c r="I51" s="1062"/>
      <c r="J51" s="1019"/>
    </row>
    <row r="52" spans="1:10" x14ac:dyDescent="0.3">
      <c r="A52" s="221" t="s">
        <v>1615</v>
      </c>
      <c r="B52" s="1047"/>
      <c r="C52" s="1047"/>
      <c r="D52" s="1047"/>
      <c r="E52" s="1062"/>
      <c r="F52" s="1062"/>
      <c r="G52" s="1062"/>
      <c r="H52" s="1062"/>
      <c r="I52" s="1062"/>
      <c r="J52" s="1019"/>
    </row>
    <row r="53" spans="1:10" x14ac:dyDescent="0.3">
      <c r="A53" s="214" t="s">
        <v>591</v>
      </c>
      <c r="B53" s="1047">
        <v>5</v>
      </c>
      <c r="C53" s="1047">
        <v>4.9000000000000004</v>
      </c>
      <c r="D53" s="1047">
        <v>4.2</v>
      </c>
      <c r="E53" s="1062">
        <v>5.6</v>
      </c>
      <c r="F53" s="1062">
        <v>4.0999999999999996</v>
      </c>
      <c r="G53" s="1062">
        <v>3.4</v>
      </c>
      <c r="H53" s="1062">
        <v>3.8</v>
      </c>
      <c r="I53" s="1062">
        <v>3.38</v>
      </c>
      <c r="J53" s="1019">
        <v>2.7480000000000002</v>
      </c>
    </row>
    <row r="54" spans="1:10" x14ac:dyDescent="0.3">
      <c r="A54" s="214" t="s">
        <v>592</v>
      </c>
      <c r="B54" s="1047">
        <v>10.4</v>
      </c>
      <c r="C54" s="1047">
        <v>9.4</v>
      </c>
      <c r="D54" s="1047">
        <v>7.6</v>
      </c>
      <c r="E54" s="1062">
        <v>6.8</v>
      </c>
      <c r="F54" s="1062">
        <v>5.8</v>
      </c>
      <c r="G54" s="1062">
        <v>5.9</v>
      </c>
      <c r="H54" s="1062">
        <v>5</v>
      </c>
      <c r="I54" s="1062">
        <v>4.9379999999999997</v>
      </c>
      <c r="J54" s="1019">
        <v>3.9969999999999999</v>
      </c>
    </row>
    <row r="55" spans="1:10" ht="31.2" x14ac:dyDescent="0.3">
      <c r="A55" s="282" t="s">
        <v>593</v>
      </c>
      <c r="B55" s="1047">
        <v>22.5</v>
      </c>
      <c r="C55" s="1047">
        <v>17.100000000000001</v>
      </c>
      <c r="D55" s="1047">
        <v>12</v>
      </c>
      <c r="E55" s="1062">
        <f>4+6</f>
        <v>10</v>
      </c>
      <c r="F55" s="1062">
        <f>3.5+6</f>
        <v>9.5</v>
      </c>
      <c r="G55" s="1062">
        <f>3.4+6</f>
        <v>9.4</v>
      </c>
      <c r="H55" s="1062">
        <f>2.7+6.9</f>
        <v>9.6000000000000014</v>
      </c>
      <c r="I55" s="1062">
        <f>2.862+5.546</f>
        <v>8.4080000000000013</v>
      </c>
      <c r="J55" s="1019">
        <f>2.555+10.033</f>
        <v>12.587999999999999</v>
      </c>
    </row>
    <row r="56" spans="1:10" x14ac:dyDescent="0.3">
      <c r="A56" s="214" t="s">
        <v>566</v>
      </c>
      <c r="B56" s="1047">
        <v>59.4</v>
      </c>
      <c r="C56" s="1047">
        <v>54</v>
      </c>
      <c r="D56" s="1047">
        <v>94.5</v>
      </c>
      <c r="E56" s="1062">
        <v>84.5</v>
      </c>
      <c r="F56" s="1062">
        <v>71.3</v>
      </c>
      <c r="G56" s="1062">
        <v>37.299999999999997</v>
      </c>
      <c r="H56" s="1062">
        <v>30.7</v>
      </c>
      <c r="I56" s="1062">
        <v>4.93</v>
      </c>
      <c r="J56" s="1019">
        <v>18.454000000000001</v>
      </c>
    </row>
    <row r="57" spans="1:10" x14ac:dyDescent="0.3">
      <c r="A57" s="214" t="s">
        <v>594</v>
      </c>
      <c r="B57" s="1047">
        <v>1.7</v>
      </c>
      <c r="C57" s="1047">
        <v>-2.2999999999999998</v>
      </c>
      <c r="D57" s="1047">
        <v>-2</v>
      </c>
      <c r="E57" s="1062">
        <v>0.9</v>
      </c>
      <c r="F57" s="1062">
        <v>0.6</v>
      </c>
      <c r="G57" s="1062">
        <v>0.9</v>
      </c>
      <c r="H57" s="1062">
        <v>0.5</v>
      </c>
      <c r="I57" s="1062">
        <v>1.754</v>
      </c>
      <c r="J57" s="1019">
        <v>2.8940000000000001</v>
      </c>
    </row>
    <row r="58" spans="1:10" ht="46.8" x14ac:dyDescent="0.3">
      <c r="A58" s="282" t="s">
        <v>531</v>
      </c>
      <c r="B58" s="1047">
        <v>7.5</v>
      </c>
      <c r="C58" s="1482"/>
      <c r="D58" s="1482"/>
      <c r="E58" s="2385"/>
      <c r="F58" s="2385"/>
      <c r="G58" s="2385"/>
      <c r="H58" s="2385"/>
      <c r="I58" s="2385"/>
      <c r="J58" s="2406"/>
    </row>
    <row r="59" spans="1:10" x14ac:dyDescent="0.3">
      <c r="A59" s="214"/>
      <c r="B59" s="1021">
        <f t="shared" ref="B59:G59" si="8">SUM(B53:B58)</f>
        <v>106.5</v>
      </c>
      <c r="C59" s="1021">
        <f t="shared" si="8"/>
        <v>83.100000000000009</v>
      </c>
      <c r="D59" s="1021">
        <f t="shared" si="8"/>
        <v>116.3</v>
      </c>
      <c r="E59" s="1022">
        <f t="shared" si="8"/>
        <v>107.80000000000001</v>
      </c>
      <c r="F59" s="1022">
        <f t="shared" si="8"/>
        <v>91.299999999999983</v>
      </c>
      <c r="G59" s="1022">
        <f t="shared" si="8"/>
        <v>56.9</v>
      </c>
      <c r="H59" s="1022">
        <f t="shared" ref="H59:I59" si="9">SUM(H53:H58)</f>
        <v>49.6</v>
      </c>
      <c r="I59" s="1022">
        <f t="shared" si="9"/>
        <v>23.41</v>
      </c>
      <c r="J59" s="1023">
        <f t="shared" ref="J59" si="10">SUM(J53:J58)</f>
        <v>40.680999999999997</v>
      </c>
    </row>
    <row r="60" spans="1:10" x14ac:dyDescent="0.3">
      <c r="A60" s="214" t="s">
        <v>597</v>
      </c>
      <c r="B60" s="1047">
        <f t="shared" ref="B60:G60" si="11">B50-B59</f>
        <v>-76.099999999999994</v>
      </c>
      <c r="C60" s="1047">
        <f t="shared" si="11"/>
        <v>-68.2</v>
      </c>
      <c r="D60" s="1047">
        <f t="shared" si="11"/>
        <v>-20.100000000000009</v>
      </c>
      <c r="E60" s="1062">
        <f t="shared" si="11"/>
        <v>26.199999999999989</v>
      </c>
      <c r="F60" s="1062">
        <f t="shared" si="11"/>
        <v>-29.999999999999986</v>
      </c>
      <c r="G60" s="1062">
        <f t="shared" si="11"/>
        <v>-40.4</v>
      </c>
      <c r="H60" s="1062">
        <f t="shared" ref="H60:I60" si="12">H50-H59</f>
        <v>-13.700000000000003</v>
      </c>
      <c r="I60" s="1062">
        <f t="shared" si="12"/>
        <v>-1.6179999999999986</v>
      </c>
      <c r="J60" s="1019">
        <f t="shared" ref="J60" si="13">J50-J59</f>
        <v>-27.683</v>
      </c>
    </row>
    <row r="61" spans="1:10" ht="18.600000000000001" x14ac:dyDescent="0.3">
      <c r="A61" s="214" t="s">
        <v>1616</v>
      </c>
      <c r="B61" s="1047">
        <v>-22.8</v>
      </c>
      <c r="C61" s="1047">
        <v>125.8</v>
      </c>
      <c r="D61" s="1047">
        <v>8.9</v>
      </c>
      <c r="E61" s="1062">
        <v>12.7</v>
      </c>
      <c r="F61" s="1062">
        <v>-7.6</v>
      </c>
      <c r="G61" s="1062">
        <v>-9.8000000000000007</v>
      </c>
      <c r="H61" s="1062">
        <v>-1.2</v>
      </c>
      <c r="I61" s="1062">
        <v>2.605</v>
      </c>
      <c r="J61" s="1019">
        <v>-6.5250000000000004</v>
      </c>
    </row>
    <row r="62" spans="1:10" x14ac:dyDescent="0.3">
      <c r="A62" s="214"/>
      <c r="B62" s="1021">
        <f t="shared" ref="B62:G62" si="14">B60-B61</f>
        <v>-53.3</v>
      </c>
      <c r="C62" s="1021">
        <f t="shared" si="14"/>
        <v>-194</v>
      </c>
      <c r="D62" s="1021">
        <f t="shared" si="14"/>
        <v>-29.000000000000007</v>
      </c>
      <c r="E62" s="1022">
        <f t="shared" si="14"/>
        <v>13.499999999999989</v>
      </c>
      <c r="F62" s="1022">
        <f t="shared" si="14"/>
        <v>-22.399999999999984</v>
      </c>
      <c r="G62" s="1022">
        <f t="shared" si="14"/>
        <v>-30.599999999999998</v>
      </c>
      <c r="H62" s="1022">
        <f t="shared" ref="H62:I62" si="15">H60-H61</f>
        <v>-12.500000000000004</v>
      </c>
      <c r="I62" s="1022">
        <f t="shared" si="15"/>
        <v>-4.222999999999999</v>
      </c>
      <c r="J62" s="1023">
        <f t="shared" ref="J62" si="16">J60-J61</f>
        <v>-21.158000000000001</v>
      </c>
    </row>
    <row r="63" spans="1:10" x14ac:dyDescent="0.3">
      <c r="A63" s="282" t="s">
        <v>534</v>
      </c>
      <c r="B63" s="1047">
        <v>-0.5</v>
      </c>
      <c r="C63" s="1047">
        <v>0.6</v>
      </c>
      <c r="D63" s="1047">
        <v>-2.2999999999999998</v>
      </c>
      <c r="E63" s="1062">
        <v>1.5</v>
      </c>
      <c r="F63" s="1062">
        <v>1.1000000000000001</v>
      </c>
      <c r="G63" s="1062">
        <v>0.6</v>
      </c>
      <c r="H63" s="1062">
        <v>1.1000000000000001</v>
      </c>
      <c r="I63" s="1062">
        <v>0.69599999999999995</v>
      </c>
      <c r="J63" s="1019">
        <v>0.42399999999999999</v>
      </c>
    </row>
    <row r="64" spans="1:10" ht="16.2" thickBot="1" x14ac:dyDescent="0.35">
      <c r="A64" s="214" t="s">
        <v>596</v>
      </c>
      <c r="B64" s="1141">
        <f t="shared" ref="B64:G64" si="17">B62-B63</f>
        <v>-52.8</v>
      </c>
      <c r="C64" s="1141">
        <f t="shared" si="17"/>
        <v>-194.6</v>
      </c>
      <c r="D64" s="1142">
        <f t="shared" si="17"/>
        <v>-26.700000000000006</v>
      </c>
      <c r="E64" s="1142">
        <f t="shared" si="17"/>
        <v>11.999999999999989</v>
      </c>
      <c r="F64" s="1142">
        <f t="shared" si="17"/>
        <v>-23.499999999999986</v>
      </c>
      <c r="G64" s="1142">
        <f t="shared" si="17"/>
        <v>-31.2</v>
      </c>
      <c r="H64" s="1142">
        <f t="shared" ref="H64:I64" si="18">H62-H63</f>
        <v>-13.600000000000003</v>
      </c>
      <c r="I64" s="1142">
        <f t="shared" si="18"/>
        <v>-4.9189999999999987</v>
      </c>
      <c r="J64" s="1143">
        <f t="shared" ref="J64" si="19">J62-J63</f>
        <v>-21.582000000000001</v>
      </c>
    </row>
    <row r="65" spans="1:10" ht="9.75" customHeight="1" thickTop="1" x14ac:dyDescent="0.3">
      <c r="A65" s="214"/>
      <c r="B65" s="1047"/>
      <c r="C65" s="1047"/>
      <c r="D65" s="220"/>
      <c r="E65" s="220"/>
      <c r="F65" s="220"/>
      <c r="G65" s="220"/>
      <c r="H65" s="220"/>
      <c r="I65" s="220"/>
      <c r="J65" s="223"/>
    </row>
    <row r="66" spans="1:10" x14ac:dyDescent="0.3">
      <c r="A66" s="28" t="s">
        <v>1405</v>
      </c>
      <c r="B66" s="1056"/>
      <c r="C66" s="1056"/>
      <c r="D66" s="220"/>
      <c r="E66" s="220"/>
      <c r="F66" s="220"/>
      <c r="G66" s="220"/>
      <c r="H66" s="220"/>
      <c r="I66" s="220"/>
      <c r="J66" s="223"/>
    </row>
    <row r="67" spans="1:10" ht="16.2" thickBot="1" x14ac:dyDescent="0.35">
      <c r="A67" s="9" t="s">
        <v>684</v>
      </c>
      <c r="B67" s="1036"/>
      <c r="C67" s="1036"/>
      <c r="D67" s="218"/>
      <c r="E67" s="218"/>
      <c r="F67" s="218"/>
      <c r="G67" s="218"/>
      <c r="H67" s="218"/>
      <c r="I67" s="218"/>
      <c r="J67" s="219"/>
    </row>
    <row r="68" spans="1:10" x14ac:dyDescent="0.3">
      <c r="A68" s="495" t="s">
        <v>1896</v>
      </c>
      <c r="B68" s="1018"/>
      <c r="C68" s="1018"/>
    </row>
    <row r="69" spans="1:10" x14ac:dyDescent="0.3">
      <c r="B69" s="1018"/>
      <c r="C69" s="1018"/>
    </row>
    <row r="71" spans="1:10" x14ac:dyDescent="0.3">
      <c r="A71" s="211" t="s">
        <v>734</v>
      </c>
      <c r="I71" s="226">
        <f>I19*1000/'5. Select Parent Fin''l Data'!P28</f>
        <v>6.0840645138733142E-2</v>
      </c>
    </row>
    <row r="72" spans="1:10" x14ac:dyDescent="0.3">
      <c r="A72" s="211" t="s">
        <v>735</v>
      </c>
      <c r="I72" s="226">
        <f>I30*1000/'5. Select Parent Fin''l Data'!P30</f>
        <v>8.5267444123309652E-2</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55AC-9F28-404D-B980-43A238EBC219}">
  <sheetPr codeName="Sheet51">
    <tabColor theme="9" tint="0.59999389629810485"/>
  </sheetPr>
  <dimension ref="A1:XFD40"/>
  <sheetViews>
    <sheetView showGridLines="0" zoomScale="85" zoomScaleNormal="85" workbookViewId="0">
      <selection activeCell="N20" sqref="N20"/>
    </sheetView>
  </sheetViews>
  <sheetFormatPr defaultColWidth="9.109375" defaultRowHeight="13.8" x14ac:dyDescent="0.25"/>
  <cols>
    <col min="1" max="1" width="21.6640625" style="1" customWidth="1"/>
    <col min="2" max="3" width="27.88671875" style="1" customWidth="1"/>
    <col min="4" max="16384" width="9.109375" style="1"/>
  </cols>
  <sheetData>
    <row r="1" spans="1:3" x14ac:dyDescent="0.25">
      <c r="A1" s="10" t="s">
        <v>1628</v>
      </c>
    </row>
    <row r="2" spans="1:3" x14ac:dyDescent="0.25">
      <c r="A2" s="10" t="s">
        <v>1629</v>
      </c>
    </row>
    <row r="3" spans="1:3" ht="10.5" customHeight="1" thickBot="1" x14ac:dyDescent="0.35">
      <c r="A3" s="2868"/>
      <c r="B3" s="2868"/>
      <c r="C3" s="2868"/>
    </row>
    <row r="4" spans="1:3" x14ac:dyDescent="0.25">
      <c r="A4" s="85"/>
      <c r="B4" s="1208">
        <v>1994</v>
      </c>
      <c r="C4" s="1209">
        <v>2004</v>
      </c>
    </row>
    <row r="5" spans="1:3" ht="114" customHeight="1" x14ac:dyDescent="0.25">
      <c r="A5" s="1217" t="s">
        <v>45</v>
      </c>
      <c r="B5" s="1210" t="s">
        <v>1630</v>
      </c>
      <c r="C5" s="1167" t="s">
        <v>1631</v>
      </c>
    </row>
    <row r="6" spans="1:3" ht="4.5" customHeight="1" x14ac:dyDescent="0.25">
      <c r="A6" s="6"/>
      <c r="B6" s="205"/>
      <c r="C6" s="8"/>
    </row>
    <row r="7" spans="1:3" ht="29.25" customHeight="1" x14ac:dyDescent="0.25">
      <c r="A7" s="1217" t="s">
        <v>1241</v>
      </c>
      <c r="B7" s="1211" t="s">
        <v>467</v>
      </c>
      <c r="C7" s="1212" t="s">
        <v>467</v>
      </c>
    </row>
    <row r="8" spans="1:3" x14ac:dyDescent="0.25">
      <c r="A8" s="6" t="s">
        <v>1242</v>
      </c>
      <c r="B8" s="205" t="s">
        <v>806</v>
      </c>
      <c r="C8" s="8" t="s">
        <v>1023</v>
      </c>
    </row>
    <row r="9" spans="1:3" x14ac:dyDescent="0.25">
      <c r="A9" s="6" t="s">
        <v>1418</v>
      </c>
      <c r="B9" s="205" t="s">
        <v>807</v>
      </c>
      <c r="C9" s="8" t="s">
        <v>1024</v>
      </c>
    </row>
    <row r="10" spans="1:3" x14ac:dyDescent="0.25">
      <c r="A10" s="6" t="s">
        <v>1244</v>
      </c>
      <c r="B10" s="1213">
        <v>10083</v>
      </c>
      <c r="C10" s="1214">
        <v>55824</v>
      </c>
    </row>
    <row r="11" spans="1:3" x14ac:dyDescent="0.25">
      <c r="A11" s="6" t="s">
        <v>499</v>
      </c>
      <c r="B11" s="1215" t="s">
        <v>808</v>
      </c>
      <c r="C11" s="1216" t="s">
        <v>1025</v>
      </c>
    </row>
    <row r="12" spans="1:3" x14ac:dyDescent="0.25">
      <c r="A12" s="6"/>
      <c r="B12" s="205"/>
      <c r="C12" s="8"/>
    </row>
    <row r="13" spans="1:3" x14ac:dyDescent="0.25">
      <c r="A13" s="28" t="s">
        <v>1632</v>
      </c>
      <c r="B13" s="205"/>
      <c r="C13" s="8"/>
    </row>
    <row r="14" spans="1:3" x14ac:dyDescent="0.25">
      <c r="A14" s="2799" t="s">
        <v>1633</v>
      </c>
      <c r="B14" s="2800"/>
      <c r="C14" s="2801"/>
    </row>
    <row r="15" spans="1:3" x14ac:dyDescent="0.25">
      <c r="A15" s="2799" t="s">
        <v>1634</v>
      </c>
      <c r="B15" s="2800"/>
      <c r="C15" s="2801"/>
    </row>
    <row r="16" spans="1:3" x14ac:dyDescent="0.25">
      <c r="A16" s="2799" t="s">
        <v>1635</v>
      </c>
      <c r="B16" s="2800"/>
      <c r="C16" s="2801"/>
    </row>
    <row r="17" spans="1:16384" x14ac:dyDescent="0.25">
      <c r="A17" s="2799" t="s">
        <v>1636</v>
      </c>
      <c r="B17" s="2800"/>
      <c r="C17" s="2801"/>
      <c r="D17" s="1" t="s">
        <v>176</v>
      </c>
    </row>
    <row r="18" spans="1:16384" x14ac:dyDescent="0.25">
      <c r="A18" s="2799" t="s">
        <v>1918</v>
      </c>
      <c r="B18" s="2800"/>
      <c r="C18" s="2801"/>
    </row>
    <row r="19" spans="1:16384" x14ac:dyDescent="0.25">
      <c r="A19" s="2799" t="s">
        <v>1637</v>
      </c>
      <c r="B19" s="2800"/>
      <c r="C19" s="2801"/>
    </row>
    <row r="20" spans="1:16384" x14ac:dyDescent="0.25">
      <c r="A20" s="2799" t="s">
        <v>1638</v>
      </c>
      <c r="B20" s="2800"/>
      <c r="C20" s="2801"/>
    </row>
    <row r="21" spans="1:16384" x14ac:dyDescent="0.25">
      <c r="A21" s="2799" t="s">
        <v>1919</v>
      </c>
      <c r="B21" s="2800"/>
      <c r="C21" s="2801"/>
    </row>
    <row r="22" spans="1:16384" x14ac:dyDescent="0.25">
      <c r="A22" s="2799" t="s">
        <v>1639</v>
      </c>
      <c r="B22" s="2800"/>
      <c r="C22" s="2801"/>
    </row>
    <row r="23" spans="1:16384" x14ac:dyDescent="0.25">
      <c r="A23" s="2799" t="s">
        <v>1640</v>
      </c>
      <c r="B23" s="2800"/>
      <c r="C23" s="2801"/>
    </row>
    <row r="24" spans="1:16384" x14ac:dyDescent="0.25">
      <c r="A24" s="2799" t="s">
        <v>1641</v>
      </c>
      <c r="B24" s="2800"/>
      <c r="C24" s="2801"/>
    </row>
    <row r="25" spans="1:16384" x14ac:dyDescent="0.25">
      <c r="A25" s="2799" t="s">
        <v>1642</v>
      </c>
      <c r="B25" s="2800"/>
      <c r="C25" s="2801"/>
      <c r="D25" s="2827"/>
      <c r="E25" s="2827"/>
      <c r="F25" s="2827"/>
      <c r="G25" s="2827"/>
      <c r="H25" s="2827"/>
      <c r="I25" s="2827"/>
      <c r="J25" s="2827"/>
      <c r="K25" s="2827"/>
      <c r="L25" s="2827"/>
      <c r="M25" s="2827"/>
      <c r="N25" s="2827"/>
      <c r="O25" s="2827"/>
      <c r="P25" s="2827"/>
      <c r="Q25" s="2827"/>
      <c r="R25" s="2867"/>
      <c r="S25" s="2866"/>
      <c r="T25" s="2827"/>
      <c r="U25" s="2867"/>
      <c r="V25" s="2866"/>
      <c r="W25" s="2827"/>
      <c r="X25" s="2867"/>
      <c r="Y25" s="2866"/>
      <c r="Z25" s="2827"/>
      <c r="AA25" s="2867"/>
      <c r="AB25" s="2866"/>
      <c r="AC25" s="2827"/>
      <c r="AD25" s="2867"/>
      <c r="AE25" s="2866"/>
      <c r="AF25" s="2827"/>
      <c r="AG25" s="2867"/>
      <c r="AH25" s="2866"/>
      <c r="AI25" s="2827"/>
      <c r="AJ25" s="2867"/>
      <c r="AK25" s="2866"/>
      <c r="AL25" s="2827"/>
      <c r="AM25" s="2867"/>
      <c r="AN25" s="2866"/>
      <c r="AO25" s="2827"/>
      <c r="AP25" s="2867"/>
      <c r="AQ25" s="2866"/>
      <c r="AR25" s="2827"/>
      <c r="AS25" s="2867"/>
      <c r="AT25" s="2866"/>
      <c r="AU25" s="2827"/>
      <c r="AV25" s="2867"/>
      <c r="AW25" s="2866"/>
      <c r="AX25" s="2827"/>
      <c r="AY25" s="2867"/>
      <c r="AZ25" s="2866"/>
      <c r="BA25" s="2827"/>
      <c r="BB25" s="2867"/>
      <c r="BC25" s="2866"/>
      <c r="BD25" s="2827"/>
      <c r="BE25" s="2867"/>
      <c r="BF25" s="2866"/>
      <c r="BG25" s="2827"/>
      <c r="BH25" s="2867"/>
      <c r="BI25" s="2866"/>
      <c r="BJ25" s="2827"/>
      <c r="BK25" s="2867"/>
      <c r="BL25" s="2866"/>
      <c r="BM25" s="2827"/>
      <c r="BN25" s="2867"/>
      <c r="BO25" s="2866"/>
      <c r="BP25" s="2827"/>
      <c r="BQ25" s="2867"/>
      <c r="BR25" s="2866"/>
      <c r="BS25" s="2827"/>
      <c r="BT25" s="2867"/>
      <c r="BU25" s="2866"/>
      <c r="BV25" s="2827"/>
      <c r="BW25" s="2867"/>
      <c r="BX25" s="2866"/>
      <c r="BY25" s="2827"/>
      <c r="BZ25" s="2867"/>
      <c r="CA25" s="2866"/>
      <c r="CB25" s="2827"/>
      <c r="CC25" s="2867"/>
      <c r="CD25" s="2866"/>
      <c r="CE25" s="2827"/>
      <c r="CF25" s="2867"/>
      <c r="CG25" s="2866"/>
      <c r="CH25" s="2827"/>
      <c r="CI25" s="2867"/>
      <c r="CJ25" s="2866"/>
      <c r="CK25" s="2827"/>
      <c r="CL25" s="2867"/>
      <c r="CM25" s="2866"/>
      <c r="CN25" s="2827"/>
      <c r="CO25" s="2867"/>
      <c r="CP25" s="2866"/>
      <c r="CQ25" s="2827"/>
      <c r="CR25" s="2867"/>
      <c r="CS25" s="2866"/>
      <c r="CT25" s="2827"/>
      <c r="CU25" s="2867"/>
      <c r="CV25" s="2866"/>
      <c r="CW25" s="2827"/>
      <c r="CX25" s="2867"/>
      <c r="CY25" s="2866"/>
      <c r="CZ25" s="2827"/>
      <c r="DA25" s="2867"/>
      <c r="DB25" s="2866"/>
      <c r="DC25" s="2827"/>
      <c r="DD25" s="2867"/>
      <c r="DE25" s="2866"/>
      <c r="DF25" s="2827"/>
      <c r="DG25" s="2867"/>
      <c r="DH25" s="2866"/>
      <c r="DI25" s="2827"/>
      <c r="DJ25" s="2867"/>
      <c r="DK25" s="2866"/>
      <c r="DL25" s="2827"/>
      <c r="DM25" s="2867"/>
      <c r="DN25" s="2866"/>
      <c r="DO25" s="2827"/>
      <c r="DP25" s="2867"/>
      <c r="DQ25" s="2866"/>
      <c r="DR25" s="2827"/>
      <c r="DS25" s="2867"/>
      <c r="DT25" s="2866"/>
      <c r="DU25" s="2827"/>
      <c r="DV25" s="2867"/>
      <c r="DW25" s="2866"/>
      <c r="DX25" s="2827"/>
      <c r="DY25" s="2867"/>
      <c r="DZ25" s="2866"/>
      <c r="EA25" s="2827"/>
      <c r="EB25" s="2867"/>
      <c r="EC25" s="2866"/>
      <c r="ED25" s="2827"/>
      <c r="EE25" s="2867"/>
      <c r="EF25" s="2866"/>
      <c r="EG25" s="2827"/>
      <c r="EH25" s="2867"/>
      <c r="EI25" s="2866"/>
      <c r="EJ25" s="2827"/>
      <c r="EK25" s="2867"/>
      <c r="EL25" s="2866"/>
      <c r="EM25" s="2827"/>
      <c r="EN25" s="2867"/>
      <c r="EO25" s="2866"/>
      <c r="EP25" s="2827"/>
      <c r="EQ25" s="2867"/>
      <c r="ER25" s="2866"/>
      <c r="ES25" s="2827"/>
      <c r="ET25" s="2867"/>
      <c r="EU25" s="2866"/>
      <c r="EV25" s="2827"/>
      <c r="EW25" s="2867"/>
      <c r="EX25" s="2866"/>
      <c r="EY25" s="2827"/>
      <c r="EZ25" s="2867"/>
      <c r="FA25" s="2866"/>
      <c r="FB25" s="2827"/>
      <c r="FC25" s="2867"/>
      <c r="FD25" s="2866"/>
      <c r="FE25" s="2827"/>
      <c r="FF25" s="2867"/>
      <c r="FG25" s="2866"/>
      <c r="FH25" s="2827"/>
      <c r="FI25" s="2867"/>
      <c r="FJ25" s="2866"/>
      <c r="FK25" s="2827"/>
      <c r="FL25" s="2867"/>
      <c r="FM25" s="2866"/>
      <c r="FN25" s="2827"/>
      <c r="FO25" s="2867"/>
      <c r="FP25" s="2866"/>
      <c r="FQ25" s="2827"/>
      <c r="FR25" s="2867"/>
      <c r="FS25" s="2866"/>
      <c r="FT25" s="2827"/>
      <c r="FU25" s="2867"/>
      <c r="FV25" s="2866"/>
      <c r="FW25" s="2827"/>
      <c r="FX25" s="2867"/>
      <c r="FY25" s="2866"/>
      <c r="FZ25" s="2827"/>
      <c r="GA25" s="2867"/>
      <c r="GB25" s="2866"/>
      <c r="GC25" s="2827"/>
      <c r="GD25" s="2867"/>
      <c r="GE25" s="2866"/>
      <c r="GF25" s="2827"/>
      <c r="GG25" s="2867"/>
      <c r="GH25" s="2866"/>
      <c r="GI25" s="2827"/>
      <c r="GJ25" s="2867"/>
      <c r="GK25" s="2866"/>
      <c r="GL25" s="2827"/>
      <c r="GM25" s="2867"/>
      <c r="GN25" s="2866"/>
      <c r="GO25" s="2827"/>
      <c r="GP25" s="2867"/>
      <c r="GQ25" s="2866"/>
      <c r="GR25" s="2827"/>
      <c r="GS25" s="2867"/>
      <c r="GT25" s="2866"/>
      <c r="GU25" s="2827"/>
      <c r="GV25" s="2867"/>
      <c r="GW25" s="2866"/>
      <c r="GX25" s="2827"/>
      <c r="GY25" s="2867"/>
      <c r="GZ25" s="2866"/>
      <c r="HA25" s="2827"/>
      <c r="HB25" s="2867"/>
      <c r="HC25" s="2866"/>
      <c r="HD25" s="2827"/>
      <c r="HE25" s="2867"/>
      <c r="HF25" s="2866"/>
      <c r="HG25" s="2827"/>
      <c r="HH25" s="2867"/>
      <c r="HI25" s="2866"/>
      <c r="HJ25" s="2827"/>
      <c r="HK25" s="2867"/>
      <c r="HL25" s="2866"/>
      <c r="HM25" s="2827"/>
      <c r="HN25" s="2867"/>
      <c r="HO25" s="2866"/>
      <c r="HP25" s="2827"/>
      <c r="HQ25" s="2867"/>
      <c r="HR25" s="2866"/>
      <c r="HS25" s="2827"/>
      <c r="HT25" s="2867"/>
      <c r="HU25" s="2866"/>
      <c r="HV25" s="2827"/>
      <c r="HW25" s="2867"/>
      <c r="HX25" s="2866"/>
      <c r="HY25" s="2827"/>
      <c r="HZ25" s="2867"/>
      <c r="IA25" s="2866"/>
      <c r="IB25" s="2827"/>
      <c r="IC25" s="2867"/>
      <c r="ID25" s="2866"/>
      <c r="IE25" s="2827"/>
      <c r="IF25" s="2867"/>
      <c r="IG25" s="2866"/>
      <c r="IH25" s="2827"/>
      <c r="II25" s="2867"/>
      <c r="IJ25" s="2866"/>
      <c r="IK25" s="2827"/>
      <c r="IL25" s="2867"/>
      <c r="IM25" s="2866"/>
      <c r="IN25" s="2827"/>
      <c r="IO25" s="2867"/>
      <c r="IP25" s="2866"/>
      <c r="IQ25" s="2827"/>
      <c r="IR25" s="2867"/>
      <c r="IS25" s="2866"/>
      <c r="IT25" s="2827"/>
      <c r="IU25" s="2867"/>
      <c r="IV25" s="2866"/>
      <c r="IW25" s="2827"/>
      <c r="IX25" s="2867"/>
      <c r="IY25" s="2866"/>
      <c r="IZ25" s="2827"/>
      <c r="JA25" s="2867"/>
      <c r="JB25" s="2866"/>
      <c r="JC25" s="2827"/>
      <c r="JD25" s="2867"/>
      <c r="JE25" s="2866"/>
      <c r="JF25" s="2827"/>
      <c r="JG25" s="2867"/>
      <c r="JH25" s="2866"/>
      <c r="JI25" s="2827"/>
      <c r="JJ25" s="2867"/>
      <c r="JK25" s="2866"/>
      <c r="JL25" s="2827"/>
      <c r="JM25" s="2867"/>
      <c r="JN25" s="2866"/>
      <c r="JO25" s="2827"/>
      <c r="JP25" s="2867"/>
      <c r="JQ25" s="2866"/>
      <c r="JR25" s="2827"/>
      <c r="JS25" s="2867"/>
      <c r="JT25" s="2866"/>
      <c r="JU25" s="2827"/>
      <c r="JV25" s="2867"/>
      <c r="JW25" s="2866"/>
      <c r="JX25" s="2827"/>
      <c r="JY25" s="2867"/>
      <c r="JZ25" s="2866"/>
      <c r="KA25" s="2827"/>
      <c r="KB25" s="2867"/>
      <c r="KC25" s="2866"/>
      <c r="KD25" s="2827"/>
      <c r="KE25" s="2867"/>
      <c r="KF25" s="2866"/>
      <c r="KG25" s="2827"/>
      <c r="KH25" s="2867"/>
      <c r="KI25" s="2866"/>
      <c r="KJ25" s="2827"/>
      <c r="KK25" s="2867"/>
      <c r="KL25" s="2866"/>
      <c r="KM25" s="2827"/>
      <c r="KN25" s="2867"/>
      <c r="KO25" s="2866"/>
      <c r="KP25" s="2827"/>
      <c r="KQ25" s="2867"/>
      <c r="KR25" s="2866"/>
      <c r="KS25" s="2827"/>
      <c r="KT25" s="2867"/>
      <c r="KU25" s="2866"/>
      <c r="KV25" s="2827"/>
      <c r="KW25" s="2867"/>
      <c r="KX25" s="2866"/>
      <c r="KY25" s="2827"/>
      <c r="KZ25" s="2867"/>
      <c r="LA25" s="2866"/>
      <c r="LB25" s="2827"/>
      <c r="LC25" s="2867"/>
      <c r="LD25" s="2866"/>
      <c r="LE25" s="2827"/>
      <c r="LF25" s="2867"/>
      <c r="LG25" s="2866"/>
      <c r="LH25" s="2827"/>
      <c r="LI25" s="2867"/>
      <c r="LJ25" s="2866"/>
      <c r="LK25" s="2827"/>
      <c r="LL25" s="2867"/>
      <c r="LM25" s="2866"/>
      <c r="LN25" s="2827"/>
      <c r="LO25" s="2867"/>
      <c r="LP25" s="2866"/>
      <c r="LQ25" s="2827"/>
      <c r="LR25" s="2867"/>
      <c r="LS25" s="2866"/>
      <c r="LT25" s="2827"/>
      <c r="LU25" s="2867"/>
      <c r="LV25" s="2866"/>
      <c r="LW25" s="2827"/>
      <c r="LX25" s="2867"/>
      <c r="LY25" s="2866"/>
      <c r="LZ25" s="2827"/>
      <c r="MA25" s="2867"/>
      <c r="MB25" s="2866"/>
      <c r="MC25" s="2827"/>
      <c r="MD25" s="2867"/>
      <c r="ME25" s="2866"/>
      <c r="MF25" s="2827"/>
      <c r="MG25" s="2867"/>
      <c r="MH25" s="2866"/>
      <c r="MI25" s="2827"/>
      <c r="MJ25" s="2867"/>
      <c r="MK25" s="2866"/>
      <c r="ML25" s="2827"/>
      <c r="MM25" s="2867"/>
      <c r="MN25" s="2866"/>
      <c r="MO25" s="2827"/>
      <c r="MP25" s="2867"/>
      <c r="MQ25" s="2866"/>
      <c r="MR25" s="2827"/>
      <c r="MS25" s="2867"/>
      <c r="MT25" s="2866"/>
      <c r="MU25" s="2827"/>
      <c r="MV25" s="2867"/>
      <c r="MW25" s="2866"/>
      <c r="MX25" s="2827"/>
      <c r="MY25" s="2867"/>
      <c r="MZ25" s="2866"/>
      <c r="NA25" s="2827"/>
      <c r="NB25" s="2867"/>
      <c r="NC25" s="2866"/>
      <c r="ND25" s="2827"/>
      <c r="NE25" s="2867"/>
      <c r="NF25" s="2866"/>
      <c r="NG25" s="2827"/>
      <c r="NH25" s="2867"/>
      <c r="NI25" s="2866"/>
      <c r="NJ25" s="2827"/>
      <c r="NK25" s="2867"/>
      <c r="NL25" s="2866"/>
      <c r="NM25" s="2827"/>
      <c r="NN25" s="2867"/>
      <c r="NO25" s="2866"/>
      <c r="NP25" s="2827"/>
      <c r="NQ25" s="2867"/>
      <c r="NR25" s="2866"/>
      <c r="NS25" s="2827"/>
      <c r="NT25" s="2867"/>
      <c r="NU25" s="2866"/>
      <c r="NV25" s="2827"/>
      <c r="NW25" s="2867"/>
      <c r="NX25" s="2866"/>
      <c r="NY25" s="2827"/>
      <c r="NZ25" s="2867"/>
      <c r="OA25" s="2866"/>
      <c r="OB25" s="2827"/>
      <c r="OC25" s="2867"/>
      <c r="OD25" s="2866"/>
      <c r="OE25" s="2827"/>
      <c r="OF25" s="2867"/>
      <c r="OG25" s="2866"/>
      <c r="OH25" s="2827"/>
      <c r="OI25" s="2867"/>
      <c r="OJ25" s="2866"/>
      <c r="OK25" s="2827"/>
      <c r="OL25" s="2867"/>
      <c r="OM25" s="2866"/>
      <c r="ON25" s="2827"/>
      <c r="OO25" s="2867"/>
      <c r="OP25" s="2866"/>
      <c r="OQ25" s="2827"/>
      <c r="OR25" s="2867"/>
      <c r="OS25" s="2866"/>
      <c r="OT25" s="2827"/>
      <c r="OU25" s="2867"/>
      <c r="OV25" s="2866"/>
      <c r="OW25" s="2827"/>
      <c r="OX25" s="2867"/>
      <c r="OY25" s="2866"/>
      <c r="OZ25" s="2827"/>
      <c r="PA25" s="2867"/>
      <c r="PB25" s="2866"/>
      <c r="PC25" s="2827"/>
      <c r="PD25" s="2867"/>
      <c r="PE25" s="2866"/>
      <c r="PF25" s="2827"/>
      <c r="PG25" s="2867"/>
      <c r="PH25" s="2866"/>
      <c r="PI25" s="2827"/>
      <c r="PJ25" s="2867"/>
      <c r="PK25" s="2866"/>
      <c r="PL25" s="2827"/>
      <c r="PM25" s="2867"/>
      <c r="PN25" s="2866"/>
      <c r="PO25" s="2827"/>
      <c r="PP25" s="2867"/>
      <c r="PQ25" s="2866"/>
      <c r="PR25" s="2827"/>
      <c r="PS25" s="2867"/>
      <c r="PT25" s="2866"/>
      <c r="PU25" s="2827"/>
      <c r="PV25" s="2867"/>
      <c r="PW25" s="2866"/>
      <c r="PX25" s="2827"/>
      <c r="PY25" s="2867"/>
      <c r="PZ25" s="2866"/>
      <c r="QA25" s="2827"/>
      <c r="QB25" s="2867"/>
      <c r="QC25" s="2866"/>
      <c r="QD25" s="2827"/>
      <c r="QE25" s="2867"/>
      <c r="QF25" s="2866"/>
      <c r="QG25" s="2827"/>
      <c r="QH25" s="2867"/>
      <c r="QI25" s="2866"/>
      <c r="QJ25" s="2827"/>
      <c r="QK25" s="2867"/>
      <c r="QL25" s="2866"/>
      <c r="QM25" s="2827"/>
      <c r="QN25" s="2867"/>
      <c r="QO25" s="2866"/>
      <c r="QP25" s="2827"/>
      <c r="QQ25" s="2867"/>
      <c r="QR25" s="2866"/>
      <c r="QS25" s="2827"/>
      <c r="QT25" s="2867"/>
      <c r="QU25" s="2866"/>
      <c r="QV25" s="2827"/>
      <c r="QW25" s="2867"/>
      <c r="QX25" s="2866"/>
      <c r="QY25" s="2827"/>
      <c r="QZ25" s="2867"/>
      <c r="RA25" s="2866"/>
      <c r="RB25" s="2827"/>
      <c r="RC25" s="2867"/>
      <c r="RD25" s="2866"/>
      <c r="RE25" s="2827"/>
      <c r="RF25" s="2867"/>
      <c r="RG25" s="2866"/>
      <c r="RH25" s="2827"/>
      <c r="RI25" s="2867"/>
      <c r="RJ25" s="2866"/>
      <c r="RK25" s="2827"/>
      <c r="RL25" s="2867"/>
      <c r="RM25" s="2866"/>
      <c r="RN25" s="2827"/>
      <c r="RO25" s="2867"/>
      <c r="RP25" s="2866"/>
      <c r="RQ25" s="2827"/>
      <c r="RR25" s="2867"/>
      <c r="RS25" s="2866"/>
      <c r="RT25" s="2827"/>
      <c r="RU25" s="2867"/>
      <c r="RV25" s="2866"/>
      <c r="RW25" s="2827"/>
      <c r="RX25" s="2867"/>
      <c r="RY25" s="2866"/>
      <c r="RZ25" s="2827"/>
      <c r="SA25" s="2867"/>
      <c r="SB25" s="2866"/>
      <c r="SC25" s="2827"/>
      <c r="SD25" s="2867"/>
      <c r="SE25" s="2866"/>
      <c r="SF25" s="2827"/>
      <c r="SG25" s="2867"/>
      <c r="SH25" s="2866"/>
      <c r="SI25" s="2827"/>
      <c r="SJ25" s="2867"/>
      <c r="SK25" s="2866"/>
      <c r="SL25" s="2827"/>
      <c r="SM25" s="2867"/>
      <c r="SN25" s="2866"/>
      <c r="SO25" s="2827"/>
      <c r="SP25" s="2867"/>
      <c r="SQ25" s="2866"/>
      <c r="SR25" s="2827"/>
      <c r="SS25" s="2867"/>
      <c r="ST25" s="2866"/>
      <c r="SU25" s="2827"/>
      <c r="SV25" s="2867"/>
      <c r="SW25" s="2866"/>
      <c r="SX25" s="2827"/>
      <c r="SY25" s="2867"/>
      <c r="SZ25" s="2866"/>
      <c r="TA25" s="2827"/>
      <c r="TB25" s="2867"/>
      <c r="TC25" s="2866"/>
      <c r="TD25" s="2827"/>
      <c r="TE25" s="2867"/>
      <c r="TF25" s="2866"/>
      <c r="TG25" s="2827"/>
      <c r="TH25" s="2867"/>
      <c r="TI25" s="2866"/>
      <c r="TJ25" s="2827"/>
      <c r="TK25" s="2867"/>
      <c r="TL25" s="2866"/>
      <c r="TM25" s="2827"/>
      <c r="TN25" s="2867"/>
      <c r="TO25" s="2866"/>
      <c r="TP25" s="2827"/>
      <c r="TQ25" s="2867"/>
      <c r="TR25" s="2866"/>
      <c r="TS25" s="2827"/>
      <c r="TT25" s="2867"/>
      <c r="TU25" s="2866"/>
      <c r="TV25" s="2827"/>
      <c r="TW25" s="2867"/>
      <c r="TX25" s="2866"/>
      <c r="TY25" s="2827"/>
      <c r="TZ25" s="2867"/>
      <c r="UA25" s="2866"/>
      <c r="UB25" s="2827"/>
      <c r="UC25" s="2867"/>
      <c r="UD25" s="2866"/>
      <c r="UE25" s="2827"/>
      <c r="UF25" s="2867"/>
      <c r="UG25" s="2866"/>
      <c r="UH25" s="2827"/>
      <c r="UI25" s="2867"/>
      <c r="UJ25" s="2866"/>
      <c r="UK25" s="2827"/>
      <c r="UL25" s="2867"/>
      <c r="UM25" s="2866"/>
      <c r="UN25" s="2827"/>
      <c r="UO25" s="2867"/>
      <c r="UP25" s="2866"/>
      <c r="UQ25" s="2827"/>
      <c r="UR25" s="2867"/>
      <c r="US25" s="2866"/>
      <c r="UT25" s="2827"/>
      <c r="UU25" s="2867"/>
      <c r="UV25" s="2866"/>
      <c r="UW25" s="2827"/>
      <c r="UX25" s="2867"/>
      <c r="UY25" s="2866"/>
      <c r="UZ25" s="2827"/>
      <c r="VA25" s="2867"/>
      <c r="VB25" s="2866"/>
      <c r="VC25" s="2827"/>
      <c r="VD25" s="2867"/>
      <c r="VE25" s="2866"/>
      <c r="VF25" s="2827"/>
      <c r="VG25" s="2867"/>
      <c r="VH25" s="2866"/>
      <c r="VI25" s="2827"/>
      <c r="VJ25" s="2867"/>
      <c r="VK25" s="2866"/>
      <c r="VL25" s="2827"/>
      <c r="VM25" s="2867"/>
      <c r="VN25" s="2866"/>
      <c r="VO25" s="2827"/>
      <c r="VP25" s="2867"/>
      <c r="VQ25" s="2866"/>
      <c r="VR25" s="2827"/>
      <c r="VS25" s="2867"/>
      <c r="VT25" s="2866"/>
      <c r="VU25" s="2827"/>
      <c r="VV25" s="2867"/>
      <c r="VW25" s="2866"/>
      <c r="VX25" s="2827"/>
      <c r="VY25" s="2867"/>
      <c r="VZ25" s="2866"/>
      <c r="WA25" s="2827"/>
      <c r="WB25" s="2867"/>
      <c r="WC25" s="2866"/>
      <c r="WD25" s="2827"/>
      <c r="WE25" s="2867"/>
      <c r="WF25" s="2866"/>
      <c r="WG25" s="2827"/>
      <c r="WH25" s="2867"/>
      <c r="WI25" s="2866"/>
      <c r="WJ25" s="2827"/>
      <c r="WK25" s="2867"/>
      <c r="WL25" s="2866"/>
      <c r="WM25" s="2827"/>
      <c r="WN25" s="2867"/>
      <c r="WO25" s="2866"/>
      <c r="WP25" s="2827"/>
      <c r="WQ25" s="2867"/>
      <c r="WR25" s="2866"/>
      <c r="WS25" s="2827"/>
      <c r="WT25" s="2867"/>
      <c r="WU25" s="2866"/>
      <c r="WV25" s="2827"/>
      <c r="WW25" s="2867"/>
      <c r="WX25" s="2866"/>
      <c r="WY25" s="2827"/>
      <c r="WZ25" s="2867"/>
      <c r="XA25" s="2866"/>
      <c r="XB25" s="2827"/>
      <c r="XC25" s="2867"/>
      <c r="XD25" s="2866"/>
      <c r="XE25" s="2827"/>
      <c r="XF25" s="2867"/>
      <c r="XG25" s="2866"/>
      <c r="XH25" s="2827"/>
      <c r="XI25" s="2867"/>
      <c r="XJ25" s="2866"/>
      <c r="XK25" s="2827"/>
      <c r="XL25" s="2867"/>
      <c r="XM25" s="2866"/>
      <c r="XN25" s="2827"/>
      <c r="XO25" s="2867"/>
      <c r="XP25" s="2866"/>
      <c r="XQ25" s="2827"/>
      <c r="XR25" s="2867"/>
      <c r="XS25" s="2866"/>
      <c r="XT25" s="2827"/>
      <c r="XU25" s="2867"/>
      <c r="XV25" s="2866"/>
      <c r="XW25" s="2827"/>
      <c r="XX25" s="2867"/>
      <c r="XY25" s="2866"/>
      <c r="XZ25" s="2827"/>
      <c r="YA25" s="2867"/>
      <c r="YB25" s="2866"/>
      <c r="YC25" s="2827"/>
      <c r="YD25" s="2867"/>
      <c r="YE25" s="2866"/>
      <c r="YF25" s="2827"/>
      <c r="YG25" s="2867"/>
      <c r="YH25" s="2866"/>
      <c r="YI25" s="2827"/>
      <c r="YJ25" s="2867"/>
      <c r="YK25" s="2866"/>
      <c r="YL25" s="2827"/>
      <c r="YM25" s="2867"/>
      <c r="YN25" s="2866"/>
      <c r="YO25" s="2827"/>
      <c r="YP25" s="2867"/>
      <c r="YQ25" s="2866"/>
      <c r="YR25" s="2827"/>
      <c r="YS25" s="2867"/>
      <c r="YT25" s="2866"/>
      <c r="YU25" s="2827"/>
      <c r="YV25" s="2867"/>
      <c r="YW25" s="2866"/>
      <c r="YX25" s="2827"/>
      <c r="YY25" s="2867"/>
      <c r="YZ25" s="2866"/>
      <c r="ZA25" s="2827"/>
      <c r="ZB25" s="2867"/>
      <c r="ZC25" s="2866"/>
      <c r="ZD25" s="2827"/>
      <c r="ZE25" s="2867"/>
      <c r="ZF25" s="2866"/>
      <c r="ZG25" s="2827"/>
      <c r="ZH25" s="2867"/>
      <c r="ZI25" s="2866"/>
      <c r="ZJ25" s="2827"/>
      <c r="ZK25" s="2867"/>
      <c r="ZL25" s="2866"/>
      <c r="ZM25" s="2827"/>
      <c r="ZN25" s="2867"/>
      <c r="ZO25" s="2866"/>
      <c r="ZP25" s="2827"/>
      <c r="ZQ25" s="2867"/>
      <c r="ZR25" s="2866"/>
      <c r="ZS25" s="2827"/>
      <c r="ZT25" s="2867"/>
      <c r="ZU25" s="2866"/>
      <c r="ZV25" s="2827"/>
      <c r="ZW25" s="2867"/>
      <c r="ZX25" s="2866"/>
      <c r="ZY25" s="2827"/>
      <c r="ZZ25" s="2867"/>
      <c r="AAA25" s="2866"/>
      <c r="AAB25" s="2827"/>
      <c r="AAC25" s="2867"/>
      <c r="AAD25" s="2866"/>
      <c r="AAE25" s="2827"/>
      <c r="AAF25" s="2867"/>
      <c r="AAG25" s="2866"/>
      <c r="AAH25" s="2827"/>
      <c r="AAI25" s="2867"/>
      <c r="AAJ25" s="2866"/>
      <c r="AAK25" s="2827"/>
      <c r="AAL25" s="2867"/>
      <c r="AAM25" s="2866"/>
      <c r="AAN25" s="2827"/>
      <c r="AAO25" s="2867"/>
      <c r="AAP25" s="2866"/>
      <c r="AAQ25" s="2827"/>
      <c r="AAR25" s="2867"/>
      <c r="AAS25" s="2866"/>
      <c r="AAT25" s="2827"/>
      <c r="AAU25" s="2867"/>
      <c r="AAV25" s="2866"/>
      <c r="AAW25" s="2827"/>
      <c r="AAX25" s="2867"/>
      <c r="AAY25" s="2866"/>
      <c r="AAZ25" s="2827"/>
      <c r="ABA25" s="2867"/>
      <c r="ABB25" s="2866"/>
      <c r="ABC25" s="2827"/>
      <c r="ABD25" s="2867"/>
      <c r="ABE25" s="2866"/>
      <c r="ABF25" s="2827"/>
      <c r="ABG25" s="2867"/>
      <c r="ABH25" s="2866"/>
      <c r="ABI25" s="2827"/>
      <c r="ABJ25" s="2867"/>
      <c r="ABK25" s="2866"/>
      <c r="ABL25" s="2827"/>
      <c r="ABM25" s="2867"/>
      <c r="ABN25" s="2866"/>
      <c r="ABO25" s="2827"/>
      <c r="ABP25" s="2867"/>
      <c r="ABQ25" s="2866"/>
      <c r="ABR25" s="2827"/>
      <c r="ABS25" s="2867"/>
      <c r="ABT25" s="2866"/>
      <c r="ABU25" s="2827"/>
      <c r="ABV25" s="2867"/>
      <c r="ABW25" s="2866"/>
      <c r="ABX25" s="2827"/>
      <c r="ABY25" s="2867"/>
      <c r="ABZ25" s="2866"/>
      <c r="ACA25" s="2827"/>
      <c r="ACB25" s="2867"/>
      <c r="ACC25" s="2866"/>
      <c r="ACD25" s="2827"/>
      <c r="ACE25" s="2867"/>
      <c r="ACF25" s="2866"/>
      <c r="ACG25" s="2827"/>
      <c r="ACH25" s="2867"/>
      <c r="ACI25" s="2866"/>
      <c r="ACJ25" s="2827"/>
      <c r="ACK25" s="2867"/>
      <c r="ACL25" s="2866"/>
      <c r="ACM25" s="2827"/>
      <c r="ACN25" s="2867"/>
      <c r="ACO25" s="2866"/>
      <c r="ACP25" s="2827"/>
      <c r="ACQ25" s="2867"/>
      <c r="ACR25" s="2866"/>
      <c r="ACS25" s="2827"/>
      <c r="ACT25" s="2867"/>
      <c r="ACU25" s="2866"/>
      <c r="ACV25" s="2827"/>
      <c r="ACW25" s="2867"/>
      <c r="ACX25" s="2866"/>
      <c r="ACY25" s="2827"/>
      <c r="ACZ25" s="2867"/>
      <c r="ADA25" s="2866"/>
      <c r="ADB25" s="2827"/>
      <c r="ADC25" s="2867"/>
      <c r="ADD25" s="2866"/>
      <c r="ADE25" s="2827"/>
      <c r="ADF25" s="2867"/>
      <c r="ADG25" s="2866"/>
      <c r="ADH25" s="2827"/>
      <c r="ADI25" s="2867"/>
      <c r="ADJ25" s="2866"/>
      <c r="ADK25" s="2827"/>
      <c r="ADL25" s="2867"/>
      <c r="ADM25" s="2866"/>
      <c r="ADN25" s="2827"/>
      <c r="ADO25" s="2867"/>
      <c r="ADP25" s="2866"/>
      <c r="ADQ25" s="2827"/>
      <c r="ADR25" s="2867"/>
      <c r="ADS25" s="2866"/>
      <c r="ADT25" s="2827"/>
      <c r="ADU25" s="2867"/>
      <c r="ADV25" s="2866"/>
      <c r="ADW25" s="2827"/>
      <c r="ADX25" s="2867"/>
      <c r="ADY25" s="2866"/>
      <c r="ADZ25" s="2827"/>
      <c r="AEA25" s="2867"/>
      <c r="AEB25" s="2866"/>
      <c r="AEC25" s="2827"/>
      <c r="AED25" s="2867"/>
      <c r="AEE25" s="2866"/>
      <c r="AEF25" s="2827"/>
      <c r="AEG25" s="2867"/>
      <c r="AEH25" s="2866"/>
      <c r="AEI25" s="2827"/>
      <c r="AEJ25" s="2867"/>
      <c r="AEK25" s="2866"/>
      <c r="AEL25" s="2827"/>
      <c r="AEM25" s="2867"/>
      <c r="AEN25" s="2866"/>
      <c r="AEO25" s="2827"/>
      <c r="AEP25" s="2867"/>
      <c r="AEQ25" s="2866"/>
      <c r="AER25" s="2827"/>
      <c r="AES25" s="2867"/>
      <c r="AET25" s="2866"/>
      <c r="AEU25" s="2827"/>
      <c r="AEV25" s="2867"/>
      <c r="AEW25" s="2866"/>
      <c r="AEX25" s="2827"/>
      <c r="AEY25" s="2867"/>
      <c r="AEZ25" s="2866"/>
      <c r="AFA25" s="2827"/>
      <c r="AFB25" s="2867"/>
      <c r="AFC25" s="2866"/>
      <c r="AFD25" s="2827"/>
      <c r="AFE25" s="2867"/>
      <c r="AFF25" s="2866"/>
      <c r="AFG25" s="2827"/>
      <c r="AFH25" s="2867"/>
      <c r="AFI25" s="2866"/>
      <c r="AFJ25" s="2827"/>
      <c r="AFK25" s="2867"/>
      <c r="AFL25" s="2866"/>
      <c r="AFM25" s="2827"/>
      <c r="AFN25" s="2867"/>
      <c r="AFO25" s="2866"/>
      <c r="AFP25" s="2827"/>
      <c r="AFQ25" s="2867"/>
      <c r="AFR25" s="2866"/>
      <c r="AFS25" s="2827"/>
      <c r="AFT25" s="2867"/>
      <c r="AFU25" s="2866"/>
      <c r="AFV25" s="2827"/>
      <c r="AFW25" s="2867"/>
      <c r="AFX25" s="2866"/>
      <c r="AFY25" s="2827"/>
      <c r="AFZ25" s="2867"/>
      <c r="AGA25" s="2866"/>
      <c r="AGB25" s="2827"/>
      <c r="AGC25" s="2867"/>
      <c r="AGD25" s="2866"/>
      <c r="AGE25" s="2827"/>
      <c r="AGF25" s="2867"/>
      <c r="AGG25" s="2866"/>
      <c r="AGH25" s="2827"/>
      <c r="AGI25" s="2867"/>
      <c r="AGJ25" s="2866"/>
      <c r="AGK25" s="2827"/>
      <c r="AGL25" s="2867"/>
      <c r="AGM25" s="2866"/>
      <c r="AGN25" s="2827"/>
      <c r="AGO25" s="2867"/>
      <c r="AGP25" s="2866"/>
      <c r="AGQ25" s="2827"/>
      <c r="AGR25" s="2867"/>
      <c r="AGS25" s="2866"/>
      <c r="AGT25" s="2827"/>
      <c r="AGU25" s="2867"/>
      <c r="AGV25" s="2866"/>
      <c r="AGW25" s="2827"/>
      <c r="AGX25" s="2867"/>
      <c r="AGY25" s="2866"/>
      <c r="AGZ25" s="2827"/>
      <c r="AHA25" s="2867"/>
      <c r="AHB25" s="2866"/>
      <c r="AHC25" s="2827"/>
      <c r="AHD25" s="2867"/>
      <c r="AHE25" s="2866"/>
      <c r="AHF25" s="2827"/>
      <c r="AHG25" s="2867"/>
      <c r="AHH25" s="2866"/>
      <c r="AHI25" s="2827"/>
      <c r="AHJ25" s="2867"/>
      <c r="AHK25" s="2866"/>
      <c r="AHL25" s="2827"/>
      <c r="AHM25" s="2867"/>
      <c r="AHN25" s="2866"/>
      <c r="AHO25" s="2827"/>
      <c r="AHP25" s="2867"/>
      <c r="AHQ25" s="2866"/>
      <c r="AHR25" s="2827"/>
      <c r="AHS25" s="2867"/>
      <c r="AHT25" s="2866"/>
      <c r="AHU25" s="2827"/>
      <c r="AHV25" s="2867"/>
      <c r="AHW25" s="2866"/>
      <c r="AHX25" s="2827"/>
      <c r="AHY25" s="2867"/>
      <c r="AHZ25" s="2866"/>
      <c r="AIA25" s="2827"/>
      <c r="AIB25" s="2867"/>
      <c r="AIC25" s="2866"/>
      <c r="AID25" s="2827"/>
      <c r="AIE25" s="2867"/>
      <c r="AIF25" s="2866"/>
      <c r="AIG25" s="2827"/>
      <c r="AIH25" s="2867"/>
      <c r="AII25" s="2866"/>
      <c r="AIJ25" s="2827"/>
      <c r="AIK25" s="2867"/>
      <c r="AIL25" s="2866"/>
      <c r="AIM25" s="2827"/>
      <c r="AIN25" s="2867"/>
      <c r="AIO25" s="2866"/>
      <c r="AIP25" s="2827"/>
      <c r="AIQ25" s="2867"/>
      <c r="AIR25" s="2866"/>
      <c r="AIS25" s="2827"/>
      <c r="AIT25" s="2867"/>
      <c r="AIU25" s="2866"/>
      <c r="AIV25" s="2827"/>
      <c r="AIW25" s="2867"/>
      <c r="AIX25" s="2866"/>
      <c r="AIY25" s="2827"/>
      <c r="AIZ25" s="2867"/>
      <c r="AJA25" s="2866"/>
      <c r="AJB25" s="2827"/>
      <c r="AJC25" s="2867"/>
      <c r="AJD25" s="2866"/>
      <c r="AJE25" s="2827"/>
      <c r="AJF25" s="2867"/>
      <c r="AJG25" s="2866"/>
      <c r="AJH25" s="2827"/>
      <c r="AJI25" s="2867"/>
      <c r="AJJ25" s="2866"/>
      <c r="AJK25" s="2827"/>
      <c r="AJL25" s="2867"/>
      <c r="AJM25" s="2866"/>
      <c r="AJN25" s="2827"/>
      <c r="AJO25" s="2867"/>
      <c r="AJP25" s="2866"/>
      <c r="AJQ25" s="2827"/>
      <c r="AJR25" s="2867"/>
      <c r="AJS25" s="2866"/>
      <c r="AJT25" s="2827"/>
      <c r="AJU25" s="2867"/>
      <c r="AJV25" s="2866"/>
      <c r="AJW25" s="2827"/>
      <c r="AJX25" s="2867"/>
      <c r="AJY25" s="2866"/>
      <c r="AJZ25" s="2827"/>
      <c r="AKA25" s="2867"/>
      <c r="AKB25" s="2866"/>
      <c r="AKC25" s="2827"/>
      <c r="AKD25" s="2867"/>
      <c r="AKE25" s="2866"/>
      <c r="AKF25" s="2827"/>
      <c r="AKG25" s="2867"/>
      <c r="AKH25" s="2866"/>
      <c r="AKI25" s="2827"/>
      <c r="AKJ25" s="2867"/>
      <c r="AKK25" s="2866"/>
      <c r="AKL25" s="2827"/>
      <c r="AKM25" s="2867"/>
      <c r="AKN25" s="2866"/>
      <c r="AKO25" s="2827"/>
      <c r="AKP25" s="2867"/>
      <c r="AKQ25" s="2866"/>
      <c r="AKR25" s="2827"/>
      <c r="AKS25" s="2867"/>
      <c r="AKT25" s="2866"/>
      <c r="AKU25" s="2827"/>
      <c r="AKV25" s="2867"/>
      <c r="AKW25" s="2866"/>
      <c r="AKX25" s="2827"/>
      <c r="AKY25" s="2867"/>
      <c r="AKZ25" s="2866"/>
      <c r="ALA25" s="2827"/>
      <c r="ALB25" s="2867"/>
      <c r="ALC25" s="2866"/>
      <c r="ALD25" s="2827"/>
      <c r="ALE25" s="2867"/>
      <c r="ALF25" s="2866"/>
      <c r="ALG25" s="2827"/>
      <c r="ALH25" s="2867"/>
      <c r="ALI25" s="2866"/>
      <c r="ALJ25" s="2827"/>
      <c r="ALK25" s="2867"/>
      <c r="ALL25" s="2866"/>
      <c r="ALM25" s="2827"/>
      <c r="ALN25" s="2867"/>
      <c r="ALO25" s="2866"/>
      <c r="ALP25" s="2827"/>
      <c r="ALQ25" s="2867"/>
      <c r="ALR25" s="2866"/>
      <c r="ALS25" s="2827"/>
      <c r="ALT25" s="2867"/>
      <c r="ALU25" s="2866"/>
      <c r="ALV25" s="2827"/>
      <c r="ALW25" s="2867"/>
      <c r="ALX25" s="2866"/>
      <c r="ALY25" s="2827"/>
      <c r="ALZ25" s="2867"/>
      <c r="AMA25" s="2866"/>
      <c r="AMB25" s="2827"/>
      <c r="AMC25" s="2867"/>
      <c r="AMD25" s="2866"/>
      <c r="AME25" s="2827"/>
      <c r="AMF25" s="2867"/>
      <c r="AMG25" s="2866"/>
      <c r="AMH25" s="2827"/>
      <c r="AMI25" s="2867"/>
      <c r="AMJ25" s="2866"/>
      <c r="AMK25" s="2827"/>
      <c r="AML25" s="2867"/>
      <c r="AMM25" s="2866"/>
      <c r="AMN25" s="2827"/>
      <c r="AMO25" s="2867"/>
      <c r="AMP25" s="2866"/>
      <c r="AMQ25" s="2827"/>
      <c r="AMR25" s="2867"/>
      <c r="AMS25" s="2866"/>
      <c r="AMT25" s="2827"/>
      <c r="AMU25" s="2867"/>
      <c r="AMV25" s="2866"/>
      <c r="AMW25" s="2827"/>
      <c r="AMX25" s="2867"/>
      <c r="AMY25" s="2866"/>
      <c r="AMZ25" s="2827"/>
      <c r="ANA25" s="2867"/>
      <c r="ANB25" s="2866"/>
      <c r="ANC25" s="2827"/>
      <c r="AND25" s="2867"/>
      <c r="ANE25" s="2866"/>
      <c r="ANF25" s="2827"/>
      <c r="ANG25" s="2867"/>
      <c r="ANH25" s="2866"/>
      <c r="ANI25" s="2827"/>
      <c r="ANJ25" s="2867"/>
      <c r="ANK25" s="2866"/>
      <c r="ANL25" s="2827"/>
      <c r="ANM25" s="2867"/>
      <c r="ANN25" s="2866"/>
      <c r="ANO25" s="2827"/>
      <c r="ANP25" s="2867"/>
      <c r="ANQ25" s="2866"/>
      <c r="ANR25" s="2827"/>
      <c r="ANS25" s="2867"/>
      <c r="ANT25" s="2866"/>
      <c r="ANU25" s="2827"/>
      <c r="ANV25" s="2867"/>
      <c r="ANW25" s="2866"/>
      <c r="ANX25" s="2827"/>
      <c r="ANY25" s="2867"/>
      <c r="ANZ25" s="2866"/>
      <c r="AOA25" s="2827"/>
      <c r="AOB25" s="2867"/>
      <c r="AOC25" s="2866"/>
      <c r="AOD25" s="2827"/>
      <c r="AOE25" s="2867"/>
      <c r="AOF25" s="2866"/>
      <c r="AOG25" s="2827"/>
      <c r="AOH25" s="2867"/>
      <c r="AOI25" s="2866"/>
      <c r="AOJ25" s="2827"/>
      <c r="AOK25" s="2867"/>
      <c r="AOL25" s="2866"/>
      <c r="AOM25" s="2827"/>
      <c r="AON25" s="2867"/>
      <c r="AOO25" s="2866"/>
      <c r="AOP25" s="2827"/>
      <c r="AOQ25" s="2867"/>
      <c r="AOR25" s="2866"/>
      <c r="AOS25" s="2827"/>
      <c r="AOT25" s="2867"/>
      <c r="AOU25" s="2866"/>
      <c r="AOV25" s="2827"/>
      <c r="AOW25" s="2867"/>
      <c r="AOX25" s="2866"/>
      <c r="AOY25" s="2827"/>
      <c r="AOZ25" s="2867"/>
      <c r="APA25" s="2866"/>
      <c r="APB25" s="2827"/>
      <c r="APC25" s="2867"/>
      <c r="APD25" s="2866"/>
      <c r="APE25" s="2827"/>
      <c r="APF25" s="2867"/>
      <c r="APG25" s="2866"/>
      <c r="APH25" s="2827"/>
      <c r="API25" s="2867"/>
      <c r="APJ25" s="2866"/>
      <c r="APK25" s="2827"/>
      <c r="APL25" s="2867"/>
      <c r="APM25" s="2866"/>
      <c r="APN25" s="2827"/>
      <c r="APO25" s="2867"/>
      <c r="APP25" s="2866"/>
      <c r="APQ25" s="2827"/>
      <c r="APR25" s="2867"/>
      <c r="APS25" s="2866"/>
      <c r="APT25" s="2827"/>
      <c r="APU25" s="2867"/>
      <c r="APV25" s="2866"/>
      <c r="APW25" s="2827"/>
      <c r="APX25" s="2867"/>
      <c r="APY25" s="2866"/>
      <c r="APZ25" s="2827"/>
      <c r="AQA25" s="2867"/>
      <c r="AQB25" s="2866"/>
      <c r="AQC25" s="2827"/>
      <c r="AQD25" s="2867"/>
      <c r="AQE25" s="2866"/>
      <c r="AQF25" s="2827"/>
      <c r="AQG25" s="2867"/>
      <c r="AQH25" s="2866"/>
      <c r="AQI25" s="2827"/>
      <c r="AQJ25" s="2867"/>
      <c r="AQK25" s="2866"/>
      <c r="AQL25" s="2827"/>
      <c r="AQM25" s="2867"/>
      <c r="AQN25" s="2866"/>
      <c r="AQO25" s="2827"/>
      <c r="AQP25" s="2867"/>
      <c r="AQQ25" s="2866"/>
      <c r="AQR25" s="2827"/>
      <c r="AQS25" s="2867"/>
      <c r="AQT25" s="2866"/>
      <c r="AQU25" s="2827"/>
      <c r="AQV25" s="2867"/>
      <c r="AQW25" s="2866"/>
      <c r="AQX25" s="2827"/>
      <c r="AQY25" s="2867"/>
      <c r="AQZ25" s="2866"/>
      <c r="ARA25" s="2827"/>
      <c r="ARB25" s="2867"/>
      <c r="ARC25" s="2866"/>
      <c r="ARD25" s="2827"/>
      <c r="ARE25" s="2867"/>
      <c r="ARF25" s="2866"/>
      <c r="ARG25" s="2827"/>
      <c r="ARH25" s="2867"/>
      <c r="ARI25" s="2866"/>
      <c r="ARJ25" s="2827"/>
      <c r="ARK25" s="2867"/>
      <c r="ARL25" s="2866"/>
      <c r="ARM25" s="2827"/>
      <c r="ARN25" s="2867"/>
      <c r="ARO25" s="2866"/>
      <c r="ARP25" s="2827"/>
      <c r="ARQ25" s="2867"/>
      <c r="ARR25" s="2866"/>
      <c r="ARS25" s="2827"/>
      <c r="ART25" s="2867"/>
      <c r="ARU25" s="2866"/>
      <c r="ARV25" s="2827"/>
      <c r="ARW25" s="2867"/>
      <c r="ARX25" s="2866"/>
      <c r="ARY25" s="2827"/>
      <c r="ARZ25" s="2867"/>
      <c r="ASA25" s="2866"/>
      <c r="ASB25" s="2827"/>
      <c r="ASC25" s="2867"/>
      <c r="ASD25" s="2866"/>
      <c r="ASE25" s="2827"/>
      <c r="ASF25" s="2867"/>
      <c r="ASG25" s="2866"/>
      <c r="ASH25" s="2827"/>
      <c r="ASI25" s="2867"/>
      <c r="ASJ25" s="2866"/>
      <c r="ASK25" s="2827"/>
      <c r="ASL25" s="2867"/>
      <c r="ASM25" s="2866"/>
      <c r="ASN25" s="2827"/>
      <c r="ASO25" s="2867"/>
      <c r="ASP25" s="2866"/>
      <c r="ASQ25" s="2827"/>
      <c r="ASR25" s="2867"/>
      <c r="ASS25" s="2866"/>
      <c r="AST25" s="2827"/>
      <c r="ASU25" s="2867"/>
      <c r="ASV25" s="2866"/>
      <c r="ASW25" s="2827"/>
      <c r="ASX25" s="2867"/>
      <c r="ASY25" s="2866"/>
      <c r="ASZ25" s="2827"/>
      <c r="ATA25" s="2867"/>
      <c r="ATB25" s="2866"/>
      <c r="ATC25" s="2827"/>
      <c r="ATD25" s="2867"/>
      <c r="ATE25" s="2866"/>
      <c r="ATF25" s="2827"/>
      <c r="ATG25" s="2867"/>
      <c r="ATH25" s="2866"/>
      <c r="ATI25" s="2827"/>
      <c r="ATJ25" s="2867"/>
      <c r="ATK25" s="2866"/>
      <c r="ATL25" s="2827"/>
      <c r="ATM25" s="2867"/>
      <c r="ATN25" s="2866"/>
      <c r="ATO25" s="2827"/>
      <c r="ATP25" s="2867"/>
      <c r="ATQ25" s="2866"/>
      <c r="ATR25" s="2827"/>
      <c r="ATS25" s="2867"/>
      <c r="ATT25" s="2866"/>
      <c r="ATU25" s="2827"/>
      <c r="ATV25" s="2867"/>
      <c r="ATW25" s="2866"/>
      <c r="ATX25" s="2827"/>
      <c r="ATY25" s="2867"/>
      <c r="ATZ25" s="2866"/>
      <c r="AUA25" s="2827"/>
      <c r="AUB25" s="2867"/>
      <c r="AUC25" s="2866"/>
      <c r="AUD25" s="2827"/>
      <c r="AUE25" s="2867"/>
      <c r="AUF25" s="2866"/>
      <c r="AUG25" s="2827"/>
      <c r="AUH25" s="2867"/>
      <c r="AUI25" s="2866"/>
      <c r="AUJ25" s="2827"/>
      <c r="AUK25" s="2867"/>
      <c r="AUL25" s="2866"/>
      <c r="AUM25" s="2827"/>
      <c r="AUN25" s="2867"/>
      <c r="AUO25" s="2866"/>
      <c r="AUP25" s="2827"/>
      <c r="AUQ25" s="2867"/>
      <c r="AUR25" s="2866"/>
      <c r="AUS25" s="2827"/>
      <c r="AUT25" s="2867"/>
      <c r="AUU25" s="2866"/>
      <c r="AUV25" s="2827"/>
      <c r="AUW25" s="2867"/>
      <c r="AUX25" s="2866"/>
      <c r="AUY25" s="2827"/>
      <c r="AUZ25" s="2867"/>
      <c r="AVA25" s="2866"/>
      <c r="AVB25" s="2827"/>
      <c r="AVC25" s="2867"/>
      <c r="AVD25" s="2866"/>
      <c r="AVE25" s="2827"/>
      <c r="AVF25" s="2867"/>
      <c r="AVG25" s="2866"/>
      <c r="AVH25" s="2827"/>
      <c r="AVI25" s="2867"/>
      <c r="AVJ25" s="2866"/>
      <c r="AVK25" s="2827"/>
      <c r="AVL25" s="2867"/>
      <c r="AVM25" s="2866"/>
      <c r="AVN25" s="2827"/>
      <c r="AVO25" s="2867"/>
      <c r="AVP25" s="2866"/>
      <c r="AVQ25" s="2827"/>
      <c r="AVR25" s="2867"/>
      <c r="AVS25" s="2866"/>
      <c r="AVT25" s="2827"/>
      <c r="AVU25" s="2867"/>
      <c r="AVV25" s="2866"/>
      <c r="AVW25" s="2827"/>
      <c r="AVX25" s="2867"/>
      <c r="AVY25" s="2866"/>
      <c r="AVZ25" s="2827"/>
      <c r="AWA25" s="2867"/>
      <c r="AWB25" s="2866"/>
      <c r="AWC25" s="2827"/>
      <c r="AWD25" s="2867"/>
      <c r="AWE25" s="2866"/>
      <c r="AWF25" s="2827"/>
      <c r="AWG25" s="2867"/>
      <c r="AWH25" s="2866"/>
      <c r="AWI25" s="2827"/>
      <c r="AWJ25" s="2867"/>
      <c r="AWK25" s="2866"/>
      <c r="AWL25" s="2827"/>
      <c r="AWM25" s="2867"/>
      <c r="AWN25" s="2866"/>
      <c r="AWO25" s="2827"/>
      <c r="AWP25" s="2867"/>
      <c r="AWQ25" s="2866"/>
      <c r="AWR25" s="2827"/>
      <c r="AWS25" s="2867"/>
      <c r="AWT25" s="2866"/>
      <c r="AWU25" s="2827"/>
      <c r="AWV25" s="2867"/>
      <c r="AWW25" s="2866"/>
      <c r="AWX25" s="2827"/>
      <c r="AWY25" s="2867"/>
      <c r="AWZ25" s="2866"/>
      <c r="AXA25" s="2827"/>
      <c r="AXB25" s="2867"/>
      <c r="AXC25" s="2866"/>
      <c r="AXD25" s="2827"/>
      <c r="AXE25" s="2867"/>
      <c r="AXF25" s="2866"/>
      <c r="AXG25" s="2827"/>
      <c r="AXH25" s="2867"/>
      <c r="AXI25" s="2866"/>
      <c r="AXJ25" s="2827"/>
      <c r="AXK25" s="2867"/>
      <c r="AXL25" s="2866"/>
      <c r="AXM25" s="2827"/>
      <c r="AXN25" s="2867"/>
      <c r="AXO25" s="2866"/>
      <c r="AXP25" s="2827"/>
      <c r="AXQ25" s="2867"/>
      <c r="AXR25" s="2866"/>
      <c r="AXS25" s="2827"/>
      <c r="AXT25" s="2867"/>
      <c r="AXU25" s="2866"/>
      <c r="AXV25" s="2827"/>
      <c r="AXW25" s="2867"/>
      <c r="AXX25" s="2866"/>
      <c r="AXY25" s="2827"/>
      <c r="AXZ25" s="2867"/>
      <c r="AYA25" s="2866"/>
      <c r="AYB25" s="2827"/>
      <c r="AYC25" s="2867"/>
      <c r="AYD25" s="2866"/>
      <c r="AYE25" s="2827"/>
      <c r="AYF25" s="2867"/>
      <c r="AYG25" s="2866"/>
      <c r="AYH25" s="2827"/>
      <c r="AYI25" s="2867"/>
      <c r="AYJ25" s="2866"/>
      <c r="AYK25" s="2827"/>
      <c r="AYL25" s="2867"/>
      <c r="AYM25" s="2866"/>
      <c r="AYN25" s="2827"/>
      <c r="AYO25" s="2867"/>
      <c r="AYP25" s="2866"/>
      <c r="AYQ25" s="2827"/>
      <c r="AYR25" s="2867"/>
      <c r="AYS25" s="2866"/>
      <c r="AYT25" s="2827"/>
      <c r="AYU25" s="2867"/>
      <c r="AYV25" s="2866"/>
      <c r="AYW25" s="2827"/>
      <c r="AYX25" s="2867"/>
      <c r="AYY25" s="2866"/>
      <c r="AYZ25" s="2827"/>
      <c r="AZA25" s="2867"/>
      <c r="AZB25" s="2866"/>
      <c r="AZC25" s="2827"/>
      <c r="AZD25" s="2867"/>
      <c r="AZE25" s="2866"/>
      <c r="AZF25" s="2827"/>
      <c r="AZG25" s="2867"/>
      <c r="AZH25" s="2866"/>
      <c r="AZI25" s="2827"/>
      <c r="AZJ25" s="2867"/>
      <c r="AZK25" s="2866"/>
      <c r="AZL25" s="2827"/>
      <c r="AZM25" s="2867"/>
      <c r="AZN25" s="2866"/>
      <c r="AZO25" s="2827"/>
      <c r="AZP25" s="2867"/>
      <c r="AZQ25" s="2866"/>
      <c r="AZR25" s="2827"/>
      <c r="AZS25" s="2867"/>
      <c r="AZT25" s="2866"/>
      <c r="AZU25" s="2827"/>
      <c r="AZV25" s="2867"/>
      <c r="AZW25" s="2866"/>
      <c r="AZX25" s="2827"/>
      <c r="AZY25" s="2867"/>
      <c r="AZZ25" s="2866"/>
      <c r="BAA25" s="2827"/>
      <c r="BAB25" s="2867"/>
      <c r="BAC25" s="2866"/>
      <c r="BAD25" s="2827"/>
      <c r="BAE25" s="2867"/>
      <c r="BAF25" s="2866"/>
      <c r="BAG25" s="2827"/>
      <c r="BAH25" s="2867"/>
      <c r="BAI25" s="2866"/>
      <c r="BAJ25" s="2827"/>
      <c r="BAK25" s="2867"/>
      <c r="BAL25" s="2866"/>
      <c r="BAM25" s="2827"/>
      <c r="BAN25" s="2867"/>
      <c r="BAO25" s="2866"/>
      <c r="BAP25" s="2827"/>
      <c r="BAQ25" s="2867"/>
      <c r="BAR25" s="2866"/>
      <c r="BAS25" s="2827"/>
      <c r="BAT25" s="2867"/>
      <c r="BAU25" s="2866"/>
      <c r="BAV25" s="2827"/>
      <c r="BAW25" s="2867"/>
      <c r="BAX25" s="2866"/>
      <c r="BAY25" s="2827"/>
      <c r="BAZ25" s="2867"/>
      <c r="BBA25" s="2866"/>
      <c r="BBB25" s="2827"/>
      <c r="BBC25" s="2867"/>
      <c r="BBD25" s="2866"/>
      <c r="BBE25" s="2827"/>
      <c r="BBF25" s="2867"/>
      <c r="BBG25" s="2866"/>
      <c r="BBH25" s="2827"/>
      <c r="BBI25" s="2867"/>
      <c r="BBJ25" s="2866"/>
      <c r="BBK25" s="2827"/>
      <c r="BBL25" s="2867"/>
      <c r="BBM25" s="2866"/>
      <c r="BBN25" s="2827"/>
      <c r="BBO25" s="2867"/>
      <c r="BBP25" s="2866"/>
      <c r="BBQ25" s="2827"/>
      <c r="BBR25" s="2867"/>
      <c r="BBS25" s="2866"/>
      <c r="BBT25" s="2827"/>
      <c r="BBU25" s="2867"/>
      <c r="BBV25" s="2866"/>
      <c r="BBW25" s="2827"/>
      <c r="BBX25" s="2867"/>
      <c r="BBY25" s="2866"/>
      <c r="BBZ25" s="2827"/>
      <c r="BCA25" s="2867"/>
      <c r="BCB25" s="2866"/>
      <c r="BCC25" s="2827"/>
      <c r="BCD25" s="2867"/>
      <c r="BCE25" s="2866"/>
      <c r="BCF25" s="2827"/>
      <c r="BCG25" s="2867"/>
      <c r="BCH25" s="2866"/>
      <c r="BCI25" s="2827"/>
      <c r="BCJ25" s="2867"/>
      <c r="BCK25" s="2866"/>
      <c r="BCL25" s="2827"/>
      <c r="BCM25" s="2867"/>
      <c r="BCN25" s="2866"/>
      <c r="BCO25" s="2827"/>
      <c r="BCP25" s="2867"/>
      <c r="BCQ25" s="2866"/>
      <c r="BCR25" s="2827"/>
      <c r="BCS25" s="2867"/>
      <c r="BCT25" s="2866"/>
      <c r="BCU25" s="2827"/>
      <c r="BCV25" s="2867"/>
      <c r="BCW25" s="2866"/>
      <c r="BCX25" s="2827"/>
      <c r="BCY25" s="2867"/>
      <c r="BCZ25" s="2866"/>
      <c r="BDA25" s="2827"/>
      <c r="BDB25" s="2867"/>
      <c r="BDC25" s="2866"/>
      <c r="BDD25" s="2827"/>
      <c r="BDE25" s="2867"/>
      <c r="BDF25" s="2866"/>
      <c r="BDG25" s="2827"/>
      <c r="BDH25" s="2867"/>
      <c r="BDI25" s="2866"/>
      <c r="BDJ25" s="2827"/>
      <c r="BDK25" s="2867"/>
      <c r="BDL25" s="2866"/>
      <c r="BDM25" s="2827"/>
      <c r="BDN25" s="2867"/>
      <c r="BDO25" s="2866"/>
      <c r="BDP25" s="2827"/>
      <c r="BDQ25" s="2867"/>
      <c r="BDR25" s="2866"/>
      <c r="BDS25" s="2827"/>
      <c r="BDT25" s="2867"/>
      <c r="BDU25" s="2866"/>
      <c r="BDV25" s="2827"/>
      <c r="BDW25" s="2867"/>
      <c r="BDX25" s="2866"/>
      <c r="BDY25" s="2827"/>
      <c r="BDZ25" s="2867"/>
      <c r="BEA25" s="2866"/>
      <c r="BEB25" s="2827"/>
      <c r="BEC25" s="2867"/>
      <c r="BED25" s="2866"/>
      <c r="BEE25" s="2827"/>
      <c r="BEF25" s="2867"/>
      <c r="BEG25" s="2866"/>
      <c r="BEH25" s="2827"/>
      <c r="BEI25" s="2867"/>
      <c r="BEJ25" s="2866"/>
      <c r="BEK25" s="2827"/>
      <c r="BEL25" s="2867"/>
      <c r="BEM25" s="2866"/>
      <c r="BEN25" s="2827"/>
      <c r="BEO25" s="2867"/>
      <c r="BEP25" s="2866"/>
      <c r="BEQ25" s="2827"/>
      <c r="BER25" s="2867"/>
      <c r="BES25" s="2866"/>
      <c r="BET25" s="2827"/>
      <c r="BEU25" s="2867"/>
      <c r="BEV25" s="2866"/>
      <c r="BEW25" s="2827"/>
      <c r="BEX25" s="2867"/>
      <c r="BEY25" s="2866"/>
      <c r="BEZ25" s="2827"/>
      <c r="BFA25" s="2867"/>
      <c r="BFB25" s="2866"/>
      <c r="BFC25" s="2827"/>
      <c r="BFD25" s="2867"/>
      <c r="BFE25" s="2866"/>
      <c r="BFF25" s="2827"/>
      <c r="BFG25" s="2867"/>
      <c r="BFH25" s="2866"/>
      <c r="BFI25" s="2827"/>
      <c r="BFJ25" s="2867"/>
      <c r="BFK25" s="2866"/>
      <c r="BFL25" s="2827"/>
      <c r="BFM25" s="2867"/>
      <c r="BFN25" s="2866"/>
      <c r="BFO25" s="2827"/>
      <c r="BFP25" s="2867"/>
      <c r="BFQ25" s="2866"/>
      <c r="BFR25" s="2827"/>
      <c r="BFS25" s="2867"/>
      <c r="BFT25" s="2866"/>
      <c r="BFU25" s="2827"/>
      <c r="BFV25" s="2867"/>
      <c r="BFW25" s="2866"/>
      <c r="BFX25" s="2827"/>
      <c r="BFY25" s="2867"/>
      <c r="BFZ25" s="2866"/>
      <c r="BGA25" s="2827"/>
      <c r="BGB25" s="2867"/>
      <c r="BGC25" s="2866"/>
      <c r="BGD25" s="2827"/>
      <c r="BGE25" s="2867"/>
      <c r="BGF25" s="2866"/>
      <c r="BGG25" s="2827"/>
      <c r="BGH25" s="2867"/>
      <c r="BGI25" s="2866"/>
      <c r="BGJ25" s="2827"/>
      <c r="BGK25" s="2867"/>
      <c r="BGL25" s="2866"/>
      <c r="BGM25" s="2827"/>
      <c r="BGN25" s="2867"/>
      <c r="BGO25" s="2866"/>
      <c r="BGP25" s="2827"/>
      <c r="BGQ25" s="2867"/>
      <c r="BGR25" s="2866"/>
      <c r="BGS25" s="2827"/>
      <c r="BGT25" s="2867"/>
      <c r="BGU25" s="2866"/>
      <c r="BGV25" s="2827"/>
      <c r="BGW25" s="2867"/>
      <c r="BGX25" s="2866"/>
      <c r="BGY25" s="2827"/>
      <c r="BGZ25" s="2867"/>
      <c r="BHA25" s="2866"/>
      <c r="BHB25" s="2827"/>
      <c r="BHC25" s="2867"/>
      <c r="BHD25" s="2866"/>
      <c r="BHE25" s="2827"/>
      <c r="BHF25" s="2867"/>
      <c r="BHG25" s="2866"/>
      <c r="BHH25" s="2827"/>
      <c r="BHI25" s="2867"/>
      <c r="BHJ25" s="2866"/>
      <c r="BHK25" s="2827"/>
      <c r="BHL25" s="2867"/>
      <c r="BHM25" s="2866"/>
      <c r="BHN25" s="2827"/>
      <c r="BHO25" s="2867"/>
      <c r="BHP25" s="2866"/>
      <c r="BHQ25" s="2827"/>
      <c r="BHR25" s="2867"/>
      <c r="BHS25" s="2866"/>
      <c r="BHT25" s="2827"/>
      <c r="BHU25" s="2867"/>
      <c r="BHV25" s="2866"/>
      <c r="BHW25" s="2827"/>
      <c r="BHX25" s="2867"/>
      <c r="BHY25" s="2866"/>
      <c r="BHZ25" s="2827"/>
      <c r="BIA25" s="2867"/>
      <c r="BIB25" s="2866"/>
      <c r="BIC25" s="2827"/>
      <c r="BID25" s="2867"/>
      <c r="BIE25" s="2866"/>
      <c r="BIF25" s="2827"/>
      <c r="BIG25" s="2867"/>
      <c r="BIH25" s="2866"/>
      <c r="BII25" s="2827"/>
      <c r="BIJ25" s="2867"/>
      <c r="BIK25" s="2866"/>
      <c r="BIL25" s="2827"/>
      <c r="BIM25" s="2867"/>
      <c r="BIN25" s="2866"/>
      <c r="BIO25" s="2827"/>
      <c r="BIP25" s="2867"/>
      <c r="BIQ25" s="2866"/>
      <c r="BIR25" s="2827"/>
      <c r="BIS25" s="2867"/>
      <c r="BIT25" s="2866"/>
      <c r="BIU25" s="2827"/>
      <c r="BIV25" s="2867"/>
      <c r="BIW25" s="2866"/>
      <c r="BIX25" s="2827"/>
      <c r="BIY25" s="2867"/>
      <c r="BIZ25" s="2866"/>
      <c r="BJA25" s="2827"/>
      <c r="BJB25" s="2867"/>
      <c r="BJC25" s="2866"/>
      <c r="BJD25" s="2827"/>
      <c r="BJE25" s="2867"/>
      <c r="BJF25" s="2866"/>
      <c r="BJG25" s="2827"/>
      <c r="BJH25" s="2867"/>
      <c r="BJI25" s="2866"/>
      <c r="BJJ25" s="2827"/>
      <c r="BJK25" s="2867"/>
      <c r="BJL25" s="2866"/>
      <c r="BJM25" s="2827"/>
      <c r="BJN25" s="2867"/>
      <c r="BJO25" s="2866"/>
      <c r="BJP25" s="2827"/>
      <c r="BJQ25" s="2867"/>
      <c r="BJR25" s="2866"/>
      <c r="BJS25" s="2827"/>
      <c r="BJT25" s="2867"/>
      <c r="BJU25" s="2866"/>
      <c r="BJV25" s="2827"/>
      <c r="BJW25" s="2867"/>
      <c r="BJX25" s="2866"/>
      <c r="BJY25" s="2827"/>
      <c r="BJZ25" s="2867"/>
      <c r="BKA25" s="2866"/>
      <c r="BKB25" s="2827"/>
      <c r="BKC25" s="2867"/>
      <c r="BKD25" s="2866"/>
      <c r="BKE25" s="2827"/>
      <c r="BKF25" s="2867"/>
      <c r="BKG25" s="2866"/>
      <c r="BKH25" s="2827"/>
      <c r="BKI25" s="2867"/>
      <c r="BKJ25" s="2866"/>
      <c r="BKK25" s="2827"/>
      <c r="BKL25" s="2867"/>
      <c r="BKM25" s="2866"/>
      <c r="BKN25" s="2827"/>
      <c r="BKO25" s="2867"/>
      <c r="BKP25" s="2866"/>
      <c r="BKQ25" s="2827"/>
      <c r="BKR25" s="2867"/>
      <c r="BKS25" s="2866"/>
      <c r="BKT25" s="2827"/>
      <c r="BKU25" s="2867"/>
      <c r="BKV25" s="2866"/>
      <c r="BKW25" s="2827"/>
      <c r="BKX25" s="2867"/>
      <c r="BKY25" s="2866"/>
      <c r="BKZ25" s="2827"/>
      <c r="BLA25" s="2867"/>
      <c r="BLB25" s="2866"/>
      <c r="BLC25" s="2827"/>
      <c r="BLD25" s="2867"/>
      <c r="BLE25" s="2866"/>
      <c r="BLF25" s="2827"/>
      <c r="BLG25" s="2867"/>
      <c r="BLH25" s="2866"/>
      <c r="BLI25" s="2827"/>
      <c r="BLJ25" s="2867"/>
      <c r="BLK25" s="2866"/>
      <c r="BLL25" s="2827"/>
      <c r="BLM25" s="2867"/>
      <c r="BLN25" s="2866"/>
      <c r="BLO25" s="2827"/>
      <c r="BLP25" s="2867"/>
      <c r="BLQ25" s="2866"/>
      <c r="BLR25" s="2827"/>
      <c r="BLS25" s="2867"/>
      <c r="BLT25" s="2866"/>
      <c r="BLU25" s="2827"/>
      <c r="BLV25" s="2867"/>
      <c r="BLW25" s="2866"/>
      <c r="BLX25" s="2827"/>
      <c r="BLY25" s="2867"/>
      <c r="BLZ25" s="2866"/>
      <c r="BMA25" s="2827"/>
      <c r="BMB25" s="2867"/>
      <c r="BMC25" s="2866"/>
      <c r="BMD25" s="2827"/>
      <c r="BME25" s="2867"/>
      <c r="BMF25" s="2866"/>
      <c r="BMG25" s="2827"/>
      <c r="BMH25" s="2867"/>
      <c r="BMI25" s="2866"/>
      <c r="BMJ25" s="2827"/>
      <c r="BMK25" s="2867"/>
      <c r="BML25" s="2866"/>
      <c r="BMM25" s="2827"/>
      <c r="BMN25" s="2867"/>
      <c r="BMO25" s="2866"/>
      <c r="BMP25" s="2827"/>
      <c r="BMQ25" s="2867"/>
      <c r="BMR25" s="2866"/>
      <c r="BMS25" s="2827"/>
      <c r="BMT25" s="2867"/>
      <c r="BMU25" s="2866"/>
      <c r="BMV25" s="2827"/>
      <c r="BMW25" s="2867"/>
      <c r="BMX25" s="2866"/>
      <c r="BMY25" s="2827"/>
      <c r="BMZ25" s="2867"/>
      <c r="BNA25" s="2866"/>
      <c r="BNB25" s="2827"/>
      <c r="BNC25" s="2867"/>
      <c r="BND25" s="2866"/>
      <c r="BNE25" s="2827"/>
      <c r="BNF25" s="2867"/>
      <c r="BNG25" s="2866"/>
      <c r="BNH25" s="2827"/>
      <c r="BNI25" s="2867"/>
      <c r="BNJ25" s="2866"/>
      <c r="BNK25" s="2827"/>
      <c r="BNL25" s="2867"/>
      <c r="BNM25" s="2866"/>
      <c r="BNN25" s="2827"/>
      <c r="BNO25" s="2867"/>
      <c r="BNP25" s="2866"/>
      <c r="BNQ25" s="2827"/>
      <c r="BNR25" s="2867"/>
      <c r="BNS25" s="2866"/>
      <c r="BNT25" s="2827"/>
      <c r="BNU25" s="2867"/>
      <c r="BNV25" s="2866"/>
      <c r="BNW25" s="2827"/>
      <c r="BNX25" s="2867"/>
      <c r="BNY25" s="2866"/>
      <c r="BNZ25" s="2827"/>
      <c r="BOA25" s="2867"/>
      <c r="BOB25" s="2866"/>
      <c r="BOC25" s="2827"/>
      <c r="BOD25" s="2867"/>
      <c r="BOE25" s="2866"/>
      <c r="BOF25" s="2827"/>
      <c r="BOG25" s="2867"/>
      <c r="BOH25" s="2866"/>
      <c r="BOI25" s="2827"/>
      <c r="BOJ25" s="2867"/>
      <c r="BOK25" s="2866"/>
      <c r="BOL25" s="2827"/>
      <c r="BOM25" s="2867"/>
      <c r="BON25" s="2866"/>
      <c r="BOO25" s="2827"/>
      <c r="BOP25" s="2867"/>
      <c r="BOQ25" s="2866"/>
      <c r="BOR25" s="2827"/>
      <c r="BOS25" s="2867"/>
      <c r="BOT25" s="2866"/>
      <c r="BOU25" s="2827"/>
      <c r="BOV25" s="2867"/>
      <c r="BOW25" s="2866"/>
      <c r="BOX25" s="2827"/>
      <c r="BOY25" s="2867"/>
      <c r="BOZ25" s="2866"/>
      <c r="BPA25" s="2827"/>
      <c r="BPB25" s="2867"/>
      <c r="BPC25" s="2866"/>
      <c r="BPD25" s="2827"/>
      <c r="BPE25" s="2867"/>
      <c r="BPF25" s="2866"/>
      <c r="BPG25" s="2827"/>
      <c r="BPH25" s="2867"/>
      <c r="BPI25" s="2866"/>
      <c r="BPJ25" s="2827"/>
      <c r="BPK25" s="2867"/>
      <c r="BPL25" s="2866"/>
      <c r="BPM25" s="2827"/>
      <c r="BPN25" s="2867"/>
      <c r="BPO25" s="2866"/>
      <c r="BPP25" s="2827"/>
      <c r="BPQ25" s="2867"/>
      <c r="BPR25" s="2866"/>
      <c r="BPS25" s="2827"/>
      <c r="BPT25" s="2867"/>
      <c r="BPU25" s="2866"/>
      <c r="BPV25" s="2827"/>
      <c r="BPW25" s="2867"/>
      <c r="BPX25" s="2866"/>
      <c r="BPY25" s="2827"/>
      <c r="BPZ25" s="2867"/>
      <c r="BQA25" s="2866"/>
      <c r="BQB25" s="2827"/>
      <c r="BQC25" s="2867"/>
      <c r="BQD25" s="2866"/>
      <c r="BQE25" s="2827"/>
      <c r="BQF25" s="2867"/>
      <c r="BQG25" s="2866"/>
      <c r="BQH25" s="2827"/>
      <c r="BQI25" s="2867"/>
      <c r="BQJ25" s="2866"/>
      <c r="BQK25" s="2827"/>
      <c r="BQL25" s="2867"/>
      <c r="BQM25" s="2866"/>
      <c r="BQN25" s="2827"/>
      <c r="BQO25" s="2867"/>
      <c r="BQP25" s="2866"/>
      <c r="BQQ25" s="2827"/>
      <c r="BQR25" s="2867"/>
      <c r="BQS25" s="2866"/>
      <c r="BQT25" s="2827"/>
      <c r="BQU25" s="2867"/>
      <c r="BQV25" s="2866"/>
      <c r="BQW25" s="2827"/>
      <c r="BQX25" s="2867"/>
      <c r="BQY25" s="2866"/>
      <c r="BQZ25" s="2827"/>
      <c r="BRA25" s="2867"/>
      <c r="BRB25" s="2866"/>
      <c r="BRC25" s="2827"/>
      <c r="BRD25" s="2867"/>
      <c r="BRE25" s="2866"/>
      <c r="BRF25" s="2827"/>
      <c r="BRG25" s="2867"/>
      <c r="BRH25" s="2866"/>
      <c r="BRI25" s="2827"/>
      <c r="BRJ25" s="2867"/>
      <c r="BRK25" s="2866"/>
      <c r="BRL25" s="2827"/>
      <c r="BRM25" s="2867"/>
      <c r="BRN25" s="2866"/>
      <c r="BRO25" s="2827"/>
      <c r="BRP25" s="2867"/>
      <c r="BRQ25" s="2866"/>
      <c r="BRR25" s="2827"/>
      <c r="BRS25" s="2867"/>
      <c r="BRT25" s="2866"/>
      <c r="BRU25" s="2827"/>
      <c r="BRV25" s="2867"/>
      <c r="BRW25" s="2866"/>
      <c r="BRX25" s="2827"/>
      <c r="BRY25" s="2867"/>
      <c r="BRZ25" s="2866"/>
      <c r="BSA25" s="2827"/>
      <c r="BSB25" s="2867"/>
      <c r="BSC25" s="2866"/>
      <c r="BSD25" s="2827"/>
      <c r="BSE25" s="2867"/>
      <c r="BSF25" s="2866"/>
      <c r="BSG25" s="2827"/>
      <c r="BSH25" s="2867"/>
      <c r="BSI25" s="2866"/>
      <c r="BSJ25" s="2827"/>
      <c r="BSK25" s="2867"/>
      <c r="BSL25" s="2866"/>
      <c r="BSM25" s="2827"/>
      <c r="BSN25" s="2867"/>
      <c r="BSO25" s="2866"/>
      <c r="BSP25" s="2827"/>
      <c r="BSQ25" s="2867"/>
      <c r="BSR25" s="2866"/>
      <c r="BSS25" s="2827"/>
      <c r="BST25" s="2867"/>
      <c r="BSU25" s="2866"/>
      <c r="BSV25" s="2827"/>
      <c r="BSW25" s="2867"/>
      <c r="BSX25" s="2866"/>
      <c r="BSY25" s="2827"/>
      <c r="BSZ25" s="2867"/>
      <c r="BTA25" s="2866"/>
      <c r="BTB25" s="2827"/>
      <c r="BTC25" s="2867"/>
      <c r="BTD25" s="2866"/>
      <c r="BTE25" s="2827"/>
      <c r="BTF25" s="2867"/>
      <c r="BTG25" s="2866"/>
      <c r="BTH25" s="2827"/>
      <c r="BTI25" s="2867"/>
      <c r="BTJ25" s="2866"/>
      <c r="BTK25" s="2827"/>
      <c r="BTL25" s="2867"/>
      <c r="BTM25" s="2866"/>
      <c r="BTN25" s="2827"/>
      <c r="BTO25" s="2867"/>
      <c r="BTP25" s="2866"/>
      <c r="BTQ25" s="2827"/>
      <c r="BTR25" s="2867"/>
      <c r="BTS25" s="2866"/>
      <c r="BTT25" s="2827"/>
      <c r="BTU25" s="2867"/>
      <c r="BTV25" s="2866"/>
      <c r="BTW25" s="2827"/>
      <c r="BTX25" s="2867"/>
      <c r="BTY25" s="2866"/>
      <c r="BTZ25" s="2827"/>
      <c r="BUA25" s="2867"/>
      <c r="BUB25" s="2866"/>
      <c r="BUC25" s="2827"/>
      <c r="BUD25" s="2867"/>
      <c r="BUE25" s="2866"/>
      <c r="BUF25" s="2827"/>
      <c r="BUG25" s="2867"/>
      <c r="BUH25" s="2866"/>
      <c r="BUI25" s="2827"/>
      <c r="BUJ25" s="2867"/>
      <c r="BUK25" s="2866"/>
      <c r="BUL25" s="2827"/>
      <c r="BUM25" s="2867"/>
      <c r="BUN25" s="2866"/>
      <c r="BUO25" s="2827"/>
      <c r="BUP25" s="2867"/>
      <c r="BUQ25" s="2866"/>
      <c r="BUR25" s="2827"/>
      <c r="BUS25" s="2867"/>
      <c r="BUT25" s="2866"/>
      <c r="BUU25" s="2827"/>
      <c r="BUV25" s="2867"/>
      <c r="BUW25" s="2866"/>
      <c r="BUX25" s="2827"/>
      <c r="BUY25" s="2867"/>
      <c r="BUZ25" s="2866"/>
      <c r="BVA25" s="2827"/>
      <c r="BVB25" s="2867"/>
      <c r="BVC25" s="2866"/>
      <c r="BVD25" s="2827"/>
      <c r="BVE25" s="2867"/>
      <c r="BVF25" s="2866"/>
      <c r="BVG25" s="2827"/>
      <c r="BVH25" s="2867"/>
      <c r="BVI25" s="2866"/>
      <c r="BVJ25" s="2827"/>
      <c r="BVK25" s="2867"/>
      <c r="BVL25" s="2866"/>
      <c r="BVM25" s="2827"/>
      <c r="BVN25" s="2867"/>
      <c r="BVO25" s="2866"/>
      <c r="BVP25" s="2827"/>
      <c r="BVQ25" s="2867"/>
      <c r="BVR25" s="2866"/>
      <c r="BVS25" s="2827"/>
      <c r="BVT25" s="2867"/>
      <c r="BVU25" s="2866"/>
      <c r="BVV25" s="2827"/>
      <c r="BVW25" s="2867"/>
      <c r="BVX25" s="2866"/>
      <c r="BVY25" s="2827"/>
      <c r="BVZ25" s="2867"/>
      <c r="BWA25" s="2866"/>
      <c r="BWB25" s="2827"/>
      <c r="BWC25" s="2867"/>
      <c r="BWD25" s="2866"/>
      <c r="BWE25" s="2827"/>
      <c r="BWF25" s="2867"/>
      <c r="BWG25" s="2866"/>
      <c r="BWH25" s="2827"/>
      <c r="BWI25" s="2867"/>
      <c r="BWJ25" s="2866"/>
      <c r="BWK25" s="2827"/>
      <c r="BWL25" s="2867"/>
      <c r="BWM25" s="2866"/>
      <c r="BWN25" s="2827"/>
      <c r="BWO25" s="2867"/>
      <c r="BWP25" s="2866"/>
      <c r="BWQ25" s="2827"/>
      <c r="BWR25" s="2867"/>
      <c r="BWS25" s="2866"/>
      <c r="BWT25" s="2827"/>
      <c r="BWU25" s="2867"/>
      <c r="BWV25" s="2866"/>
      <c r="BWW25" s="2827"/>
      <c r="BWX25" s="2867"/>
      <c r="BWY25" s="2866"/>
      <c r="BWZ25" s="2827"/>
      <c r="BXA25" s="2867"/>
      <c r="BXB25" s="2866"/>
      <c r="BXC25" s="2827"/>
      <c r="BXD25" s="2867"/>
      <c r="BXE25" s="2866"/>
      <c r="BXF25" s="2827"/>
      <c r="BXG25" s="2867"/>
      <c r="BXH25" s="2866"/>
      <c r="BXI25" s="2827"/>
      <c r="BXJ25" s="2867"/>
      <c r="BXK25" s="2866"/>
      <c r="BXL25" s="2827"/>
      <c r="BXM25" s="2867"/>
      <c r="BXN25" s="2866"/>
      <c r="BXO25" s="2827"/>
      <c r="BXP25" s="2867"/>
      <c r="BXQ25" s="2866"/>
      <c r="BXR25" s="2827"/>
      <c r="BXS25" s="2867"/>
      <c r="BXT25" s="2866"/>
      <c r="BXU25" s="2827"/>
      <c r="BXV25" s="2867"/>
      <c r="BXW25" s="2866"/>
      <c r="BXX25" s="2827"/>
      <c r="BXY25" s="2867"/>
      <c r="BXZ25" s="2866"/>
      <c r="BYA25" s="2827"/>
      <c r="BYB25" s="2867"/>
      <c r="BYC25" s="2866"/>
      <c r="BYD25" s="2827"/>
      <c r="BYE25" s="2867"/>
      <c r="BYF25" s="2866"/>
      <c r="BYG25" s="2827"/>
      <c r="BYH25" s="2867"/>
      <c r="BYI25" s="2866"/>
      <c r="BYJ25" s="2827"/>
      <c r="BYK25" s="2867"/>
      <c r="BYL25" s="2866"/>
      <c r="BYM25" s="2827"/>
      <c r="BYN25" s="2867"/>
      <c r="BYO25" s="2866"/>
      <c r="BYP25" s="2827"/>
      <c r="BYQ25" s="2867"/>
      <c r="BYR25" s="2866"/>
      <c r="BYS25" s="2827"/>
      <c r="BYT25" s="2867"/>
      <c r="BYU25" s="2866"/>
      <c r="BYV25" s="2827"/>
      <c r="BYW25" s="2867"/>
      <c r="BYX25" s="2866"/>
      <c r="BYY25" s="2827"/>
      <c r="BYZ25" s="2867"/>
      <c r="BZA25" s="2866"/>
      <c r="BZB25" s="2827"/>
      <c r="BZC25" s="2867"/>
      <c r="BZD25" s="2866"/>
      <c r="BZE25" s="2827"/>
      <c r="BZF25" s="2867"/>
      <c r="BZG25" s="2866"/>
      <c r="BZH25" s="2827"/>
      <c r="BZI25" s="2867"/>
      <c r="BZJ25" s="2866"/>
      <c r="BZK25" s="2827"/>
      <c r="BZL25" s="2867"/>
      <c r="BZM25" s="2866"/>
      <c r="BZN25" s="2827"/>
      <c r="BZO25" s="2867"/>
      <c r="BZP25" s="2866"/>
      <c r="BZQ25" s="2827"/>
      <c r="BZR25" s="2867"/>
      <c r="BZS25" s="2866"/>
      <c r="BZT25" s="2827"/>
      <c r="BZU25" s="2867"/>
      <c r="BZV25" s="2866"/>
      <c r="BZW25" s="2827"/>
      <c r="BZX25" s="2867"/>
      <c r="BZY25" s="2866"/>
      <c r="BZZ25" s="2827"/>
      <c r="CAA25" s="2867"/>
      <c r="CAB25" s="2866"/>
      <c r="CAC25" s="2827"/>
      <c r="CAD25" s="2867"/>
      <c r="CAE25" s="2866"/>
      <c r="CAF25" s="2827"/>
      <c r="CAG25" s="2867"/>
      <c r="CAH25" s="2866"/>
      <c r="CAI25" s="2827"/>
      <c r="CAJ25" s="2867"/>
      <c r="CAK25" s="2866"/>
      <c r="CAL25" s="2827"/>
      <c r="CAM25" s="2867"/>
      <c r="CAN25" s="2866"/>
      <c r="CAO25" s="2827"/>
      <c r="CAP25" s="2867"/>
      <c r="CAQ25" s="2866"/>
      <c r="CAR25" s="2827"/>
      <c r="CAS25" s="2867"/>
      <c r="CAT25" s="2866"/>
      <c r="CAU25" s="2827"/>
      <c r="CAV25" s="2867"/>
      <c r="CAW25" s="2866"/>
      <c r="CAX25" s="2827"/>
      <c r="CAY25" s="2867"/>
      <c r="CAZ25" s="2866"/>
      <c r="CBA25" s="2827"/>
      <c r="CBB25" s="2867"/>
      <c r="CBC25" s="2866"/>
      <c r="CBD25" s="2827"/>
      <c r="CBE25" s="2867"/>
      <c r="CBF25" s="2866"/>
      <c r="CBG25" s="2827"/>
      <c r="CBH25" s="2867"/>
      <c r="CBI25" s="2866"/>
      <c r="CBJ25" s="2827"/>
      <c r="CBK25" s="2867"/>
      <c r="CBL25" s="2866"/>
      <c r="CBM25" s="2827"/>
      <c r="CBN25" s="2867"/>
      <c r="CBO25" s="2866"/>
      <c r="CBP25" s="2827"/>
      <c r="CBQ25" s="2867"/>
      <c r="CBR25" s="2866"/>
      <c r="CBS25" s="2827"/>
      <c r="CBT25" s="2867"/>
      <c r="CBU25" s="2866"/>
      <c r="CBV25" s="2827"/>
      <c r="CBW25" s="2867"/>
      <c r="CBX25" s="2866"/>
      <c r="CBY25" s="2827"/>
      <c r="CBZ25" s="2867"/>
      <c r="CCA25" s="2866"/>
      <c r="CCB25" s="2827"/>
      <c r="CCC25" s="2867"/>
      <c r="CCD25" s="2866"/>
      <c r="CCE25" s="2827"/>
      <c r="CCF25" s="2867"/>
      <c r="CCG25" s="2866"/>
      <c r="CCH25" s="2827"/>
      <c r="CCI25" s="2867"/>
      <c r="CCJ25" s="2866"/>
      <c r="CCK25" s="2827"/>
      <c r="CCL25" s="2867"/>
      <c r="CCM25" s="2866"/>
      <c r="CCN25" s="2827"/>
      <c r="CCO25" s="2867"/>
      <c r="CCP25" s="2866"/>
      <c r="CCQ25" s="2827"/>
      <c r="CCR25" s="2867"/>
      <c r="CCS25" s="2866"/>
      <c r="CCT25" s="2827"/>
      <c r="CCU25" s="2867"/>
      <c r="CCV25" s="2866"/>
      <c r="CCW25" s="2827"/>
      <c r="CCX25" s="2867"/>
      <c r="CCY25" s="2866"/>
      <c r="CCZ25" s="2827"/>
      <c r="CDA25" s="2867"/>
      <c r="CDB25" s="2866"/>
      <c r="CDC25" s="2827"/>
      <c r="CDD25" s="2867"/>
      <c r="CDE25" s="2866"/>
      <c r="CDF25" s="2827"/>
      <c r="CDG25" s="2867"/>
      <c r="CDH25" s="2866"/>
      <c r="CDI25" s="2827"/>
      <c r="CDJ25" s="2867"/>
      <c r="CDK25" s="2866"/>
      <c r="CDL25" s="2827"/>
      <c r="CDM25" s="2867"/>
      <c r="CDN25" s="2866"/>
      <c r="CDO25" s="2827"/>
      <c r="CDP25" s="2867"/>
      <c r="CDQ25" s="2866"/>
      <c r="CDR25" s="2827"/>
      <c r="CDS25" s="2867"/>
      <c r="CDT25" s="2866"/>
      <c r="CDU25" s="2827"/>
      <c r="CDV25" s="2867"/>
      <c r="CDW25" s="2866"/>
      <c r="CDX25" s="2827"/>
      <c r="CDY25" s="2867"/>
      <c r="CDZ25" s="2866"/>
      <c r="CEA25" s="2827"/>
      <c r="CEB25" s="2867"/>
      <c r="CEC25" s="2866"/>
      <c r="CED25" s="2827"/>
      <c r="CEE25" s="2867"/>
      <c r="CEF25" s="2866"/>
      <c r="CEG25" s="2827"/>
      <c r="CEH25" s="2867"/>
      <c r="CEI25" s="2866"/>
      <c r="CEJ25" s="2827"/>
      <c r="CEK25" s="2867"/>
      <c r="CEL25" s="2866"/>
      <c r="CEM25" s="2827"/>
      <c r="CEN25" s="2867"/>
      <c r="CEO25" s="2866"/>
      <c r="CEP25" s="2827"/>
      <c r="CEQ25" s="2867"/>
      <c r="CER25" s="2866"/>
      <c r="CES25" s="2827"/>
      <c r="CET25" s="2867"/>
      <c r="CEU25" s="2866"/>
      <c r="CEV25" s="2827"/>
      <c r="CEW25" s="2867"/>
      <c r="CEX25" s="2866"/>
      <c r="CEY25" s="2827"/>
      <c r="CEZ25" s="2867"/>
      <c r="CFA25" s="2866"/>
      <c r="CFB25" s="2827"/>
      <c r="CFC25" s="2867"/>
      <c r="CFD25" s="2866"/>
      <c r="CFE25" s="2827"/>
      <c r="CFF25" s="2867"/>
      <c r="CFG25" s="2866"/>
      <c r="CFH25" s="2827"/>
      <c r="CFI25" s="2867"/>
      <c r="CFJ25" s="2866"/>
      <c r="CFK25" s="2827"/>
      <c r="CFL25" s="2867"/>
      <c r="CFM25" s="2866"/>
      <c r="CFN25" s="2827"/>
      <c r="CFO25" s="2867"/>
      <c r="CFP25" s="2866"/>
      <c r="CFQ25" s="2827"/>
      <c r="CFR25" s="2867"/>
      <c r="CFS25" s="2866"/>
      <c r="CFT25" s="2827"/>
      <c r="CFU25" s="2867"/>
      <c r="CFV25" s="2866"/>
      <c r="CFW25" s="2827"/>
      <c r="CFX25" s="2867"/>
      <c r="CFY25" s="2866"/>
      <c r="CFZ25" s="2827"/>
      <c r="CGA25" s="2867"/>
      <c r="CGB25" s="2866"/>
      <c r="CGC25" s="2827"/>
      <c r="CGD25" s="2867"/>
      <c r="CGE25" s="2866"/>
      <c r="CGF25" s="2827"/>
      <c r="CGG25" s="2867"/>
      <c r="CGH25" s="2866"/>
      <c r="CGI25" s="2827"/>
      <c r="CGJ25" s="2867"/>
      <c r="CGK25" s="2866"/>
      <c r="CGL25" s="2827"/>
      <c r="CGM25" s="2867"/>
      <c r="CGN25" s="2866"/>
      <c r="CGO25" s="2827"/>
      <c r="CGP25" s="2867"/>
      <c r="CGQ25" s="2866"/>
      <c r="CGR25" s="2827"/>
      <c r="CGS25" s="2867"/>
      <c r="CGT25" s="2866"/>
      <c r="CGU25" s="2827"/>
      <c r="CGV25" s="2867"/>
      <c r="CGW25" s="2866"/>
      <c r="CGX25" s="2827"/>
      <c r="CGY25" s="2867"/>
      <c r="CGZ25" s="2866"/>
      <c r="CHA25" s="2827"/>
      <c r="CHB25" s="2867"/>
      <c r="CHC25" s="2866"/>
      <c r="CHD25" s="2827"/>
      <c r="CHE25" s="2867"/>
      <c r="CHF25" s="2866"/>
      <c r="CHG25" s="2827"/>
      <c r="CHH25" s="2867"/>
      <c r="CHI25" s="2866"/>
      <c r="CHJ25" s="2827"/>
      <c r="CHK25" s="2867"/>
      <c r="CHL25" s="2866"/>
      <c r="CHM25" s="2827"/>
      <c r="CHN25" s="2867"/>
      <c r="CHO25" s="2866"/>
      <c r="CHP25" s="2827"/>
      <c r="CHQ25" s="2867"/>
      <c r="CHR25" s="2866"/>
      <c r="CHS25" s="2827"/>
      <c r="CHT25" s="2867"/>
      <c r="CHU25" s="2866"/>
      <c r="CHV25" s="2827"/>
      <c r="CHW25" s="2867"/>
      <c r="CHX25" s="2866"/>
      <c r="CHY25" s="2827"/>
      <c r="CHZ25" s="2867"/>
      <c r="CIA25" s="2866"/>
      <c r="CIB25" s="2827"/>
      <c r="CIC25" s="2867"/>
      <c r="CID25" s="2866"/>
      <c r="CIE25" s="2827"/>
      <c r="CIF25" s="2867"/>
      <c r="CIG25" s="2866"/>
      <c r="CIH25" s="2827"/>
      <c r="CII25" s="2867"/>
      <c r="CIJ25" s="2866"/>
      <c r="CIK25" s="2827"/>
      <c r="CIL25" s="2867"/>
      <c r="CIM25" s="2866"/>
      <c r="CIN25" s="2827"/>
      <c r="CIO25" s="2867"/>
      <c r="CIP25" s="2866"/>
      <c r="CIQ25" s="2827"/>
      <c r="CIR25" s="2867"/>
      <c r="CIS25" s="2866"/>
      <c r="CIT25" s="2827"/>
      <c r="CIU25" s="2867"/>
      <c r="CIV25" s="2866"/>
      <c r="CIW25" s="2827"/>
      <c r="CIX25" s="2867"/>
      <c r="CIY25" s="2866"/>
      <c r="CIZ25" s="2827"/>
      <c r="CJA25" s="2867"/>
      <c r="CJB25" s="2866"/>
      <c r="CJC25" s="2827"/>
      <c r="CJD25" s="2867"/>
      <c r="CJE25" s="2866"/>
      <c r="CJF25" s="2827"/>
      <c r="CJG25" s="2867"/>
      <c r="CJH25" s="2866"/>
      <c r="CJI25" s="2827"/>
      <c r="CJJ25" s="2867"/>
      <c r="CJK25" s="2866"/>
      <c r="CJL25" s="2827"/>
      <c r="CJM25" s="2867"/>
      <c r="CJN25" s="2866"/>
      <c r="CJO25" s="2827"/>
      <c r="CJP25" s="2867"/>
      <c r="CJQ25" s="2866"/>
      <c r="CJR25" s="2827"/>
      <c r="CJS25" s="2867"/>
      <c r="CJT25" s="2866"/>
      <c r="CJU25" s="2827"/>
      <c r="CJV25" s="2867"/>
      <c r="CJW25" s="2866"/>
      <c r="CJX25" s="2827"/>
      <c r="CJY25" s="2867"/>
      <c r="CJZ25" s="2866"/>
      <c r="CKA25" s="2827"/>
      <c r="CKB25" s="2867"/>
      <c r="CKC25" s="2866"/>
      <c r="CKD25" s="2827"/>
      <c r="CKE25" s="2867"/>
      <c r="CKF25" s="2866"/>
      <c r="CKG25" s="2827"/>
      <c r="CKH25" s="2867"/>
      <c r="CKI25" s="2866"/>
      <c r="CKJ25" s="2827"/>
      <c r="CKK25" s="2867"/>
      <c r="CKL25" s="2866"/>
      <c r="CKM25" s="2827"/>
      <c r="CKN25" s="2867"/>
      <c r="CKO25" s="2866"/>
      <c r="CKP25" s="2827"/>
      <c r="CKQ25" s="2867"/>
      <c r="CKR25" s="2866"/>
      <c r="CKS25" s="2827"/>
      <c r="CKT25" s="2867"/>
      <c r="CKU25" s="2866"/>
      <c r="CKV25" s="2827"/>
      <c r="CKW25" s="2867"/>
      <c r="CKX25" s="2866"/>
      <c r="CKY25" s="2827"/>
      <c r="CKZ25" s="2867"/>
      <c r="CLA25" s="2866"/>
      <c r="CLB25" s="2827"/>
      <c r="CLC25" s="2867"/>
      <c r="CLD25" s="2866"/>
      <c r="CLE25" s="2827"/>
      <c r="CLF25" s="2867"/>
      <c r="CLG25" s="2866"/>
      <c r="CLH25" s="2827"/>
      <c r="CLI25" s="2867"/>
      <c r="CLJ25" s="2866"/>
      <c r="CLK25" s="2827"/>
      <c r="CLL25" s="2867"/>
      <c r="CLM25" s="2866"/>
      <c r="CLN25" s="2827"/>
      <c r="CLO25" s="2867"/>
      <c r="CLP25" s="2866"/>
      <c r="CLQ25" s="2827"/>
      <c r="CLR25" s="2867"/>
      <c r="CLS25" s="2866"/>
      <c r="CLT25" s="2827"/>
      <c r="CLU25" s="2867"/>
      <c r="CLV25" s="2866"/>
      <c r="CLW25" s="2827"/>
      <c r="CLX25" s="2867"/>
      <c r="CLY25" s="2866"/>
      <c r="CLZ25" s="2827"/>
      <c r="CMA25" s="2867"/>
      <c r="CMB25" s="2866"/>
      <c r="CMC25" s="2827"/>
      <c r="CMD25" s="2867"/>
      <c r="CME25" s="2866"/>
      <c r="CMF25" s="2827"/>
      <c r="CMG25" s="2867"/>
      <c r="CMH25" s="2866"/>
      <c r="CMI25" s="2827"/>
      <c r="CMJ25" s="2867"/>
      <c r="CMK25" s="2866"/>
      <c r="CML25" s="2827"/>
      <c r="CMM25" s="2867"/>
      <c r="CMN25" s="2866"/>
      <c r="CMO25" s="2827"/>
      <c r="CMP25" s="2867"/>
      <c r="CMQ25" s="2866"/>
      <c r="CMR25" s="2827"/>
      <c r="CMS25" s="2867"/>
      <c r="CMT25" s="2866"/>
      <c r="CMU25" s="2827"/>
      <c r="CMV25" s="2867"/>
      <c r="CMW25" s="2866"/>
      <c r="CMX25" s="2827"/>
      <c r="CMY25" s="2867"/>
      <c r="CMZ25" s="2866"/>
      <c r="CNA25" s="2827"/>
      <c r="CNB25" s="2867"/>
      <c r="CNC25" s="2866"/>
      <c r="CND25" s="2827"/>
      <c r="CNE25" s="2867"/>
      <c r="CNF25" s="2866"/>
      <c r="CNG25" s="2827"/>
      <c r="CNH25" s="2867"/>
      <c r="CNI25" s="2866"/>
      <c r="CNJ25" s="2827"/>
      <c r="CNK25" s="2867"/>
      <c r="CNL25" s="2866"/>
      <c r="CNM25" s="2827"/>
      <c r="CNN25" s="2867"/>
      <c r="CNO25" s="2866"/>
      <c r="CNP25" s="2827"/>
      <c r="CNQ25" s="2867"/>
      <c r="CNR25" s="2866"/>
      <c r="CNS25" s="2827"/>
      <c r="CNT25" s="2867"/>
      <c r="CNU25" s="2866"/>
      <c r="CNV25" s="2827"/>
      <c r="CNW25" s="2867"/>
      <c r="CNX25" s="2866"/>
      <c r="CNY25" s="2827"/>
      <c r="CNZ25" s="2867"/>
      <c r="COA25" s="2866"/>
      <c r="COB25" s="2827"/>
      <c r="COC25" s="2867"/>
      <c r="COD25" s="2866"/>
      <c r="COE25" s="2827"/>
      <c r="COF25" s="2867"/>
      <c r="COG25" s="2866"/>
      <c r="COH25" s="2827"/>
      <c r="COI25" s="2867"/>
      <c r="COJ25" s="2866"/>
      <c r="COK25" s="2827"/>
      <c r="COL25" s="2867"/>
      <c r="COM25" s="2866"/>
      <c r="CON25" s="2827"/>
      <c r="COO25" s="2867"/>
      <c r="COP25" s="2866"/>
      <c r="COQ25" s="2827"/>
      <c r="COR25" s="2867"/>
      <c r="COS25" s="2866"/>
      <c r="COT25" s="2827"/>
      <c r="COU25" s="2867"/>
      <c r="COV25" s="2866"/>
      <c r="COW25" s="2827"/>
      <c r="COX25" s="2867"/>
      <c r="COY25" s="2866"/>
      <c r="COZ25" s="2827"/>
      <c r="CPA25" s="2867"/>
      <c r="CPB25" s="2866"/>
      <c r="CPC25" s="2827"/>
      <c r="CPD25" s="2867"/>
      <c r="CPE25" s="2866"/>
      <c r="CPF25" s="2827"/>
      <c r="CPG25" s="2867"/>
      <c r="CPH25" s="2866"/>
      <c r="CPI25" s="2827"/>
      <c r="CPJ25" s="2867"/>
      <c r="CPK25" s="2866"/>
      <c r="CPL25" s="2827"/>
      <c r="CPM25" s="2867"/>
      <c r="CPN25" s="2866"/>
      <c r="CPO25" s="2827"/>
      <c r="CPP25" s="2867"/>
      <c r="CPQ25" s="2866"/>
      <c r="CPR25" s="2827"/>
      <c r="CPS25" s="2867"/>
      <c r="CPT25" s="2866"/>
      <c r="CPU25" s="2827"/>
      <c r="CPV25" s="2867"/>
      <c r="CPW25" s="2866"/>
      <c r="CPX25" s="2827"/>
      <c r="CPY25" s="2867"/>
      <c r="CPZ25" s="2866"/>
      <c r="CQA25" s="2827"/>
      <c r="CQB25" s="2867"/>
      <c r="CQC25" s="2866"/>
      <c r="CQD25" s="2827"/>
      <c r="CQE25" s="2867"/>
      <c r="CQF25" s="2866"/>
      <c r="CQG25" s="2827"/>
      <c r="CQH25" s="2867"/>
      <c r="CQI25" s="2866"/>
      <c r="CQJ25" s="2827"/>
      <c r="CQK25" s="2867"/>
      <c r="CQL25" s="2866"/>
      <c r="CQM25" s="2827"/>
      <c r="CQN25" s="2867"/>
      <c r="CQO25" s="2866"/>
      <c r="CQP25" s="2827"/>
      <c r="CQQ25" s="2867"/>
      <c r="CQR25" s="2866"/>
      <c r="CQS25" s="2827"/>
      <c r="CQT25" s="2867"/>
      <c r="CQU25" s="2866"/>
      <c r="CQV25" s="2827"/>
      <c r="CQW25" s="2867"/>
      <c r="CQX25" s="2866"/>
      <c r="CQY25" s="2827"/>
      <c r="CQZ25" s="2867"/>
      <c r="CRA25" s="2866"/>
      <c r="CRB25" s="2827"/>
      <c r="CRC25" s="2867"/>
      <c r="CRD25" s="2866"/>
      <c r="CRE25" s="2827"/>
      <c r="CRF25" s="2867"/>
      <c r="CRG25" s="2866"/>
      <c r="CRH25" s="2827"/>
      <c r="CRI25" s="2867"/>
      <c r="CRJ25" s="2866"/>
      <c r="CRK25" s="2827"/>
      <c r="CRL25" s="2867"/>
      <c r="CRM25" s="2866"/>
      <c r="CRN25" s="2827"/>
      <c r="CRO25" s="2867"/>
      <c r="CRP25" s="2866"/>
      <c r="CRQ25" s="2827"/>
      <c r="CRR25" s="2867"/>
      <c r="CRS25" s="2866"/>
      <c r="CRT25" s="2827"/>
      <c r="CRU25" s="2867"/>
      <c r="CRV25" s="2866"/>
      <c r="CRW25" s="2827"/>
      <c r="CRX25" s="2867"/>
      <c r="CRY25" s="2866"/>
      <c r="CRZ25" s="2827"/>
      <c r="CSA25" s="2867"/>
      <c r="CSB25" s="2866"/>
      <c r="CSC25" s="2827"/>
      <c r="CSD25" s="2867"/>
      <c r="CSE25" s="2866"/>
      <c r="CSF25" s="2827"/>
      <c r="CSG25" s="2867"/>
      <c r="CSH25" s="2866"/>
      <c r="CSI25" s="2827"/>
      <c r="CSJ25" s="2867"/>
      <c r="CSK25" s="2866"/>
      <c r="CSL25" s="2827"/>
      <c r="CSM25" s="2867"/>
      <c r="CSN25" s="2866"/>
      <c r="CSO25" s="2827"/>
      <c r="CSP25" s="2867"/>
      <c r="CSQ25" s="2866"/>
      <c r="CSR25" s="2827"/>
      <c r="CSS25" s="2867"/>
      <c r="CST25" s="2866"/>
      <c r="CSU25" s="2827"/>
      <c r="CSV25" s="2867"/>
      <c r="CSW25" s="2866"/>
      <c r="CSX25" s="2827"/>
      <c r="CSY25" s="2867"/>
      <c r="CSZ25" s="2866"/>
      <c r="CTA25" s="2827"/>
      <c r="CTB25" s="2867"/>
      <c r="CTC25" s="2866"/>
      <c r="CTD25" s="2827"/>
      <c r="CTE25" s="2867"/>
      <c r="CTF25" s="2866"/>
      <c r="CTG25" s="2827"/>
      <c r="CTH25" s="2867"/>
      <c r="CTI25" s="2866"/>
      <c r="CTJ25" s="2827"/>
      <c r="CTK25" s="2867"/>
      <c r="CTL25" s="2866"/>
      <c r="CTM25" s="2827"/>
      <c r="CTN25" s="2867"/>
      <c r="CTO25" s="2866"/>
      <c r="CTP25" s="2827"/>
      <c r="CTQ25" s="2867"/>
      <c r="CTR25" s="2866"/>
      <c r="CTS25" s="2827"/>
      <c r="CTT25" s="2867"/>
      <c r="CTU25" s="2866"/>
      <c r="CTV25" s="2827"/>
      <c r="CTW25" s="2867"/>
      <c r="CTX25" s="2866"/>
      <c r="CTY25" s="2827"/>
      <c r="CTZ25" s="2867"/>
      <c r="CUA25" s="2866"/>
      <c r="CUB25" s="2827"/>
      <c r="CUC25" s="2867"/>
      <c r="CUD25" s="2866"/>
      <c r="CUE25" s="2827"/>
      <c r="CUF25" s="2867"/>
      <c r="CUG25" s="2866"/>
      <c r="CUH25" s="2827"/>
      <c r="CUI25" s="2867"/>
      <c r="CUJ25" s="2866"/>
      <c r="CUK25" s="2827"/>
      <c r="CUL25" s="2867"/>
      <c r="CUM25" s="2866"/>
      <c r="CUN25" s="2827"/>
      <c r="CUO25" s="2867"/>
      <c r="CUP25" s="2866"/>
      <c r="CUQ25" s="2827"/>
      <c r="CUR25" s="2867"/>
      <c r="CUS25" s="2866"/>
      <c r="CUT25" s="2827"/>
      <c r="CUU25" s="2867"/>
      <c r="CUV25" s="2866"/>
      <c r="CUW25" s="2827"/>
      <c r="CUX25" s="2867"/>
      <c r="CUY25" s="2866"/>
      <c r="CUZ25" s="2827"/>
      <c r="CVA25" s="2867"/>
      <c r="CVB25" s="2866"/>
      <c r="CVC25" s="2827"/>
      <c r="CVD25" s="2867"/>
      <c r="CVE25" s="2866"/>
      <c r="CVF25" s="2827"/>
      <c r="CVG25" s="2867"/>
      <c r="CVH25" s="2866"/>
      <c r="CVI25" s="2827"/>
      <c r="CVJ25" s="2867"/>
      <c r="CVK25" s="2866"/>
      <c r="CVL25" s="2827"/>
      <c r="CVM25" s="2867"/>
      <c r="CVN25" s="2866"/>
      <c r="CVO25" s="2827"/>
      <c r="CVP25" s="2867"/>
      <c r="CVQ25" s="2866"/>
      <c r="CVR25" s="2827"/>
      <c r="CVS25" s="2867"/>
      <c r="CVT25" s="2866"/>
      <c r="CVU25" s="2827"/>
      <c r="CVV25" s="2867"/>
      <c r="CVW25" s="2866"/>
      <c r="CVX25" s="2827"/>
      <c r="CVY25" s="2867"/>
      <c r="CVZ25" s="2866"/>
      <c r="CWA25" s="2827"/>
      <c r="CWB25" s="2867"/>
      <c r="CWC25" s="2866"/>
      <c r="CWD25" s="2827"/>
      <c r="CWE25" s="2867"/>
      <c r="CWF25" s="2866"/>
      <c r="CWG25" s="2827"/>
      <c r="CWH25" s="2867"/>
      <c r="CWI25" s="2866"/>
      <c r="CWJ25" s="2827"/>
      <c r="CWK25" s="2867"/>
      <c r="CWL25" s="2866"/>
      <c r="CWM25" s="2827"/>
      <c r="CWN25" s="2867"/>
      <c r="CWO25" s="2866"/>
      <c r="CWP25" s="2827"/>
      <c r="CWQ25" s="2867"/>
      <c r="CWR25" s="2866"/>
      <c r="CWS25" s="2827"/>
      <c r="CWT25" s="2867"/>
      <c r="CWU25" s="2866"/>
      <c r="CWV25" s="2827"/>
      <c r="CWW25" s="2867"/>
      <c r="CWX25" s="2866"/>
      <c r="CWY25" s="2827"/>
      <c r="CWZ25" s="2867"/>
      <c r="CXA25" s="2866"/>
      <c r="CXB25" s="2827"/>
      <c r="CXC25" s="2867"/>
      <c r="CXD25" s="2866"/>
      <c r="CXE25" s="2827"/>
      <c r="CXF25" s="2867"/>
      <c r="CXG25" s="2866"/>
      <c r="CXH25" s="2827"/>
      <c r="CXI25" s="2867"/>
      <c r="CXJ25" s="2866"/>
      <c r="CXK25" s="2827"/>
      <c r="CXL25" s="2867"/>
      <c r="CXM25" s="2866"/>
      <c r="CXN25" s="2827"/>
      <c r="CXO25" s="2867"/>
      <c r="CXP25" s="2866"/>
      <c r="CXQ25" s="2827"/>
      <c r="CXR25" s="2867"/>
      <c r="CXS25" s="2866"/>
      <c r="CXT25" s="2827"/>
      <c r="CXU25" s="2867"/>
      <c r="CXV25" s="2866"/>
      <c r="CXW25" s="2827"/>
      <c r="CXX25" s="2867"/>
      <c r="CXY25" s="2866"/>
      <c r="CXZ25" s="2827"/>
      <c r="CYA25" s="2867"/>
      <c r="CYB25" s="2866"/>
      <c r="CYC25" s="2827"/>
      <c r="CYD25" s="2867"/>
      <c r="CYE25" s="2866"/>
      <c r="CYF25" s="2827"/>
      <c r="CYG25" s="2867"/>
      <c r="CYH25" s="2866"/>
      <c r="CYI25" s="2827"/>
      <c r="CYJ25" s="2867"/>
      <c r="CYK25" s="2866"/>
      <c r="CYL25" s="2827"/>
      <c r="CYM25" s="2867"/>
      <c r="CYN25" s="2866"/>
      <c r="CYO25" s="2827"/>
      <c r="CYP25" s="2867"/>
      <c r="CYQ25" s="2866"/>
      <c r="CYR25" s="2827"/>
      <c r="CYS25" s="2867"/>
      <c r="CYT25" s="2866"/>
      <c r="CYU25" s="2827"/>
      <c r="CYV25" s="2867"/>
      <c r="CYW25" s="2866"/>
      <c r="CYX25" s="2827"/>
      <c r="CYY25" s="2867"/>
      <c r="CYZ25" s="2866"/>
      <c r="CZA25" s="2827"/>
      <c r="CZB25" s="2867"/>
      <c r="CZC25" s="2866"/>
      <c r="CZD25" s="2827"/>
      <c r="CZE25" s="2867"/>
      <c r="CZF25" s="2866"/>
      <c r="CZG25" s="2827"/>
      <c r="CZH25" s="2867"/>
      <c r="CZI25" s="2866"/>
      <c r="CZJ25" s="2827"/>
      <c r="CZK25" s="2867"/>
      <c r="CZL25" s="2866"/>
      <c r="CZM25" s="2827"/>
      <c r="CZN25" s="2867"/>
      <c r="CZO25" s="2866"/>
      <c r="CZP25" s="2827"/>
      <c r="CZQ25" s="2867"/>
      <c r="CZR25" s="2866"/>
      <c r="CZS25" s="2827"/>
      <c r="CZT25" s="2867"/>
      <c r="CZU25" s="2866"/>
      <c r="CZV25" s="2827"/>
      <c r="CZW25" s="2867"/>
      <c r="CZX25" s="2866"/>
      <c r="CZY25" s="2827"/>
      <c r="CZZ25" s="2867"/>
      <c r="DAA25" s="2866"/>
      <c r="DAB25" s="2827"/>
      <c r="DAC25" s="2867"/>
      <c r="DAD25" s="2866"/>
      <c r="DAE25" s="2827"/>
      <c r="DAF25" s="2867"/>
      <c r="DAG25" s="2866"/>
      <c r="DAH25" s="2827"/>
      <c r="DAI25" s="2867"/>
      <c r="DAJ25" s="2866"/>
      <c r="DAK25" s="2827"/>
      <c r="DAL25" s="2867"/>
      <c r="DAM25" s="2866"/>
      <c r="DAN25" s="2827"/>
      <c r="DAO25" s="2867"/>
      <c r="DAP25" s="2866"/>
      <c r="DAQ25" s="2827"/>
      <c r="DAR25" s="2867"/>
      <c r="DAS25" s="2866"/>
      <c r="DAT25" s="2827"/>
      <c r="DAU25" s="2867"/>
      <c r="DAV25" s="2866"/>
      <c r="DAW25" s="2827"/>
      <c r="DAX25" s="2867"/>
      <c r="DAY25" s="2866"/>
      <c r="DAZ25" s="2827"/>
      <c r="DBA25" s="2867"/>
      <c r="DBB25" s="2866"/>
      <c r="DBC25" s="2827"/>
      <c r="DBD25" s="2867"/>
      <c r="DBE25" s="2866"/>
      <c r="DBF25" s="2827"/>
      <c r="DBG25" s="2867"/>
      <c r="DBH25" s="2866"/>
      <c r="DBI25" s="2827"/>
      <c r="DBJ25" s="2867"/>
      <c r="DBK25" s="2866"/>
      <c r="DBL25" s="2827"/>
      <c r="DBM25" s="2867"/>
      <c r="DBN25" s="2866"/>
      <c r="DBO25" s="2827"/>
      <c r="DBP25" s="2867"/>
      <c r="DBQ25" s="2866"/>
      <c r="DBR25" s="2827"/>
      <c r="DBS25" s="2867"/>
      <c r="DBT25" s="2866"/>
      <c r="DBU25" s="2827"/>
      <c r="DBV25" s="2867"/>
      <c r="DBW25" s="2866"/>
      <c r="DBX25" s="2827"/>
      <c r="DBY25" s="2867"/>
      <c r="DBZ25" s="2866"/>
      <c r="DCA25" s="2827"/>
      <c r="DCB25" s="2867"/>
      <c r="DCC25" s="2866"/>
      <c r="DCD25" s="2827"/>
      <c r="DCE25" s="2867"/>
      <c r="DCF25" s="2866"/>
      <c r="DCG25" s="2827"/>
      <c r="DCH25" s="2867"/>
      <c r="DCI25" s="2866"/>
      <c r="DCJ25" s="2827"/>
      <c r="DCK25" s="2867"/>
      <c r="DCL25" s="2866"/>
      <c r="DCM25" s="2827"/>
      <c r="DCN25" s="2867"/>
      <c r="DCO25" s="2866"/>
      <c r="DCP25" s="2827"/>
      <c r="DCQ25" s="2867"/>
      <c r="DCR25" s="2866"/>
      <c r="DCS25" s="2827"/>
      <c r="DCT25" s="2867"/>
      <c r="DCU25" s="2866"/>
      <c r="DCV25" s="2827"/>
      <c r="DCW25" s="2867"/>
      <c r="DCX25" s="2866"/>
      <c r="DCY25" s="2827"/>
      <c r="DCZ25" s="2867"/>
      <c r="DDA25" s="2866"/>
      <c r="DDB25" s="2827"/>
      <c r="DDC25" s="2867"/>
      <c r="DDD25" s="2866"/>
      <c r="DDE25" s="2827"/>
      <c r="DDF25" s="2867"/>
      <c r="DDG25" s="2866"/>
      <c r="DDH25" s="2827"/>
      <c r="DDI25" s="2867"/>
      <c r="DDJ25" s="2866"/>
      <c r="DDK25" s="2827"/>
      <c r="DDL25" s="2867"/>
      <c r="DDM25" s="2866"/>
      <c r="DDN25" s="2827"/>
      <c r="DDO25" s="2867"/>
      <c r="DDP25" s="2866"/>
      <c r="DDQ25" s="2827"/>
      <c r="DDR25" s="2867"/>
      <c r="DDS25" s="2866"/>
      <c r="DDT25" s="2827"/>
      <c r="DDU25" s="2867"/>
      <c r="DDV25" s="2866"/>
      <c r="DDW25" s="2827"/>
      <c r="DDX25" s="2867"/>
      <c r="DDY25" s="2866"/>
      <c r="DDZ25" s="2827"/>
      <c r="DEA25" s="2867"/>
      <c r="DEB25" s="2866"/>
      <c r="DEC25" s="2827"/>
      <c r="DED25" s="2867"/>
      <c r="DEE25" s="2866"/>
      <c r="DEF25" s="2827"/>
      <c r="DEG25" s="2867"/>
      <c r="DEH25" s="2866"/>
      <c r="DEI25" s="2827"/>
      <c r="DEJ25" s="2867"/>
      <c r="DEK25" s="2866"/>
      <c r="DEL25" s="2827"/>
      <c r="DEM25" s="2867"/>
      <c r="DEN25" s="2866"/>
      <c r="DEO25" s="2827"/>
      <c r="DEP25" s="2867"/>
      <c r="DEQ25" s="2866"/>
      <c r="DER25" s="2827"/>
      <c r="DES25" s="2867"/>
      <c r="DET25" s="2866"/>
      <c r="DEU25" s="2827"/>
      <c r="DEV25" s="2867"/>
      <c r="DEW25" s="2866"/>
      <c r="DEX25" s="2827"/>
      <c r="DEY25" s="2867"/>
      <c r="DEZ25" s="2866"/>
      <c r="DFA25" s="2827"/>
      <c r="DFB25" s="2867"/>
      <c r="DFC25" s="2866"/>
      <c r="DFD25" s="2827"/>
      <c r="DFE25" s="2867"/>
      <c r="DFF25" s="2866"/>
      <c r="DFG25" s="2827"/>
      <c r="DFH25" s="2867"/>
      <c r="DFI25" s="2866"/>
      <c r="DFJ25" s="2827"/>
      <c r="DFK25" s="2867"/>
      <c r="DFL25" s="2866"/>
      <c r="DFM25" s="2827"/>
      <c r="DFN25" s="2867"/>
      <c r="DFO25" s="2866"/>
      <c r="DFP25" s="2827"/>
      <c r="DFQ25" s="2867"/>
      <c r="DFR25" s="2866"/>
      <c r="DFS25" s="2827"/>
      <c r="DFT25" s="2867"/>
      <c r="DFU25" s="2866"/>
      <c r="DFV25" s="2827"/>
      <c r="DFW25" s="2867"/>
      <c r="DFX25" s="2866"/>
      <c r="DFY25" s="2827"/>
      <c r="DFZ25" s="2867"/>
      <c r="DGA25" s="2866"/>
      <c r="DGB25" s="2827"/>
      <c r="DGC25" s="2867"/>
      <c r="DGD25" s="2866"/>
      <c r="DGE25" s="2827"/>
      <c r="DGF25" s="2867"/>
      <c r="DGG25" s="2866"/>
      <c r="DGH25" s="2827"/>
      <c r="DGI25" s="2867"/>
      <c r="DGJ25" s="2866"/>
      <c r="DGK25" s="2827"/>
      <c r="DGL25" s="2867"/>
      <c r="DGM25" s="2866"/>
      <c r="DGN25" s="2827"/>
      <c r="DGO25" s="2867"/>
      <c r="DGP25" s="2866"/>
      <c r="DGQ25" s="2827"/>
      <c r="DGR25" s="2867"/>
      <c r="DGS25" s="2866"/>
      <c r="DGT25" s="2827"/>
      <c r="DGU25" s="2867"/>
      <c r="DGV25" s="2866"/>
      <c r="DGW25" s="2827"/>
      <c r="DGX25" s="2867"/>
      <c r="DGY25" s="2866"/>
      <c r="DGZ25" s="2827"/>
      <c r="DHA25" s="2867"/>
      <c r="DHB25" s="2866"/>
      <c r="DHC25" s="2827"/>
      <c r="DHD25" s="2867"/>
      <c r="DHE25" s="2866"/>
      <c r="DHF25" s="2827"/>
      <c r="DHG25" s="2867"/>
      <c r="DHH25" s="2866"/>
      <c r="DHI25" s="2827"/>
      <c r="DHJ25" s="2867"/>
      <c r="DHK25" s="2866"/>
      <c r="DHL25" s="2827"/>
      <c r="DHM25" s="2867"/>
      <c r="DHN25" s="2866"/>
      <c r="DHO25" s="2827"/>
      <c r="DHP25" s="2867"/>
      <c r="DHQ25" s="2866"/>
      <c r="DHR25" s="2827"/>
      <c r="DHS25" s="2867"/>
      <c r="DHT25" s="2866"/>
      <c r="DHU25" s="2827"/>
      <c r="DHV25" s="2867"/>
      <c r="DHW25" s="2866"/>
      <c r="DHX25" s="2827"/>
      <c r="DHY25" s="2867"/>
      <c r="DHZ25" s="2866"/>
      <c r="DIA25" s="2827"/>
      <c r="DIB25" s="2867"/>
      <c r="DIC25" s="2866"/>
      <c r="DID25" s="2827"/>
      <c r="DIE25" s="2867"/>
      <c r="DIF25" s="2866"/>
      <c r="DIG25" s="2827"/>
      <c r="DIH25" s="2867"/>
      <c r="DII25" s="2866"/>
      <c r="DIJ25" s="2827"/>
      <c r="DIK25" s="2867"/>
      <c r="DIL25" s="2866"/>
      <c r="DIM25" s="2827"/>
      <c r="DIN25" s="2867"/>
      <c r="DIO25" s="2866"/>
      <c r="DIP25" s="2827"/>
      <c r="DIQ25" s="2867"/>
      <c r="DIR25" s="2866"/>
      <c r="DIS25" s="2827"/>
      <c r="DIT25" s="2867"/>
      <c r="DIU25" s="2866"/>
      <c r="DIV25" s="2827"/>
      <c r="DIW25" s="2867"/>
      <c r="DIX25" s="2866"/>
      <c r="DIY25" s="2827"/>
      <c r="DIZ25" s="2867"/>
      <c r="DJA25" s="2866"/>
      <c r="DJB25" s="2827"/>
      <c r="DJC25" s="2867"/>
      <c r="DJD25" s="2866"/>
      <c r="DJE25" s="2827"/>
      <c r="DJF25" s="2867"/>
      <c r="DJG25" s="2866"/>
      <c r="DJH25" s="2827"/>
      <c r="DJI25" s="2867"/>
      <c r="DJJ25" s="2866"/>
      <c r="DJK25" s="2827"/>
      <c r="DJL25" s="2867"/>
      <c r="DJM25" s="2866"/>
      <c r="DJN25" s="2827"/>
      <c r="DJO25" s="2867"/>
      <c r="DJP25" s="2866"/>
      <c r="DJQ25" s="2827"/>
      <c r="DJR25" s="2867"/>
      <c r="DJS25" s="2866"/>
      <c r="DJT25" s="2827"/>
      <c r="DJU25" s="2867"/>
      <c r="DJV25" s="2866"/>
      <c r="DJW25" s="2827"/>
      <c r="DJX25" s="2867"/>
      <c r="DJY25" s="2866"/>
      <c r="DJZ25" s="2827"/>
      <c r="DKA25" s="2867"/>
      <c r="DKB25" s="2866"/>
      <c r="DKC25" s="2827"/>
      <c r="DKD25" s="2867"/>
      <c r="DKE25" s="2866"/>
      <c r="DKF25" s="2827"/>
      <c r="DKG25" s="2867"/>
      <c r="DKH25" s="2866"/>
      <c r="DKI25" s="2827"/>
      <c r="DKJ25" s="2867"/>
      <c r="DKK25" s="2866"/>
      <c r="DKL25" s="2827"/>
      <c r="DKM25" s="2867"/>
      <c r="DKN25" s="2866"/>
      <c r="DKO25" s="2827"/>
      <c r="DKP25" s="2867"/>
      <c r="DKQ25" s="2866"/>
      <c r="DKR25" s="2827"/>
      <c r="DKS25" s="2867"/>
      <c r="DKT25" s="2866"/>
      <c r="DKU25" s="2827"/>
      <c r="DKV25" s="2867"/>
      <c r="DKW25" s="2866"/>
      <c r="DKX25" s="2827"/>
      <c r="DKY25" s="2867"/>
      <c r="DKZ25" s="2866"/>
      <c r="DLA25" s="2827"/>
      <c r="DLB25" s="2867"/>
      <c r="DLC25" s="2866"/>
      <c r="DLD25" s="2827"/>
      <c r="DLE25" s="2867"/>
      <c r="DLF25" s="2866"/>
      <c r="DLG25" s="2827"/>
      <c r="DLH25" s="2867"/>
      <c r="DLI25" s="2866"/>
      <c r="DLJ25" s="2827"/>
      <c r="DLK25" s="2867"/>
      <c r="DLL25" s="2866"/>
      <c r="DLM25" s="2827"/>
      <c r="DLN25" s="2867"/>
      <c r="DLO25" s="2866"/>
      <c r="DLP25" s="2827"/>
      <c r="DLQ25" s="2867"/>
      <c r="DLR25" s="2866"/>
      <c r="DLS25" s="2827"/>
      <c r="DLT25" s="2867"/>
      <c r="DLU25" s="2866"/>
      <c r="DLV25" s="2827"/>
      <c r="DLW25" s="2867"/>
      <c r="DLX25" s="2866"/>
      <c r="DLY25" s="2827"/>
      <c r="DLZ25" s="2867"/>
      <c r="DMA25" s="2866"/>
      <c r="DMB25" s="2827"/>
      <c r="DMC25" s="2867"/>
      <c r="DMD25" s="2866"/>
      <c r="DME25" s="2827"/>
      <c r="DMF25" s="2867"/>
      <c r="DMG25" s="2866"/>
      <c r="DMH25" s="2827"/>
      <c r="DMI25" s="2867"/>
      <c r="DMJ25" s="2866"/>
      <c r="DMK25" s="2827"/>
      <c r="DML25" s="2867"/>
      <c r="DMM25" s="2866"/>
      <c r="DMN25" s="2827"/>
      <c r="DMO25" s="2867"/>
      <c r="DMP25" s="2866"/>
      <c r="DMQ25" s="2827"/>
      <c r="DMR25" s="2867"/>
      <c r="DMS25" s="2866"/>
      <c r="DMT25" s="2827"/>
      <c r="DMU25" s="2867"/>
      <c r="DMV25" s="2866"/>
      <c r="DMW25" s="2827"/>
      <c r="DMX25" s="2867"/>
      <c r="DMY25" s="2866"/>
      <c r="DMZ25" s="2827"/>
      <c r="DNA25" s="2867"/>
      <c r="DNB25" s="2866"/>
      <c r="DNC25" s="2827"/>
      <c r="DND25" s="2867"/>
      <c r="DNE25" s="2866"/>
      <c r="DNF25" s="2827"/>
      <c r="DNG25" s="2867"/>
      <c r="DNH25" s="2866"/>
      <c r="DNI25" s="2827"/>
      <c r="DNJ25" s="2867"/>
      <c r="DNK25" s="2866"/>
      <c r="DNL25" s="2827"/>
      <c r="DNM25" s="2867"/>
      <c r="DNN25" s="2866"/>
      <c r="DNO25" s="2827"/>
      <c r="DNP25" s="2867"/>
      <c r="DNQ25" s="2866"/>
      <c r="DNR25" s="2827"/>
      <c r="DNS25" s="2867"/>
      <c r="DNT25" s="2866"/>
      <c r="DNU25" s="2827"/>
      <c r="DNV25" s="2867"/>
      <c r="DNW25" s="2866"/>
      <c r="DNX25" s="2827"/>
      <c r="DNY25" s="2867"/>
      <c r="DNZ25" s="2866"/>
      <c r="DOA25" s="2827"/>
      <c r="DOB25" s="2867"/>
      <c r="DOC25" s="2866"/>
      <c r="DOD25" s="2827"/>
      <c r="DOE25" s="2867"/>
      <c r="DOF25" s="2866"/>
      <c r="DOG25" s="2827"/>
      <c r="DOH25" s="2867"/>
      <c r="DOI25" s="2866"/>
      <c r="DOJ25" s="2827"/>
      <c r="DOK25" s="2867"/>
      <c r="DOL25" s="2866"/>
      <c r="DOM25" s="2827"/>
      <c r="DON25" s="2867"/>
      <c r="DOO25" s="2866"/>
      <c r="DOP25" s="2827"/>
      <c r="DOQ25" s="2867"/>
      <c r="DOR25" s="2866"/>
      <c r="DOS25" s="2827"/>
      <c r="DOT25" s="2867"/>
      <c r="DOU25" s="2866"/>
      <c r="DOV25" s="2827"/>
      <c r="DOW25" s="2867"/>
      <c r="DOX25" s="2866"/>
      <c r="DOY25" s="2827"/>
      <c r="DOZ25" s="2867"/>
      <c r="DPA25" s="2866"/>
      <c r="DPB25" s="2827"/>
      <c r="DPC25" s="2867"/>
      <c r="DPD25" s="2866"/>
      <c r="DPE25" s="2827"/>
      <c r="DPF25" s="2867"/>
      <c r="DPG25" s="2866"/>
      <c r="DPH25" s="2827"/>
      <c r="DPI25" s="2867"/>
      <c r="DPJ25" s="2866"/>
      <c r="DPK25" s="2827"/>
      <c r="DPL25" s="2867"/>
      <c r="DPM25" s="2866"/>
      <c r="DPN25" s="2827"/>
      <c r="DPO25" s="2867"/>
      <c r="DPP25" s="2866"/>
      <c r="DPQ25" s="2827"/>
      <c r="DPR25" s="2867"/>
      <c r="DPS25" s="2866"/>
      <c r="DPT25" s="2827"/>
      <c r="DPU25" s="2867"/>
      <c r="DPV25" s="2866"/>
      <c r="DPW25" s="2827"/>
      <c r="DPX25" s="2867"/>
      <c r="DPY25" s="2866"/>
      <c r="DPZ25" s="2827"/>
      <c r="DQA25" s="2867"/>
      <c r="DQB25" s="2866"/>
      <c r="DQC25" s="2827"/>
      <c r="DQD25" s="2867"/>
      <c r="DQE25" s="2866"/>
      <c r="DQF25" s="2827"/>
      <c r="DQG25" s="2867"/>
      <c r="DQH25" s="2866"/>
      <c r="DQI25" s="2827"/>
      <c r="DQJ25" s="2867"/>
      <c r="DQK25" s="2866"/>
      <c r="DQL25" s="2827"/>
      <c r="DQM25" s="2867"/>
      <c r="DQN25" s="2866"/>
      <c r="DQO25" s="2827"/>
      <c r="DQP25" s="2867"/>
      <c r="DQQ25" s="2866"/>
      <c r="DQR25" s="2827"/>
      <c r="DQS25" s="2867"/>
      <c r="DQT25" s="2866"/>
      <c r="DQU25" s="2827"/>
      <c r="DQV25" s="2867"/>
      <c r="DQW25" s="2866"/>
      <c r="DQX25" s="2827"/>
      <c r="DQY25" s="2867"/>
      <c r="DQZ25" s="2866"/>
      <c r="DRA25" s="2827"/>
      <c r="DRB25" s="2867"/>
      <c r="DRC25" s="2866"/>
      <c r="DRD25" s="2827"/>
      <c r="DRE25" s="2867"/>
      <c r="DRF25" s="2866"/>
      <c r="DRG25" s="2827"/>
      <c r="DRH25" s="2867"/>
      <c r="DRI25" s="2866"/>
      <c r="DRJ25" s="2827"/>
      <c r="DRK25" s="2867"/>
      <c r="DRL25" s="2866"/>
      <c r="DRM25" s="2827"/>
      <c r="DRN25" s="2867"/>
      <c r="DRO25" s="2866"/>
      <c r="DRP25" s="2827"/>
      <c r="DRQ25" s="2867"/>
      <c r="DRR25" s="2866"/>
      <c r="DRS25" s="2827"/>
      <c r="DRT25" s="2867"/>
      <c r="DRU25" s="2866"/>
      <c r="DRV25" s="2827"/>
      <c r="DRW25" s="2867"/>
      <c r="DRX25" s="2866"/>
      <c r="DRY25" s="2827"/>
      <c r="DRZ25" s="2867"/>
      <c r="DSA25" s="2866"/>
      <c r="DSB25" s="2827"/>
      <c r="DSC25" s="2867"/>
      <c r="DSD25" s="2866"/>
      <c r="DSE25" s="2827"/>
      <c r="DSF25" s="2867"/>
      <c r="DSG25" s="2866"/>
      <c r="DSH25" s="2827"/>
      <c r="DSI25" s="2867"/>
      <c r="DSJ25" s="2866"/>
      <c r="DSK25" s="2827"/>
      <c r="DSL25" s="2867"/>
      <c r="DSM25" s="2866"/>
      <c r="DSN25" s="2827"/>
      <c r="DSO25" s="2867"/>
      <c r="DSP25" s="2866"/>
      <c r="DSQ25" s="2827"/>
      <c r="DSR25" s="2867"/>
      <c r="DSS25" s="2866"/>
      <c r="DST25" s="2827"/>
      <c r="DSU25" s="2867"/>
      <c r="DSV25" s="2866"/>
      <c r="DSW25" s="2827"/>
      <c r="DSX25" s="2867"/>
      <c r="DSY25" s="2866"/>
      <c r="DSZ25" s="2827"/>
      <c r="DTA25" s="2867"/>
      <c r="DTB25" s="2866"/>
      <c r="DTC25" s="2827"/>
      <c r="DTD25" s="2867"/>
      <c r="DTE25" s="2866"/>
      <c r="DTF25" s="2827"/>
      <c r="DTG25" s="2867"/>
      <c r="DTH25" s="2866"/>
      <c r="DTI25" s="2827"/>
      <c r="DTJ25" s="2867"/>
      <c r="DTK25" s="2866"/>
      <c r="DTL25" s="2827"/>
      <c r="DTM25" s="2867"/>
      <c r="DTN25" s="2866"/>
      <c r="DTO25" s="2827"/>
      <c r="DTP25" s="2867"/>
      <c r="DTQ25" s="2866"/>
      <c r="DTR25" s="2827"/>
      <c r="DTS25" s="2867"/>
      <c r="DTT25" s="2866"/>
      <c r="DTU25" s="2827"/>
      <c r="DTV25" s="2867"/>
      <c r="DTW25" s="2866"/>
      <c r="DTX25" s="2827"/>
      <c r="DTY25" s="2867"/>
      <c r="DTZ25" s="2866"/>
      <c r="DUA25" s="2827"/>
      <c r="DUB25" s="2867"/>
      <c r="DUC25" s="2866"/>
      <c r="DUD25" s="2827"/>
      <c r="DUE25" s="2867"/>
      <c r="DUF25" s="2866"/>
      <c r="DUG25" s="2827"/>
      <c r="DUH25" s="2867"/>
      <c r="DUI25" s="2866"/>
      <c r="DUJ25" s="2827"/>
      <c r="DUK25" s="2867"/>
      <c r="DUL25" s="2866"/>
      <c r="DUM25" s="2827"/>
      <c r="DUN25" s="2867"/>
      <c r="DUO25" s="2866"/>
      <c r="DUP25" s="2827"/>
      <c r="DUQ25" s="2867"/>
      <c r="DUR25" s="2866"/>
      <c r="DUS25" s="2827"/>
      <c r="DUT25" s="2867"/>
      <c r="DUU25" s="2866"/>
      <c r="DUV25" s="2827"/>
      <c r="DUW25" s="2867"/>
      <c r="DUX25" s="2866"/>
      <c r="DUY25" s="2827"/>
      <c r="DUZ25" s="2867"/>
      <c r="DVA25" s="2866"/>
      <c r="DVB25" s="2827"/>
      <c r="DVC25" s="2867"/>
      <c r="DVD25" s="2866"/>
      <c r="DVE25" s="2827"/>
      <c r="DVF25" s="2867"/>
      <c r="DVG25" s="2866"/>
      <c r="DVH25" s="2827"/>
      <c r="DVI25" s="2867"/>
      <c r="DVJ25" s="2866"/>
      <c r="DVK25" s="2827"/>
      <c r="DVL25" s="2867"/>
      <c r="DVM25" s="2866"/>
      <c r="DVN25" s="2827"/>
      <c r="DVO25" s="2867"/>
      <c r="DVP25" s="2866"/>
      <c r="DVQ25" s="2827"/>
      <c r="DVR25" s="2867"/>
      <c r="DVS25" s="2866"/>
      <c r="DVT25" s="2827"/>
      <c r="DVU25" s="2867"/>
      <c r="DVV25" s="2866"/>
      <c r="DVW25" s="2827"/>
      <c r="DVX25" s="2867"/>
      <c r="DVY25" s="2866"/>
      <c r="DVZ25" s="2827"/>
      <c r="DWA25" s="2867"/>
      <c r="DWB25" s="2866"/>
      <c r="DWC25" s="2827"/>
      <c r="DWD25" s="2867"/>
      <c r="DWE25" s="2866"/>
      <c r="DWF25" s="2827"/>
      <c r="DWG25" s="2867"/>
      <c r="DWH25" s="2866"/>
      <c r="DWI25" s="2827"/>
      <c r="DWJ25" s="2867"/>
      <c r="DWK25" s="2866"/>
      <c r="DWL25" s="2827"/>
      <c r="DWM25" s="2867"/>
      <c r="DWN25" s="2866"/>
      <c r="DWO25" s="2827"/>
      <c r="DWP25" s="2867"/>
      <c r="DWQ25" s="2866"/>
      <c r="DWR25" s="2827"/>
      <c r="DWS25" s="2867"/>
      <c r="DWT25" s="2866"/>
      <c r="DWU25" s="2827"/>
      <c r="DWV25" s="2867"/>
      <c r="DWW25" s="2866"/>
      <c r="DWX25" s="2827"/>
      <c r="DWY25" s="2867"/>
      <c r="DWZ25" s="2866"/>
      <c r="DXA25" s="2827"/>
      <c r="DXB25" s="2867"/>
      <c r="DXC25" s="2866"/>
      <c r="DXD25" s="2827"/>
      <c r="DXE25" s="2867"/>
      <c r="DXF25" s="2866"/>
      <c r="DXG25" s="2827"/>
      <c r="DXH25" s="2867"/>
      <c r="DXI25" s="2866"/>
      <c r="DXJ25" s="2827"/>
      <c r="DXK25" s="2867"/>
      <c r="DXL25" s="2866"/>
      <c r="DXM25" s="2827"/>
      <c r="DXN25" s="2867"/>
      <c r="DXO25" s="2866"/>
      <c r="DXP25" s="2827"/>
      <c r="DXQ25" s="2867"/>
      <c r="DXR25" s="2866"/>
      <c r="DXS25" s="2827"/>
      <c r="DXT25" s="2867"/>
      <c r="DXU25" s="2866"/>
      <c r="DXV25" s="2827"/>
      <c r="DXW25" s="2867"/>
      <c r="DXX25" s="2866"/>
      <c r="DXY25" s="2827"/>
      <c r="DXZ25" s="2867"/>
      <c r="DYA25" s="2866"/>
      <c r="DYB25" s="2827"/>
      <c r="DYC25" s="2867"/>
      <c r="DYD25" s="2866"/>
      <c r="DYE25" s="2827"/>
      <c r="DYF25" s="2867"/>
      <c r="DYG25" s="2866"/>
      <c r="DYH25" s="2827"/>
      <c r="DYI25" s="2867"/>
      <c r="DYJ25" s="2866"/>
      <c r="DYK25" s="2827"/>
      <c r="DYL25" s="2867"/>
      <c r="DYM25" s="2866"/>
      <c r="DYN25" s="2827"/>
      <c r="DYO25" s="2867"/>
      <c r="DYP25" s="2866"/>
      <c r="DYQ25" s="2827"/>
      <c r="DYR25" s="2867"/>
      <c r="DYS25" s="2866"/>
      <c r="DYT25" s="2827"/>
      <c r="DYU25" s="2867"/>
      <c r="DYV25" s="2866"/>
      <c r="DYW25" s="2827"/>
      <c r="DYX25" s="2867"/>
      <c r="DYY25" s="2866"/>
      <c r="DYZ25" s="2827"/>
      <c r="DZA25" s="2867"/>
      <c r="DZB25" s="2866"/>
      <c r="DZC25" s="2827"/>
      <c r="DZD25" s="2867"/>
      <c r="DZE25" s="2866"/>
      <c r="DZF25" s="2827"/>
      <c r="DZG25" s="2867"/>
      <c r="DZH25" s="2866"/>
      <c r="DZI25" s="2827"/>
      <c r="DZJ25" s="2867"/>
      <c r="DZK25" s="2866"/>
      <c r="DZL25" s="2827"/>
      <c r="DZM25" s="2867"/>
      <c r="DZN25" s="2866"/>
      <c r="DZO25" s="2827"/>
      <c r="DZP25" s="2867"/>
      <c r="DZQ25" s="2866"/>
      <c r="DZR25" s="2827"/>
      <c r="DZS25" s="2867"/>
      <c r="DZT25" s="2866"/>
      <c r="DZU25" s="2827"/>
      <c r="DZV25" s="2867"/>
      <c r="DZW25" s="2866"/>
      <c r="DZX25" s="2827"/>
      <c r="DZY25" s="2867"/>
      <c r="DZZ25" s="2866"/>
      <c r="EAA25" s="2827"/>
      <c r="EAB25" s="2867"/>
      <c r="EAC25" s="2866"/>
      <c r="EAD25" s="2827"/>
      <c r="EAE25" s="2867"/>
      <c r="EAF25" s="2866"/>
      <c r="EAG25" s="2827"/>
      <c r="EAH25" s="2867"/>
      <c r="EAI25" s="2866"/>
      <c r="EAJ25" s="2827"/>
      <c r="EAK25" s="2867"/>
      <c r="EAL25" s="2866"/>
      <c r="EAM25" s="2827"/>
      <c r="EAN25" s="2867"/>
      <c r="EAO25" s="2866"/>
      <c r="EAP25" s="2827"/>
      <c r="EAQ25" s="2867"/>
      <c r="EAR25" s="2866"/>
      <c r="EAS25" s="2827"/>
      <c r="EAT25" s="2867"/>
      <c r="EAU25" s="2866"/>
      <c r="EAV25" s="2827"/>
      <c r="EAW25" s="2867"/>
      <c r="EAX25" s="2866"/>
      <c r="EAY25" s="2827"/>
      <c r="EAZ25" s="2867"/>
      <c r="EBA25" s="2866"/>
      <c r="EBB25" s="2827"/>
      <c r="EBC25" s="2867"/>
      <c r="EBD25" s="2866"/>
      <c r="EBE25" s="2827"/>
      <c r="EBF25" s="2867"/>
      <c r="EBG25" s="2866"/>
      <c r="EBH25" s="2827"/>
      <c r="EBI25" s="2867"/>
      <c r="EBJ25" s="2866"/>
      <c r="EBK25" s="2827"/>
      <c r="EBL25" s="2867"/>
      <c r="EBM25" s="2866"/>
      <c r="EBN25" s="2827"/>
      <c r="EBO25" s="2867"/>
      <c r="EBP25" s="2866"/>
      <c r="EBQ25" s="2827"/>
      <c r="EBR25" s="2867"/>
      <c r="EBS25" s="2866"/>
      <c r="EBT25" s="2827"/>
      <c r="EBU25" s="2867"/>
      <c r="EBV25" s="2866"/>
      <c r="EBW25" s="2827"/>
      <c r="EBX25" s="2867"/>
      <c r="EBY25" s="2866"/>
      <c r="EBZ25" s="2827"/>
      <c r="ECA25" s="2867"/>
      <c r="ECB25" s="2866"/>
      <c r="ECC25" s="2827"/>
      <c r="ECD25" s="2867"/>
      <c r="ECE25" s="2866"/>
      <c r="ECF25" s="2827"/>
      <c r="ECG25" s="2867"/>
      <c r="ECH25" s="2866"/>
      <c r="ECI25" s="2827"/>
      <c r="ECJ25" s="2867"/>
      <c r="ECK25" s="2866"/>
      <c r="ECL25" s="2827"/>
      <c r="ECM25" s="2867"/>
      <c r="ECN25" s="2866"/>
      <c r="ECO25" s="2827"/>
      <c r="ECP25" s="2867"/>
      <c r="ECQ25" s="2866"/>
      <c r="ECR25" s="2827"/>
      <c r="ECS25" s="2867"/>
      <c r="ECT25" s="2866"/>
      <c r="ECU25" s="2827"/>
      <c r="ECV25" s="2867"/>
      <c r="ECW25" s="2866"/>
      <c r="ECX25" s="2827"/>
      <c r="ECY25" s="2867"/>
      <c r="ECZ25" s="2866"/>
      <c r="EDA25" s="2827"/>
      <c r="EDB25" s="2867"/>
      <c r="EDC25" s="2866"/>
      <c r="EDD25" s="2827"/>
      <c r="EDE25" s="2867"/>
      <c r="EDF25" s="2866"/>
      <c r="EDG25" s="2827"/>
      <c r="EDH25" s="2867"/>
      <c r="EDI25" s="2866"/>
      <c r="EDJ25" s="2827"/>
      <c r="EDK25" s="2867"/>
      <c r="EDL25" s="2866"/>
      <c r="EDM25" s="2827"/>
      <c r="EDN25" s="2867"/>
      <c r="EDO25" s="2866"/>
      <c r="EDP25" s="2827"/>
      <c r="EDQ25" s="2867"/>
      <c r="EDR25" s="2866"/>
      <c r="EDS25" s="2827"/>
      <c r="EDT25" s="2867"/>
      <c r="EDU25" s="2866"/>
      <c r="EDV25" s="2827"/>
      <c r="EDW25" s="2867"/>
      <c r="EDX25" s="2866"/>
      <c r="EDY25" s="2827"/>
      <c r="EDZ25" s="2867"/>
      <c r="EEA25" s="2866"/>
      <c r="EEB25" s="2827"/>
      <c r="EEC25" s="2867"/>
      <c r="EED25" s="2866"/>
      <c r="EEE25" s="2827"/>
      <c r="EEF25" s="2867"/>
      <c r="EEG25" s="2866"/>
      <c r="EEH25" s="2827"/>
      <c r="EEI25" s="2867"/>
      <c r="EEJ25" s="2866"/>
      <c r="EEK25" s="2827"/>
      <c r="EEL25" s="2867"/>
      <c r="EEM25" s="2866"/>
      <c r="EEN25" s="2827"/>
      <c r="EEO25" s="2867"/>
      <c r="EEP25" s="2866"/>
      <c r="EEQ25" s="2827"/>
      <c r="EER25" s="2867"/>
      <c r="EES25" s="2866"/>
      <c r="EET25" s="2827"/>
      <c r="EEU25" s="2867"/>
      <c r="EEV25" s="2866"/>
      <c r="EEW25" s="2827"/>
      <c r="EEX25" s="2867"/>
      <c r="EEY25" s="2866"/>
      <c r="EEZ25" s="2827"/>
      <c r="EFA25" s="2867"/>
      <c r="EFB25" s="2866"/>
      <c r="EFC25" s="2827"/>
      <c r="EFD25" s="2867"/>
      <c r="EFE25" s="2866"/>
      <c r="EFF25" s="2827"/>
      <c r="EFG25" s="2867"/>
      <c r="EFH25" s="2866"/>
      <c r="EFI25" s="2827"/>
      <c r="EFJ25" s="2867"/>
      <c r="EFK25" s="2866"/>
      <c r="EFL25" s="2827"/>
      <c r="EFM25" s="2867"/>
      <c r="EFN25" s="2866"/>
      <c r="EFO25" s="2827"/>
      <c r="EFP25" s="2867"/>
      <c r="EFQ25" s="2866"/>
      <c r="EFR25" s="2827"/>
      <c r="EFS25" s="2867"/>
      <c r="EFT25" s="2866"/>
      <c r="EFU25" s="2827"/>
      <c r="EFV25" s="2867"/>
      <c r="EFW25" s="2866"/>
      <c r="EFX25" s="2827"/>
      <c r="EFY25" s="2867"/>
      <c r="EFZ25" s="2866"/>
      <c r="EGA25" s="2827"/>
      <c r="EGB25" s="2867"/>
      <c r="EGC25" s="2866"/>
      <c r="EGD25" s="2827"/>
      <c r="EGE25" s="2867"/>
      <c r="EGF25" s="2866"/>
      <c r="EGG25" s="2827"/>
      <c r="EGH25" s="2867"/>
      <c r="EGI25" s="2866"/>
      <c r="EGJ25" s="2827"/>
      <c r="EGK25" s="2867"/>
      <c r="EGL25" s="2866"/>
      <c r="EGM25" s="2827"/>
      <c r="EGN25" s="2867"/>
      <c r="EGO25" s="2866"/>
      <c r="EGP25" s="2827"/>
      <c r="EGQ25" s="2867"/>
      <c r="EGR25" s="2866"/>
      <c r="EGS25" s="2827"/>
      <c r="EGT25" s="2867"/>
      <c r="EGU25" s="2866"/>
      <c r="EGV25" s="2827"/>
      <c r="EGW25" s="2867"/>
      <c r="EGX25" s="2866"/>
      <c r="EGY25" s="2827"/>
      <c r="EGZ25" s="2867"/>
      <c r="EHA25" s="2866"/>
      <c r="EHB25" s="2827"/>
      <c r="EHC25" s="2867"/>
      <c r="EHD25" s="2866"/>
      <c r="EHE25" s="2827"/>
      <c r="EHF25" s="2867"/>
      <c r="EHG25" s="2866"/>
      <c r="EHH25" s="2827"/>
      <c r="EHI25" s="2867"/>
      <c r="EHJ25" s="2866"/>
      <c r="EHK25" s="2827"/>
      <c r="EHL25" s="2867"/>
      <c r="EHM25" s="2866"/>
      <c r="EHN25" s="2827"/>
      <c r="EHO25" s="2867"/>
      <c r="EHP25" s="2866"/>
      <c r="EHQ25" s="2827"/>
      <c r="EHR25" s="2867"/>
      <c r="EHS25" s="2866"/>
      <c r="EHT25" s="2827"/>
      <c r="EHU25" s="2867"/>
      <c r="EHV25" s="2866"/>
      <c r="EHW25" s="2827"/>
      <c r="EHX25" s="2867"/>
      <c r="EHY25" s="2866"/>
      <c r="EHZ25" s="2827"/>
      <c r="EIA25" s="2867"/>
      <c r="EIB25" s="2866"/>
      <c r="EIC25" s="2827"/>
      <c r="EID25" s="2867"/>
      <c r="EIE25" s="2866"/>
      <c r="EIF25" s="2827"/>
      <c r="EIG25" s="2867"/>
      <c r="EIH25" s="2866"/>
      <c r="EII25" s="2827"/>
      <c r="EIJ25" s="2867"/>
      <c r="EIK25" s="2866"/>
      <c r="EIL25" s="2827"/>
      <c r="EIM25" s="2867"/>
      <c r="EIN25" s="2866"/>
      <c r="EIO25" s="2827"/>
      <c r="EIP25" s="2867"/>
      <c r="EIQ25" s="2866"/>
      <c r="EIR25" s="2827"/>
      <c r="EIS25" s="2867"/>
      <c r="EIT25" s="2866"/>
      <c r="EIU25" s="2827"/>
      <c r="EIV25" s="2867"/>
      <c r="EIW25" s="2866"/>
      <c r="EIX25" s="2827"/>
      <c r="EIY25" s="2867"/>
      <c r="EIZ25" s="2866"/>
      <c r="EJA25" s="2827"/>
      <c r="EJB25" s="2867"/>
      <c r="EJC25" s="2866"/>
      <c r="EJD25" s="2827"/>
      <c r="EJE25" s="2867"/>
      <c r="EJF25" s="2866"/>
      <c r="EJG25" s="2827"/>
      <c r="EJH25" s="2867"/>
      <c r="EJI25" s="2866"/>
      <c r="EJJ25" s="2827"/>
      <c r="EJK25" s="2867"/>
      <c r="EJL25" s="2866"/>
      <c r="EJM25" s="2827"/>
      <c r="EJN25" s="2867"/>
      <c r="EJO25" s="2866"/>
      <c r="EJP25" s="2827"/>
      <c r="EJQ25" s="2867"/>
      <c r="EJR25" s="2866"/>
      <c r="EJS25" s="2827"/>
      <c r="EJT25" s="2867"/>
      <c r="EJU25" s="2866"/>
      <c r="EJV25" s="2827"/>
      <c r="EJW25" s="2867"/>
      <c r="EJX25" s="2866"/>
      <c r="EJY25" s="2827"/>
      <c r="EJZ25" s="2867"/>
      <c r="EKA25" s="2866"/>
      <c r="EKB25" s="2827"/>
      <c r="EKC25" s="2867"/>
      <c r="EKD25" s="2866"/>
      <c r="EKE25" s="2827"/>
      <c r="EKF25" s="2867"/>
      <c r="EKG25" s="2866"/>
      <c r="EKH25" s="2827"/>
      <c r="EKI25" s="2867"/>
      <c r="EKJ25" s="2866"/>
      <c r="EKK25" s="2827"/>
      <c r="EKL25" s="2867"/>
      <c r="EKM25" s="2866"/>
      <c r="EKN25" s="2827"/>
      <c r="EKO25" s="2867"/>
      <c r="EKP25" s="2866"/>
      <c r="EKQ25" s="2827"/>
      <c r="EKR25" s="2867"/>
      <c r="EKS25" s="2866"/>
      <c r="EKT25" s="2827"/>
      <c r="EKU25" s="2867"/>
      <c r="EKV25" s="2866"/>
      <c r="EKW25" s="2827"/>
      <c r="EKX25" s="2867"/>
      <c r="EKY25" s="2866"/>
      <c r="EKZ25" s="2827"/>
      <c r="ELA25" s="2867"/>
      <c r="ELB25" s="2866"/>
      <c r="ELC25" s="2827"/>
      <c r="ELD25" s="2867"/>
      <c r="ELE25" s="2866"/>
      <c r="ELF25" s="2827"/>
      <c r="ELG25" s="2867"/>
      <c r="ELH25" s="2866"/>
      <c r="ELI25" s="2827"/>
      <c r="ELJ25" s="2867"/>
      <c r="ELK25" s="2866"/>
      <c r="ELL25" s="2827"/>
      <c r="ELM25" s="2867"/>
      <c r="ELN25" s="2866"/>
      <c r="ELO25" s="2827"/>
      <c r="ELP25" s="2867"/>
      <c r="ELQ25" s="2866"/>
      <c r="ELR25" s="2827"/>
      <c r="ELS25" s="2867"/>
      <c r="ELT25" s="2866"/>
      <c r="ELU25" s="2827"/>
      <c r="ELV25" s="2867"/>
      <c r="ELW25" s="2866"/>
      <c r="ELX25" s="2827"/>
      <c r="ELY25" s="2867"/>
      <c r="ELZ25" s="2866"/>
      <c r="EMA25" s="2827"/>
      <c r="EMB25" s="2867"/>
      <c r="EMC25" s="2866"/>
      <c r="EMD25" s="2827"/>
      <c r="EME25" s="2867"/>
      <c r="EMF25" s="2866"/>
      <c r="EMG25" s="2827"/>
      <c r="EMH25" s="2867"/>
      <c r="EMI25" s="2866"/>
      <c r="EMJ25" s="2827"/>
      <c r="EMK25" s="2867"/>
      <c r="EML25" s="2866"/>
      <c r="EMM25" s="2827"/>
      <c r="EMN25" s="2867"/>
      <c r="EMO25" s="2866"/>
      <c r="EMP25" s="2827"/>
      <c r="EMQ25" s="2867"/>
      <c r="EMR25" s="2866"/>
      <c r="EMS25" s="2827"/>
      <c r="EMT25" s="2867"/>
      <c r="EMU25" s="2866"/>
      <c r="EMV25" s="2827"/>
      <c r="EMW25" s="2867"/>
      <c r="EMX25" s="2866"/>
      <c r="EMY25" s="2827"/>
      <c r="EMZ25" s="2867"/>
      <c r="ENA25" s="2866"/>
      <c r="ENB25" s="2827"/>
      <c r="ENC25" s="2867"/>
      <c r="END25" s="2866"/>
      <c r="ENE25" s="2827"/>
      <c r="ENF25" s="2867"/>
      <c r="ENG25" s="2866"/>
      <c r="ENH25" s="2827"/>
      <c r="ENI25" s="2867"/>
      <c r="ENJ25" s="2866"/>
      <c r="ENK25" s="2827"/>
      <c r="ENL25" s="2867"/>
      <c r="ENM25" s="2866"/>
      <c r="ENN25" s="2827"/>
      <c r="ENO25" s="2867"/>
      <c r="ENP25" s="2866"/>
      <c r="ENQ25" s="2827"/>
      <c r="ENR25" s="2867"/>
      <c r="ENS25" s="2866"/>
      <c r="ENT25" s="2827"/>
      <c r="ENU25" s="2867"/>
      <c r="ENV25" s="2866"/>
      <c r="ENW25" s="2827"/>
      <c r="ENX25" s="2867"/>
      <c r="ENY25" s="2866"/>
      <c r="ENZ25" s="2827"/>
      <c r="EOA25" s="2867"/>
      <c r="EOB25" s="2866"/>
      <c r="EOC25" s="2827"/>
      <c r="EOD25" s="2867"/>
      <c r="EOE25" s="2866"/>
      <c r="EOF25" s="2827"/>
      <c r="EOG25" s="2867"/>
      <c r="EOH25" s="2866"/>
      <c r="EOI25" s="2827"/>
      <c r="EOJ25" s="2867"/>
      <c r="EOK25" s="2866"/>
      <c r="EOL25" s="2827"/>
      <c r="EOM25" s="2867"/>
      <c r="EON25" s="2866"/>
      <c r="EOO25" s="2827"/>
      <c r="EOP25" s="2867"/>
      <c r="EOQ25" s="2866"/>
      <c r="EOR25" s="2827"/>
      <c r="EOS25" s="2867"/>
      <c r="EOT25" s="2866"/>
      <c r="EOU25" s="2827"/>
      <c r="EOV25" s="2867"/>
      <c r="EOW25" s="2866"/>
      <c r="EOX25" s="2827"/>
      <c r="EOY25" s="2867"/>
      <c r="EOZ25" s="2866"/>
      <c r="EPA25" s="2827"/>
      <c r="EPB25" s="2867"/>
      <c r="EPC25" s="2866"/>
      <c r="EPD25" s="2827"/>
      <c r="EPE25" s="2867"/>
      <c r="EPF25" s="2866"/>
      <c r="EPG25" s="2827"/>
      <c r="EPH25" s="2867"/>
      <c r="EPI25" s="2866"/>
      <c r="EPJ25" s="2827"/>
      <c r="EPK25" s="2867"/>
      <c r="EPL25" s="2866"/>
      <c r="EPM25" s="2827"/>
      <c r="EPN25" s="2867"/>
      <c r="EPO25" s="2866"/>
      <c r="EPP25" s="2827"/>
      <c r="EPQ25" s="2867"/>
      <c r="EPR25" s="2866"/>
      <c r="EPS25" s="2827"/>
      <c r="EPT25" s="2867"/>
      <c r="EPU25" s="2866"/>
      <c r="EPV25" s="2827"/>
      <c r="EPW25" s="2867"/>
      <c r="EPX25" s="2866"/>
      <c r="EPY25" s="2827"/>
      <c r="EPZ25" s="2867"/>
      <c r="EQA25" s="2866"/>
      <c r="EQB25" s="2827"/>
      <c r="EQC25" s="2867"/>
      <c r="EQD25" s="2866"/>
      <c r="EQE25" s="2827"/>
      <c r="EQF25" s="2867"/>
      <c r="EQG25" s="2866"/>
      <c r="EQH25" s="2827"/>
      <c r="EQI25" s="2867"/>
      <c r="EQJ25" s="2866"/>
      <c r="EQK25" s="2827"/>
      <c r="EQL25" s="2867"/>
      <c r="EQM25" s="2866"/>
      <c r="EQN25" s="2827"/>
      <c r="EQO25" s="2867"/>
      <c r="EQP25" s="2866"/>
      <c r="EQQ25" s="2827"/>
      <c r="EQR25" s="2867"/>
      <c r="EQS25" s="2866"/>
      <c r="EQT25" s="2827"/>
      <c r="EQU25" s="2867"/>
      <c r="EQV25" s="2866"/>
      <c r="EQW25" s="2827"/>
      <c r="EQX25" s="2867"/>
      <c r="EQY25" s="2866"/>
      <c r="EQZ25" s="2827"/>
      <c r="ERA25" s="2867"/>
      <c r="ERB25" s="2866"/>
      <c r="ERC25" s="2827"/>
      <c r="ERD25" s="2867"/>
      <c r="ERE25" s="2866"/>
      <c r="ERF25" s="2827"/>
      <c r="ERG25" s="2867"/>
      <c r="ERH25" s="2866"/>
      <c r="ERI25" s="2827"/>
      <c r="ERJ25" s="2867"/>
      <c r="ERK25" s="2866"/>
      <c r="ERL25" s="2827"/>
      <c r="ERM25" s="2867"/>
      <c r="ERN25" s="2866"/>
      <c r="ERO25" s="2827"/>
      <c r="ERP25" s="2867"/>
      <c r="ERQ25" s="2866"/>
      <c r="ERR25" s="2827"/>
      <c r="ERS25" s="2867"/>
      <c r="ERT25" s="2866"/>
      <c r="ERU25" s="2827"/>
      <c r="ERV25" s="2867"/>
      <c r="ERW25" s="2866"/>
      <c r="ERX25" s="2827"/>
      <c r="ERY25" s="2867"/>
      <c r="ERZ25" s="2866"/>
      <c r="ESA25" s="2827"/>
      <c r="ESB25" s="2867"/>
      <c r="ESC25" s="2866"/>
      <c r="ESD25" s="2827"/>
      <c r="ESE25" s="2867"/>
      <c r="ESF25" s="2866"/>
      <c r="ESG25" s="2827"/>
      <c r="ESH25" s="2867"/>
      <c r="ESI25" s="2866"/>
      <c r="ESJ25" s="2827"/>
      <c r="ESK25" s="2867"/>
      <c r="ESL25" s="2866"/>
      <c r="ESM25" s="2827"/>
      <c r="ESN25" s="2867"/>
      <c r="ESO25" s="2866"/>
      <c r="ESP25" s="2827"/>
      <c r="ESQ25" s="2867"/>
      <c r="ESR25" s="2866"/>
      <c r="ESS25" s="2827"/>
      <c r="EST25" s="2867"/>
      <c r="ESU25" s="2866"/>
      <c r="ESV25" s="2827"/>
      <c r="ESW25" s="2867"/>
      <c r="ESX25" s="2866"/>
      <c r="ESY25" s="2827"/>
      <c r="ESZ25" s="2867"/>
      <c r="ETA25" s="2866"/>
      <c r="ETB25" s="2827"/>
      <c r="ETC25" s="2867"/>
      <c r="ETD25" s="2866"/>
      <c r="ETE25" s="2827"/>
      <c r="ETF25" s="2867"/>
      <c r="ETG25" s="2866"/>
      <c r="ETH25" s="2827"/>
      <c r="ETI25" s="2867"/>
      <c r="ETJ25" s="2866"/>
      <c r="ETK25" s="2827"/>
      <c r="ETL25" s="2867"/>
      <c r="ETM25" s="2866"/>
      <c r="ETN25" s="2827"/>
      <c r="ETO25" s="2867"/>
      <c r="ETP25" s="2866"/>
      <c r="ETQ25" s="2827"/>
      <c r="ETR25" s="2867"/>
      <c r="ETS25" s="2866"/>
      <c r="ETT25" s="2827"/>
      <c r="ETU25" s="2867"/>
      <c r="ETV25" s="2866"/>
      <c r="ETW25" s="2827"/>
      <c r="ETX25" s="2867"/>
      <c r="ETY25" s="2866"/>
      <c r="ETZ25" s="2827"/>
      <c r="EUA25" s="2867"/>
      <c r="EUB25" s="2866"/>
      <c r="EUC25" s="2827"/>
      <c r="EUD25" s="2867"/>
      <c r="EUE25" s="2866"/>
      <c r="EUF25" s="2827"/>
      <c r="EUG25" s="2867"/>
      <c r="EUH25" s="2866"/>
      <c r="EUI25" s="2827"/>
      <c r="EUJ25" s="2867"/>
      <c r="EUK25" s="2866"/>
      <c r="EUL25" s="2827"/>
      <c r="EUM25" s="2867"/>
      <c r="EUN25" s="2866"/>
      <c r="EUO25" s="2827"/>
      <c r="EUP25" s="2867"/>
      <c r="EUQ25" s="2866"/>
      <c r="EUR25" s="2827"/>
      <c r="EUS25" s="2867"/>
      <c r="EUT25" s="2866"/>
      <c r="EUU25" s="2827"/>
      <c r="EUV25" s="2867"/>
      <c r="EUW25" s="2866"/>
      <c r="EUX25" s="2827"/>
      <c r="EUY25" s="2867"/>
      <c r="EUZ25" s="2866"/>
      <c r="EVA25" s="2827"/>
      <c r="EVB25" s="2867"/>
      <c r="EVC25" s="2866"/>
      <c r="EVD25" s="2827"/>
      <c r="EVE25" s="2867"/>
      <c r="EVF25" s="2866"/>
      <c r="EVG25" s="2827"/>
      <c r="EVH25" s="2867"/>
      <c r="EVI25" s="2866"/>
      <c r="EVJ25" s="2827"/>
      <c r="EVK25" s="2867"/>
      <c r="EVL25" s="2866"/>
      <c r="EVM25" s="2827"/>
      <c r="EVN25" s="2867"/>
      <c r="EVO25" s="2866"/>
      <c r="EVP25" s="2827"/>
      <c r="EVQ25" s="2867"/>
      <c r="EVR25" s="2866"/>
      <c r="EVS25" s="2827"/>
      <c r="EVT25" s="2867"/>
      <c r="EVU25" s="2866"/>
      <c r="EVV25" s="2827"/>
      <c r="EVW25" s="2867"/>
      <c r="EVX25" s="2866"/>
      <c r="EVY25" s="2827"/>
      <c r="EVZ25" s="2867"/>
      <c r="EWA25" s="2866"/>
      <c r="EWB25" s="2827"/>
      <c r="EWC25" s="2867"/>
      <c r="EWD25" s="2866"/>
      <c r="EWE25" s="2827"/>
      <c r="EWF25" s="2867"/>
      <c r="EWG25" s="2866"/>
      <c r="EWH25" s="2827"/>
      <c r="EWI25" s="2867"/>
      <c r="EWJ25" s="2866"/>
      <c r="EWK25" s="2827"/>
      <c r="EWL25" s="2867"/>
      <c r="EWM25" s="2866"/>
      <c r="EWN25" s="2827"/>
      <c r="EWO25" s="2867"/>
      <c r="EWP25" s="2866"/>
      <c r="EWQ25" s="2827"/>
      <c r="EWR25" s="2867"/>
      <c r="EWS25" s="2866"/>
      <c r="EWT25" s="2827"/>
      <c r="EWU25" s="2867"/>
      <c r="EWV25" s="2866"/>
      <c r="EWW25" s="2827"/>
      <c r="EWX25" s="2867"/>
      <c r="EWY25" s="2866"/>
      <c r="EWZ25" s="2827"/>
      <c r="EXA25" s="2867"/>
      <c r="EXB25" s="2866"/>
      <c r="EXC25" s="2827"/>
      <c r="EXD25" s="2867"/>
      <c r="EXE25" s="2866"/>
      <c r="EXF25" s="2827"/>
      <c r="EXG25" s="2867"/>
      <c r="EXH25" s="2866"/>
      <c r="EXI25" s="2827"/>
      <c r="EXJ25" s="2867"/>
      <c r="EXK25" s="2866"/>
      <c r="EXL25" s="2827"/>
      <c r="EXM25" s="2867"/>
      <c r="EXN25" s="2866"/>
      <c r="EXO25" s="2827"/>
      <c r="EXP25" s="2867"/>
      <c r="EXQ25" s="2866"/>
      <c r="EXR25" s="2827"/>
      <c r="EXS25" s="2867"/>
      <c r="EXT25" s="2866"/>
      <c r="EXU25" s="2827"/>
      <c r="EXV25" s="2867"/>
      <c r="EXW25" s="2866"/>
      <c r="EXX25" s="2827"/>
      <c r="EXY25" s="2867"/>
      <c r="EXZ25" s="2866"/>
      <c r="EYA25" s="2827"/>
      <c r="EYB25" s="2867"/>
      <c r="EYC25" s="2866"/>
      <c r="EYD25" s="2827"/>
      <c r="EYE25" s="2867"/>
      <c r="EYF25" s="2866"/>
      <c r="EYG25" s="2827"/>
      <c r="EYH25" s="2867"/>
      <c r="EYI25" s="2866"/>
      <c r="EYJ25" s="2827"/>
      <c r="EYK25" s="2867"/>
      <c r="EYL25" s="2866"/>
      <c r="EYM25" s="2827"/>
      <c r="EYN25" s="2867"/>
      <c r="EYO25" s="2866"/>
      <c r="EYP25" s="2827"/>
      <c r="EYQ25" s="2867"/>
      <c r="EYR25" s="2866"/>
      <c r="EYS25" s="2827"/>
      <c r="EYT25" s="2867"/>
      <c r="EYU25" s="2866"/>
      <c r="EYV25" s="2827"/>
      <c r="EYW25" s="2867"/>
      <c r="EYX25" s="2866"/>
      <c r="EYY25" s="2827"/>
      <c r="EYZ25" s="2867"/>
      <c r="EZA25" s="2866"/>
      <c r="EZB25" s="2827"/>
      <c r="EZC25" s="2867"/>
      <c r="EZD25" s="2866"/>
      <c r="EZE25" s="2827"/>
      <c r="EZF25" s="2867"/>
      <c r="EZG25" s="2866"/>
      <c r="EZH25" s="2827"/>
      <c r="EZI25" s="2867"/>
      <c r="EZJ25" s="2866"/>
      <c r="EZK25" s="2827"/>
      <c r="EZL25" s="2867"/>
      <c r="EZM25" s="2866"/>
      <c r="EZN25" s="2827"/>
      <c r="EZO25" s="2867"/>
      <c r="EZP25" s="2866"/>
      <c r="EZQ25" s="2827"/>
      <c r="EZR25" s="2867"/>
      <c r="EZS25" s="2866"/>
      <c r="EZT25" s="2827"/>
      <c r="EZU25" s="2867"/>
      <c r="EZV25" s="2866"/>
      <c r="EZW25" s="2827"/>
      <c r="EZX25" s="2867"/>
      <c r="EZY25" s="2866"/>
      <c r="EZZ25" s="2827"/>
      <c r="FAA25" s="2867"/>
      <c r="FAB25" s="2866"/>
      <c r="FAC25" s="2827"/>
      <c r="FAD25" s="2867"/>
      <c r="FAE25" s="2866"/>
      <c r="FAF25" s="2827"/>
      <c r="FAG25" s="2867"/>
      <c r="FAH25" s="2866"/>
      <c r="FAI25" s="2827"/>
      <c r="FAJ25" s="2867"/>
      <c r="FAK25" s="2866"/>
      <c r="FAL25" s="2827"/>
      <c r="FAM25" s="2867"/>
      <c r="FAN25" s="2866"/>
      <c r="FAO25" s="2827"/>
      <c r="FAP25" s="2867"/>
      <c r="FAQ25" s="2866"/>
      <c r="FAR25" s="2827"/>
      <c r="FAS25" s="2867"/>
      <c r="FAT25" s="2866"/>
      <c r="FAU25" s="2827"/>
      <c r="FAV25" s="2867"/>
      <c r="FAW25" s="2866"/>
      <c r="FAX25" s="2827"/>
      <c r="FAY25" s="2867"/>
      <c r="FAZ25" s="2866"/>
      <c r="FBA25" s="2827"/>
      <c r="FBB25" s="2867"/>
      <c r="FBC25" s="2866"/>
      <c r="FBD25" s="2827"/>
      <c r="FBE25" s="2867"/>
      <c r="FBF25" s="2866"/>
      <c r="FBG25" s="2827"/>
      <c r="FBH25" s="2867"/>
      <c r="FBI25" s="2866"/>
      <c r="FBJ25" s="2827"/>
      <c r="FBK25" s="2867"/>
      <c r="FBL25" s="2866"/>
      <c r="FBM25" s="2827"/>
      <c r="FBN25" s="2867"/>
      <c r="FBO25" s="2866"/>
      <c r="FBP25" s="2827"/>
      <c r="FBQ25" s="2867"/>
      <c r="FBR25" s="2866"/>
      <c r="FBS25" s="2827"/>
      <c r="FBT25" s="2867"/>
      <c r="FBU25" s="2866"/>
      <c r="FBV25" s="2827"/>
      <c r="FBW25" s="2867"/>
      <c r="FBX25" s="2866"/>
      <c r="FBY25" s="2827"/>
      <c r="FBZ25" s="2867"/>
      <c r="FCA25" s="2866"/>
      <c r="FCB25" s="2827"/>
      <c r="FCC25" s="2867"/>
      <c r="FCD25" s="2866"/>
      <c r="FCE25" s="2827"/>
      <c r="FCF25" s="2867"/>
      <c r="FCG25" s="2866"/>
      <c r="FCH25" s="2827"/>
      <c r="FCI25" s="2867"/>
      <c r="FCJ25" s="2866"/>
      <c r="FCK25" s="2827"/>
      <c r="FCL25" s="2867"/>
      <c r="FCM25" s="2866"/>
      <c r="FCN25" s="2827"/>
      <c r="FCO25" s="2867"/>
      <c r="FCP25" s="2866"/>
      <c r="FCQ25" s="2827"/>
      <c r="FCR25" s="2867"/>
      <c r="FCS25" s="2866"/>
      <c r="FCT25" s="2827"/>
      <c r="FCU25" s="2867"/>
      <c r="FCV25" s="2866"/>
      <c r="FCW25" s="2827"/>
      <c r="FCX25" s="2867"/>
      <c r="FCY25" s="2866"/>
      <c r="FCZ25" s="2827"/>
      <c r="FDA25" s="2867"/>
      <c r="FDB25" s="2866"/>
      <c r="FDC25" s="2827"/>
      <c r="FDD25" s="2867"/>
      <c r="FDE25" s="2866"/>
      <c r="FDF25" s="2827"/>
      <c r="FDG25" s="2867"/>
      <c r="FDH25" s="2866"/>
      <c r="FDI25" s="2827"/>
      <c r="FDJ25" s="2867"/>
      <c r="FDK25" s="2866"/>
      <c r="FDL25" s="2827"/>
      <c r="FDM25" s="2867"/>
      <c r="FDN25" s="2866"/>
      <c r="FDO25" s="2827"/>
      <c r="FDP25" s="2867"/>
      <c r="FDQ25" s="2866"/>
      <c r="FDR25" s="2827"/>
      <c r="FDS25" s="2867"/>
      <c r="FDT25" s="2866"/>
      <c r="FDU25" s="2827"/>
      <c r="FDV25" s="2867"/>
      <c r="FDW25" s="2866"/>
      <c r="FDX25" s="2827"/>
      <c r="FDY25" s="2867"/>
      <c r="FDZ25" s="2866"/>
      <c r="FEA25" s="2827"/>
      <c r="FEB25" s="2867"/>
      <c r="FEC25" s="2866"/>
      <c r="FED25" s="2827"/>
      <c r="FEE25" s="2867"/>
      <c r="FEF25" s="2866"/>
      <c r="FEG25" s="2827"/>
      <c r="FEH25" s="2867"/>
      <c r="FEI25" s="2866"/>
      <c r="FEJ25" s="2827"/>
      <c r="FEK25" s="2867"/>
      <c r="FEL25" s="2866"/>
      <c r="FEM25" s="2827"/>
      <c r="FEN25" s="2867"/>
      <c r="FEO25" s="2866"/>
      <c r="FEP25" s="2827"/>
      <c r="FEQ25" s="2867"/>
      <c r="FER25" s="2866"/>
      <c r="FES25" s="2827"/>
      <c r="FET25" s="2867"/>
      <c r="FEU25" s="2866"/>
      <c r="FEV25" s="2827"/>
      <c r="FEW25" s="2867"/>
      <c r="FEX25" s="2866"/>
      <c r="FEY25" s="2827"/>
      <c r="FEZ25" s="2867"/>
      <c r="FFA25" s="2866"/>
      <c r="FFB25" s="2827"/>
      <c r="FFC25" s="2867"/>
      <c r="FFD25" s="2866"/>
      <c r="FFE25" s="2827"/>
      <c r="FFF25" s="2867"/>
      <c r="FFG25" s="2866"/>
      <c r="FFH25" s="2827"/>
      <c r="FFI25" s="2867"/>
      <c r="FFJ25" s="2866"/>
      <c r="FFK25" s="2827"/>
      <c r="FFL25" s="2867"/>
      <c r="FFM25" s="2866"/>
      <c r="FFN25" s="2827"/>
      <c r="FFO25" s="2867"/>
      <c r="FFP25" s="2866"/>
      <c r="FFQ25" s="2827"/>
      <c r="FFR25" s="2867"/>
      <c r="FFS25" s="2866"/>
      <c r="FFT25" s="2827"/>
      <c r="FFU25" s="2867"/>
      <c r="FFV25" s="2866"/>
      <c r="FFW25" s="2827"/>
      <c r="FFX25" s="2867"/>
      <c r="FFY25" s="2866"/>
      <c r="FFZ25" s="2827"/>
      <c r="FGA25" s="2867"/>
      <c r="FGB25" s="2866"/>
      <c r="FGC25" s="2827"/>
      <c r="FGD25" s="2867"/>
      <c r="FGE25" s="2866"/>
      <c r="FGF25" s="2827"/>
      <c r="FGG25" s="2867"/>
      <c r="FGH25" s="2866"/>
      <c r="FGI25" s="2827"/>
      <c r="FGJ25" s="2867"/>
      <c r="FGK25" s="2866"/>
      <c r="FGL25" s="2827"/>
      <c r="FGM25" s="2867"/>
      <c r="FGN25" s="2866"/>
      <c r="FGO25" s="2827"/>
      <c r="FGP25" s="2867"/>
      <c r="FGQ25" s="2866"/>
      <c r="FGR25" s="2827"/>
      <c r="FGS25" s="2867"/>
      <c r="FGT25" s="2866"/>
      <c r="FGU25" s="2827"/>
      <c r="FGV25" s="2867"/>
      <c r="FGW25" s="2866"/>
      <c r="FGX25" s="2827"/>
      <c r="FGY25" s="2867"/>
      <c r="FGZ25" s="2866"/>
      <c r="FHA25" s="2827"/>
      <c r="FHB25" s="2867"/>
      <c r="FHC25" s="2866"/>
      <c r="FHD25" s="2827"/>
      <c r="FHE25" s="2867"/>
      <c r="FHF25" s="2866"/>
      <c r="FHG25" s="2827"/>
      <c r="FHH25" s="2867"/>
      <c r="FHI25" s="2866"/>
      <c r="FHJ25" s="2827"/>
      <c r="FHK25" s="2867"/>
      <c r="FHL25" s="2866"/>
      <c r="FHM25" s="2827"/>
      <c r="FHN25" s="2867"/>
      <c r="FHO25" s="2866"/>
      <c r="FHP25" s="2827"/>
      <c r="FHQ25" s="2867"/>
      <c r="FHR25" s="2866"/>
      <c r="FHS25" s="2827"/>
      <c r="FHT25" s="2867"/>
      <c r="FHU25" s="2866"/>
      <c r="FHV25" s="2827"/>
      <c r="FHW25" s="2867"/>
      <c r="FHX25" s="2866"/>
      <c r="FHY25" s="2827"/>
      <c r="FHZ25" s="2867"/>
      <c r="FIA25" s="2866"/>
      <c r="FIB25" s="2827"/>
      <c r="FIC25" s="2867"/>
      <c r="FID25" s="2866"/>
      <c r="FIE25" s="2827"/>
      <c r="FIF25" s="2867"/>
      <c r="FIG25" s="2866"/>
      <c r="FIH25" s="2827"/>
      <c r="FII25" s="2867"/>
      <c r="FIJ25" s="2866"/>
      <c r="FIK25" s="2827"/>
      <c r="FIL25" s="2867"/>
      <c r="FIM25" s="2866"/>
      <c r="FIN25" s="2827"/>
      <c r="FIO25" s="2867"/>
      <c r="FIP25" s="2866"/>
      <c r="FIQ25" s="2827"/>
      <c r="FIR25" s="2867"/>
      <c r="FIS25" s="2866"/>
      <c r="FIT25" s="2827"/>
      <c r="FIU25" s="2867"/>
      <c r="FIV25" s="2866"/>
      <c r="FIW25" s="2827"/>
      <c r="FIX25" s="2867"/>
      <c r="FIY25" s="2866"/>
      <c r="FIZ25" s="2827"/>
      <c r="FJA25" s="2867"/>
      <c r="FJB25" s="2866"/>
      <c r="FJC25" s="2827"/>
      <c r="FJD25" s="2867"/>
      <c r="FJE25" s="2866"/>
      <c r="FJF25" s="2827"/>
      <c r="FJG25" s="2867"/>
      <c r="FJH25" s="2866"/>
      <c r="FJI25" s="2827"/>
      <c r="FJJ25" s="2867"/>
      <c r="FJK25" s="2866"/>
      <c r="FJL25" s="2827"/>
      <c r="FJM25" s="2867"/>
      <c r="FJN25" s="2866"/>
      <c r="FJO25" s="2827"/>
      <c r="FJP25" s="2867"/>
      <c r="FJQ25" s="2866"/>
      <c r="FJR25" s="2827"/>
      <c r="FJS25" s="2867"/>
      <c r="FJT25" s="2866"/>
      <c r="FJU25" s="2827"/>
      <c r="FJV25" s="2867"/>
      <c r="FJW25" s="2866"/>
      <c r="FJX25" s="2827"/>
      <c r="FJY25" s="2867"/>
      <c r="FJZ25" s="2866"/>
      <c r="FKA25" s="2827"/>
      <c r="FKB25" s="2867"/>
      <c r="FKC25" s="2866"/>
      <c r="FKD25" s="2827"/>
      <c r="FKE25" s="2867"/>
      <c r="FKF25" s="2866"/>
      <c r="FKG25" s="2827"/>
      <c r="FKH25" s="2867"/>
      <c r="FKI25" s="2866"/>
      <c r="FKJ25" s="2827"/>
      <c r="FKK25" s="2867"/>
      <c r="FKL25" s="2866"/>
      <c r="FKM25" s="2827"/>
      <c r="FKN25" s="2867"/>
      <c r="FKO25" s="2866"/>
      <c r="FKP25" s="2827"/>
      <c r="FKQ25" s="2867"/>
      <c r="FKR25" s="2866"/>
      <c r="FKS25" s="2827"/>
      <c r="FKT25" s="2867"/>
      <c r="FKU25" s="2866"/>
      <c r="FKV25" s="2827"/>
      <c r="FKW25" s="2867"/>
      <c r="FKX25" s="2866"/>
      <c r="FKY25" s="2827"/>
      <c r="FKZ25" s="2867"/>
      <c r="FLA25" s="2866"/>
      <c r="FLB25" s="2827"/>
      <c r="FLC25" s="2867"/>
      <c r="FLD25" s="2866"/>
      <c r="FLE25" s="2827"/>
      <c r="FLF25" s="2867"/>
      <c r="FLG25" s="2866"/>
      <c r="FLH25" s="2827"/>
      <c r="FLI25" s="2867"/>
      <c r="FLJ25" s="2866"/>
      <c r="FLK25" s="2827"/>
      <c r="FLL25" s="2867"/>
      <c r="FLM25" s="2866"/>
      <c r="FLN25" s="2827"/>
      <c r="FLO25" s="2867"/>
      <c r="FLP25" s="2866"/>
      <c r="FLQ25" s="2827"/>
      <c r="FLR25" s="2867"/>
      <c r="FLS25" s="2866"/>
      <c r="FLT25" s="2827"/>
      <c r="FLU25" s="2867"/>
      <c r="FLV25" s="2866"/>
      <c r="FLW25" s="2827"/>
      <c r="FLX25" s="2867"/>
      <c r="FLY25" s="2866"/>
      <c r="FLZ25" s="2827"/>
      <c r="FMA25" s="2867"/>
      <c r="FMB25" s="2866"/>
      <c r="FMC25" s="2827"/>
      <c r="FMD25" s="2867"/>
      <c r="FME25" s="2866"/>
      <c r="FMF25" s="2827"/>
      <c r="FMG25" s="2867"/>
      <c r="FMH25" s="2866"/>
      <c r="FMI25" s="2827"/>
      <c r="FMJ25" s="2867"/>
      <c r="FMK25" s="2866"/>
      <c r="FML25" s="2827"/>
      <c r="FMM25" s="2867"/>
      <c r="FMN25" s="2866"/>
      <c r="FMO25" s="2827"/>
      <c r="FMP25" s="2867"/>
      <c r="FMQ25" s="2866"/>
      <c r="FMR25" s="2827"/>
      <c r="FMS25" s="2867"/>
      <c r="FMT25" s="2866"/>
      <c r="FMU25" s="2827"/>
      <c r="FMV25" s="2867"/>
      <c r="FMW25" s="2866"/>
      <c r="FMX25" s="2827"/>
      <c r="FMY25" s="2867"/>
      <c r="FMZ25" s="2866"/>
      <c r="FNA25" s="2827"/>
      <c r="FNB25" s="2867"/>
      <c r="FNC25" s="2866"/>
      <c r="FND25" s="2827"/>
      <c r="FNE25" s="2867"/>
      <c r="FNF25" s="2866"/>
      <c r="FNG25" s="2827"/>
      <c r="FNH25" s="2867"/>
      <c r="FNI25" s="2866"/>
      <c r="FNJ25" s="2827"/>
      <c r="FNK25" s="2867"/>
      <c r="FNL25" s="2866"/>
      <c r="FNM25" s="2827"/>
      <c r="FNN25" s="2867"/>
      <c r="FNO25" s="2866"/>
      <c r="FNP25" s="2827"/>
      <c r="FNQ25" s="2867"/>
      <c r="FNR25" s="2866"/>
      <c r="FNS25" s="2827"/>
      <c r="FNT25" s="2867"/>
      <c r="FNU25" s="2866"/>
      <c r="FNV25" s="2827"/>
      <c r="FNW25" s="2867"/>
      <c r="FNX25" s="2866"/>
      <c r="FNY25" s="2827"/>
      <c r="FNZ25" s="2867"/>
      <c r="FOA25" s="2866"/>
      <c r="FOB25" s="2827"/>
      <c r="FOC25" s="2867"/>
      <c r="FOD25" s="2866"/>
      <c r="FOE25" s="2827"/>
      <c r="FOF25" s="2867"/>
      <c r="FOG25" s="2866"/>
      <c r="FOH25" s="2827"/>
      <c r="FOI25" s="2867"/>
      <c r="FOJ25" s="2866"/>
      <c r="FOK25" s="2827"/>
      <c r="FOL25" s="2867"/>
      <c r="FOM25" s="2866"/>
      <c r="FON25" s="2827"/>
      <c r="FOO25" s="2867"/>
      <c r="FOP25" s="2866"/>
      <c r="FOQ25" s="2827"/>
      <c r="FOR25" s="2867"/>
      <c r="FOS25" s="2866"/>
      <c r="FOT25" s="2827"/>
      <c r="FOU25" s="2867"/>
      <c r="FOV25" s="2866"/>
      <c r="FOW25" s="2827"/>
      <c r="FOX25" s="2867"/>
      <c r="FOY25" s="2866"/>
      <c r="FOZ25" s="2827"/>
      <c r="FPA25" s="2867"/>
      <c r="FPB25" s="2866"/>
      <c r="FPC25" s="2827"/>
      <c r="FPD25" s="2867"/>
      <c r="FPE25" s="2866"/>
      <c r="FPF25" s="2827"/>
      <c r="FPG25" s="2867"/>
      <c r="FPH25" s="2866"/>
      <c r="FPI25" s="2827"/>
      <c r="FPJ25" s="2867"/>
      <c r="FPK25" s="2866"/>
      <c r="FPL25" s="2827"/>
      <c r="FPM25" s="2867"/>
      <c r="FPN25" s="2866"/>
      <c r="FPO25" s="2827"/>
      <c r="FPP25" s="2867"/>
      <c r="FPQ25" s="2866"/>
      <c r="FPR25" s="2827"/>
      <c r="FPS25" s="2867"/>
      <c r="FPT25" s="2866"/>
      <c r="FPU25" s="2827"/>
      <c r="FPV25" s="2867"/>
      <c r="FPW25" s="2866"/>
      <c r="FPX25" s="2827"/>
      <c r="FPY25" s="2867"/>
      <c r="FPZ25" s="2866"/>
      <c r="FQA25" s="2827"/>
      <c r="FQB25" s="2867"/>
      <c r="FQC25" s="2866"/>
      <c r="FQD25" s="2827"/>
      <c r="FQE25" s="2867"/>
      <c r="FQF25" s="2866"/>
      <c r="FQG25" s="2827"/>
      <c r="FQH25" s="2867"/>
      <c r="FQI25" s="2866"/>
      <c r="FQJ25" s="2827"/>
      <c r="FQK25" s="2867"/>
      <c r="FQL25" s="2866"/>
      <c r="FQM25" s="2827"/>
      <c r="FQN25" s="2867"/>
      <c r="FQO25" s="2866"/>
      <c r="FQP25" s="2827"/>
      <c r="FQQ25" s="2867"/>
      <c r="FQR25" s="2866"/>
      <c r="FQS25" s="2827"/>
      <c r="FQT25" s="2867"/>
      <c r="FQU25" s="2866"/>
      <c r="FQV25" s="2827"/>
      <c r="FQW25" s="2867"/>
      <c r="FQX25" s="2866"/>
      <c r="FQY25" s="2827"/>
      <c r="FQZ25" s="2867"/>
      <c r="FRA25" s="2866"/>
      <c r="FRB25" s="2827"/>
      <c r="FRC25" s="2867"/>
      <c r="FRD25" s="2866"/>
      <c r="FRE25" s="2827"/>
      <c r="FRF25" s="2867"/>
      <c r="FRG25" s="2866"/>
      <c r="FRH25" s="2827"/>
      <c r="FRI25" s="2867"/>
      <c r="FRJ25" s="2866"/>
      <c r="FRK25" s="2827"/>
      <c r="FRL25" s="2867"/>
      <c r="FRM25" s="2866"/>
      <c r="FRN25" s="2827"/>
      <c r="FRO25" s="2867"/>
      <c r="FRP25" s="2866"/>
      <c r="FRQ25" s="2827"/>
      <c r="FRR25" s="2867"/>
      <c r="FRS25" s="2866"/>
      <c r="FRT25" s="2827"/>
      <c r="FRU25" s="2867"/>
      <c r="FRV25" s="2866"/>
      <c r="FRW25" s="2827"/>
      <c r="FRX25" s="2867"/>
      <c r="FRY25" s="2866"/>
      <c r="FRZ25" s="2827"/>
      <c r="FSA25" s="2867"/>
      <c r="FSB25" s="2866"/>
      <c r="FSC25" s="2827"/>
      <c r="FSD25" s="2867"/>
      <c r="FSE25" s="2866"/>
      <c r="FSF25" s="2827"/>
      <c r="FSG25" s="2867"/>
      <c r="FSH25" s="2866"/>
      <c r="FSI25" s="2827"/>
      <c r="FSJ25" s="2867"/>
      <c r="FSK25" s="2866"/>
      <c r="FSL25" s="2827"/>
      <c r="FSM25" s="2867"/>
      <c r="FSN25" s="2866"/>
      <c r="FSO25" s="2827"/>
      <c r="FSP25" s="2867"/>
      <c r="FSQ25" s="2866"/>
      <c r="FSR25" s="2827"/>
      <c r="FSS25" s="2867"/>
      <c r="FST25" s="2866"/>
      <c r="FSU25" s="2827"/>
      <c r="FSV25" s="2867"/>
      <c r="FSW25" s="2866"/>
      <c r="FSX25" s="2827"/>
      <c r="FSY25" s="2867"/>
      <c r="FSZ25" s="2866"/>
      <c r="FTA25" s="2827"/>
      <c r="FTB25" s="2867"/>
      <c r="FTC25" s="2866"/>
      <c r="FTD25" s="2827"/>
      <c r="FTE25" s="2867"/>
      <c r="FTF25" s="2866"/>
      <c r="FTG25" s="2827"/>
      <c r="FTH25" s="2867"/>
      <c r="FTI25" s="2866"/>
      <c r="FTJ25" s="2827"/>
      <c r="FTK25" s="2867"/>
      <c r="FTL25" s="2866"/>
      <c r="FTM25" s="2827"/>
      <c r="FTN25" s="2867"/>
      <c r="FTO25" s="2866"/>
      <c r="FTP25" s="2827"/>
      <c r="FTQ25" s="2867"/>
      <c r="FTR25" s="2866"/>
      <c r="FTS25" s="2827"/>
      <c r="FTT25" s="2867"/>
      <c r="FTU25" s="2866"/>
      <c r="FTV25" s="2827"/>
      <c r="FTW25" s="2867"/>
      <c r="FTX25" s="2866"/>
      <c r="FTY25" s="2827"/>
      <c r="FTZ25" s="2867"/>
      <c r="FUA25" s="2866"/>
      <c r="FUB25" s="2827"/>
      <c r="FUC25" s="2867"/>
      <c r="FUD25" s="2866"/>
      <c r="FUE25" s="2827"/>
      <c r="FUF25" s="2867"/>
      <c r="FUG25" s="2866"/>
      <c r="FUH25" s="2827"/>
      <c r="FUI25" s="2867"/>
      <c r="FUJ25" s="2866"/>
      <c r="FUK25" s="2827"/>
      <c r="FUL25" s="2867"/>
      <c r="FUM25" s="2866"/>
      <c r="FUN25" s="2827"/>
      <c r="FUO25" s="2867"/>
      <c r="FUP25" s="2866"/>
      <c r="FUQ25" s="2827"/>
      <c r="FUR25" s="2867"/>
      <c r="FUS25" s="2866"/>
      <c r="FUT25" s="2827"/>
      <c r="FUU25" s="2867"/>
      <c r="FUV25" s="2866"/>
      <c r="FUW25" s="2827"/>
      <c r="FUX25" s="2867"/>
      <c r="FUY25" s="2866"/>
      <c r="FUZ25" s="2827"/>
      <c r="FVA25" s="2867"/>
      <c r="FVB25" s="2866"/>
      <c r="FVC25" s="2827"/>
      <c r="FVD25" s="2867"/>
      <c r="FVE25" s="2866"/>
      <c r="FVF25" s="2827"/>
      <c r="FVG25" s="2867"/>
      <c r="FVH25" s="2866"/>
      <c r="FVI25" s="2827"/>
      <c r="FVJ25" s="2867"/>
      <c r="FVK25" s="2866"/>
      <c r="FVL25" s="2827"/>
      <c r="FVM25" s="2867"/>
      <c r="FVN25" s="2866"/>
      <c r="FVO25" s="2827"/>
      <c r="FVP25" s="2867"/>
      <c r="FVQ25" s="2866"/>
      <c r="FVR25" s="2827"/>
      <c r="FVS25" s="2867"/>
      <c r="FVT25" s="2866"/>
      <c r="FVU25" s="2827"/>
      <c r="FVV25" s="2867"/>
      <c r="FVW25" s="2866"/>
      <c r="FVX25" s="2827"/>
      <c r="FVY25" s="2867"/>
      <c r="FVZ25" s="2866"/>
      <c r="FWA25" s="2827"/>
      <c r="FWB25" s="2867"/>
      <c r="FWC25" s="2866"/>
      <c r="FWD25" s="2827"/>
      <c r="FWE25" s="2867"/>
      <c r="FWF25" s="2866"/>
      <c r="FWG25" s="2827"/>
      <c r="FWH25" s="2867"/>
      <c r="FWI25" s="2866"/>
      <c r="FWJ25" s="2827"/>
      <c r="FWK25" s="2867"/>
      <c r="FWL25" s="2866"/>
      <c r="FWM25" s="2827"/>
      <c r="FWN25" s="2867"/>
      <c r="FWO25" s="2866"/>
      <c r="FWP25" s="2827"/>
      <c r="FWQ25" s="2867"/>
      <c r="FWR25" s="2866"/>
      <c r="FWS25" s="2827"/>
      <c r="FWT25" s="2867"/>
      <c r="FWU25" s="2866"/>
      <c r="FWV25" s="2827"/>
      <c r="FWW25" s="2867"/>
      <c r="FWX25" s="2866"/>
      <c r="FWY25" s="2827"/>
      <c r="FWZ25" s="2867"/>
      <c r="FXA25" s="2866"/>
      <c r="FXB25" s="2827"/>
      <c r="FXC25" s="2867"/>
      <c r="FXD25" s="2866"/>
      <c r="FXE25" s="2827"/>
      <c r="FXF25" s="2867"/>
      <c r="FXG25" s="2866"/>
      <c r="FXH25" s="2827"/>
      <c r="FXI25" s="2867"/>
      <c r="FXJ25" s="2866"/>
      <c r="FXK25" s="2827"/>
      <c r="FXL25" s="2867"/>
      <c r="FXM25" s="2866"/>
      <c r="FXN25" s="2827"/>
      <c r="FXO25" s="2867"/>
      <c r="FXP25" s="2866"/>
      <c r="FXQ25" s="2827"/>
      <c r="FXR25" s="2867"/>
      <c r="FXS25" s="2866"/>
      <c r="FXT25" s="2827"/>
      <c r="FXU25" s="2867"/>
      <c r="FXV25" s="2866"/>
      <c r="FXW25" s="2827"/>
      <c r="FXX25" s="2867"/>
      <c r="FXY25" s="2866"/>
      <c r="FXZ25" s="2827"/>
      <c r="FYA25" s="2867"/>
      <c r="FYB25" s="2866"/>
      <c r="FYC25" s="2827"/>
      <c r="FYD25" s="2867"/>
      <c r="FYE25" s="2866"/>
      <c r="FYF25" s="2827"/>
      <c r="FYG25" s="2867"/>
      <c r="FYH25" s="2866"/>
      <c r="FYI25" s="2827"/>
      <c r="FYJ25" s="2867"/>
      <c r="FYK25" s="2866"/>
      <c r="FYL25" s="2827"/>
      <c r="FYM25" s="2867"/>
      <c r="FYN25" s="2866"/>
      <c r="FYO25" s="2827"/>
      <c r="FYP25" s="2867"/>
      <c r="FYQ25" s="2866"/>
      <c r="FYR25" s="2827"/>
      <c r="FYS25" s="2867"/>
      <c r="FYT25" s="2866"/>
      <c r="FYU25" s="2827"/>
      <c r="FYV25" s="2867"/>
      <c r="FYW25" s="2866"/>
      <c r="FYX25" s="2827"/>
      <c r="FYY25" s="2867"/>
      <c r="FYZ25" s="2866"/>
      <c r="FZA25" s="2827"/>
      <c r="FZB25" s="2867"/>
      <c r="FZC25" s="2866"/>
      <c r="FZD25" s="2827"/>
      <c r="FZE25" s="2867"/>
      <c r="FZF25" s="2866"/>
      <c r="FZG25" s="2827"/>
      <c r="FZH25" s="2867"/>
      <c r="FZI25" s="2866"/>
      <c r="FZJ25" s="2827"/>
      <c r="FZK25" s="2867"/>
      <c r="FZL25" s="2866"/>
      <c r="FZM25" s="2827"/>
      <c r="FZN25" s="2867"/>
      <c r="FZO25" s="2866"/>
      <c r="FZP25" s="2827"/>
      <c r="FZQ25" s="2867"/>
      <c r="FZR25" s="2866"/>
      <c r="FZS25" s="2827"/>
      <c r="FZT25" s="2867"/>
      <c r="FZU25" s="2866"/>
      <c r="FZV25" s="2827"/>
      <c r="FZW25" s="2867"/>
      <c r="FZX25" s="2866"/>
      <c r="FZY25" s="2827"/>
      <c r="FZZ25" s="2867"/>
      <c r="GAA25" s="2866"/>
      <c r="GAB25" s="2827"/>
      <c r="GAC25" s="2867"/>
      <c r="GAD25" s="2866"/>
      <c r="GAE25" s="2827"/>
      <c r="GAF25" s="2867"/>
      <c r="GAG25" s="2866"/>
      <c r="GAH25" s="2827"/>
      <c r="GAI25" s="2867"/>
      <c r="GAJ25" s="2866"/>
      <c r="GAK25" s="2827"/>
      <c r="GAL25" s="2867"/>
      <c r="GAM25" s="2866"/>
      <c r="GAN25" s="2827"/>
      <c r="GAO25" s="2867"/>
      <c r="GAP25" s="2866"/>
      <c r="GAQ25" s="2827"/>
      <c r="GAR25" s="2867"/>
      <c r="GAS25" s="2866"/>
      <c r="GAT25" s="2827"/>
      <c r="GAU25" s="2867"/>
      <c r="GAV25" s="2866"/>
      <c r="GAW25" s="2827"/>
      <c r="GAX25" s="2867"/>
      <c r="GAY25" s="2866"/>
      <c r="GAZ25" s="2827"/>
      <c r="GBA25" s="2867"/>
      <c r="GBB25" s="2866"/>
      <c r="GBC25" s="2827"/>
      <c r="GBD25" s="2867"/>
      <c r="GBE25" s="2866"/>
      <c r="GBF25" s="2827"/>
      <c r="GBG25" s="2867"/>
      <c r="GBH25" s="2866"/>
      <c r="GBI25" s="2827"/>
      <c r="GBJ25" s="2867"/>
      <c r="GBK25" s="2866"/>
      <c r="GBL25" s="2827"/>
      <c r="GBM25" s="2867"/>
      <c r="GBN25" s="2866"/>
      <c r="GBO25" s="2827"/>
      <c r="GBP25" s="2867"/>
      <c r="GBQ25" s="2866"/>
      <c r="GBR25" s="2827"/>
      <c r="GBS25" s="2867"/>
      <c r="GBT25" s="2866"/>
      <c r="GBU25" s="2827"/>
      <c r="GBV25" s="2867"/>
      <c r="GBW25" s="2866"/>
      <c r="GBX25" s="2827"/>
      <c r="GBY25" s="2867"/>
      <c r="GBZ25" s="2866"/>
      <c r="GCA25" s="2827"/>
      <c r="GCB25" s="2867"/>
      <c r="GCC25" s="2866"/>
      <c r="GCD25" s="2827"/>
      <c r="GCE25" s="2867"/>
      <c r="GCF25" s="2866"/>
      <c r="GCG25" s="2827"/>
      <c r="GCH25" s="2867"/>
      <c r="GCI25" s="2866"/>
      <c r="GCJ25" s="2827"/>
      <c r="GCK25" s="2867"/>
      <c r="GCL25" s="2866"/>
      <c r="GCM25" s="2827"/>
      <c r="GCN25" s="2867"/>
      <c r="GCO25" s="2866"/>
      <c r="GCP25" s="2827"/>
      <c r="GCQ25" s="2867"/>
      <c r="GCR25" s="2866"/>
      <c r="GCS25" s="2827"/>
      <c r="GCT25" s="2867"/>
      <c r="GCU25" s="2866"/>
      <c r="GCV25" s="2827"/>
      <c r="GCW25" s="2867"/>
      <c r="GCX25" s="2866"/>
      <c r="GCY25" s="2827"/>
      <c r="GCZ25" s="2867"/>
      <c r="GDA25" s="2866"/>
      <c r="GDB25" s="2827"/>
      <c r="GDC25" s="2867"/>
      <c r="GDD25" s="2866"/>
      <c r="GDE25" s="2827"/>
      <c r="GDF25" s="2867"/>
      <c r="GDG25" s="2866"/>
      <c r="GDH25" s="2827"/>
      <c r="GDI25" s="2867"/>
      <c r="GDJ25" s="2866"/>
      <c r="GDK25" s="2827"/>
      <c r="GDL25" s="2867"/>
      <c r="GDM25" s="2866"/>
      <c r="GDN25" s="2827"/>
      <c r="GDO25" s="2867"/>
      <c r="GDP25" s="2866"/>
      <c r="GDQ25" s="2827"/>
      <c r="GDR25" s="2867"/>
      <c r="GDS25" s="2866"/>
      <c r="GDT25" s="2827"/>
      <c r="GDU25" s="2867"/>
      <c r="GDV25" s="2866"/>
      <c r="GDW25" s="2827"/>
      <c r="GDX25" s="2867"/>
      <c r="GDY25" s="2866"/>
      <c r="GDZ25" s="2827"/>
      <c r="GEA25" s="2867"/>
      <c r="GEB25" s="2866"/>
      <c r="GEC25" s="2827"/>
      <c r="GED25" s="2867"/>
      <c r="GEE25" s="2866"/>
      <c r="GEF25" s="2827"/>
      <c r="GEG25" s="2867"/>
      <c r="GEH25" s="2866"/>
      <c r="GEI25" s="2827"/>
      <c r="GEJ25" s="2867"/>
      <c r="GEK25" s="2866"/>
      <c r="GEL25" s="2827"/>
      <c r="GEM25" s="2867"/>
      <c r="GEN25" s="2866"/>
      <c r="GEO25" s="2827"/>
      <c r="GEP25" s="2867"/>
      <c r="GEQ25" s="2866"/>
      <c r="GER25" s="2827"/>
      <c r="GES25" s="2867"/>
      <c r="GET25" s="2866"/>
      <c r="GEU25" s="2827"/>
      <c r="GEV25" s="2867"/>
      <c r="GEW25" s="2866"/>
      <c r="GEX25" s="2827"/>
      <c r="GEY25" s="2867"/>
      <c r="GEZ25" s="2866"/>
      <c r="GFA25" s="2827"/>
      <c r="GFB25" s="2867"/>
      <c r="GFC25" s="2866"/>
      <c r="GFD25" s="2827"/>
      <c r="GFE25" s="2867"/>
      <c r="GFF25" s="2866"/>
      <c r="GFG25" s="2827"/>
      <c r="GFH25" s="2867"/>
      <c r="GFI25" s="2866"/>
      <c r="GFJ25" s="2827"/>
      <c r="GFK25" s="2867"/>
      <c r="GFL25" s="2866"/>
      <c r="GFM25" s="2827"/>
      <c r="GFN25" s="2867"/>
      <c r="GFO25" s="2866"/>
      <c r="GFP25" s="2827"/>
      <c r="GFQ25" s="2867"/>
      <c r="GFR25" s="2866"/>
      <c r="GFS25" s="2827"/>
      <c r="GFT25" s="2867"/>
      <c r="GFU25" s="2866"/>
      <c r="GFV25" s="2827"/>
      <c r="GFW25" s="2867"/>
      <c r="GFX25" s="2866"/>
      <c r="GFY25" s="2827"/>
      <c r="GFZ25" s="2867"/>
      <c r="GGA25" s="2866"/>
      <c r="GGB25" s="2827"/>
      <c r="GGC25" s="2867"/>
      <c r="GGD25" s="2866"/>
      <c r="GGE25" s="2827"/>
      <c r="GGF25" s="2867"/>
      <c r="GGG25" s="2866"/>
      <c r="GGH25" s="2827"/>
      <c r="GGI25" s="2867"/>
      <c r="GGJ25" s="2866"/>
      <c r="GGK25" s="2827"/>
      <c r="GGL25" s="2867"/>
      <c r="GGM25" s="2866"/>
      <c r="GGN25" s="2827"/>
      <c r="GGO25" s="2867"/>
      <c r="GGP25" s="2866"/>
      <c r="GGQ25" s="2827"/>
      <c r="GGR25" s="2867"/>
      <c r="GGS25" s="2866"/>
      <c r="GGT25" s="2827"/>
      <c r="GGU25" s="2867"/>
      <c r="GGV25" s="2866"/>
      <c r="GGW25" s="2827"/>
      <c r="GGX25" s="2867"/>
      <c r="GGY25" s="2866"/>
      <c r="GGZ25" s="2827"/>
      <c r="GHA25" s="2867"/>
      <c r="GHB25" s="2866"/>
      <c r="GHC25" s="2827"/>
      <c r="GHD25" s="2867"/>
      <c r="GHE25" s="2866"/>
      <c r="GHF25" s="2827"/>
      <c r="GHG25" s="2867"/>
      <c r="GHH25" s="2866"/>
      <c r="GHI25" s="2827"/>
      <c r="GHJ25" s="2867"/>
      <c r="GHK25" s="2866"/>
      <c r="GHL25" s="2827"/>
      <c r="GHM25" s="2867"/>
      <c r="GHN25" s="2866"/>
      <c r="GHO25" s="2827"/>
      <c r="GHP25" s="2867"/>
      <c r="GHQ25" s="2866"/>
      <c r="GHR25" s="2827"/>
      <c r="GHS25" s="2867"/>
      <c r="GHT25" s="2866"/>
      <c r="GHU25" s="2827"/>
      <c r="GHV25" s="2867"/>
      <c r="GHW25" s="2866"/>
      <c r="GHX25" s="2827"/>
      <c r="GHY25" s="2867"/>
      <c r="GHZ25" s="2866"/>
      <c r="GIA25" s="2827"/>
      <c r="GIB25" s="2867"/>
      <c r="GIC25" s="2866"/>
      <c r="GID25" s="2827"/>
      <c r="GIE25" s="2867"/>
      <c r="GIF25" s="2866"/>
      <c r="GIG25" s="2827"/>
      <c r="GIH25" s="2867"/>
      <c r="GII25" s="2866"/>
      <c r="GIJ25" s="2827"/>
      <c r="GIK25" s="2867"/>
      <c r="GIL25" s="2866"/>
      <c r="GIM25" s="2827"/>
      <c r="GIN25" s="2867"/>
      <c r="GIO25" s="2866"/>
      <c r="GIP25" s="2827"/>
      <c r="GIQ25" s="2867"/>
      <c r="GIR25" s="2866"/>
      <c r="GIS25" s="2827"/>
      <c r="GIT25" s="2867"/>
      <c r="GIU25" s="2866"/>
      <c r="GIV25" s="2827"/>
      <c r="GIW25" s="2867"/>
      <c r="GIX25" s="2866"/>
      <c r="GIY25" s="2827"/>
      <c r="GIZ25" s="2867"/>
      <c r="GJA25" s="2866"/>
      <c r="GJB25" s="2827"/>
      <c r="GJC25" s="2867"/>
      <c r="GJD25" s="2866"/>
      <c r="GJE25" s="2827"/>
      <c r="GJF25" s="2867"/>
      <c r="GJG25" s="2866"/>
      <c r="GJH25" s="2827"/>
      <c r="GJI25" s="2867"/>
      <c r="GJJ25" s="2866"/>
      <c r="GJK25" s="2827"/>
      <c r="GJL25" s="2867"/>
      <c r="GJM25" s="2866"/>
      <c r="GJN25" s="2827"/>
      <c r="GJO25" s="2867"/>
      <c r="GJP25" s="2866"/>
      <c r="GJQ25" s="2827"/>
      <c r="GJR25" s="2867"/>
      <c r="GJS25" s="2866"/>
      <c r="GJT25" s="2827"/>
      <c r="GJU25" s="2867"/>
      <c r="GJV25" s="2866"/>
      <c r="GJW25" s="2827"/>
      <c r="GJX25" s="2867"/>
      <c r="GJY25" s="2866"/>
      <c r="GJZ25" s="2827"/>
      <c r="GKA25" s="2867"/>
      <c r="GKB25" s="2866"/>
      <c r="GKC25" s="2827"/>
      <c r="GKD25" s="2867"/>
      <c r="GKE25" s="2866"/>
      <c r="GKF25" s="2827"/>
      <c r="GKG25" s="2867"/>
      <c r="GKH25" s="2866"/>
      <c r="GKI25" s="2827"/>
      <c r="GKJ25" s="2867"/>
      <c r="GKK25" s="2866"/>
      <c r="GKL25" s="2827"/>
      <c r="GKM25" s="2867"/>
      <c r="GKN25" s="2866"/>
      <c r="GKO25" s="2827"/>
      <c r="GKP25" s="2867"/>
      <c r="GKQ25" s="2866"/>
      <c r="GKR25" s="2827"/>
      <c r="GKS25" s="2867"/>
      <c r="GKT25" s="2866"/>
      <c r="GKU25" s="2827"/>
      <c r="GKV25" s="2867"/>
      <c r="GKW25" s="2866"/>
      <c r="GKX25" s="2827"/>
      <c r="GKY25" s="2867"/>
      <c r="GKZ25" s="2866"/>
      <c r="GLA25" s="2827"/>
      <c r="GLB25" s="2867"/>
      <c r="GLC25" s="2866"/>
      <c r="GLD25" s="2827"/>
      <c r="GLE25" s="2867"/>
      <c r="GLF25" s="2866"/>
      <c r="GLG25" s="2827"/>
      <c r="GLH25" s="2867"/>
      <c r="GLI25" s="2866"/>
      <c r="GLJ25" s="2827"/>
      <c r="GLK25" s="2867"/>
      <c r="GLL25" s="2866"/>
      <c r="GLM25" s="2827"/>
      <c r="GLN25" s="2867"/>
      <c r="GLO25" s="2866"/>
      <c r="GLP25" s="2827"/>
      <c r="GLQ25" s="2867"/>
      <c r="GLR25" s="2866"/>
      <c r="GLS25" s="2827"/>
      <c r="GLT25" s="2867"/>
      <c r="GLU25" s="2866"/>
      <c r="GLV25" s="2827"/>
      <c r="GLW25" s="2867"/>
      <c r="GLX25" s="2866"/>
      <c r="GLY25" s="2827"/>
      <c r="GLZ25" s="2867"/>
      <c r="GMA25" s="2866"/>
      <c r="GMB25" s="2827"/>
      <c r="GMC25" s="2867"/>
      <c r="GMD25" s="2866"/>
      <c r="GME25" s="2827"/>
      <c r="GMF25" s="2867"/>
      <c r="GMG25" s="2866"/>
      <c r="GMH25" s="2827"/>
      <c r="GMI25" s="2867"/>
      <c r="GMJ25" s="2866"/>
      <c r="GMK25" s="2827"/>
      <c r="GML25" s="2867"/>
      <c r="GMM25" s="2866"/>
      <c r="GMN25" s="2827"/>
      <c r="GMO25" s="2867"/>
      <c r="GMP25" s="2866"/>
      <c r="GMQ25" s="2827"/>
      <c r="GMR25" s="2867"/>
      <c r="GMS25" s="2866"/>
      <c r="GMT25" s="2827"/>
      <c r="GMU25" s="2867"/>
      <c r="GMV25" s="2866"/>
      <c r="GMW25" s="2827"/>
      <c r="GMX25" s="2867"/>
      <c r="GMY25" s="2866"/>
      <c r="GMZ25" s="2827"/>
      <c r="GNA25" s="2867"/>
      <c r="GNB25" s="2866"/>
      <c r="GNC25" s="2827"/>
      <c r="GND25" s="2867"/>
      <c r="GNE25" s="2866"/>
      <c r="GNF25" s="2827"/>
      <c r="GNG25" s="2867"/>
      <c r="GNH25" s="2866"/>
      <c r="GNI25" s="2827"/>
      <c r="GNJ25" s="2867"/>
      <c r="GNK25" s="2866"/>
      <c r="GNL25" s="2827"/>
      <c r="GNM25" s="2867"/>
      <c r="GNN25" s="2866"/>
      <c r="GNO25" s="2827"/>
      <c r="GNP25" s="2867"/>
      <c r="GNQ25" s="2866"/>
      <c r="GNR25" s="2827"/>
      <c r="GNS25" s="2867"/>
      <c r="GNT25" s="2866"/>
      <c r="GNU25" s="2827"/>
      <c r="GNV25" s="2867"/>
      <c r="GNW25" s="2866"/>
      <c r="GNX25" s="2827"/>
      <c r="GNY25" s="2867"/>
      <c r="GNZ25" s="2866"/>
      <c r="GOA25" s="2827"/>
      <c r="GOB25" s="2867"/>
      <c r="GOC25" s="2866"/>
      <c r="GOD25" s="2827"/>
      <c r="GOE25" s="2867"/>
      <c r="GOF25" s="2866"/>
      <c r="GOG25" s="2827"/>
      <c r="GOH25" s="2867"/>
      <c r="GOI25" s="2866"/>
      <c r="GOJ25" s="2827"/>
      <c r="GOK25" s="2867"/>
      <c r="GOL25" s="2866"/>
      <c r="GOM25" s="2827"/>
      <c r="GON25" s="2867"/>
      <c r="GOO25" s="2866"/>
      <c r="GOP25" s="2827"/>
      <c r="GOQ25" s="2867"/>
      <c r="GOR25" s="2866"/>
      <c r="GOS25" s="2827"/>
      <c r="GOT25" s="2867"/>
      <c r="GOU25" s="2866"/>
      <c r="GOV25" s="2827"/>
      <c r="GOW25" s="2867"/>
      <c r="GOX25" s="2866"/>
      <c r="GOY25" s="2827"/>
      <c r="GOZ25" s="2867"/>
      <c r="GPA25" s="2866"/>
      <c r="GPB25" s="2827"/>
      <c r="GPC25" s="2867"/>
      <c r="GPD25" s="2866"/>
      <c r="GPE25" s="2827"/>
      <c r="GPF25" s="2867"/>
      <c r="GPG25" s="2866"/>
      <c r="GPH25" s="2827"/>
      <c r="GPI25" s="2867"/>
      <c r="GPJ25" s="2866"/>
      <c r="GPK25" s="2827"/>
      <c r="GPL25" s="2867"/>
      <c r="GPM25" s="2866"/>
      <c r="GPN25" s="2827"/>
      <c r="GPO25" s="2867"/>
      <c r="GPP25" s="2866"/>
      <c r="GPQ25" s="2827"/>
      <c r="GPR25" s="2867"/>
      <c r="GPS25" s="2866"/>
      <c r="GPT25" s="2827"/>
      <c r="GPU25" s="2867"/>
      <c r="GPV25" s="2866"/>
      <c r="GPW25" s="2827"/>
      <c r="GPX25" s="2867"/>
      <c r="GPY25" s="2866"/>
      <c r="GPZ25" s="2827"/>
      <c r="GQA25" s="2867"/>
      <c r="GQB25" s="2866"/>
      <c r="GQC25" s="2827"/>
      <c r="GQD25" s="2867"/>
      <c r="GQE25" s="2866"/>
      <c r="GQF25" s="2827"/>
      <c r="GQG25" s="2867"/>
      <c r="GQH25" s="2866"/>
      <c r="GQI25" s="2827"/>
      <c r="GQJ25" s="2867"/>
      <c r="GQK25" s="2866"/>
      <c r="GQL25" s="2827"/>
      <c r="GQM25" s="2867"/>
      <c r="GQN25" s="2866"/>
      <c r="GQO25" s="2827"/>
      <c r="GQP25" s="2867"/>
      <c r="GQQ25" s="2866"/>
      <c r="GQR25" s="2827"/>
      <c r="GQS25" s="2867"/>
      <c r="GQT25" s="2866"/>
      <c r="GQU25" s="2827"/>
      <c r="GQV25" s="2867"/>
      <c r="GQW25" s="2866"/>
      <c r="GQX25" s="2827"/>
      <c r="GQY25" s="2867"/>
      <c r="GQZ25" s="2866"/>
      <c r="GRA25" s="2827"/>
      <c r="GRB25" s="2867"/>
      <c r="GRC25" s="2866"/>
      <c r="GRD25" s="2827"/>
      <c r="GRE25" s="2867"/>
      <c r="GRF25" s="2866"/>
      <c r="GRG25" s="2827"/>
      <c r="GRH25" s="2867"/>
      <c r="GRI25" s="2866"/>
      <c r="GRJ25" s="2827"/>
      <c r="GRK25" s="2867"/>
      <c r="GRL25" s="2866"/>
      <c r="GRM25" s="2827"/>
      <c r="GRN25" s="2867"/>
      <c r="GRO25" s="2866"/>
      <c r="GRP25" s="2827"/>
      <c r="GRQ25" s="2867"/>
      <c r="GRR25" s="2866"/>
      <c r="GRS25" s="2827"/>
      <c r="GRT25" s="2867"/>
      <c r="GRU25" s="2866"/>
      <c r="GRV25" s="2827"/>
      <c r="GRW25" s="2867"/>
      <c r="GRX25" s="2866"/>
      <c r="GRY25" s="2827"/>
      <c r="GRZ25" s="2867"/>
      <c r="GSA25" s="2866"/>
      <c r="GSB25" s="2827"/>
      <c r="GSC25" s="2867"/>
      <c r="GSD25" s="2866"/>
      <c r="GSE25" s="2827"/>
      <c r="GSF25" s="2867"/>
      <c r="GSG25" s="2866"/>
      <c r="GSH25" s="2827"/>
      <c r="GSI25" s="2867"/>
      <c r="GSJ25" s="2866"/>
      <c r="GSK25" s="2827"/>
      <c r="GSL25" s="2867"/>
      <c r="GSM25" s="2866"/>
      <c r="GSN25" s="2827"/>
      <c r="GSO25" s="2867"/>
      <c r="GSP25" s="2866"/>
      <c r="GSQ25" s="2827"/>
      <c r="GSR25" s="2867"/>
      <c r="GSS25" s="2866"/>
      <c r="GST25" s="2827"/>
      <c r="GSU25" s="2867"/>
      <c r="GSV25" s="2866"/>
      <c r="GSW25" s="2827"/>
      <c r="GSX25" s="2867"/>
      <c r="GSY25" s="2866"/>
      <c r="GSZ25" s="2827"/>
      <c r="GTA25" s="2867"/>
      <c r="GTB25" s="2866"/>
      <c r="GTC25" s="2827"/>
      <c r="GTD25" s="2867"/>
      <c r="GTE25" s="2866"/>
      <c r="GTF25" s="2827"/>
      <c r="GTG25" s="2867"/>
      <c r="GTH25" s="2866"/>
      <c r="GTI25" s="2827"/>
      <c r="GTJ25" s="2867"/>
      <c r="GTK25" s="2866"/>
      <c r="GTL25" s="2827"/>
      <c r="GTM25" s="2867"/>
      <c r="GTN25" s="2866"/>
      <c r="GTO25" s="2827"/>
      <c r="GTP25" s="2867"/>
      <c r="GTQ25" s="2866"/>
      <c r="GTR25" s="2827"/>
      <c r="GTS25" s="2867"/>
      <c r="GTT25" s="2866"/>
      <c r="GTU25" s="2827"/>
      <c r="GTV25" s="2867"/>
      <c r="GTW25" s="2866"/>
      <c r="GTX25" s="2827"/>
      <c r="GTY25" s="2867"/>
      <c r="GTZ25" s="2866"/>
      <c r="GUA25" s="2827"/>
      <c r="GUB25" s="2867"/>
      <c r="GUC25" s="2866"/>
      <c r="GUD25" s="2827"/>
      <c r="GUE25" s="2867"/>
      <c r="GUF25" s="2866"/>
      <c r="GUG25" s="2827"/>
      <c r="GUH25" s="2867"/>
      <c r="GUI25" s="2866"/>
      <c r="GUJ25" s="2827"/>
      <c r="GUK25" s="2867"/>
      <c r="GUL25" s="2866"/>
      <c r="GUM25" s="2827"/>
      <c r="GUN25" s="2867"/>
      <c r="GUO25" s="2866"/>
      <c r="GUP25" s="2827"/>
      <c r="GUQ25" s="2867"/>
      <c r="GUR25" s="2866"/>
      <c r="GUS25" s="2827"/>
      <c r="GUT25" s="2867"/>
      <c r="GUU25" s="2866"/>
      <c r="GUV25" s="2827"/>
      <c r="GUW25" s="2867"/>
      <c r="GUX25" s="2866"/>
      <c r="GUY25" s="2827"/>
      <c r="GUZ25" s="2867"/>
      <c r="GVA25" s="2866"/>
      <c r="GVB25" s="2827"/>
      <c r="GVC25" s="2867"/>
      <c r="GVD25" s="2866"/>
      <c r="GVE25" s="2827"/>
      <c r="GVF25" s="2867"/>
      <c r="GVG25" s="2866"/>
      <c r="GVH25" s="2827"/>
      <c r="GVI25" s="2867"/>
      <c r="GVJ25" s="2866"/>
      <c r="GVK25" s="2827"/>
      <c r="GVL25" s="2867"/>
      <c r="GVM25" s="2866"/>
      <c r="GVN25" s="2827"/>
      <c r="GVO25" s="2867"/>
      <c r="GVP25" s="2866"/>
      <c r="GVQ25" s="2827"/>
      <c r="GVR25" s="2867"/>
      <c r="GVS25" s="2866"/>
      <c r="GVT25" s="2827"/>
      <c r="GVU25" s="2867"/>
      <c r="GVV25" s="2866"/>
      <c r="GVW25" s="2827"/>
      <c r="GVX25" s="2867"/>
      <c r="GVY25" s="2866"/>
      <c r="GVZ25" s="2827"/>
      <c r="GWA25" s="2867"/>
      <c r="GWB25" s="2866"/>
      <c r="GWC25" s="2827"/>
      <c r="GWD25" s="2867"/>
      <c r="GWE25" s="2866"/>
      <c r="GWF25" s="2827"/>
      <c r="GWG25" s="2867"/>
      <c r="GWH25" s="2866"/>
      <c r="GWI25" s="2827"/>
      <c r="GWJ25" s="2867"/>
      <c r="GWK25" s="2866"/>
      <c r="GWL25" s="2827"/>
      <c r="GWM25" s="2867"/>
      <c r="GWN25" s="2866"/>
      <c r="GWO25" s="2827"/>
      <c r="GWP25" s="2867"/>
      <c r="GWQ25" s="2866"/>
      <c r="GWR25" s="2827"/>
      <c r="GWS25" s="2867"/>
      <c r="GWT25" s="2866"/>
      <c r="GWU25" s="2827"/>
      <c r="GWV25" s="2867"/>
      <c r="GWW25" s="2866"/>
      <c r="GWX25" s="2827"/>
      <c r="GWY25" s="2867"/>
      <c r="GWZ25" s="2866"/>
      <c r="GXA25" s="2827"/>
      <c r="GXB25" s="2867"/>
      <c r="GXC25" s="2866"/>
      <c r="GXD25" s="2827"/>
      <c r="GXE25" s="2867"/>
      <c r="GXF25" s="2866"/>
      <c r="GXG25" s="2827"/>
      <c r="GXH25" s="2867"/>
      <c r="GXI25" s="2866"/>
      <c r="GXJ25" s="2827"/>
      <c r="GXK25" s="2867"/>
      <c r="GXL25" s="2866"/>
      <c r="GXM25" s="2827"/>
      <c r="GXN25" s="2867"/>
      <c r="GXO25" s="2866"/>
      <c r="GXP25" s="2827"/>
      <c r="GXQ25" s="2867"/>
      <c r="GXR25" s="2866"/>
      <c r="GXS25" s="2827"/>
      <c r="GXT25" s="2867"/>
      <c r="GXU25" s="2866"/>
      <c r="GXV25" s="2827"/>
      <c r="GXW25" s="2867"/>
      <c r="GXX25" s="2866"/>
      <c r="GXY25" s="2827"/>
      <c r="GXZ25" s="2867"/>
      <c r="GYA25" s="2866"/>
      <c r="GYB25" s="2827"/>
      <c r="GYC25" s="2867"/>
      <c r="GYD25" s="2866"/>
      <c r="GYE25" s="2827"/>
      <c r="GYF25" s="2867"/>
      <c r="GYG25" s="2866"/>
      <c r="GYH25" s="2827"/>
      <c r="GYI25" s="2867"/>
      <c r="GYJ25" s="2866"/>
      <c r="GYK25" s="2827"/>
      <c r="GYL25" s="2867"/>
      <c r="GYM25" s="2866"/>
      <c r="GYN25" s="2827"/>
      <c r="GYO25" s="2867"/>
      <c r="GYP25" s="2866"/>
      <c r="GYQ25" s="2827"/>
      <c r="GYR25" s="2867"/>
      <c r="GYS25" s="2866"/>
      <c r="GYT25" s="2827"/>
      <c r="GYU25" s="2867"/>
      <c r="GYV25" s="2866"/>
      <c r="GYW25" s="2827"/>
      <c r="GYX25" s="2867"/>
      <c r="GYY25" s="2866"/>
      <c r="GYZ25" s="2827"/>
      <c r="GZA25" s="2867"/>
      <c r="GZB25" s="2866"/>
      <c r="GZC25" s="2827"/>
      <c r="GZD25" s="2867"/>
      <c r="GZE25" s="2866"/>
      <c r="GZF25" s="2827"/>
      <c r="GZG25" s="2867"/>
      <c r="GZH25" s="2866"/>
      <c r="GZI25" s="2827"/>
      <c r="GZJ25" s="2867"/>
      <c r="GZK25" s="2866"/>
      <c r="GZL25" s="2827"/>
      <c r="GZM25" s="2867"/>
      <c r="GZN25" s="2866"/>
      <c r="GZO25" s="2827"/>
      <c r="GZP25" s="2867"/>
      <c r="GZQ25" s="2866"/>
      <c r="GZR25" s="2827"/>
      <c r="GZS25" s="2867"/>
      <c r="GZT25" s="2866"/>
      <c r="GZU25" s="2827"/>
      <c r="GZV25" s="2867"/>
      <c r="GZW25" s="2866"/>
      <c r="GZX25" s="2827"/>
      <c r="GZY25" s="2867"/>
      <c r="GZZ25" s="2866"/>
      <c r="HAA25" s="2827"/>
      <c r="HAB25" s="2867"/>
      <c r="HAC25" s="2866"/>
      <c r="HAD25" s="2827"/>
      <c r="HAE25" s="2867"/>
      <c r="HAF25" s="2866"/>
      <c r="HAG25" s="2827"/>
      <c r="HAH25" s="2867"/>
      <c r="HAI25" s="2866"/>
      <c r="HAJ25" s="2827"/>
      <c r="HAK25" s="2867"/>
      <c r="HAL25" s="2866"/>
      <c r="HAM25" s="2827"/>
      <c r="HAN25" s="2867"/>
      <c r="HAO25" s="2866"/>
      <c r="HAP25" s="2827"/>
      <c r="HAQ25" s="2867"/>
      <c r="HAR25" s="2866"/>
      <c r="HAS25" s="2827"/>
      <c r="HAT25" s="2867"/>
      <c r="HAU25" s="2866"/>
      <c r="HAV25" s="2827"/>
      <c r="HAW25" s="2867"/>
      <c r="HAX25" s="2866"/>
      <c r="HAY25" s="2827"/>
      <c r="HAZ25" s="2867"/>
      <c r="HBA25" s="2866"/>
      <c r="HBB25" s="2827"/>
      <c r="HBC25" s="2867"/>
      <c r="HBD25" s="2866"/>
      <c r="HBE25" s="2827"/>
      <c r="HBF25" s="2867"/>
      <c r="HBG25" s="2866"/>
      <c r="HBH25" s="2827"/>
      <c r="HBI25" s="2867"/>
      <c r="HBJ25" s="2866"/>
      <c r="HBK25" s="2827"/>
      <c r="HBL25" s="2867"/>
      <c r="HBM25" s="2866"/>
      <c r="HBN25" s="2827"/>
      <c r="HBO25" s="2867"/>
      <c r="HBP25" s="2866"/>
      <c r="HBQ25" s="2827"/>
      <c r="HBR25" s="2867"/>
      <c r="HBS25" s="2866"/>
      <c r="HBT25" s="2827"/>
      <c r="HBU25" s="2867"/>
      <c r="HBV25" s="2866"/>
      <c r="HBW25" s="2827"/>
      <c r="HBX25" s="2867"/>
      <c r="HBY25" s="2866"/>
      <c r="HBZ25" s="2827"/>
      <c r="HCA25" s="2867"/>
      <c r="HCB25" s="2866"/>
      <c r="HCC25" s="2827"/>
      <c r="HCD25" s="2867"/>
      <c r="HCE25" s="2866"/>
      <c r="HCF25" s="2827"/>
      <c r="HCG25" s="2867"/>
      <c r="HCH25" s="2866"/>
      <c r="HCI25" s="2827"/>
      <c r="HCJ25" s="2867"/>
      <c r="HCK25" s="2866"/>
      <c r="HCL25" s="2827"/>
      <c r="HCM25" s="2867"/>
      <c r="HCN25" s="2866"/>
      <c r="HCO25" s="2827"/>
      <c r="HCP25" s="2867"/>
      <c r="HCQ25" s="2866"/>
      <c r="HCR25" s="2827"/>
      <c r="HCS25" s="2867"/>
      <c r="HCT25" s="2866"/>
      <c r="HCU25" s="2827"/>
      <c r="HCV25" s="2867"/>
      <c r="HCW25" s="2866"/>
      <c r="HCX25" s="2827"/>
      <c r="HCY25" s="2867"/>
      <c r="HCZ25" s="2866"/>
      <c r="HDA25" s="2827"/>
      <c r="HDB25" s="2867"/>
      <c r="HDC25" s="2866"/>
      <c r="HDD25" s="2827"/>
      <c r="HDE25" s="2867"/>
      <c r="HDF25" s="2866"/>
      <c r="HDG25" s="2827"/>
      <c r="HDH25" s="2867"/>
      <c r="HDI25" s="2866"/>
      <c r="HDJ25" s="2827"/>
      <c r="HDK25" s="2867"/>
      <c r="HDL25" s="2866"/>
      <c r="HDM25" s="2827"/>
      <c r="HDN25" s="2867"/>
      <c r="HDO25" s="2866"/>
      <c r="HDP25" s="2827"/>
      <c r="HDQ25" s="2867"/>
      <c r="HDR25" s="2866"/>
      <c r="HDS25" s="2827"/>
      <c r="HDT25" s="2867"/>
      <c r="HDU25" s="2866"/>
      <c r="HDV25" s="2827"/>
      <c r="HDW25" s="2867"/>
      <c r="HDX25" s="2866"/>
      <c r="HDY25" s="2827"/>
      <c r="HDZ25" s="2867"/>
      <c r="HEA25" s="2866"/>
      <c r="HEB25" s="2827"/>
      <c r="HEC25" s="2867"/>
      <c r="HED25" s="2866"/>
      <c r="HEE25" s="2827"/>
      <c r="HEF25" s="2867"/>
      <c r="HEG25" s="2866"/>
      <c r="HEH25" s="2827"/>
      <c r="HEI25" s="2867"/>
      <c r="HEJ25" s="2866"/>
      <c r="HEK25" s="2827"/>
      <c r="HEL25" s="2867"/>
      <c r="HEM25" s="2866"/>
      <c r="HEN25" s="2827"/>
      <c r="HEO25" s="2867"/>
      <c r="HEP25" s="2866"/>
      <c r="HEQ25" s="2827"/>
      <c r="HER25" s="2867"/>
      <c r="HES25" s="2866"/>
      <c r="HET25" s="2827"/>
      <c r="HEU25" s="2867"/>
      <c r="HEV25" s="2866"/>
      <c r="HEW25" s="2827"/>
      <c r="HEX25" s="2867"/>
      <c r="HEY25" s="2866"/>
      <c r="HEZ25" s="2827"/>
      <c r="HFA25" s="2867"/>
      <c r="HFB25" s="2866"/>
      <c r="HFC25" s="2827"/>
      <c r="HFD25" s="2867"/>
      <c r="HFE25" s="2866"/>
      <c r="HFF25" s="2827"/>
      <c r="HFG25" s="2867"/>
      <c r="HFH25" s="2866"/>
      <c r="HFI25" s="2827"/>
      <c r="HFJ25" s="2867"/>
      <c r="HFK25" s="2866"/>
      <c r="HFL25" s="2827"/>
      <c r="HFM25" s="2867"/>
      <c r="HFN25" s="2866"/>
      <c r="HFO25" s="2827"/>
      <c r="HFP25" s="2867"/>
      <c r="HFQ25" s="2866"/>
      <c r="HFR25" s="2827"/>
      <c r="HFS25" s="2867"/>
      <c r="HFT25" s="2866"/>
      <c r="HFU25" s="2827"/>
      <c r="HFV25" s="2867"/>
      <c r="HFW25" s="2866"/>
      <c r="HFX25" s="2827"/>
      <c r="HFY25" s="2867"/>
      <c r="HFZ25" s="2866"/>
      <c r="HGA25" s="2827"/>
      <c r="HGB25" s="2867"/>
      <c r="HGC25" s="2866"/>
      <c r="HGD25" s="2827"/>
      <c r="HGE25" s="2867"/>
      <c r="HGF25" s="2866"/>
      <c r="HGG25" s="2827"/>
      <c r="HGH25" s="2867"/>
      <c r="HGI25" s="2866"/>
      <c r="HGJ25" s="2827"/>
      <c r="HGK25" s="2867"/>
      <c r="HGL25" s="2866"/>
      <c r="HGM25" s="2827"/>
      <c r="HGN25" s="2867"/>
      <c r="HGO25" s="2866"/>
      <c r="HGP25" s="2827"/>
      <c r="HGQ25" s="2867"/>
      <c r="HGR25" s="2866"/>
      <c r="HGS25" s="2827"/>
      <c r="HGT25" s="2867"/>
      <c r="HGU25" s="2866"/>
      <c r="HGV25" s="2827"/>
      <c r="HGW25" s="2867"/>
      <c r="HGX25" s="2866"/>
      <c r="HGY25" s="2827"/>
      <c r="HGZ25" s="2867"/>
      <c r="HHA25" s="2866"/>
      <c r="HHB25" s="2827"/>
      <c r="HHC25" s="2867"/>
      <c r="HHD25" s="2866"/>
      <c r="HHE25" s="2827"/>
      <c r="HHF25" s="2867"/>
      <c r="HHG25" s="2866"/>
      <c r="HHH25" s="2827"/>
      <c r="HHI25" s="2867"/>
      <c r="HHJ25" s="2866"/>
      <c r="HHK25" s="2827"/>
      <c r="HHL25" s="2867"/>
      <c r="HHM25" s="2866"/>
      <c r="HHN25" s="2827"/>
      <c r="HHO25" s="2867"/>
      <c r="HHP25" s="2866"/>
      <c r="HHQ25" s="2827"/>
      <c r="HHR25" s="2867"/>
      <c r="HHS25" s="2866"/>
      <c r="HHT25" s="2827"/>
      <c r="HHU25" s="2867"/>
      <c r="HHV25" s="2866"/>
      <c r="HHW25" s="2827"/>
      <c r="HHX25" s="2867"/>
      <c r="HHY25" s="2866"/>
      <c r="HHZ25" s="2827"/>
      <c r="HIA25" s="2867"/>
      <c r="HIB25" s="2866"/>
      <c r="HIC25" s="2827"/>
      <c r="HID25" s="2867"/>
      <c r="HIE25" s="2866"/>
      <c r="HIF25" s="2827"/>
      <c r="HIG25" s="2867"/>
      <c r="HIH25" s="2866"/>
      <c r="HII25" s="2827"/>
      <c r="HIJ25" s="2867"/>
      <c r="HIK25" s="2866"/>
      <c r="HIL25" s="2827"/>
      <c r="HIM25" s="2867"/>
      <c r="HIN25" s="2866"/>
      <c r="HIO25" s="2827"/>
      <c r="HIP25" s="2867"/>
      <c r="HIQ25" s="2866"/>
      <c r="HIR25" s="2827"/>
      <c r="HIS25" s="2867"/>
      <c r="HIT25" s="2866"/>
      <c r="HIU25" s="2827"/>
      <c r="HIV25" s="2867"/>
      <c r="HIW25" s="2866"/>
      <c r="HIX25" s="2827"/>
      <c r="HIY25" s="2867"/>
      <c r="HIZ25" s="2866"/>
      <c r="HJA25" s="2827"/>
      <c r="HJB25" s="2867"/>
      <c r="HJC25" s="2866"/>
      <c r="HJD25" s="2827"/>
      <c r="HJE25" s="2867"/>
      <c r="HJF25" s="2866"/>
      <c r="HJG25" s="2827"/>
      <c r="HJH25" s="2867"/>
      <c r="HJI25" s="2866"/>
      <c r="HJJ25" s="2827"/>
      <c r="HJK25" s="2867"/>
      <c r="HJL25" s="2866"/>
      <c r="HJM25" s="2827"/>
      <c r="HJN25" s="2867"/>
      <c r="HJO25" s="2866"/>
      <c r="HJP25" s="2827"/>
      <c r="HJQ25" s="2867"/>
      <c r="HJR25" s="2866"/>
      <c r="HJS25" s="2827"/>
      <c r="HJT25" s="2867"/>
      <c r="HJU25" s="2866"/>
      <c r="HJV25" s="2827"/>
      <c r="HJW25" s="2867"/>
      <c r="HJX25" s="2866"/>
      <c r="HJY25" s="2827"/>
      <c r="HJZ25" s="2867"/>
      <c r="HKA25" s="2866"/>
      <c r="HKB25" s="2827"/>
      <c r="HKC25" s="2867"/>
      <c r="HKD25" s="2866"/>
      <c r="HKE25" s="2827"/>
      <c r="HKF25" s="2867"/>
      <c r="HKG25" s="2866"/>
      <c r="HKH25" s="2827"/>
      <c r="HKI25" s="2867"/>
      <c r="HKJ25" s="2866"/>
      <c r="HKK25" s="2827"/>
      <c r="HKL25" s="2867"/>
      <c r="HKM25" s="2866"/>
      <c r="HKN25" s="2827"/>
      <c r="HKO25" s="2867"/>
      <c r="HKP25" s="2866"/>
      <c r="HKQ25" s="2827"/>
      <c r="HKR25" s="2867"/>
      <c r="HKS25" s="2866"/>
      <c r="HKT25" s="2827"/>
      <c r="HKU25" s="2867"/>
      <c r="HKV25" s="2866"/>
      <c r="HKW25" s="2827"/>
      <c r="HKX25" s="2867"/>
      <c r="HKY25" s="2866"/>
      <c r="HKZ25" s="2827"/>
      <c r="HLA25" s="2867"/>
      <c r="HLB25" s="2866"/>
      <c r="HLC25" s="2827"/>
      <c r="HLD25" s="2867"/>
      <c r="HLE25" s="2866"/>
      <c r="HLF25" s="2827"/>
      <c r="HLG25" s="2867"/>
      <c r="HLH25" s="2866"/>
      <c r="HLI25" s="2827"/>
      <c r="HLJ25" s="2867"/>
      <c r="HLK25" s="2866"/>
      <c r="HLL25" s="2827"/>
      <c r="HLM25" s="2867"/>
      <c r="HLN25" s="2866"/>
      <c r="HLO25" s="2827"/>
      <c r="HLP25" s="2867"/>
      <c r="HLQ25" s="2866"/>
      <c r="HLR25" s="2827"/>
      <c r="HLS25" s="2867"/>
      <c r="HLT25" s="2866"/>
      <c r="HLU25" s="2827"/>
      <c r="HLV25" s="2867"/>
      <c r="HLW25" s="2866"/>
      <c r="HLX25" s="2827"/>
      <c r="HLY25" s="2867"/>
      <c r="HLZ25" s="2866"/>
      <c r="HMA25" s="2827"/>
      <c r="HMB25" s="2867"/>
      <c r="HMC25" s="2866"/>
      <c r="HMD25" s="2827"/>
      <c r="HME25" s="2867"/>
      <c r="HMF25" s="2866"/>
      <c r="HMG25" s="2827"/>
      <c r="HMH25" s="2867"/>
      <c r="HMI25" s="2866"/>
      <c r="HMJ25" s="2827"/>
      <c r="HMK25" s="2867"/>
      <c r="HML25" s="2866"/>
      <c r="HMM25" s="2827"/>
      <c r="HMN25" s="2867"/>
      <c r="HMO25" s="2866"/>
      <c r="HMP25" s="2827"/>
      <c r="HMQ25" s="2867"/>
      <c r="HMR25" s="2866"/>
      <c r="HMS25" s="2827"/>
      <c r="HMT25" s="2867"/>
      <c r="HMU25" s="2866"/>
      <c r="HMV25" s="2827"/>
      <c r="HMW25" s="2867"/>
      <c r="HMX25" s="2866"/>
      <c r="HMY25" s="2827"/>
      <c r="HMZ25" s="2867"/>
      <c r="HNA25" s="2866"/>
      <c r="HNB25" s="2827"/>
      <c r="HNC25" s="2867"/>
      <c r="HND25" s="2866"/>
      <c r="HNE25" s="2827"/>
      <c r="HNF25" s="2867"/>
      <c r="HNG25" s="2866"/>
      <c r="HNH25" s="2827"/>
      <c r="HNI25" s="2867"/>
      <c r="HNJ25" s="2866"/>
      <c r="HNK25" s="2827"/>
      <c r="HNL25" s="2867"/>
      <c r="HNM25" s="2866"/>
      <c r="HNN25" s="2827"/>
      <c r="HNO25" s="2867"/>
      <c r="HNP25" s="2866"/>
      <c r="HNQ25" s="2827"/>
      <c r="HNR25" s="2867"/>
      <c r="HNS25" s="2866"/>
      <c r="HNT25" s="2827"/>
      <c r="HNU25" s="2867"/>
      <c r="HNV25" s="2866"/>
      <c r="HNW25" s="2827"/>
      <c r="HNX25" s="2867"/>
      <c r="HNY25" s="2866"/>
      <c r="HNZ25" s="2827"/>
      <c r="HOA25" s="2867"/>
      <c r="HOB25" s="2866"/>
      <c r="HOC25" s="2827"/>
      <c r="HOD25" s="2867"/>
      <c r="HOE25" s="2866"/>
      <c r="HOF25" s="2827"/>
      <c r="HOG25" s="2867"/>
      <c r="HOH25" s="2866"/>
      <c r="HOI25" s="2827"/>
      <c r="HOJ25" s="2867"/>
      <c r="HOK25" s="2866"/>
      <c r="HOL25" s="2827"/>
      <c r="HOM25" s="2867"/>
      <c r="HON25" s="2866"/>
      <c r="HOO25" s="2827"/>
      <c r="HOP25" s="2867"/>
      <c r="HOQ25" s="2866"/>
      <c r="HOR25" s="2827"/>
      <c r="HOS25" s="2867"/>
      <c r="HOT25" s="2866"/>
      <c r="HOU25" s="2827"/>
      <c r="HOV25" s="2867"/>
      <c r="HOW25" s="2866"/>
      <c r="HOX25" s="2827"/>
      <c r="HOY25" s="2867"/>
      <c r="HOZ25" s="2866"/>
      <c r="HPA25" s="2827"/>
      <c r="HPB25" s="2867"/>
      <c r="HPC25" s="2866"/>
      <c r="HPD25" s="2827"/>
      <c r="HPE25" s="2867"/>
      <c r="HPF25" s="2866"/>
      <c r="HPG25" s="2827"/>
      <c r="HPH25" s="2867"/>
      <c r="HPI25" s="2866"/>
      <c r="HPJ25" s="2827"/>
      <c r="HPK25" s="2867"/>
      <c r="HPL25" s="2866"/>
      <c r="HPM25" s="2827"/>
      <c r="HPN25" s="2867"/>
      <c r="HPO25" s="2866"/>
      <c r="HPP25" s="2827"/>
      <c r="HPQ25" s="2867"/>
      <c r="HPR25" s="2866"/>
      <c r="HPS25" s="2827"/>
      <c r="HPT25" s="2867"/>
      <c r="HPU25" s="2866"/>
      <c r="HPV25" s="2827"/>
      <c r="HPW25" s="2867"/>
      <c r="HPX25" s="2866"/>
      <c r="HPY25" s="2827"/>
      <c r="HPZ25" s="2867"/>
      <c r="HQA25" s="2866"/>
      <c r="HQB25" s="2827"/>
      <c r="HQC25" s="2867"/>
      <c r="HQD25" s="2866"/>
      <c r="HQE25" s="2827"/>
      <c r="HQF25" s="2867"/>
      <c r="HQG25" s="2866"/>
      <c r="HQH25" s="2827"/>
      <c r="HQI25" s="2867"/>
      <c r="HQJ25" s="2866"/>
      <c r="HQK25" s="2827"/>
      <c r="HQL25" s="2867"/>
      <c r="HQM25" s="2866"/>
      <c r="HQN25" s="2827"/>
      <c r="HQO25" s="2867"/>
      <c r="HQP25" s="2866"/>
      <c r="HQQ25" s="2827"/>
      <c r="HQR25" s="2867"/>
      <c r="HQS25" s="2866"/>
      <c r="HQT25" s="2827"/>
      <c r="HQU25" s="2867"/>
      <c r="HQV25" s="2866"/>
      <c r="HQW25" s="2827"/>
      <c r="HQX25" s="2867"/>
      <c r="HQY25" s="2866"/>
      <c r="HQZ25" s="2827"/>
      <c r="HRA25" s="2867"/>
      <c r="HRB25" s="2866"/>
      <c r="HRC25" s="2827"/>
      <c r="HRD25" s="2867"/>
      <c r="HRE25" s="2866"/>
      <c r="HRF25" s="2827"/>
      <c r="HRG25" s="2867"/>
      <c r="HRH25" s="2866"/>
      <c r="HRI25" s="2827"/>
      <c r="HRJ25" s="2867"/>
      <c r="HRK25" s="2866"/>
      <c r="HRL25" s="2827"/>
      <c r="HRM25" s="2867"/>
      <c r="HRN25" s="2866"/>
      <c r="HRO25" s="2827"/>
      <c r="HRP25" s="2867"/>
      <c r="HRQ25" s="2866"/>
      <c r="HRR25" s="2827"/>
      <c r="HRS25" s="2867"/>
      <c r="HRT25" s="2866"/>
      <c r="HRU25" s="2827"/>
      <c r="HRV25" s="2867"/>
      <c r="HRW25" s="2866"/>
      <c r="HRX25" s="2827"/>
      <c r="HRY25" s="2867"/>
      <c r="HRZ25" s="2866"/>
      <c r="HSA25" s="2827"/>
      <c r="HSB25" s="2867"/>
      <c r="HSC25" s="2866"/>
      <c r="HSD25" s="2827"/>
      <c r="HSE25" s="2867"/>
      <c r="HSF25" s="2866"/>
      <c r="HSG25" s="2827"/>
      <c r="HSH25" s="2867"/>
      <c r="HSI25" s="2866"/>
      <c r="HSJ25" s="2827"/>
      <c r="HSK25" s="2867"/>
      <c r="HSL25" s="2866"/>
      <c r="HSM25" s="2827"/>
      <c r="HSN25" s="2867"/>
      <c r="HSO25" s="2866"/>
      <c r="HSP25" s="2827"/>
      <c r="HSQ25" s="2867"/>
      <c r="HSR25" s="2866"/>
      <c r="HSS25" s="2827"/>
      <c r="HST25" s="2867"/>
      <c r="HSU25" s="2866"/>
      <c r="HSV25" s="2827"/>
      <c r="HSW25" s="2867"/>
      <c r="HSX25" s="2866"/>
      <c r="HSY25" s="2827"/>
      <c r="HSZ25" s="2867"/>
      <c r="HTA25" s="2866"/>
      <c r="HTB25" s="2827"/>
      <c r="HTC25" s="2867"/>
      <c r="HTD25" s="2866"/>
      <c r="HTE25" s="2827"/>
      <c r="HTF25" s="2867"/>
      <c r="HTG25" s="2866"/>
      <c r="HTH25" s="2827"/>
      <c r="HTI25" s="2867"/>
      <c r="HTJ25" s="2866"/>
      <c r="HTK25" s="2827"/>
      <c r="HTL25" s="2867"/>
      <c r="HTM25" s="2866"/>
      <c r="HTN25" s="2827"/>
      <c r="HTO25" s="2867"/>
      <c r="HTP25" s="2866"/>
      <c r="HTQ25" s="2827"/>
      <c r="HTR25" s="2867"/>
      <c r="HTS25" s="2866"/>
      <c r="HTT25" s="2827"/>
      <c r="HTU25" s="2867"/>
      <c r="HTV25" s="2866"/>
      <c r="HTW25" s="2827"/>
      <c r="HTX25" s="2867"/>
      <c r="HTY25" s="2866"/>
      <c r="HTZ25" s="2827"/>
      <c r="HUA25" s="2867"/>
      <c r="HUB25" s="2866"/>
      <c r="HUC25" s="2827"/>
      <c r="HUD25" s="2867"/>
      <c r="HUE25" s="2866"/>
      <c r="HUF25" s="2827"/>
      <c r="HUG25" s="2867"/>
      <c r="HUH25" s="2866"/>
      <c r="HUI25" s="2827"/>
      <c r="HUJ25" s="2867"/>
      <c r="HUK25" s="2866"/>
      <c r="HUL25" s="2827"/>
      <c r="HUM25" s="2867"/>
      <c r="HUN25" s="2866"/>
      <c r="HUO25" s="2827"/>
      <c r="HUP25" s="2867"/>
      <c r="HUQ25" s="2866"/>
      <c r="HUR25" s="2827"/>
      <c r="HUS25" s="2867"/>
      <c r="HUT25" s="2866"/>
      <c r="HUU25" s="2827"/>
      <c r="HUV25" s="2867"/>
      <c r="HUW25" s="2866"/>
      <c r="HUX25" s="2827"/>
      <c r="HUY25" s="2867"/>
      <c r="HUZ25" s="2866"/>
      <c r="HVA25" s="2827"/>
      <c r="HVB25" s="2867"/>
      <c r="HVC25" s="2866"/>
      <c r="HVD25" s="2827"/>
      <c r="HVE25" s="2867"/>
      <c r="HVF25" s="2866"/>
      <c r="HVG25" s="2827"/>
      <c r="HVH25" s="2867"/>
      <c r="HVI25" s="2866"/>
      <c r="HVJ25" s="2827"/>
      <c r="HVK25" s="2867"/>
      <c r="HVL25" s="2866"/>
      <c r="HVM25" s="2827"/>
      <c r="HVN25" s="2867"/>
      <c r="HVO25" s="2866"/>
      <c r="HVP25" s="2827"/>
      <c r="HVQ25" s="2867"/>
      <c r="HVR25" s="2866"/>
      <c r="HVS25" s="2827"/>
      <c r="HVT25" s="2867"/>
      <c r="HVU25" s="2866"/>
      <c r="HVV25" s="2827"/>
      <c r="HVW25" s="2867"/>
      <c r="HVX25" s="2866"/>
      <c r="HVY25" s="2827"/>
      <c r="HVZ25" s="2867"/>
      <c r="HWA25" s="2866"/>
      <c r="HWB25" s="2827"/>
      <c r="HWC25" s="2867"/>
      <c r="HWD25" s="2866"/>
      <c r="HWE25" s="2827"/>
      <c r="HWF25" s="2867"/>
      <c r="HWG25" s="2866"/>
      <c r="HWH25" s="2827"/>
      <c r="HWI25" s="2867"/>
      <c r="HWJ25" s="2866"/>
      <c r="HWK25" s="2827"/>
      <c r="HWL25" s="2867"/>
      <c r="HWM25" s="2866"/>
      <c r="HWN25" s="2827"/>
      <c r="HWO25" s="2867"/>
      <c r="HWP25" s="2866"/>
      <c r="HWQ25" s="2827"/>
      <c r="HWR25" s="2867"/>
      <c r="HWS25" s="2866"/>
      <c r="HWT25" s="2827"/>
      <c r="HWU25" s="2867"/>
      <c r="HWV25" s="2866"/>
      <c r="HWW25" s="2827"/>
      <c r="HWX25" s="2867"/>
      <c r="HWY25" s="2866"/>
      <c r="HWZ25" s="2827"/>
      <c r="HXA25" s="2867"/>
      <c r="HXB25" s="2866"/>
      <c r="HXC25" s="2827"/>
      <c r="HXD25" s="2867"/>
      <c r="HXE25" s="2866"/>
      <c r="HXF25" s="2827"/>
      <c r="HXG25" s="2867"/>
      <c r="HXH25" s="2866"/>
      <c r="HXI25" s="2827"/>
      <c r="HXJ25" s="2867"/>
      <c r="HXK25" s="2866"/>
      <c r="HXL25" s="2827"/>
      <c r="HXM25" s="2867"/>
      <c r="HXN25" s="2866"/>
      <c r="HXO25" s="2827"/>
      <c r="HXP25" s="2867"/>
      <c r="HXQ25" s="2866"/>
      <c r="HXR25" s="2827"/>
      <c r="HXS25" s="2867"/>
      <c r="HXT25" s="2866"/>
      <c r="HXU25" s="2827"/>
      <c r="HXV25" s="2867"/>
      <c r="HXW25" s="2866"/>
      <c r="HXX25" s="2827"/>
      <c r="HXY25" s="2867"/>
      <c r="HXZ25" s="2866"/>
      <c r="HYA25" s="2827"/>
      <c r="HYB25" s="2867"/>
      <c r="HYC25" s="2866"/>
      <c r="HYD25" s="2827"/>
      <c r="HYE25" s="2867"/>
      <c r="HYF25" s="2866"/>
      <c r="HYG25" s="2827"/>
      <c r="HYH25" s="2867"/>
      <c r="HYI25" s="2866"/>
      <c r="HYJ25" s="2827"/>
      <c r="HYK25" s="2867"/>
      <c r="HYL25" s="2866"/>
      <c r="HYM25" s="2827"/>
      <c r="HYN25" s="2867"/>
      <c r="HYO25" s="2866"/>
      <c r="HYP25" s="2827"/>
      <c r="HYQ25" s="2867"/>
      <c r="HYR25" s="2866"/>
      <c r="HYS25" s="2827"/>
      <c r="HYT25" s="2867"/>
      <c r="HYU25" s="2866"/>
      <c r="HYV25" s="2827"/>
      <c r="HYW25" s="2867"/>
      <c r="HYX25" s="2866"/>
      <c r="HYY25" s="2827"/>
      <c r="HYZ25" s="2867"/>
      <c r="HZA25" s="2866"/>
      <c r="HZB25" s="2827"/>
      <c r="HZC25" s="2867"/>
      <c r="HZD25" s="2866"/>
      <c r="HZE25" s="2827"/>
      <c r="HZF25" s="2867"/>
      <c r="HZG25" s="2866"/>
      <c r="HZH25" s="2827"/>
      <c r="HZI25" s="2867"/>
      <c r="HZJ25" s="2866"/>
      <c r="HZK25" s="2827"/>
      <c r="HZL25" s="2867"/>
      <c r="HZM25" s="2866"/>
      <c r="HZN25" s="2827"/>
      <c r="HZO25" s="2867"/>
      <c r="HZP25" s="2866"/>
      <c r="HZQ25" s="2827"/>
      <c r="HZR25" s="2867"/>
      <c r="HZS25" s="2866"/>
      <c r="HZT25" s="2827"/>
      <c r="HZU25" s="2867"/>
      <c r="HZV25" s="2866"/>
      <c r="HZW25" s="2827"/>
      <c r="HZX25" s="2867"/>
      <c r="HZY25" s="2866"/>
      <c r="HZZ25" s="2827"/>
      <c r="IAA25" s="2867"/>
      <c r="IAB25" s="2866"/>
      <c r="IAC25" s="2827"/>
      <c r="IAD25" s="2867"/>
      <c r="IAE25" s="2866"/>
      <c r="IAF25" s="2827"/>
      <c r="IAG25" s="2867"/>
      <c r="IAH25" s="2866"/>
      <c r="IAI25" s="2827"/>
      <c r="IAJ25" s="2867"/>
      <c r="IAK25" s="2866"/>
      <c r="IAL25" s="2827"/>
      <c r="IAM25" s="2867"/>
      <c r="IAN25" s="2866"/>
      <c r="IAO25" s="2827"/>
      <c r="IAP25" s="2867"/>
      <c r="IAQ25" s="2866"/>
      <c r="IAR25" s="2827"/>
      <c r="IAS25" s="2867"/>
      <c r="IAT25" s="2866"/>
      <c r="IAU25" s="2827"/>
      <c r="IAV25" s="2867"/>
      <c r="IAW25" s="2866"/>
      <c r="IAX25" s="2827"/>
      <c r="IAY25" s="2867"/>
      <c r="IAZ25" s="2866"/>
      <c r="IBA25" s="2827"/>
      <c r="IBB25" s="2867"/>
      <c r="IBC25" s="2866"/>
      <c r="IBD25" s="2827"/>
      <c r="IBE25" s="2867"/>
      <c r="IBF25" s="2866"/>
      <c r="IBG25" s="2827"/>
      <c r="IBH25" s="2867"/>
      <c r="IBI25" s="2866"/>
      <c r="IBJ25" s="2827"/>
      <c r="IBK25" s="2867"/>
      <c r="IBL25" s="2866"/>
      <c r="IBM25" s="2827"/>
      <c r="IBN25" s="2867"/>
      <c r="IBO25" s="2866"/>
      <c r="IBP25" s="2827"/>
      <c r="IBQ25" s="2867"/>
      <c r="IBR25" s="2866"/>
      <c r="IBS25" s="2827"/>
      <c r="IBT25" s="2867"/>
      <c r="IBU25" s="2866"/>
      <c r="IBV25" s="2827"/>
      <c r="IBW25" s="2867"/>
      <c r="IBX25" s="2866"/>
      <c r="IBY25" s="2827"/>
      <c r="IBZ25" s="2867"/>
      <c r="ICA25" s="2866"/>
      <c r="ICB25" s="2827"/>
      <c r="ICC25" s="2867"/>
      <c r="ICD25" s="2866"/>
      <c r="ICE25" s="2827"/>
      <c r="ICF25" s="2867"/>
      <c r="ICG25" s="2866"/>
      <c r="ICH25" s="2827"/>
      <c r="ICI25" s="2867"/>
      <c r="ICJ25" s="2866"/>
      <c r="ICK25" s="2827"/>
      <c r="ICL25" s="2867"/>
      <c r="ICM25" s="2866"/>
      <c r="ICN25" s="2827"/>
      <c r="ICO25" s="2867"/>
      <c r="ICP25" s="2866"/>
      <c r="ICQ25" s="2827"/>
      <c r="ICR25" s="2867"/>
      <c r="ICS25" s="2866"/>
      <c r="ICT25" s="2827"/>
      <c r="ICU25" s="2867"/>
      <c r="ICV25" s="2866"/>
      <c r="ICW25" s="2827"/>
      <c r="ICX25" s="2867"/>
      <c r="ICY25" s="2866"/>
      <c r="ICZ25" s="2827"/>
      <c r="IDA25" s="2867"/>
      <c r="IDB25" s="2866"/>
      <c r="IDC25" s="2827"/>
      <c r="IDD25" s="2867"/>
      <c r="IDE25" s="2866"/>
      <c r="IDF25" s="2827"/>
      <c r="IDG25" s="2867"/>
      <c r="IDH25" s="2866"/>
      <c r="IDI25" s="2827"/>
      <c r="IDJ25" s="2867"/>
      <c r="IDK25" s="2866"/>
      <c r="IDL25" s="2827"/>
      <c r="IDM25" s="2867"/>
      <c r="IDN25" s="2866"/>
      <c r="IDO25" s="2827"/>
      <c r="IDP25" s="2867"/>
      <c r="IDQ25" s="2866"/>
      <c r="IDR25" s="2827"/>
      <c r="IDS25" s="2867"/>
      <c r="IDT25" s="2866"/>
      <c r="IDU25" s="2827"/>
      <c r="IDV25" s="2867"/>
      <c r="IDW25" s="2866"/>
      <c r="IDX25" s="2827"/>
      <c r="IDY25" s="2867"/>
      <c r="IDZ25" s="2866"/>
      <c r="IEA25" s="2827"/>
      <c r="IEB25" s="2867"/>
      <c r="IEC25" s="2866"/>
      <c r="IED25" s="2827"/>
      <c r="IEE25" s="2867"/>
      <c r="IEF25" s="2866"/>
      <c r="IEG25" s="2827"/>
      <c r="IEH25" s="2867"/>
      <c r="IEI25" s="2866"/>
      <c r="IEJ25" s="2827"/>
      <c r="IEK25" s="2867"/>
      <c r="IEL25" s="2866"/>
      <c r="IEM25" s="2827"/>
      <c r="IEN25" s="2867"/>
      <c r="IEO25" s="2866"/>
      <c r="IEP25" s="2827"/>
      <c r="IEQ25" s="2867"/>
      <c r="IER25" s="2866"/>
      <c r="IES25" s="2827"/>
      <c r="IET25" s="2867"/>
      <c r="IEU25" s="2866"/>
      <c r="IEV25" s="2827"/>
      <c r="IEW25" s="2867"/>
      <c r="IEX25" s="2866"/>
      <c r="IEY25" s="2827"/>
      <c r="IEZ25" s="2867"/>
      <c r="IFA25" s="2866"/>
      <c r="IFB25" s="2827"/>
      <c r="IFC25" s="2867"/>
      <c r="IFD25" s="2866"/>
      <c r="IFE25" s="2827"/>
      <c r="IFF25" s="2867"/>
      <c r="IFG25" s="2866"/>
      <c r="IFH25" s="2827"/>
      <c r="IFI25" s="2867"/>
      <c r="IFJ25" s="2866"/>
      <c r="IFK25" s="2827"/>
      <c r="IFL25" s="2867"/>
      <c r="IFM25" s="2866"/>
      <c r="IFN25" s="2827"/>
      <c r="IFO25" s="2867"/>
      <c r="IFP25" s="2866"/>
      <c r="IFQ25" s="2827"/>
      <c r="IFR25" s="2867"/>
      <c r="IFS25" s="2866"/>
      <c r="IFT25" s="2827"/>
      <c r="IFU25" s="2867"/>
      <c r="IFV25" s="2866"/>
      <c r="IFW25" s="2827"/>
      <c r="IFX25" s="2867"/>
      <c r="IFY25" s="2866"/>
      <c r="IFZ25" s="2827"/>
      <c r="IGA25" s="2867"/>
      <c r="IGB25" s="2866"/>
      <c r="IGC25" s="2827"/>
      <c r="IGD25" s="2867"/>
      <c r="IGE25" s="2866"/>
      <c r="IGF25" s="2827"/>
      <c r="IGG25" s="2867"/>
      <c r="IGH25" s="2866"/>
      <c r="IGI25" s="2827"/>
      <c r="IGJ25" s="2867"/>
      <c r="IGK25" s="2866"/>
      <c r="IGL25" s="2827"/>
      <c r="IGM25" s="2867"/>
      <c r="IGN25" s="2866"/>
      <c r="IGO25" s="2827"/>
      <c r="IGP25" s="2867"/>
      <c r="IGQ25" s="2866"/>
      <c r="IGR25" s="2827"/>
      <c r="IGS25" s="2867"/>
      <c r="IGT25" s="2866"/>
      <c r="IGU25" s="2827"/>
      <c r="IGV25" s="2867"/>
      <c r="IGW25" s="2866"/>
      <c r="IGX25" s="2827"/>
      <c r="IGY25" s="2867"/>
      <c r="IGZ25" s="2866"/>
      <c r="IHA25" s="2827"/>
      <c r="IHB25" s="2867"/>
      <c r="IHC25" s="2866"/>
      <c r="IHD25" s="2827"/>
      <c r="IHE25" s="2867"/>
      <c r="IHF25" s="2866"/>
      <c r="IHG25" s="2827"/>
      <c r="IHH25" s="2867"/>
      <c r="IHI25" s="2866"/>
      <c r="IHJ25" s="2827"/>
      <c r="IHK25" s="2867"/>
      <c r="IHL25" s="2866"/>
      <c r="IHM25" s="2827"/>
      <c r="IHN25" s="2867"/>
      <c r="IHO25" s="2866"/>
      <c r="IHP25" s="2827"/>
      <c r="IHQ25" s="2867"/>
      <c r="IHR25" s="2866"/>
      <c r="IHS25" s="2827"/>
      <c r="IHT25" s="2867"/>
      <c r="IHU25" s="2866"/>
      <c r="IHV25" s="2827"/>
      <c r="IHW25" s="2867"/>
      <c r="IHX25" s="2866"/>
      <c r="IHY25" s="2827"/>
      <c r="IHZ25" s="2867"/>
      <c r="IIA25" s="2866"/>
      <c r="IIB25" s="2827"/>
      <c r="IIC25" s="2867"/>
      <c r="IID25" s="2866"/>
      <c r="IIE25" s="2827"/>
      <c r="IIF25" s="2867"/>
      <c r="IIG25" s="2866"/>
      <c r="IIH25" s="2827"/>
      <c r="III25" s="2867"/>
      <c r="IIJ25" s="2866"/>
      <c r="IIK25" s="2827"/>
      <c r="IIL25" s="2867"/>
      <c r="IIM25" s="2866"/>
      <c r="IIN25" s="2827"/>
      <c r="IIO25" s="2867"/>
      <c r="IIP25" s="2866"/>
      <c r="IIQ25" s="2827"/>
      <c r="IIR25" s="2867"/>
      <c r="IIS25" s="2866"/>
      <c r="IIT25" s="2827"/>
      <c r="IIU25" s="2867"/>
      <c r="IIV25" s="2866"/>
      <c r="IIW25" s="2827"/>
      <c r="IIX25" s="2867"/>
      <c r="IIY25" s="2866"/>
      <c r="IIZ25" s="2827"/>
      <c r="IJA25" s="2867"/>
      <c r="IJB25" s="2866"/>
      <c r="IJC25" s="2827"/>
      <c r="IJD25" s="2867"/>
      <c r="IJE25" s="2866"/>
      <c r="IJF25" s="2827"/>
      <c r="IJG25" s="2867"/>
      <c r="IJH25" s="2866"/>
      <c r="IJI25" s="2827"/>
      <c r="IJJ25" s="2867"/>
      <c r="IJK25" s="2866"/>
      <c r="IJL25" s="2827"/>
      <c r="IJM25" s="2867"/>
      <c r="IJN25" s="2866"/>
      <c r="IJO25" s="2827"/>
      <c r="IJP25" s="2867"/>
      <c r="IJQ25" s="2866"/>
      <c r="IJR25" s="2827"/>
      <c r="IJS25" s="2867"/>
      <c r="IJT25" s="2866"/>
      <c r="IJU25" s="2827"/>
      <c r="IJV25" s="2867"/>
      <c r="IJW25" s="2866"/>
      <c r="IJX25" s="2827"/>
      <c r="IJY25" s="2867"/>
      <c r="IJZ25" s="2866"/>
      <c r="IKA25" s="2827"/>
      <c r="IKB25" s="2867"/>
      <c r="IKC25" s="2866"/>
      <c r="IKD25" s="2827"/>
      <c r="IKE25" s="2867"/>
      <c r="IKF25" s="2866"/>
      <c r="IKG25" s="2827"/>
      <c r="IKH25" s="2867"/>
      <c r="IKI25" s="2866"/>
      <c r="IKJ25" s="2827"/>
      <c r="IKK25" s="2867"/>
      <c r="IKL25" s="2866"/>
      <c r="IKM25" s="2827"/>
      <c r="IKN25" s="2867"/>
      <c r="IKO25" s="2866"/>
      <c r="IKP25" s="2827"/>
      <c r="IKQ25" s="2867"/>
      <c r="IKR25" s="2866"/>
      <c r="IKS25" s="2827"/>
      <c r="IKT25" s="2867"/>
      <c r="IKU25" s="2866"/>
      <c r="IKV25" s="2827"/>
      <c r="IKW25" s="2867"/>
      <c r="IKX25" s="2866"/>
      <c r="IKY25" s="2827"/>
      <c r="IKZ25" s="2867"/>
      <c r="ILA25" s="2866"/>
      <c r="ILB25" s="2827"/>
      <c r="ILC25" s="2867"/>
      <c r="ILD25" s="2866"/>
      <c r="ILE25" s="2827"/>
      <c r="ILF25" s="2867"/>
      <c r="ILG25" s="2866"/>
      <c r="ILH25" s="2827"/>
      <c r="ILI25" s="2867"/>
      <c r="ILJ25" s="2866"/>
      <c r="ILK25" s="2827"/>
      <c r="ILL25" s="2867"/>
      <c r="ILM25" s="2866"/>
      <c r="ILN25" s="2827"/>
      <c r="ILO25" s="2867"/>
      <c r="ILP25" s="2866"/>
      <c r="ILQ25" s="2827"/>
      <c r="ILR25" s="2867"/>
      <c r="ILS25" s="2866"/>
      <c r="ILT25" s="2827"/>
      <c r="ILU25" s="2867"/>
      <c r="ILV25" s="2866"/>
      <c r="ILW25" s="2827"/>
      <c r="ILX25" s="2867"/>
      <c r="ILY25" s="2866"/>
      <c r="ILZ25" s="2827"/>
      <c r="IMA25" s="2867"/>
      <c r="IMB25" s="2866"/>
      <c r="IMC25" s="2827"/>
      <c r="IMD25" s="2867"/>
      <c r="IME25" s="2866"/>
      <c r="IMF25" s="2827"/>
      <c r="IMG25" s="2867"/>
      <c r="IMH25" s="2866"/>
      <c r="IMI25" s="2827"/>
      <c r="IMJ25" s="2867"/>
      <c r="IMK25" s="2866"/>
      <c r="IML25" s="2827"/>
      <c r="IMM25" s="2867"/>
      <c r="IMN25" s="2866"/>
      <c r="IMO25" s="2827"/>
      <c r="IMP25" s="2867"/>
      <c r="IMQ25" s="2866"/>
      <c r="IMR25" s="2827"/>
      <c r="IMS25" s="2867"/>
      <c r="IMT25" s="2866"/>
      <c r="IMU25" s="2827"/>
      <c r="IMV25" s="2867"/>
      <c r="IMW25" s="2866"/>
      <c r="IMX25" s="2827"/>
      <c r="IMY25" s="2867"/>
      <c r="IMZ25" s="2866"/>
      <c r="INA25" s="2827"/>
      <c r="INB25" s="2867"/>
      <c r="INC25" s="2866"/>
      <c r="IND25" s="2827"/>
      <c r="INE25" s="2867"/>
      <c r="INF25" s="2866"/>
      <c r="ING25" s="2827"/>
      <c r="INH25" s="2867"/>
      <c r="INI25" s="2866"/>
      <c r="INJ25" s="2827"/>
      <c r="INK25" s="2867"/>
      <c r="INL25" s="2866"/>
      <c r="INM25" s="2827"/>
      <c r="INN25" s="2867"/>
      <c r="INO25" s="2866"/>
      <c r="INP25" s="2827"/>
      <c r="INQ25" s="2867"/>
      <c r="INR25" s="2866"/>
      <c r="INS25" s="2827"/>
      <c r="INT25" s="2867"/>
      <c r="INU25" s="2866"/>
      <c r="INV25" s="2827"/>
      <c r="INW25" s="2867"/>
      <c r="INX25" s="2866"/>
      <c r="INY25" s="2827"/>
      <c r="INZ25" s="2867"/>
      <c r="IOA25" s="2866"/>
      <c r="IOB25" s="2827"/>
      <c r="IOC25" s="2867"/>
      <c r="IOD25" s="2866"/>
      <c r="IOE25" s="2827"/>
      <c r="IOF25" s="2867"/>
      <c r="IOG25" s="2866"/>
      <c r="IOH25" s="2827"/>
      <c r="IOI25" s="2867"/>
      <c r="IOJ25" s="2866"/>
      <c r="IOK25" s="2827"/>
      <c r="IOL25" s="2867"/>
      <c r="IOM25" s="2866"/>
      <c r="ION25" s="2827"/>
      <c r="IOO25" s="2867"/>
      <c r="IOP25" s="2866"/>
      <c r="IOQ25" s="2827"/>
      <c r="IOR25" s="2867"/>
      <c r="IOS25" s="2866"/>
      <c r="IOT25" s="2827"/>
      <c r="IOU25" s="2867"/>
      <c r="IOV25" s="2866"/>
      <c r="IOW25" s="2827"/>
      <c r="IOX25" s="2867"/>
      <c r="IOY25" s="2866"/>
      <c r="IOZ25" s="2827"/>
      <c r="IPA25" s="2867"/>
      <c r="IPB25" s="2866"/>
      <c r="IPC25" s="2827"/>
      <c r="IPD25" s="2867"/>
      <c r="IPE25" s="2866"/>
      <c r="IPF25" s="2827"/>
      <c r="IPG25" s="2867"/>
      <c r="IPH25" s="2866"/>
      <c r="IPI25" s="2827"/>
      <c r="IPJ25" s="2867"/>
      <c r="IPK25" s="2866"/>
      <c r="IPL25" s="2827"/>
      <c r="IPM25" s="2867"/>
      <c r="IPN25" s="2866"/>
      <c r="IPO25" s="2827"/>
      <c r="IPP25" s="2867"/>
      <c r="IPQ25" s="2866"/>
      <c r="IPR25" s="2827"/>
      <c r="IPS25" s="2867"/>
      <c r="IPT25" s="2866"/>
      <c r="IPU25" s="2827"/>
      <c r="IPV25" s="2867"/>
      <c r="IPW25" s="2866"/>
      <c r="IPX25" s="2827"/>
      <c r="IPY25" s="2867"/>
      <c r="IPZ25" s="2866"/>
      <c r="IQA25" s="2827"/>
      <c r="IQB25" s="2867"/>
      <c r="IQC25" s="2866"/>
      <c r="IQD25" s="2827"/>
      <c r="IQE25" s="2867"/>
      <c r="IQF25" s="2866"/>
      <c r="IQG25" s="2827"/>
      <c r="IQH25" s="2867"/>
      <c r="IQI25" s="2866"/>
      <c r="IQJ25" s="2827"/>
      <c r="IQK25" s="2867"/>
      <c r="IQL25" s="2866"/>
      <c r="IQM25" s="2827"/>
      <c r="IQN25" s="2867"/>
      <c r="IQO25" s="2866"/>
      <c r="IQP25" s="2827"/>
      <c r="IQQ25" s="2867"/>
      <c r="IQR25" s="2866"/>
      <c r="IQS25" s="2827"/>
      <c r="IQT25" s="2867"/>
      <c r="IQU25" s="2866"/>
      <c r="IQV25" s="2827"/>
      <c r="IQW25" s="2867"/>
      <c r="IQX25" s="2866"/>
      <c r="IQY25" s="2827"/>
      <c r="IQZ25" s="2867"/>
      <c r="IRA25" s="2866"/>
      <c r="IRB25" s="2827"/>
      <c r="IRC25" s="2867"/>
      <c r="IRD25" s="2866"/>
      <c r="IRE25" s="2827"/>
      <c r="IRF25" s="2867"/>
      <c r="IRG25" s="2866"/>
      <c r="IRH25" s="2827"/>
      <c r="IRI25" s="2867"/>
      <c r="IRJ25" s="2866"/>
      <c r="IRK25" s="2827"/>
      <c r="IRL25" s="2867"/>
      <c r="IRM25" s="2866"/>
      <c r="IRN25" s="2827"/>
      <c r="IRO25" s="2867"/>
      <c r="IRP25" s="2866"/>
      <c r="IRQ25" s="2827"/>
      <c r="IRR25" s="2867"/>
      <c r="IRS25" s="2866"/>
      <c r="IRT25" s="2827"/>
      <c r="IRU25" s="2867"/>
      <c r="IRV25" s="2866"/>
      <c r="IRW25" s="2827"/>
      <c r="IRX25" s="2867"/>
      <c r="IRY25" s="2866"/>
      <c r="IRZ25" s="2827"/>
      <c r="ISA25" s="2867"/>
      <c r="ISB25" s="2866"/>
      <c r="ISC25" s="2827"/>
      <c r="ISD25" s="2867"/>
      <c r="ISE25" s="2866"/>
      <c r="ISF25" s="2827"/>
      <c r="ISG25" s="2867"/>
      <c r="ISH25" s="2866"/>
      <c r="ISI25" s="2827"/>
      <c r="ISJ25" s="2867"/>
      <c r="ISK25" s="2866"/>
      <c r="ISL25" s="2827"/>
      <c r="ISM25" s="2867"/>
      <c r="ISN25" s="2866"/>
      <c r="ISO25" s="2827"/>
      <c r="ISP25" s="2867"/>
      <c r="ISQ25" s="2866"/>
      <c r="ISR25" s="2827"/>
      <c r="ISS25" s="2867"/>
      <c r="IST25" s="2866"/>
      <c r="ISU25" s="2827"/>
      <c r="ISV25" s="2867"/>
      <c r="ISW25" s="2866"/>
      <c r="ISX25" s="2827"/>
      <c r="ISY25" s="2867"/>
      <c r="ISZ25" s="2866"/>
      <c r="ITA25" s="2827"/>
      <c r="ITB25" s="2867"/>
      <c r="ITC25" s="2866"/>
      <c r="ITD25" s="2827"/>
      <c r="ITE25" s="2867"/>
      <c r="ITF25" s="2866"/>
      <c r="ITG25" s="2827"/>
      <c r="ITH25" s="2867"/>
      <c r="ITI25" s="2866"/>
      <c r="ITJ25" s="2827"/>
      <c r="ITK25" s="2867"/>
      <c r="ITL25" s="2866"/>
      <c r="ITM25" s="2827"/>
      <c r="ITN25" s="2867"/>
      <c r="ITO25" s="2866"/>
      <c r="ITP25" s="2827"/>
      <c r="ITQ25" s="2867"/>
      <c r="ITR25" s="2866"/>
      <c r="ITS25" s="2827"/>
      <c r="ITT25" s="2867"/>
      <c r="ITU25" s="2866"/>
      <c r="ITV25" s="2827"/>
      <c r="ITW25" s="2867"/>
      <c r="ITX25" s="2866"/>
      <c r="ITY25" s="2827"/>
      <c r="ITZ25" s="2867"/>
      <c r="IUA25" s="2866"/>
      <c r="IUB25" s="2827"/>
      <c r="IUC25" s="2867"/>
      <c r="IUD25" s="2866"/>
      <c r="IUE25" s="2827"/>
      <c r="IUF25" s="2867"/>
      <c r="IUG25" s="2866"/>
      <c r="IUH25" s="2827"/>
      <c r="IUI25" s="2867"/>
      <c r="IUJ25" s="2866"/>
      <c r="IUK25" s="2827"/>
      <c r="IUL25" s="2867"/>
      <c r="IUM25" s="2866"/>
      <c r="IUN25" s="2827"/>
      <c r="IUO25" s="2867"/>
      <c r="IUP25" s="2866"/>
      <c r="IUQ25" s="2827"/>
      <c r="IUR25" s="2867"/>
      <c r="IUS25" s="2866"/>
      <c r="IUT25" s="2827"/>
      <c r="IUU25" s="2867"/>
      <c r="IUV25" s="2866"/>
      <c r="IUW25" s="2827"/>
      <c r="IUX25" s="2867"/>
      <c r="IUY25" s="2866"/>
      <c r="IUZ25" s="2827"/>
      <c r="IVA25" s="2867"/>
      <c r="IVB25" s="2866"/>
      <c r="IVC25" s="2827"/>
      <c r="IVD25" s="2867"/>
      <c r="IVE25" s="2866"/>
      <c r="IVF25" s="2827"/>
      <c r="IVG25" s="2867"/>
      <c r="IVH25" s="2866"/>
      <c r="IVI25" s="2827"/>
      <c r="IVJ25" s="2867"/>
      <c r="IVK25" s="2866"/>
      <c r="IVL25" s="2827"/>
      <c r="IVM25" s="2867"/>
      <c r="IVN25" s="2866"/>
      <c r="IVO25" s="2827"/>
      <c r="IVP25" s="2867"/>
      <c r="IVQ25" s="2866"/>
      <c r="IVR25" s="2827"/>
      <c r="IVS25" s="2867"/>
      <c r="IVT25" s="2866"/>
      <c r="IVU25" s="2827"/>
      <c r="IVV25" s="2867"/>
      <c r="IVW25" s="2866"/>
      <c r="IVX25" s="2827"/>
      <c r="IVY25" s="2867"/>
      <c r="IVZ25" s="2866"/>
      <c r="IWA25" s="2827"/>
      <c r="IWB25" s="2867"/>
      <c r="IWC25" s="2866"/>
      <c r="IWD25" s="2827"/>
      <c r="IWE25" s="2867"/>
      <c r="IWF25" s="2866"/>
      <c r="IWG25" s="2827"/>
      <c r="IWH25" s="2867"/>
      <c r="IWI25" s="2866"/>
      <c r="IWJ25" s="2827"/>
      <c r="IWK25" s="2867"/>
      <c r="IWL25" s="2866"/>
      <c r="IWM25" s="2827"/>
      <c r="IWN25" s="2867"/>
      <c r="IWO25" s="2866"/>
      <c r="IWP25" s="2827"/>
      <c r="IWQ25" s="2867"/>
      <c r="IWR25" s="2866"/>
      <c r="IWS25" s="2827"/>
      <c r="IWT25" s="2867"/>
      <c r="IWU25" s="2866"/>
      <c r="IWV25" s="2827"/>
      <c r="IWW25" s="2867"/>
      <c r="IWX25" s="2866"/>
      <c r="IWY25" s="2827"/>
      <c r="IWZ25" s="2867"/>
      <c r="IXA25" s="2866"/>
      <c r="IXB25" s="2827"/>
      <c r="IXC25" s="2867"/>
      <c r="IXD25" s="2866"/>
      <c r="IXE25" s="2827"/>
      <c r="IXF25" s="2867"/>
      <c r="IXG25" s="2866"/>
      <c r="IXH25" s="2827"/>
      <c r="IXI25" s="2867"/>
      <c r="IXJ25" s="2866"/>
      <c r="IXK25" s="2827"/>
      <c r="IXL25" s="2867"/>
      <c r="IXM25" s="2866"/>
      <c r="IXN25" s="2827"/>
      <c r="IXO25" s="2867"/>
      <c r="IXP25" s="2866"/>
      <c r="IXQ25" s="2827"/>
      <c r="IXR25" s="2867"/>
      <c r="IXS25" s="2866"/>
      <c r="IXT25" s="2827"/>
      <c r="IXU25" s="2867"/>
      <c r="IXV25" s="2866"/>
      <c r="IXW25" s="2827"/>
      <c r="IXX25" s="2867"/>
      <c r="IXY25" s="2866"/>
      <c r="IXZ25" s="2827"/>
      <c r="IYA25" s="2867"/>
      <c r="IYB25" s="2866"/>
      <c r="IYC25" s="2827"/>
      <c r="IYD25" s="2867"/>
      <c r="IYE25" s="2866"/>
      <c r="IYF25" s="2827"/>
      <c r="IYG25" s="2867"/>
      <c r="IYH25" s="2866"/>
      <c r="IYI25" s="2827"/>
      <c r="IYJ25" s="2867"/>
      <c r="IYK25" s="2866"/>
      <c r="IYL25" s="2827"/>
      <c r="IYM25" s="2867"/>
      <c r="IYN25" s="2866"/>
      <c r="IYO25" s="2827"/>
      <c r="IYP25" s="2867"/>
      <c r="IYQ25" s="2866"/>
      <c r="IYR25" s="2827"/>
      <c r="IYS25" s="2867"/>
      <c r="IYT25" s="2866"/>
      <c r="IYU25" s="2827"/>
      <c r="IYV25" s="2867"/>
      <c r="IYW25" s="2866"/>
      <c r="IYX25" s="2827"/>
      <c r="IYY25" s="2867"/>
      <c r="IYZ25" s="2866"/>
      <c r="IZA25" s="2827"/>
      <c r="IZB25" s="2867"/>
      <c r="IZC25" s="2866"/>
      <c r="IZD25" s="2827"/>
      <c r="IZE25" s="2867"/>
      <c r="IZF25" s="2866"/>
      <c r="IZG25" s="2827"/>
      <c r="IZH25" s="2867"/>
      <c r="IZI25" s="2866"/>
      <c r="IZJ25" s="2827"/>
      <c r="IZK25" s="2867"/>
      <c r="IZL25" s="2866"/>
      <c r="IZM25" s="2827"/>
      <c r="IZN25" s="2867"/>
      <c r="IZO25" s="2866"/>
      <c r="IZP25" s="2827"/>
      <c r="IZQ25" s="2867"/>
      <c r="IZR25" s="2866"/>
      <c r="IZS25" s="2827"/>
      <c r="IZT25" s="2867"/>
      <c r="IZU25" s="2866"/>
      <c r="IZV25" s="2827"/>
      <c r="IZW25" s="2867"/>
      <c r="IZX25" s="2866"/>
      <c r="IZY25" s="2827"/>
      <c r="IZZ25" s="2867"/>
      <c r="JAA25" s="2866"/>
      <c r="JAB25" s="2827"/>
      <c r="JAC25" s="2867"/>
      <c r="JAD25" s="2866"/>
      <c r="JAE25" s="2827"/>
      <c r="JAF25" s="2867"/>
      <c r="JAG25" s="2866"/>
      <c r="JAH25" s="2827"/>
      <c r="JAI25" s="2867"/>
      <c r="JAJ25" s="2866"/>
      <c r="JAK25" s="2827"/>
      <c r="JAL25" s="2867"/>
      <c r="JAM25" s="2866"/>
      <c r="JAN25" s="2827"/>
      <c r="JAO25" s="2867"/>
      <c r="JAP25" s="2866"/>
      <c r="JAQ25" s="2827"/>
      <c r="JAR25" s="2867"/>
      <c r="JAS25" s="2866"/>
      <c r="JAT25" s="2827"/>
      <c r="JAU25" s="2867"/>
      <c r="JAV25" s="2866"/>
      <c r="JAW25" s="2827"/>
      <c r="JAX25" s="2867"/>
      <c r="JAY25" s="2866"/>
      <c r="JAZ25" s="2827"/>
      <c r="JBA25" s="2867"/>
      <c r="JBB25" s="2866"/>
      <c r="JBC25" s="2827"/>
      <c r="JBD25" s="2867"/>
      <c r="JBE25" s="2866"/>
      <c r="JBF25" s="2827"/>
      <c r="JBG25" s="2867"/>
      <c r="JBH25" s="2866"/>
      <c r="JBI25" s="2827"/>
      <c r="JBJ25" s="2867"/>
      <c r="JBK25" s="2866"/>
      <c r="JBL25" s="2827"/>
      <c r="JBM25" s="2867"/>
      <c r="JBN25" s="2866"/>
      <c r="JBO25" s="2827"/>
      <c r="JBP25" s="2867"/>
      <c r="JBQ25" s="2866"/>
      <c r="JBR25" s="2827"/>
      <c r="JBS25" s="2867"/>
      <c r="JBT25" s="2866"/>
      <c r="JBU25" s="2827"/>
      <c r="JBV25" s="2867"/>
      <c r="JBW25" s="2866"/>
      <c r="JBX25" s="2827"/>
      <c r="JBY25" s="2867"/>
      <c r="JBZ25" s="2866"/>
      <c r="JCA25" s="2827"/>
      <c r="JCB25" s="2867"/>
      <c r="JCC25" s="2866"/>
      <c r="JCD25" s="2827"/>
      <c r="JCE25" s="2867"/>
      <c r="JCF25" s="2866"/>
      <c r="JCG25" s="2827"/>
      <c r="JCH25" s="2867"/>
      <c r="JCI25" s="2866"/>
      <c r="JCJ25" s="2827"/>
      <c r="JCK25" s="2867"/>
      <c r="JCL25" s="2866"/>
      <c r="JCM25" s="2827"/>
      <c r="JCN25" s="2867"/>
      <c r="JCO25" s="2866"/>
      <c r="JCP25" s="2827"/>
      <c r="JCQ25" s="2867"/>
      <c r="JCR25" s="2866"/>
      <c r="JCS25" s="2827"/>
      <c r="JCT25" s="2867"/>
      <c r="JCU25" s="2866"/>
      <c r="JCV25" s="2827"/>
      <c r="JCW25" s="2867"/>
      <c r="JCX25" s="2866"/>
      <c r="JCY25" s="2827"/>
      <c r="JCZ25" s="2867"/>
      <c r="JDA25" s="2866"/>
      <c r="JDB25" s="2827"/>
      <c r="JDC25" s="2867"/>
      <c r="JDD25" s="2866"/>
      <c r="JDE25" s="2827"/>
      <c r="JDF25" s="2867"/>
      <c r="JDG25" s="2866"/>
      <c r="JDH25" s="2827"/>
      <c r="JDI25" s="2867"/>
      <c r="JDJ25" s="2866"/>
      <c r="JDK25" s="2827"/>
      <c r="JDL25" s="2867"/>
      <c r="JDM25" s="2866"/>
      <c r="JDN25" s="2827"/>
      <c r="JDO25" s="2867"/>
      <c r="JDP25" s="2866"/>
      <c r="JDQ25" s="2827"/>
      <c r="JDR25" s="2867"/>
      <c r="JDS25" s="2866"/>
      <c r="JDT25" s="2827"/>
      <c r="JDU25" s="2867"/>
      <c r="JDV25" s="2866"/>
      <c r="JDW25" s="2827"/>
      <c r="JDX25" s="2867"/>
      <c r="JDY25" s="2866"/>
      <c r="JDZ25" s="2827"/>
      <c r="JEA25" s="2867"/>
      <c r="JEB25" s="2866"/>
      <c r="JEC25" s="2827"/>
      <c r="JED25" s="2867"/>
      <c r="JEE25" s="2866"/>
      <c r="JEF25" s="2827"/>
      <c r="JEG25" s="2867"/>
      <c r="JEH25" s="2866"/>
      <c r="JEI25" s="2827"/>
      <c r="JEJ25" s="2867"/>
      <c r="JEK25" s="2866"/>
      <c r="JEL25" s="2827"/>
      <c r="JEM25" s="2867"/>
      <c r="JEN25" s="2866"/>
      <c r="JEO25" s="2827"/>
      <c r="JEP25" s="2867"/>
      <c r="JEQ25" s="2866"/>
      <c r="JER25" s="2827"/>
      <c r="JES25" s="2867"/>
      <c r="JET25" s="2866"/>
      <c r="JEU25" s="2827"/>
      <c r="JEV25" s="2867"/>
      <c r="JEW25" s="2866"/>
      <c r="JEX25" s="2827"/>
      <c r="JEY25" s="2867"/>
      <c r="JEZ25" s="2866"/>
      <c r="JFA25" s="2827"/>
      <c r="JFB25" s="2867"/>
      <c r="JFC25" s="2866"/>
      <c r="JFD25" s="2827"/>
      <c r="JFE25" s="2867"/>
      <c r="JFF25" s="2866"/>
      <c r="JFG25" s="2827"/>
      <c r="JFH25" s="2867"/>
      <c r="JFI25" s="2866"/>
      <c r="JFJ25" s="2827"/>
      <c r="JFK25" s="2867"/>
      <c r="JFL25" s="2866"/>
      <c r="JFM25" s="2827"/>
      <c r="JFN25" s="2867"/>
      <c r="JFO25" s="2866"/>
      <c r="JFP25" s="2827"/>
      <c r="JFQ25" s="2867"/>
      <c r="JFR25" s="2866"/>
      <c r="JFS25" s="2827"/>
      <c r="JFT25" s="2867"/>
      <c r="JFU25" s="2866"/>
      <c r="JFV25" s="2827"/>
      <c r="JFW25" s="2867"/>
      <c r="JFX25" s="2866"/>
      <c r="JFY25" s="2827"/>
      <c r="JFZ25" s="2867"/>
      <c r="JGA25" s="2866"/>
      <c r="JGB25" s="2827"/>
      <c r="JGC25" s="2867"/>
      <c r="JGD25" s="2866"/>
      <c r="JGE25" s="2827"/>
      <c r="JGF25" s="2867"/>
      <c r="JGG25" s="2866"/>
      <c r="JGH25" s="2827"/>
      <c r="JGI25" s="2867"/>
      <c r="JGJ25" s="2866"/>
      <c r="JGK25" s="2827"/>
      <c r="JGL25" s="2867"/>
      <c r="JGM25" s="2866"/>
      <c r="JGN25" s="2827"/>
      <c r="JGO25" s="2867"/>
      <c r="JGP25" s="2866"/>
      <c r="JGQ25" s="2827"/>
      <c r="JGR25" s="2867"/>
      <c r="JGS25" s="2866"/>
      <c r="JGT25" s="2827"/>
      <c r="JGU25" s="2867"/>
      <c r="JGV25" s="2866"/>
      <c r="JGW25" s="2827"/>
      <c r="JGX25" s="2867"/>
      <c r="JGY25" s="2866"/>
      <c r="JGZ25" s="2827"/>
      <c r="JHA25" s="2867"/>
      <c r="JHB25" s="2866"/>
      <c r="JHC25" s="2827"/>
      <c r="JHD25" s="2867"/>
      <c r="JHE25" s="2866"/>
      <c r="JHF25" s="2827"/>
      <c r="JHG25" s="2867"/>
      <c r="JHH25" s="2866"/>
      <c r="JHI25" s="2827"/>
      <c r="JHJ25" s="2867"/>
      <c r="JHK25" s="2866"/>
      <c r="JHL25" s="2827"/>
      <c r="JHM25" s="2867"/>
      <c r="JHN25" s="2866"/>
      <c r="JHO25" s="2827"/>
      <c r="JHP25" s="2867"/>
      <c r="JHQ25" s="2866"/>
      <c r="JHR25" s="2827"/>
      <c r="JHS25" s="2867"/>
      <c r="JHT25" s="2866"/>
      <c r="JHU25" s="2827"/>
      <c r="JHV25" s="2867"/>
      <c r="JHW25" s="2866"/>
      <c r="JHX25" s="2827"/>
      <c r="JHY25" s="2867"/>
      <c r="JHZ25" s="2866"/>
      <c r="JIA25" s="2827"/>
      <c r="JIB25" s="2867"/>
      <c r="JIC25" s="2866"/>
      <c r="JID25" s="2827"/>
      <c r="JIE25" s="2867"/>
      <c r="JIF25" s="2866"/>
      <c r="JIG25" s="2827"/>
      <c r="JIH25" s="2867"/>
      <c r="JII25" s="2866"/>
      <c r="JIJ25" s="2827"/>
      <c r="JIK25" s="2867"/>
      <c r="JIL25" s="2866"/>
      <c r="JIM25" s="2827"/>
      <c r="JIN25" s="2867"/>
      <c r="JIO25" s="2866"/>
      <c r="JIP25" s="2827"/>
      <c r="JIQ25" s="2867"/>
      <c r="JIR25" s="2866"/>
      <c r="JIS25" s="2827"/>
      <c r="JIT25" s="2867"/>
      <c r="JIU25" s="2866"/>
      <c r="JIV25" s="2827"/>
      <c r="JIW25" s="2867"/>
      <c r="JIX25" s="2866"/>
      <c r="JIY25" s="2827"/>
      <c r="JIZ25" s="2867"/>
      <c r="JJA25" s="2866"/>
      <c r="JJB25" s="2827"/>
      <c r="JJC25" s="2867"/>
      <c r="JJD25" s="2866"/>
      <c r="JJE25" s="2827"/>
      <c r="JJF25" s="2867"/>
      <c r="JJG25" s="2866"/>
      <c r="JJH25" s="2827"/>
      <c r="JJI25" s="2867"/>
      <c r="JJJ25" s="2866"/>
      <c r="JJK25" s="2827"/>
      <c r="JJL25" s="2867"/>
      <c r="JJM25" s="2866"/>
      <c r="JJN25" s="2827"/>
      <c r="JJO25" s="2867"/>
      <c r="JJP25" s="2866"/>
      <c r="JJQ25" s="2827"/>
      <c r="JJR25" s="2867"/>
      <c r="JJS25" s="2866"/>
      <c r="JJT25" s="2827"/>
      <c r="JJU25" s="2867"/>
      <c r="JJV25" s="2866"/>
      <c r="JJW25" s="2827"/>
      <c r="JJX25" s="2867"/>
      <c r="JJY25" s="2866"/>
      <c r="JJZ25" s="2827"/>
      <c r="JKA25" s="2867"/>
      <c r="JKB25" s="2866"/>
      <c r="JKC25" s="2827"/>
      <c r="JKD25" s="2867"/>
      <c r="JKE25" s="2866"/>
      <c r="JKF25" s="2827"/>
      <c r="JKG25" s="2867"/>
      <c r="JKH25" s="2866"/>
      <c r="JKI25" s="2827"/>
      <c r="JKJ25" s="2867"/>
      <c r="JKK25" s="2866"/>
      <c r="JKL25" s="2827"/>
      <c r="JKM25" s="2867"/>
      <c r="JKN25" s="2866"/>
      <c r="JKO25" s="2827"/>
      <c r="JKP25" s="2867"/>
      <c r="JKQ25" s="2866"/>
      <c r="JKR25" s="2827"/>
      <c r="JKS25" s="2867"/>
      <c r="JKT25" s="2866"/>
      <c r="JKU25" s="2827"/>
      <c r="JKV25" s="2867"/>
      <c r="JKW25" s="2866"/>
      <c r="JKX25" s="2827"/>
      <c r="JKY25" s="2867"/>
      <c r="JKZ25" s="2866"/>
      <c r="JLA25" s="2827"/>
      <c r="JLB25" s="2867"/>
      <c r="JLC25" s="2866"/>
      <c r="JLD25" s="2827"/>
      <c r="JLE25" s="2867"/>
      <c r="JLF25" s="2866"/>
      <c r="JLG25" s="2827"/>
      <c r="JLH25" s="2867"/>
      <c r="JLI25" s="2866"/>
      <c r="JLJ25" s="2827"/>
      <c r="JLK25" s="2867"/>
      <c r="JLL25" s="2866"/>
      <c r="JLM25" s="2827"/>
      <c r="JLN25" s="2867"/>
      <c r="JLO25" s="2866"/>
      <c r="JLP25" s="2827"/>
      <c r="JLQ25" s="2867"/>
      <c r="JLR25" s="2866"/>
      <c r="JLS25" s="2827"/>
      <c r="JLT25" s="2867"/>
      <c r="JLU25" s="2866"/>
      <c r="JLV25" s="2827"/>
      <c r="JLW25" s="2867"/>
      <c r="JLX25" s="2866"/>
      <c r="JLY25" s="2827"/>
      <c r="JLZ25" s="2867"/>
      <c r="JMA25" s="2866"/>
      <c r="JMB25" s="2827"/>
      <c r="JMC25" s="2867"/>
      <c r="JMD25" s="2866"/>
      <c r="JME25" s="2827"/>
      <c r="JMF25" s="2867"/>
      <c r="JMG25" s="2866"/>
      <c r="JMH25" s="2827"/>
      <c r="JMI25" s="2867"/>
      <c r="JMJ25" s="2866"/>
      <c r="JMK25" s="2827"/>
      <c r="JML25" s="2867"/>
      <c r="JMM25" s="2866"/>
      <c r="JMN25" s="2827"/>
      <c r="JMO25" s="2867"/>
      <c r="JMP25" s="2866"/>
      <c r="JMQ25" s="2827"/>
      <c r="JMR25" s="2867"/>
      <c r="JMS25" s="2866"/>
      <c r="JMT25" s="2827"/>
      <c r="JMU25" s="2867"/>
      <c r="JMV25" s="2866"/>
      <c r="JMW25" s="2827"/>
      <c r="JMX25" s="2867"/>
      <c r="JMY25" s="2866"/>
      <c r="JMZ25" s="2827"/>
      <c r="JNA25" s="2867"/>
      <c r="JNB25" s="2866"/>
      <c r="JNC25" s="2827"/>
      <c r="JND25" s="2867"/>
      <c r="JNE25" s="2866"/>
      <c r="JNF25" s="2827"/>
      <c r="JNG25" s="2867"/>
      <c r="JNH25" s="2866"/>
      <c r="JNI25" s="2827"/>
      <c r="JNJ25" s="2867"/>
      <c r="JNK25" s="2866"/>
      <c r="JNL25" s="2827"/>
      <c r="JNM25" s="2867"/>
      <c r="JNN25" s="2866"/>
      <c r="JNO25" s="2827"/>
      <c r="JNP25" s="2867"/>
      <c r="JNQ25" s="2866"/>
      <c r="JNR25" s="2827"/>
      <c r="JNS25" s="2867"/>
      <c r="JNT25" s="2866"/>
      <c r="JNU25" s="2827"/>
      <c r="JNV25" s="2867"/>
      <c r="JNW25" s="2866"/>
      <c r="JNX25" s="2827"/>
      <c r="JNY25" s="2867"/>
      <c r="JNZ25" s="2866"/>
      <c r="JOA25" s="2827"/>
      <c r="JOB25" s="2867"/>
      <c r="JOC25" s="2866"/>
      <c r="JOD25" s="2827"/>
      <c r="JOE25" s="2867"/>
      <c r="JOF25" s="2866"/>
      <c r="JOG25" s="2827"/>
      <c r="JOH25" s="2867"/>
      <c r="JOI25" s="2866"/>
      <c r="JOJ25" s="2827"/>
      <c r="JOK25" s="2867"/>
      <c r="JOL25" s="2866"/>
      <c r="JOM25" s="2827"/>
      <c r="JON25" s="2867"/>
      <c r="JOO25" s="2866"/>
      <c r="JOP25" s="2827"/>
      <c r="JOQ25" s="2867"/>
      <c r="JOR25" s="2866"/>
      <c r="JOS25" s="2827"/>
      <c r="JOT25" s="2867"/>
      <c r="JOU25" s="2866"/>
      <c r="JOV25" s="2827"/>
      <c r="JOW25" s="2867"/>
      <c r="JOX25" s="2866"/>
      <c r="JOY25" s="2827"/>
      <c r="JOZ25" s="2867"/>
      <c r="JPA25" s="2866"/>
      <c r="JPB25" s="2827"/>
      <c r="JPC25" s="2867"/>
      <c r="JPD25" s="2866"/>
      <c r="JPE25" s="2827"/>
      <c r="JPF25" s="2867"/>
      <c r="JPG25" s="2866"/>
      <c r="JPH25" s="2827"/>
      <c r="JPI25" s="2867"/>
      <c r="JPJ25" s="2866"/>
      <c r="JPK25" s="2827"/>
      <c r="JPL25" s="2867"/>
      <c r="JPM25" s="2866"/>
      <c r="JPN25" s="2827"/>
      <c r="JPO25" s="2867"/>
      <c r="JPP25" s="2866"/>
      <c r="JPQ25" s="2827"/>
      <c r="JPR25" s="2867"/>
      <c r="JPS25" s="2866"/>
      <c r="JPT25" s="2827"/>
      <c r="JPU25" s="2867"/>
      <c r="JPV25" s="2866"/>
      <c r="JPW25" s="2827"/>
      <c r="JPX25" s="2867"/>
      <c r="JPY25" s="2866"/>
      <c r="JPZ25" s="2827"/>
      <c r="JQA25" s="2867"/>
      <c r="JQB25" s="2866"/>
      <c r="JQC25" s="2827"/>
      <c r="JQD25" s="2867"/>
      <c r="JQE25" s="2866"/>
      <c r="JQF25" s="2827"/>
      <c r="JQG25" s="2867"/>
      <c r="JQH25" s="2866"/>
      <c r="JQI25" s="2827"/>
      <c r="JQJ25" s="2867"/>
      <c r="JQK25" s="2866"/>
      <c r="JQL25" s="2827"/>
      <c r="JQM25" s="2867"/>
      <c r="JQN25" s="2866"/>
      <c r="JQO25" s="2827"/>
      <c r="JQP25" s="2867"/>
      <c r="JQQ25" s="2866"/>
      <c r="JQR25" s="2827"/>
      <c r="JQS25" s="2867"/>
      <c r="JQT25" s="2866"/>
      <c r="JQU25" s="2827"/>
      <c r="JQV25" s="2867"/>
      <c r="JQW25" s="2866"/>
      <c r="JQX25" s="2827"/>
      <c r="JQY25" s="2867"/>
      <c r="JQZ25" s="2866"/>
      <c r="JRA25" s="2827"/>
      <c r="JRB25" s="2867"/>
      <c r="JRC25" s="2866"/>
      <c r="JRD25" s="2827"/>
      <c r="JRE25" s="2867"/>
      <c r="JRF25" s="2866"/>
      <c r="JRG25" s="2827"/>
      <c r="JRH25" s="2867"/>
      <c r="JRI25" s="2866"/>
      <c r="JRJ25" s="2827"/>
      <c r="JRK25" s="2867"/>
      <c r="JRL25" s="2866"/>
      <c r="JRM25" s="2827"/>
      <c r="JRN25" s="2867"/>
      <c r="JRO25" s="2866"/>
      <c r="JRP25" s="2827"/>
      <c r="JRQ25" s="2867"/>
      <c r="JRR25" s="2866"/>
      <c r="JRS25" s="2827"/>
      <c r="JRT25" s="2867"/>
      <c r="JRU25" s="2866"/>
      <c r="JRV25" s="2827"/>
      <c r="JRW25" s="2867"/>
      <c r="JRX25" s="2866"/>
      <c r="JRY25" s="2827"/>
      <c r="JRZ25" s="2867"/>
      <c r="JSA25" s="2866"/>
      <c r="JSB25" s="2827"/>
      <c r="JSC25" s="2867"/>
      <c r="JSD25" s="2866"/>
      <c r="JSE25" s="2827"/>
      <c r="JSF25" s="2867"/>
      <c r="JSG25" s="2866"/>
      <c r="JSH25" s="2827"/>
      <c r="JSI25" s="2867"/>
      <c r="JSJ25" s="2866"/>
      <c r="JSK25" s="2827"/>
      <c r="JSL25" s="2867"/>
      <c r="JSM25" s="2866"/>
      <c r="JSN25" s="2827"/>
      <c r="JSO25" s="2867"/>
      <c r="JSP25" s="2866"/>
      <c r="JSQ25" s="2827"/>
      <c r="JSR25" s="2867"/>
      <c r="JSS25" s="2866"/>
      <c r="JST25" s="2827"/>
      <c r="JSU25" s="2867"/>
      <c r="JSV25" s="2866"/>
      <c r="JSW25" s="2827"/>
      <c r="JSX25" s="2867"/>
      <c r="JSY25" s="2866"/>
      <c r="JSZ25" s="2827"/>
      <c r="JTA25" s="2867"/>
      <c r="JTB25" s="2866"/>
      <c r="JTC25" s="2827"/>
      <c r="JTD25" s="2867"/>
      <c r="JTE25" s="2866"/>
      <c r="JTF25" s="2827"/>
      <c r="JTG25" s="2867"/>
      <c r="JTH25" s="2866"/>
      <c r="JTI25" s="2827"/>
      <c r="JTJ25" s="2867"/>
      <c r="JTK25" s="2866"/>
      <c r="JTL25" s="2827"/>
      <c r="JTM25" s="2867"/>
      <c r="JTN25" s="2866"/>
      <c r="JTO25" s="2827"/>
      <c r="JTP25" s="2867"/>
      <c r="JTQ25" s="2866"/>
      <c r="JTR25" s="2827"/>
      <c r="JTS25" s="2867"/>
      <c r="JTT25" s="2866"/>
      <c r="JTU25" s="2827"/>
      <c r="JTV25" s="2867"/>
      <c r="JTW25" s="2866"/>
      <c r="JTX25" s="2827"/>
      <c r="JTY25" s="2867"/>
      <c r="JTZ25" s="2866"/>
      <c r="JUA25" s="2827"/>
      <c r="JUB25" s="2867"/>
      <c r="JUC25" s="2866"/>
      <c r="JUD25" s="2827"/>
      <c r="JUE25" s="2867"/>
      <c r="JUF25" s="2866"/>
      <c r="JUG25" s="2827"/>
      <c r="JUH25" s="2867"/>
      <c r="JUI25" s="2866"/>
      <c r="JUJ25" s="2827"/>
      <c r="JUK25" s="2867"/>
      <c r="JUL25" s="2866"/>
      <c r="JUM25" s="2827"/>
      <c r="JUN25" s="2867"/>
      <c r="JUO25" s="2866"/>
      <c r="JUP25" s="2827"/>
      <c r="JUQ25" s="2867"/>
      <c r="JUR25" s="2866"/>
      <c r="JUS25" s="2827"/>
      <c r="JUT25" s="2867"/>
      <c r="JUU25" s="2866"/>
      <c r="JUV25" s="2827"/>
      <c r="JUW25" s="2867"/>
      <c r="JUX25" s="2866"/>
      <c r="JUY25" s="2827"/>
      <c r="JUZ25" s="2867"/>
      <c r="JVA25" s="2866"/>
      <c r="JVB25" s="2827"/>
      <c r="JVC25" s="2867"/>
      <c r="JVD25" s="2866"/>
      <c r="JVE25" s="2827"/>
      <c r="JVF25" s="2867"/>
      <c r="JVG25" s="2866"/>
      <c r="JVH25" s="2827"/>
      <c r="JVI25" s="2867"/>
      <c r="JVJ25" s="2866"/>
      <c r="JVK25" s="2827"/>
      <c r="JVL25" s="2867"/>
      <c r="JVM25" s="2866"/>
      <c r="JVN25" s="2827"/>
      <c r="JVO25" s="2867"/>
      <c r="JVP25" s="2866"/>
      <c r="JVQ25" s="2827"/>
      <c r="JVR25" s="2867"/>
      <c r="JVS25" s="2866"/>
      <c r="JVT25" s="2827"/>
      <c r="JVU25" s="2867"/>
      <c r="JVV25" s="2866"/>
      <c r="JVW25" s="2827"/>
      <c r="JVX25" s="2867"/>
      <c r="JVY25" s="2866"/>
      <c r="JVZ25" s="2827"/>
      <c r="JWA25" s="2867"/>
      <c r="JWB25" s="2866"/>
      <c r="JWC25" s="2827"/>
      <c r="JWD25" s="2867"/>
      <c r="JWE25" s="2866"/>
      <c r="JWF25" s="2827"/>
      <c r="JWG25" s="2867"/>
      <c r="JWH25" s="2866"/>
      <c r="JWI25" s="2827"/>
      <c r="JWJ25" s="2867"/>
      <c r="JWK25" s="2866"/>
      <c r="JWL25" s="2827"/>
      <c r="JWM25" s="2867"/>
      <c r="JWN25" s="2866"/>
      <c r="JWO25" s="2827"/>
      <c r="JWP25" s="2867"/>
      <c r="JWQ25" s="2866"/>
      <c r="JWR25" s="2827"/>
      <c r="JWS25" s="2867"/>
      <c r="JWT25" s="2866"/>
      <c r="JWU25" s="2827"/>
      <c r="JWV25" s="2867"/>
      <c r="JWW25" s="2866"/>
      <c r="JWX25" s="2827"/>
      <c r="JWY25" s="2867"/>
      <c r="JWZ25" s="2866"/>
      <c r="JXA25" s="2827"/>
      <c r="JXB25" s="2867"/>
      <c r="JXC25" s="2866"/>
      <c r="JXD25" s="2827"/>
      <c r="JXE25" s="2867"/>
      <c r="JXF25" s="2866"/>
      <c r="JXG25" s="2827"/>
      <c r="JXH25" s="2867"/>
      <c r="JXI25" s="2866"/>
      <c r="JXJ25" s="2827"/>
      <c r="JXK25" s="2867"/>
      <c r="JXL25" s="2866"/>
      <c r="JXM25" s="2827"/>
      <c r="JXN25" s="2867"/>
      <c r="JXO25" s="2866"/>
      <c r="JXP25" s="2827"/>
      <c r="JXQ25" s="2867"/>
      <c r="JXR25" s="2866"/>
      <c r="JXS25" s="2827"/>
      <c r="JXT25" s="2867"/>
      <c r="JXU25" s="2866"/>
      <c r="JXV25" s="2827"/>
      <c r="JXW25" s="2867"/>
      <c r="JXX25" s="2866"/>
      <c r="JXY25" s="2827"/>
      <c r="JXZ25" s="2867"/>
      <c r="JYA25" s="2866"/>
      <c r="JYB25" s="2827"/>
      <c r="JYC25" s="2867"/>
      <c r="JYD25" s="2866"/>
      <c r="JYE25" s="2827"/>
      <c r="JYF25" s="2867"/>
      <c r="JYG25" s="2866"/>
      <c r="JYH25" s="2827"/>
      <c r="JYI25" s="2867"/>
      <c r="JYJ25" s="2866"/>
      <c r="JYK25" s="2827"/>
      <c r="JYL25" s="2867"/>
      <c r="JYM25" s="2866"/>
      <c r="JYN25" s="2827"/>
      <c r="JYO25" s="2867"/>
      <c r="JYP25" s="2866"/>
      <c r="JYQ25" s="2827"/>
      <c r="JYR25" s="2867"/>
      <c r="JYS25" s="2866"/>
      <c r="JYT25" s="2827"/>
      <c r="JYU25" s="2867"/>
      <c r="JYV25" s="2866"/>
      <c r="JYW25" s="2827"/>
      <c r="JYX25" s="2867"/>
      <c r="JYY25" s="2866"/>
      <c r="JYZ25" s="2827"/>
      <c r="JZA25" s="2867"/>
      <c r="JZB25" s="2866"/>
      <c r="JZC25" s="2827"/>
      <c r="JZD25" s="2867"/>
      <c r="JZE25" s="2866"/>
      <c r="JZF25" s="2827"/>
      <c r="JZG25" s="2867"/>
      <c r="JZH25" s="2866"/>
      <c r="JZI25" s="2827"/>
      <c r="JZJ25" s="2867"/>
      <c r="JZK25" s="2866"/>
      <c r="JZL25" s="2827"/>
      <c r="JZM25" s="2867"/>
      <c r="JZN25" s="2866"/>
      <c r="JZO25" s="2827"/>
      <c r="JZP25" s="2867"/>
      <c r="JZQ25" s="2866"/>
      <c r="JZR25" s="2827"/>
      <c r="JZS25" s="2867"/>
      <c r="JZT25" s="2866"/>
      <c r="JZU25" s="2827"/>
      <c r="JZV25" s="2867"/>
      <c r="JZW25" s="2866"/>
      <c r="JZX25" s="2827"/>
      <c r="JZY25" s="2867"/>
      <c r="JZZ25" s="2866"/>
      <c r="KAA25" s="2827"/>
      <c r="KAB25" s="2867"/>
      <c r="KAC25" s="2866"/>
      <c r="KAD25" s="2827"/>
      <c r="KAE25" s="2867"/>
      <c r="KAF25" s="2866"/>
      <c r="KAG25" s="2827"/>
      <c r="KAH25" s="2867"/>
      <c r="KAI25" s="2866"/>
      <c r="KAJ25" s="2827"/>
      <c r="KAK25" s="2867"/>
      <c r="KAL25" s="2866"/>
      <c r="KAM25" s="2827"/>
      <c r="KAN25" s="2867"/>
      <c r="KAO25" s="2866"/>
      <c r="KAP25" s="2827"/>
      <c r="KAQ25" s="2867"/>
      <c r="KAR25" s="2866"/>
      <c r="KAS25" s="2827"/>
      <c r="KAT25" s="2867"/>
      <c r="KAU25" s="2866"/>
      <c r="KAV25" s="2827"/>
      <c r="KAW25" s="2867"/>
      <c r="KAX25" s="2866"/>
      <c r="KAY25" s="2827"/>
      <c r="KAZ25" s="2867"/>
      <c r="KBA25" s="2866"/>
      <c r="KBB25" s="2827"/>
      <c r="KBC25" s="2867"/>
      <c r="KBD25" s="2866"/>
      <c r="KBE25" s="2827"/>
      <c r="KBF25" s="2867"/>
      <c r="KBG25" s="2866"/>
      <c r="KBH25" s="2827"/>
      <c r="KBI25" s="2867"/>
      <c r="KBJ25" s="2866"/>
      <c r="KBK25" s="2827"/>
      <c r="KBL25" s="2867"/>
      <c r="KBM25" s="2866"/>
      <c r="KBN25" s="2827"/>
      <c r="KBO25" s="2867"/>
      <c r="KBP25" s="2866"/>
      <c r="KBQ25" s="2827"/>
      <c r="KBR25" s="2867"/>
      <c r="KBS25" s="2866"/>
      <c r="KBT25" s="2827"/>
      <c r="KBU25" s="2867"/>
      <c r="KBV25" s="2866"/>
      <c r="KBW25" s="2827"/>
      <c r="KBX25" s="2867"/>
      <c r="KBY25" s="2866"/>
      <c r="KBZ25" s="2827"/>
      <c r="KCA25" s="2867"/>
      <c r="KCB25" s="2866"/>
      <c r="KCC25" s="2827"/>
      <c r="KCD25" s="2867"/>
      <c r="KCE25" s="2866"/>
      <c r="KCF25" s="2827"/>
      <c r="KCG25" s="2867"/>
      <c r="KCH25" s="2866"/>
      <c r="KCI25" s="2827"/>
      <c r="KCJ25" s="2867"/>
      <c r="KCK25" s="2866"/>
      <c r="KCL25" s="2827"/>
      <c r="KCM25" s="2867"/>
      <c r="KCN25" s="2866"/>
      <c r="KCO25" s="2827"/>
      <c r="KCP25" s="2867"/>
      <c r="KCQ25" s="2866"/>
      <c r="KCR25" s="2827"/>
      <c r="KCS25" s="2867"/>
      <c r="KCT25" s="2866"/>
      <c r="KCU25" s="2827"/>
      <c r="KCV25" s="2867"/>
      <c r="KCW25" s="2866"/>
      <c r="KCX25" s="2827"/>
      <c r="KCY25" s="2867"/>
      <c r="KCZ25" s="2866"/>
      <c r="KDA25" s="2827"/>
      <c r="KDB25" s="2867"/>
      <c r="KDC25" s="2866"/>
      <c r="KDD25" s="2827"/>
      <c r="KDE25" s="2867"/>
      <c r="KDF25" s="2866"/>
      <c r="KDG25" s="2827"/>
      <c r="KDH25" s="2867"/>
      <c r="KDI25" s="2866"/>
      <c r="KDJ25" s="2827"/>
      <c r="KDK25" s="2867"/>
      <c r="KDL25" s="2866"/>
      <c r="KDM25" s="2827"/>
      <c r="KDN25" s="2867"/>
      <c r="KDO25" s="2866"/>
      <c r="KDP25" s="2827"/>
      <c r="KDQ25" s="2867"/>
      <c r="KDR25" s="2866"/>
      <c r="KDS25" s="2827"/>
      <c r="KDT25" s="2867"/>
      <c r="KDU25" s="2866"/>
      <c r="KDV25" s="2827"/>
      <c r="KDW25" s="2867"/>
      <c r="KDX25" s="2866"/>
      <c r="KDY25" s="2827"/>
      <c r="KDZ25" s="2867"/>
      <c r="KEA25" s="2866"/>
      <c r="KEB25" s="2827"/>
      <c r="KEC25" s="2867"/>
      <c r="KED25" s="2866"/>
      <c r="KEE25" s="2827"/>
      <c r="KEF25" s="2867"/>
      <c r="KEG25" s="2866"/>
      <c r="KEH25" s="2827"/>
      <c r="KEI25" s="2867"/>
      <c r="KEJ25" s="2866"/>
      <c r="KEK25" s="2827"/>
      <c r="KEL25" s="2867"/>
      <c r="KEM25" s="2866"/>
      <c r="KEN25" s="2827"/>
      <c r="KEO25" s="2867"/>
      <c r="KEP25" s="2866"/>
      <c r="KEQ25" s="2827"/>
      <c r="KER25" s="2867"/>
      <c r="KES25" s="2866"/>
      <c r="KET25" s="2827"/>
      <c r="KEU25" s="2867"/>
      <c r="KEV25" s="2866"/>
      <c r="KEW25" s="2827"/>
      <c r="KEX25" s="2867"/>
      <c r="KEY25" s="2866"/>
      <c r="KEZ25" s="2827"/>
      <c r="KFA25" s="2867"/>
      <c r="KFB25" s="2866"/>
      <c r="KFC25" s="2827"/>
      <c r="KFD25" s="2867"/>
      <c r="KFE25" s="2866"/>
      <c r="KFF25" s="2827"/>
      <c r="KFG25" s="2867"/>
      <c r="KFH25" s="2866"/>
      <c r="KFI25" s="2827"/>
      <c r="KFJ25" s="2867"/>
      <c r="KFK25" s="2866"/>
      <c r="KFL25" s="2827"/>
      <c r="KFM25" s="2867"/>
      <c r="KFN25" s="2866"/>
      <c r="KFO25" s="2827"/>
      <c r="KFP25" s="2867"/>
      <c r="KFQ25" s="2866"/>
      <c r="KFR25" s="2827"/>
      <c r="KFS25" s="2867"/>
      <c r="KFT25" s="2866"/>
      <c r="KFU25" s="2827"/>
      <c r="KFV25" s="2867"/>
      <c r="KFW25" s="2866"/>
      <c r="KFX25" s="2827"/>
      <c r="KFY25" s="2867"/>
      <c r="KFZ25" s="2866"/>
      <c r="KGA25" s="2827"/>
      <c r="KGB25" s="2867"/>
      <c r="KGC25" s="2866"/>
      <c r="KGD25" s="2827"/>
      <c r="KGE25" s="2867"/>
      <c r="KGF25" s="2866"/>
      <c r="KGG25" s="2827"/>
      <c r="KGH25" s="2867"/>
      <c r="KGI25" s="2866"/>
      <c r="KGJ25" s="2827"/>
      <c r="KGK25" s="2867"/>
      <c r="KGL25" s="2866"/>
      <c r="KGM25" s="2827"/>
      <c r="KGN25" s="2867"/>
      <c r="KGO25" s="2866"/>
      <c r="KGP25" s="2827"/>
      <c r="KGQ25" s="2867"/>
      <c r="KGR25" s="2866"/>
      <c r="KGS25" s="2827"/>
      <c r="KGT25" s="2867"/>
      <c r="KGU25" s="2866"/>
      <c r="KGV25" s="2827"/>
      <c r="KGW25" s="2867"/>
      <c r="KGX25" s="2866"/>
      <c r="KGY25" s="2827"/>
      <c r="KGZ25" s="2867"/>
      <c r="KHA25" s="2866"/>
      <c r="KHB25" s="2827"/>
      <c r="KHC25" s="2867"/>
      <c r="KHD25" s="2866"/>
      <c r="KHE25" s="2827"/>
      <c r="KHF25" s="2867"/>
      <c r="KHG25" s="2866"/>
      <c r="KHH25" s="2827"/>
      <c r="KHI25" s="2867"/>
      <c r="KHJ25" s="2866"/>
      <c r="KHK25" s="2827"/>
      <c r="KHL25" s="2867"/>
      <c r="KHM25" s="2866"/>
      <c r="KHN25" s="2827"/>
      <c r="KHO25" s="2867"/>
      <c r="KHP25" s="2866"/>
      <c r="KHQ25" s="2827"/>
      <c r="KHR25" s="2867"/>
      <c r="KHS25" s="2866"/>
      <c r="KHT25" s="2827"/>
      <c r="KHU25" s="2867"/>
      <c r="KHV25" s="2866"/>
      <c r="KHW25" s="2827"/>
      <c r="KHX25" s="2867"/>
      <c r="KHY25" s="2866"/>
      <c r="KHZ25" s="2827"/>
      <c r="KIA25" s="2867"/>
      <c r="KIB25" s="2866"/>
      <c r="KIC25" s="2827"/>
      <c r="KID25" s="2867"/>
      <c r="KIE25" s="2866"/>
      <c r="KIF25" s="2827"/>
      <c r="KIG25" s="2867"/>
      <c r="KIH25" s="2866"/>
      <c r="KII25" s="2827"/>
      <c r="KIJ25" s="2867"/>
      <c r="KIK25" s="2866"/>
      <c r="KIL25" s="2827"/>
      <c r="KIM25" s="2867"/>
      <c r="KIN25" s="2866"/>
      <c r="KIO25" s="2827"/>
      <c r="KIP25" s="2867"/>
      <c r="KIQ25" s="2866"/>
      <c r="KIR25" s="2827"/>
      <c r="KIS25" s="2867"/>
      <c r="KIT25" s="2866"/>
      <c r="KIU25" s="2827"/>
      <c r="KIV25" s="2867"/>
      <c r="KIW25" s="2866"/>
      <c r="KIX25" s="2827"/>
      <c r="KIY25" s="2867"/>
      <c r="KIZ25" s="2866"/>
      <c r="KJA25" s="2827"/>
      <c r="KJB25" s="2867"/>
      <c r="KJC25" s="2866"/>
      <c r="KJD25" s="2827"/>
      <c r="KJE25" s="2867"/>
      <c r="KJF25" s="2866"/>
      <c r="KJG25" s="2827"/>
      <c r="KJH25" s="2867"/>
      <c r="KJI25" s="2866"/>
      <c r="KJJ25" s="2827"/>
      <c r="KJK25" s="2867"/>
      <c r="KJL25" s="2866"/>
      <c r="KJM25" s="2827"/>
      <c r="KJN25" s="2867"/>
      <c r="KJO25" s="2866"/>
      <c r="KJP25" s="2827"/>
      <c r="KJQ25" s="2867"/>
      <c r="KJR25" s="2866"/>
      <c r="KJS25" s="2827"/>
      <c r="KJT25" s="2867"/>
      <c r="KJU25" s="2866"/>
      <c r="KJV25" s="2827"/>
      <c r="KJW25" s="2867"/>
      <c r="KJX25" s="2866"/>
      <c r="KJY25" s="2827"/>
      <c r="KJZ25" s="2867"/>
      <c r="KKA25" s="2866"/>
      <c r="KKB25" s="2827"/>
      <c r="KKC25" s="2867"/>
      <c r="KKD25" s="2866"/>
      <c r="KKE25" s="2827"/>
      <c r="KKF25" s="2867"/>
      <c r="KKG25" s="2866"/>
      <c r="KKH25" s="2827"/>
      <c r="KKI25" s="2867"/>
      <c r="KKJ25" s="2866"/>
      <c r="KKK25" s="2827"/>
      <c r="KKL25" s="2867"/>
      <c r="KKM25" s="2866"/>
      <c r="KKN25" s="2827"/>
      <c r="KKO25" s="2867"/>
      <c r="KKP25" s="2866"/>
      <c r="KKQ25" s="2827"/>
      <c r="KKR25" s="2867"/>
      <c r="KKS25" s="2866"/>
      <c r="KKT25" s="2827"/>
      <c r="KKU25" s="2867"/>
      <c r="KKV25" s="2866"/>
      <c r="KKW25" s="2827"/>
      <c r="KKX25" s="2867"/>
      <c r="KKY25" s="2866"/>
      <c r="KKZ25" s="2827"/>
      <c r="KLA25" s="2867"/>
      <c r="KLB25" s="2866"/>
      <c r="KLC25" s="2827"/>
      <c r="KLD25" s="2867"/>
      <c r="KLE25" s="2866"/>
      <c r="KLF25" s="2827"/>
      <c r="KLG25" s="2867"/>
      <c r="KLH25" s="2866"/>
      <c r="KLI25" s="2827"/>
      <c r="KLJ25" s="2867"/>
      <c r="KLK25" s="2866"/>
      <c r="KLL25" s="2827"/>
      <c r="KLM25" s="2867"/>
      <c r="KLN25" s="2866"/>
      <c r="KLO25" s="2827"/>
      <c r="KLP25" s="2867"/>
      <c r="KLQ25" s="2866"/>
      <c r="KLR25" s="2827"/>
      <c r="KLS25" s="2867"/>
      <c r="KLT25" s="2866"/>
      <c r="KLU25" s="2827"/>
      <c r="KLV25" s="2867"/>
      <c r="KLW25" s="2866"/>
      <c r="KLX25" s="2827"/>
      <c r="KLY25" s="2867"/>
      <c r="KLZ25" s="2866"/>
      <c r="KMA25" s="2827"/>
      <c r="KMB25" s="2867"/>
      <c r="KMC25" s="2866"/>
      <c r="KMD25" s="2827"/>
      <c r="KME25" s="2867"/>
      <c r="KMF25" s="2866"/>
      <c r="KMG25" s="2827"/>
      <c r="KMH25" s="2867"/>
      <c r="KMI25" s="2866"/>
      <c r="KMJ25" s="2827"/>
      <c r="KMK25" s="2867"/>
      <c r="KML25" s="2866"/>
      <c r="KMM25" s="2827"/>
      <c r="KMN25" s="2867"/>
      <c r="KMO25" s="2866"/>
      <c r="KMP25" s="2827"/>
      <c r="KMQ25" s="2867"/>
      <c r="KMR25" s="2866"/>
      <c r="KMS25" s="2827"/>
      <c r="KMT25" s="2867"/>
      <c r="KMU25" s="2866"/>
      <c r="KMV25" s="2827"/>
      <c r="KMW25" s="2867"/>
      <c r="KMX25" s="2866"/>
      <c r="KMY25" s="2827"/>
      <c r="KMZ25" s="2867"/>
      <c r="KNA25" s="2866"/>
      <c r="KNB25" s="2827"/>
      <c r="KNC25" s="2867"/>
      <c r="KND25" s="2866"/>
      <c r="KNE25" s="2827"/>
      <c r="KNF25" s="2867"/>
      <c r="KNG25" s="2866"/>
      <c r="KNH25" s="2827"/>
      <c r="KNI25" s="2867"/>
      <c r="KNJ25" s="2866"/>
      <c r="KNK25" s="2827"/>
      <c r="KNL25" s="2867"/>
      <c r="KNM25" s="2866"/>
      <c r="KNN25" s="2827"/>
      <c r="KNO25" s="2867"/>
      <c r="KNP25" s="2866"/>
      <c r="KNQ25" s="2827"/>
      <c r="KNR25" s="2867"/>
      <c r="KNS25" s="2866"/>
      <c r="KNT25" s="2827"/>
      <c r="KNU25" s="2867"/>
      <c r="KNV25" s="2866"/>
      <c r="KNW25" s="2827"/>
      <c r="KNX25" s="2867"/>
      <c r="KNY25" s="2866"/>
      <c r="KNZ25" s="2827"/>
      <c r="KOA25" s="2867"/>
      <c r="KOB25" s="2866"/>
      <c r="KOC25" s="2827"/>
      <c r="KOD25" s="2867"/>
      <c r="KOE25" s="2866"/>
      <c r="KOF25" s="2827"/>
      <c r="KOG25" s="2867"/>
      <c r="KOH25" s="2866"/>
      <c r="KOI25" s="2827"/>
      <c r="KOJ25" s="2867"/>
      <c r="KOK25" s="2866"/>
      <c r="KOL25" s="2827"/>
      <c r="KOM25" s="2867"/>
      <c r="KON25" s="2866"/>
      <c r="KOO25" s="2827"/>
      <c r="KOP25" s="2867"/>
      <c r="KOQ25" s="2866"/>
      <c r="KOR25" s="2827"/>
      <c r="KOS25" s="2867"/>
      <c r="KOT25" s="2866"/>
      <c r="KOU25" s="2827"/>
      <c r="KOV25" s="2867"/>
      <c r="KOW25" s="2866"/>
      <c r="KOX25" s="2827"/>
      <c r="KOY25" s="2867"/>
      <c r="KOZ25" s="2866"/>
      <c r="KPA25" s="2827"/>
      <c r="KPB25" s="2867"/>
      <c r="KPC25" s="2866"/>
      <c r="KPD25" s="2827"/>
      <c r="KPE25" s="2867"/>
      <c r="KPF25" s="2866"/>
      <c r="KPG25" s="2827"/>
      <c r="KPH25" s="2867"/>
      <c r="KPI25" s="2866"/>
      <c r="KPJ25" s="2827"/>
      <c r="KPK25" s="2867"/>
      <c r="KPL25" s="2866"/>
      <c r="KPM25" s="2827"/>
      <c r="KPN25" s="2867"/>
      <c r="KPO25" s="2866"/>
      <c r="KPP25" s="2827"/>
      <c r="KPQ25" s="2867"/>
      <c r="KPR25" s="2866"/>
      <c r="KPS25" s="2827"/>
      <c r="KPT25" s="2867"/>
      <c r="KPU25" s="2866"/>
      <c r="KPV25" s="2827"/>
      <c r="KPW25" s="2867"/>
      <c r="KPX25" s="2866"/>
      <c r="KPY25" s="2827"/>
      <c r="KPZ25" s="2867"/>
      <c r="KQA25" s="2866"/>
      <c r="KQB25" s="2827"/>
      <c r="KQC25" s="2867"/>
      <c r="KQD25" s="2866"/>
      <c r="KQE25" s="2827"/>
      <c r="KQF25" s="2867"/>
      <c r="KQG25" s="2866"/>
      <c r="KQH25" s="2827"/>
      <c r="KQI25" s="2867"/>
      <c r="KQJ25" s="2866"/>
      <c r="KQK25" s="2827"/>
      <c r="KQL25" s="2867"/>
      <c r="KQM25" s="2866"/>
      <c r="KQN25" s="2827"/>
      <c r="KQO25" s="2867"/>
      <c r="KQP25" s="2866"/>
      <c r="KQQ25" s="2827"/>
      <c r="KQR25" s="2867"/>
      <c r="KQS25" s="2866"/>
      <c r="KQT25" s="2827"/>
      <c r="KQU25" s="2867"/>
      <c r="KQV25" s="2866"/>
      <c r="KQW25" s="2827"/>
      <c r="KQX25" s="2867"/>
      <c r="KQY25" s="2866"/>
      <c r="KQZ25" s="2827"/>
      <c r="KRA25" s="2867"/>
      <c r="KRB25" s="2866"/>
      <c r="KRC25" s="2827"/>
      <c r="KRD25" s="2867"/>
      <c r="KRE25" s="2866"/>
      <c r="KRF25" s="2827"/>
      <c r="KRG25" s="2867"/>
      <c r="KRH25" s="2866"/>
      <c r="KRI25" s="2827"/>
      <c r="KRJ25" s="2867"/>
      <c r="KRK25" s="2866"/>
      <c r="KRL25" s="2827"/>
      <c r="KRM25" s="2867"/>
      <c r="KRN25" s="2866"/>
      <c r="KRO25" s="2827"/>
      <c r="KRP25" s="2867"/>
      <c r="KRQ25" s="2866"/>
      <c r="KRR25" s="2827"/>
      <c r="KRS25" s="2867"/>
      <c r="KRT25" s="2866"/>
      <c r="KRU25" s="2827"/>
      <c r="KRV25" s="2867"/>
      <c r="KRW25" s="2866"/>
      <c r="KRX25" s="2827"/>
      <c r="KRY25" s="2867"/>
      <c r="KRZ25" s="2866"/>
      <c r="KSA25" s="2827"/>
      <c r="KSB25" s="2867"/>
      <c r="KSC25" s="2866"/>
      <c r="KSD25" s="2827"/>
      <c r="KSE25" s="2867"/>
      <c r="KSF25" s="2866"/>
      <c r="KSG25" s="2827"/>
      <c r="KSH25" s="2867"/>
      <c r="KSI25" s="2866"/>
      <c r="KSJ25" s="2827"/>
      <c r="KSK25" s="2867"/>
      <c r="KSL25" s="2866"/>
      <c r="KSM25" s="2827"/>
      <c r="KSN25" s="2867"/>
      <c r="KSO25" s="2866"/>
      <c r="KSP25" s="2827"/>
      <c r="KSQ25" s="2867"/>
      <c r="KSR25" s="2866"/>
      <c r="KSS25" s="2827"/>
      <c r="KST25" s="2867"/>
      <c r="KSU25" s="2866"/>
      <c r="KSV25" s="2827"/>
      <c r="KSW25" s="2867"/>
      <c r="KSX25" s="2866"/>
      <c r="KSY25" s="2827"/>
      <c r="KSZ25" s="2867"/>
      <c r="KTA25" s="2866"/>
      <c r="KTB25" s="2827"/>
      <c r="KTC25" s="2867"/>
      <c r="KTD25" s="2866"/>
      <c r="KTE25" s="2827"/>
      <c r="KTF25" s="2867"/>
      <c r="KTG25" s="2866"/>
      <c r="KTH25" s="2827"/>
      <c r="KTI25" s="2867"/>
      <c r="KTJ25" s="2866"/>
      <c r="KTK25" s="2827"/>
      <c r="KTL25" s="2867"/>
      <c r="KTM25" s="2866"/>
      <c r="KTN25" s="2827"/>
      <c r="KTO25" s="2867"/>
      <c r="KTP25" s="2866"/>
      <c r="KTQ25" s="2827"/>
      <c r="KTR25" s="2867"/>
      <c r="KTS25" s="2866"/>
      <c r="KTT25" s="2827"/>
      <c r="KTU25" s="2867"/>
      <c r="KTV25" s="2866"/>
      <c r="KTW25" s="2827"/>
      <c r="KTX25" s="2867"/>
      <c r="KTY25" s="2866"/>
      <c r="KTZ25" s="2827"/>
      <c r="KUA25" s="2867"/>
      <c r="KUB25" s="2866"/>
      <c r="KUC25" s="2827"/>
      <c r="KUD25" s="2867"/>
      <c r="KUE25" s="2866"/>
      <c r="KUF25" s="2827"/>
      <c r="KUG25" s="2867"/>
      <c r="KUH25" s="2866"/>
      <c r="KUI25" s="2827"/>
      <c r="KUJ25" s="2867"/>
      <c r="KUK25" s="2866"/>
      <c r="KUL25" s="2827"/>
      <c r="KUM25" s="2867"/>
      <c r="KUN25" s="2866"/>
      <c r="KUO25" s="2827"/>
      <c r="KUP25" s="2867"/>
      <c r="KUQ25" s="2866"/>
      <c r="KUR25" s="2827"/>
      <c r="KUS25" s="2867"/>
      <c r="KUT25" s="2866"/>
      <c r="KUU25" s="2827"/>
      <c r="KUV25" s="2867"/>
      <c r="KUW25" s="2866"/>
      <c r="KUX25" s="2827"/>
      <c r="KUY25" s="2867"/>
      <c r="KUZ25" s="2866"/>
      <c r="KVA25" s="2827"/>
      <c r="KVB25" s="2867"/>
      <c r="KVC25" s="2866"/>
      <c r="KVD25" s="2827"/>
      <c r="KVE25" s="2867"/>
      <c r="KVF25" s="2866"/>
      <c r="KVG25" s="2827"/>
      <c r="KVH25" s="2867"/>
      <c r="KVI25" s="2866"/>
      <c r="KVJ25" s="2827"/>
      <c r="KVK25" s="2867"/>
      <c r="KVL25" s="2866"/>
      <c r="KVM25" s="2827"/>
      <c r="KVN25" s="2867"/>
      <c r="KVO25" s="2866"/>
      <c r="KVP25" s="2827"/>
      <c r="KVQ25" s="2867"/>
      <c r="KVR25" s="2866"/>
      <c r="KVS25" s="2827"/>
      <c r="KVT25" s="2867"/>
      <c r="KVU25" s="2866"/>
      <c r="KVV25" s="2827"/>
      <c r="KVW25" s="2867"/>
      <c r="KVX25" s="2866"/>
      <c r="KVY25" s="2827"/>
      <c r="KVZ25" s="2867"/>
      <c r="KWA25" s="2866"/>
      <c r="KWB25" s="2827"/>
      <c r="KWC25" s="2867"/>
      <c r="KWD25" s="2866"/>
      <c r="KWE25" s="2827"/>
      <c r="KWF25" s="2867"/>
      <c r="KWG25" s="2866"/>
      <c r="KWH25" s="2827"/>
      <c r="KWI25" s="2867"/>
      <c r="KWJ25" s="2866"/>
      <c r="KWK25" s="2827"/>
      <c r="KWL25" s="2867"/>
      <c r="KWM25" s="2866"/>
      <c r="KWN25" s="2827"/>
      <c r="KWO25" s="2867"/>
      <c r="KWP25" s="2866"/>
      <c r="KWQ25" s="2827"/>
      <c r="KWR25" s="2867"/>
      <c r="KWS25" s="2866"/>
      <c r="KWT25" s="2827"/>
      <c r="KWU25" s="2867"/>
      <c r="KWV25" s="2866"/>
      <c r="KWW25" s="2827"/>
      <c r="KWX25" s="2867"/>
      <c r="KWY25" s="2866"/>
      <c r="KWZ25" s="2827"/>
      <c r="KXA25" s="2867"/>
      <c r="KXB25" s="2866"/>
      <c r="KXC25" s="2827"/>
      <c r="KXD25" s="2867"/>
      <c r="KXE25" s="2866"/>
      <c r="KXF25" s="2827"/>
      <c r="KXG25" s="2867"/>
      <c r="KXH25" s="2866"/>
      <c r="KXI25" s="2827"/>
      <c r="KXJ25" s="2867"/>
      <c r="KXK25" s="2866"/>
      <c r="KXL25" s="2827"/>
      <c r="KXM25" s="2867"/>
      <c r="KXN25" s="2866"/>
      <c r="KXO25" s="2827"/>
      <c r="KXP25" s="2867"/>
      <c r="KXQ25" s="2866"/>
      <c r="KXR25" s="2827"/>
      <c r="KXS25" s="2867"/>
      <c r="KXT25" s="2866"/>
      <c r="KXU25" s="2827"/>
      <c r="KXV25" s="2867"/>
      <c r="KXW25" s="2866"/>
      <c r="KXX25" s="2827"/>
      <c r="KXY25" s="2867"/>
      <c r="KXZ25" s="2866"/>
      <c r="KYA25" s="2827"/>
      <c r="KYB25" s="2867"/>
      <c r="KYC25" s="2866"/>
      <c r="KYD25" s="2827"/>
      <c r="KYE25" s="2867"/>
      <c r="KYF25" s="2866"/>
      <c r="KYG25" s="2827"/>
      <c r="KYH25" s="2867"/>
      <c r="KYI25" s="2866"/>
      <c r="KYJ25" s="2827"/>
      <c r="KYK25" s="2867"/>
      <c r="KYL25" s="2866"/>
      <c r="KYM25" s="2827"/>
      <c r="KYN25" s="2867"/>
      <c r="KYO25" s="2866"/>
      <c r="KYP25" s="2827"/>
      <c r="KYQ25" s="2867"/>
      <c r="KYR25" s="2866"/>
      <c r="KYS25" s="2827"/>
      <c r="KYT25" s="2867"/>
      <c r="KYU25" s="2866"/>
      <c r="KYV25" s="2827"/>
      <c r="KYW25" s="2867"/>
      <c r="KYX25" s="2866"/>
      <c r="KYY25" s="2827"/>
      <c r="KYZ25" s="2867"/>
      <c r="KZA25" s="2866"/>
      <c r="KZB25" s="2827"/>
      <c r="KZC25" s="2867"/>
      <c r="KZD25" s="2866"/>
      <c r="KZE25" s="2827"/>
      <c r="KZF25" s="2867"/>
      <c r="KZG25" s="2866"/>
      <c r="KZH25" s="2827"/>
      <c r="KZI25" s="2867"/>
      <c r="KZJ25" s="2866"/>
      <c r="KZK25" s="2827"/>
      <c r="KZL25" s="2867"/>
      <c r="KZM25" s="2866"/>
      <c r="KZN25" s="2827"/>
      <c r="KZO25" s="2867"/>
      <c r="KZP25" s="2866"/>
      <c r="KZQ25" s="2827"/>
      <c r="KZR25" s="2867"/>
      <c r="KZS25" s="2866"/>
      <c r="KZT25" s="2827"/>
      <c r="KZU25" s="2867"/>
      <c r="KZV25" s="2866"/>
      <c r="KZW25" s="2827"/>
      <c r="KZX25" s="2867"/>
      <c r="KZY25" s="2866"/>
      <c r="KZZ25" s="2827"/>
      <c r="LAA25" s="2867"/>
      <c r="LAB25" s="2866"/>
      <c r="LAC25" s="2827"/>
      <c r="LAD25" s="2867"/>
      <c r="LAE25" s="2866"/>
      <c r="LAF25" s="2827"/>
      <c r="LAG25" s="2867"/>
      <c r="LAH25" s="2866"/>
      <c r="LAI25" s="2827"/>
      <c r="LAJ25" s="2867"/>
      <c r="LAK25" s="2866"/>
      <c r="LAL25" s="2827"/>
      <c r="LAM25" s="2867"/>
      <c r="LAN25" s="2866"/>
      <c r="LAO25" s="2827"/>
      <c r="LAP25" s="2867"/>
      <c r="LAQ25" s="2866"/>
      <c r="LAR25" s="2827"/>
      <c r="LAS25" s="2867"/>
      <c r="LAT25" s="2866"/>
      <c r="LAU25" s="2827"/>
      <c r="LAV25" s="2867"/>
      <c r="LAW25" s="2866"/>
      <c r="LAX25" s="2827"/>
      <c r="LAY25" s="2867"/>
      <c r="LAZ25" s="2866"/>
      <c r="LBA25" s="2827"/>
      <c r="LBB25" s="2867"/>
      <c r="LBC25" s="2866"/>
      <c r="LBD25" s="2827"/>
      <c r="LBE25" s="2867"/>
      <c r="LBF25" s="2866"/>
      <c r="LBG25" s="2827"/>
      <c r="LBH25" s="2867"/>
      <c r="LBI25" s="2866"/>
      <c r="LBJ25" s="2827"/>
      <c r="LBK25" s="2867"/>
      <c r="LBL25" s="2866"/>
      <c r="LBM25" s="2827"/>
      <c r="LBN25" s="2867"/>
      <c r="LBO25" s="2866"/>
      <c r="LBP25" s="2827"/>
      <c r="LBQ25" s="2867"/>
      <c r="LBR25" s="2866"/>
      <c r="LBS25" s="2827"/>
      <c r="LBT25" s="2867"/>
      <c r="LBU25" s="2866"/>
      <c r="LBV25" s="2827"/>
      <c r="LBW25" s="2867"/>
      <c r="LBX25" s="2866"/>
      <c r="LBY25" s="2827"/>
      <c r="LBZ25" s="2867"/>
      <c r="LCA25" s="2866"/>
      <c r="LCB25" s="2827"/>
      <c r="LCC25" s="2867"/>
      <c r="LCD25" s="2866"/>
      <c r="LCE25" s="2827"/>
      <c r="LCF25" s="2867"/>
      <c r="LCG25" s="2866"/>
      <c r="LCH25" s="2827"/>
      <c r="LCI25" s="2867"/>
      <c r="LCJ25" s="2866"/>
      <c r="LCK25" s="2827"/>
      <c r="LCL25" s="2867"/>
      <c r="LCM25" s="2866"/>
      <c r="LCN25" s="2827"/>
      <c r="LCO25" s="2867"/>
      <c r="LCP25" s="2866"/>
      <c r="LCQ25" s="2827"/>
      <c r="LCR25" s="2867"/>
      <c r="LCS25" s="2866"/>
      <c r="LCT25" s="2827"/>
      <c r="LCU25" s="2867"/>
      <c r="LCV25" s="2866"/>
      <c r="LCW25" s="2827"/>
      <c r="LCX25" s="2867"/>
      <c r="LCY25" s="2866"/>
      <c r="LCZ25" s="2827"/>
      <c r="LDA25" s="2867"/>
      <c r="LDB25" s="2866"/>
      <c r="LDC25" s="2827"/>
      <c r="LDD25" s="2867"/>
      <c r="LDE25" s="2866"/>
      <c r="LDF25" s="2827"/>
      <c r="LDG25" s="2867"/>
      <c r="LDH25" s="2866"/>
      <c r="LDI25" s="2827"/>
      <c r="LDJ25" s="2867"/>
      <c r="LDK25" s="2866"/>
      <c r="LDL25" s="2827"/>
      <c r="LDM25" s="2867"/>
      <c r="LDN25" s="2866"/>
      <c r="LDO25" s="2827"/>
      <c r="LDP25" s="2867"/>
      <c r="LDQ25" s="2866"/>
      <c r="LDR25" s="2827"/>
      <c r="LDS25" s="2867"/>
      <c r="LDT25" s="2866"/>
      <c r="LDU25" s="2827"/>
      <c r="LDV25" s="2867"/>
      <c r="LDW25" s="2866"/>
      <c r="LDX25" s="2827"/>
      <c r="LDY25" s="2867"/>
      <c r="LDZ25" s="2866"/>
      <c r="LEA25" s="2827"/>
      <c r="LEB25" s="2867"/>
      <c r="LEC25" s="2866"/>
      <c r="LED25" s="2827"/>
      <c r="LEE25" s="2867"/>
      <c r="LEF25" s="2866"/>
      <c r="LEG25" s="2827"/>
      <c r="LEH25" s="2867"/>
      <c r="LEI25" s="2866"/>
      <c r="LEJ25" s="2827"/>
      <c r="LEK25" s="2867"/>
      <c r="LEL25" s="2866"/>
      <c r="LEM25" s="2827"/>
      <c r="LEN25" s="2867"/>
      <c r="LEO25" s="2866"/>
      <c r="LEP25" s="2827"/>
      <c r="LEQ25" s="2867"/>
      <c r="LER25" s="2866"/>
      <c r="LES25" s="2827"/>
      <c r="LET25" s="2867"/>
      <c r="LEU25" s="2866"/>
      <c r="LEV25" s="2827"/>
      <c r="LEW25" s="2867"/>
      <c r="LEX25" s="2866"/>
      <c r="LEY25" s="2827"/>
      <c r="LEZ25" s="2867"/>
      <c r="LFA25" s="2866"/>
      <c r="LFB25" s="2827"/>
      <c r="LFC25" s="2867"/>
      <c r="LFD25" s="2866"/>
      <c r="LFE25" s="2827"/>
      <c r="LFF25" s="2867"/>
      <c r="LFG25" s="2866"/>
      <c r="LFH25" s="2827"/>
      <c r="LFI25" s="2867"/>
      <c r="LFJ25" s="2866"/>
      <c r="LFK25" s="2827"/>
      <c r="LFL25" s="2867"/>
      <c r="LFM25" s="2866"/>
      <c r="LFN25" s="2827"/>
      <c r="LFO25" s="2867"/>
      <c r="LFP25" s="2866"/>
      <c r="LFQ25" s="2827"/>
      <c r="LFR25" s="2867"/>
      <c r="LFS25" s="2866"/>
      <c r="LFT25" s="2827"/>
      <c r="LFU25" s="2867"/>
      <c r="LFV25" s="2866"/>
      <c r="LFW25" s="2827"/>
      <c r="LFX25" s="2867"/>
      <c r="LFY25" s="2866"/>
      <c r="LFZ25" s="2827"/>
      <c r="LGA25" s="2867"/>
      <c r="LGB25" s="2866"/>
      <c r="LGC25" s="2827"/>
      <c r="LGD25" s="2867"/>
      <c r="LGE25" s="2866"/>
      <c r="LGF25" s="2827"/>
      <c r="LGG25" s="2867"/>
      <c r="LGH25" s="2866"/>
      <c r="LGI25" s="2827"/>
      <c r="LGJ25" s="2867"/>
      <c r="LGK25" s="2866"/>
      <c r="LGL25" s="2827"/>
      <c r="LGM25" s="2867"/>
      <c r="LGN25" s="2866"/>
      <c r="LGO25" s="2827"/>
      <c r="LGP25" s="2867"/>
      <c r="LGQ25" s="2866"/>
      <c r="LGR25" s="2827"/>
      <c r="LGS25" s="2867"/>
      <c r="LGT25" s="2866"/>
      <c r="LGU25" s="2827"/>
      <c r="LGV25" s="2867"/>
      <c r="LGW25" s="2866"/>
      <c r="LGX25" s="2827"/>
      <c r="LGY25" s="2867"/>
      <c r="LGZ25" s="2866"/>
      <c r="LHA25" s="2827"/>
      <c r="LHB25" s="2867"/>
      <c r="LHC25" s="2866"/>
      <c r="LHD25" s="2827"/>
      <c r="LHE25" s="2867"/>
      <c r="LHF25" s="2866"/>
      <c r="LHG25" s="2827"/>
      <c r="LHH25" s="2867"/>
      <c r="LHI25" s="2866"/>
      <c r="LHJ25" s="2827"/>
      <c r="LHK25" s="2867"/>
      <c r="LHL25" s="2866"/>
      <c r="LHM25" s="2827"/>
      <c r="LHN25" s="2867"/>
      <c r="LHO25" s="2866"/>
      <c r="LHP25" s="2827"/>
      <c r="LHQ25" s="2867"/>
      <c r="LHR25" s="2866"/>
      <c r="LHS25" s="2827"/>
      <c r="LHT25" s="2867"/>
      <c r="LHU25" s="2866"/>
      <c r="LHV25" s="2827"/>
      <c r="LHW25" s="2867"/>
      <c r="LHX25" s="2866"/>
      <c r="LHY25" s="2827"/>
      <c r="LHZ25" s="2867"/>
      <c r="LIA25" s="2866"/>
      <c r="LIB25" s="2827"/>
      <c r="LIC25" s="2867"/>
      <c r="LID25" s="2866"/>
      <c r="LIE25" s="2827"/>
      <c r="LIF25" s="2867"/>
      <c r="LIG25" s="2866"/>
      <c r="LIH25" s="2827"/>
      <c r="LII25" s="2867"/>
      <c r="LIJ25" s="2866"/>
      <c r="LIK25" s="2827"/>
      <c r="LIL25" s="2867"/>
      <c r="LIM25" s="2866"/>
      <c r="LIN25" s="2827"/>
      <c r="LIO25" s="2867"/>
      <c r="LIP25" s="2866"/>
      <c r="LIQ25" s="2827"/>
      <c r="LIR25" s="2867"/>
      <c r="LIS25" s="2866"/>
      <c r="LIT25" s="2827"/>
      <c r="LIU25" s="2867"/>
      <c r="LIV25" s="2866"/>
      <c r="LIW25" s="2827"/>
      <c r="LIX25" s="2867"/>
      <c r="LIY25" s="2866"/>
      <c r="LIZ25" s="2827"/>
      <c r="LJA25" s="2867"/>
      <c r="LJB25" s="2866"/>
      <c r="LJC25" s="2827"/>
      <c r="LJD25" s="2867"/>
      <c r="LJE25" s="2866"/>
      <c r="LJF25" s="2827"/>
      <c r="LJG25" s="2867"/>
      <c r="LJH25" s="2866"/>
      <c r="LJI25" s="2827"/>
      <c r="LJJ25" s="2867"/>
      <c r="LJK25" s="2866"/>
      <c r="LJL25" s="2827"/>
      <c r="LJM25" s="2867"/>
      <c r="LJN25" s="2866"/>
      <c r="LJO25" s="2827"/>
      <c r="LJP25" s="2867"/>
      <c r="LJQ25" s="2866"/>
      <c r="LJR25" s="2827"/>
      <c r="LJS25" s="2867"/>
      <c r="LJT25" s="2866"/>
      <c r="LJU25" s="2827"/>
      <c r="LJV25" s="2867"/>
      <c r="LJW25" s="2866"/>
      <c r="LJX25" s="2827"/>
      <c r="LJY25" s="2867"/>
      <c r="LJZ25" s="2866"/>
      <c r="LKA25" s="2827"/>
      <c r="LKB25" s="2867"/>
      <c r="LKC25" s="2866"/>
      <c r="LKD25" s="2827"/>
      <c r="LKE25" s="2867"/>
      <c r="LKF25" s="2866"/>
      <c r="LKG25" s="2827"/>
      <c r="LKH25" s="2867"/>
      <c r="LKI25" s="2866"/>
      <c r="LKJ25" s="2827"/>
      <c r="LKK25" s="2867"/>
      <c r="LKL25" s="2866"/>
      <c r="LKM25" s="2827"/>
      <c r="LKN25" s="2867"/>
      <c r="LKO25" s="2866"/>
      <c r="LKP25" s="2827"/>
      <c r="LKQ25" s="2867"/>
      <c r="LKR25" s="2866"/>
      <c r="LKS25" s="2827"/>
      <c r="LKT25" s="2867"/>
      <c r="LKU25" s="2866"/>
      <c r="LKV25" s="2827"/>
      <c r="LKW25" s="2867"/>
      <c r="LKX25" s="2866"/>
      <c r="LKY25" s="2827"/>
      <c r="LKZ25" s="2867"/>
      <c r="LLA25" s="2866"/>
      <c r="LLB25" s="2827"/>
      <c r="LLC25" s="2867"/>
      <c r="LLD25" s="2866"/>
      <c r="LLE25" s="2827"/>
      <c r="LLF25" s="2867"/>
      <c r="LLG25" s="2866"/>
      <c r="LLH25" s="2827"/>
      <c r="LLI25" s="2867"/>
      <c r="LLJ25" s="2866"/>
      <c r="LLK25" s="2827"/>
      <c r="LLL25" s="2867"/>
      <c r="LLM25" s="2866"/>
      <c r="LLN25" s="2827"/>
      <c r="LLO25" s="2867"/>
      <c r="LLP25" s="2866"/>
      <c r="LLQ25" s="2827"/>
      <c r="LLR25" s="2867"/>
      <c r="LLS25" s="2866"/>
      <c r="LLT25" s="2827"/>
      <c r="LLU25" s="2867"/>
      <c r="LLV25" s="2866"/>
      <c r="LLW25" s="2827"/>
      <c r="LLX25" s="2867"/>
      <c r="LLY25" s="2866"/>
      <c r="LLZ25" s="2827"/>
      <c r="LMA25" s="2867"/>
      <c r="LMB25" s="2866"/>
      <c r="LMC25" s="2827"/>
      <c r="LMD25" s="2867"/>
      <c r="LME25" s="2866"/>
      <c r="LMF25" s="2827"/>
      <c r="LMG25" s="2867"/>
      <c r="LMH25" s="2866"/>
      <c r="LMI25" s="2827"/>
      <c r="LMJ25" s="2867"/>
      <c r="LMK25" s="2866"/>
      <c r="LML25" s="2827"/>
      <c r="LMM25" s="2867"/>
      <c r="LMN25" s="2866"/>
      <c r="LMO25" s="2827"/>
      <c r="LMP25" s="2867"/>
      <c r="LMQ25" s="2866"/>
      <c r="LMR25" s="2827"/>
      <c r="LMS25" s="2867"/>
      <c r="LMT25" s="2866"/>
      <c r="LMU25" s="2827"/>
      <c r="LMV25" s="2867"/>
      <c r="LMW25" s="2866"/>
      <c r="LMX25" s="2827"/>
      <c r="LMY25" s="2867"/>
      <c r="LMZ25" s="2866"/>
      <c r="LNA25" s="2827"/>
      <c r="LNB25" s="2867"/>
      <c r="LNC25" s="2866"/>
      <c r="LND25" s="2827"/>
      <c r="LNE25" s="2867"/>
      <c r="LNF25" s="2866"/>
      <c r="LNG25" s="2827"/>
      <c r="LNH25" s="2867"/>
      <c r="LNI25" s="2866"/>
      <c r="LNJ25" s="2827"/>
      <c r="LNK25" s="2867"/>
      <c r="LNL25" s="2866"/>
      <c r="LNM25" s="2827"/>
      <c r="LNN25" s="2867"/>
      <c r="LNO25" s="2866"/>
      <c r="LNP25" s="2827"/>
      <c r="LNQ25" s="2867"/>
      <c r="LNR25" s="2866"/>
      <c r="LNS25" s="2827"/>
      <c r="LNT25" s="2867"/>
      <c r="LNU25" s="2866"/>
      <c r="LNV25" s="2827"/>
      <c r="LNW25" s="2867"/>
      <c r="LNX25" s="2866"/>
      <c r="LNY25" s="2827"/>
      <c r="LNZ25" s="2867"/>
      <c r="LOA25" s="2866"/>
      <c r="LOB25" s="2827"/>
      <c r="LOC25" s="2867"/>
      <c r="LOD25" s="2866"/>
      <c r="LOE25" s="2827"/>
      <c r="LOF25" s="2867"/>
      <c r="LOG25" s="2866"/>
      <c r="LOH25" s="2827"/>
      <c r="LOI25" s="2867"/>
      <c r="LOJ25" s="2866"/>
      <c r="LOK25" s="2827"/>
      <c r="LOL25" s="2867"/>
      <c r="LOM25" s="2866"/>
      <c r="LON25" s="2827"/>
      <c r="LOO25" s="2867"/>
      <c r="LOP25" s="2866"/>
      <c r="LOQ25" s="2827"/>
      <c r="LOR25" s="2867"/>
      <c r="LOS25" s="2866"/>
      <c r="LOT25" s="2827"/>
      <c r="LOU25" s="2867"/>
      <c r="LOV25" s="2866"/>
      <c r="LOW25" s="2827"/>
      <c r="LOX25" s="2867"/>
      <c r="LOY25" s="2866"/>
      <c r="LOZ25" s="2827"/>
      <c r="LPA25" s="2867"/>
      <c r="LPB25" s="2866"/>
      <c r="LPC25" s="2827"/>
      <c r="LPD25" s="2867"/>
      <c r="LPE25" s="2866"/>
      <c r="LPF25" s="2827"/>
      <c r="LPG25" s="2867"/>
      <c r="LPH25" s="2866"/>
      <c r="LPI25" s="2827"/>
      <c r="LPJ25" s="2867"/>
      <c r="LPK25" s="2866"/>
      <c r="LPL25" s="2827"/>
      <c r="LPM25" s="2867"/>
      <c r="LPN25" s="2866"/>
      <c r="LPO25" s="2827"/>
      <c r="LPP25" s="2867"/>
      <c r="LPQ25" s="2866"/>
      <c r="LPR25" s="2827"/>
      <c r="LPS25" s="2867"/>
      <c r="LPT25" s="2866"/>
      <c r="LPU25" s="2827"/>
      <c r="LPV25" s="2867"/>
      <c r="LPW25" s="2866"/>
      <c r="LPX25" s="2827"/>
      <c r="LPY25" s="2867"/>
      <c r="LPZ25" s="2866"/>
      <c r="LQA25" s="2827"/>
      <c r="LQB25" s="2867"/>
      <c r="LQC25" s="2866"/>
      <c r="LQD25" s="2827"/>
      <c r="LQE25" s="2867"/>
      <c r="LQF25" s="2866"/>
      <c r="LQG25" s="2827"/>
      <c r="LQH25" s="2867"/>
      <c r="LQI25" s="2866"/>
      <c r="LQJ25" s="2827"/>
      <c r="LQK25" s="2867"/>
      <c r="LQL25" s="2866"/>
      <c r="LQM25" s="2827"/>
      <c r="LQN25" s="2867"/>
      <c r="LQO25" s="2866"/>
      <c r="LQP25" s="2827"/>
      <c r="LQQ25" s="2867"/>
      <c r="LQR25" s="2866"/>
      <c r="LQS25" s="2827"/>
      <c r="LQT25" s="2867"/>
      <c r="LQU25" s="2866"/>
      <c r="LQV25" s="2827"/>
      <c r="LQW25" s="2867"/>
      <c r="LQX25" s="2866"/>
      <c r="LQY25" s="2827"/>
      <c r="LQZ25" s="2867"/>
      <c r="LRA25" s="2866"/>
      <c r="LRB25" s="2827"/>
      <c r="LRC25" s="2867"/>
      <c r="LRD25" s="2866"/>
      <c r="LRE25" s="2827"/>
      <c r="LRF25" s="2867"/>
      <c r="LRG25" s="2866"/>
      <c r="LRH25" s="2827"/>
      <c r="LRI25" s="2867"/>
      <c r="LRJ25" s="2866"/>
      <c r="LRK25" s="2827"/>
      <c r="LRL25" s="2867"/>
      <c r="LRM25" s="2866"/>
      <c r="LRN25" s="2827"/>
      <c r="LRO25" s="2867"/>
      <c r="LRP25" s="2866"/>
      <c r="LRQ25" s="2827"/>
      <c r="LRR25" s="2867"/>
      <c r="LRS25" s="2866"/>
      <c r="LRT25" s="2827"/>
      <c r="LRU25" s="2867"/>
      <c r="LRV25" s="2866"/>
      <c r="LRW25" s="2827"/>
      <c r="LRX25" s="2867"/>
      <c r="LRY25" s="2866"/>
      <c r="LRZ25" s="2827"/>
      <c r="LSA25" s="2867"/>
      <c r="LSB25" s="2866"/>
      <c r="LSC25" s="2827"/>
      <c r="LSD25" s="2867"/>
      <c r="LSE25" s="2866"/>
      <c r="LSF25" s="2827"/>
      <c r="LSG25" s="2867"/>
      <c r="LSH25" s="2866"/>
      <c r="LSI25" s="2827"/>
      <c r="LSJ25" s="2867"/>
      <c r="LSK25" s="2866"/>
      <c r="LSL25" s="2827"/>
      <c r="LSM25" s="2867"/>
      <c r="LSN25" s="2866"/>
      <c r="LSO25" s="2827"/>
      <c r="LSP25" s="2867"/>
      <c r="LSQ25" s="2866"/>
      <c r="LSR25" s="2827"/>
      <c r="LSS25" s="2867"/>
      <c r="LST25" s="2866"/>
      <c r="LSU25" s="2827"/>
      <c r="LSV25" s="2867"/>
      <c r="LSW25" s="2866"/>
      <c r="LSX25" s="2827"/>
      <c r="LSY25" s="2867"/>
      <c r="LSZ25" s="2866"/>
      <c r="LTA25" s="2827"/>
      <c r="LTB25" s="2867"/>
      <c r="LTC25" s="2866"/>
      <c r="LTD25" s="2827"/>
      <c r="LTE25" s="2867"/>
      <c r="LTF25" s="2866"/>
      <c r="LTG25" s="2827"/>
      <c r="LTH25" s="2867"/>
      <c r="LTI25" s="2866"/>
      <c r="LTJ25" s="2827"/>
      <c r="LTK25" s="2867"/>
      <c r="LTL25" s="2866"/>
      <c r="LTM25" s="2827"/>
      <c r="LTN25" s="2867"/>
      <c r="LTO25" s="2866"/>
      <c r="LTP25" s="2827"/>
      <c r="LTQ25" s="2867"/>
      <c r="LTR25" s="2866"/>
      <c r="LTS25" s="2827"/>
      <c r="LTT25" s="2867"/>
      <c r="LTU25" s="2866"/>
      <c r="LTV25" s="2827"/>
      <c r="LTW25" s="2867"/>
      <c r="LTX25" s="2866"/>
      <c r="LTY25" s="2827"/>
      <c r="LTZ25" s="2867"/>
      <c r="LUA25" s="2866"/>
      <c r="LUB25" s="2827"/>
      <c r="LUC25" s="2867"/>
      <c r="LUD25" s="2866"/>
      <c r="LUE25" s="2827"/>
      <c r="LUF25" s="2867"/>
      <c r="LUG25" s="2866"/>
      <c r="LUH25" s="2827"/>
      <c r="LUI25" s="2867"/>
      <c r="LUJ25" s="2866"/>
      <c r="LUK25" s="2827"/>
      <c r="LUL25" s="2867"/>
      <c r="LUM25" s="2866"/>
      <c r="LUN25" s="2827"/>
      <c r="LUO25" s="2867"/>
      <c r="LUP25" s="2866"/>
      <c r="LUQ25" s="2827"/>
      <c r="LUR25" s="2867"/>
      <c r="LUS25" s="2866"/>
      <c r="LUT25" s="2827"/>
      <c r="LUU25" s="2867"/>
      <c r="LUV25" s="2866"/>
      <c r="LUW25" s="2827"/>
      <c r="LUX25" s="2867"/>
      <c r="LUY25" s="2866"/>
      <c r="LUZ25" s="2827"/>
      <c r="LVA25" s="2867"/>
      <c r="LVB25" s="2866"/>
      <c r="LVC25" s="2827"/>
      <c r="LVD25" s="2867"/>
      <c r="LVE25" s="2866"/>
      <c r="LVF25" s="2827"/>
      <c r="LVG25" s="2867"/>
      <c r="LVH25" s="2866"/>
      <c r="LVI25" s="2827"/>
      <c r="LVJ25" s="2867"/>
      <c r="LVK25" s="2866"/>
      <c r="LVL25" s="2827"/>
      <c r="LVM25" s="2867"/>
      <c r="LVN25" s="2866"/>
      <c r="LVO25" s="2827"/>
      <c r="LVP25" s="2867"/>
      <c r="LVQ25" s="2866"/>
      <c r="LVR25" s="2827"/>
      <c r="LVS25" s="2867"/>
      <c r="LVT25" s="2866"/>
      <c r="LVU25" s="2827"/>
      <c r="LVV25" s="2867"/>
      <c r="LVW25" s="2866"/>
      <c r="LVX25" s="2827"/>
      <c r="LVY25" s="2867"/>
      <c r="LVZ25" s="2866"/>
      <c r="LWA25" s="2827"/>
      <c r="LWB25" s="2867"/>
      <c r="LWC25" s="2866"/>
      <c r="LWD25" s="2827"/>
      <c r="LWE25" s="2867"/>
      <c r="LWF25" s="2866"/>
      <c r="LWG25" s="2827"/>
      <c r="LWH25" s="2867"/>
      <c r="LWI25" s="2866"/>
      <c r="LWJ25" s="2827"/>
      <c r="LWK25" s="2867"/>
      <c r="LWL25" s="2866"/>
      <c r="LWM25" s="2827"/>
      <c r="LWN25" s="2867"/>
      <c r="LWO25" s="2866"/>
      <c r="LWP25" s="2827"/>
      <c r="LWQ25" s="2867"/>
      <c r="LWR25" s="2866"/>
      <c r="LWS25" s="2827"/>
      <c r="LWT25" s="2867"/>
      <c r="LWU25" s="2866"/>
      <c r="LWV25" s="2827"/>
      <c r="LWW25" s="2867"/>
      <c r="LWX25" s="2866"/>
      <c r="LWY25" s="2827"/>
      <c r="LWZ25" s="2867"/>
      <c r="LXA25" s="2866"/>
      <c r="LXB25" s="2827"/>
      <c r="LXC25" s="2867"/>
      <c r="LXD25" s="2866"/>
      <c r="LXE25" s="2827"/>
      <c r="LXF25" s="2867"/>
      <c r="LXG25" s="2866"/>
      <c r="LXH25" s="2827"/>
      <c r="LXI25" s="2867"/>
      <c r="LXJ25" s="2866"/>
      <c r="LXK25" s="2827"/>
      <c r="LXL25" s="2867"/>
      <c r="LXM25" s="2866"/>
      <c r="LXN25" s="2827"/>
      <c r="LXO25" s="2867"/>
      <c r="LXP25" s="2866"/>
      <c r="LXQ25" s="2827"/>
      <c r="LXR25" s="2867"/>
      <c r="LXS25" s="2866"/>
      <c r="LXT25" s="2827"/>
      <c r="LXU25" s="2867"/>
      <c r="LXV25" s="2866"/>
      <c r="LXW25" s="2827"/>
      <c r="LXX25" s="2867"/>
      <c r="LXY25" s="2866"/>
      <c r="LXZ25" s="2827"/>
      <c r="LYA25" s="2867"/>
      <c r="LYB25" s="2866"/>
      <c r="LYC25" s="2827"/>
      <c r="LYD25" s="2867"/>
      <c r="LYE25" s="2866"/>
      <c r="LYF25" s="2827"/>
      <c r="LYG25" s="2867"/>
      <c r="LYH25" s="2866"/>
      <c r="LYI25" s="2827"/>
      <c r="LYJ25" s="2867"/>
      <c r="LYK25" s="2866"/>
      <c r="LYL25" s="2827"/>
      <c r="LYM25" s="2867"/>
      <c r="LYN25" s="2866"/>
      <c r="LYO25" s="2827"/>
      <c r="LYP25" s="2867"/>
      <c r="LYQ25" s="2866"/>
      <c r="LYR25" s="2827"/>
      <c r="LYS25" s="2867"/>
      <c r="LYT25" s="2866"/>
      <c r="LYU25" s="2827"/>
      <c r="LYV25" s="2867"/>
      <c r="LYW25" s="2866"/>
      <c r="LYX25" s="2827"/>
      <c r="LYY25" s="2867"/>
      <c r="LYZ25" s="2866"/>
      <c r="LZA25" s="2827"/>
      <c r="LZB25" s="2867"/>
      <c r="LZC25" s="2866"/>
      <c r="LZD25" s="2827"/>
      <c r="LZE25" s="2867"/>
      <c r="LZF25" s="2866"/>
      <c r="LZG25" s="2827"/>
      <c r="LZH25" s="2867"/>
      <c r="LZI25" s="2866"/>
      <c r="LZJ25" s="2827"/>
      <c r="LZK25" s="2867"/>
      <c r="LZL25" s="2866"/>
      <c r="LZM25" s="2827"/>
      <c r="LZN25" s="2867"/>
      <c r="LZO25" s="2866"/>
      <c r="LZP25" s="2827"/>
      <c r="LZQ25" s="2867"/>
      <c r="LZR25" s="2866"/>
      <c r="LZS25" s="2827"/>
      <c r="LZT25" s="2867"/>
      <c r="LZU25" s="2866"/>
      <c r="LZV25" s="2827"/>
      <c r="LZW25" s="2867"/>
      <c r="LZX25" s="2866"/>
      <c r="LZY25" s="2827"/>
      <c r="LZZ25" s="2867"/>
      <c r="MAA25" s="2866"/>
      <c r="MAB25" s="2827"/>
      <c r="MAC25" s="2867"/>
      <c r="MAD25" s="2866"/>
      <c r="MAE25" s="2827"/>
      <c r="MAF25" s="2867"/>
      <c r="MAG25" s="2866"/>
      <c r="MAH25" s="2827"/>
      <c r="MAI25" s="2867"/>
      <c r="MAJ25" s="2866"/>
      <c r="MAK25" s="2827"/>
      <c r="MAL25" s="2867"/>
      <c r="MAM25" s="2866"/>
      <c r="MAN25" s="2827"/>
      <c r="MAO25" s="2867"/>
      <c r="MAP25" s="2866"/>
      <c r="MAQ25" s="2827"/>
      <c r="MAR25" s="2867"/>
      <c r="MAS25" s="2866"/>
      <c r="MAT25" s="2827"/>
      <c r="MAU25" s="2867"/>
      <c r="MAV25" s="2866"/>
      <c r="MAW25" s="2827"/>
      <c r="MAX25" s="2867"/>
      <c r="MAY25" s="2866"/>
      <c r="MAZ25" s="2827"/>
      <c r="MBA25" s="2867"/>
      <c r="MBB25" s="2866"/>
      <c r="MBC25" s="2827"/>
      <c r="MBD25" s="2867"/>
      <c r="MBE25" s="2866"/>
      <c r="MBF25" s="2827"/>
      <c r="MBG25" s="2867"/>
      <c r="MBH25" s="2866"/>
      <c r="MBI25" s="2827"/>
      <c r="MBJ25" s="2867"/>
      <c r="MBK25" s="2866"/>
      <c r="MBL25" s="2827"/>
      <c r="MBM25" s="2867"/>
      <c r="MBN25" s="2866"/>
      <c r="MBO25" s="2827"/>
      <c r="MBP25" s="2867"/>
      <c r="MBQ25" s="2866"/>
      <c r="MBR25" s="2827"/>
      <c r="MBS25" s="2867"/>
      <c r="MBT25" s="2866"/>
      <c r="MBU25" s="2827"/>
      <c r="MBV25" s="2867"/>
      <c r="MBW25" s="2866"/>
      <c r="MBX25" s="2827"/>
      <c r="MBY25" s="2867"/>
      <c r="MBZ25" s="2866"/>
      <c r="MCA25" s="2827"/>
      <c r="MCB25" s="2867"/>
      <c r="MCC25" s="2866"/>
      <c r="MCD25" s="2827"/>
      <c r="MCE25" s="2867"/>
      <c r="MCF25" s="2866"/>
      <c r="MCG25" s="2827"/>
      <c r="MCH25" s="2867"/>
      <c r="MCI25" s="2866"/>
      <c r="MCJ25" s="2827"/>
      <c r="MCK25" s="2867"/>
      <c r="MCL25" s="2866"/>
      <c r="MCM25" s="2827"/>
      <c r="MCN25" s="2867"/>
      <c r="MCO25" s="2866"/>
      <c r="MCP25" s="2827"/>
      <c r="MCQ25" s="2867"/>
      <c r="MCR25" s="2866"/>
      <c r="MCS25" s="2827"/>
      <c r="MCT25" s="2867"/>
      <c r="MCU25" s="2866"/>
      <c r="MCV25" s="2827"/>
      <c r="MCW25" s="2867"/>
      <c r="MCX25" s="2866"/>
      <c r="MCY25" s="2827"/>
      <c r="MCZ25" s="2867"/>
      <c r="MDA25" s="2866"/>
      <c r="MDB25" s="2827"/>
      <c r="MDC25" s="2867"/>
      <c r="MDD25" s="2866"/>
      <c r="MDE25" s="2827"/>
      <c r="MDF25" s="2867"/>
      <c r="MDG25" s="2866"/>
      <c r="MDH25" s="2827"/>
      <c r="MDI25" s="2867"/>
      <c r="MDJ25" s="2866"/>
      <c r="MDK25" s="2827"/>
      <c r="MDL25" s="2867"/>
      <c r="MDM25" s="2866"/>
      <c r="MDN25" s="2827"/>
      <c r="MDO25" s="2867"/>
      <c r="MDP25" s="2866"/>
      <c r="MDQ25" s="2827"/>
      <c r="MDR25" s="2867"/>
      <c r="MDS25" s="2866"/>
      <c r="MDT25" s="2827"/>
      <c r="MDU25" s="2867"/>
      <c r="MDV25" s="2866"/>
      <c r="MDW25" s="2827"/>
      <c r="MDX25" s="2867"/>
      <c r="MDY25" s="2866"/>
      <c r="MDZ25" s="2827"/>
      <c r="MEA25" s="2867"/>
      <c r="MEB25" s="2866"/>
      <c r="MEC25" s="2827"/>
      <c r="MED25" s="2867"/>
      <c r="MEE25" s="2866"/>
      <c r="MEF25" s="2827"/>
      <c r="MEG25" s="2867"/>
      <c r="MEH25" s="2866"/>
      <c r="MEI25" s="2827"/>
      <c r="MEJ25" s="2867"/>
      <c r="MEK25" s="2866"/>
      <c r="MEL25" s="2827"/>
      <c r="MEM25" s="2867"/>
      <c r="MEN25" s="2866"/>
      <c r="MEO25" s="2827"/>
      <c r="MEP25" s="2867"/>
      <c r="MEQ25" s="2866"/>
      <c r="MER25" s="2827"/>
      <c r="MES25" s="2867"/>
      <c r="MET25" s="2866"/>
      <c r="MEU25" s="2827"/>
      <c r="MEV25" s="2867"/>
      <c r="MEW25" s="2866"/>
      <c r="MEX25" s="2827"/>
      <c r="MEY25" s="2867"/>
      <c r="MEZ25" s="2866"/>
      <c r="MFA25" s="2827"/>
      <c r="MFB25" s="2867"/>
      <c r="MFC25" s="2866"/>
      <c r="MFD25" s="2827"/>
      <c r="MFE25" s="2867"/>
      <c r="MFF25" s="2866"/>
      <c r="MFG25" s="2827"/>
      <c r="MFH25" s="2867"/>
      <c r="MFI25" s="2866"/>
      <c r="MFJ25" s="2827"/>
      <c r="MFK25" s="2867"/>
      <c r="MFL25" s="2866"/>
      <c r="MFM25" s="2827"/>
      <c r="MFN25" s="2867"/>
      <c r="MFO25" s="2866"/>
      <c r="MFP25" s="2827"/>
      <c r="MFQ25" s="2867"/>
      <c r="MFR25" s="2866"/>
      <c r="MFS25" s="2827"/>
      <c r="MFT25" s="2867"/>
      <c r="MFU25" s="2866"/>
      <c r="MFV25" s="2827"/>
      <c r="MFW25" s="2867"/>
      <c r="MFX25" s="2866"/>
      <c r="MFY25" s="2827"/>
      <c r="MFZ25" s="2867"/>
      <c r="MGA25" s="2866"/>
      <c r="MGB25" s="2827"/>
      <c r="MGC25" s="2867"/>
      <c r="MGD25" s="2866"/>
      <c r="MGE25" s="2827"/>
      <c r="MGF25" s="2867"/>
      <c r="MGG25" s="2866"/>
      <c r="MGH25" s="2827"/>
      <c r="MGI25" s="2867"/>
      <c r="MGJ25" s="2866"/>
      <c r="MGK25" s="2827"/>
      <c r="MGL25" s="2867"/>
      <c r="MGM25" s="2866"/>
      <c r="MGN25" s="2827"/>
      <c r="MGO25" s="2867"/>
      <c r="MGP25" s="2866"/>
      <c r="MGQ25" s="2827"/>
      <c r="MGR25" s="2867"/>
      <c r="MGS25" s="2866"/>
      <c r="MGT25" s="2827"/>
      <c r="MGU25" s="2867"/>
      <c r="MGV25" s="2866"/>
      <c r="MGW25" s="2827"/>
      <c r="MGX25" s="2867"/>
      <c r="MGY25" s="2866"/>
      <c r="MGZ25" s="2827"/>
      <c r="MHA25" s="2867"/>
      <c r="MHB25" s="2866"/>
      <c r="MHC25" s="2827"/>
      <c r="MHD25" s="2867"/>
      <c r="MHE25" s="2866"/>
      <c r="MHF25" s="2827"/>
      <c r="MHG25" s="2867"/>
      <c r="MHH25" s="2866"/>
      <c r="MHI25" s="2827"/>
      <c r="MHJ25" s="2867"/>
      <c r="MHK25" s="2866"/>
      <c r="MHL25" s="2827"/>
      <c r="MHM25" s="2867"/>
      <c r="MHN25" s="2866"/>
      <c r="MHO25" s="2827"/>
      <c r="MHP25" s="2867"/>
      <c r="MHQ25" s="2866"/>
      <c r="MHR25" s="2827"/>
      <c r="MHS25" s="2867"/>
      <c r="MHT25" s="2866"/>
      <c r="MHU25" s="2827"/>
      <c r="MHV25" s="2867"/>
      <c r="MHW25" s="2866"/>
      <c r="MHX25" s="2827"/>
      <c r="MHY25" s="2867"/>
      <c r="MHZ25" s="2866"/>
      <c r="MIA25" s="2827"/>
      <c r="MIB25" s="2867"/>
      <c r="MIC25" s="2866"/>
      <c r="MID25" s="2827"/>
      <c r="MIE25" s="2867"/>
      <c r="MIF25" s="2866"/>
      <c r="MIG25" s="2827"/>
      <c r="MIH25" s="2867"/>
      <c r="MII25" s="2866"/>
      <c r="MIJ25" s="2827"/>
      <c r="MIK25" s="2867"/>
      <c r="MIL25" s="2866"/>
      <c r="MIM25" s="2827"/>
      <c r="MIN25" s="2867"/>
      <c r="MIO25" s="2866"/>
      <c r="MIP25" s="2827"/>
      <c r="MIQ25" s="2867"/>
      <c r="MIR25" s="2866"/>
      <c r="MIS25" s="2827"/>
      <c r="MIT25" s="2867"/>
      <c r="MIU25" s="2866"/>
      <c r="MIV25" s="2827"/>
      <c r="MIW25" s="2867"/>
      <c r="MIX25" s="2866"/>
      <c r="MIY25" s="2827"/>
      <c r="MIZ25" s="2867"/>
      <c r="MJA25" s="2866"/>
      <c r="MJB25" s="2827"/>
      <c r="MJC25" s="2867"/>
      <c r="MJD25" s="2866"/>
      <c r="MJE25" s="2827"/>
      <c r="MJF25" s="2867"/>
      <c r="MJG25" s="2866"/>
      <c r="MJH25" s="2827"/>
      <c r="MJI25" s="2867"/>
      <c r="MJJ25" s="2866"/>
      <c r="MJK25" s="2827"/>
      <c r="MJL25" s="2867"/>
      <c r="MJM25" s="2866"/>
      <c r="MJN25" s="2827"/>
      <c r="MJO25" s="2867"/>
      <c r="MJP25" s="2866"/>
      <c r="MJQ25" s="2827"/>
      <c r="MJR25" s="2867"/>
      <c r="MJS25" s="2866"/>
      <c r="MJT25" s="2827"/>
      <c r="MJU25" s="2867"/>
      <c r="MJV25" s="2866"/>
      <c r="MJW25" s="2827"/>
      <c r="MJX25" s="2867"/>
      <c r="MJY25" s="2866"/>
      <c r="MJZ25" s="2827"/>
      <c r="MKA25" s="2867"/>
      <c r="MKB25" s="2866"/>
      <c r="MKC25" s="2827"/>
      <c r="MKD25" s="2867"/>
      <c r="MKE25" s="2866"/>
      <c r="MKF25" s="2827"/>
      <c r="MKG25" s="2867"/>
      <c r="MKH25" s="2866"/>
      <c r="MKI25" s="2827"/>
      <c r="MKJ25" s="2867"/>
      <c r="MKK25" s="2866"/>
      <c r="MKL25" s="2827"/>
      <c r="MKM25" s="2867"/>
      <c r="MKN25" s="2866"/>
      <c r="MKO25" s="2827"/>
      <c r="MKP25" s="2867"/>
      <c r="MKQ25" s="2866"/>
      <c r="MKR25" s="2827"/>
      <c r="MKS25" s="2867"/>
      <c r="MKT25" s="2866"/>
      <c r="MKU25" s="2827"/>
      <c r="MKV25" s="2867"/>
      <c r="MKW25" s="2866"/>
      <c r="MKX25" s="2827"/>
      <c r="MKY25" s="2867"/>
      <c r="MKZ25" s="2866"/>
      <c r="MLA25" s="2827"/>
      <c r="MLB25" s="2867"/>
      <c r="MLC25" s="2866"/>
      <c r="MLD25" s="2827"/>
      <c r="MLE25" s="2867"/>
      <c r="MLF25" s="2866"/>
      <c r="MLG25" s="2827"/>
      <c r="MLH25" s="2867"/>
      <c r="MLI25" s="2866"/>
      <c r="MLJ25" s="2827"/>
      <c r="MLK25" s="2867"/>
      <c r="MLL25" s="2866"/>
      <c r="MLM25" s="2827"/>
      <c r="MLN25" s="2867"/>
      <c r="MLO25" s="2866"/>
      <c r="MLP25" s="2827"/>
      <c r="MLQ25" s="2867"/>
      <c r="MLR25" s="2866"/>
      <c r="MLS25" s="2827"/>
      <c r="MLT25" s="2867"/>
      <c r="MLU25" s="2866"/>
      <c r="MLV25" s="2827"/>
      <c r="MLW25" s="2867"/>
      <c r="MLX25" s="2866"/>
      <c r="MLY25" s="2827"/>
      <c r="MLZ25" s="2867"/>
      <c r="MMA25" s="2866"/>
      <c r="MMB25" s="2827"/>
      <c r="MMC25" s="2867"/>
      <c r="MMD25" s="2866"/>
      <c r="MME25" s="2827"/>
      <c r="MMF25" s="2867"/>
      <c r="MMG25" s="2866"/>
      <c r="MMH25" s="2827"/>
      <c r="MMI25" s="2867"/>
      <c r="MMJ25" s="2866"/>
      <c r="MMK25" s="2827"/>
      <c r="MML25" s="2867"/>
      <c r="MMM25" s="2866"/>
      <c r="MMN25" s="2827"/>
      <c r="MMO25" s="2867"/>
      <c r="MMP25" s="2866"/>
      <c r="MMQ25" s="2827"/>
      <c r="MMR25" s="2867"/>
      <c r="MMS25" s="2866"/>
      <c r="MMT25" s="2827"/>
      <c r="MMU25" s="2867"/>
      <c r="MMV25" s="2866"/>
      <c r="MMW25" s="2827"/>
      <c r="MMX25" s="2867"/>
      <c r="MMY25" s="2866"/>
      <c r="MMZ25" s="2827"/>
      <c r="MNA25" s="2867"/>
      <c r="MNB25" s="2866"/>
      <c r="MNC25" s="2827"/>
      <c r="MND25" s="2867"/>
      <c r="MNE25" s="2866"/>
      <c r="MNF25" s="2827"/>
      <c r="MNG25" s="2867"/>
      <c r="MNH25" s="2866"/>
      <c r="MNI25" s="2827"/>
      <c r="MNJ25" s="2867"/>
      <c r="MNK25" s="2866"/>
      <c r="MNL25" s="2827"/>
      <c r="MNM25" s="2867"/>
      <c r="MNN25" s="2866"/>
      <c r="MNO25" s="2827"/>
      <c r="MNP25" s="2867"/>
      <c r="MNQ25" s="2866"/>
      <c r="MNR25" s="2827"/>
      <c r="MNS25" s="2867"/>
      <c r="MNT25" s="2866"/>
      <c r="MNU25" s="2827"/>
      <c r="MNV25" s="2867"/>
      <c r="MNW25" s="2866"/>
      <c r="MNX25" s="2827"/>
      <c r="MNY25" s="2867"/>
      <c r="MNZ25" s="2866"/>
      <c r="MOA25" s="2827"/>
      <c r="MOB25" s="2867"/>
      <c r="MOC25" s="2866"/>
      <c r="MOD25" s="2827"/>
      <c r="MOE25" s="2867"/>
      <c r="MOF25" s="2866"/>
      <c r="MOG25" s="2827"/>
      <c r="MOH25" s="2867"/>
      <c r="MOI25" s="2866"/>
      <c r="MOJ25" s="2827"/>
      <c r="MOK25" s="2867"/>
      <c r="MOL25" s="2866"/>
      <c r="MOM25" s="2827"/>
      <c r="MON25" s="2867"/>
      <c r="MOO25" s="2866"/>
      <c r="MOP25" s="2827"/>
      <c r="MOQ25" s="2867"/>
      <c r="MOR25" s="2866"/>
      <c r="MOS25" s="2827"/>
      <c r="MOT25" s="2867"/>
      <c r="MOU25" s="2866"/>
      <c r="MOV25" s="2827"/>
      <c r="MOW25" s="2867"/>
      <c r="MOX25" s="2866"/>
      <c r="MOY25" s="2827"/>
      <c r="MOZ25" s="2867"/>
      <c r="MPA25" s="2866"/>
      <c r="MPB25" s="2827"/>
      <c r="MPC25" s="2867"/>
      <c r="MPD25" s="2866"/>
      <c r="MPE25" s="2827"/>
      <c r="MPF25" s="2867"/>
      <c r="MPG25" s="2866"/>
      <c r="MPH25" s="2827"/>
      <c r="MPI25" s="2867"/>
      <c r="MPJ25" s="2866"/>
      <c r="MPK25" s="2827"/>
      <c r="MPL25" s="2867"/>
      <c r="MPM25" s="2866"/>
      <c r="MPN25" s="2827"/>
      <c r="MPO25" s="2867"/>
      <c r="MPP25" s="2866"/>
      <c r="MPQ25" s="2827"/>
      <c r="MPR25" s="2867"/>
      <c r="MPS25" s="2866"/>
      <c r="MPT25" s="2827"/>
      <c r="MPU25" s="2867"/>
      <c r="MPV25" s="2866"/>
      <c r="MPW25" s="2827"/>
      <c r="MPX25" s="2867"/>
      <c r="MPY25" s="2866"/>
      <c r="MPZ25" s="2827"/>
      <c r="MQA25" s="2867"/>
      <c r="MQB25" s="2866"/>
      <c r="MQC25" s="2827"/>
      <c r="MQD25" s="2867"/>
      <c r="MQE25" s="2866"/>
      <c r="MQF25" s="2827"/>
      <c r="MQG25" s="2867"/>
      <c r="MQH25" s="2866"/>
      <c r="MQI25" s="2827"/>
      <c r="MQJ25" s="2867"/>
      <c r="MQK25" s="2866"/>
      <c r="MQL25" s="2827"/>
      <c r="MQM25" s="2867"/>
      <c r="MQN25" s="2866"/>
      <c r="MQO25" s="2827"/>
      <c r="MQP25" s="2867"/>
      <c r="MQQ25" s="2866"/>
      <c r="MQR25" s="2827"/>
      <c r="MQS25" s="2867"/>
      <c r="MQT25" s="2866"/>
      <c r="MQU25" s="2827"/>
      <c r="MQV25" s="2867"/>
      <c r="MQW25" s="2866"/>
      <c r="MQX25" s="2827"/>
      <c r="MQY25" s="2867"/>
      <c r="MQZ25" s="2866"/>
      <c r="MRA25" s="2827"/>
      <c r="MRB25" s="2867"/>
      <c r="MRC25" s="2866"/>
      <c r="MRD25" s="2827"/>
      <c r="MRE25" s="2867"/>
      <c r="MRF25" s="2866"/>
      <c r="MRG25" s="2827"/>
      <c r="MRH25" s="2867"/>
      <c r="MRI25" s="2866"/>
      <c r="MRJ25" s="2827"/>
      <c r="MRK25" s="2867"/>
      <c r="MRL25" s="2866"/>
      <c r="MRM25" s="2827"/>
      <c r="MRN25" s="2867"/>
      <c r="MRO25" s="2866"/>
      <c r="MRP25" s="2827"/>
      <c r="MRQ25" s="2867"/>
      <c r="MRR25" s="2866"/>
      <c r="MRS25" s="2827"/>
      <c r="MRT25" s="2867"/>
      <c r="MRU25" s="2866"/>
      <c r="MRV25" s="2827"/>
      <c r="MRW25" s="2867"/>
      <c r="MRX25" s="2866"/>
      <c r="MRY25" s="2827"/>
      <c r="MRZ25" s="2867"/>
      <c r="MSA25" s="2866"/>
      <c r="MSB25" s="2827"/>
      <c r="MSC25" s="2867"/>
      <c r="MSD25" s="2866"/>
      <c r="MSE25" s="2827"/>
      <c r="MSF25" s="2867"/>
      <c r="MSG25" s="2866"/>
      <c r="MSH25" s="2827"/>
      <c r="MSI25" s="2867"/>
      <c r="MSJ25" s="2866"/>
      <c r="MSK25" s="2827"/>
      <c r="MSL25" s="2867"/>
      <c r="MSM25" s="2866"/>
      <c r="MSN25" s="2827"/>
      <c r="MSO25" s="2867"/>
      <c r="MSP25" s="2866"/>
      <c r="MSQ25" s="2827"/>
      <c r="MSR25" s="2867"/>
      <c r="MSS25" s="2866"/>
      <c r="MST25" s="2827"/>
      <c r="MSU25" s="2867"/>
      <c r="MSV25" s="2866"/>
      <c r="MSW25" s="2827"/>
      <c r="MSX25" s="2867"/>
      <c r="MSY25" s="2866"/>
      <c r="MSZ25" s="2827"/>
      <c r="MTA25" s="2867"/>
      <c r="MTB25" s="2866"/>
      <c r="MTC25" s="2827"/>
      <c r="MTD25" s="2867"/>
      <c r="MTE25" s="2866"/>
      <c r="MTF25" s="2827"/>
      <c r="MTG25" s="2867"/>
      <c r="MTH25" s="2866"/>
      <c r="MTI25" s="2827"/>
      <c r="MTJ25" s="2867"/>
      <c r="MTK25" s="2866"/>
      <c r="MTL25" s="2827"/>
      <c r="MTM25" s="2867"/>
      <c r="MTN25" s="2866"/>
      <c r="MTO25" s="2827"/>
      <c r="MTP25" s="2867"/>
      <c r="MTQ25" s="2866"/>
      <c r="MTR25" s="2827"/>
      <c r="MTS25" s="2867"/>
      <c r="MTT25" s="2866"/>
      <c r="MTU25" s="2827"/>
      <c r="MTV25" s="2867"/>
      <c r="MTW25" s="2866"/>
      <c r="MTX25" s="2827"/>
      <c r="MTY25" s="2867"/>
      <c r="MTZ25" s="2866"/>
      <c r="MUA25" s="2827"/>
      <c r="MUB25" s="2867"/>
      <c r="MUC25" s="2866"/>
      <c r="MUD25" s="2827"/>
      <c r="MUE25" s="2867"/>
      <c r="MUF25" s="2866"/>
      <c r="MUG25" s="2827"/>
      <c r="MUH25" s="2867"/>
      <c r="MUI25" s="2866"/>
      <c r="MUJ25" s="2827"/>
      <c r="MUK25" s="2867"/>
      <c r="MUL25" s="2866"/>
      <c r="MUM25" s="2827"/>
      <c r="MUN25" s="2867"/>
      <c r="MUO25" s="2866"/>
      <c r="MUP25" s="2827"/>
      <c r="MUQ25" s="2867"/>
      <c r="MUR25" s="2866"/>
      <c r="MUS25" s="2827"/>
      <c r="MUT25" s="2867"/>
      <c r="MUU25" s="2866"/>
      <c r="MUV25" s="2827"/>
      <c r="MUW25" s="2867"/>
      <c r="MUX25" s="2866"/>
      <c r="MUY25" s="2827"/>
      <c r="MUZ25" s="2867"/>
      <c r="MVA25" s="2866"/>
      <c r="MVB25" s="2827"/>
      <c r="MVC25" s="2867"/>
      <c r="MVD25" s="2866"/>
      <c r="MVE25" s="2827"/>
      <c r="MVF25" s="2867"/>
      <c r="MVG25" s="2866"/>
      <c r="MVH25" s="2827"/>
      <c r="MVI25" s="2867"/>
      <c r="MVJ25" s="2866"/>
      <c r="MVK25" s="2827"/>
      <c r="MVL25" s="2867"/>
      <c r="MVM25" s="2866"/>
      <c r="MVN25" s="2827"/>
      <c r="MVO25" s="2867"/>
      <c r="MVP25" s="2866"/>
      <c r="MVQ25" s="2827"/>
      <c r="MVR25" s="2867"/>
      <c r="MVS25" s="2866"/>
      <c r="MVT25" s="2827"/>
      <c r="MVU25" s="2867"/>
      <c r="MVV25" s="2866"/>
      <c r="MVW25" s="2827"/>
      <c r="MVX25" s="2867"/>
      <c r="MVY25" s="2866"/>
      <c r="MVZ25" s="2827"/>
      <c r="MWA25" s="2867"/>
      <c r="MWB25" s="2866"/>
      <c r="MWC25" s="2827"/>
      <c r="MWD25" s="2867"/>
      <c r="MWE25" s="2866"/>
      <c r="MWF25" s="2827"/>
      <c r="MWG25" s="2867"/>
      <c r="MWH25" s="2866"/>
      <c r="MWI25" s="2827"/>
      <c r="MWJ25" s="2867"/>
      <c r="MWK25" s="2866"/>
      <c r="MWL25" s="2827"/>
      <c r="MWM25" s="2867"/>
      <c r="MWN25" s="2866"/>
      <c r="MWO25" s="2827"/>
      <c r="MWP25" s="2867"/>
      <c r="MWQ25" s="2866"/>
      <c r="MWR25" s="2827"/>
      <c r="MWS25" s="2867"/>
      <c r="MWT25" s="2866"/>
      <c r="MWU25" s="2827"/>
      <c r="MWV25" s="2867"/>
      <c r="MWW25" s="2866"/>
      <c r="MWX25" s="2827"/>
      <c r="MWY25" s="2867"/>
      <c r="MWZ25" s="2866"/>
      <c r="MXA25" s="2827"/>
      <c r="MXB25" s="2867"/>
      <c r="MXC25" s="2866"/>
      <c r="MXD25" s="2827"/>
      <c r="MXE25" s="2867"/>
      <c r="MXF25" s="2866"/>
      <c r="MXG25" s="2827"/>
      <c r="MXH25" s="2867"/>
      <c r="MXI25" s="2866"/>
      <c r="MXJ25" s="2827"/>
      <c r="MXK25" s="2867"/>
      <c r="MXL25" s="2866"/>
      <c r="MXM25" s="2827"/>
      <c r="MXN25" s="2867"/>
      <c r="MXO25" s="2866"/>
      <c r="MXP25" s="2827"/>
      <c r="MXQ25" s="2867"/>
      <c r="MXR25" s="2866"/>
      <c r="MXS25" s="2827"/>
      <c r="MXT25" s="2867"/>
      <c r="MXU25" s="2866"/>
      <c r="MXV25" s="2827"/>
      <c r="MXW25" s="2867"/>
      <c r="MXX25" s="2866"/>
      <c r="MXY25" s="2827"/>
      <c r="MXZ25" s="2867"/>
      <c r="MYA25" s="2866"/>
      <c r="MYB25" s="2827"/>
      <c r="MYC25" s="2867"/>
      <c r="MYD25" s="2866"/>
      <c r="MYE25" s="2827"/>
      <c r="MYF25" s="2867"/>
      <c r="MYG25" s="2866"/>
      <c r="MYH25" s="2827"/>
      <c r="MYI25" s="2867"/>
      <c r="MYJ25" s="2866"/>
      <c r="MYK25" s="2827"/>
      <c r="MYL25" s="2867"/>
      <c r="MYM25" s="2866"/>
      <c r="MYN25" s="2827"/>
      <c r="MYO25" s="2867"/>
      <c r="MYP25" s="2866"/>
      <c r="MYQ25" s="2827"/>
      <c r="MYR25" s="2867"/>
      <c r="MYS25" s="2866"/>
      <c r="MYT25" s="2827"/>
      <c r="MYU25" s="2867"/>
      <c r="MYV25" s="2866"/>
      <c r="MYW25" s="2827"/>
      <c r="MYX25" s="2867"/>
      <c r="MYY25" s="2866"/>
      <c r="MYZ25" s="2827"/>
      <c r="MZA25" s="2867"/>
      <c r="MZB25" s="2866"/>
      <c r="MZC25" s="2827"/>
      <c r="MZD25" s="2867"/>
      <c r="MZE25" s="2866"/>
      <c r="MZF25" s="2827"/>
      <c r="MZG25" s="2867"/>
      <c r="MZH25" s="2866"/>
      <c r="MZI25" s="2827"/>
      <c r="MZJ25" s="2867"/>
      <c r="MZK25" s="2866"/>
      <c r="MZL25" s="2827"/>
      <c r="MZM25" s="2867"/>
      <c r="MZN25" s="2866"/>
      <c r="MZO25" s="2827"/>
      <c r="MZP25" s="2867"/>
      <c r="MZQ25" s="2866"/>
      <c r="MZR25" s="2827"/>
      <c r="MZS25" s="2867"/>
      <c r="MZT25" s="2866"/>
      <c r="MZU25" s="2827"/>
      <c r="MZV25" s="2867"/>
      <c r="MZW25" s="2866"/>
      <c r="MZX25" s="2827"/>
      <c r="MZY25" s="2867"/>
      <c r="MZZ25" s="2866"/>
      <c r="NAA25" s="2827"/>
      <c r="NAB25" s="2867"/>
      <c r="NAC25" s="2866"/>
      <c r="NAD25" s="2827"/>
      <c r="NAE25" s="2867"/>
      <c r="NAF25" s="2866"/>
      <c r="NAG25" s="2827"/>
      <c r="NAH25" s="2867"/>
      <c r="NAI25" s="2866"/>
      <c r="NAJ25" s="2827"/>
      <c r="NAK25" s="2867"/>
      <c r="NAL25" s="2866"/>
      <c r="NAM25" s="2827"/>
      <c r="NAN25" s="2867"/>
      <c r="NAO25" s="2866"/>
      <c r="NAP25" s="2827"/>
      <c r="NAQ25" s="2867"/>
      <c r="NAR25" s="2866"/>
      <c r="NAS25" s="2827"/>
      <c r="NAT25" s="2867"/>
      <c r="NAU25" s="2866"/>
      <c r="NAV25" s="2827"/>
      <c r="NAW25" s="2867"/>
      <c r="NAX25" s="2866"/>
      <c r="NAY25" s="2827"/>
      <c r="NAZ25" s="2867"/>
      <c r="NBA25" s="2866"/>
      <c r="NBB25" s="2827"/>
      <c r="NBC25" s="2867"/>
      <c r="NBD25" s="2866"/>
      <c r="NBE25" s="2827"/>
      <c r="NBF25" s="2867"/>
      <c r="NBG25" s="2866"/>
      <c r="NBH25" s="2827"/>
      <c r="NBI25" s="2867"/>
      <c r="NBJ25" s="2866"/>
      <c r="NBK25" s="2827"/>
      <c r="NBL25" s="2867"/>
      <c r="NBM25" s="2866"/>
      <c r="NBN25" s="2827"/>
      <c r="NBO25" s="2867"/>
      <c r="NBP25" s="2866"/>
      <c r="NBQ25" s="2827"/>
      <c r="NBR25" s="2867"/>
      <c r="NBS25" s="2866"/>
      <c r="NBT25" s="2827"/>
      <c r="NBU25" s="2867"/>
      <c r="NBV25" s="2866"/>
      <c r="NBW25" s="2827"/>
      <c r="NBX25" s="2867"/>
      <c r="NBY25" s="2866"/>
      <c r="NBZ25" s="2827"/>
      <c r="NCA25" s="2867"/>
      <c r="NCB25" s="2866"/>
      <c r="NCC25" s="2827"/>
      <c r="NCD25" s="2867"/>
      <c r="NCE25" s="2866"/>
      <c r="NCF25" s="2827"/>
      <c r="NCG25" s="2867"/>
      <c r="NCH25" s="2866"/>
      <c r="NCI25" s="2827"/>
      <c r="NCJ25" s="2867"/>
      <c r="NCK25" s="2866"/>
      <c r="NCL25" s="2827"/>
      <c r="NCM25" s="2867"/>
      <c r="NCN25" s="2866"/>
      <c r="NCO25" s="2827"/>
      <c r="NCP25" s="2867"/>
      <c r="NCQ25" s="2866"/>
      <c r="NCR25" s="2827"/>
      <c r="NCS25" s="2867"/>
      <c r="NCT25" s="2866"/>
      <c r="NCU25" s="2827"/>
      <c r="NCV25" s="2867"/>
      <c r="NCW25" s="2866"/>
      <c r="NCX25" s="2827"/>
      <c r="NCY25" s="2867"/>
      <c r="NCZ25" s="2866"/>
      <c r="NDA25" s="2827"/>
      <c r="NDB25" s="2867"/>
      <c r="NDC25" s="2866"/>
      <c r="NDD25" s="2827"/>
      <c r="NDE25" s="2867"/>
      <c r="NDF25" s="2866"/>
      <c r="NDG25" s="2827"/>
      <c r="NDH25" s="2867"/>
      <c r="NDI25" s="2866"/>
      <c r="NDJ25" s="2827"/>
      <c r="NDK25" s="2867"/>
      <c r="NDL25" s="2866"/>
      <c r="NDM25" s="2827"/>
      <c r="NDN25" s="2867"/>
      <c r="NDO25" s="2866"/>
      <c r="NDP25" s="2827"/>
      <c r="NDQ25" s="2867"/>
      <c r="NDR25" s="2866"/>
      <c r="NDS25" s="2827"/>
      <c r="NDT25" s="2867"/>
      <c r="NDU25" s="2866"/>
      <c r="NDV25" s="2827"/>
      <c r="NDW25" s="2867"/>
      <c r="NDX25" s="2866"/>
      <c r="NDY25" s="2827"/>
      <c r="NDZ25" s="2867"/>
      <c r="NEA25" s="2866"/>
      <c r="NEB25" s="2827"/>
      <c r="NEC25" s="2867"/>
      <c r="NED25" s="2866"/>
      <c r="NEE25" s="2827"/>
      <c r="NEF25" s="2867"/>
      <c r="NEG25" s="2866"/>
      <c r="NEH25" s="2827"/>
      <c r="NEI25" s="2867"/>
      <c r="NEJ25" s="2866"/>
      <c r="NEK25" s="2827"/>
      <c r="NEL25" s="2867"/>
      <c r="NEM25" s="2866"/>
      <c r="NEN25" s="2827"/>
      <c r="NEO25" s="2867"/>
      <c r="NEP25" s="2866"/>
      <c r="NEQ25" s="2827"/>
      <c r="NER25" s="2867"/>
      <c r="NES25" s="2866"/>
      <c r="NET25" s="2827"/>
      <c r="NEU25" s="2867"/>
      <c r="NEV25" s="2866"/>
      <c r="NEW25" s="2827"/>
      <c r="NEX25" s="2867"/>
      <c r="NEY25" s="2866"/>
      <c r="NEZ25" s="2827"/>
      <c r="NFA25" s="2867"/>
      <c r="NFB25" s="2866"/>
      <c r="NFC25" s="2827"/>
      <c r="NFD25" s="2867"/>
      <c r="NFE25" s="2866"/>
      <c r="NFF25" s="2827"/>
      <c r="NFG25" s="2867"/>
      <c r="NFH25" s="2866"/>
      <c r="NFI25" s="2827"/>
      <c r="NFJ25" s="2867"/>
      <c r="NFK25" s="2866"/>
      <c r="NFL25" s="2827"/>
      <c r="NFM25" s="2867"/>
      <c r="NFN25" s="2866"/>
      <c r="NFO25" s="2827"/>
      <c r="NFP25" s="2867"/>
      <c r="NFQ25" s="2866"/>
      <c r="NFR25" s="2827"/>
      <c r="NFS25" s="2867"/>
      <c r="NFT25" s="2866"/>
      <c r="NFU25" s="2827"/>
      <c r="NFV25" s="2867"/>
      <c r="NFW25" s="2866"/>
      <c r="NFX25" s="2827"/>
      <c r="NFY25" s="2867"/>
      <c r="NFZ25" s="2866"/>
      <c r="NGA25" s="2827"/>
      <c r="NGB25" s="2867"/>
      <c r="NGC25" s="2866"/>
      <c r="NGD25" s="2827"/>
      <c r="NGE25" s="2867"/>
      <c r="NGF25" s="2866"/>
      <c r="NGG25" s="2827"/>
      <c r="NGH25" s="2867"/>
      <c r="NGI25" s="2866"/>
      <c r="NGJ25" s="2827"/>
      <c r="NGK25" s="2867"/>
      <c r="NGL25" s="2866"/>
      <c r="NGM25" s="2827"/>
      <c r="NGN25" s="2867"/>
      <c r="NGO25" s="2866"/>
      <c r="NGP25" s="2827"/>
      <c r="NGQ25" s="2867"/>
      <c r="NGR25" s="2866"/>
      <c r="NGS25" s="2827"/>
      <c r="NGT25" s="2867"/>
      <c r="NGU25" s="2866"/>
      <c r="NGV25" s="2827"/>
      <c r="NGW25" s="2867"/>
      <c r="NGX25" s="2866"/>
      <c r="NGY25" s="2827"/>
      <c r="NGZ25" s="2867"/>
      <c r="NHA25" s="2866"/>
      <c r="NHB25" s="2827"/>
      <c r="NHC25" s="2867"/>
      <c r="NHD25" s="2866"/>
      <c r="NHE25" s="2827"/>
      <c r="NHF25" s="2867"/>
      <c r="NHG25" s="2866"/>
      <c r="NHH25" s="2827"/>
      <c r="NHI25" s="2867"/>
      <c r="NHJ25" s="2866"/>
      <c r="NHK25" s="2827"/>
      <c r="NHL25" s="2867"/>
      <c r="NHM25" s="2866"/>
      <c r="NHN25" s="2827"/>
      <c r="NHO25" s="2867"/>
      <c r="NHP25" s="2866"/>
      <c r="NHQ25" s="2827"/>
      <c r="NHR25" s="2867"/>
      <c r="NHS25" s="2866"/>
      <c r="NHT25" s="2827"/>
      <c r="NHU25" s="2867"/>
      <c r="NHV25" s="2866"/>
      <c r="NHW25" s="2827"/>
      <c r="NHX25" s="2867"/>
      <c r="NHY25" s="2866"/>
      <c r="NHZ25" s="2827"/>
      <c r="NIA25" s="2867"/>
      <c r="NIB25" s="2866"/>
      <c r="NIC25" s="2827"/>
      <c r="NID25" s="2867"/>
      <c r="NIE25" s="2866"/>
      <c r="NIF25" s="2827"/>
      <c r="NIG25" s="2867"/>
      <c r="NIH25" s="2866"/>
      <c r="NII25" s="2827"/>
      <c r="NIJ25" s="2867"/>
      <c r="NIK25" s="2866"/>
      <c r="NIL25" s="2827"/>
      <c r="NIM25" s="2867"/>
      <c r="NIN25" s="2866"/>
      <c r="NIO25" s="2827"/>
      <c r="NIP25" s="2867"/>
      <c r="NIQ25" s="2866"/>
      <c r="NIR25" s="2827"/>
      <c r="NIS25" s="2867"/>
      <c r="NIT25" s="2866"/>
      <c r="NIU25" s="2827"/>
      <c r="NIV25" s="2867"/>
      <c r="NIW25" s="2866"/>
      <c r="NIX25" s="2827"/>
      <c r="NIY25" s="2867"/>
      <c r="NIZ25" s="2866"/>
      <c r="NJA25" s="2827"/>
      <c r="NJB25" s="2867"/>
      <c r="NJC25" s="2866"/>
      <c r="NJD25" s="2827"/>
      <c r="NJE25" s="2867"/>
      <c r="NJF25" s="2866"/>
      <c r="NJG25" s="2827"/>
      <c r="NJH25" s="2867"/>
      <c r="NJI25" s="2866"/>
      <c r="NJJ25" s="2827"/>
      <c r="NJK25" s="2867"/>
      <c r="NJL25" s="2866"/>
      <c r="NJM25" s="2827"/>
      <c r="NJN25" s="2867"/>
      <c r="NJO25" s="2866"/>
      <c r="NJP25" s="2827"/>
      <c r="NJQ25" s="2867"/>
      <c r="NJR25" s="2866"/>
      <c r="NJS25" s="2827"/>
      <c r="NJT25" s="2867"/>
      <c r="NJU25" s="2866"/>
      <c r="NJV25" s="2827"/>
      <c r="NJW25" s="2867"/>
      <c r="NJX25" s="2866"/>
      <c r="NJY25" s="2827"/>
      <c r="NJZ25" s="2867"/>
      <c r="NKA25" s="2866"/>
      <c r="NKB25" s="2827"/>
      <c r="NKC25" s="2867"/>
      <c r="NKD25" s="2866"/>
      <c r="NKE25" s="2827"/>
      <c r="NKF25" s="2867"/>
      <c r="NKG25" s="2866"/>
      <c r="NKH25" s="2827"/>
      <c r="NKI25" s="2867"/>
      <c r="NKJ25" s="2866"/>
      <c r="NKK25" s="2827"/>
      <c r="NKL25" s="2867"/>
      <c r="NKM25" s="2866"/>
      <c r="NKN25" s="2827"/>
      <c r="NKO25" s="2867"/>
      <c r="NKP25" s="2866"/>
      <c r="NKQ25" s="2827"/>
      <c r="NKR25" s="2867"/>
      <c r="NKS25" s="2866"/>
      <c r="NKT25" s="2827"/>
      <c r="NKU25" s="2867"/>
      <c r="NKV25" s="2866"/>
      <c r="NKW25" s="2827"/>
      <c r="NKX25" s="2867"/>
      <c r="NKY25" s="2866"/>
      <c r="NKZ25" s="2827"/>
      <c r="NLA25" s="2867"/>
      <c r="NLB25" s="2866"/>
      <c r="NLC25" s="2827"/>
      <c r="NLD25" s="2867"/>
      <c r="NLE25" s="2866"/>
      <c r="NLF25" s="2827"/>
      <c r="NLG25" s="2867"/>
      <c r="NLH25" s="2866"/>
      <c r="NLI25" s="2827"/>
      <c r="NLJ25" s="2867"/>
      <c r="NLK25" s="2866"/>
      <c r="NLL25" s="2827"/>
      <c r="NLM25" s="2867"/>
      <c r="NLN25" s="2866"/>
      <c r="NLO25" s="2827"/>
      <c r="NLP25" s="2867"/>
      <c r="NLQ25" s="2866"/>
      <c r="NLR25" s="2827"/>
      <c r="NLS25" s="2867"/>
      <c r="NLT25" s="2866"/>
      <c r="NLU25" s="2827"/>
      <c r="NLV25" s="2867"/>
      <c r="NLW25" s="2866"/>
      <c r="NLX25" s="2827"/>
      <c r="NLY25" s="2867"/>
      <c r="NLZ25" s="2866"/>
      <c r="NMA25" s="2827"/>
      <c r="NMB25" s="2867"/>
      <c r="NMC25" s="2866"/>
      <c r="NMD25" s="2827"/>
      <c r="NME25" s="2867"/>
      <c r="NMF25" s="2866"/>
      <c r="NMG25" s="2827"/>
      <c r="NMH25" s="2867"/>
      <c r="NMI25" s="2866"/>
      <c r="NMJ25" s="2827"/>
      <c r="NMK25" s="2867"/>
      <c r="NML25" s="2866"/>
      <c r="NMM25" s="2827"/>
      <c r="NMN25" s="2867"/>
      <c r="NMO25" s="2866"/>
      <c r="NMP25" s="2827"/>
      <c r="NMQ25" s="2867"/>
      <c r="NMR25" s="2866"/>
      <c r="NMS25" s="2827"/>
      <c r="NMT25" s="2867"/>
      <c r="NMU25" s="2866"/>
      <c r="NMV25" s="2827"/>
      <c r="NMW25" s="2867"/>
      <c r="NMX25" s="2866"/>
      <c r="NMY25" s="2827"/>
      <c r="NMZ25" s="2867"/>
      <c r="NNA25" s="2866"/>
      <c r="NNB25" s="2827"/>
      <c r="NNC25" s="2867"/>
      <c r="NND25" s="2866"/>
      <c r="NNE25" s="2827"/>
      <c r="NNF25" s="2867"/>
      <c r="NNG25" s="2866"/>
      <c r="NNH25" s="2827"/>
      <c r="NNI25" s="2867"/>
      <c r="NNJ25" s="2866"/>
      <c r="NNK25" s="2827"/>
      <c r="NNL25" s="2867"/>
      <c r="NNM25" s="2866"/>
      <c r="NNN25" s="2827"/>
      <c r="NNO25" s="2867"/>
      <c r="NNP25" s="2866"/>
      <c r="NNQ25" s="2827"/>
      <c r="NNR25" s="2867"/>
      <c r="NNS25" s="2866"/>
      <c r="NNT25" s="2827"/>
      <c r="NNU25" s="2867"/>
      <c r="NNV25" s="2866"/>
      <c r="NNW25" s="2827"/>
      <c r="NNX25" s="2867"/>
      <c r="NNY25" s="2866"/>
      <c r="NNZ25" s="2827"/>
      <c r="NOA25" s="2867"/>
      <c r="NOB25" s="2866"/>
      <c r="NOC25" s="2827"/>
      <c r="NOD25" s="2867"/>
      <c r="NOE25" s="2866"/>
      <c r="NOF25" s="2827"/>
      <c r="NOG25" s="2867"/>
      <c r="NOH25" s="2866"/>
      <c r="NOI25" s="2827"/>
      <c r="NOJ25" s="2867"/>
      <c r="NOK25" s="2866"/>
      <c r="NOL25" s="2827"/>
      <c r="NOM25" s="2867"/>
      <c r="NON25" s="2866"/>
      <c r="NOO25" s="2827"/>
      <c r="NOP25" s="2867"/>
      <c r="NOQ25" s="2866"/>
      <c r="NOR25" s="2827"/>
      <c r="NOS25" s="2867"/>
      <c r="NOT25" s="2866"/>
      <c r="NOU25" s="2827"/>
      <c r="NOV25" s="2867"/>
      <c r="NOW25" s="2866"/>
      <c r="NOX25" s="2827"/>
      <c r="NOY25" s="2867"/>
      <c r="NOZ25" s="2866"/>
      <c r="NPA25" s="2827"/>
      <c r="NPB25" s="2867"/>
      <c r="NPC25" s="2866"/>
      <c r="NPD25" s="2827"/>
      <c r="NPE25" s="2867"/>
      <c r="NPF25" s="2866"/>
      <c r="NPG25" s="2827"/>
      <c r="NPH25" s="2867"/>
      <c r="NPI25" s="2866"/>
      <c r="NPJ25" s="2827"/>
      <c r="NPK25" s="2867"/>
      <c r="NPL25" s="2866"/>
      <c r="NPM25" s="2827"/>
      <c r="NPN25" s="2867"/>
      <c r="NPO25" s="2866"/>
      <c r="NPP25" s="2827"/>
      <c r="NPQ25" s="2867"/>
      <c r="NPR25" s="2866"/>
      <c r="NPS25" s="2827"/>
      <c r="NPT25" s="2867"/>
      <c r="NPU25" s="2866"/>
      <c r="NPV25" s="2827"/>
      <c r="NPW25" s="2867"/>
      <c r="NPX25" s="2866"/>
      <c r="NPY25" s="2827"/>
      <c r="NPZ25" s="2867"/>
      <c r="NQA25" s="2866"/>
      <c r="NQB25" s="2827"/>
      <c r="NQC25" s="2867"/>
      <c r="NQD25" s="2866"/>
      <c r="NQE25" s="2827"/>
      <c r="NQF25" s="2867"/>
      <c r="NQG25" s="2866"/>
      <c r="NQH25" s="2827"/>
      <c r="NQI25" s="2867"/>
      <c r="NQJ25" s="2866"/>
      <c r="NQK25" s="2827"/>
      <c r="NQL25" s="2867"/>
      <c r="NQM25" s="2866"/>
      <c r="NQN25" s="2827"/>
      <c r="NQO25" s="2867"/>
      <c r="NQP25" s="2866"/>
      <c r="NQQ25" s="2827"/>
      <c r="NQR25" s="2867"/>
      <c r="NQS25" s="2866"/>
      <c r="NQT25" s="2827"/>
      <c r="NQU25" s="2867"/>
      <c r="NQV25" s="2866"/>
      <c r="NQW25" s="2827"/>
      <c r="NQX25" s="2867"/>
      <c r="NQY25" s="2866"/>
      <c r="NQZ25" s="2827"/>
      <c r="NRA25" s="2867"/>
      <c r="NRB25" s="2866"/>
      <c r="NRC25" s="2827"/>
      <c r="NRD25" s="2867"/>
      <c r="NRE25" s="2866"/>
      <c r="NRF25" s="2827"/>
      <c r="NRG25" s="2867"/>
      <c r="NRH25" s="2866"/>
      <c r="NRI25" s="2827"/>
      <c r="NRJ25" s="2867"/>
      <c r="NRK25" s="2866"/>
      <c r="NRL25" s="2827"/>
      <c r="NRM25" s="2867"/>
      <c r="NRN25" s="2866"/>
      <c r="NRO25" s="2827"/>
      <c r="NRP25" s="2867"/>
      <c r="NRQ25" s="2866"/>
      <c r="NRR25" s="2827"/>
      <c r="NRS25" s="2867"/>
      <c r="NRT25" s="2866"/>
      <c r="NRU25" s="2827"/>
      <c r="NRV25" s="2867"/>
      <c r="NRW25" s="2866"/>
      <c r="NRX25" s="2827"/>
      <c r="NRY25" s="2867"/>
      <c r="NRZ25" s="2866"/>
      <c r="NSA25" s="2827"/>
      <c r="NSB25" s="2867"/>
      <c r="NSC25" s="2866"/>
      <c r="NSD25" s="2827"/>
      <c r="NSE25" s="2867"/>
      <c r="NSF25" s="2866"/>
      <c r="NSG25" s="2827"/>
      <c r="NSH25" s="2867"/>
      <c r="NSI25" s="2866"/>
      <c r="NSJ25" s="2827"/>
      <c r="NSK25" s="2867"/>
      <c r="NSL25" s="2866"/>
      <c r="NSM25" s="2827"/>
      <c r="NSN25" s="2867"/>
      <c r="NSO25" s="2866"/>
      <c r="NSP25" s="2827"/>
      <c r="NSQ25" s="2867"/>
      <c r="NSR25" s="2866"/>
      <c r="NSS25" s="2827"/>
      <c r="NST25" s="2867"/>
      <c r="NSU25" s="2866"/>
      <c r="NSV25" s="2827"/>
      <c r="NSW25" s="2867"/>
      <c r="NSX25" s="2866"/>
      <c r="NSY25" s="2827"/>
      <c r="NSZ25" s="2867"/>
      <c r="NTA25" s="2866"/>
      <c r="NTB25" s="2827"/>
      <c r="NTC25" s="2867"/>
      <c r="NTD25" s="2866"/>
      <c r="NTE25" s="2827"/>
      <c r="NTF25" s="2867"/>
      <c r="NTG25" s="2866"/>
      <c r="NTH25" s="2827"/>
      <c r="NTI25" s="2867"/>
      <c r="NTJ25" s="2866"/>
      <c r="NTK25" s="2827"/>
      <c r="NTL25" s="2867"/>
      <c r="NTM25" s="2866"/>
      <c r="NTN25" s="2827"/>
      <c r="NTO25" s="2867"/>
      <c r="NTP25" s="2866"/>
      <c r="NTQ25" s="2827"/>
      <c r="NTR25" s="2867"/>
      <c r="NTS25" s="2866"/>
      <c r="NTT25" s="2827"/>
      <c r="NTU25" s="2867"/>
      <c r="NTV25" s="2866"/>
      <c r="NTW25" s="2827"/>
      <c r="NTX25" s="2867"/>
      <c r="NTY25" s="2866"/>
      <c r="NTZ25" s="2827"/>
      <c r="NUA25" s="2867"/>
      <c r="NUB25" s="2866"/>
      <c r="NUC25" s="2827"/>
      <c r="NUD25" s="2867"/>
      <c r="NUE25" s="2866"/>
      <c r="NUF25" s="2827"/>
      <c r="NUG25" s="2867"/>
      <c r="NUH25" s="2866"/>
      <c r="NUI25" s="2827"/>
      <c r="NUJ25" s="2867"/>
      <c r="NUK25" s="2866"/>
      <c r="NUL25" s="2827"/>
      <c r="NUM25" s="2867"/>
      <c r="NUN25" s="2866"/>
      <c r="NUO25" s="2827"/>
      <c r="NUP25" s="2867"/>
      <c r="NUQ25" s="2866"/>
      <c r="NUR25" s="2827"/>
      <c r="NUS25" s="2867"/>
      <c r="NUT25" s="2866"/>
      <c r="NUU25" s="2827"/>
      <c r="NUV25" s="2867"/>
      <c r="NUW25" s="2866"/>
      <c r="NUX25" s="2827"/>
      <c r="NUY25" s="2867"/>
      <c r="NUZ25" s="2866"/>
      <c r="NVA25" s="2827"/>
      <c r="NVB25" s="2867"/>
      <c r="NVC25" s="2866"/>
      <c r="NVD25" s="2827"/>
      <c r="NVE25" s="2867"/>
      <c r="NVF25" s="2866"/>
      <c r="NVG25" s="2827"/>
      <c r="NVH25" s="2867"/>
      <c r="NVI25" s="2866"/>
      <c r="NVJ25" s="2827"/>
      <c r="NVK25" s="2867"/>
      <c r="NVL25" s="2866"/>
      <c r="NVM25" s="2827"/>
      <c r="NVN25" s="2867"/>
      <c r="NVO25" s="2866"/>
      <c r="NVP25" s="2827"/>
      <c r="NVQ25" s="2867"/>
      <c r="NVR25" s="2866"/>
      <c r="NVS25" s="2827"/>
      <c r="NVT25" s="2867"/>
      <c r="NVU25" s="2866"/>
      <c r="NVV25" s="2827"/>
      <c r="NVW25" s="2867"/>
      <c r="NVX25" s="2866"/>
      <c r="NVY25" s="2827"/>
      <c r="NVZ25" s="2867"/>
      <c r="NWA25" s="2866"/>
      <c r="NWB25" s="2827"/>
      <c r="NWC25" s="2867"/>
      <c r="NWD25" s="2866"/>
      <c r="NWE25" s="2827"/>
      <c r="NWF25" s="2867"/>
      <c r="NWG25" s="2866"/>
      <c r="NWH25" s="2827"/>
      <c r="NWI25" s="2867"/>
      <c r="NWJ25" s="2866"/>
      <c r="NWK25" s="2827"/>
      <c r="NWL25" s="2867"/>
      <c r="NWM25" s="2866"/>
      <c r="NWN25" s="2827"/>
      <c r="NWO25" s="2867"/>
      <c r="NWP25" s="2866"/>
      <c r="NWQ25" s="2827"/>
      <c r="NWR25" s="2867"/>
      <c r="NWS25" s="2866"/>
      <c r="NWT25" s="2827"/>
      <c r="NWU25" s="2867"/>
      <c r="NWV25" s="2866"/>
      <c r="NWW25" s="2827"/>
      <c r="NWX25" s="2867"/>
      <c r="NWY25" s="2866"/>
      <c r="NWZ25" s="2827"/>
      <c r="NXA25" s="2867"/>
      <c r="NXB25" s="2866"/>
      <c r="NXC25" s="2827"/>
      <c r="NXD25" s="2867"/>
      <c r="NXE25" s="2866"/>
      <c r="NXF25" s="2827"/>
      <c r="NXG25" s="2867"/>
      <c r="NXH25" s="2866"/>
      <c r="NXI25" s="2827"/>
      <c r="NXJ25" s="2867"/>
      <c r="NXK25" s="2866"/>
      <c r="NXL25" s="2827"/>
      <c r="NXM25" s="2867"/>
      <c r="NXN25" s="2866"/>
      <c r="NXO25" s="2827"/>
      <c r="NXP25" s="2867"/>
      <c r="NXQ25" s="2866"/>
      <c r="NXR25" s="2827"/>
      <c r="NXS25" s="2867"/>
      <c r="NXT25" s="2866"/>
      <c r="NXU25" s="2827"/>
      <c r="NXV25" s="2867"/>
      <c r="NXW25" s="2866"/>
      <c r="NXX25" s="2827"/>
      <c r="NXY25" s="2867"/>
      <c r="NXZ25" s="2866"/>
      <c r="NYA25" s="2827"/>
      <c r="NYB25" s="2867"/>
      <c r="NYC25" s="2866"/>
      <c r="NYD25" s="2827"/>
      <c r="NYE25" s="2867"/>
      <c r="NYF25" s="2866"/>
      <c r="NYG25" s="2827"/>
      <c r="NYH25" s="2867"/>
      <c r="NYI25" s="2866"/>
      <c r="NYJ25" s="2827"/>
      <c r="NYK25" s="2867"/>
      <c r="NYL25" s="2866"/>
      <c r="NYM25" s="2827"/>
      <c r="NYN25" s="2867"/>
      <c r="NYO25" s="2866"/>
      <c r="NYP25" s="2827"/>
      <c r="NYQ25" s="2867"/>
      <c r="NYR25" s="2866"/>
      <c r="NYS25" s="2827"/>
      <c r="NYT25" s="2867"/>
      <c r="NYU25" s="2866"/>
      <c r="NYV25" s="2827"/>
      <c r="NYW25" s="2867"/>
      <c r="NYX25" s="2866"/>
      <c r="NYY25" s="2827"/>
      <c r="NYZ25" s="2867"/>
      <c r="NZA25" s="2866"/>
      <c r="NZB25" s="2827"/>
      <c r="NZC25" s="2867"/>
      <c r="NZD25" s="2866"/>
      <c r="NZE25" s="2827"/>
      <c r="NZF25" s="2867"/>
      <c r="NZG25" s="2866"/>
      <c r="NZH25" s="2827"/>
      <c r="NZI25" s="2867"/>
      <c r="NZJ25" s="2866"/>
      <c r="NZK25" s="2827"/>
      <c r="NZL25" s="2867"/>
      <c r="NZM25" s="2866"/>
      <c r="NZN25" s="2827"/>
      <c r="NZO25" s="2867"/>
      <c r="NZP25" s="2866"/>
      <c r="NZQ25" s="2827"/>
      <c r="NZR25" s="2867"/>
      <c r="NZS25" s="2866"/>
      <c r="NZT25" s="2827"/>
      <c r="NZU25" s="2867"/>
      <c r="NZV25" s="2866"/>
      <c r="NZW25" s="2827"/>
      <c r="NZX25" s="2867"/>
      <c r="NZY25" s="2866"/>
      <c r="NZZ25" s="2827"/>
      <c r="OAA25" s="2867"/>
      <c r="OAB25" s="2866"/>
      <c r="OAC25" s="2827"/>
      <c r="OAD25" s="2867"/>
      <c r="OAE25" s="2866"/>
      <c r="OAF25" s="2827"/>
      <c r="OAG25" s="2867"/>
      <c r="OAH25" s="2866"/>
      <c r="OAI25" s="2827"/>
      <c r="OAJ25" s="2867"/>
      <c r="OAK25" s="2866"/>
      <c r="OAL25" s="2827"/>
      <c r="OAM25" s="2867"/>
      <c r="OAN25" s="2866"/>
      <c r="OAO25" s="2827"/>
      <c r="OAP25" s="2867"/>
      <c r="OAQ25" s="2866"/>
      <c r="OAR25" s="2827"/>
      <c r="OAS25" s="2867"/>
      <c r="OAT25" s="2866"/>
      <c r="OAU25" s="2827"/>
      <c r="OAV25" s="2867"/>
      <c r="OAW25" s="2866"/>
      <c r="OAX25" s="2827"/>
      <c r="OAY25" s="2867"/>
      <c r="OAZ25" s="2866"/>
      <c r="OBA25" s="2827"/>
      <c r="OBB25" s="2867"/>
      <c r="OBC25" s="2866"/>
      <c r="OBD25" s="2827"/>
      <c r="OBE25" s="2867"/>
      <c r="OBF25" s="2866"/>
      <c r="OBG25" s="2827"/>
      <c r="OBH25" s="2867"/>
      <c r="OBI25" s="2866"/>
      <c r="OBJ25" s="2827"/>
      <c r="OBK25" s="2867"/>
      <c r="OBL25" s="2866"/>
      <c r="OBM25" s="2827"/>
      <c r="OBN25" s="2867"/>
      <c r="OBO25" s="2866"/>
      <c r="OBP25" s="2827"/>
      <c r="OBQ25" s="2867"/>
      <c r="OBR25" s="2866"/>
      <c r="OBS25" s="2827"/>
      <c r="OBT25" s="2867"/>
      <c r="OBU25" s="2866"/>
      <c r="OBV25" s="2827"/>
      <c r="OBW25" s="2867"/>
      <c r="OBX25" s="2866"/>
      <c r="OBY25" s="2827"/>
      <c r="OBZ25" s="2867"/>
      <c r="OCA25" s="2866"/>
      <c r="OCB25" s="2827"/>
      <c r="OCC25" s="2867"/>
      <c r="OCD25" s="2866"/>
      <c r="OCE25" s="2827"/>
      <c r="OCF25" s="2867"/>
      <c r="OCG25" s="2866"/>
      <c r="OCH25" s="2827"/>
      <c r="OCI25" s="2867"/>
      <c r="OCJ25" s="2866"/>
      <c r="OCK25" s="2827"/>
      <c r="OCL25" s="2867"/>
      <c r="OCM25" s="2866"/>
      <c r="OCN25" s="2827"/>
      <c r="OCO25" s="2867"/>
      <c r="OCP25" s="2866"/>
      <c r="OCQ25" s="2827"/>
      <c r="OCR25" s="2867"/>
      <c r="OCS25" s="2866"/>
      <c r="OCT25" s="2827"/>
      <c r="OCU25" s="2867"/>
      <c r="OCV25" s="2866"/>
      <c r="OCW25" s="2827"/>
      <c r="OCX25" s="2867"/>
      <c r="OCY25" s="2866"/>
      <c r="OCZ25" s="2827"/>
      <c r="ODA25" s="2867"/>
      <c r="ODB25" s="2866"/>
      <c r="ODC25" s="2827"/>
      <c r="ODD25" s="2867"/>
      <c r="ODE25" s="2866"/>
      <c r="ODF25" s="2827"/>
      <c r="ODG25" s="2867"/>
      <c r="ODH25" s="2866"/>
      <c r="ODI25" s="2827"/>
      <c r="ODJ25" s="2867"/>
      <c r="ODK25" s="2866"/>
      <c r="ODL25" s="2827"/>
      <c r="ODM25" s="2867"/>
      <c r="ODN25" s="2866"/>
      <c r="ODO25" s="2827"/>
      <c r="ODP25" s="2867"/>
      <c r="ODQ25" s="2866"/>
      <c r="ODR25" s="2827"/>
      <c r="ODS25" s="2867"/>
      <c r="ODT25" s="2866"/>
      <c r="ODU25" s="2827"/>
      <c r="ODV25" s="2867"/>
      <c r="ODW25" s="2866"/>
      <c r="ODX25" s="2827"/>
      <c r="ODY25" s="2867"/>
      <c r="ODZ25" s="2866"/>
      <c r="OEA25" s="2827"/>
      <c r="OEB25" s="2867"/>
      <c r="OEC25" s="2866"/>
      <c r="OED25" s="2827"/>
      <c r="OEE25" s="2867"/>
      <c r="OEF25" s="2866"/>
      <c r="OEG25" s="2827"/>
      <c r="OEH25" s="2867"/>
      <c r="OEI25" s="2866"/>
      <c r="OEJ25" s="2827"/>
      <c r="OEK25" s="2867"/>
      <c r="OEL25" s="2866"/>
      <c r="OEM25" s="2827"/>
      <c r="OEN25" s="2867"/>
      <c r="OEO25" s="2866"/>
      <c r="OEP25" s="2827"/>
      <c r="OEQ25" s="2867"/>
      <c r="OER25" s="2866"/>
      <c r="OES25" s="2827"/>
      <c r="OET25" s="2867"/>
      <c r="OEU25" s="2866"/>
      <c r="OEV25" s="2827"/>
      <c r="OEW25" s="2867"/>
      <c r="OEX25" s="2866"/>
      <c r="OEY25" s="2827"/>
      <c r="OEZ25" s="2867"/>
      <c r="OFA25" s="2866"/>
      <c r="OFB25" s="2827"/>
      <c r="OFC25" s="2867"/>
      <c r="OFD25" s="2866"/>
      <c r="OFE25" s="2827"/>
      <c r="OFF25" s="2867"/>
      <c r="OFG25" s="2866"/>
      <c r="OFH25" s="2827"/>
      <c r="OFI25" s="2867"/>
      <c r="OFJ25" s="2866"/>
      <c r="OFK25" s="2827"/>
      <c r="OFL25" s="2867"/>
      <c r="OFM25" s="2866"/>
      <c r="OFN25" s="2827"/>
      <c r="OFO25" s="2867"/>
      <c r="OFP25" s="2866"/>
      <c r="OFQ25" s="2827"/>
      <c r="OFR25" s="2867"/>
      <c r="OFS25" s="2866"/>
      <c r="OFT25" s="2827"/>
      <c r="OFU25" s="2867"/>
      <c r="OFV25" s="2866"/>
      <c r="OFW25" s="2827"/>
      <c r="OFX25" s="2867"/>
      <c r="OFY25" s="2866"/>
      <c r="OFZ25" s="2827"/>
      <c r="OGA25" s="2867"/>
      <c r="OGB25" s="2866"/>
      <c r="OGC25" s="2827"/>
      <c r="OGD25" s="2867"/>
      <c r="OGE25" s="2866"/>
      <c r="OGF25" s="2827"/>
      <c r="OGG25" s="2867"/>
      <c r="OGH25" s="2866"/>
      <c r="OGI25" s="2827"/>
      <c r="OGJ25" s="2867"/>
      <c r="OGK25" s="2866"/>
      <c r="OGL25" s="2827"/>
      <c r="OGM25" s="2867"/>
      <c r="OGN25" s="2866"/>
      <c r="OGO25" s="2827"/>
      <c r="OGP25" s="2867"/>
      <c r="OGQ25" s="2866"/>
      <c r="OGR25" s="2827"/>
      <c r="OGS25" s="2867"/>
      <c r="OGT25" s="2866"/>
      <c r="OGU25" s="2827"/>
      <c r="OGV25" s="2867"/>
      <c r="OGW25" s="2866"/>
      <c r="OGX25" s="2827"/>
      <c r="OGY25" s="2867"/>
      <c r="OGZ25" s="2866"/>
      <c r="OHA25" s="2827"/>
      <c r="OHB25" s="2867"/>
      <c r="OHC25" s="2866"/>
      <c r="OHD25" s="2827"/>
      <c r="OHE25" s="2867"/>
      <c r="OHF25" s="2866"/>
      <c r="OHG25" s="2827"/>
      <c r="OHH25" s="2867"/>
      <c r="OHI25" s="2866"/>
      <c r="OHJ25" s="2827"/>
      <c r="OHK25" s="2867"/>
      <c r="OHL25" s="2866"/>
      <c r="OHM25" s="2827"/>
      <c r="OHN25" s="2867"/>
      <c r="OHO25" s="2866"/>
      <c r="OHP25" s="2827"/>
      <c r="OHQ25" s="2867"/>
      <c r="OHR25" s="2866"/>
      <c r="OHS25" s="2827"/>
      <c r="OHT25" s="2867"/>
      <c r="OHU25" s="2866"/>
      <c r="OHV25" s="2827"/>
      <c r="OHW25" s="2867"/>
      <c r="OHX25" s="2866"/>
      <c r="OHY25" s="2827"/>
      <c r="OHZ25" s="2867"/>
      <c r="OIA25" s="2866"/>
      <c r="OIB25" s="2827"/>
      <c r="OIC25" s="2867"/>
      <c r="OID25" s="2866"/>
      <c r="OIE25" s="2827"/>
      <c r="OIF25" s="2867"/>
      <c r="OIG25" s="2866"/>
      <c r="OIH25" s="2827"/>
      <c r="OII25" s="2867"/>
      <c r="OIJ25" s="2866"/>
      <c r="OIK25" s="2827"/>
      <c r="OIL25" s="2867"/>
      <c r="OIM25" s="2866"/>
      <c r="OIN25" s="2827"/>
      <c r="OIO25" s="2867"/>
      <c r="OIP25" s="2866"/>
      <c r="OIQ25" s="2827"/>
      <c r="OIR25" s="2867"/>
      <c r="OIS25" s="2866"/>
      <c r="OIT25" s="2827"/>
      <c r="OIU25" s="2867"/>
      <c r="OIV25" s="2866"/>
      <c r="OIW25" s="2827"/>
      <c r="OIX25" s="2867"/>
      <c r="OIY25" s="2866"/>
      <c r="OIZ25" s="2827"/>
      <c r="OJA25" s="2867"/>
      <c r="OJB25" s="2866"/>
      <c r="OJC25" s="2827"/>
      <c r="OJD25" s="2867"/>
      <c r="OJE25" s="2866"/>
      <c r="OJF25" s="2827"/>
      <c r="OJG25" s="2867"/>
      <c r="OJH25" s="2866"/>
      <c r="OJI25" s="2827"/>
      <c r="OJJ25" s="2867"/>
      <c r="OJK25" s="2866"/>
      <c r="OJL25" s="2827"/>
      <c r="OJM25" s="2867"/>
      <c r="OJN25" s="2866"/>
      <c r="OJO25" s="2827"/>
      <c r="OJP25" s="2867"/>
      <c r="OJQ25" s="2866"/>
      <c r="OJR25" s="2827"/>
      <c r="OJS25" s="2867"/>
      <c r="OJT25" s="2866"/>
      <c r="OJU25" s="2827"/>
      <c r="OJV25" s="2867"/>
      <c r="OJW25" s="2866"/>
      <c r="OJX25" s="2827"/>
      <c r="OJY25" s="2867"/>
      <c r="OJZ25" s="2866"/>
      <c r="OKA25" s="2827"/>
      <c r="OKB25" s="2867"/>
      <c r="OKC25" s="2866"/>
      <c r="OKD25" s="2827"/>
      <c r="OKE25" s="2867"/>
      <c r="OKF25" s="2866"/>
      <c r="OKG25" s="2827"/>
      <c r="OKH25" s="2867"/>
      <c r="OKI25" s="2866"/>
      <c r="OKJ25" s="2827"/>
      <c r="OKK25" s="2867"/>
      <c r="OKL25" s="2866"/>
      <c r="OKM25" s="2827"/>
      <c r="OKN25" s="2867"/>
      <c r="OKO25" s="2866"/>
      <c r="OKP25" s="2827"/>
      <c r="OKQ25" s="2867"/>
      <c r="OKR25" s="2866"/>
      <c r="OKS25" s="2827"/>
      <c r="OKT25" s="2867"/>
      <c r="OKU25" s="2866"/>
      <c r="OKV25" s="2827"/>
      <c r="OKW25" s="2867"/>
      <c r="OKX25" s="2866"/>
      <c r="OKY25" s="2827"/>
      <c r="OKZ25" s="2867"/>
      <c r="OLA25" s="2866"/>
      <c r="OLB25" s="2827"/>
      <c r="OLC25" s="2867"/>
      <c r="OLD25" s="2866"/>
      <c r="OLE25" s="2827"/>
      <c r="OLF25" s="2867"/>
      <c r="OLG25" s="2866"/>
      <c r="OLH25" s="2827"/>
      <c r="OLI25" s="2867"/>
      <c r="OLJ25" s="2866"/>
      <c r="OLK25" s="2827"/>
      <c r="OLL25" s="2867"/>
      <c r="OLM25" s="2866"/>
      <c r="OLN25" s="2827"/>
      <c r="OLO25" s="2867"/>
      <c r="OLP25" s="2866"/>
      <c r="OLQ25" s="2827"/>
      <c r="OLR25" s="2867"/>
      <c r="OLS25" s="2866"/>
      <c r="OLT25" s="2827"/>
      <c r="OLU25" s="2867"/>
      <c r="OLV25" s="2866"/>
      <c r="OLW25" s="2827"/>
      <c r="OLX25" s="2867"/>
      <c r="OLY25" s="2866"/>
      <c r="OLZ25" s="2827"/>
      <c r="OMA25" s="2867"/>
      <c r="OMB25" s="2866"/>
      <c r="OMC25" s="2827"/>
      <c r="OMD25" s="2867"/>
      <c r="OME25" s="2866"/>
      <c r="OMF25" s="2827"/>
      <c r="OMG25" s="2867"/>
      <c r="OMH25" s="2866"/>
      <c r="OMI25" s="2827"/>
      <c r="OMJ25" s="2867"/>
      <c r="OMK25" s="2866"/>
      <c r="OML25" s="2827"/>
      <c r="OMM25" s="2867"/>
      <c r="OMN25" s="2866"/>
      <c r="OMO25" s="2827"/>
      <c r="OMP25" s="2867"/>
      <c r="OMQ25" s="2866"/>
      <c r="OMR25" s="2827"/>
      <c r="OMS25" s="2867"/>
      <c r="OMT25" s="2866"/>
      <c r="OMU25" s="2827"/>
      <c r="OMV25" s="2867"/>
      <c r="OMW25" s="2866"/>
      <c r="OMX25" s="2827"/>
      <c r="OMY25" s="2867"/>
      <c r="OMZ25" s="2866"/>
      <c r="ONA25" s="2827"/>
      <c r="ONB25" s="2867"/>
      <c r="ONC25" s="2866"/>
      <c r="OND25" s="2827"/>
      <c r="ONE25" s="2867"/>
      <c r="ONF25" s="2866"/>
      <c r="ONG25" s="2827"/>
      <c r="ONH25" s="2867"/>
      <c r="ONI25" s="2866"/>
      <c r="ONJ25" s="2827"/>
      <c r="ONK25" s="2867"/>
      <c r="ONL25" s="2866"/>
      <c r="ONM25" s="2827"/>
      <c r="ONN25" s="2867"/>
      <c r="ONO25" s="2866"/>
      <c r="ONP25" s="2827"/>
      <c r="ONQ25" s="2867"/>
      <c r="ONR25" s="2866"/>
      <c r="ONS25" s="2827"/>
      <c r="ONT25" s="2867"/>
      <c r="ONU25" s="2866"/>
      <c r="ONV25" s="2827"/>
      <c r="ONW25" s="2867"/>
      <c r="ONX25" s="2866"/>
      <c r="ONY25" s="2827"/>
      <c r="ONZ25" s="2867"/>
      <c r="OOA25" s="2866"/>
      <c r="OOB25" s="2827"/>
      <c r="OOC25" s="2867"/>
      <c r="OOD25" s="2866"/>
      <c r="OOE25" s="2827"/>
      <c r="OOF25" s="2867"/>
      <c r="OOG25" s="2866"/>
      <c r="OOH25" s="2827"/>
      <c r="OOI25" s="2867"/>
      <c r="OOJ25" s="2866"/>
      <c r="OOK25" s="2827"/>
      <c r="OOL25" s="2867"/>
      <c r="OOM25" s="2866"/>
      <c r="OON25" s="2827"/>
      <c r="OOO25" s="2867"/>
      <c r="OOP25" s="2866"/>
      <c r="OOQ25" s="2827"/>
      <c r="OOR25" s="2867"/>
      <c r="OOS25" s="2866"/>
      <c r="OOT25" s="2827"/>
      <c r="OOU25" s="2867"/>
      <c r="OOV25" s="2866"/>
      <c r="OOW25" s="2827"/>
      <c r="OOX25" s="2867"/>
      <c r="OOY25" s="2866"/>
      <c r="OOZ25" s="2827"/>
      <c r="OPA25" s="2867"/>
      <c r="OPB25" s="2866"/>
      <c r="OPC25" s="2827"/>
      <c r="OPD25" s="2867"/>
      <c r="OPE25" s="2866"/>
      <c r="OPF25" s="2827"/>
      <c r="OPG25" s="2867"/>
      <c r="OPH25" s="2866"/>
      <c r="OPI25" s="2827"/>
      <c r="OPJ25" s="2867"/>
      <c r="OPK25" s="2866"/>
      <c r="OPL25" s="2827"/>
      <c r="OPM25" s="2867"/>
      <c r="OPN25" s="2866"/>
      <c r="OPO25" s="2827"/>
      <c r="OPP25" s="2867"/>
      <c r="OPQ25" s="2866"/>
      <c r="OPR25" s="2827"/>
      <c r="OPS25" s="2867"/>
      <c r="OPT25" s="2866"/>
      <c r="OPU25" s="2827"/>
      <c r="OPV25" s="2867"/>
      <c r="OPW25" s="2866"/>
      <c r="OPX25" s="2827"/>
      <c r="OPY25" s="2867"/>
      <c r="OPZ25" s="2866"/>
      <c r="OQA25" s="2827"/>
      <c r="OQB25" s="2867"/>
      <c r="OQC25" s="2866"/>
      <c r="OQD25" s="2827"/>
      <c r="OQE25" s="2867"/>
      <c r="OQF25" s="2866"/>
      <c r="OQG25" s="2827"/>
      <c r="OQH25" s="2867"/>
      <c r="OQI25" s="2866"/>
      <c r="OQJ25" s="2827"/>
      <c r="OQK25" s="2867"/>
      <c r="OQL25" s="2866"/>
      <c r="OQM25" s="2827"/>
      <c r="OQN25" s="2867"/>
      <c r="OQO25" s="2866"/>
      <c r="OQP25" s="2827"/>
      <c r="OQQ25" s="2867"/>
      <c r="OQR25" s="2866"/>
      <c r="OQS25" s="2827"/>
      <c r="OQT25" s="2867"/>
      <c r="OQU25" s="2866"/>
      <c r="OQV25" s="2827"/>
      <c r="OQW25" s="2867"/>
      <c r="OQX25" s="2866"/>
      <c r="OQY25" s="2827"/>
      <c r="OQZ25" s="2867"/>
      <c r="ORA25" s="2866"/>
      <c r="ORB25" s="2827"/>
      <c r="ORC25" s="2867"/>
      <c r="ORD25" s="2866"/>
      <c r="ORE25" s="2827"/>
      <c r="ORF25" s="2867"/>
      <c r="ORG25" s="2866"/>
      <c r="ORH25" s="2827"/>
      <c r="ORI25" s="2867"/>
      <c r="ORJ25" s="2866"/>
      <c r="ORK25" s="2827"/>
      <c r="ORL25" s="2867"/>
      <c r="ORM25" s="2866"/>
      <c r="ORN25" s="2827"/>
      <c r="ORO25" s="2867"/>
      <c r="ORP25" s="2866"/>
      <c r="ORQ25" s="2827"/>
      <c r="ORR25" s="2867"/>
      <c r="ORS25" s="2866"/>
      <c r="ORT25" s="2827"/>
      <c r="ORU25" s="2867"/>
      <c r="ORV25" s="2866"/>
      <c r="ORW25" s="2827"/>
      <c r="ORX25" s="2867"/>
      <c r="ORY25" s="2866"/>
      <c r="ORZ25" s="2827"/>
      <c r="OSA25" s="2867"/>
      <c r="OSB25" s="2866"/>
      <c r="OSC25" s="2827"/>
      <c r="OSD25" s="2867"/>
      <c r="OSE25" s="2866"/>
      <c r="OSF25" s="2827"/>
      <c r="OSG25" s="2867"/>
      <c r="OSH25" s="2866"/>
      <c r="OSI25" s="2827"/>
      <c r="OSJ25" s="2867"/>
      <c r="OSK25" s="2866"/>
      <c r="OSL25" s="2827"/>
      <c r="OSM25" s="2867"/>
      <c r="OSN25" s="2866"/>
      <c r="OSO25" s="2827"/>
      <c r="OSP25" s="2867"/>
      <c r="OSQ25" s="2866"/>
      <c r="OSR25" s="2827"/>
      <c r="OSS25" s="2867"/>
      <c r="OST25" s="2866"/>
      <c r="OSU25" s="2827"/>
      <c r="OSV25" s="2867"/>
      <c r="OSW25" s="2866"/>
      <c r="OSX25" s="2827"/>
      <c r="OSY25" s="2867"/>
      <c r="OSZ25" s="2866"/>
      <c r="OTA25" s="2827"/>
      <c r="OTB25" s="2867"/>
      <c r="OTC25" s="2866"/>
      <c r="OTD25" s="2827"/>
      <c r="OTE25" s="2867"/>
      <c r="OTF25" s="2866"/>
      <c r="OTG25" s="2827"/>
      <c r="OTH25" s="2867"/>
      <c r="OTI25" s="2866"/>
      <c r="OTJ25" s="2827"/>
      <c r="OTK25" s="2867"/>
      <c r="OTL25" s="2866"/>
      <c r="OTM25" s="2827"/>
      <c r="OTN25" s="2867"/>
      <c r="OTO25" s="2866"/>
      <c r="OTP25" s="2827"/>
      <c r="OTQ25" s="2867"/>
      <c r="OTR25" s="2866"/>
      <c r="OTS25" s="2827"/>
      <c r="OTT25" s="2867"/>
      <c r="OTU25" s="2866"/>
      <c r="OTV25" s="2827"/>
      <c r="OTW25" s="2867"/>
      <c r="OTX25" s="2866"/>
      <c r="OTY25" s="2827"/>
      <c r="OTZ25" s="2867"/>
      <c r="OUA25" s="2866"/>
      <c r="OUB25" s="2827"/>
      <c r="OUC25" s="2867"/>
      <c r="OUD25" s="2866"/>
      <c r="OUE25" s="2827"/>
      <c r="OUF25" s="2867"/>
      <c r="OUG25" s="2866"/>
      <c r="OUH25" s="2827"/>
      <c r="OUI25" s="2867"/>
      <c r="OUJ25" s="2866"/>
      <c r="OUK25" s="2827"/>
      <c r="OUL25" s="2867"/>
      <c r="OUM25" s="2866"/>
      <c r="OUN25" s="2827"/>
      <c r="OUO25" s="2867"/>
      <c r="OUP25" s="2866"/>
      <c r="OUQ25" s="2827"/>
      <c r="OUR25" s="2867"/>
      <c r="OUS25" s="2866"/>
      <c r="OUT25" s="2827"/>
      <c r="OUU25" s="2867"/>
      <c r="OUV25" s="2866"/>
      <c r="OUW25" s="2827"/>
      <c r="OUX25" s="2867"/>
      <c r="OUY25" s="2866"/>
      <c r="OUZ25" s="2827"/>
      <c r="OVA25" s="2867"/>
      <c r="OVB25" s="2866"/>
      <c r="OVC25" s="2827"/>
      <c r="OVD25" s="2867"/>
      <c r="OVE25" s="2866"/>
      <c r="OVF25" s="2827"/>
      <c r="OVG25" s="2867"/>
      <c r="OVH25" s="2866"/>
      <c r="OVI25" s="2827"/>
      <c r="OVJ25" s="2867"/>
      <c r="OVK25" s="2866"/>
      <c r="OVL25" s="2827"/>
      <c r="OVM25" s="2867"/>
      <c r="OVN25" s="2866"/>
      <c r="OVO25" s="2827"/>
      <c r="OVP25" s="2867"/>
      <c r="OVQ25" s="2866"/>
      <c r="OVR25" s="2827"/>
      <c r="OVS25" s="2867"/>
      <c r="OVT25" s="2866"/>
      <c r="OVU25" s="2827"/>
      <c r="OVV25" s="2867"/>
      <c r="OVW25" s="2866"/>
      <c r="OVX25" s="2827"/>
      <c r="OVY25" s="2867"/>
      <c r="OVZ25" s="2866"/>
      <c r="OWA25" s="2827"/>
      <c r="OWB25" s="2867"/>
      <c r="OWC25" s="2866"/>
      <c r="OWD25" s="2827"/>
      <c r="OWE25" s="2867"/>
      <c r="OWF25" s="2866"/>
      <c r="OWG25" s="2827"/>
      <c r="OWH25" s="2867"/>
      <c r="OWI25" s="2866"/>
      <c r="OWJ25" s="2827"/>
      <c r="OWK25" s="2867"/>
      <c r="OWL25" s="2866"/>
      <c r="OWM25" s="2827"/>
      <c r="OWN25" s="2867"/>
      <c r="OWO25" s="2866"/>
      <c r="OWP25" s="2827"/>
      <c r="OWQ25" s="2867"/>
      <c r="OWR25" s="2866"/>
      <c r="OWS25" s="2827"/>
      <c r="OWT25" s="2867"/>
      <c r="OWU25" s="2866"/>
      <c r="OWV25" s="2827"/>
      <c r="OWW25" s="2867"/>
      <c r="OWX25" s="2866"/>
      <c r="OWY25" s="2827"/>
      <c r="OWZ25" s="2867"/>
      <c r="OXA25" s="2866"/>
      <c r="OXB25" s="2827"/>
      <c r="OXC25" s="2867"/>
      <c r="OXD25" s="2866"/>
      <c r="OXE25" s="2827"/>
      <c r="OXF25" s="2867"/>
      <c r="OXG25" s="2866"/>
      <c r="OXH25" s="2827"/>
      <c r="OXI25" s="2867"/>
      <c r="OXJ25" s="2866"/>
      <c r="OXK25" s="2827"/>
      <c r="OXL25" s="2867"/>
      <c r="OXM25" s="2866"/>
      <c r="OXN25" s="2827"/>
      <c r="OXO25" s="2867"/>
      <c r="OXP25" s="2866"/>
      <c r="OXQ25" s="2827"/>
      <c r="OXR25" s="2867"/>
      <c r="OXS25" s="2866"/>
      <c r="OXT25" s="2827"/>
      <c r="OXU25" s="2867"/>
      <c r="OXV25" s="2866"/>
      <c r="OXW25" s="2827"/>
      <c r="OXX25" s="2867"/>
      <c r="OXY25" s="2866"/>
      <c r="OXZ25" s="2827"/>
      <c r="OYA25" s="2867"/>
      <c r="OYB25" s="2866"/>
      <c r="OYC25" s="2827"/>
      <c r="OYD25" s="2867"/>
      <c r="OYE25" s="2866"/>
      <c r="OYF25" s="2827"/>
      <c r="OYG25" s="2867"/>
      <c r="OYH25" s="2866"/>
      <c r="OYI25" s="2827"/>
      <c r="OYJ25" s="2867"/>
      <c r="OYK25" s="2866"/>
      <c r="OYL25" s="2827"/>
      <c r="OYM25" s="2867"/>
      <c r="OYN25" s="2866"/>
      <c r="OYO25" s="2827"/>
      <c r="OYP25" s="2867"/>
      <c r="OYQ25" s="2866"/>
      <c r="OYR25" s="2827"/>
      <c r="OYS25" s="2867"/>
      <c r="OYT25" s="2866"/>
      <c r="OYU25" s="2827"/>
      <c r="OYV25" s="2867"/>
      <c r="OYW25" s="2866"/>
      <c r="OYX25" s="2827"/>
      <c r="OYY25" s="2867"/>
      <c r="OYZ25" s="2866"/>
      <c r="OZA25" s="2827"/>
      <c r="OZB25" s="2867"/>
      <c r="OZC25" s="2866"/>
      <c r="OZD25" s="2827"/>
      <c r="OZE25" s="2867"/>
      <c r="OZF25" s="2866"/>
      <c r="OZG25" s="2827"/>
      <c r="OZH25" s="2867"/>
      <c r="OZI25" s="2866"/>
      <c r="OZJ25" s="2827"/>
      <c r="OZK25" s="2867"/>
      <c r="OZL25" s="2866"/>
      <c r="OZM25" s="2827"/>
      <c r="OZN25" s="2867"/>
      <c r="OZO25" s="2866"/>
      <c r="OZP25" s="2827"/>
      <c r="OZQ25" s="2867"/>
      <c r="OZR25" s="2866"/>
      <c r="OZS25" s="2827"/>
      <c r="OZT25" s="2867"/>
      <c r="OZU25" s="2866"/>
      <c r="OZV25" s="2827"/>
      <c r="OZW25" s="2867"/>
      <c r="OZX25" s="2866"/>
      <c r="OZY25" s="2827"/>
      <c r="OZZ25" s="2867"/>
      <c r="PAA25" s="2866"/>
      <c r="PAB25" s="2827"/>
      <c r="PAC25" s="2867"/>
      <c r="PAD25" s="2866"/>
      <c r="PAE25" s="2827"/>
      <c r="PAF25" s="2867"/>
      <c r="PAG25" s="2866"/>
      <c r="PAH25" s="2827"/>
      <c r="PAI25" s="2867"/>
      <c r="PAJ25" s="2866"/>
      <c r="PAK25" s="2827"/>
      <c r="PAL25" s="2867"/>
      <c r="PAM25" s="2866"/>
      <c r="PAN25" s="2827"/>
      <c r="PAO25" s="2867"/>
      <c r="PAP25" s="2866"/>
      <c r="PAQ25" s="2827"/>
      <c r="PAR25" s="2867"/>
      <c r="PAS25" s="2866"/>
      <c r="PAT25" s="2827"/>
      <c r="PAU25" s="2867"/>
      <c r="PAV25" s="2866"/>
      <c r="PAW25" s="2827"/>
      <c r="PAX25" s="2867"/>
      <c r="PAY25" s="2866"/>
      <c r="PAZ25" s="2827"/>
      <c r="PBA25" s="2867"/>
      <c r="PBB25" s="2866"/>
      <c r="PBC25" s="2827"/>
      <c r="PBD25" s="2867"/>
      <c r="PBE25" s="2866"/>
      <c r="PBF25" s="2827"/>
      <c r="PBG25" s="2867"/>
      <c r="PBH25" s="2866"/>
      <c r="PBI25" s="2827"/>
      <c r="PBJ25" s="2867"/>
      <c r="PBK25" s="2866"/>
      <c r="PBL25" s="2827"/>
      <c r="PBM25" s="2867"/>
      <c r="PBN25" s="2866"/>
      <c r="PBO25" s="2827"/>
      <c r="PBP25" s="2867"/>
      <c r="PBQ25" s="2866"/>
      <c r="PBR25" s="2827"/>
      <c r="PBS25" s="2867"/>
      <c r="PBT25" s="2866"/>
      <c r="PBU25" s="2827"/>
      <c r="PBV25" s="2867"/>
      <c r="PBW25" s="2866"/>
      <c r="PBX25" s="2827"/>
      <c r="PBY25" s="2867"/>
      <c r="PBZ25" s="2866"/>
      <c r="PCA25" s="2827"/>
      <c r="PCB25" s="2867"/>
      <c r="PCC25" s="2866"/>
      <c r="PCD25" s="2827"/>
      <c r="PCE25" s="2867"/>
      <c r="PCF25" s="2866"/>
      <c r="PCG25" s="2827"/>
      <c r="PCH25" s="2867"/>
      <c r="PCI25" s="2866"/>
      <c r="PCJ25" s="2827"/>
      <c r="PCK25" s="2867"/>
      <c r="PCL25" s="2866"/>
      <c r="PCM25" s="2827"/>
      <c r="PCN25" s="2867"/>
      <c r="PCO25" s="2866"/>
      <c r="PCP25" s="2827"/>
      <c r="PCQ25" s="2867"/>
      <c r="PCR25" s="2866"/>
      <c r="PCS25" s="2827"/>
      <c r="PCT25" s="2867"/>
      <c r="PCU25" s="2866"/>
      <c r="PCV25" s="2827"/>
      <c r="PCW25" s="2867"/>
      <c r="PCX25" s="2866"/>
      <c r="PCY25" s="2827"/>
      <c r="PCZ25" s="2867"/>
      <c r="PDA25" s="2866"/>
      <c r="PDB25" s="2827"/>
      <c r="PDC25" s="2867"/>
      <c r="PDD25" s="2866"/>
      <c r="PDE25" s="2827"/>
      <c r="PDF25" s="2867"/>
      <c r="PDG25" s="2866"/>
      <c r="PDH25" s="2827"/>
      <c r="PDI25" s="2867"/>
      <c r="PDJ25" s="2866"/>
      <c r="PDK25" s="2827"/>
      <c r="PDL25" s="2867"/>
      <c r="PDM25" s="2866"/>
      <c r="PDN25" s="2827"/>
      <c r="PDO25" s="2867"/>
      <c r="PDP25" s="2866"/>
      <c r="PDQ25" s="2827"/>
      <c r="PDR25" s="2867"/>
      <c r="PDS25" s="2866"/>
      <c r="PDT25" s="2827"/>
      <c r="PDU25" s="2867"/>
      <c r="PDV25" s="2866"/>
      <c r="PDW25" s="2827"/>
      <c r="PDX25" s="2867"/>
      <c r="PDY25" s="2866"/>
      <c r="PDZ25" s="2827"/>
      <c r="PEA25" s="2867"/>
      <c r="PEB25" s="2866"/>
      <c r="PEC25" s="2827"/>
      <c r="PED25" s="2867"/>
      <c r="PEE25" s="2866"/>
      <c r="PEF25" s="2827"/>
      <c r="PEG25" s="2867"/>
      <c r="PEH25" s="2866"/>
      <c r="PEI25" s="2827"/>
      <c r="PEJ25" s="2867"/>
      <c r="PEK25" s="2866"/>
      <c r="PEL25" s="2827"/>
      <c r="PEM25" s="2867"/>
      <c r="PEN25" s="2866"/>
      <c r="PEO25" s="2827"/>
      <c r="PEP25" s="2867"/>
      <c r="PEQ25" s="2866"/>
      <c r="PER25" s="2827"/>
      <c r="PES25" s="2867"/>
      <c r="PET25" s="2866"/>
      <c r="PEU25" s="2827"/>
      <c r="PEV25" s="2867"/>
      <c r="PEW25" s="2866"/>
      <c r="PEX25" s="2827"/>
      <c r="PEY25" s="2867"/>
      <c r="PEZ25" s="2866"/>
      <c r="PFA25" s="2827"/>
      <c r="PFB25" s="2867"/>
      <c r="PFC25" s="2866"/>
      <c r="PFD25" s="2827"/>
      <c r="PFE25" s="2867"/>
      <c r="PFF25" s="2866"/>
      <c r="PFG25" s="2827"/>
      <c r="PFH25" s="2867"/>
      <c r="PFI25" s="2866"/>
      <c r="PFJ25" s="2827"/>
      <c r="PFK25" s="2867"/>
      <c r="PFL25" s="2866"/>
      <c r="PFM25" s="2827"/>
      <c r="PFN25" s="2867"/>
      <c r="PFO25" s="2866"/>
      <c r="PFP25" s="2827"/>
      <c r="PFQ25" s="2867"/>
      <c r="PFR25" s="2866"/>
      <c r="PFS25" s="2827"/>
      <c r="PFT25" s="2867"/>
      <c r="PFU25" s="2866"/>
      <c r="PFV25" s="2827"/>
      <c r="PFW25" s="2867"/>
      <c r="PFX25" s="2866"/>
      <c r="PFY25" s="2827"/>
      <c r="PFZ25" s="2867"/>
      <c r="PGA25" s="2866"/>
      <c r="PGB25" s="2827"/>
      <c r="PGC25" s="2867"/>
      <c r="PGD25" s="2866"/>
      <c r="PGE25" s="2827"/>
      <c r="PGF25" s="2867"/>
      <c r="PGG25" s="2866"/>
      <c r="PGH25" s="2827"/>
      <c r="PGI25" s="2867"/>
      <c r="PGJ25" s="2866"/>
      <c r="PGK25" s="2827"/>
      <c r="PGL25" s="2867"/>
      <c r="PGM25" s="2866"/>
      <c r="PGN25" s="2827"/>
      <c r="PGO25" s="2867"/>
      <c r="PGP25" s="2866"/>
      <c r="PGQ25" s="2827"/>
      <c r="PGR25" s="2867"/>
      <c r="PGS25" s="2866"/>
      <c r="PGT25" s="2827"/>
      <c r="PGU25" s="2867"/>
      <c r="PGV25" s="2866"/>
      <c r="PGW25" s="2827"/>
      <c r="PGX25" s="2867"/>
      <c r="PGY25" s="2866"/>
      <c r="PGZ25" s="2827"/>
      <c r="PHA25" s="2867"/>
      <c r="PHB25" s="2866"/>
      <c r="PHC25" s="2827"/>
      <c r="PHD25" s="2867"/>
      <c r="PHE25" s="2866"/>
      <c r="PHF25" s="2827"/>
      <c r="PHG25" s="2867"/>
      <c r="PHH25" s="2866"/>
      <c r="PHI25" s="2827"/>
      <c r="PHJ25" s="2867"/>
      <c r="PHK25" s="2866"/>
      <c r="PHL25" s="2827"/>
      <c r="PHM25" s="2867"/>
      <c r="PHN25" s="2866"/>
      <c r="PHO25" s="2827"/>
      <c r="PHP25" s="2867"/>
      <c r="PHQ25" s="2866"/>
      <c r="PHR25" s="2827"/>
      <c r="PHS25" s="2867"/>
      <c r="PHT25" s="2866"/>
      <c r="PHU25" s="2827"/>
      <c r="PHV25" s="2867"/>
      <c r="PHW25" s="2866"/>
      <c r="PHX25" s="2827"/>
      <c r="PHY25" s="2867"/>
      <c r="PHZ25" s="2866"/>
      <c r="PIA25" s="2827"/>
      <c r="PIB25" s="2867"/>
      <c r="PIC25" s="2866"/>
      <c r="PID25" s="2827"/>
      <c r="PIE25" s="2867"/>
      <c r="PIF25" s="2866"/>
      <c r="PIG25" s="2827"/>
      <c r="PIH25" s="2867"/>
      <c r="PII25" s="2866"/>
      <c r="PIJ25" s="2827"/>
      <c r="PIK25" s="2867"/>
      <c r="PIL25" s="2866"/>
      <c r="PIM25" s="2827"/>
      <c r="PIN25" s="2867"/>
      <c r="PIO25" s="2866"/>
      <c r="PIP25" s="2827"/>
      <c r="PIQ25" s="2867"/>
      <c r="PIR25" s="2866"/>
      <c r="PIS25" s="2827"/>
      <c r="PIT25" s="2867"/>
      <c r="PIU25" s="2866"/>
      <c r="PIV25" s="2827"/>
      <c r="PIW25" s="2867"/>
      <c r="PIX25" s="2866"/>
      <c r="PIY25" s="2827"/>
      <c r="PIZ25" s="2867"/>
      <c r="PJA25" s="2866"/>
      <c r="PJB25" s="2827"/>
      <c r="PJC25" s="2867"/>
      <c r="PJD25" s="2866"/>
      <c r="PJE25" s="2827"/>
      <c r="PJF25" s="2867"/>
      <c r="PJG25" s="2866"/>
      <c r="PJH25" s="2827"/>
      <c r="PJI25" s="2867"/>
      <c r="PJJ25" s="2866"/>
      <c r="PJK25" s="2827"/>
      <c r="PJL25" s="2867"/>
      <c r="PJM25" s="2866"/>
      <c r="PJN25" s="2827"/>
      <c r="PJO25" s="2867"/>
      <c r="PJP25" s="2866"/>
      <c r="PJQ25" s="2827"/>
      <c r="PJR25" s="2867"/>
      <c r="PJS25" s="2866"/>
      <c r="PJT25" s="2827"/>
      <c r="PJU25" s="2867"/>
      <c r="PJV25" s="2866"/>
      <c r="PJW25" s="2827"/>
      <c r="PJX25" s="2867"/>
      <c r="PJY25" s="2866"/>
      <c r="PJZ25" s="2827"/>
      <c r="PKA25" s="2867"/>
      <c r="PKB25" s="2866"/>
      <c r="PKC25" s="2827"/>
      <c r="PKD25" s="2867"/>
      <c r="PKE25" s="2866"/>
      <c r="PKF25" s="2827"/>
      <c r="PKG25" s="2867"/>
      <c r="PKH25" s="2866"/>
      <c r="PKI25" s="2827"/>
      <c r="PKJ25" s="2867"/>
      <c r="PKK25" s="2866"/>
      <c r="PKL25" s="2827"/>
      <c r="PKM25" s="2867"/>
      <c r="PKN25" s="2866"/>
      <c r="PKO25" s="2827"/>
      <c r="PKP25" s="2867"/>
      <c r="PKQ25" s="2866"/>
      <c r="PKR25" s="2827"/>
      <c r="PKS25" s="2867"/>
      <c r="PKT25" s="2866"/>
      <c r="PKU25" s="2827"/>
      <c r="PKV25" s="2867"/>
      <c r="PKW25" s="2866"/>
      <c r="PKX25" s="2827"/>
      <c r="PKY25" s="2867"/>
      <c r="PKZ25" s="2866"/>
      <c r="PLA25" s="2827"/>
      <c r="PLB25" s="2867"/>
      <c r="PLC25" s="2866"/>
      <c r="PLD25" s="2827"/>
      <c r="PLE25" s="2867"/>
      <c r="PLF25" s="2866"/>
      <c r="PLG25" s="2827"/>
      <c r="PLH25" s="2867"/>
      <c r="PLI25" s="2866"/>
      <c r="PLJ25" s="2827"/>
      <c r="PLK25" s="2867"/>
      <c r="PLL25" s="2866"/>
      <c r="PLM25" s="2827"/>
      <c r="PLN25" s="2867"/>
      <c r="PLO25" s="2866"/>
      <c r="PLP25" s="2827"/>
      <c r="PLQ25" s="2867"/>
      <c r="PLR25" s="2866"/>
      <c r="PLS25" s="2827"/>
      <c r="PLT25" s="2867"/>
      <c r="PLU25" s="2866"/>
      <c r="PLV25" s="2827"/>
      <c r="PLW25" s="2867"/>
      <c r="PLX25" s="2866"/>
      <c r="PLY25" s="2827"/>
      <c r="PLZ25" s="2867"/>
      <c r="PMA25" s="2866"/>
      <c r="PMB25" s="2827"/>
      <c r="PMC25" s="2867"/>
      <c r="PMD25" s="2866"/>
      <c r="PME25" s="2827"/>
      <c r="PMF25" s="2867"/>
      <c r="PMG25" s="2866"/>
      <c r="PMH25" s="2827"/>
      <c r="PMI25" s="2867"/>
      <c r="PMJ25" s="2866"/>
      <c r="PMK25" s="2827"/>
      <c r="PML25" s="2867"/>
      <c r="PMM25" s="2866"/>
      <c r="PMN25" s="2827"/>
      <c r="PMO25" s="2867"/>
      <c r="PMP25" s="2866"/>
      <c r="PMQ25" s="2827"/>
      <c r="PMR25" s="2867"/>
      <c r="PMS25" s="2866"/>
      <c r="PMT25" s="2827"/>
      <c r="PMU25" s="2867"/>
      <c r="PMV25" s="2866"/>
      <c r="PMW25" s="2827"/>
      <c r="PMX25" s="2867"/>
      <c r="PMY25" s="2866"/>
      <c r="PMZ25" s="2827"/>
      <c r="PNA25" s="2867"/>
      <c r="PNB25" s="2866"/>
      <c r="PNC25" s="2827"/>
      <c r="PND25" s="2867"/>
      <c r="PNE25" s="2866"/>
      <c r="PNF25" s="2827"/>
      <c r="PNG25" s="2867"/>
      <c r="PNH25" s="2866"/>
      <c r="PNI25" s="2827"/>
      <c r="PNJ25" s="2867"/>
      <c r="PNK25" s="2866"/>
      <c r="PNL25" s="2827"/>
      <c r="PNM25" s="2867"/>
      <c r="PNN25" s="2866"/>
      <c r="PNO25" s="2827"/>
      <c r="PNP25" s="2867"/>
      <c r="PNQ25" s="2866"/>
      <c r="PNR25" s="2827"/>
      <c r="PNS25" s="2867"/>
      <c r="PNT25" s="2866"/>
      <c r="PNU25" s="2827"/>
      <c r="PNV25" s="2867"/>
      <c r="PNW25" s="2866"/>
      <c r="PNX25" s="2827"/>
      <c r="PNY25" s="2867"/>
      <c r="PNZ25" s="2866"/>
      <c r="POA25" s="2827"/>
      <c r="POB25" s="2867"/>
      <c r="POC25" s="2866"/>
      <c r="POD25" s="2827"/>
      <c r="POE25" s="2867"/>
      <c r="POF25" s="2866"/>
      <c r="POG25" s="2827"/>
      <c r="POH25" s="2867"/>
      <c r="POI25" s="2866"/>
      <c r="POJ25" s="2827"/>
      <c r="POK25" s="2867"/>
      <c r="POL25" s="2866"/>
      <c r="POM25" s="2827"/>
      <c r="PON25" s="2867"/>
      <c r="POO25" s="2866"/>
      <c r="POP25" s="2827"/>
      <c r="POQ25" s="2867"/>
      <c r="POR25" s="2866"/>
      <c r="POS25" s="2827"/>
      <c r="POT25" s="2867"/>
      <c r="POU25" s="2866"/>
      <c r="POV25" s="2827"/>
      <c r="POW25" s="2867"/>
      <c r="POX25" s="2866"/>
      <c r="POY25" s="2827"/>
      <c r="POZ25" s="2867"/>
      <c r="PPA25" s="2866"/>
      <c r="PPB25" s="2827"/>
      <c r="PPC25" s="2867"/>
      <c r="PPD25" s="2866"/>
      <c r="PPE25" s="2827"/>
      <c r="PPF25" s="2867"/>
      <c r="PPG25" s="2866"/>
      <c r="PPH25" s="2827"/>
      <c r="PPI25" s="2867"/>
      <c r="PPJ25" s="2866"/>
      <c r="PPK25" s="2827"/>
      <c r="PPL25" s="2867"/>
      <c r="PPM25" s="2866"/>
      <c r="PPN25" s="2827"/>
      <c r="PPO25" s="2867"/>
      <c r="PPP25" s="2866"/>
      <c r="PPQ25" s="2827"/>
      <c r="PPR25" s="2867"/>
      <c r="PPS25" s="2866"/>
      <c r="PPT25" s="2827"/>
      <c r="PPU25" s="2867"/>
      <c r="PPV25" s="2866"/>
      <c r="PPW25" s="2827"/>
      <c r="PPX25" s="2867"/>
      <c r="PPY25" s="2866"/>
      <c r="PPZ25" s="2827"/>
      <c r="PQA25" s="2867"/>
      <c r="PQB25" s="2866"/>
      <c r="PQC25" s="2827"/>
      <c r="PQD25" s="2867"/>
      <c r="PQE25" s="2866"/>
      <c r="PQF25" s="2827"/>
      <c r="PQG25" s="2867"/>
      <c r="PQH25" s="2866"/>
      <c r="PQI25" s="2827"/>
      <c r="PQJ25" s="2867"/>
      <c r="PQK25" s="2866"/>
      <c r="PQL25" s="2827"/>
      <c r="PQM25" s="2867"/>
      <c r="PQN25" s="2866"/>
      <c r="PQO25" s="2827"/>
      <c r="PQP25" s="2867"/>
      <c r="PQQ25" s="2866"/>
      <c r="PQR25" s="2827"/>
      <c r="PQS25" s="2867"/>
      <c r="PQT25" s="2866"/>
      <c r="PQU25" s="2827"/>
      <c r="PQV25" s="2867"/>
      <c r="PQW25" s="2866"/>
      <c r="PQX25" s="2827"/>
      <c r="PQY25" s="2867"/>
      <c r="PQZ25" s="2866"/>
      <c r="PRA25" s="2827"/>
      <c r="PRB25" s="2867"/>
      <c r="PRC25" s="2866"/>
      <c r="PRD25" s="2827"/>
      <c r="PRE25" s="2867"/>
      <c r="PRF25" s="2866"/>
      <c r="PRG25" s="2827"/>
      <c r="PRH25" s="2867"/>
      <c r="PRI25" s="2866"/>
      <c r="PRJ25" s="2827"/>
      <c r="PRK25" s="2867"/>
      <c r="PRL25" s="2866"/>
      <c r="PRM25" s="2827"/>
      <c r="PRN25" s="2867"/>
      <c r="PRO25" s="2866"/>
      <c r="PRP25" s="2827"/>
      <c r="PRQ25" s="2867"/>
      <c r="PRR25" s="2866"/>
      <c r="PRS25" s="2827"/>
      <c r="PRT25" s="2867"/>
      <c r="PRU25" s="2866"/>
      <c r="PRV25" s="2827"/>
      <c r="PRW25" s="2867"/>
      <c r="PRX25" s="2866"/>
      <c r="PRY25" s="2827"/>
      <c r="PRZ25" s="2867"/>
      <c r="PSA25" s="2866"/>
      <c r="PSB25" s="2827"/>
      <c r="PSC25" s="2867"/>
      <c r="PSD25" s="2866"/>
      <c r="PSE25" s="2827"/>
      <c r="PSF25" s="2867"/>
      <c r="PSG25" s="2866"/>
      <c r="PSH25" s="2827"/>
      <c r="PSI25" s="2867"/>
      <c r="PSJ25" s="2866"/>
      <c r="PSK25" s="2827"/>
      <c r="PSL25" s="2867"/>
      <c r="PSM25" s="2866"/>
      <c r="PSN25" s="2827"/>
      <c r="PSO25" s="2867"/>
      <c r="PSP25" s="2866"/>
      <c r="PSQ25" s="2827"/>
      <c r="PSR25" s="2867"/>
      <c r="PSS25" s="2866"/>
      <c r="PST25" s="2827"/>
      <c r="PSU25" s="2867"/>
      <c r="PSV25" s="2866"/>
      <c r="PSW25" s="2827"/>
      <c r="PSX25" s="2867"/>
      <c r="PSY25" s="2866"/>
      <c r="PSZ25" s="2827"/>
      <c r="PTA25" s="2867"/>
      <c r="PTB25" s="2866"/>
      <c r="PTC25" s="2827"/>
      <c r="PTD25" s="2867"/>
      <c r="PTE25" s="2866"/>
      <c r="PTF25" s="2827"/>
      <c r="PTG25" s="2867"/>
      <c r="PTH25" s="2866"/>
      <c r="PTI25" s="2827"/>
      <c r="PTJ25" s="2867"/>
      <c r="PTK25" s="2866"/>
      <c r="PTL25" s="2827"/>
      <c r="PTM25" s="2867"/>
      <c r="PTN25" s="2866"/>
      <c r="PTO25" s="2827"/>
      <c r="PTP25" s="2867"/>
      <c r="PTQ25" s="2866"/>
      <c r="PTR25" s="2827"/>
      <c r="PTS25" s="2867"/>
      <c r="PTT25" s="2866"/>
      <c r="PTU25" s="2827"/>
      <c r="PTV25" s="2867"/>
      <c r="PTW25" s="2866"/>
      <c r="PTX25" s="2827"/>
      <c r="PTY25" s="2867"/>
      <c r="PTZ25" s="2866"/>
      <c r="PUA25" s="2827"/>
      <c r="PUB25" s="2867"/>
      <c r="PUC25" s="2866"/>
      <c r="PUD25" s="2827"/>
      <c r="PUE25" s="2867"/>
      <c r="PUF25" s="2866"/>
      <c r="PUG25" s="2827"/>
      <c r="PUH25" s="2867"/>
      <c r="PUI25" s="2866"/>
      <c r="PUJ25" s="2827"/>
      <c r="PUK25" s="2867"/>
      <c r="PUL25" s="2866"/>
      <c r="PUM25" s="2827"/>
      <c r="PUN25" s="2867"/>
      <c r="PUO25" s="2866"/>
      <c r="PUP25" s="2827"/>
      <c r="PUQ25" s="2867"/>
      <c r="PUR25" s="2866"/>
      <c r="PUS25" s="2827"/>
      <c r="PUT25" s="2867"/>
      <c r="PUU25" s="2866"/>
      <c r="PUV25" s="2827"/>
      <c r="PUW25" s="2867"/>
      <c r="PUX25" s="2866"/>
      <c r="PUY25" s="2827"/>
      <c r="PUZ25" s="2867"/>
      <c r="PVA25" s="2866"/>
      <c r="PVB25" s="2827"/>
      <c r="PVC25" s="2867"/>
      <c r="PVD25" s="2866"/>
      <c r="PVE25" s="2827"/>
      <c r="PVF25" s="2867"/>
      <c r="PVG25" s="2866"/>
      <c r="PVH25" s="2827"/>
      <c r="PVI25" s="2867"/>
      <c r="PVJ25" s="2866"/>
      <c r="PVK25" s="2827"/>
      <c r="PVL25" s="2867"/>
      <c r="PVM25" s="2866"/>
      <c r="PVN25" s="2827"/>
      <c r="PVO25" s="2867"/>
      <c r="PVP25" s="2866"/>
      <c r="PVQ25" s="2827"/>
      <c r="PVR25" s="2867"/>
      <c r="PVS25" s="2866"/>
      <c r="PVT25" s="2827"/>
      <c r="PVU25" s="2867"/>
      <c r="PVV25" s="2866"/>
      <c r="PVW25" s="2827"/>
      <c r="PVX25" s="2867"/>
      <c r="PVY25" s="2866"/>
      <c r="PVZ25" s="2827"/>
      <c r="PWA25" s="2867"/>
      <c r="PWB25" s="2866"/>
      <c r="PWC25" s="2827"/>
      <c r="PWD25" s="2867"/>
      <c r="PWE25" s="2866"/>
      <c r="PWF25" s="2827"/>
      <c r="PWG25" s="2867"/>
      <c r="PWH25" s="2866"/>
      <c r="PWI25" s="2827"/>
      <c r="PWJ25" s="2867"/>
      <c r="PWK25" s="2866"/>
      <c r="PWL25" s="2827"/>
      <c r="PWM25" s="2867"/>
      <c r="PWN25" s="2866"/>
      <c r="PWO25" s="2827"/>
      <c r="PWP25" s="2867"/>
      <c r="PWQ25" s="2866"/>
      <c r="PWR25" s="2827"/>
      <c r="PWS25" s="2867"/>
      <c r="PWT25" s="2866"/>
      <c r="PWU25" s="2827"/>
      <c r="PWV25" s="2867"/>
      <c r="PWW25" s="2866"/>
      <c r="PWX25" s="2827"/>
      <c r="PWY25" s="2867"/>
      <c r="PWZ25" s="2866"/>
      <c r="PXA25" s="2827"/>
      <c r="PXB25" s="2867"/>
      <c r="PXC25" s="2866"/>
      <c r="PXD25" s="2827"/>
      <c r="PXE25" s="2867"/>
      <c r="PXF25" s="2866"/>
      <c r="PXG25" s="2827"/>
      <c r="PXH25" s="2867"/>
      <c r="PXI25" s="2866"/>
      <c r="PXJ25" s="2827"/>
      <c r="PXK25" s="2867"/>
      <c r="PXL25" s="2866"/>
      <c r="PXM25" s="2827"/>
      <c r="PXN25" s="2867"/>
      <c r="PXO25" s="2866"/>
      <c r="PXP25" s="2827"/>
      <c r="PXQ25" s="2867"/>
      <c r="PXR25" s="2866"/>
      <c r="PXS25" s="2827"/>
      <c r="PXT25" s="2867"/>
      <c r="PXU25" s="2866"/>
      <c r="PXV25" s="2827"/>
      <c r="PXW25" s="2867"/>
      <c r="PXX25" s="2866"/>
      <c r="PXY25" s="2827"/>
      <c r="PXZ25" s="2867"/>
      <c r="PYA25" s="2866"/>
      <c r="PYB25" s="2827"/>
      <c r="PYC25" s="2867"/>
      <c r="PYD25" s="2866"/>
      <c r="PYE25" s="2827"/>
      <c r="PYF25" s="2867"/>
      <c r="PYG25" s="2866"/>
      <c r="PYH25" s="2827"/>
      <c r="PYI25" s="2867"/>
      <c r="PYJ25" s="2866"/>
      <c r="PYK25" s="2827"/>
      <c r="PYL25" s="2867"/>
      <c r="PYM25" s="2866"/>
      <c r="PYN25" s="2827"/>
      <c r="PYO25" s="2867"/>
      <c r="PYP25" s="2866"/>
      <c r="PYQ25" s="2827"/>
      <c r="PYR25" s="2867"/>
      <c r="PYS25" s="2866"/>
      <c r="PYT25" s="2827"/>
      <c r="PYU25" s="2867"/>
      <c r="PYV25" s="2866"/>
      <c r="PYW25" s="2827"/>
      <c r="PYX25" s="2867"/>
      <c r="PYY25" s="2866"/>
      <c r="PYZ25" s="2827"/>
      <c r="PZA25" s="2867"/>
      <c r="PZB25" s="2866"/>
      <c r="PZC25" s="2827"/>
      <c r="PZD25" s="2867"/>
      <c r="PZE25" s="2866"/>
      <c r="PZF25" s="2827"/>
      <c r="PZG25" s="2867"/>
      <c r="PZH25" s="2866"/>
      <c r="PZI25" s="2827"/>
      <c r="PZJ25" s="2867"/>
      <c r="PZK25" s="2866"/>
      <c r="PZL25" s="2827"/>
      <c r="PZM25" s="2867"/>
      <c r="PZN25" s="2866"/>
      <c r="PZO25" s="2827"/>
      <c r="PZP25" s="2867"/>
      <c r="PZQ25" s="2866"/>
      <c r="PZR25" s="2827"/>
      <c r="PZS25" s="2867"/>
      <c r="PZT25" s="2866"/>
      <c r="PZU25" s="2827"/>
      <c r="PZV25" s="2867"/>
      <c r="PZW25" s="2866"/>
      <c r="PZX25" s="2827"/>
      <c r="PZY25" s="2867"/>
      <c r="PZZ25" s="2866"/>
      <c r="QAA25" s="2827"/>
      <c r="QAB25" s="2867"/>
      <c r="QAC25" s="2866"/>
      <c r="QAD25" s="2827"/>
      <c r="QAE25" s="2867"/>
      <c r="QAF25" s="2866"/>
      <c r="QAG25" s="2827"/>
      <c r="QAH25" s="2867"/>
      <c r="QAI25" s="2866"/>
      <c r="QAJ25" s="2827"/>
      <c r="QAK25" s="2867"/>
      <c r="QAL25" s="2866"/>
      <c r="QAM25" s="2827"/>
      <c r="QAN25" s="2867"/>
      <c r="QAO25" s="2866"/>
      <c r="QAP25" s="2827"/>
      <c r="QAQ25" s="2867"/>
      <c r="QAR25" s="2866"/>
      <c r="QAS25" s="2827"/>
      <c r="QAT25" s="2867"/>
      <c r="QAU25" s="2866"/>
      <c r="QAV25" s="2827"/>
      <c r="QAW25" s="2867"/>
      <c r="QAX25" s="2866"/>
      <c r="QAY25" s="2827"/>
      <c r="QAZ25" s="2867"/>
      <c r="QBA25" s="2866"/>
      <c r="QBB25" s="2827"/>
      <c r="QBC25" s="2867"/>
      <c r="QBD25" s="2866"/>
      <c r="QBE25" s="2827"/>
      <c r="QBF25" s="2867"/>
      <c r="QBG25" s="2866"/>
      <c r="QBH25" s="2827"/>
      <c r="QBI25" s="2867"/>
      <c r="QBJ25" s="2866"/>
      <c r="QBK25" s="2827"/>
      <c r="QBL25" s="2867"/>
      <c r="QBM25" s="2866"/>
      <c r="QBN25" s="2827"/>
      <c r="QBO25" s="2867"/>
      <c r="QBP25" s="2866"/>
      <c r="QBQ25" s="2827"/>
      <c r="QBR25" s="2867"/>
      <c r="QBS25" s="2866"/>
      <c r="QBT25" s="2827"/>
      <c r="QBU25" s="2867"/>
      <c r="QBV25" s="2866"/>
      <c r="QBW25" s="2827"/>
      <c r="QBX25" s="2867"/>
      <c r="QBY25" s="2866"/>
      <c r="QBZ25" s="2827"/>
      <c r="QCA25" s="2867"/>
      <c r="QCB25" s="2866"/>
      <c r="QCC25" s="2827"/>
      <c r="QCD25" s="2867"/>
      <c r="QCE25" s="2866"/>
      <c r="QCF25" s="2827"/>
      <c r="QCG25" s="2867"/>
      <c r="QCH25" s="2866"/>
      <c r="QCI25" s="2827"/>
      <c r="QCJ25" s="2867"/>
      <c r="QCK25" s="2866"/>
      <c r="QCL25" s="2827"/>
      <c r="QCM25" s="2867"/>
      <c r="QCN25" s="2866"/>
      <c r="QCO25" s="2827"/>
      <c r="QCP25" s="2867"/>
      <c r="QCQ25" s="2866"/>
      <c r="QCR25" s="2827"/>
      <c r="QCS25" s="2867"/>
      <c r="QCT25" s="2866"/>
      <c r="QCU25" s="2827"/>
      <c r="QCV25" s="2867"/>
      <c r="QCW25" s="2866"/>
      <c r="QCX25" s="2827"/>
      <c r="QCY25" s="2867"/>
      <c r="QCZ25" s="2866"/>
      <c r="QDA25" s="2827"/>
      <c r="QDB25" s="2867"/>
      <c r="QDC25" s="2866"/>
      <c r="QDD25" s="2827"/>
      <c r="QDE25" s="2867"/>
      <c r="QDF25" s="2866"/>
      <c r="QDG25" s="2827"/>
      <c r="QDH25" s="2867"/>
      <c r="QDI25" s="2866"/>
      <c r="QDJ25" s="2827"/>
      <c r="QDK25" s="2867"/>
      <c r="QDL25" s="2866"/>
      <c r="QDM25" s="2827"/>
      <c r="QDN25" s="2867"/>
      <c r="QDO25" s="2866"/>
      <c r="QDP25" s="2827"/>
      <c r="QDQ25" s="2867"/>
      <c r="QDR25" s="2866"/>
      <c r="QDS25" s="2827"/>
      <c r="QDT25" s="2867"/>
      <c r="QDU25" s="2866"/>
      <c r="QDV25" s="2827"/>
      <c r="QDW25" s="2867"/>
      <c r="QDX25" s="2866"/>
      <c r="QDY25" s="2827"/>
      <c r="QDZ25" s="2867"/>
      <c r="QEA25" s="2866"/>
      <c r="QEB25" s="2827"/>
      <c r="QEC25" s="2867"/>
      <c r="QED25" s="2866"/>
      <c r="QEE25" s="2827"/>
      <c r="QEF25" s="2867"/>
      <c r="QEG25" s="2866"/>
      <c r="QEH25" s="2827"/>
      <c r="QEI25" s="2867"/>
      <c r="QEJ25" s="2866"/>
      <c r="QEK25" s="2827"/>
      <c r="QEL25" s="2867"/>
      <c r="QEM25" s="2866"/>
      <c r="QEN25" s="2827"/>
      <c r="QEO25" s="2867"/>
      <c r="QEP25" s="2866"/>
      <c r="QEQ25" s="2827"/>
      <c r="QER25" s="2867"/>
      <c r="QES25" s="2866"/>
      <c r="QET25" s="2827"/>
      <c r="QEU25" s="2867"/>
      <c r="QEV25" s="2866"/>
      <c r="QEW25" s="2827"/>
      <c r="QEX25" s="2867"/>
      <c r="QEY25" s="2866"/>
      <c r="QEZ25" s="2827"/>
      <c r="QFA25" s="2867"/>
      <c r="QFB25" s="2866"/>
      <c r="QFC25" s="2827"/>
      <c r="QFD25" s="2867"/>
      <c r="QFE25" s="2866"/>
      <c r="QFF25" s="2827"/>
      <c r="QFG25" s="2867"/>
      <c r="QFH25" s="2866"/>
      <c r="QFI25" s="2827"/>
      <c r="QFJ25" s="2867"/>
      <c r="QFK25" s="2866"/>
      <c r="QFL25" s="2827"/>
      <c r="QFM25" s="2867"/>
      <c r="QFN25" s="2866"/>
      <c r="QFO25" s="2827"/>
      <c r="QFP25" s="2867"/>
      <c r="QFQ25" s="2866"/>
      <c r="QFR25" s="2827"/>
      <c r="QFS25" s="2867"/>
      <c r="QFT25" s="2866"/>
      <c r="QFU25" s="2827"/>
      <c r="QFV25" s="2867"/>
      <c r="QFW25" s="2866"/>
      <c r="QFX25" s="2827"/>
      <c r="QFY25" s="2867"/>
      <c r="QFZ25" s="2866"/>
      <c r="QGA25" s="2827"/>
      <c r="QGB25" s="2867"/>
      <c r="QGC25" s="2866"/>
      <c r="QGD25" s="2827"/>
      <c r="QGE25" s="2867"/>
      <c r="QGF25" s="2866"/>
      <c r="QGG25" s="2827"/>
      <c r="QGH25" s="2867"/>
      <c r="QGI25" s="2866"/>
      <c r="QGJ25" s="2827"/>
      <c r="QGK25" s="2867"/>
      <c r="QGL25" s="2866"/>
      <c r="QGM25" s="2827"/>
      <c r="QGN25" s="2867"/>
      <c r="QGO25" s="2866"/>
      <c r="QGP25" s="2827"/>
      <c r="QGQ25" s="2867"/>
      <c r="QGR25" s="2866"/>
      <c r="QGS25" s="2827"/>
      <c r="QGT25" s="2867"/>
      <c r="QGU25" s="2866"/>
      <c r="QGV25" s="2827"/>
      <c r="QGW25" s="2867"/>
      <c r="QGX25" s="2866"/>
      <c r="QGY25" s="2827"/>
      <c r="QGZ25" s="2867"/>
      <c r="QHA25" s="2866"/>
      <c r="QHB25" s="2827"/>
      <c r="QHC25" s="2867"/>
      <c r="QHD25" s="2866"/>
      <c r="QHE25" s="2827"/>
      <c r="QHF25" s="2867"/>
      <c r="QHG25" s="2866"/>
      <c r="QHH25" s="2827"/>
      <c r="QHI25" s="2867"/>
      <c r="QHJ25" s="2866"/>
      <c r="QHK25" s="2827"/>
      <c r="QHL25" s="2867"/>
      <c r="QHM25" s="2866"/>
      <c r="QHN25" s="2827"/>
      <c r="QHO25" s="2867"/>
      <c r="QHP25" s="2866"/>
      <c r="QHQ25" s="2827"/>
      <c r="QHR25" s="2867"/>
      <c r="QHS25" s="2866"/>
      <c r="QHT25" s="2827"/>
      <c r="QHU25" s="2867"/>
      <c r="QHV25" s="2866"/>
      <c r="QHW25" s="2827"/>
      <c r="QHX25" s="2867"/>
      <c r="QHY25" s="2866"/>
      <c r="QHZ25" s="2827"/>
      <c r="QIA25" s="2867"/>
      <c r="QIB25" s="2866"/>
      <c r="QIC25" s="2827"/>
      <c r="QID25" s="2867"/>
      <c r="QIE25" s="2866"/>
      <c r="QIF25" s="2827"/>
      <c r="QIG25" s="2867"/>
      <c r="QIH25" s="2866"/>
      <c r="QII25" s="2827"/>
      <c r="QIJ25" s="2867"/>
      <c r="QIK25" s="2866"/>
      <c r="QIL25" s="2827"/>
      <c r="QIM25" s="2867"/>
      <c r="QIN25" s="2866"/>
      <c r="QIO25" s="2827"/>
      <c r="QIP25" s="2867"/>
      <c r="QIQ25" s="2866"/>
      <c r="QIR25" s="2827"/>
      <c r="QIS25" s="2867"/>
      <c r="QIT25" s="2866"/>
      <c r="QIU25" s="2827"/>
      <c r="QIV25" s="2867"/>
      <c r="QIW25" s="2866"/>
      <c r="QIX25" s="2827"/>
      <c r="QIY25" s="2867"/>
      <c r="QIZ25" s="2866"/>
      <c r="QJA25" s="2827"/>
      <c r="QJB25" s="2867"/>
      <c r="QJC25" s="2866"/>
      <c r="QJD25" s="2827"/>
      <c r="QJE25" s="2867"/>
      <c r="QJF25" s="2866"/>
      <c r="QJG25" s="2827"/>
      <c r="QJH25" s="2867"/>
      <c r="QJI25" s="2866"/>
      <c r="QJJ25" s="2827"/>
      <c r="QJK25" s="2867"/>
      <c r="QJL25" s="2866"/>
      <c r="QJM25" s="2827"/>
      <c r="QJN25" s="2867"/>
      <c r="QJO25" s="2866"/>
      <c r="QJP25" s="2827"/>
      <c r="QJQ25" s="2867"/>
      <c r="QJR25" s="2866"/>
      <c r="QJS25" s="2827"/>
      <c r="QJT25" s="2867"/>
      <c r="QJU25" s="2866"/>
      <c r="QJV25" s="2827"/>
      <c r="QJW25" s="2867"/>
      <c r="QJX25" s="2866"/>
      <c r="QJY25" s="2827"/>
      <c r="QJZ25" s="2867"/>
      <c r="QKA25" s="2866"/>
      <c r="QKB25" s="2827"/>
      <c r="QKC25" s="2867"/>
      <c r="QKD25" s="2866"/>
      <c r="QKE25" s="2827"/>
      <c r="QKF25" s="2867"/>
      <c r="QKG25" s="2866"/>
      <c r="QKH25" s="2827"/>
      <c r="QKI25" s="2867"/>
      <c r="QKJ25" s="2866"/>
      <c r="QKK25" s="2827"/>
      <c r="QKL25" s="2867"/>
      <c r="QKM25" s="2866"/>
      <c r="QKN25" s="2827"/>
      <c r="QKO25" s="2867"/>
      <c r="QKP25" s="2866"/>
      <c r="QKQ25" s="2827"/>
      <c r="QKR25" s="2867"/>
      <c r="QKS25" s="2866"/>
      <c r="QKT25" s="2827"/>
      <c r="QKU25" s="2867"/>
      <c r="QKV25" s="2866"/>
      <c r="QKW25" s="2827"/>
      <c r="QKX25" s="2867"/>
      <c r="QKY25" s="2866"/>
      <c r="QKZ25" s="2827"/>
      <c r="QLA25" s="2867"/>
      <c r="QLB25" s="2866"/>
      <c r="QLC25" s="2827"/>
      <c r="QLD25" s="2867"/>
      <c r="QLE25" s="2866"/>
      <c r="QLF25" s="2827"/>
      <c r="QLG25" s="2867"/>
      <c r="QLH25" s="2866"/>
      <c r="QLI25" s="2827"/>
      <c r="QLJ25" s="2867"/>
      <c r="QLK25" s="2866"/>
      <c r="QLL25" s="2827"/>
      <c r="QLM25" s="2867"/>
      <c r="QLN25" s="2866"/>
      <c r="QLO25" s="2827"/>
      <c r="QLP25" s="2867"/>
      <c r="QLQ25" s="2866"/>
      <c r="QLR25" s="2827"/>
      <c r="QLS25" s="2867"/>
      <c r="QLT25" s="2866"/>
      <c r="QLU25" s="2827"/>
      <c r="QLV25" s="2867"/>
      <c r="QLW25" s="2866"/>
      <c r="QLX25" s="2827"/>
      <c r="QLY25" s="2867"/>
      <c r="QLZ25" s="2866"/>
      <c r="QMA25" s="2827"/>
      <c r="QMB25" s="2867"/>
      <c r="QMC25" s="2866"/>
      <c r="QMD25" s="2827"/>
      <c r="QME25" s="2867"/>
      <c r="QMF25" s="2866"/>
      <c r="QMG25" s="2827"/>
      <c r="QMH25" s="2867"/>
      <c r="QMI25" s="2866"/>
      <c r="QMJ25" s="2827"/>
      <c r="QMK25" s="2867"/>
      <c r="QML25" s="2866"/>
      <c r="QMM25" s="2827"/>
      <c r="QMN25" s="2867"/>
      <c r="QMO25" s="2866"/>
      <c r="QMP25" s="2827"/>
      <c r="QMQ25" s="2867"/>
      <c r="QMR25" s="2866"/>
      <c r="QMS25" s="2827"/>
      <c r="QMT25" s="2867"/>
      <c r="QMU25" s="2866"/>
      <c r="QMV25" s="2827"/>
      <c r="QMW25" s="2867"/>
      <c r="QMX25" s="2866"/>
      <c r="QMY25" s="2827"/>
      <c r="QMZ25" s="2867"/>
      <c r="QNA25" s="2866"/>
      <c r="QNB25" s="2827"/>
      <c r="QNC25" s="2867"/>
      <c r="QND25" s="2866"/>
      <c r="QNE25" s="2827"/>
      <c r="QNF25" s="2867"/>
      <c r="QNG25" s="2866"/>
      <c r="QNH25" s="2827"/>
      <c r="QNI25" s="2867"/>
      <c r="QNJ25" s="2866"/>
      <c r="QNK25" s="2827"/>
      <c r="QNL25" s="2867"/>
      <c r="QNM25" s="2866"/>
      <c r="QNN25" s="2827"/>
      <c r="QNO25" s="2867"/>
      <c r="QNP25" s="2866"/>
      <c r="QNQ25" s="2827"/>
      <c r="QNR25" s="2867"/>
      <c r="QNS25" s="2866"/>
      <c r="QNT25" s="2827"/>
      <c r="QNU25" s="2867"/>
      <c r="QNV25" s="2866"/>
      <c r="QNW25" s="2827"/>
      <c r="QNX25" s="2867"/>
      <c r="QNY25" s="2866"/>
      <c r="QNZ25" s="2827"/>
      <c r="QOA25" s="2867"/>
      <c r="QOB25" s="2866"/>
      <c r="QOC25" s="2827"/>
      <c r="QOD25" s="2867"/>
      <c r="QOE25" s="2866"/>
      <c r="QOF25" s="2827"/>
      <c r="QOG25" s="2867"/>
      <c r="QOH25" s="2866"/>
      <c r="QOI25" s="2827"/>
      <c r="QOJ25" s="2867"/>
      <c r="QOK25" s="2866"/>
      <c r="QOL25" s="2827"/>
      <c r="QOM25" s="2867"/>
      <c r="QON25" s="2866"/>
      <c r="QOO25" s="2827"/>
      <c r="QOP25" s="2867"/>
      <c r="QOQ25" s="2866"/>
      <c r="QOR25" s="2827"/>
      <c r="QOS25" s="2867"/>
      <c r="QOT25" s="2866"/>
      <c r="QOU25" s="2827"/>
      <c r="QOV25" s="2867"/>
      <c r="QOW25" s="2866"/>
      <c r="QOX25" s="2827"/>
      <c r="QOY25" s="2867"/>
      <c r="QOZ25" s="2866"/>
      <c r="QPA25" s="2827"/>
      <c r="QPB25" s="2867"/>
      <c r="QPC25" s="2866"/>
      <c r="QPD25" s="2827"/>
      <c r="QPE25" s="2867"/>
      <c r="QPF25" s="2866"/>
      <c r="QPG25" s="2827"/>
      <c r="QPH25" s="2867"/>
      <c r="QPI25" s="2866"/>
      <c r="QPJ25" s="2827"/>
      <c r="QPK25" s="2867"/>
      <c r="QPL25" s="2866"/>
      <c r="QPM25" s="2827"/>
      <c r="QPN25" s="2867"/>
      <c r="QPO25" s="2866"/>
      <c r="QPP25" s="2827"/>
      <c r="QPQ25" s="2867"/>
      <c r="QPR25" s="2866"/>
      <c r="QPS25" s="2827"/>
      <c r="QPT25" s="2867"/>
      <c r="QPU25" s="2866"/>
      <c r="QPV25" s="2827"/>
      <c r="QPW25" s="2867"/>
      <c r="QPX25" s="2866"/>
      <c r="QPY25" s="2827"/>
      <c r="QPZ25" s="2867"/>
      <c r="QQA25" s="2866"/>
      <c r="QQB25" s="2827"/>
      <c r="QQC25" s="2867"/>
      <c r="QQD25" s="2866"/>
      <c r="QQE25" s="2827"/>
      <c r="QQF25" s="2867"/>
      <c r="QQG25" s="2866"/>
      <c r="QQH25" s="2827"/>
      <c r="QQI25" s="2867"/>
      <c r="QQJ25" s="2866"/>
      <c r="QQK25" s="2827"/>
      <c r="QQL25" s="2867"/>
      <c r="QQM25" s="2866"/>
      <c r="QQN25" s="2827"/>
      <c r="QQO25" s="2867"/>
      <c r="QQP25" s="2866"/>
      <c r="QQQ25" s="2827"/>
      <c r="QQR25" s="2867"/>
      <c r="QQS25" s="2866"/>
      <c r="QQT25" s="2827"/>
      <c r="QQU25" s="2867"/>
      <c r="QQV25" s="2866"/>
      <c r="QQW25" s="2827"/>
      <c r="QQX25" s="2867"/>
      <c r="QQY25" s="2866"/>
      <c r="QQZ25" s="2827"/>
      <c r="QRA25" s="2867"/>
      <c r="QRB25" s="2866"/>
      <c r="QRC25" s="2827"/>
      <c r="QRD25" s="2867"/>
      <c r="QRE25" s="2866"/>
      <c r="QRF25" s="2827"/>
      <c r="QRG25" s="2867"/>
      <c r="QRH25" s="2866"/>
      <c r="QRI25" s="2827"/>
      <c r="QRJ25" s="2867"/>
      <c r="QRK25" s="2866"/>
      <c r="QRL25" s="2827"/>
      <c r="QRM25" s="2867"/>
      <c r="QRN25" s="2866"/>
      <c r="QRO25" s="2827"/>
      <c r="QRP25" s="2867"/>
      <c r="QRQ25" s="2866"/>
      <c r="QRR25" s="2827"/>
      <c r="QRS25" s="2867"/>
      <c r="QRT25" s="2866"/>
      <c r="QRU25" s="2827"/>
      <c r="QRV25" s="2867"/>
      <c r="QRW25" s="2866"/>
      <c r="QRX25" s="2827"/>
      <c r="QRY25" s="2867"/>
      <c r="QRZ25" s="2866"/>
      <c r="QSA25" s="2827"/>
      <c r="QSB25" s="2867"/>
      <c r="QSC25" s="2866"/>
      <c r="QSD25" s="2827"/>
      <c r="QSE25" s="2867"/>
      <c r="QSF25" s="2866"/>
      <c r="QSG25" s="2827"/>
      <c r="QSH25" s="2867"/>
      <c r="QSI25" s="2866"/>
      <c r="QSJ25" s="2827"/>
      <c r="QSK25" s="2867"/>
      <c r="QSL25" s="2866"/>
      <c r="QSM25" s="2827"/>
      <c r="QSN25" s="2867"/>
      <c r="QSO25" s="2866"/>
      <c r="QSP25" s="2827"/>
      <c r="QSQ25" s="2867"/>
      <c r="QSR25" s="2866"/>
      <c r="QSS25" s="2827"/>
      <c r="QST25" s="2867"/>
      <c r="QSU25" s="2866"/>
      <c r="QSV25" s="2827"/>
      <c r="QSW25" s="2867"/>
      <c r="QSX25" s="2866"/>
      <c r="QSY25" s="2827"/>
      <c r="QSZ25" s="2867"/>
      <c r="QTA25" s="2866"/>
      <c r="QTB25" s="2827"/>
      <c r="QTC25" s="2867"/>
      <c r="QTD25" s="2866"/>
      <c r="QTE25" s="2827"/>
      <c r="QTF25" s="2867"/>
      <c r="QTG25" s="2866"/>
      <c r="QTH25" s="2827"/>
      <c r="QTI25" s="2867"/>
      <c r="QTJ25" s="2866"/>
      <c r="QTK25" s="2827"/>
      <c r="QTL25" s="2867"/>
      <c r="QTM25" s="2866"/>
      <c r="QTN25" s="2827"/>
      <c r="QTO25" s="2867"/>
      <c r="QTP25" s="2866"/>
      <c r="QTQ25" s="2827"/>
      <c r="QTR25" s="2867"/>
      <c r="QTS25" s="2866"/>
      <c r="QTT25" s="2827"/>
      <c r="QTU25" s="2867"/>
      <c r="QTV25" s="2866"/>
      <c r="QTW25" s="2827"/>
      <c r="QTX25" s="2867"/>
      <c r="QTY25" s="2866"/>
      <c r="QTZ25" s="2827"/>
      <c r="QUA25" s="2867"/>
      <c r="QUB25" s="2866"/>
      <c r="QUC25" s="2827"/>
      <c r="QUD25" s="2867"/>
      <c r="QUE25" s="2866"/>
      <c r="QUF25" s="2827"/>
      <c r="QUG25" s="2867"/>
      <c r="QUH25" s="2866"/>
      <c r="QUI25" s="2827"/>
      <c r="QUJ25" s="2867"/>
      <c r="QUK25" s="2866"/>
      <c r="QUL25" s="2827"/>
      <c r="QUM25" s="2867"/>
      <c r="QUN25" s="2866"/>
      <c r="QUO25" s="2827"/>
      <c r="QUP25" s="2867"/>
      <c r="QUQ25" s="2866"/>
      <c r="QUR25" s="2827"/>
      <c r="QUS25" s="2867"/>
      <c r="QUT25" s="2866"/>
      <c r="QUU25" s="2827"/>
      <c r="QUV25" s="2867"/>
      <c r="QUW25" s="2866"/>
      <c r="QUX25" s="2827"/>
      <c r="QUY25" s="2867"/>
      <c r="QUZ25" s="2866"/>
      <c r="QVA25" s="2827"/>
      <c r="QVB25" s="2867"/>
      <c r="QVC25" s="2866"/>
      <c r="QVD25" s="2827"/>
      <c r="QVE25" s="2867"/>
      <c r="QVF25" s="2866"/>
      <c r="QVG25" s="2827"/>
      <c r="QVH25" s="2867"/>
      <c r="QVI25" s="2866"/>
      <c r="QVJ25" s="2827"/>
      <c r="QVK25" s="2867"/>
      <c r="QVL25" s="2866"/>
      <c r="QVM25" s="2827"/>
      <c r="QVN25" s="2867"/>
      <c r="QVO25" s="2866"/>
      <c r="QVP25" s="2827"/>
      <c r="QVQ25" s="2867"/>
      <c r="QVR25" s="2866"/>
      <c r="QVS25" s="2827"/>
      <c r="QVT25" s="2867"/>
      <c r="QVU25" s="2866"/>
      <c r="QVV25" s="2827"/>
      <c r="QVW25" s="2867"/>
      <c r="QVX25" s="2866"/>
      <c r="QVY25" s="2827"/>
      <c r="QVZ25" s="2867"/>
      <c r="QWA25" s="2866"/>
      <c r="QWB25" s="2827"/>
      <c r="QWC25" s="2867"/>
      <c r="QWD25" s="2866"/>
      <c r="QWE25" s="2827"/>
      <c r="QWF25" s="2867"/>
      <c r="QWG25" s="2866"/>
      <c r="QWH25" s="2827"/>
      <c r="QWI25" s="2867"/>
      <c r="QWJ25" s="2866"/>
      <c r="QWK25" s="2827"/>
      <c r="QWL25" s="2867"/>
      <c r="QWM25" s="2866"/>
      <c r="QWN25" s="2827"/>
      <c r="QWO25" s="2867"/>
      <c r="QWP25" s="2866"/>
      <c r="QWQ25" s="2827"/>
      <c r="QWR25" s="2867"/>
      <c r="QWS25" s="2866"/>
      <c r="QWT25" s="2827"/>
      <c r="QWU25" s="2867"/>
      <c r="QWV25" s="2866"/>
      <c r="QWW25" s="2827"/>
      <c r="QWX25" s="2867"/>
      <c r="QWY25" s="2866"/>
      <c r="QWZ25" s="2827"/>
      <c r="QXA25" s="2867"/>
      <c r="QXB25" s="2866"/>
      <c r="QXC25" s="2827"/>
      <c r="QXD25" s="2867"/>
      <c r="QXE25" s="2866"/>
      <c r="QXF25" s="2827"/>
      <c r="QXG25" s="2867"/>
      <c r="QXH25" s="2866"/>
      <c r="QXI25" s="2827"/>
      <c r="QXJ25" s="2867"/>
      <c r="QXK25" s="2866"/>
      <c r="QXL25" s="2827"/>
      <c r="QXM25" s="2867"/>
      <c r="QXN25" s="2866"/>
      <c r="QXO25" s="2827"/>
      <c r="QXP25" s="2867"/>
      <c r="QXQ25" s="2866"/>
      <c r="QXR25" s="2827"/>
      <c r="QXS25" s="2867"/>
      <c r="QXT25" s="2866"/>
      <c r="QXU25" s="2827"/>
      <c r="QXV25" s="2867"/>
      <c r="QXW25" s="2866"/>
      <c r="QXX25" s="2827"/>
      <c r="QXY25" s="2867"/>
      <c r="QXZ25" s="2866"/>
      <c r="QYA25" s="2827"/>
      <c r="QYB25" s="2867"/>
      <c r="QYC25" s="2866"/>
      <c r="QYD25" s="2827"/>
      <c r="QYE25" s="2867"/>
      <c r="QYF25" s="2866"/>
      <c r="QYG25" s="2827"/>
      <c r="QYH25" s="2867"/>
      <c r="QYI25" s="2866"/>
      <c r="QYJ25" s="2827"/>
      <c r="QYK25" s="2867"/>
      <c r="QYL25" s="2866"/>
      <c r="QYM25" s="2827"/>
      <c r="QYN25" s="2867"/>
      <c r="QYO25" s="2866"/>
      <c r="QYP25" s="2827"/>
      <c r="QYQ25" s="2867"/>
      <c r="QYR25" s="2866"/>
      <c r="QYS25" s="2827"/>
      <c r="QYT25" s="2867"/>
      <c r="QYU25" s="2866"/>
      <c r="QYV25" s="2827"/>
      <c r="QYW25" s="2867"/>
      <c r="QYX25" s="2866"/>
      <c r="QYY25" s="2827"/>
      <c r="QYZ25" s="2867"/>
      <c r="QZA25" s="2866"/>
      <c r="QZB25" s="2827"/>
      <c r="QZC25" s="2867"/>
      <c r="QZD25" s="2866"/>
      <c r="QZE25" s="2827"/>
      <c r="QZF25" s="2867"/>
      <c r="QZG25" s="2866"/>
      <c r="QZH25" s="2827"/>
      <c r="QZI25" s="2867"/>
      <c r="QZJ25" s="2866"/>
      <c r="QZK25" s="2827"/>
      <c r="QZL25" s="2867"/>
      <c r="QZM25" s="2866"/>
      <c r="QZN25" s="2827"/>
      <c r="QZO25" s="2867"/>
      <c r="QZP25" s="2866"/>
      <c r="QZQ25" s="2827"/>
      <c r="QZR25" s="2867"/>
      <c r="QZS25" s="2866"/>
      <c r="QZT25" s="2827"/>
      <c r="QZU25" s="2867"/>
      <c r="QZV25" s="2866"/>
      <c r="QZW25" s="2827"/>
      <c r="QZX25" s="2867"/>
      <c r="QZY25" s="2866"/>
      <c r="QZZ25" s="2827"/>
      <c r="RAA25" s="2867"/>
      <c r="RAB25" s="2866"/>
      <c r="RAC25" s="2827"/>
      <c r="RAD25" s="2867"/>
      <c r="RAE25" s="2866"/>
      <c r="RAF25" s="2827"/>
      <c r="RAG25" s="2867"/>
      <c r="RAH25" s="2866"/>
      <c r="RAI25" s="2827"/>
      <c r="RAJ25" s="2867"/>
      <c r="RAK25" s="2866"/>
      <c r="RAL25" s="2827"/>
      <c r="RAM25" s="2867"/>
      <c r="RAN25" s="2866"/>
      <c r="RAO25" s="2827"/>
      <c r="RAP25" s="2867"/>
      <c r="RAQ25" s="2866"/>
      <c r="RAR25" s="2827"/>
      <c r="RAS25" s="2867"/>
      <c r="RAT25" s="2866"/>
      <c r="RAU25" s="2827"/>
      <c r="RAV25" s="2867"/>
      <c r="RAW25" s="2866"/>
      <c r="RAX25" s="2827"/>
      <c r="RAY25" s="2867"/>
      <c r="RAZ25" s="2866"/>
      <c r="RBA25" s="2827"/>
      <c r="RBB25" s="2867"/>
      <c r="RBC25" s="2866"/>
      <c r="RBD25" s="2827"/>
      <c r="RBE25" s="2867"/>
      <c r="RBF25" s="2866"/>
      <c r="RBG25" s="2827"/>
      <c r="RBH25" s="2867"/>
      <c r="RBI25" s="2866"/>
      <c r="RBJ25" s="2827"/>
      <c r="RBK25" s="2867"/>
      <c r="RBL25" s="2866"/>
      <c r="RBM25" s="2827"/>
      <c r="RBN25" s="2867"/>
      <c r="RBO25" s="2866"/>
      <c r="RBP25" s="2827"/>
      <c r="RBQ25" s="2867"/>
      <c r="RBR25" s="2866"/>
      <c r="RBS25" s="2827"/>
      <c r="RBT25" s="2867"/>
      <c r="RBU25" s="2866"/>
      <c r="RBV25" s="2827"/>
      <c r="RBW25" s="2867"/>
      <c r="RBX25" s="2866"/>
      <c r="RBY25" s="2827"/>
      <c r="RBZ25" s="2867"/>
      <c r="RCA25" s="2866"/>
      <c r="RCB25" s="2827"/>
      <c r="RCC25" s="2867"/>
      <c r="RCD25" s="2866"/>
      <c r="RCE25" s="2827"/>
      <c r="RCF25" s="2867"/>
      <c r="RCG25" s="2866"/>
      <c r="RCH25" s="2827"/>
      <c r="RCI25" s="2867"/>
      <c r="RCJ25" s="2866"/>
      <c r="RCK25" s="2827"/>
      <c r="RCL25" s="2867"/>
      <c r="RCM25" s="2866"/>
      <c r="RCN25" s="2827"/>
      <c r="RCO25" s="2867"/>
      <c r="RCP25" s="2866"/>
      <c r="RCQ25" s="2827"/>
      <c r="RCR25" s="2867"/>
      <c r="RCS25" s="2866"/>
      <c r="RCT25" s="2827"/>
      <c r="RCU25" s="2867"/>
      <c r="RCV25" s="2866"/>
      <c r="RCW25" s="2827"/>
      <c r="RCX25" s="2867"/>
      <c r="RCY25" s="2866"/>
      <c r="RCZ25" s="2827"/>
      <c r="RDA25" s="2867"/>
      <c r="RDB25" s="2866"/>
      <c r="RDC25" s="2827"/>
      <c r="RDD25" s="2867"/>
      <c r="RDE25" s="2866"/>
      <c r="RDF25" s="2827"/>
      <c r="RDG25" s="2867"/>
      <c r="RDH25" s="2866"/>
      <c r="RDI25" s="2827"/>
      <c r="RDJ25" s="2867"/>
      <c r="RDK25" s="2866"/>
      <c r="RDL25" s="2827"/>
      <c r="RDM25" s="2867"/>
      <c r="RDN25" s="2866"/>
      <c r="RDO25" s="2827"/>
      <c r="RDP25" s="2867"/>
      <c r="RDQ25" s="2866"/>
      <c r="RDR25" s="2827"/>
      <c r="RDS25" s="2867"/>
      <c r="RDT25" s="2866"/>
      <c r="RDU25" s="2827"/>
      <c r="RDV25" s="2867"/>
      <c r="RDW25" s="2866"/>
      <c r="RDX25" s="2827"/>
      <c r="RDY25" s="2867"/>
      <c r="RDZ25" s="2866"/>
      <c r="REA25" s="2827"/>
      <c r="REB25" s="2867"/>
      <c r="REC25" s="2866"/>
      <c r="RED25" s="2827"/>
      <c r="REE25" s="2867"/>
      <c r="REF25" s="2866"/>
      <c r="REG25" s="2827"/>
      <c r="REH25" s="2867"/>
      <c r="REI25" s="2866"/>
      <c r="REJ25" s="2827"/>
      <c r="REK25" s="2867"/>
      <c r="REL25" s="2866"/>
      <c r="REM25" s="2827"/>
      <c r="REN25" s="2867"/>
      <c r="REO25" s="2866"/>
      <c r="REP25" s="2827"/>
      <c r="REQ25" s="2867"/>
      <c r="RER25" s="2866"/>
      <c r="RES25" s="2827"/>
      <c r="RET25" s="2867"/>
      <c r="REU25" s="2866"/>
      <c r="REV25" s="2827"/>
      <c r="REW25" s="2867"/>
      <c r="REX25" s="2866"/>
      <c r="REY25" s="2827"/>
      <c r="REZ25" s="2867"/>
      <c r="RFA25" s="2866"/>
      <c r="RFB25" s="2827"/>
      <c r="RFC25" s="2867"/>
      <c r="RFD25" s="2866"/>
      <c r="RFE25" s="2827"/>
      <c r="RFF25" s="2867"/>
      <c r="RFG25" s="2866"/>
      <c r="RFH25" s="2827"/>
      <c r="RFI25" s="2867"/>
      <c r="RFJ25" s="2866"/>
      <c r="RFK25" s="2827"/>
      <c r="RFL25" s="2867"/>
      <c r="RFM25" s="2866"/>
      <c r="RFN25" s="2827"/>
      <c r="RFO25" s="2867"/>
      <c r="RFP25" s="2866"/>
      <c r="RFQ25" s="2827"/>
      <c r="RFR25" s="2867"/>
      <c r="RFS25" s="2866"/>
      <c r="RFT25" s="2827"/>
      <c r="RFU25" s="2867"/>
      <c r="RFV25" s="2866"/>
      <c r="RFW25" s="2827"/>
      <c r="RFX25" s="2867"/>
      <c r="RFY25" s="2866"/>
      <c r="RFZ25" s="2827"/>
      <c r="RGA25" s="2867"/>
      <c r="RGB25" s="2866"/>
      <c r="RGC25" s="2827"/>
      <c r="RGD25" s="2867"/>
      <c r="RGE25" s="2866"/>
      <c r="RGF25" s="2827"/>
      <c r="RGG25" s="2867"/>
      <c r="RGH25" s="2866"/>
      <c r="RGI25" s="2827"/>
      <c r="RGJ25" s="2867"/>
      <c r="RGK25" s="2866"/>
      <c r="RGL25" s="2827"/>
      <c r="RGM25" s="2867"/>
      <c r="RGN25" s="2866"/>
      <c r="RGO25" s="2827"/>
      <c r="RGP25" s="2867"/>
      <c r="RGQ25" s="2866"/>
      <c r="RGR25" s="2827"/>
      <c r="RGS25" s="2867"/>
      <c r="RGT25" s="2866"/>
      <c r="RGU25" s="2827"/>
      <c r="RGV25" s="2867"/>
      <c r="RGW25" s="2866"/>
      <c r="RGX25" s="2827"/>
      <c r="RGY25" s="2867"/>
      <c r="RGZ25" s="2866"/>
      <c r="RHA25" s="2827"/>
      <c r="RHB25" s="2867"/>
      <c r="RHC25" s="2866"/>
      <c r="RHD25" s="2827"/>
      <c r="RHE25" s="2867"/>
      <c r="RHF25" s="2866"/>
      <c r="RHG25" s="2827"/>
      <c r="RHH25" s="2867"/>
      <c r="RHI25" s="2866"/>
      <c r="RHJ25" s="2827"/>
      <c r="RHK25" s="2867"/>
      <c r="RHL25" s="2866"/>
      <c r="RHM25" s="2827"/>
      <c r="RHN25" s="2867"/>
      <c r="RHO25" s="2866"/>
      <c r="RHP25" s="2827"/>
      <c r="RHQ25" s="2867"/>
      <c r="RHR25" s="2866"/>
      <c r="RHS25" s="2827"/>
      <c r="RHT25" s="2867"/>
      <c r="RHU25" s="2866"/>
      <c r="RHV25" s="2827"/>
      <c r="RHW25" s="2867"/>
      <c r="RHX25" s="2866"/>
      <c r="RHY25" s="2827"/>
      <c r="RHZ25" s="2867"/>
      <c r="RIA25" s="2866"/>
      <c r="RIB25" s="2827"/>
      <c r="RIC25" s="2867"/>
      <c r="RID25" s="2866"/>
      <c r="RIE25" s="2827"/>
      <c r="RIF25" s="2867"/>
      <c r="RIG25" s="2866"/>
      <c r="RIH25" s="2827"/>
      <c r="RII25" s="2867"/>
      <c r="RIJ25" s="2866"/>
      <c r="RIK25" s="2827"/>
      <c r="RIL25" s="2867"/>
      <c r="RIM25" s="2866"/>
      <c r="RIN25" s="2827"/>
      <c r="RIO25" s="2867"/>
      <c r="RIP25" s="2866"/>
      <c r="RIQ25" s="2827"/>
      <c r="RIR25" s="2867"/>
      <c r="RIS25" s="2866"/>
      <c r="RIT25" s="2827"/>
      <c r="RIU25" s="2867"/>
      <c r="RIV25" s="2866"/>
      <c r="RIW25" s="2827"/>
      <c r="RIX25" s="2867"/>
      <c r="RIY25" s="2866"/>
      <c r="RIZ25" s="2827"/>
      <c r="RJA25" s="2867"/>
      <c r="RJB25" s="2866"/>
      <c r="RJC25" s="2827"/>
      <c r="RJD25" s="2867"/>
      <c r="RJE25" s="2866"/>
      <c r="RJF25" s="2827"/>
      <c r="RJG25" s="2867"/>
      <c r="RJH25" s="2866"/>
      <c r="RJI25" s="2827"/>
      <c r="RJJ25" s="2867"/>
      <c r="RJK25" s="2866"/>
      <c r="RJL25" s="2827"/>
      <c r="RJM25" s="2867"/>
      <c r="RJN25" s="2866"/>
      <c r="RJO25" s="2827"/>
      <c r="RJP25" s="2867"/>
      <c r="RJQ25" s="2866"/>
      <c r="RJR25" s="2827"/>
      <c r="RJS25" s="2867"/>
      <c r="RJT25" s="2866"/>
      <c r="RJU25" s="2827"/>
      <c r="RJV25" s="2867"/>
      <c r="RJW25" s="2866"/>
      <c r="RJX25" s="2827"/>
      <c r="RJY25" s="2867"/>
      <c r="RJZ25" s="2866"/>
      <c r="RKA25" s="2827"/>
      <c r="RKB25" s="2867"/>
      <c r="RKC25" s="2866"/>
      <c r="RKD25" s="2827"/>
      <c r="RKE25" s="2867"/>
      <c r="RKF25" s="2866"/>
      <c r="RKG25" s="2827"/>
      <c r="RKH25" s="2867"/>
      <c r="RKI25" s="2866"/>
      <c r="RKJ25" s="2827"/>
      <c r="RKK25" s="2867"/>
      <c r="RKL25" s="2866"/>
      <c r="RKM25" s="2827"/>
      <c r="RKN25" s="2867"/>
      <c r="RKO25" s="2866"/>
      <c r="RKP25" s="2827"/>
      <c r="RKQ25" s="2867"/>
      <c r="RKR25" s="2866"/>
      <c r="RKS25" s="2827"/>
      <c r="RKT25" s="2867"/>
      <c r="RKU25" s="2866"/>
      <c r="RKV25" s="2827"/>
      <c r="RKW25" s="2867"/>
      <c r="RKX25" s="2866"/>
      <c r="RKY25" s="2827"/>
      <c r="RKZ25" s="2867"/>
      <c r="RLA25" s="2866"/>
      <c r="RLB25" s="2827"/>
      <c r="RLC25" s="2867"/>
      <c r="RLD25" s="2866"/>
      <c r="RLE25" s="2827"/>
      <c r="RLF25" s="2867"/>
      <c r="RLG25" s="2866"/>
      <c r="RLH25" s="2827"/>
      <c r="RLI25" s="2867"/>
      <c r="RLJ25" s="2866"/>
      <c r="RLK25" s="2827"/>
      <c r="RLL25" s="2867"/>
      <c r="RLM25" s="2866"/>
      <c r="RLN25" s="2827"/>
      <c r="RLO25" s="2867"/>
      <c r="RLP25" s="2866"/>
      <c r="RLQ25" s="2827"/>
      <c r="RLR25" s="2867"/>
      <c r="RLS25" s="2866"/>
      <c r="RLT25" s="2827"/>
      <c r="RLU25" s="2867"/>
      <c r="RLV25" s="2866"/>
      <c r="RLW25" s="2827"/>
      <c r="RLX25" s="2867"/>
      <c r="RLY25" s="2866"/>
      <c r="RLZ25" s="2827"/>
      <c r="RMA25" s="2867"/>
      <c r="RMB25" s="2866"/>
      <c r="RMC25" s="2827"/>
      <c r="RMD25" s="2867"/>
      <c r="RME25" s="2866"/>
      <c r="RMF25" s="2827"/>
      <c r="RMG25" s="2867"/>
      <c r="RMH25" s="2866"/>
      <c r="RMI25" s="2827"/>
      <c r="RMJ25" s="2867"/>
      <c r="RMK25" s="2866"/>
      <c r="RML25" s="2827"/>
      <c r="RMM25" s="2867"/>
      <c r="RMN25" s="2866"/>
      <c r="RMO25" s="2827"/>
      <c r="RMP25" s="2867"/>
      <c r="RMQ25" s="2866"/>
      <c r="RMR25" s="2827"/>
      <c r="RMS25" s="2867"/>
      <c r="RMT25" s="2866"/>
      <c r="RMU25" s="2827"/>
      <c r="RMV25" s="2867"/>
      <c r="RMW25" s="2866"/>
      <c r="RMX25" s="2827"/>
      <c r="RMY25" s="2867"/>
      <c r="RMZ25" s="2866"/>
      <c r="RNA25" s="2827"/>
      <c r="RNB25" s="2867"/>
      <c r="RNC25" s="2866"/>
      <c r="RND25" s="2827"/>
      <c r="RNE25" s="2867"/>
      <c r="RNF25" s="2866"/>
      <c r="RNG25" s="2827"/>
      <c r="RNH25" s="2867"/>
      <c r="RNI25" s="2866"/>
      <c r="RNJ25" s="2827"/>
      <c r="RNK25" s="2867"/>
      <c r="RNL25" s="2866"/>
      <c r="RNM25" s="2827"/>
      <c r="RNN25" s="2867"/>
      <c r="RNO25" s="2866"/>
      <c r="RNP25" s="2827"/>
      <c r="RNQ25" s="2867"/>
      <c r="RNR25" s="2866"/>
      <c r="RNS25" s="2827"/>
      <c r="RNT25" s="2867"/>
      <c r="RNU25" s="2866"/>
      <c r="RNV25" s="2827"/>
      <c r="RNW25" s="2867"/>
      <c r="RNX25" s="2866"/>
      <c r="RNY25" s="2827"/>
      <c r="RNZ25" s="2867"/>
      <c r="ROA25" s="2866"/>
      <c r="ROB25" s="2827"/>
      <c r="ROC25" s="2867"/>
      <c r="ROD25" s="2866"/>
      <c r="ROE25" s="2827"/>
      <c r="ROF25" s="2867"/>
      <c r="ROG25" s="2866"/>
      <c r="ROH25" s="2827"/>
      <c r="ROI25" s="2867"/>
      <c r="ROJ25" s="2866"/>
      <c r="ROK25" s="2827"/>
      <c r="ROL25" s="2867"/>
      <c r="ROM25" s="2866"/>
      <c r="RON25" s="2827"/>
      <c r="ROO25" s="2867"/>
      <c r="ROP25" s="2866"/>
      <c r="ROQ25" s="2827"/>
      <c r="ROR25" s="2867"/>
      <c r="ROS25" s="2866"/>
      <c r="ROT25" s="2827"/>
      <c r="ROU25" s="2867"/>
      <c r="ROV25" s="2866"/>
      <c r="ROW25" s="2827"/>
      <c r="ROX25" s="2867"/>
      <c r="ROY25" s="2866"/>
      <c r="ROZ25" s="2827"/>
      <c r="RPA25" s="2867"/>
      <c r="RPB25" s="2866"/>
      <c r="RPC25" s="2827"/>
      <c r="RPD25" s="2867"/>
      <c r="RPE25" s="2866"/>
      <c r="RPF25" s="2827"/>
      <c r="RPG25" s="2867"/>
      <c r="RPH25" s="2866"/>
      <c r="RPI25" s="2827"/>
      <c r="RPJ25" s="2867"/>
      <c r="RPK25" s="2866"/>
      <c r="RPL25" s="2827"/>
      <c r="RPM25" s="2867"/>
      <c r="RPN25" s="2866"/>
      <c r="RPO25" s="2827"/>
      <c r="RPP25" s="2867"/>
      <c r="RPQ25" s="2866"/>
      <c r="RPR25" s="2827"/>
      <c r="RPS25" s="2867"/>
      <c r="RPT25" s="2866"/>
      <c r="RPU25" s="2827"/>
      <c r="RPV25" s="2867"/>
      <c r="RPW25" s="2866"/>
      <c r="RPX25" s="2827"/>
      <c r="RPY25" s="2867"/>
      <c r="RPZ25" s="2866"/>
      <c r="RQA25" s="2827"/>
      <c r="RQB25" s="2867"/>
      <c r="RQC25" s="2866"/>
      <c r="RQD25" s="2827"/>
      <c r="RQE25" s="2867"/>
      <c r="RQF25" s="2866"/>
      <c r="RQG25" s="2827"/>
      <c r="RQH25" s="2867"/>
      <c r="RQI25" s="2866"/>
      <c r="RQJ25" s="2827"/>
      <c r="RQK25" s="2867"/>
      <c r="RQL25" s="2866"/>
      <c r="RQM25" s="2827"/>
      <c r="RQN25" s="2867"/>
      <c r="RQO25" s="2866"/>
      <c r="RQP25" s="2827"/>
      <c r="RQQ25" s="2867"/>
      <c r="RQR25" s="2866"/>
      <c r="RQS25" s="2827"/>
      <c r="RQT25" s="2867"/>
      <c r="RQU25" s="2866"/>
      <c r="RQV25" s="2827"/>
      <c r="RQW25" s="2867"/>
      <c r="RQX25" s="2866"/>
      <c r="RQY25" s="2827"/>
      <c r="RQZ25" s="2867"/>
      <c r="RRA25" s="2866"/>
      <c r="RRB25" s="2827"/>
      <c r="RRC25" s="2867"/>
      <c r="RRD25" s="2866"/>
      <c r="RRE25" s="2827"/>
      <c r="RRF25" s="2867"/>
      <c r="RRG25" s="2866"/>
      <c r="RRH25" s="2827"/>
      <c r="RRI25" s="2867"/>
      <c r="RRJ25" s="2866"/>
      <c r="RRK25" s="2827"/>
      <c r="RRL25" s="2867"/>
      <c r="RRM25" s="2866"/>
      <c r="RRN25" s="2827"/>
      <c r="RRO25" s="2867"/>
      <c r="RRP25" s="2866"/>
      <c r="RRQ25" s="2827"/>
      <c r="RRR25" s="2867"/>
      <c r="RRS25" s="2866"/>
      <c r="RRT25" s="2827"/>
      <c r="RRU25" s="2867"/>
      <c r="RRV25" s="2866"/>
      <c r="RRW25" s="2827"/>
      <c r="RRX25" s="2867"/>
      <c r="RRY25" s="2866"/>
      <c r="RRZ25" s="2827"/>
      <c r="RSA25" s="2867"/>
      <c r="RSB25" s="2866"/>
      <c r="RSC25" s="2827"/>
      <c r="RSD25" s="2867"/>
      <c r="RSE25" s="2866"/>
      <c r="RSF25" s="2827"/>
      <c r="RSG25" s="2867"/>
      <c r="RSH25" s="2866"/>
      <c r="RSI25" s="2827"/>
      <c r="RSJ25" s="2867"/>
      <c r="RSK25" s="2866"/>
      <c r="RSL25" s="2827"/>
      <c r="RSM25" s="2867"/>
      <c r="RSN25" s="2866"/>
      <c r="RSO25" s="2827"/>
      <c r="RSP25" s="2867"/>
      <c r="RSQ25" s="2866"/>
      <c r="RSR25" s="2827"/>
      <c r="RSS25" s="2867"/>
      <c r="RST25" s="2866"/>
      <c r="RSU25" s="2827"/>
      <c r="RSV25" s="2867"/>
      <c r="RSW25" s="2866"/>
      <c r="RSX25" s="2827"/>
      <c r="RSY25" s="2867"/>
      <c r="RSZ25" s="2866"/>
      <c r="RTA25" s="2827"/>
      <c r="RTB25" s="2867"/>
      <c r="RTC25" s="2866"/>
      <c r="RTD25" s="2827"/>
      <c r="RTE25" s="2867"/>
      <c r="RTF25" s="2866"/>
      <c r="RTG25" s="2827"/>
      <c r="RTH25" s="2867"/>
      <c r="RTI25" s="2866"/>
      <c r="RTJ25" s="2827"/>
      <c r="RTK25" s="2867"/>
      <c r="RTL25" s="2866"/>
      <c r="RTM25" s="2827"/>
      <c r="RTN25" s="2867"/>
      <c r="RTO25" s="2866"/>
      <c r="RTP25" s="2827"/>
      <c r="RTQ25" s="2867"/>
      <c r="RTR25" s="2866"/>
      <c r="RTS25" s="2827"/>
      <c r="RTT25" s="2867"/>
      <c r="RTU25" s="2866"/>
      <c r="RTV25" s="2827"/>
      <c r="RTW25" s="2867"/>
      <c r="RTX25" s="2866"/>
      <c r="RTY25" s="2827"/>
      <c r="RTZ25" s="2867"/>
      <c r="RUA25" s="2866"/>
      <c r="RUB25" s="2827"/>
      <c r="RUC25" s="2867"/>
      <c r="RUD25" s="2866"/>
      <c r="RUE25" s="2827"/>
      <c r="RUF25" s="2867"/>
      <c r="RUG25" s="2866"/>
      <c r="RUH25" s="2827"/>
      <c r="RUI25" s="2867"/>
      <c r="RUJ25" s="2866"/>
      <c r="RUK25" s="2827"/>
      <c r="RUL25" s="2867"/>
      <c r="RUM25" s="2866"/>
      <c r="RUN25" s="2827"/>
      <c r="RUO25" s="2867"/>
      <c r="RUP25" s="2866"/>
      <c r="RUQ25" s="2827"/>
      <c r="RUR25" s="2867"/>
      <c r="RUS25" s="2866"/>
      <c r="RUT25" s="2827"/>
      <c r="RUU25" s="2867"/>
      <c r="RUV25" s="2866"/>
      <c r="RUW25" s="2827"/>
      <c r="RUX25" s="2867"/>
      <c r="RUY25" s="2866"/>
      <c r="RUZ25" s="2827"/>
      <c r="RVA25" s="2867"/>
      <c r="RVB25" s="2866"/>
      <c r="RVC25" s="2827"/>
      <c r="RVD25" s="2867"/>
      <c r="RVE25" s="2866"/>
      <c r="RVF25" s="2827"/>
      <c r="RVG25" s="2867"/>
      <c r="RVH25" s="2866"/>
      <c r="RVI25" s="2827"/>
      <c r="RVJ25" s="2867"/>
      <c r="RVK25" s="2866"/>
      <c r="RVL25" s="2827"/>
      <c r="RVM25" s="2867"/>
      <c r="RVN25" s="2866"/>
      <c r="RVO25" s="2827"/>
      <c r="RVP25" s="2867"/>
      <c r="RVQ25" s="2866"/>
      <c r="RVR25" s="2827"/>
      <c r="RVS25" s="2867"/>
      <c r="RVT25" s="2866"/>
      <c r="RVU25" s="2827"/>
      <c r="RVV25" s="2867"/>
      <c r="RVW25" s="2866"/>
      <c r="RVX25" s="2827"/>
      <c r="RVY25" s="2867"/>
      <c r="RVZ25" s="2866"/>
      <c r="RWA25" s="2827"/>
      <c r="RWB25" s="2867"/>
      <c r="RWC25" s="2866"/>
      <c r="RWD25" s="2827"/>
      <c r="RWE25" s="2867"/>
      <c r="RWF25" s="2866"/>
      <c r="RWG25" s="2827"/>
      <c r="RWH25" s="2867"/>
      <c r="RWI25" s="2866"/>
      <c r="RWJ25" s="2827"/>
      <c r="RWK25" s="2867"/>
      <c r="RWL25" s="2866"/>
      <c r="RWM25" s="2827"/>
      <c r="RWN25" s="2867"/>
      <c r="RWO25" s="2866"/>
      <c r="RWP25" s="2827"/>
      <c r="RWQ25" s="2867"/>
      <c r="RWR25" s="2866"/>
      <c r="RWS25" s="2827"/>
      <c r="RWT25" s="2867"/>
      <c r="RWU25" s="2866"/>
      <c r="RWV25" s="2827"/>
      <c r="RWW25" s="2867"/>
      <c r="RWX25" s="2866"/>
      <c r="RWY25" s="2827"/>
      <c r="RWZ25" s="2867"/>
      <c r="RXA25" s="2866"/>
      <c r="RXB25" s="2827"/>
      <c r="RXC25" s="2867"/>
      <c r="RXD25" s="2866"/>
      <c r="RXE25" s="2827"/>
      <c r="RXF25" s="2867"/>
      <c r="RXG25" s="2866"/>
      <c r="RXH25" s="2827"/>
      <c r="RXI25" s="2867"/>
      <c r="RXJ25" s="2866"/>
      <c r="RXK25" s="2827"/>
      <c r="RXL25" s="2867"/>
      <c r="RXM25" s="2866"/>
      <c r="RXN25" s="2827"/>
      <c r="RXO25" s="2867"/>
      <c r="RXP25" s="2866"/>
      <c r="RXQ25" s="2827"/>
      <c r="RXR25" s="2867"/>
      <c r="RXS25" s="2866"/>
      <c r="RXT25" s="2827"/>
      <c r="RXU25" s="2867"/>
      <c r="RXV25" s="2866"/>
      <c r="RXW25" s="2827"/>
      <c r="RXX25" s="2867"/>
      <c r="RXY25" s="2866"/>
      <c r="RXZ25" s="2827"/>
      <c r="RYA25" s="2867"/>
      <c r="RYB25" s="2866"/>
      <c r="RYC25" s="2827"/>
      <c r="RYD25" s="2867"/>
      <c r="RYE25" s="2866"/>
      <c r="RYF25" s="2827"/>
      <c r="RYG25" s="2867"/>
      <c r="RYH25" s="2866"/>
      <c r="RYI25" s="2827"/>
      <c r="RYJ25" s="2867"/>
      <c r="RYK25" s="2866"/>
      <c r="RYL25" s="2827"/>
      <c r="RYM25" s="2867"/>
      <c r="RYN25" s="2866"/>
      <c r="RYO25" s="2827"/>
      <c r="RYP25" s="2867"/>
      <c r="RYQ25" s="2866"/>
      <c r="RYR25" s="2827"/>
      <c r="RYS25" s="2867"/>
      <c r="RYT25" s="2866"/>
      <c r="RYU25" s="2827"/>
      <c r="RYV25" s="2867"/>
      <c r="RYW25" s="2866"/>
      <c r="RYX25" s="2827"/>
      <c r="RYY25" s="2867"/>
      <c r="RYZ25" s="2866"/>
      <c r="RZA25" s="2827"/>
      <c r="RZB25" s="2867"/>
      <c r="RZC25" s="2866"/>
      <c r="RZD25" s="2827"/>
      <c r="RZE25" s="2867"/>
      <c r="RZF25" s="2866"/>
      <c r="RZG25" s="2827"/>
      <c r="RZH25" s="2867"/>
      <c r="RZI25" s="2866"/>
      <c r="RZJ25" s="2827"/>
      <c r="RZK25" s="2867"/>
      <c r="RZL25" s="2866"/>
      <c r="RZM25" s="2827"/>
      <c r="RZN25" s="2867"/>
      <c r="RZO25" s="2866"/>
      <c r="RZP25" s="2827"/>
      <c r="RZQ25" s="2867"/>
      <c r="RZR25" s="2866"/>
      <c r="RZS25" s="2827"/>
      <c r="RZT25" s="2867"/>
      <c r="RZU25" s="2866"/>
      <c r="RZV25" s="2827"/>
      <c r="RZW25" s="2867"/>
      <c r="RZX25" s="2866"/>
      <c r="RZY25" s="2827"/>
      <c r="RZZ25" s="2867"/>
      <c r="SAA25" s="2866"/>
      <c r="SAB25" s="2827"/>
      <c r="SAC25" s="2867"/>
      <c r="SAD25" s="2866"/>
      <c r="SAE25" s="2827"/>
      <c r="SAF25" s="2867"/>
      <c r="SAG25" s="2866"/>
      <c r="SAH25" s="2827"/>
      <c r="SAI25" s="2867"/>
      <c r="SAJ25" s="2866"/>
      <c r="SAK25" s="2827"/>
      <c r="SAL25" s="2867"/>
      <c r="SAM25" s="2866"/>
      <c r="SAN25" s="2827"/>
      <c r="SAO25" s="2867"/>
      <c r="SAP25" s="2866"/>
      <c r="SAQ25" s="2827"/>
      <c r="SAR25" s="2867"/>
      <c r="SAS25" s="2866"/>
      <c r="SAT25" s="2827"/>
      <c r="SAU25" s="2867"/>
      <c r="SAV25" s="2866"/>
      <c r="SAW25" s="2827"/>
      <c r="SAX25" s="2867"/>
      <c r="SAY25" s="2866"/>
      <c r="SAZ25" s="2827"/>
      <c r="SBA25" s="2867"/>
      <c r="SBB25" s="2866"/>
      <c r="SBC25" s="2827"/>
      <c r="SBD25" s="2867"/>
      <c r="SBE25" s="2866"/>
      <c r="SBF25" s="2827"/>
      <c r="SBG25" s="2867"/>
      <c r="SBH25" s="2866"/>
      <c r="SBI25" s="2827"/>
      <c r="SBJ25" s="2867"/>
      <c r="SBK25" s="2866"/>
      <c r="SBL25" s="2827"/>
      <c r="SBM25" s="2867"/>
      <c r="SBN25" s="2866"/>
      <c r="SBO25" s="2827"/>
      <c r="SBP25" s="2867"/>
      <c r="SBQ25" s="2866"/>
      <c r="SBR25" s="2827"/>
      <c r="SBS25" s="2867"/>
      <c r="SBT25" s="2866"/>
      <c r="SBU25" s="2827"/>
      <c r="SBV25" s="2867"/>
      <c r="SBW25" s="2866"/>
      <c r="SBX25" s="2827"/>
      <c r="SBY25" s="2867"/>
      <c r="SBZ25" s="2866"/>
      <c r="SCA25" s="2827"/>
      <c r="SCB25" s="2867"/>
      <c r="SCC25" s="2866"/>
      <c r="SCD25" s="2827"/>
      <c r="SCE25" s="2867"/>
      <c r="SCF25" s="2866"/>
      <c r="SCG25" s="2827"/>
      <c r="SCH25" s="2867"/>
      <c r="SCI25" s="2866"/>
      <c r="SCJ25" s="2827"/>
      <c r="SCK25" s="2867"/>
      <c r="SCL25" s="2866"/>
      <c r="SCM25" s="2827"/>
      <c r="SCN25" s="2867"/>
      <c r="SCO25" s="2866"/>
      <c r="SCP25" s="2827"/>
      <c r="SCQ25" s="2867"/>
      <c r="SCR25" s="2866"/>
      <c r="SCS25" s="2827"/>
      <c r="SCT25" s="2867"/>
      <c r="SCU25" s="2866"/>
      <c r="SCV25" s="2827"/>
      <c r="SCW25" s="2867"/>
      <c r="SCX25" s="2866"/>
      <c r="SCY25" s="2827"/>
      <c r="SCZ25" s="2867"/>
      <c r="SDA25" s="2866"/>
      <c r="SDB25" s="2827"/>
      <c r="SDC25" s="2867"/>
      <c r="SDD25" s="2866"/>
      <c r="SDE25" s="2827"/>
      <c r="SDF25" s="2867"/>
      <c r="SDG25" s="2866"/>
      <c r="SDH25" s="2827"/>
      <c r="SDI25" s="2867"/>
      <c r="SDJ25" s="2866"/>
      <c r="SDK25" s="2827"/>
      <c r="SDL25" s="2867"/>
      <c r="SDM25" s="2866"/>
      <c r="SDN25" s="2827"/>
      <c r="SDO25" s="2867"/>
      <c r="SDP25" s="2866"/>
      <c r="SDQ25" s="2827"/>
      <c r="SDR25" s="2867"/>
      <c r="SDS25" s="2866"/>
      <c r="SDT25" s="2827"/>
      <c r="SDU25" s="2867"/>
      <c r="SDV25" s="2866"/>
      <c r="SDW25" s="2827"/>
      <c r="SDX25" s="2867"/>
      <c r="SDY25" s="2866"/>
      <c r="SDZ25" s="2827"/>
      <c r="SEA25" s="2867"/>
      <c r="SEB25" s="2866"/>
      <c r="SEC25" s="2827"/>
      <c r="SED25" s="2867"/>
      <c r="SEE25" s="2866"/>
      <c r="SEF25" s="2827"/>
      <c r="SEG25" s="2867"/>
      <c r="SEH25" s="2866"/>
      <c r="SEI25" s="2827"/>
      <c r="SEJ25" s="2867"/>
      <c r="SEK25" s="2866"/>
      <c r="SEL25" s="2827"/>
      <c r="SEM25" s="2867"/>
      <c r="SEN25" s="2866"/>
      <c r="SEO25" s="2827"/>
      <c r="SEP25" s="2867"/>
      <c r="SEQ25" s="2866"/>
      <c r="SER25" s="2827"/>
      <c r="SES25" s="2867"/>
      <c r="SET25" s="2866"/>
      <c r="SEU25" s="2827"/>
      <c r="SEV25" s="2867"/>
      <c r="SEW25" s="2866"/>
      <c r="SEX25" s="2827"/>
      <c r="SEY25" s="2867"/>
      <c r="SEZ25" s="2866"/>
      <c r="SFA25" s="2827"/>
      <c r="SFB25" s="2867"/>
      <c r="SFC25" s="2866"/>
      <c r="SFD25" s="2827"/>
      <c r="SFE25" s="2867"/>
      <c r="SFF25" s="2866"/>
      <c r="SFG25" s="2827"/>
      <c r="SFH25" s="2867"/>
      <c r="SFI25" s="2866"/>
      <c r="SFJ25" s="2827"/>
      <c r="SFK25" s="2867"/>
      <c r="SFL25" s="2866"/>
      <c r="SFM25" s="2827"/>
      <c r="SFN25" s="2867"/>
      <c r="SFO25" s="2866"/>
      <c r="SFP25" s="2827"/>
      <c r="SFQ25" s="2867"/>
      <c r="SFR25" s="2866"/>
      <c r="SFS25" s="2827"/>
      <c r="SFT25" s="2867"/>
      <c r="SFU25" s="2866"/>
      <c r="SFV25" s="2827"/>
      <c r="SFW25" s="2867"/>
      <c r="SFX25" s="2866"/>
      <c r="SFY25" s="2827"/>
      <c r="SFZ25" s="2867"/>
      <c r="SGA25" s="2866"/>
      <c r="SGB25" s="2827"/>
      <c r="SGC25" s="2867"/>
      <c r="SGD25" s="2866"/>
      <c r="SGE25" s="2827"/>
      <c r="SGF25" s="2867"/>
      <c r="SGG25" s="2866"/>
      <c r="SGH25" s="2827"/>
      <c r="SGI25" s="2867"/>
      <c r="SGJ25" s="2866"/>
      <c r="SGK25" s="2827"/>
      <c r="SGL25" s="2867"/>
      <c r="SGM25" s="2866"/>
      <c r="SGN25" s="2827"/>
      <c r="SGO25" s="2867"/>
      <c r="SGP25" s="2866"/>
      <c r="SGQ25" s="2827"/>
      <c r="SGR25" s="2867"/>
      <c r="SGS25" s="2866"/>
      <c r="SGT25" s="2827"/>
      <c r="SGU25" s="2867"/>
      <c r="SGV25" s="2866"/>
      <c r="SGW25" s="2827"/>
      <c r="SGX25" s="2867"/>
      <c r="SGY25" s="2866"/>
      <c r="SGZ25" s="2827"/>
      <c r="SHA25" s="2867"/>
      <c r="SHB25" s="2866"/>
      <c r="SHC25" s="2827"/>
      <c r="SHD25" s="2867"/>
      <c r="SHE25" s="2866"/>
      <c r="SHF25" s="2827"/>
      <c r="SHG25" s="2867"/>
      <c r="SHH25" s="2866"/>
      <c r="SHI25" s="2827"/>
      <c r="SHJ25" s="2867"/>
      <c r="SHK25" s="2866"/>
      <c r="SHL25" s="2827"/>
      <c r="SHM25" s="2867"/>
      <c r="SHN25" s="2866"/>
      <c r="SHO25" s="2827"/>
      <c r="SHP25" s="2867"/>
      <c r="SHQ25" s="2866"/>
      <c r="SHR25" s="2827"/>
      <c r="SHS25" s="2867"/>
      <c r="SHT25" s="2866"/>
      <c r="SHU25" s="2827"/>
      <c r="SHV25" s="2867"/>
      <c r="SHW25" s="2866"/>
      <c r="SHX25" s="2827"/>
      <c r="SHY25" s="2867"/>
      <c r="SHZ25" s="2866"/>
      <c r="SIA25" s="2827"/>
      <c r="SIB25" s="2867"/>
      <c r="SIC25" s="2866"/>
      <c r="SID25" s="2827"/>
      <c r="SIE25" s="2867"/>
      <c r="SIF25" s="2866"/>
      <c r="SIG25" s="2827"/>
      <c r="SIH25" s="2867"/>
      <c r="SII25" s="2866"/>
      <c r="SIJ25" s="2827"/>
      <c r="SIK25" s="2867"/>
      <c r="SIL25" s="2866"/>
      <c r="SIM25" s="2827"/>
      <c r="SIN25" s="2867"/>
      <c r="SIO25" s="2866"/>
      <c r="SIP25" s="2827"/>
      <c r="SIQ25" s="2867"/>
      <c r="SIR25" s="2866"/>
      <c r="SIS25" s="2827"/>
      <c r="SIT25" s="2867"/>
      <c r="SIU25" s="2866"/>
      <c r="SIV25" s="2827"/>
      <c r="SIW25" s="2867"/>
      <c r="SIX25" s="2866"/>
      <c r="SIY25" s="2827"/>
      <c r="SIZ25" s="2867"/>
      <c r="SJA25" s="2866"/>
      <c r="SJB25" s="2827"/>
      <c r="SJC25" s="2867"/>
      <c r="SJD25" s="2866"/>
      <c r="SJE25" s="2827"/>
      <c r="SJF25" s="2867"/>
      <c r="SJG25" s="2866"/>
      <c r="SJH25" s="2827"/>
      <c r="SJI25" s="2867"/>
      <c r="SJJ25" s="2866"/>
      <c r="SJK25" s="2827"/>
      <c r="SJL25" s="2867"/>
      <c r="SJM25" s="2866"/>
      <c r="SJN25" s="2827"/>
      <c r="SJO25" s="2867"/>
      <c r="SJP25" s="2866"/>
      <c r="SJQ25" s="2827"/>
      <c r="SJR25" s="2867"/>
      <c r="SJS25" s="2866"/>
      <c r="SJT25" s="2827"/>
      <c r="SJU25" s="2867"/>
      <c r="SJV25" s="2866"/>
      <c r="SJW25" s="2827"/>
      <c r="SJX25" s="2867"/>
      <c r="SJY25" s="2866"/>
      <c r="SJZ25" s="2827"/>
      <c r="SKA25" s="2867"/>
      <c r="SKB25" s="2866"/>
      <c r="SKC25" s="2827"/>
      <c r="SKD25" s="2867"/>
      <c r="SKE25" s="2866"/>
      <c r="SKF25" s="2827"/>
      <c r="SKG25" s="2867"/>
      <c r="SKH25" s="2866"/>
      <c r="SKI25" s="2827"/>
      <c r="SKJ25" s="2867"/>
      <c r="SKK25" s="2866"/>
      <c r="SKL25" s="2827"/>
      <c r="SKM25" s="2867"/>
      <c r="SKN25" s="2866"/>
      <c r="SKO25" s="2827"/>
      <c r="SKP25" s="2867"/>
      <c r="SKQ25" s="2866"/>
      <c r="SKR25" s="2827"/>
      <c r="SKS25" s="2867"/>
      <c r="SKT25" s="2866"/>
      <c r="SKU25" s="2827"/>
      <c r="SKV25" s="2867"/>
      <c r="SKW25" s="2866"/>
      <c r="SKX25" s="2827"/>
      <c r="SKY25" s="2867"/>
      <c r="SKZ25" s="2866"/>
      <c r="SLA25" s="2827"/>
      <c r="SLB25" s="2867"/>
      <c r="SLC25" s="2866"/>
      <c r="SLD25" s="2827"/>
      <c r="SLE25" s="2867"/>
      <c r="SLF25" s="2866"/>
      <c r="SLG25" s="2827"/>
      <c r="SLH25" s="2867"/>
      <c r="SLI25" s="2866"/>
      <c r="SLJ25" s="2827"/>
      <c r="SLK25" s="2867"/>
      <c r="SLL25" s="2866"/>
      <c r="SLM25" s="2827"/>
      <c r="SLN25" s="2867"/>
      <c r="SLO25" s="2866"/>
      <c r="SLP25" s="2827"/>
      <c r="SLQ25" s="2867"/>
      <c r="SLR25" s="2866"/>
      <c r="SLS25" s="2827"/>
      <c r="SLT25" s="2867"/>
      <c r="SLU25" s="2866"/>
      <c r="SLV25" s="2827"/>
      <c r="SLW25" s="2867"/>
      <c r="SLX25" s="2866"/>
      <c r="SLY25" s="2827"/>
      <c r="SLZ25" s="2867"/>
      <c r="SMA25" s="2866"/>
      <c r="SMB25" s="2827"/>
      <c r="SMC25" s="2867"/>
      <c r="SMD25" s="2866"/>
      <c r="SME25" s="2827"/>
      <c r="SMF25" s="2867"/>
      <c r="SMG25" s="2866"/>
      <c r="SMH25" s="2827"/>
      <c r="SMI25" s="2867"/>
      <c r="SMJ25" s="2866"/>
      <c r="SMK25" s="2827"/>
      <c r="SML25" s="2867"/>
      <c r="SMM25" s="2866"/>
      <c r="SMN25" s="2827"/>
      <c r="SMO25" s="2867"/>
      <c r="SMP25" s="2866"/>
      <c r="SMQ25" s="2827"/>
      <c r="SMR25" s="2867"/>
      <c r="SMS25" s="2866"/>
      <c r="SMT25" s="2827"/>
      <c r="SMU25" s="2867"/>
      <c r="SMV25" s="2866"/>
      <c r="SMW25" s="2827"/>
      <c r="SMX25" s="2867"/>
      <c r="SMY25" s="2866"/>
      <c r="SMZ25" s="2827"/>
      <c r="SNA25" s="2867"/>
      <c r="SNB25" s="2866"/>
      <c r="SNC25" s="2827"/>
      <c r="SND25" s="2867"/>
      <c r="SNE25" s="2866"/>
      <c r="SNF25" s="2827"/>
      <c r="SNG25" s="2867"/>
      <c r="SNH25" s="2866"/>
      <c r="SNI25" s="2827"/>
      <c r="SNJ25" s="2867"/>
      <c r="SNK25" s="2866"/>
      <c r="SNL25" s="2827"/>
      <c r="SNM25" s="2867"/>
      <c r="SNN25" s="2866"/>
      <c r="SNO25" s="2827"/>
      <c r="SNP25" s="2867"/>
      <c r="SNQ25" s="2866"/>
      <c r="SNR25" s="2827"/>
      <c r="SNS25" s="2867"/>
      <c r="SNT25" s="2866"/>
      <c r="SNU25" s="2827"/>
      <c r="SNV25" s="2867"/>
      <c r="SNW25" s="2866"/>
      <c r="SNX25" s="2827"/>
      <c r="SNY25" s="2867"/>
      <c r="SNZ25" s="2866"/>
      <c r="SOA25" s="2827"/>
      <c r="SOB25" s="2867"/>
      <c r="SOC25" s="2866"/>
      <c r="SOD25" s="2827"/>
      <c r="SOE25" s="2867"/>
      <c r="SOF25" s="2866"/>
      <c r="SOG25" s="2827"/>
      <c r="SOH25" s="2867"/>
      <c r="SOI25" s="2866"/>
      <c r="SOJ25" s="2827"/>
      <c r="SOK25" s="2867"/>
      <c r="SOL25" s="2866"/>
      <c r="SOM25" s="2827"/>
      <c r="SON25" s="2867"/>
      <c r="SOO25" s="2866"/>
      <c r="SOP25" s="2827"/>
      <c r="SOQ25" s="2867"/>
      <c r="SOR25" s="2866"/>
      <c r="SOS25" s="2827"/>
      <c r="SOT25" s="2867"/>
      <c r="SOU25" s="2866"/>
      <c r="SOV25" s="2827"/>
      <c r="SOW25" s="2867"/>
      <c r="SOX25" s="2866"/>
      <c r="SOY25" s="2827"/>
      <c r="SOZ25" s="2867"/>
      <c r="SPA25" s="2866"/>
      <c r="SPB25" s="2827"/>
      <c r="SPC25" s="2867"/>
      <c r="SPD25" s="2866"/>
      <c r="SPE25" s="2827"/>
      <c r="SPF25" s="2867"/>
      <c r="SPG25" s="2866"/>
      <c r="SPH25" s="2827"/>
      <c r="SPI25" s="2867"/>
      <c r="SPJ25" s="2866"/>
      <c r="SPK25" s="2827"/>
      <c r="SPL25" s="2867"/>
      <c r="SPM25" s="2866"/>
      <c r="SPN25" s="2827"/>
      <c r="SPO25" s="2867"/>
      <c r="SPP25" s="2866"/>
      <c r="SPQ25" s="2827"/>
      <c r="SPR25" s="2867"/>
      <c r="SPS25" s="2866"/>
      <c r="SPT25" s="2827"/>
      <c r="SPU25" s="2867"/>
      <c r="SPV25" s="2866"/>
      <c r="SPW25" s="2827"/>
      <c r="SPX25" s="2867"/>
      <c r="SPY25" s="2866"/>
      <c r="SPZ25" s="2827"/>
      <c r="SQA25" s="2867"/>
      <c r="SQB25" s="2866"/>
      <c r="SQC25" s="2827"/>
      <c r="SQD25" s="2867"/>
      <c r="SQE25" s="2866"/>
      <c r="SQF25" s="2827"/>
      <c r="SQG25" s="2867"/>
      <c r="SQH25" s="2866"/>
      <c r="SQI25" s="2827"/>
      <c r="SQJ25" s="2867"/>
      <c r="SQK25" s="2866"/>
      <c r="SQL25" s="2827"/>
      <c r="SQM25" s="2867"/>
      <c r="SQN25" s="2866"/>
      <c r="SQO25" s="2827"/>
      <c r="SQP25" s="2867"/>
      <c r="SQQ25" s="2866"/>
      <c r="SQR25" s="2827"/>
      <c r="SQS25" s="2867"/>
      <c r="SQT25" s="2866"/>
      <c r="SQU25" s="2827"/>
      <c r="SQV25" s="2867"/>
      <c r="SQW25" s="2866"/>
      <c r="SQX25" s="2827"/>
      <c r="SQY25" s="2867"/>
      <c r="SQZ25" s="2866"/>
      <c r="SRA25" s="2827"/>
      <c r="SRB25" s="2867"/>
      <c r="SRC25" s="2866"/>
      <c r="SRD25" s="2827"/>
      <c r="SRE25" s="2867"/>
      <c r="SRF25" s="2866"/>
      <c r="SRG25" s="2827"/>
      <c r="SRH25" s="2867"/>
      <c r="SRI25" s="2866"/>
      <c r="SRJ25" s="2827"/>
      <c r="SRK25" s="2867"/>
      <c r="SRL25" s="2866"/>
      <c r="SRM25" s="2827"/>
      <c r="SRN25" s="2867"/>
      <c r="SRO25" s="2866"/>
      <c r="SRP25" s="2827"/>
      <c r="SRQ25" s="2867"/>
      <c r="SRR25" s="2866"/>
      <c r="SRS25" s="2827"/>
      <c r="SRT25" s="2867"/>
      <c r="SRU25" s="2866"/>
      <c r="SRV25" s="2827"/>
      <c r="SRW25" s="2867"/>
      <c r="SRX25" s="2866"/>
      <c r="SRY25" s="2827"/>
      <c r="SRZ25" s="2867"/>
      <c r="SSA25" s="2866"/>
      <c r="SSB25" s="2827"/>
      <c r="SSC25" s="2867"/>
      <c r="SSD25" s="2866"/>
      <c r="SSE25" s="2827"/>
      <c r="SSF25" s="2867"/>
      <c r="SSG25" s="2866"/>
      <c r="SSH25" s="2827"/>
      <c r="SSI25" s="2867"/>
      <c r="SSJ25" s="2866"/>
      <c r="SSK25" s="2827"/>
      <c r="SSL25" s="2867"/>
      <c r="SSM25" s="2866"/>
      <c r="SSN25" s="2827"/>
      <c r="SSO25" s="2867"/>
      <c r="SSP25" s="2866"/>
      <c r="SSQ25" s="2827"/>
      <c r="SSR25" s="2867"/>
      <c r="SSS25" s="2866"/>
      <c r="SST25" s="2827"/>
      <c r="SSU25" s="2867"/>
      <c r="SSV25" s="2866"/>
      <c r="SSW25" s="2827"/>
      <c r="SSX25" s="2867"/>
      <c r="SSY25" s="2866"/>
      <c r="SSZ25" s="2827"/>
      <c r="STA25" s="2867"/>
      <c r="STB25" s="2866"/>
      <c r="STC25" s="2827"/>
      <c r="STD25" s="2867"/>
      <c r="STE25" s="2866"/>
      <c r="STF25" s="2827"/>
      <c r="STG25" s="2867"/>
      <c r="STH25" s="2866"/>
      <c r="STI25" s="2827"/>
      <c r="STJ25" s="2867"/>
      <c r="STK25" s="2866"/>
      <c r="STL25" s="2827"/>
      <c r="STM25" s="2867"/>
      <c r="STN25" s="2866"/>
      <c r="STO25" s="2827"/>
      <c r="STP25" s="2867"/>
      <c r="STQ25" s="2866"/>
      <c r="STR25" s="2827"/>
      <c r="STS25" s="2867"/>
      <c r="STT25" s="2866"/>
      <c r="STU25" s="2827"/>
      <c r="STV25" s="2867"/>
      <c r="STW25" s="2866"/>
      <c r="STX25" s="2827"/>
      <c r="STY25" s="2867"/>
      <c r="STZ25" s="2866"/>
      <c r="SUA25" s="2827"/>
      <c r="SUB25" s="2867"/>
      <c r="SUC25" s="2866"/>
      <c r="SUD25" s="2827"/>
      <c r="SUE25" s="2867"/>
      <c r="SUF25" s="2866"/>
      <c r="SUG25" s="2827"/>
      <c r="SUH25" s="2867"/>
      <c r="SUI25" s="2866"/>
      <c r="SUJ25" s="2827"/>
      <c r="SUK25" s="2867"/>
      <c r="SUL25" s="2866"/>
      <c r="SUM25" s="2827"/>
      <c r="SUN25" s="2867"/>
      <c r="SUO25" s="2866"/>
      <c r="SUP25" s="2827"/>
      <c r="SUQ25" s="2867"/>
      <c r="SUR25" s="2866"/>
      <c r="SUS25" s="2827"/>
      <c r="SUT25" s="2867"/>
      <c r="SUU25" s="2866"/>
      <c r="SUV25" s="2827"/>
      <c r="SUW25" s="2867"/>
      <c r="SUX25" s="2866"/>
      <c r="SUY25" s="2827"/>
      <c r="SUZ25" s="2867"/>
      <c r="SVA25" s="2866"/>
      <c r="SVB25" s="2827"/>
      <c r="SVC25" s="2867"/>
      <c r="SVD25" s="2866"/>
      <c r="SVE25" s="2827"/>
      <c r="SVF25" s="2867"/>
      <c r="SVG25" s="2866"/>
      <c r="SVH25" s="2827"/>
      <c r="SVI25" s="2867"/>
      <c r="SVJ25" s="2866"/>
      <c r="SVK25" s="2827"/>
      <c r="SVL25" s="2867"/>
      <c r="SVM25" s="2866"/>
      <c r="SVN25" s="2827"/>
      <c r="SVO25" s="2867"/>
      <c r="SVP25" s="2866"/>
      <c r="SVQ25" s="2827"/>
      <c r="SVR25" s="2867"/>
      <c r="SVS25" s="2866"/>
      <c r="SVT25" s="2827"/>
      <c r="SVU25" s="2867"/>
      <c r="SVV25" s="2866"/>
      <c r="SVW25" s="2827"/>
      <c r="SVX25" s="2867"/>
      <c r="SVY25" s="2866"/>
      <c r="SVZ25" s="2827"/>
      <c r="SWA25" s="2867"/>
      <c r="SWB25" s="2866"/>
      <c r="SWC25" s="2827"/>
      <c r="SWD25" s="2867"/>
      <c r="SWE25" s="2866"/>
      <c r="SWF25" s="2827"/>
      <c r="SWG25" s="2867"/>
      <c r="SWH25" s="2866"/>
      <c r="SWI25" s="2827"/>
      <c r="SWJ25" s="2867"/>
      <c r="SWK25" s="2866"/>
      <c r="SWL25" s="2827"/>
      <c r="SWM25" s="2867"/>
      <c r="SWN25" s="2866"/>
      <c r="SWO25" s="2827"/>
      <c r="SWP25" s="2867"/>
      <c r="SWQ25" s="2866"/>
      <c r="SWR25" s="2827"/>
      <c r="SWS25" s="2867"/>
      <c r="SWT25" s="2866"/>
      <c r="SWU25" s="2827"/>
      <c r="SWV25" s="2867"/>
      <c r="SWW25" s="2866"/>
      <c r="SWX25" s="2827"/>
      <c r="SWY25" s="2867"/>
      <c r="SWZ25" s="2866"/>
      <c r="SXA25" s="2827"/>
      <c r="SXB25" s="2867"/>
      <c r="SXC25" s="2866"/>
      <c r="SXD25" s="2827"/>
      <c r="SXE25" s="2867"/>
      <c r="SXF25" s="2866"/>
      <c r="SXG25" s="2827"/>
      <c r="SXH25" s="2867"/>
      <c r="SXI25" s="2866"/>
      <c r="SXJ25" s="2827"/>
      <c r="SXK25" s="2867"/>
      <c r="SXL25" s="2866"/>
      <c r="SXM25" s="2827"/>
      <c r="SXN25" s="2867"/>
      <c r="SXO25" s="2866"/>
      <c r="SXP25" s="2827"/>
      <c r="SXQ25" s="2867"/>
      <c r="SXR25" s="2866"/>
      <c r="SXS25" s="2827"/>
      <c r="SXT25" s="2867"/>
      <c r="SXU25" s="2866"/>
      <c r="SXV25" s="2827"/>
      <c r="SXW25" s="2867"/>
      <c r="SXX25" s="2866"/>
      <c r="SXY25" s="2827"/>
      <c r="SXZ25" s="2867"/>
      <c r="SYA25" s="2866"/>
      <c r="SYB25" s="2827"/>
      <c r="SYC25" s="2867"/>
      <c r="SYD25" s="2866"/>
      <c r="SYE25" s="2827"/>
      <c r="SYF25" s="2867"/>
      <c r="SYG25" s="2866"/>
      <c r="SYH25" s="2827"/>
      <c r="SYI25" s="2867"/>
      <c r="SYJ25" s="2866"/>
      <c r="SYK25" s="2827"/>
      <c r="SYL25" s="2867"/>
      <c r="SYM25" s="2866"/>
      <c r="SYN25" s="2827"/>
      <c r="SYO25" s="2867"/>
      <c r="SYP25" s="2866"/>
      <c r="SYQ25" s="2827"/>
      <c r="SYR25" s="2867"/>
      <c r="SYS25" s="2866"/>
      <c r="SYT25" s="2827"/>
      <c r="SYU25" s="2867"/>
      <c r="SYV25" s="2866"/>
      <c r="SYW25" s="2827"/>
      <c r="SYX25" s="2867"/>
      <c r="SYY25" s="2866"/>
      <c r="SYZ25" s="2827"/>
      <c r="SZA25" s="2867"/>
      <c r="SZB25" s="2866"/>
      <c r="SZC25" s="2827"/>
      <c r="SZD25" s="2867"/>
      <c r="SZE25" s="2866"/>
      <c r="SZF25" s="2827"/>
      <c r="SZG25" s="2867"/>
      <c r="SZH25" s="2866"/>
      <c r="SZI25" s="2827"/>
      <c r="SZJ25" s="2867"/>
      <c r="SZK25" s="2866"/>
      <c r="SZL25" s="2827"/>
      <c r="SZM25" s="2867"/>
      <c r="SZN25" s="2866"/>
      <c r="SZO25" s="2827"/>
      <c r="SZP25" s="2867"/>
      <c r="SZQ25" s="2866"/>
      <c r="SZR25" s="2827"/>
      <c r="SZS25" s="2867"/>
      <c r="SZT25" s="2866"/>
      <c r="SZU25" s="2827"/>
      <c r="SZV25" s="2867"/>
      <c r="SZW25" s="2866"/>
      <c r="SZX25" s="2827"/>
      <c r="SZY25" s="2867"/>
      <c r="SZZ25" s="2866"/>
      <c r="TAA25" s="2827"/>
      <c r="TAB25" s="2867"/>
      <c r="TAC25" s="2866"/>
      <c r="TAD25" s="2827"/>
      <c r="TAE25" s="2867"/>
      <c r="TAF25" s="2866"/>
      <c r="TAG25" s="2827"/>
      <c r="TAH25" s="2867"/>
      <c r="TAI25" s="2866"/>
      <c r="TAJ25" s="2827"/>
      <c r="TAK25" s="2867"/>
      <c r="TAL25" s="2866"/>
      <c r="TAM25" s="2827"/>
      <c r="TAN25" s="2867"/>
      <c r="TAO25" s="2866"/>
      <c r="TAP25" s="2827"/>
      <c r="TAQ25" s="2867"/>
      <c r="TAR25" s="2866"/>
      <c r="TAS25" s="2827"/>
      <c r="TAT25" s="2867"/>
      <c r="TAU25" s="2866"/>
      <c r="TAV25" s="2827"/>
      <c r="TAW25" s="2867"/>
      <c r="TAX25" s="2866"/>
      <c r="TAY25" s="2827"/>
      <c r="TAZ25" s="2867"/>
      <c r="TBA25" s="2866"/>
      <c r="TBB25" s="2827"/>
      <c r="TBC25" s="2867"/>
      <c r="TBD25" s="2866"/>
      <c r="TBE25" s="2827"/>
      <c r="TBF25" s="2867"/>
      <c r="TBG25" s="2866"/>
      <c r="TBH25" s="2827"/>
      <c r="TBI25" s="2867"/>
      <c r="TBJ25" s="2866"/>
      <c r="TBK25" s="2827"/>
      <c r="TBL25" s="2867"/>
      <c r="TBM25" s="2866"/>
      <c r="TBN25" s="2827"/>
      <c r="TBO25" s="2867"/>
      <c r="TBP25" s="2866"/>
      <c r="TBQ25" s="2827"/>
      <c r="TBR25" s="2867"/>
      <c r="TBS25" s="2866"/>
      <c r="TBT25" s="2827"/>
      <c r="TBU25" s="2867"/>
      <c r="TBV25" s="2866"/>
      <c r="TBW25" s="2827"/>
      <c r="TBX25" s="2867"/>
      <c r="TBY25" s="2866"/>
      <c r="TBZ25" s="2827"/>
      <c r="TCA25" s="2867"/>
      <c r="TCB25" s="2866"/>
      <c r="TCC25" s="2827"/>
      <c r="TCD25" s="2867"/>
      <c r="TCE25" s="2866"/>
      <c r="TCF25" s="2827"/>
      <c r="TCG25" s="2867"/>
      <c r="TCH25" s="2866"/>
      <c r="TCI25" s="2827"/>
      <c r="TCJ25" s="2867"/>
      <c r="TCK25" s="2866"/>
      <c r="TCL25" s="2827"/>
      <c r="TCM25" s="2867"/>
      <c r="TCN25" s="2866"/>
      <c r="TCO25" s="2827"/>
      <c r="TCP25" s="2867"/>
      <c r="TCQ25" s="2866"/>
      <c r="TCR25" s="2827"/>
      <c r="TCS25" s="2867"/>
      <c r="TCT25" s="2866"/>
      <c r="TCU25" s="2827"/>
      <c r="TCV25" s="2867"/>
      <c r="TCW25" s="2866"/>
      <c r="TCX25" s="2827"/>
      <c r="TCY25" s="2867"/>
      <c r="TCZ25" s="2866"/>
      <c r="TDA25" s="2827"/>
      <c r="TDB25" s="2867"/>
      <c r="TDC25" s="2866"/>
      <c r="TDD25" s="2827"/>
      <c r="TDE25" s="2867"/>
      <c r="TDF25" s="2866"/>
      <c r="TDG25" s="2827"/>
      <c r="TDH25" s="2867"/>
      <c r="TDI25" s="2866"/>
      <c r="TDJ25" s="2827"/>
      <c r="TDK25" s="2867"/>
      <c r="TDL25" s="2866"/>
      <c r="TDM25" s="2827"/>
      <c r="TDN25" s="2867"/>
      <c r="TDO25" s="2866"/>
      <c r="TDP25" s="2827"/>
      <c r="TDQ25" s="2867"/>
      <c r="TDR25" s="2866"/>
      <c r="TDS25" s="2827"/>
      <c r="TDT25" s="2867"/>
      <c r="TDU25" s="2866"/>
      <c r="TDV25" s="2827"/>
      <c r="TDW25" s="2867"/>
      <c r="TDX25" s="2866"/>
      <c r="TDY25" s="2827"/>
      <c r="TDZ25" s="2867"/>
      <c r="TEA25" s="2866"/>
      <c r="TEB25" s="2827"/>
      <c r="TEC25" s="2867"/>
      <c r="TED25" s="2866"/>
      <c r="TEE25" s="2827"/>
      <c r="TEF25" s="2867"/>
      <c r="TEG25" s="2866"/>
      <c r="TEH25" s="2827"/>
      <c r="TEI25" s="2867"/>
      <c r="TEJ25" s="2866"/>
      <c r="TEK25" s="2827"/>
      <c r="TEL25" s="2867"/>
      <c r="TEM25" s="2866"/>
      <c r="TEN25" s="2827"/>
      <c r="TEO25" s="2867"/>
      <c r="TEP25" s="2866"/>
      <c r="TEQ25" s="2827"/>
      <c r="TER25" s="2867"/>
      <c r="TES25" s="2866"/>
      <c r="TET25" s="2827"/>
      <c r="TEU25" s="2867"/>
      <c r="TEV25" s="2866"/>
      <c r="TEW25" s="2827"/>
      <c r="TEX25" s="2867"/>
      <c r="TEY25" s="2866"/>
      <c r="TEZ25" s="2827"/>
      <c r="TFA25" s="2867"/>
      <c r="TFB25" s="2866"/>
      <c r="TFC25" s="2827"/>
      <c r="TFD25" s="2867"/>
      <c r="TFE25" s="2866"/>
      <c r="TFF25" s="2827"/>
      <c r="TFG25" s="2867"/>
      <c r="TFH25" s="2866"/>
      <c r="TFI25" s="2827"/>
      <c r="TFJ25" s="2867"/>
      <c r="TFK25" s="2866"/>
      <c r="TFL25" s="2827"/>
      <c r="TFM25" s="2867"/>
      <c r="TFN25" s="2866"/>
      <c r="TFO25" s="2827"/>
      <c r="TFP25" s="2867"/>
      <c r="TFQ25" s="2866"/>
      <c r="TFR25" s="2827"/>
      <c r="TFS25" s="2867"/>
      <c r="TFT25" s="2866"/>
      <c r="TFU25" s="2827"/>
      <c r="TFV25" s="2867"/>
      <c r="TFW25" s="2866"/>
      <c r="TFX25" s="2827"/>
      <c r="TFY25" s="2867"/>
      <c r="TFZ25" s="2866"/>
      <c r="TGA25" s="2827"/>
      <c r="TGB25" s="2867"/>
      <c r="TGC25" s="2866"/>
      <c r="TGD25" s="2827"/>
      <c r="TGE25" s="2867"/>
      <c r="TGF25" s="2866"/>
      <c r="TGG25" s="2827"/>
      <c r="TGH25" s="2867"/>
      <c r="TGI25" s="2866"/>
      <c r="TGJ25" s="2827"/>
      <c r="TGK25" s="2867"/>
      <c r="TGL25" s="2866"/>
      <c r="TGM25" s="2827"/>
      <c r="TGN25" s="2867"/>
      <c r="TGO25" s="2866"/>
      <c r="TGP25" s="2827"/>
      <c r="TGQ25" s="2867"/>
      <c r="TGR25" s="2866"/>
      <c r="TGS25" s="2827"/>
      <c r="TGT25" s="2867"/>
      <c r="TGU25" s="2866"/>
      <c r="TGV25" s="2827"/>
      <c r="TGW25" s="2867"/>
      <c r="TGX25" s="2866"/>
      <c r="TGY25" s="2827"/>
      <c r="TGZ25" s="2867"/>
      <c r="THA25" s="2866"/>
      <c r="THB25" s="2827"/>
      <c r="THC25" s="2867"/>
      <c r="THD25" s="2866"/>
      <c r="THE25" s="2827"/>
      <c r="THF25" s="2867"/>
      <c r="THG25" s="2866"/>
      <c r="THH25" s="2827"/>
      <c r="THI25" s="2867"/>
      <c r="THJ25" s="2866"/>
      <c r="THK25" s="2827"/>
      <c r="THL25" s="2867"/>
      <c r="THM25" s="2866"/>
      <c r="THN25" s="2827"/>
      <c r="THO25" s="2867"/>
      <c r="THP25" s="2866"/>
      <c r="THQ25" s="2827"/>
      <c r="THR25" s="2867"/>
      <c r="THS25" s="2866"/>
      <c r="THT25" s="2827"/>
      <c r="THU25" s="2867"/>
      <c r="THV25" s="2866"/>
      <c r="THW25" s="2827"/>
      <c r="THX25" s="2867"/>
      <c r="THY25" s="2866"/>
      <c r="THZ25" s="2827"/>
      <c r="TIA25" s="2867"/>
      <c r="TIB25" s="2866"/>
      <c r="TIC25" s="2827"/>
      <c r="TID25" s="2867"/>
      <c r="TIE25" s="2866"/>
      <c r="TIF25" s="2827"/>
      <c r="TIG25" s="2867"/>
      <c r="TIH25" s="2866"/>
      <c r="TII25" s="2827"/>
      <c r="TIJ25" s="2867"/>
      <c r="TIK25" s="2866"/>
      <c r="TIL25" s="2827"/>
      <c r="TIM25" s="2867"/>
      <c r="TIN25" s="2866"/>
      <c r="TIO25" s="2827"/>
      <c r="TIP25" s="2867"/>
      <c r="TIQ25" s="2866"/>
      <c r="TIR25" s="2827"/>
      <c r="TIS25" s="2867"/>
      <c r="TIT25" s="2866"/>
      <c r="TIU25" s="2827"/>
      <c r="TIV25" s="2867"/>
      <c r="TIW25" s="2866"/>
      <c r="TIX25" s="2827"/>
      <c r="TIY25" s="2867"/>
      <c r="TIZ25" s="2866"/>
      <c r="TJA25" s="2827"/>
      <c r="TJB25" s="2867"/>
      <c r="TJC25" s="2866"/>
      <c r="TJD25" s="2827"/>
      <c r="TJE25" s="2867"/>
      <c r="TJF25" s="2866"/>
      <c r="TJG25" s="2827"/>
      <c r="TJH25" s="2867"/>
      <c r="TJI25" s="2866"/>
      <c r="TJJ25" s="2827"/>
      <c r="TJK25" s="2867"/>
      <c r="TJL25" s="2866"/>
      <c r="TJM25" s="2827"/>
      <c r="TJN25" s="2867"/>
      <c r="TJO25" s="2866"/>
      <c r="TJP25" s="2827"/>
      <c r="TJQ25" s="2867"/>
      <c r="TJR25" s="2866"/>
      <c r="TJS25" s="2827"/>
      <c r="TJT25" s="2867"/>
      <c r="TJU25" s="2866"/>
      <c r="TJV25" s="2827"/>
      <c r="TJW25" s="2867"/>
      <c r="TJX25" s="2866"/>
      <c r="TJY25" s="2827"/>
      <c r="TJZ25" s="2867"/>
      <c r="TKA25" s="2866"/>
      <c r="TKB25" s="2827"/>
      <c r="TKC25" s="2867"/>
      <c r="TKD25" s="2866"/>
      <c r="TKE25" s="2827"/>
      <c r="TKF25" s="2867"/>
      <c r="TKG25" s="2866"/>
      <c r="TKH25" s="2827"/>
      <c r="TKI25" s="2867"/>
      <c r="TKJ25" s="2866"/>
      <c r="TKK25" s="2827"/>
      <c r="TKL25" s="2867"/>
      <c r="TKM25" s="2866"/>
      <c r="TKN25" s="2827"/>
      <c r="TKO25" s="2867"/>
      <c r="TKP25" s="2866"/>
      <c r="TKQ25" s="2827"/>
      <c r="TKR25" s="2867"/>
      <c r="TKS25" s="2866"/>
      <c r="TKT25" s="2827"/>
      <c r="TKU25" s="2867"/>
      <c r="TKV25" s="2866"/>
      <c r="TKW25" s="2827"/>
      <c r="TKX25" s="2867"/>
      <c r="TKY25" s="2866"/>
      <c r="TKZ25" s="2827"/>
      <c r="TLA25" s="2867"/>
      <c r="TLB25" s="2866"/>
      <c r="TLC25" s="2827"/>
      <c r="TLD25" s="2867"/>
      <c r="TLE25" s="2866"/>
      <c r="TLF25" s="2827"/>
      <c r="TLG25" s="2867"/>
      <c r="TLH25" s="2866"/>
      <c r="TLI25" s="2827"/>
      <c r="TLJ25" s="2867"/>
      <c r="TLK25" s="2866"/>
      <c r="TLL25" s="2827"/>
      <c r="TLM25" s="2867"/>
      <c r="TLN25" s="2866"/>
      <c r="TLO25" s="2827"/>
      <c r="TLP25" s="2867"/>
      <c r="TLQ25" s="2866"/>
      <c r="TLR25" s="2827"/>
      <c r="TLS25" s="2867"/>
      <c r="TLT25" s="2866"/>
      <c r="TLU25" s="2827"/>
      <c r="TLV25" s="2867"/>
      <c r="TLW25" s="2866"/>
      <c r="TLX25" s="2827"/>
      <c r="TLY25" s="2867"/>
      <c r="TLZ25" s="2866"/>
      <c r="TMA25" s="2827"/>
      <c r="TMB25" s="2867"/>
      <c r="TMC25" s="2866"/>
      <c r="TMD25" s="2827"/>
      <c r="TME25" s="2867"/>
      <c r="TMF25" s="2866"/>
      <c r="TMG25" s="2827"/>
      <c r="TMH25" s="2867"/>
      <c r="TMI25" s="2866"/>
      <c r="TMJ25" s="2827"/>
      <c r="TMK25" s="2867"/>
      <c r="TML25" s="2866"/>
      <c r="TMM25" s="2827"/>
      <c r="TMN25" s="2867"/>
      <c r="TMO25" s="2866"/>
      <c r="TMP25" s="2827"/>
      <c r="TMQ25" s="2867"/>
      <c r="TMR25" s="2866"/>
      <c r="TMS25" s="2827"/>
      <c r="TMT25" s="2867"/>
      <c r="TMU25" s="2866"/>
      <c r="TMV25" s="2827"/>
      <c r="TMW25" s="2867"/>
      <c r="TMX25" s="2866"/>
      <c r="TMY25" s="2827"/>
      <c r="TMZ25" s="2867"/>
      <c r="TNA25" s="2866"/>
      <c r="TNB25" s="2827"/>
      <c r="TNC25" s="2867"/>
      <c r="TND25" s="2866"/>
      <c r="TNE25" s="2827"/>
      <c r="TNF25" s="2867"/>
      <c r="TNG25" s="2866"/>
      <c r="TNH25" s="2827"/>
      <c r="TNI25" s="2867"/>
      <c r="TNJ25" s="2866"/>
      <c r="TNK25" s="2827"/>
      <c r="TNL25" s="2867"/>
      <c r="TNM25" s="2866"/>
      <c r="TNN25" s="2827"/>
      <c r="TNO25" s="2867"/>
      <c r="TNP25" s="2866"/>
      <c r="TNQ25" s="2827"/>
      <c r="TNR25" s="2867"/>
      <c r="TNS25" s="2866"/>
      <c r="TNT25" s="2827"/>
      <c r="TNU25" s="2867"/>
      <c r="TNV25" s="2866"/>
      <c r="TNW25" s="2827"/>
      <c r="TNX25" s="2867"/>
      <c r="TNY25" s="2866"/>
      <c r="TNZ25" s="2827"/>
      <c r="TOA25" s="2867"/>
      <c r="TOB25" s="2866"/>
      <c r="TOC25" s="2827"/>
      <c r="TOD25" s="2867"/>
      <c r="TOE25" s="2866"/>
      <c r="TOF25" s="2827"/>
      <c r="TOG25" s="2867"/>
      <c r="TOH25" s="2866"/>
      <c r="TOI25" s="2827"/>
      <c r="TOJ25" s="2867"/>
      <c r="TOK25" s="2866"/>
      <c r="TOL25" s="2827"/>
      <c r="TOM25" s="2867"/>
      <c r="TON25" s="2866"/>
      <c r="TOO25" s="2827"/>
      <c r="TOP25" s="2867"/>
      <c r="TOQ25" s="2866"/>
      <c r="TOR25" s="2827"/>
      <c r="TOS25" s="2867"/>
      <c r="TOT25" s="2866"/>
      <c r="TOU25" s="2827"/>
      <c r="TOV25" s="2867"/>
      <c r="TOW25" s="2866"/>
      <c r="TOX25" s="2827"/>
      <c r="TOY25" s="2867"/>
      <c r="TOZ25" s="2866"/>
      <c r="TPA25" s="2827"/>
      <c r="TPB25" s="2867"/>
      <c r="TPC25" s="2866"/>
      <c r="TPD25" s="2827"/>
      <c r="TPE25" s="2867"/>
      <c r="TPF25" s="2866"/>
      <c r="TPG25" s="2827"/>
      <c r="TPH25" s="2867"/>
      <c r="TPI25" s="2866"/>
      <c r="TPJ25" s="2827"/>
      <c r="TPK25" s="2867"/>
      <c r="TPL25" s="2866"/>
      <c r="TPM25" s="2827"/>
      <c r="TPN25" s="2867"/>
      <c r="TPO25" s="2866"/>
      <c r="TPP25" s="2827"/>
      <c r="TPQ25" s="2867"/>
      <c r="TPR25" s="2866"/>
      <c r="TPS25" s="2827"/>
      <c r="TPT25" s="2867"/>
      <c r="TPU25" s="2866"/>
      <c r="TPV25" s="2827"/>
      <c r="TPW25" s="2867"/>
      <c r="TPX25" s="2866"/>
      <c r="TPY25" s="2827"/>
      <c r="TPZ25" s="2867"/>
      <c r="TQA25" s="2866"/>
      <c r="TQB25" s="2827"/>
      <c r="TQC25" s="2867"/>
      <c r="TQD25" s="2866"/>
      <c r="TQE25" s="2827"/>
      <c r="TQF25" s="2867"/>
      <c r="TQG25" s="2866"/>
      <c r="TQH25" s="2827"/>
      <c r="TQI25" s="2867"/>
      <c r="TQJ25" s="2866"/>
      <c r="TQK25" s="2827"/>
      <c r="TQL25" s="2867"/>
      <c r="TQM25" s="2866"/>
      <c r="TQN25" s="2827"/>
      <c r="TQO25" s="2867"/>
      <c r="TQP25" s="2866"/>
      <c r="TQQ25" s="2827"/>
      <c r="TQR25" s="2867"/>
      <c r="TQS25" s="2866"/>
      <c r="TQT25" s="2827"/>
      <c r="TQU25" s="2867"/>
      <c r="TQV25" s="2866"/>
      <c r="TQW25" s="2827"/>
      <c r="TQX25" s="2867"/>
      <c r="TQY25" s="2866"/>
      <c r="TQZ25" s="2827"/>
      <c r="TRA25" s="2867"/>
      <c r="TRB25" s="2866"/>
      <c r="TRC25" s="2827"/>
      <c r="TRD25" s="2867"/>
      <c r="TRE25" s="2866"/>
      <c r="TRF25" s="2827"/>
      <c r="TRG25" s="2867"/>
      <c r="TRH25" s="2866"/>
      <c r="TRI25" s="2827"/>
      <c r="TRJ25" s="2867"/>
      <c r="TRK25" s="2866"/>
      <c r="TRL25" s="2827"/>
      <c r="TRM25" s="2867"/>
      <c r="TRN25" s="2866"/>
      <c r="TRO25" s="2827"/>
      <c r="TRP25" s="2867"/>
      <c r="TRQ25" s="2866"/>
      <c r="TRR25" s="2827"/>
      <c r="TRS25" s="2867"/>
      <c r="TRT25" s="2866"/>
      <c r="TRU25" s="2827"/>
      <c r="TRV25" s="2867"/>
      <c r="TRW25" s="2866"/>
      <c r="TRX25" s="2827"/>
      <c r="TRY25" s="2867"/>
      <c r="TRZ25" s="2866"/>
      <c r="TSA25" s="2827"/>
      <c r="TSB25" s="2867"/>
      <c r="TSC25" s="2866"/>
      <c r="TSD25" s="2827"/>
      <c r="TSE25" s="2867"/>
      <c r="TSF25" s="2866"/>
      <c r="TSG25" s="2827"/>
      <c r="TSH25" s="2867"/>
      <c r="TSI25" s="2866"/>
      <c r="TSJ25" s="2827"/>
      <c r="TSK25" s="2867"/>
      <c r="TSL25" s="2866"/>
      <c r="TSM25" s="2827"/>
      <c r="TSN25" s="2867"/>
      <c r="TSO25" s="2866"/>
      <c r="TSP25" s="2827"/>
      <c r="TSQ25" s="2867"/>
      <c r="TSR25" s="2866"/>
      <c r="TSS25" s="2827"/>
      <c r="TST25" s="2867"/>
      <c r="TSU25" s="2866"/>
      <c r="TSV25" s="2827"/>
      <c r="TSW25" s="2867"/>
      <c r="TSX25" s="2866"/>
      <c r="TSY25" s="2827"/>
      <c r="TSZ25" s="2867"/>
      <c r="TTA25" s="2866"/>
      <c r="TTB25" s="2827"/>
      <c r="TTC25" s="2867"/>
      <c r="TTD25" s="2866"/>
      <c r="TTE25" s="2827"/>
      <c r="TTF25" s="2867"/>
      <c r="TTG25" s="2866"/>
      <c r="TTH25" s="2827"/>
      <c r="TTI25" s="2867"/>
      <c r="TTJ25" s="2866"/>
      <c r="TTK25" s="2827"/>
      <c r="TTL25" s="2867"/>
      <c r="TTM25" s="2866"/>
      <c r="TTN25" s="2827"/>
      <c r="TTO25" s="2867"/>
      <c r="TTP25" s="2866"/>
      <c r="TTQ25" s="2827"/>
      <c r="TTR25" s="2867"/>
      <c r="TTS25" s="2866"/>
      <c r="TTT25" s="2827"/>
      <c r="TTU25" s="2867"/>
      <c r="TTV25" s="2866"/>
      <c r="TTW25" s="2827"/>
      <c r="TTX25" s="2867"/>
      <c r="TTY25" s="2866"/>
      <c r="TTZ25" s="2827"/>
      <c r="TUA25" s="2867"/>
      <c r="TUB25" s="2866"/>
      <c r="TUC25" s="2827"/>
      <c r="TUD25" s="2867"/>
      <c r="TUE25" s="2866"/>
      <c r="TUF25" s="2827"/>
      <c r="TUG25" s="2867"/>
      <c r="TUH25" s="2866"/>
      <c r="TUI25" s="2827"/>
      <c r="TUJ25" s="2867"/>
      <c r="TUK25" s="2866"/>
      <c r="TUL25" s="2827"/>
      <c r="TUM25" s="2867"/>
      <c r="TUN25" s="2866"/>
      <c r="TUO25" s="2827"/>
      <c r="TUP25" s="2867"/>
      <c r="TUQ25" s="2866"/>
      <c r="TUR25" s="2827"/>
      <c r="TUS25" s="2867"/>
      <c r="TUT25" s="2866"/>
      <c r="TUU25" s="2827"/>
      <c r="TUV25" s="2867"/>
      <c r="TUW25" s="2866"/>
      <c r="TUX25" s="2827"/>
      <c r="TUY25" s="2867"/>
      <c r="TUZ25" s="2866"/>
      <c r="TVA25" s="2827"/>
      <c r="TVB25" s="2867"/>
      <c r="TVC25" s="2866"/>
      <c r="TVD25" s="2827"/>
      <c r="TVE25" s="2867"/>
      <c r="TVF25" s="2866"/>
      <c r="TVG25" s="2827"/>
      <c r="TVH25" s="2867"/>
      <c r="TVI25" s="2866"/>
      <c r="TVJ25" s="2827"/>
      <c r="TVK25" s="2867"/>
      <c r="TVL25" s="2866"/>
      <c r="TVM25" s="2827"/>
      <c r="TVN25" s="2867"/>
      <c r="TVO25" s="2866"/>
      <c r="TVP25" s="2827"/>
      <c r="TVQ25" s="2867"/>
      <c r="TVR25" s="2866"/>
      <c r="TVS25" s="2827"/>
      <c r="TVT25" s="2867"/>
      <c r="TVU25" s="2866"/>
      <c r="TVV25" s="2827"/>
      <c r="TVW25" s="2867"/>
      <c r="TVX25" s="2866"/>
      <c r="TVY25" s="2827"/>
      <c r="TVZ25" s="2867"/>
      <c r="TWA25" s="2866"/>
      <c r="TWB25" s="2827"/>
      <c r="TWC25" s="2867"/>
      <c r="TWD25" s="2866"/>
      <c r="TWE25" s="2827"/>
      <c r="TWF25" s="2867"/>
      <c r="TWG25" s="2866"/>
      <c r="TWH25" s="2827"/>
      <c r="TWI25" s="2867"/>
      <c r="TWJ25" s="2866"/>
      <c r="TWK25" s="2827"/>
      <c r="TWL25" s="2867"/>
      <c r="TWM25" s="2866"/>
      <c r="TWN25" s="2827"/>
      <c r="TWO25" s="2867"/>
      <c r="TWP25" s="2866"/>
      <c r="TWQ25" s="2827"/>
      <c r="TWR25" s="2867"/>
      <c r="TWS25" s="2866"/>
      <c r="TWT25" s="2827"/>
      <c r="TWU25" s="2867"/>
      <c r="TWV25" s="2866"/>
      <c r="TWW25" s="2827"/>
      <c r="TWX25" s="2867"/>
      <c r="TWY25" s="2866"/>
      <c r="TWZ25" s="2827"/>
      <c r="TXA25" s="2867"/>
      <c r="TXB25" s="2866"/>
      <c r="TXC25" s="2827"/>
      <c r="TXD25" s="2867"/>
      <c r="TXE25" s="2866"/>
      <c r="TXF25" s="2827"/>
      <c r="TXG25" s="2867"/>
      <c r="TXH25" s="2866"/>
      <c r="TXI25" s="2827"/>
      <c r="TXJ25" s="2867"/>
      <c r="TXK25" s="2866"/>
      <c r="TXL25" s="2827"/>
      <c r="TXM25" s="2867"/>
      <c r="TXN25" s="2866"/>
      <c r="TXO25" s="2827"/>
      <c r="TXP25" s="2867"/>
      <c r="TXQ25" s="2866"/>
      <c r="TXR25" s="2827"/>
      <c r="TXS25" s="2867"/>
      <c r="TXT25" s="2866"/>
      <c r="TXU25" s="2827"/>
      <c r="TXV25" s="2867"/>
      <c r="TXW25" s="2866"/>
      <c r="TXX25" s="2827"/>
      <c r="TXY25" s="2867"/>
      <c r="TXZ25" s="2866"/>
      <c r="TYA25" s="2827"/>
      <c r="TYB25" s="2867"/>
      <c r="TYC25" s="2866"/>
      <c r="TYD25" s="2827"/>
      <c r="TYE25" s="2867"/>
      <c r="TYF25" s="2866"/>
      <c r="TYG25" s="2827"/>
      <c r="TYH25" s="2867"/>
      <c r="TYI25" s="2866"/>
      <c r="TYJ25" s="2827"/>
      <c r="TYK25" s="2867"/>
      <c r="TYL25" s="2866"/>
      <c r="TYM25" s="2827"/>
      <c r="TYN25" s="2867"/>
      <c r="TYO25" s="2866"/>
      <c r="TYP25" s="2827"/>
      <c r="TYQ25" s="2867"/>
      <c r="TYR25" s="2866"/>
      <c r="TYS25" s="2827"/>
      <c r="TYT25" s="2867"/>
      <c r="TYU25" s="2866"/>
      <c r="TYV25" s="2827"/>
      <c r="TYW25" s="2867"/>
      <c r="TYX25" s="2866"/>
      <c r="TYY25" s="2827"/>
      <c r="TYZ25" s="2867"/>
      <c r="TZA25" s="2866"/>
      <c r="TZB25" s="2827"/>
      <c r="TZC25" s="2867"/>
      <c r="TZD25" s="2866"/>
      <c r="TZE25" s="2827"/>
      <c r="TZF25" s="2867"/>
      <c r="TZG25" s="2866"/>
      <c r="TZH25" s="2827"/>
      <c r="TZI25" s="2867"/>
      <c r="TZJ25" s="2866"/>
      <c r="TZK25" s="2827"/>
      <c r="TZL25" s="2867"/>
      <c r="TZM25" s="2866"/>
      <c r="TZN25" s="2827"/>
      <c r="TZO25" s="2867"/>
      <c r="TZP25" s="2866"/>
      <c r="TZQ25" s="2827"/>
      <c r="TZR25" s="2867"/>
      <c r="TZS25" s="2866"/>
      <c r="TZT25" s="2827"/>
      <c r="TZU25" s="2867"/>
      <c r="TZV25" s="2866"/>
      <c r="TZW25" s="2827"/>
      <c r="TZX25" s="2867"/>
      <c r="TZY25" s="2866"/>
      <c r="TZZ25" s="2827"/>
      <c r="UAA25" s="2867"/>
      <c r="UAB25" s="2866"/>
      <c r="UAC25" s="2827"/>
      <c r="UAD25" s="2867"/>
      <c r="UAE25" s="2866"/>
      <c r="UAF25" s="2827"/>
      <c r="UAG25" s="2867"/>
      <c r="UAH25" s="2866"/>
      <c r="UAI25" s="2827"/>
      <c r="UAJ25" s="2867"/>
      <c r="UAK25" s="2866"/>
      <c r="UAL25" s="2827"/>
      <c r="UAM25" s="2867"/>
      <c r="UAN25" s="2866"/>
      <c r="UAO25" s="2827"/>
      <c r="UAP25" s="2867"/>
      <c r="UAQ25" s="2866"/>
      <c r="UAR25" s="2827"/>
      <c r="UAS25" s="2867"/>
      <c r="UAT25" s="2866"/>
      <c r="UAU25" s="2827"/>
      <c r="UAV25" s="2867"/>
      <c r="UAW25" s="2866"/>
      <c r="UAX25" s="2827"/>
      <c r="UAY25" s="2867"/>
      <c r="UAZ25" s="2866"/>
      <c r="UBA25" s="2827"/>
      <c r="UBB25" s="2867"/>
      <c r="UBC25" s="2866"/>
      <c r="UBD25" s="2827"/>
      <c r="UBE25" s="2867"/>
      <c r="UBF25" s="2866"/>
      <c r="UBG25" s="2827"/>
      <c r="UBH25" s="2867"/>
      <c r="UBI25" s="2866"/>
      <c r="UBJ25" s="2827"/>
      <c r="UBK25" s="2867"/>
      <c r="UBL25" s="2866"/>
      <c r="UBM25" s="2827"/>
      <c r="UBN25" s="2867"/>
      <c r="UBO25" s="2866"/>
      <c r="UBP25" s="2827"/>
      <c r="UBQ25" s="2867"/>
      <c r="UBR25" s="2866"/>
      <c r="UBS25" s="2827"/>
      <c r="UBT25" s="2867"/>
      <c r="UBU25" s="2866"/>
      <c r="UBV25" s="2827"/>
      <c r="UBW25" s="2867"/>
      <c r="UBX25" s="2866"/>
      <c r="UBY25" s="2827"/>
      <c r="UBZ25" s="2867"/>
      <c r="UCA25" s="2866"/>
      <c r="UCB25" s="2827"/>
      <c r="UCC25" s="2867"/>
      <c r="UCD25" s="2866"/>
      <c r="UCE25" s="2827"/>
      <c r="UCF25" s="2867"/>
      <c r="UCG25" s="2866"/>
      <c r="UCH25" s="2827"/>
      <c r="UCI25" s="2867"/>
      <c r="UCJ25" s="2866"/>
      <c r="UCK25" s="2827"/>
      <c r="UCL25" s="2867"/>
      <c r="UCM25" s="2866"/>
      <c r="UCN25" s="2827"/>
      <c r="UCO25" s="2867"/>
      <c r="UCP25" s="2866"/>
      <c r="UCQ25" s="2827"/>
      <c r="UCR25" s="2867"/>
      <c r="UCS25" s="2866"/>
      <c r="UCT25" s="2827"/>
      <c r="UCU25" s="2867"/>
      <c r="UCV25" s="2866"/>
      <c r="UCW25" s="2827"/>
      <c r="UCX25" s="2867"/>
      <c r="UCY25" s="2866"/>
      <c r="UCZ25" s="2827"/>
      <c r="UDA25" s="2867"/>
      <c r="UDB25" s="2866"/>
      <c r="UDC25" s="2827"/>
      <c r="UDD25" s="2867"/>
      <c r="UDE25" s="2866"/>
      <c r="UDF25" s="2827"/>
      <c r="UDG25" s="2867"/>
      <c r="UDH25" s="2866"/>
      <c r="UDI25" s="2827"/>
      <c r="UDJ25" s="2867"/>
      <c r="UDK25" s="2866"/>
      <c r="UDL25" s="2827"/>
      <c r="UDM25" s="2867"/>
      <c r="UDN25" s="2866"/>
      <c r="UDO25" s="2827"/>
      <c r="UDP25" s="2867"/>
      <c r="UDQ25" s="2866"/>
      <c r="UDR25" s="2827"/>
      <c r="UDS25" s="2867"/>
      <c r="UDT25" s="2866"/>
      <c r="UDU25" s="2827"/>
      <c r="UDV25" s="2867"/>
      <c r="UDW25" s="2866"/>
      <c r="UDX25" s="2827"/>
      <c r="UDY25" s="2867"/>
      <c r="UDZ25" s="2866"/>
      <c r="UEA25" s="2827"/>
      <c r="UEB25" s="2867"/>
      <c r="UEC25" s="2866"/>
      <c r="UED25" s="2827"/>
      <c r="UEE25" s="2867"/>
      <c r="UEF25" s="2866"/>
      <c r="UEG25" s="2827"/>
      <c r="UEH25" s="2867"/>
      <c r="UEI25" s="2866"/>
      <c r="UEJ25" s="2827"/>
      <c r="UEK25" s="2867"/>
      <c r="UEL25" s="2866"/>
      <c r="UEM25" s="2827"/>
      <c r="UEN25" s="2867"/>
      <c r="UEO25" s="2866"/>
      <c r="UEP25" s="2827"/>
      <c r="UEQ25" s="2867"/>
      <c r="UER25" s="2866"/>
      <c r="UES25" s="2827"/>
      <c r="UET25" s="2867"/>
      <c r="UEU25" s="2866"/>
      <c r="UEV25" s="2827"/>
      <c r="UEW25" s="2867"/>
      <c r="UEX25" s="2866"/>
      <c r="UEY25" s="2827"/>
      <c r="UEZ25" s="2867"/>
      <c r="UFA25" s="2866"/>
      <c r="UFB25" s="2827"/>
      <c r="UFC25" s="2867"/>
      <c r="UFD25" s="2866"/>
      <c r="UFE25" s="2827"/>
      <c r="UFF25" s="2867"/>
      <c r="UFG25" s="2866"/>
      <c r="UFH25" s="2827"/>
      <c r="UFI25" s="2867"/>
      <c r="UFJ25" s="2866"/>
      <c r="UFK25" s="2827"/>
      <c r="UFL25" s="2867"/>
      <c r="UFM25" s="2866"/>
      <c r="UFN25" s="2827"/>
      <c r="UFO25" s="2867"/>
      <c r="UFP25" s="2866"/>
      <c r="UFQ25" s="2827"/>
      <c r="UFR25" s="2867"/>
      <c r="UFS25" s="2866"/>
      <c r="UFT25" s="2827"/>
      <c r="UFU25" s="2867"/>
      <c r="UFV25" s="2866"/>
      <c r="UFW25" s="2827"/>
      <c r="UFX25" s="2867"/>
      <c r="UFY25" s="2866"/>
      <c r="UFZ25" s="2827"/>
      <c r="UGA25" s="2867"/>
      <c r="UGB25" s="2866"/>
      <c r="UGC25" s="2827"/>
      <c r="UGD25" s="2867"/>
      <c r="UGE25" s="2866"/>
      <c r="UGF25" s="2827"/>
      <c r="UGG25" s="2867"/>
      <c r="UGH25" s="2866"/>
      <c r="UGI25" s="2827"/>
      <c r="UGJ25" s="2867"/>
      <c r="UGK25" s="2866"/>
      <c r="UGL25" s="2827"/>
      <c r="UGM25" s="2867"/>
      <c r="UGN25" s="2866"/>
      <c r="UGO25" s="2827"/>
      <c r="UGP25" s="2867"/>
      <c r="UGQ25" s="2866"/>
      <c r="UGR25" s="2827"/>
      <c r="UGS25" s="2867"/>
      <c r="UGT25" s="2866"/>
      <c r="UGU25" s="2827"/>
      <c r="UGV25" s="2867"/>
      <c r="UGW25" s="2866"/>
      <c r="UGX25" s="2827"/>
      <c r="UGY25" s="2867"/>
      <c r="UGZ25" s="2866"/>
      <c r="UHA25" s="2827"/>
      <c r="UHB25" s="2867"/>
      <c r="UHC25" s="2866"/>
      <c r="UHD25" s="2827"/>
      <c r="UHE25" s="2867"/>
      <c r="UHF25" s="2866"/>
      <c r="UHG25" s="2827"/>
      <c r="UHH25" s="2867"/>
      <c r="UHI25" s="2866"/>
      <c r="UHJ25" s="2827"/>
      <c r="UHK25" s="2867"/>
      <c r="UHL25" s="2866"/>
      <c r="UHM25" s="2827"/>
      <c r="UHN25" s="2867"/>
      <c r="UHO25" s="2866"/>
      <c r="UHP25" s="2827"/>
      <c r="UHQ25" s="2867"/>
      <c r="UHR25" s="2866"/>
      <c r="UHS25" s="2827"/>
      <c r="UHT25" s="2867"/>
      <c r="UHU25" s="2866"/>
      <c r="UHV25" s="2827"/>
      <c r="UHW25" s="2867"/>
      <c r="UHX25" s="2866"/>
      <c r="UHY25" s="2827"/>
      <c r="UHZ25" s="2867"/>
      <c r="UIA25" s="2866"/>
      <c r="UIB25" s="2827"/>
      <c r="UIC25" s="2867"/>
      <c r="UID25" s="2866"/>
      <c r="UIE25" s="2827"/>
      <c r="UIF25" s="2867"/>
      <c r="UIG25" s="2866"/>
      <c r="UIH25" s="2827"/>
      <c r="UII25" s="2867"/>
      <c r="UIJ25" s="2866"/>
      <c r="UIK25" s="2827"/>
      <c r="UIL25" s="2867"/>
      <c r="UIM25" s="2866"/>
      <c r="UIN25" s="2827"/>
      <c r="UIO25" s="2867"/>
      <c r="UIP25" s="2866"/>
      <c r="UIQ25" s="2827"/>
      <c r="UIR25" s="2867"/>
      <c r="UIS25" s="2866"/>
      <c r="UIT25" s="2827"/>
      <c r="UIU25" s="2867"/>
      <c r="UIV25" s="2866"/>
      <c r="UIW25" s="2827"/>
      <c r="UIX25" s="2867"/>
      <c r="UIY25" s="2866"/>
      <c r="UIZ25" s="2827"/>
      <c r="UJA25" s="2867"/>
      <c r="UJB25" s="2866"/>
      <c r="UJC25" s="2827"/>
      <c r="UJD25" s="2867"/>
      <c r="UJE25" s="2866"/>
      <c r="UJF25" s="2827"/>
      <c r="UJG25" s="2867"/>
      <c r="UJH25" s="2866"/>
      <c r="UJI25" s="2827"/>
      <c r="UJJ25" s="2867"/>
      <c r="UJK25" s="2866"/>
      <c r="UJL25" s="2827"/>
      <c r="UJM25" s="2867"/>
      <c r="UJN25" s="2866"/>
      <c r="UJO25" s="2827"/>
      <c r="UJP25" s="2867"/>
      <c r="UJQ25" s="2866"/>
      <c r="UJR25" s="2827"/>
      <c r="UJS25" s="2867"/>
      <c r="UJT25" s="2866"/>
      <c r="UJU25" s="2827"/>
      <c r="UJV25" s="2867"/>
      <c r="UJW25" s="2866"/>
      <c r="UJX25" s="2827"/>
      <c r="UJY25" s="2867"/>
      <c r="UJZ25" s="2866"/>
      <c r="UKA25" s="2827"/>
      <c r="UKB25" s="2867"/>
      <c r="UKC25" s="2866"/>
      <c r="UKD25" s="2827"/>
      <c r="UKE25" s="2867"/>
      <c r="UKF25" s="2866"/>
      <c r="UKG25" s="2827"/>
      <c r="UKH25" s="2867"/>
      <c r="UKI25" s="2866"/>
      <c r="UKJ25" s="2827"/>
      <c r="UKK25" s="2867"/>
      <c r="UKL25" s="2866"/>
      <c r="UKM25" s="2827"/>
      <c r="UKN25" s="2867"/>
      <c r="UKO25" s="2866"/>
      <c r="UKP25" s="2827"/>
      <c r="UKQ25" s="2867"/>
      <c r="UKR25" s="2866"/>
      <c r="UKS25" s="2827"/>
      <c r="UKT25" s="2867"/>
      <c r="UKU25" s="2866"/>
      <c r="UKV25" s="2827"/>
      <c r="UKW25" s="2867"/>
      <c r="UKX25" s="2866"/>
      <c r="UKY25" s="2827"/>
      <c r="UKZ25" s="2867"/>
      <c r="ULA25" s="2866"/>
      <c r="ULB25" s="2827"/>
      <c r="ULC25" s="2867"/>
      <c r="ULD25" s="2866"/>
      <c r="ULE25" s="2827"/>
      <c r="ULF25" s="2867"/>
      <c r="ULG25" s="2866"/>
      <c r="ULH25" s="2827"/>
      <c r="ULI25" s="2867"/>
      <c r="ULJ25" s="2866"/>
      <c r="ULK25" s="2827"/>
      <c r="ULL25" s="2867"/>
      <c r="ULM25" s="2866"/>
      <c r="ULN25" s="2827"/>
      <c r="ULO25" s="2867"/>
      <c r="ULP25" s="2866"/>
      <c r="ULQ25" s="2827"/>
      <c r="ULR25" s="2867"/>
      <c r="ULS25" s="2866"/>
      <c r="ULT25" s="2827"/>
      <c r="ULU25" s="2867"/>
      <c r="ULV25" s="2866"/>
      <c r="ULW25" s="2827"/>
      <c r="ULX25" s="2867"/>
      <c r="ULY25" s="2866"/>
      <c r="ULZ25" s="2827"/>
      <c r="UMA25" s="2867"/>
      <c r="UMB25" s="2866"/>
      <c r="UMC25" s="2827"/>
      <c r="UMD25" s="2867"/>
      <c r="UME25" s="2866"/>
      <c r="UMF25" s="2827"/>
      <c r="UMG25" s="2867"/>
      <c r="UMH25" s="2866"/>
      <c r="UMI25" s="2827"/>
      <c r="UMJ25" s="2867"/>
      <c r="UMK25" s="2866"/>
      <c r="UML25" s="2827"/>
      <c r="UMM25" s="2867"/>
      <c r="UMN25" s="2866"/>
      <c r="UMO25" s="2827"/>
      <c r="UMP25" s="2867"/>
      <c r="UMQ25" s="2866"/>
      <c r="UMR25" s="2827"/>
      <c r="UMS25" s="2867"/>
      <c r="UMT25" s="2866"/>
      <c r="UMU25" s="2827"/>
      <c r="UMV25" s="2867"/>
      <c r="UMW25" s="2866"/>
      <c r="UMX25" s="2827"/>
      <c r="UMY25" s="2867"/>
      <c r="UMZ25" s="2866"/>
      <c r="UNA25" s="2827"/>
      <c r="UNB25" s="2867"/>
      <c r="UNC25" s="2866"/>
      <c r="UND25" s="2827"/>
      <c r="UNE25" s="2867"/>
      <c r="UNF25" s="2866"/>
      <c r="UNG25" s="2827"/>
      <c r="UNH25" s="2867"/>
      <c r="UNI25" s="2866"/>
      <c r="UNJ25" s="2827"/>
      <c r="UNK25" s="2867"/>
      <c r="UNL25" s="2866"/>
      <c r="UNM25" s="2827"/>
      <c r="UNN25" s="2867"/>
      <c r="UNO25" s="2866"/>
      <c r="UNP25" s="2827"/>
      <c r="UNQ25" s="2867"/>
      <c r="UNR25" s="2866"/>
      <c r="UNS25" s="2827"/>
      <c r="UNT25" s="2867"/>
      <c r="UNU25" s="2866"/>
      <c r="UNV25" s="2827"/>
      <c r="UNW25" s="2867"/>
      <c r="UNX25" s="2866"/>
      <c r="UNY25" s="2827"/>
      <c r="UNZ25" s="2867"/>
      <c r="UOA25" s="2866"/>
      <c r="UOB25" s="2827"/>
      <c r="UOC25" s="2867"/>
      <c r="UOD25" s="2866"/>
      <c r="UOE25" s="2827"/>
      <c r="UOF25" s="2867"/>
      <c r="UOG25" s="2866"/>
      <c r="UOH25" s="2827"/>
      <c r="UOI25" s="2867"/>
      <c r="UOJ25" s="2866"/>
      <c r="UOK25" s="2827"/>
      <c r="UOL25" s="2867"/>
      <c r="UOM25" s="2866"/>
      <c r="UON25" s="2827"/>
      <c r="UOO25" s="2867"/>
      <c r="UOP25" s="2866"/>
      <c r="UOQ25" s="2827"/>
      <c r="UOR25" s="2867"/>
      <c r="UOS25" s="2866"/>
      <c r="UOT25" s="2827"/>
      <c r="UOU25" s="2867"/>
      <c r="UOV25" s="2866"/>
      <c r="UOW25" s="2827"/>
      <c r="UOX25" s="2867"/>
      <c r="UOY25" s="2866"/>
      <c r="UOZ25" s="2827"/>
      <c r="UPA25" s="2867"/>
      <c r="UPB25" s="2866"/>
      <c r="UPC25" s="2827"/>
      <c r="UPD25" s="2867"/>
      <c r="UPE25" s="2866"/>
      <c r="UPF25" s="2827"/>
      <c r="UPG25" s="2867"/>
      <c r="UPH25" s="2866"/>
      <c r="UPI25" s="2827"/>
      <c r="UPJ25" s="2867"/>
      <c r="UPK25" s="2866"/>
      <c r="UPL25" s="2827"/>
      <c r="UPM25" s="2867"/>
      <c r="UPN25" s="2866"/>
      <c r="UPO25" s="2827"/>
      <c r="UPP25" s="2867"/>
      <c r="UPQ25" s="2866"/>
      <c r="UPR25" s="2827"/>
      <c r="UPS25" s="2867"/>
      <c r="UPT25" s="2866"/>
      <c r="UPU25" s="2827"/>
      <c r="UPV25" s="2867"/>
      <c r="UPW25" s="2866"/>
      <c r="UPX25" s="2827"/>
      <c r="UPY25" s="2867"/>
      <c r="UPZ25" s="2866"/>
      <c r="UQA25" s="2827"/>
      <c r="UQB25" s="2867"/>
      <c r="UQC25" s="2866"/>
      <c r="UQD25" s="2827"/>
      <c r="UQE25" s="2867"/>
      <c r="UQF25" s="2866"/>
      <c r="UQG25" s="2827"/>
      <c r="UQH25" s="2867"/>
      <c r="UQI25" s="2866"/>
      <c r="UQJ25" s="2827"/>
      <c r="UQK25" s="2867"/>
      <c r="UQL25" s="2866"/>
      <c r="UQM25" s="2827"/>
      <c r="UQN25" s="2867"/>
      <c r="UQO25" s="2866"/>
      <c r="UQP25" s="2827"/>
      <c r="UQQ25" s="2867"/>
      <c r="UQR25" s="2866"/>
      <c r="UQS25" s="2827"/>
      <c r="UQT25" s="2867"/>
      <c r="UQU25" s="2866"/>
      <c r="UQV25" s="2827"/>
      <c r="UQW25" s="2867"/>
      <c r="UQX25" s="2866"/>
      <c r="UQY25" s="2827"/>
      <c r="UQZ25" s="2867"/>
      <c r="URA25" s="2866"/>
      <c r="URB25" s="2827"/>
      <c r="URC25" s="2867"/>
      <c r="URD25" s="2866"/>
      <c r="URE25" s="2827"/>
      <c r="URF25" s="2867"/>
      <c r="URG25" s="2866"/>
      <c r="URH25" s="2827"/>
      <c r="URI25" s="2867"/>
      <c r="URJ25" s="2866"/>
      <c r="URK25" s="2827"/>
      <c r="URL25" s="2867"/>
      <c r="URM25" s="2866"/>
      <c r="URN25" s="2827"/>
      <c r="URO25" s="2867"/>
      <c r="URP25" s="2866"/>
      <c r="URQ25" s="2827"/>
      <c r="URR25" s="2867"/>
      <c r="URS25" s="2866"/>
      <c r="URT25" s="2827"/>
      <c r="URU25" s="2867"/>
      <c r="URV25" s="2866"/>
      <c r="URW25" s="2827"/>
      <c r="URX25" s="2867"/>
      <c r="URY25" s="2866"/>
      <c r="URZ25" s="2827"/>
      <c r="USA25" s="2867"/>
      <c r="USB25" s="2866"/>
      <c r="USC25" s="2827"/>
      <c r="USD25" s="2867"/>
      <c r="USE25" s="2866"/>
      <c r="USF25" s="2827"/>
      <c r="USG25" s="2867"/>
      <c r="USH25" s="2866"/>
      <c r="USI25" s="2827"/>
      <c r="USJ25" s="2867"/>
      <c r="USK25" s="2866"/>
      <c r="USL25" s="2827"/>
      <c r="USM25" s="2867"/>
      <c r="USN25" s="2866"/>
      <c r="USO25" s="2827"/>
      <c r="USP25" s="2867"/>
      <c r="USQ25" s="2866"/>
      <c r="USR25" s="2827"/>
      <c r="USS25" s="2867"/>
      <c r="UST25" s="2866"/>
      <c r="USU25" s="2827"/>
      <c r="USV25" s="2867"/>
      <c r="USW25" s="2866"/>
      <c r="USX25" s="2827"/>
      <c r="USY25" s="2867"/>
      <c r="USZ25" s="2866"/>
      <c r="UTA25" s="2827"/>
      <c r="UTB25" s="2867"/>
      <c r="UTC25" s="2866"/>
      <c r="UTD25" s="2827"/>
      <c r="UTE25" s="2867"/>
      <c r="UTF25" s="2866"/>
      <c r="UTG25" s="2827"/>
      <c r="UTH25" s="2867"/>
      <c r="UTI25" s="2866"/>
      <c r="UTJ25" s="2827"/>
      <c r="UTK25" s="2867"/>
      <c r="UTL25" s="2866"/>
      <c r="UTM25" s="2827"/>
      <c r="UTN25" s="2867"/>
      <c r="UTO25" s="2866"/>
      <c r="UTP25" s="2827"/>
      <c r="UTQ25" s="2867"/>
      <c r="UTR25" s="2866"/>
      <c r="UTS25" s="2827"/>
      <c r="UTT25" s="2867"/>
      <c r="UTU25" s="2866"/>
      <c r="UTV25" s="2827"/>
      <c r="UTW25" s="2867"/>
      <c r="UTX25" s="2866"/>
      <c r="UTY25" s="2827"/>
      <c r="UTZ25" s="2867"/>
      <c r="UUA25" s="2866"/>
      <c r="UUB25" s="2827"/>
      <c r="UUC25" s="2867"/>
      <c r="UUD25" s="2866"/>
      <c r="UUE25" s="2827"/>
      <c r="UUF25" s="2867"/>
      <c r="UUG25" s="2866"/>
      <c r="UUH25" s="2827"/>
      <c r="UUI25" s="2867"/>
      <c r="UUJ25" s="2866"/>
      <c r="UUK25" s="2827"/>
      <c r="UUL25" s="2867"/>
      <c r="UUM25" s="2866"/>
      <c r="UUN25" s="2827"/>
      <c r="UUO25" s="2867"/>
      <c r="UUP25" s="2866"/>
      <c r="UUQ25" s="2827"/>
      <c r="UUR25" s="2867"/>
      <c r="UUS25" s="2866"/>
      <c r="UUT25" s="2827"/>
      <c r="UUU25" s="2867"/>
      <c r="UUV25" s="2866"/>
      <c r="UUW25" s="2827"/>
      <c r="UUX25" s="2867"/>
      <c r="UUY25" s="2866"/>
      <c r="UUZ25" s="2827"/>
      <c r="UVA25" s="2867"/>
      <c r="UVB25" s="2866"/>
      <c r="UVC25" s="2827"/>
      <c r="UVD25" s="2867"/>
      <c r="UVE25" s="2866"/>
      <c r="UVF25" s="2827"/>
      <c r="UVG25" s="2867"/>
      <c r="UVH25" s="2866"/>
      <c r="UVI25" s="2827"/>
      <c r="UVJ25" s="2867"/>
      <c r="UVK25" s="2866"/>
      <c r="UVL25" s="2827"/>
      <c r="UVM25" s="2867"/>
      <c r="UVN25" s="2866"/>
      <c r="UVO25" s="2827"/>
      <c r="UVP25" s="2867"/>
      <c r="UVQ25" s="2866"/>
      <c r="UVR25" s="2827"/>
      <c r="UVS25" s="2867"/>
      <c r="UVT25" s="2866"/>
      <c r="UVU25" s="2827"/>
      <c r="UVV25" s="2867"/>
      <c r="UVW25" s="2866"/>
      <c r="UVX25" s="2827"/>
      <c r="UVY25" s="2867"/>
      <c r="UVZ25" s="2866"/>
      <c r="UWA25" s="2827"/>
      <c r="UWB25" s="2867"/>
      <c r="UWC25" s="2866"/>
      <c r="UWD25" s="2827"/>
      <c r="UWE25" s="2867"/>
      <c r="UWF25" s="2866"/>
      <c r="UWG25" s="2827"/>
      <c r="UWH25" s="2867"/>
      <c r="UWI25" s="2866"/>
      <c r="UWJ25" s="2827"/>
      <c r="UWK25" s="2867"/>
      <c r="UWL25" s="2866"/>
      <c r="UWM25" s="2827"/>
      <c r="UWN25" s="2867"/>
      <c r="UWO25" s="2866"/>
      <c r="UWP25" s="2827"/>
      <c r="UWQ25" s="2867"/>
      <c r="UWR25" s="2866"/>
      <c r="UWS25" s="2827"/>
      <c r="UWT25" s="2867"/>
      <c r="UWU25" s="2866"/>
      <c r="UWV25" s="2827"/>
      <c r="UWW25" s="2867"/>
      <c r="UWX25" s="2866"/>
      <c r="UWY25" s="2827"/>
      <c r="UWZ25" s="2867"/>
      <c r="UXA25" s="2866"/>
      <c r="UXB25" s="2827"/>
      <c r="UXC25" s="2867"/>
      <c r="UXD25" s="2866"/>
      <c r="UXE25" s="2827"/>
      <c r="UXF25" s="2867"/>
      <c r="UXG25" s="2866"/>
      <c r="UXH25" s="2827"/>
      <c r="UXI25" s="2867"/>
      <c r="UXJ25" s="2866"/>
      <c r="UXK25" s="2827"/>
      <c r="UXL25" s="2867"/>
      <c r="UXM25" s="2866"/>
      <c r="UXN25" s="2827"/>
      <c r="UXO25" s="2867"/>
      <c r="UXP25" s="2866"/>
      <c r="UXQ25" s="2827"/>
      <c r="UXR25" s="2867"/>
      <c r="UXS25" s="2866"/>
      <c r="UXT25" s="2827"/>
      <c r="UXU25" s="2867"/>
      <c r="UXV25" s="2866"/>
      <c r="UXW25" s="2827"/>
      <c r="UXX25" s="2867"/>
      <c r="UXY25" s="2866"/>
      <c r="UXZ25" s="2827"/>
      <c r="UYA25" s="2867"/>
      <c r="UYB25" s="2866"/>
      <c r="UYC25" s="2827"/>
      <c r="UYD25" s="2867"/>
      <c r="UYE25" s="2866"/>
      <c r="UYF25" s="2827"/>
      <c r="UYG25" s="2867"/>
      <c r="UYH25" s="2866"/>
      <c r="UYI25" s="2827"/>
      <c r="UYJ25" s="2867"/>
      <c r="UYK25" s="2866"/>
      <c r="UYL25" s="2827"/>
      <c r="UYM25" s="2867"/>
      <c r="UYN25" s="2866"/>
      <c r="UYO25" s="2827"/>
      <c r="UYP25" s="2867"/>
      <c r="UYQ25" s="2866"/>
      <c r="UYR25" s="2827"/>
      <c r="UYS25" s="2867"/>
      <c r="UYT25" s="2866"/>
      <c r="UYU25" s="2827"/>
      <c r="UYV25" s="2867"/>
      <c r="UYW25" s="2866"/>
      <c r="UYX25" s="2827"/>
      <c r="UYY25" s="2867"/>
      <c r="UYZ25" s="2866"/>
      <c r="UZA25" s="2827"/>
      <c r="UZB25" s="2867"/>
      <c r="UZC25" s="2866"/>
      <c r="UZD25" s="2827"/>
      <c r="UZE25" s="2867"/>
      <c r="UZF25" s="2866"/>
      <c r="UZG25" s="2827"/>
      <c r="UZH25" s="2867"/>
      <c r="UZI25" s="2866"/>
      <c r="UZJ25" s="2827"/>
      <c r="UZK25" s="2867"/>
      <c r="UZL25" s="2866"/>
      <c r="UZM25" s="2827"/>
      <c r="UZN25" s="2867"/>
      <c r="UZO25" s="2866"/>
      <c r="UZP25" s="2827"/>
      <c r="UZQ25" s="2867"/>
      <c r="UZR25" s="2866"/>
      <c r="UZS25" s="2827"/>
      <c r="UZT25" s="2867"/>
      <c r="UZU25" s="2866"/>
      <c r="UZV25" s="2827"/>
      <c r="UZW25" s="2867"/>
      <c r="UZX25" s="2866"/>
      <c r="UZY25" s="2827"/>
      <c r="UZZ25" s="2867"/>
      <c r="VAA25" s="2866"/>
      <c r="VAB25" s="2827"/>
      <c r="VAC25" s="2867"/>
      <c r="VAD25" s="2866"/>
      <c r="VAE25" s="2827"/>
      <c r="VAF25" s="2867"/>
      <c r="VAG25" s="2866"/>
      <c r="VAH25" s="2827"/>
      <c r="VAI25" s="2867"/>
      <c r="VAJ25" s="2866"/>
      <c r="VAK25" s="2827"/>
      <c r="VAL25" s="2867"/>
      <c r="VAM25" s="2866"/>
      <c r="VAN25" s="2827"/>
      <c r="VAO25" s="2867"/>
      <c r="VAP25" s="2866"/>
      <c r="VAQ25" s="2827"/>
      <c r="VAR25" s="2867"/>
      <c r="VAS25" s="2866"/>
      <c r="VAT25" s="2827"/>
      <c r="VAU25" s="2867"/>
      <c r="VAV25" s="2866"/>
      <c r="VAW25" s="2827"/>
      <c r="VAX25" s="2867"/>
      <c r="VAY25" s="2866"/>
      <c r="VAZ25" s="2827"/>
      <c r="VBA25" s="2867"/>
      <c r="VBB25" s="2866"/>
      <c r="VBC25" s="2827"/>
      <c r="VBD25" s="2867"/>
      <c r="VBE25" s="2866"/>
      <c r="VBF25" s="2827"/>
      <c r="VBG25" s="2867"/>
      <c r="VBH25" s="2866"/>
      <c r="VBI25" s="2827"/>
      <c r="VBJ25" s="2867"/>
      <c r="VBK25" s="2866"/>
      <c r="VBL25" s="2827"/>
      <c r="VBM25" s="2867"/>
      <c r="VBN25" s="2866"/>
      <c r="VBO25" s="2827"/>
      <c r="VBP25" s="2867"/>
      <c r="VBQ25" s="2866"/>
      <c r="VBR25" s="2827"/>
      <c r="VBS25" s="2867"/>
      <c r="VBT25" s="2866"/>
      <c r="VBU25" s="2827"/>
      <c r="VBV25" s="2867"/>
      <c r="VBW25" s="2866"/>
      <c r="VBX25" s="2827"/>
      <c r="VBY25" s="2867"/>
      <c r="VBZ25" s="2866"/>
      <c r="VCA25" s="2827"/>
      <c r="VCB25" s="2867"/>
      <c r="VCC25" s="2866"/>
      <c r="VCD25" s="2827"/>
      <c r="VCE25" s="2867"/>
      <c r="VCF25" s="2866"/>
      <c r="VCG25" s="2827"/>
      <c r="VCH25" s="2867"/>
      <c r="VCI25" s="2866"/>
      <c r="VCJ25" s="2827"/>
      <c r="VCK25" s="2867"/>
      <c r="VCL25" s="2866"/>
      <c r="VCM25" s="2827"/>
      <c r="VCN25" s="2867"/>
      <c r="VCO25" s="2866"/>
      <c r="VCP25" s="2827"/>
      <c r="VCQ25" s="2867"/>
      <c r="VCR25" s="2866"/>
      <c r="VCS25" s="2827"/>
      <c r="VCT25" s="2867"/>
      <c r="VCU25" s="2866"/>
      <c r="VCV25" s="2827"/>
      <c r="VCW25" s="2867"/>
      <c r="VCX25" s="2866"/>
      <c r="VCY25" s="2827"/>
      <c r="VCZ25" s="2867"/>
      <c r="VDA25" s="2866"/>
      <c r="VDB25" s="2827"/>
      <c r="VDC25" s="2867"/>
      <c r="VDD25" s="2866"/>
      <c r="VDE25" s="2827"/>
      <c r="VDF25" s="2867"/>
      <c r="VDG25" s="2866"/>
      <c r="VDH25" s="2827"/>
      <c r="VDI25" s="2867"/>
      <c r="VDJ25" s="2866"/>
      <c r="VDK25" s="2827"/>
      <c r="VDL25" s="2867"/>
      <c r="VDM25" s="2866"/>
      <c r="VDN25" s="2827"/>
      <c r="VDO25" s="2867"/>
      <c r="VDP25" s="2866"/>
      <c r="VDQ25" s="2827"/>
      <c r="VDR25" s="2867"/>
      <c r="VDS25" s="2866"/>
      <c r="VDT25" s="2827"/>
      <c r="VDU25" s="2867"/>
      <c r="VDV25" s="2866"/>
      <c r="VDW25" s="2827"/>
      <c r="VDX25" s="2867"/>
      <c r="VDY25" s="2866"/>
      <c r="VDZ25" s="2827"/>
      <c r="VEA25" s="2867"/>
      <c r="VEB25" s="2866"/>
      <c r="VEC25" s="2827"/>
      <c r="VED25" s="2867"/>
      <c r="VEE25" s="2866"/>
      <c r="VEF25" s="2827"/>
      <c r="VEG25" s="2867"/>
      <c r="VEH25" s="2866"/>
      <c r="VEI25" s="2827"/>
      <c r="VEJ25" s="2867"/>
      <c r="VEK25" s="2866"/>
      <c r="VEL25" s="2827"/>
      <c r="VEM25" s="2867"/>
      <c r="VEN25" s="2866"/>
      <c r="VEO25" s="2827"/>
      <c r="VEP25" s="2867"/>
      <c r="VEQ25" s="2866"/>
      <c r="VER25" s="2827"/>
      <c r="VES25" s="2867"/>
      <c r="VET25" s="2866"/>
      <c r="VEU25" s="2827"/>
      <c r="VEV25" s="2867"/>
      <c r="VEW25" s="2866"/>
      <c r="VEX25" s="2827"/>
      <c r="VEY25" s="2867"/>
      <c r="VEZ25" s="2866"/>
      <c r="VFA25" s="2827"/>
      <c r="VFB25" s="2867"/>
      <c r="VFC25" s="2866"/>
      <c r="VFD25" s="2827"/>
      <c r="VFE25" s="2867"/>
      <c r="VFF25" s="2866"/>
      <c r="VFG25" s="2827"/>
      <c r="VFH25" s="2867"/>
      <c r="VFI25" s="2866"/>
      <c r="VFJ25" s="2827"/>
      <c r="VFK25" s="2867"/>
      <c r="VFL25" s="2866"/>
      <c r="VFM25" s="2827"/>
      <c r="VFN25" s="2867"/>
      <c r="VFO25" s="2866"/>
      <c r="VFP25" s="2827"/>
      <c r="VFQ25" s="2867"/>
      <c r="VFR25" s="2866"/>
      <c r="VFS25" s="2827"/>
      <c r="VFT25" s="2867"/>
      <c r="VFU25" s="2866"/>
      <c r="VFV25" s="2827"/>
      <c r="VFW25" s="2867"/>
      <c r="VFX25" s="2866"/>
      <c r="VFY25" s="2827"/>
      <c r="VFZ25" s="2867"/>
      <c r="VGA25" s="2866"/>
      <c r="VGB25" s="2827"/>
      <c r="VGC25" s="2867"/>
      <c r="VGD25" s="2866"/>
      <c r="VGE25" s="2827"/>
      <c r="VGF25" s="2867"/>
      <c r="VGG25" s="2866"/>
      <c r="VGH25" s="2827"/>
      <c r="VGI25" s="2867"/>
      <c r="VGJ25" s="2866"/>
      <c r="VGK25" s="2827"/>
      <c r="VGL25" s="2867"/>
      <c r="VGM25" s="2866"/>
      <c r="VGN25" s="2827"/>
      <c r="VGO25" s="2867"/>
      <c r="VGP25" s="2866"/>
      <c r="VGQ25" s="2827"/>
      <c r="VGR25" s="2867"/>
      <c r="VGS25" s="2866"/>
      <c r="VGT25" s="2827"/>
      <c r="VGU25" s="2867"/>
      <c r="VGV25" s="2866"/>
      <c r="VGW25" s="2827"/>
      <c r="VGX25" s="2867"/>
      <c r="VGY25" s="2866"/>
      <c r="VGZ25" s="2827"/>
      <c r="VHA25" s="2867"/>
      <c r="VHB25" s="2866"/>
      <c r="VHC25" s="2827"/>
      <c r="VHD25" s="2867"/>
      <c r="VHE25" s="2866"/>
      <c r="VHF25" s="2827"/>
      <c r="VHG25" s="2867"/>
      <c r="VHH25" s="2866"/>
      <c r="VHI25" s="2827"/>
      <c r="VHJ25" s="2867"/>
      <c r="VHK25" s="2866"/>
      <c r="VHL25" s="2827"/>
      <c r="VHM25" s="2867"/>
      <c r="VHN25" s="2866"/>
      <c r="VHO25" s="2827"/>
      <c r="VHP25" s="2867"/>
      <c r="VHQ25" s="2866"/>
      <c r="VHR25" s="2827"/>
      <c r="VHS25" s="2867"/>
      <c r="VHT25" s="2866"/>
      <c r="VHU25" s="2827"/>
      <c r="VHV25" s="2867"/>
      <c r="VHW25" s="2866"/>
      <c r="VHX25" s="2827"/>
      <c r="VHY25" s="2867"/>
      <c r="VHZ25" s="2866"/>
      <c r="VIA25" s="2827"/>
      <c r="VIB25" s="2867"/>
      <c r="VIC25" s="2866"/>
      <c r="VID25" s="2827"/>
      <c r="VIE25" s="2867"/>
      <c r="VIF25" s="2866"/>
      <c r="VIG25" s="2827"/>
      <c r="VIH25" s="2867"/>
      <c r="VII25" s="2866"/>
      <c r="VIJ25" s="2827"/>
      <c r="VIK25" s="2867"/>
      <c r="VIL25" s="2866"/>
      <c r="VIM25" s="2827"/>
      <c r="VIN25" s="2867"/>
      <c r="VIO25" s="2866"/>
      <c r="VIP25" s="2827"/>
      <c r="VIQ25" s="2867"/>
      <c r="VIR25" s="2866"/>
      <c r="VIS25" s="2827"/>
      <c r="VIT25" s="2867"/>
      <c r="VIU25" s="2866"/>
      <c r="VIV25" s="2827"/>
      <c r="VIW25" s="2867"/>
      <c r="VIX25" s="2866"/>
      <c r="VIY25" s="2827"/>
      <c r="VIZ25" s="2867"/>
      <c r="VJA25" s="2866"/>
      <c r="VJB25" s="2827"/>
      <c r="VJC25" s="2867"/>
      <c r="VJD25" s="2866"/>
      <c r="VJE25" s="2827"/>
      <c r="VJF25" s="2867"/>
      <c r="VJG25" s="2866"/>
      <c r="VJH25" s="2827"/>
      <c r="VJI25" s="2867"/>
      <c r="VJJ25" s="2866"/>
      <c r="VJK25" s="2827"/>
      <c r="VJL25" s="2867"/>
      <c r="VJM25" s="2866"/>
      <c r="VJN25" s="2827"/>
      <c r="VJO25" s="2867"/>
      <c r="VJP25" s="2866"/>
      <c r="VJQ25" s="2827"/>
      <c r="VJR25" s="2867"/>
      <c r="VJS25" s="2866"/>
      <c r="VJT25" s="2827"/>
      <c r="VJU25" s="2867"/>
      <c r="VJV25" s="2866"/>
      <c r="VJW25" s="2827"/>
      <c r="VJX25" s="2867"/>
      <c r="VJY25" s="2866"/>
      <c r="VJZ25" s="2827"/>
      <c r="VKA25" s="2867"/>
      <c r="VKB25" s="2866"/>
      <c r="VKC25" s="2827"/>
      <c r="VKD25" s="2867"/>
      <c r="VKE25" s="2866"/>
      <c r="VKF25" s="2827"/>
      <c r="VKG25" s="2867"/>
      <c r="VKH25" s="2866"/>
      <c r="VKI25" s="2827"/>
      <c r="VKJ25" s="2867"/>
      <c r="VKK25" s="2866"/>
      <c r="VKL25" s="2827"/>
      <c r="VKM25" s="2867"/>
      <c r="VKN25" s="2866"/>
      <c r="VKO25" s="2827"/>
      <c r="VKP25" s="2867"/>
      <c r="VKQ25" s="2866"/>
      <c r="VKR25" s="2827"/>
      <c r="VKS25" s="2867"/>
      <c r="VKT25" s="2866"/>
      <c r="VKU25" s="2827"/>
      <c r="VKV25" s="2867"/>
      <c r="VKW25" s="2866"/>
      <c r="VKX25" s="2827"/>
      <c r="VKY25" s="2867"/>
      <c r="VKZ25" s="2866"/>
      <c r="VLA25" s="2827"/>
      <c r="VLB25" s="2867"/>
      <c r="VLC25" s="2866"/>
      <c r="VLD25" s="2827"/>
      <c r="VLE25" s="2867"/>
      <c r="VLF25" s="2866"/>
      <c r="VLG25" s="2827"/>
      <c r="VLH25" s="2867"/>
      <c r="VLI25" s="2866"/>
      <c r="VLJ25" s="2827"/>
      <c r="VLK25" s="2867"/>
      <c r="VLL25" s="2866"/>
      <c r="VLM25" s="2827"/>
      <c r="VLN25" s="2867"/>
      <c r="VLO25" s="2866"/>
      <c r="VLP25" s="2827"/>
      <c r="VLQ25" s="2867"/>
      <c r="VLR25" s="2866"/>
      <c r="VLS25" s="2827"/>
      <c r="VLT25" s="2867"/>
      <c r="VLU25" s="2866"/>
      <c r="VLV25" s="2827"/>
      <c r="VLW25" s="2867"/>
      <c r="VLX25" s="2866"/>
      <c r="VLY25" s="2827"/>
      <c r="VLZ25" s="2867"/>
      <c r="VMA25" s="2866"/>
      <c r="VMB25" s="2827"/>
      <c r="VMC25" s="2867"/>
      <c r="VMD25" s="2866"/>
      <c r="VME25" s="2827"/>
      <c r="VMF25" s="2867"/>
      <c r="VMG25" s="2866"/>
      <c r="VMH25" s="2827"/>
      <c r="VMI25" s="2867"/>
      <c r="VMJ25" s="2866"/>
      <c r="VMK25" s="2827"/>
      <c r="VML25" s="2867"/>
      <c r="VMM25" s="2866"/>
      <c r="VMN25" s="2827"/>
      <c r="VMO25" s="2867"/>
      <c r="VMP25" s="2866"/>
      <c r="VMQ25" s="2827"/>
      <c r="VMR25" s="2867"/>
      <c r="VMS25" s="2866"/>
      <c r="VMT25" s="2827"/>
      <c r="VMU25" s="2867"/>
      <c r="VMV25" s="2866"/>
      <c r="VMW25" s="2827"/>
      <c r="VMX25" s="2867"/>
      <c r="VMY25" s="2866"/>
      <c r="VMZ25" s="2827"/>
      <c r="VNA25" s="2867"/>
      <c r="VNB25" s="2866"/>
      <c r="VNC25" s="2827"/>
      <c r="VND25" s="2867"/>
      <c r="VNE25" s="2866"/>
      <c r="VNF25" s="2827"/>
      <c r="VNG25" s="2867"/>
      <c r="VNH25" s="2866"/>
      <c r="VNI25" s="2827"/>
      <c r="VNJ25" s="2867"/>
      <c r="VNK25" s="2866"/>
      <c r="VNL25" s="2827"/>
      <c r="VNM25" s="2867"/>
      <c r="VNN25" s="2866"/>
      <c r="VNO25" s="2827"/>
      <c r="VNP25" s="2867"/>
      <c r="VNQ25" s="2866"/>
      <c r="VNR25" s="2827"/>
      <c r="VNS25" s="2867"/>
      <c r="VNT25" s="2866"/>
      <c r="VNU25" s="2827"/>
      <c r="VNV25" s="2867"/>
      <c r="VNW25" s="2866"/>
      <c r="VNX25" s="2827"/>
      <c r="VNY25" s="2867"/>
      <c r="VNZ25" s="2866"/>
      <c r="VOA25" s="2827"/>
      <c r="VOB25" s="2867"/>
      <c r="VOC25" s="2866"/>
      <c r="VOD25" s="2827"/>
      <c r="VOE25" s="2867"/>
      <c r="VOF25" s="2866"/>
      <c r="VOG25" s="2827"/>
      <c r="VOH25" s="2867"/>
      <c r="VOI25" s="2866"/>
      <c r="VOJ25" s="2827"/>
      <c r="VOK25" s="2867"/>
      <c r="VOL25" s="2866"/>
      <c r="VOM25" s="2827"/>
      <c r="VON25" s="2867"/>
      <c r="VOO25" s="2866"/>
      <c r="VOP25" s="2827"/>
      <c r="VOQ25" s="2867"/>
      <c r="VOR25" s="2866"/>
      <c r="VOS25" s="2827"/>
      <c r="VOT25" s="2867"/>
      <c r="VOU25" s="2866"/>
      <c r="VOV25" s="2827"/>
      <c r="VOW25" s="2867"/>
      <c r="VOX25" s="2866"/>
      <c r="VOY25" s="2827"/>
      <c r="VOZ25" s="2867"/>
      <c r="VPA25" s="2866"/>
      <c r="VPB25" s="2827"/>
      <c r="VPC25" s="2867"/>
      <c r="VPD25" s="2866"/>
      <c r="VPE25" s="2827"/>
      <c r="VPF25" s="2867"/>
      <c r="VPG25" s="2866"/>
      <c r="VPH25" s="2827"/>
      <c r="VPI25" s="2867"/>
      <c r="VPJ25" s="2866"/>
      <c r="VPK25" s="2827"/>
      <c r="VPL25" s="2867"/>
      <c r="VPM25" s="2866"/>
      <c r="VPN25" s="2827"/>
      <c r="VPO25" s="2867"/>
      <c r="VPP25" s="2866"/>
      <c r="VPQ25" s="2827"/>
      <c r="VPR25" s="2867"/>
      <c r="VPS25" s="2866"/>
      <c r="VPT25" s="2827"/>
      <c r="VPU25" s="2867"/>
      <c r="VPV25" s="2866"/>
      <c r="VPW25" s="2827"/>
      <c r="VPX25" s="2867"/>
      <c r="VPY25" s="2866"/>
      <c r="VPZ25" s="2827"/>
      <c r="VQA25" s="2867"/>
      <c r="VQB25" s="2866"/>
      <c r="VQC25" s="2827"/>
      <c r="VQD25" s="2867"/>
      <c r="VQE25" s="2866"/>
      <c r="VQF25" s="2827"/>
      <c r="VQG25" s="2867"/>
      <c r="VQH25" s="2866"/>
      <c r="VQI25" s="2827"/>
      <c r="VQJ25" s="2867"/>
      <c r="VQK25" s="2866"/>
      <c r="VQL25" s="2827"/>
      <c r="VQM25" s="2867"/>
      <c r="VQN25" s="2866"/>
      <c r="VQO25" s="2827"/>
      <c r="VQP25" s="2867"/>
      <c r="VQQ25" s="2866"/>
      <c r="VQR25" s="2827"/>
      <c r="VQS25" s="2867"/>
      <c r="VQT25" s="2866"/>
      <c r="VQU25" s="2827"/>
      <c r="VQV25" s="2867"/>
      <c r="VQW25" s="2866"/>
      <c r="VQX25" s="2827"/>
      <c r="VQY25" s="2867"/>
      <c r="VQZ25" s="2866"/>
      <c r="VRA25" s="2827"/>
      <c r="VRB25" s="2867"/>
      <c r="VRC25" s="2866"/>
      <c r="VRD25" s="2827"/>
      <c r="VRE25" s="2867"/>
      <c r="VRF25" s="2866"/>
      <c r="VRG25" s="2827"/>
      <c r="VRH25" s="2867"/>
      <c r="VRI25" s="2866"/>
      <c r="VRJ25" s="2827"/>
      <c r="VRK25" s="2867"/>
      <c r="VRL25" s="2866"/>
      <c r="VRM25" s="2827"/>
      <c r="VRN25" s="2867"/>
      <c r="VRO25" s="2866"/>
      <c r="VRP25" s="2827"/>
      <c r="VRQ25" s="2867"/>
      <c r="VRR25" s="2866"/>
      <c r="VRS25" s="2827"/>
      <c r="VRT25" s="2867"/>
      <c r="VRU25" s="2866"/>
      <c r="VRV25" s="2827"/>
      <c r="VRW25" s="2867"/>
      <c r="VRX25" s="2866"/>
      <c r="VRY25" s="2827"/>
      <c r="VRZ25" s="2867"/>
      <c r="VSA25" s="2866"/>
      <c r="VSB25" s="2827"/>
      <c r="VSC25" s="2867"/>
      <c r="VSD25" s="2866"/>
      <c r="VSE25" s="2827"/>
      <c r="VSF25" s="2867"/>
      <c r="VSG25" s="2866"/>
      <c r="VSH25" s="2827"/>
      <c r="VSI25" s="2867"/>
      <c r="VSJ25" s="2866"/>
      <c r="VSK25" s="2827"/>
      <c r="VSL25" s="2867"/>
      <c r="VSM25" s="2866"/>
      <c r="VSN25" s="2827"/>
      <c r="VSO25" s="2867"/>
      <c r="VSP25" s="2866"/>
      <c r="VSQ25" s="2827"/>
      <c r="VSR25" s="2867"/>
      <c r="VSS25" s="2866"/>
      <c r="VST25" s="2827"/>
      <c r="VSU25" s="2867"/>
      <c r="VSV25" s="2866"/>
      <c r="VSW25" s="2827"/>
      <c r="VSX25" s="2867"/>
      <c r="VSY25" s="2866"/>
      <c r="VSZ25" s="2827"/>
      <c r="VTA25" s="2867"/>
      <c r="VTB25" s="2866"/>
      <c r="VTC25" s="2827"/>
      <c r="VTD25" s="2867"/>
      <c r="VTE25" s="2866"/>
      <c r="VTF25" s="2827"/>
      <c r="VTG25" s="2867"/>
      <c r="VTH25" s="2866"/>
      <c r="VTI25" s="2827"/>
      <c r="VTJ25" s="2867"/>
      <c r="VTK25" s="2866"/>
      <c r="VTL25" s="2827"/>
      <c r="VTM25" s="2867"/>
      <c r="VTN25" s="2866"/>
      <c r="VTO25" s="2827"/>
      <c r="VTP25" s="2867"/>
      <c r="VTQ25" s="2866"/>
      <c r="VTR25" s="2827"/>
      <c r="VTS25" s="2867"/>
      <c r="VTT25" s="2866"/>
      <c r="VTU25" s="2827"/>
      <c r="VTV25" s="2867"/>
      <c r="VTW25" s="2866"/>
      <c r="VTX25" s="2827"/>
      <c r="VTY25" s="2867"/>
      <c r="VTZ25" s="2866"/>
      <c r="VUA25" s="2827"/>
      <c r="VUB25" s="2867"/>
      <c r="VUC25" s="2866"/>
      <c r="VUD25" s="2827"/>
      <c r="VUE25" s="2867"/>
      <c r="VUF25" s="2866"/>
      <c r="VUG25" s="2827"/>
      <c r="VUH25" s="2867"/>
      <c r="VUI25" s="2866"/>
      <c r="VUJ25" s="2827"/>
      <c r="VUK25" s="2867"/>
      <c r="VUL25" s="2866"/>
      <c r="VUM25" s="2827"/>
      <c r="VUN25" s="2867"/>
      <c r="VUO25" s="2866"/>
      <c r="VUP25" s="2827"/>
      <c r="VUQ25" s="2867"/>
      <c r="VUR25" s="2866"/>
      <c r="VUS25" s="2827"/>
      <c r="VUT25" s="2867"/>
      <c r="VUU25" s="2866"/>
      <c r="VUV25" s="2827"/>
      <c r="VUW25" s="2867"/>
      <c r="VUX25" s="2866"/>
      <c r="VUY25" s="2827"/>
      <c r="VUZ25" s="2867"/>
      <c r="VVA25" s="2866"/>
      <c r="VVB25" s="2827"/>
      <c r="VVC25" s="2867"/>
      <c r="VVD25" s="2866"/>
      <c r="VVE25" s="2827"/>
      <c r="VVF25" s="2867"/>
      <c r="VVG25" s="2866"/>
      <c r="VVH25" s="2827"/>
      <c r="VVI25" s="2867"/>
      <c r="VVJ25" s="2866"/>
      <c r="VVK25" s="2827"/>
      <c r="VVL25" s="2867"/>
      <c r="VVM25" s="2866"/>
      <c r="VVN25" s="2827"/>
      <c r="VVO25" s="2867"/>
      <c r="VVP25" s="2866"/>
      <c r="VVQ25" s="2827"/>
      <c r="VVR25" s="2867"/>
      <c r="VVS25" s="2866"/>
      <c r="VVT25" s="2827"/>
      <c r="VVU25" s="2867"/>
      <c r="VVV25" s="2866"/>
      <c r="VVW25" s="2827"/>
      <c r="VVX25" s="2867"/>
      <c r="VVY25" s="2866"/>
      <c r="VVZ25" s="2827"/>
      <c r="VWA25" s="2867"/>
      <c r="VWB25" s="2866"/>
      <c r="VWC25" s="2827"/>
      <c r="VWD25" s="2867"/>
      <c r="VWE25" s="2866"/>
      <c r="VWF25" s="2827"/>
      <c r="VWG25" s="2867"/>
      <c r="VWH25" s="2866"/>
      <c r="VWI25" s="2827"/>
      <c r="VWJ25" s="2867"/>
      <c r="VWK25" s="2866"/>
      <c r="VWL25" s="2827"/>
      <c r="VWM25" s="2867"/>
      <c r="VWN25" s="2866"/>
      <c r="VWO25" s="2827"/>
      <c r="VWP25" s="2867"/>
      <c r="VWQ25" s="2866"/>
      <c r="VWR25" s="2827"/>
      <c r="VWS25" s="2867"/>
      <c r="VWT25" s="2866"/>
      <c r="VWU25" s="2827"/>
      <c r="VWV25" s="2867"/>
      <c r="VWW25" s="2866"/>
      <c r="VWX25" s="2827"/>
      <c r="VWY25" s="2867"/>
      <c r="VWZ25" s="2866"/>
      <c r="VXA25" s="2827"/>
      <c r="VXB25" s="2867"/>
      <c r="VXC25" s="2866"/>
      <c r="VXD25" s="2827"/>
      <c r="VXE25" s="2867"/>
      <c r="VXF25" s="2866"/>
      <c r="VXG25" s="2827"/>
      <c r="VXH25" s="2867"/>
      <c r="VXI25" s="2866"/>
      <c r="VXJ25" s="2827"/>
      <c r="VXK25" s="2867"/>
      <c r="VXL25" s="2866"/>
      <c r="VXM25" s="2827"/>
      <c r="VXN25" s="2867"/>
      <c r="VXO25" s="2866"/>
      <c r="VXP25" s="2827"/>
      <c r="VXQ25" s="2867"/>
      <c r="VXR25" s="2866"/>
      <c r="VXS25" s="2827"/>
      <c r="VXT25" s="2867"/>
      <c r="VXU25" s="2866"/>
      <c r="VXV25" s="2827"/>
      <c r="VXW25" s="2867"/>
      <c r="VXX25" s="2866"/>
      <c r="VXY25" s="2827"/>
      <c r="VXZ25" s="2867"/>
      <c r="VYA25" s="2866"/>
      <c r="VYB25" s="2827"/>
      <c r="VYC25" s="2867"/>
      <c r="VYD25" s="2866"/>
      <c r="VYE25" s="2827"/>
      <c r="VYF25" s="2867"/>
      <c r="VYG25" s="2866"/>
      <c r="VYH25" s="2827"/>
      <c r="VYI25" s="2867"/>
      <c r="VYJ25" s="2866"/>
      <c r="VYK25" s="2827"/>
      <c r="VYL25" s="2867"/>
      <c r="VYM25" s="2866"/>
      <c r="VYN25" s="2827"/>
      <c r="VYO25" s="2867"/>
      <c r="VYP25" s="2866"/>
      <c r="VYQ25" s="2827"/>
      <c r="VYR25" s="2867"/>
      <c r="VYS25" s="2866"/>
      <c r="VYT25" s="2827"/>
      <c r="VYU25" s="2867"/>
      <c r="VYV25" s="2866"/>
      <c r="VYW25" s="2827"/>
      <c r="VYX25" s="2867"/>
      <c r="VYY25" s="2866"/>
      <c r="VYZ25" s="2827"/>
      <c r="VZA25" s="2867"/>
      <c r="VZB25" s="2866"/>
      <c r="VZC25" s="2827"/>
      <c r="VZD25" s="2867"/>
      <c r="VZE25" s="2866"/>
      <c r="VZF25" s="2827"/>
      <c r="VZG25" s="2867"/>
      <c r="VZH25" s="2866"/>
      <c r="VZI25" s="2827"/>
      <c r="VZJ25" s="2867"/>
      <c r="VZK25" s="2866"/>
      <c r="VZL25" s="2827"/>
      <c r="VZM25" s="2867"/>
      <c r="VZN25" s="2866"/>
      <c r="VZO25" s="2827"/>
      <c r="VZP25" s="2867"/>
      <c r="VZQ25" s="2866"/>
      <c r="VZR25" s="2827"/>
      <c r="VZS25" s="2867"/>
      <c r="VZT25" s="2866"/>
      <c r="VZU25" s="2827"/>
      <c r="VZV25" s="2867"/>
      <c r="VZW25" s="2866"/>
      <c r="VZX25" s="2827"/>
      <c r="VZY25" s="2867"/>
      <c r="VZZ25" s="2866"/>
      <c r="WAA25" s="2827"/>
      <c r="WAB25" s="2867"/>
      <c r="WAC25" s="2866"/>
      <c r="WAD25" s="2827"/>
      <c r="WAE25" s="2867"/>
      <c r="WAF25" s="2866"/>
      <c r="WAG25" s="2827"/>
      <c r="WAH25" s="2867"/>
      <c r="WAI25" s="2866"/>
      <c r="WAJ25" s="2827"/>
      <c r="WAK25" s="2867"/>
      <c r="WAL25" s="2866"/>
      <c r="WAM25" s="2827"/>
      <c r="WAN25" s="2867"/>
      <c r="WAO25" s="2866"/>
      <c r="WAP25" s="2827"/>
      <c r="WAQ25" s="2867"/>
      <c r="WAR25" s="2866"/>
      <c r="WAS25" s="2827"/>
      <c r="WAT25" s="2867"/>
      <c r="WAU25" s="2866"/>
      <c r="WAV25" s="2827"/>
      <c r="WAW25" s="2867"/>
      <c r="WAX25" s="2866"/>
      <c r="WAY25" s="2827"/>
      <c r="WAZ25" s="2867"/>
      <c r="WBA25" s="2866"/>
      <c r="WBB25" s="2827"/>
      <c r="WBC25" s="2867"/>
      <c r="WBD25" s="2866"/>
      <c r="WBE25" s="2827"/>
      <c r="WBF25" s="2867"/>
      <c r="WBG25" s="2866"/>
      <c r="WBH25" s="2827"/>
      <c r="WBI25" s="2867"/>
      <c r="WBJ25" s="2866"/>
      <c r="WBK25" s="2827"/>
      <c r="WBL25" s="2867"/>
      <c r="WBM25" s="2866"/>
      <c r="WBN25" s="2827"/>
      <c r="WBO25" s="2867"/>
      <c r="WBP25" s="2866"/>
      <c r="WBQ25" s="2827"/>
      <c r="WBR25" s="2867"/>
      <c r="WBS25" s="2866"/>
      <c r="WBT25" s="2827"/>
      <c r="WBU25" s="2867"/>
      <c r="WBV25" s="2866"/>
      <c r="WBW25" s="2827"/>
      <c r="WBX25" s="2867"/>
      <c r="WBY25" s="2866"/>
      <c r="WBZ25" s="2827"/>
      <c r="WCA25" s="2867"/>
      <c r="WCB25" s="2866"/>
      <c r="WCC25" s="2827"/>
      <c r="WCD25" s="2867"/>
      <c r="WCE25" s="2866"/>
      <c r="WCF25" s="2827"/>
      <c r="WCG25" s="2867"/>
      <c r="WCH25" s="2866"/>
      <c r="WCI25" s="2827"/>
      <c r="WCJ25" s="2867"/>
      <c r="WCK25" s="2866"/>
      <c r="WCL25" s="2827"/>
      <c r="WCM25" s="2867"/>
      <c r="WCN25" s="2866"/>
      <c r="WCO25" s="2827"/>
      <c r="WCP25" s="2867"/>
      <c r="WCQ25" s="2866"/>
      <c r="WCR25" s="2827"/>
      <c r="WCS25" s="2867"/>
      <c r="WCT25" s="2866"/>
      <c r="WCU25" s="2827"/>
      <c r="WCV25" s="2867"/>
      <c r="WCW25" s="2866"/>
      <c r="WCX25" s="2827"/>
      <c r="WCY25" s="2867"/>
      <c r="WCZ25" s="2866"/>
      <c r="WDA25" s="2827"/>
      <c r="WDB25" s="2867"/>
      <c r="WDC25" s="2866"/>
      <c r="WDD25" s="2827"/>
      <c r="WDE25" s="2867"/>
      <c r="WDF25" s="2866"/>
      <c r="WDG25" s="2827"/>
      <c r="WDH25" s="2867"/>
      <c r="WDI25" s="2866"/>
      <c r="WDJ25" s="2827"/>
      <c r="WDK25" s="2867"/>
      <c r="WDL25" s="2866"/>
      <c r="WDM25" s="2827"/>
      <c r="WDN25" s="2867"/>
      <c r="WDO25" s="2866"/>
      <c r="WDP25" s="2827"/>
      <c r="WDQ25" s="2867"/>
      <c r="WDR25" s="2866"/>
      <c r="WDS25" s="2827"/>
      <c r="WDT25" s="2867"/>
      <c r="WDU25" s="2866"/>
      <c r="WDV25" s="2827"/>
      <c r="WDW25" s="2867"/>
      <c r="WDX25" s="2866"/>
      <c r="WDY25" s="2827"/>
      <c r="WDZ25" s="2867"/>
      <c r="WEA25" s="2866"/>
      <c r="WEB25" s="2827"/>
      <c r="WEC25" s="2867"/>
      <c r="WED25" s="2866"/>
      <c r="WEE25" s="2827"/>
      <c r="WEF25" s="2867"/>
      <c r="WEG25" s="2866"/>
      <c r="WEH25" s="2827"/>
      <c r="WEI25" s="2867"/>
      <c r="WEJ25" s="2866"/>
      <c r="WEK25" s="2827"/>
      <c r="WEL25" s="2867"/>
      <c r="WEM25" s="2866"/>
      <c r="WEN25" s="2827"/>
      <c r="WEO25" s="2867"/>
      <c r="WEP25" s="2866"/>
      <c r="WEQ25" s="2827"/>
      <c r="WER25" s="2867"/>
      <c r="WES25" s="2866"/>
      <c r="WET25" s="2827"/>
      <c r="WEU25" s="2867"/>
      <c r="WEV25" s="2866"/>
      <c r="WEW25" s="2827"/>
      <c r="WEX25" s="2867"/>
      <c r="WEY25" s="2866"/>
      <c r="WEZ25" s="2827"/>
      <c r="WFA25" s="2867"/>
      <c r="WFB25" s="2866"/>
      <c r="WFC25" s="2827"/>
      <c r="WFD25" s="2867"/>
      <c r="WFE25" s="2866"/>
      <c r="WFF25" s="2827"/>
      <c r="WFG25" s="2867"/>
      <c r="WFH25" s="2866"/>
      <c r="WFI25" s="2827"/>
      <c r="WFJ25" s="2867"/>
      <c r="WFK25" s="2866"/>
      <c r="WFL25" s="2827"/>
      <c r="WFM25" s="2867"/>
      <c r="WFN25" s="2866"/>
      <c r="WFO25" s="2827"/>
      <c r="WFP25" s="2867"/>
      <c r="WFQ25" s="2866"/>
      <c r="WFR25" s="2827"/>
      <c r="WFS25" s="2867"/>
      <c r="WFT25" s="2866"/>
      <c r="WFU25" s="2827"/>
      <c r="WFV25" s="2867"/>
      <c r="WFW25" s="2866"/>
      <c r="WFX25" s="2827"/>
      <c r="WFY25" s="2867"/>
      <c r="WFZ25" s="2866"/>
      <c r="WGA25" s="2827"/>
      <c r="WGB25" s="2867"/>
      <c r="WGC25" s="2866"/>
      <c r="WGD25" s="2827"/>
      <c r="WGE25" s="2867"/>
      <c r="WGF25" s="2866"/>
      <c r="WGG25" s="2827"/>
      <c r="WGH25" s="2867"/>
      <c r="WGI25" s="2866"/>
      <c r="WGJ25" s="2827"/>
      <c r="WGK25" s="2867"/>
      <c r="WGL25" s="2866"/>
      <c r="WGM25" s="2827"/>
      <c r="WGN25" s="2867"/>
      <c r="WGO25" s="2866"/>
      <c r="WGP25" s="2827"/>
      <c r="WGQ25" s="2867"/>
      <c r="WGR25" s="2866"/>
      <c r="WGS25" s="2827"/>
      <c r="WGT25" s="2867"/>
      <c r="WGU25" s="2866"/>
      <c r="WGV25" s="2827"/>
      <c r="WGW25" s="2867"/>
      <c r="WGX25" s="2866"/>
      <c r="WGY25" s="2827"/>
      <c r="WGZ25" s="2867"/>
      <c r="WHA25" s="2866"/>
      <c r="WHB25" s="2827"/>
      <c r="WHC25" s="2867"/>
      <c r="WHD25" s="2866"/>
      <c r="WHE25" s="2827"/>
      <c r="WHF25" s="2867"/>
      <c r="WHG25" s="2866"/>
      <c r="WHH25" s="2827"/>
      <c r="WHI25" s="2867"/>
      <c r="WHJ25" s="2866"/>
      <c r="WHK25" s="2827"/>
      <c r="WHL25" s="2867"/>
      <c r="WHM25" s="2866"/>
      <c r="WHN25" s="2827"/>
      <c r="WHO25" s="2867"/>
      <c r="WHP25" s="2866"/>
      <c r="WHQ25" s="2827"/>
      <c r="WHR25" s="2867"/>
      <c r="WHS25" s="2866"/>
      <c r="WHT25" s="2827"/>
      <c r="WHU25" s="2867"/>
      <c r="WHV25" s="2866"/>
      <c r="WHW25" s="2827"/>
      <c r="WHX25" s="2867"/>
      <c r="WHY25" s="2866"/>
      <c r="WHZ25" s="2827"/>
      <c r="WIA25" s="2867"/>
      <c r="WIB25" s="2866"/>
      <c r="WIC25" s="2827"/>
      <c r="WID25" s="2867"/>
      <c r="WIE25" s="2866"/>
      <c r="WIF25" s="2827"/>
      <c r="WIG25" s="2867"/>
      <c r="WIH25" s="2866"/>
      <c r="WII25" s="2827"/>
      <c r="WIJ25" s="2867"/>
      <c r="WIK25" s="2866"/>
      <c r="WIL25" s="2827"/>
      <c r="WIM25" s="2867"/>
      <c r="WIN25" s="2866"/>
      <c r="WIO25" s="2827"/>
      <c r="WIP25" s="2867"/>
      <c r="WIQ25" s="2866"/>
      <c r="WIR25" s="2827"/>
      <c r="WIS25" s="2867"/>
      <c r="WIT25" s="2866"/>
      <c r="WIU25" s="2827"/>
      <c r="WIV25" s="2867"/>
      <c r="WIW25" s="2866"/>
      <c r="WIX25" s="2827"/>
      <c r="WIY25" s="2867"/>
      <c r="WIZ25" s="2866"/>
      <c r="WJA25" s="2827"/>
      <c r="WJB25" s="2867"/>
      <c r="WJC25" s="2866"/>
      <c r="WJD25" s="2827"/>
      <c r="WJE25" s="2867"/>
      <c r="WJF25" s="2866"/>
      <c r="WJG25" s="2827"/>
      <c r="WJH25" s="2867"/>
      <c r="WJI25" s="2866"/>
      <c r="WJJ25" s="2827"/>
      <c r="WJK25" s="2867"/>
      <c r="WJL25" s="2866"/>
      <c r="WJM25" s="2827"/>
      <c r="WJN25" s="2867"/>
      <c r="WJO25" s="2866"/>
      <c r="WJP25" s="2827"/>
      <c r="WJQ25" s="2867"/>
      <c r="WJR25" s="2866"/>
      <c r="WJS25" s="2827"/>
      <c r="WJT25" s="2867"/>
      <c r="WJU25" s="2866"/>
      <c r="WJV25" s="2827"/>
      <c r="WJW25" s="2867"/>
      <c r="WJX25" s="2866"/>
      <c r="WJY25" s="2827"/>
      <c r="WJZ25" s="2867"/>
      <c r="WKA25" s="2866"/>
      <c r="WKB25" s="2827"/>
      <c r="WKC25" s="2867"/>
      <c r="WKD25" s="2866"/>
      <c r="WKE25" s="2827"/>
      <c r="WKF25" s="2867"/>
      <c r="WKG25" s="2866"/>
      <c r="WKH25" s="2827"/>
      <c r="WKI25" s="2867"/>
      <c r="WKJ25" s="2866"/>
      <c r="WKK25" s="2827"/>
      <c r="WKL25" s="2867"/>
      <c r="WKM25" s="2866"/>
      <c r="WKN25" s="2827"/>
      <c r="WKO25" s="2867"/>
      <c r="WKP25" s="2866"/>
      <c r="WKQ25" s="2827"/>
      <c r="WKR25" s="2867"/>
      <c r="WKS25" s="2866"/>
      <c r="WKT25" s="2827"/>
      <c r="WKU25" s="2867"/>
      <c r="WKV25" s="2866"/>
      <c r="WKW25" s="2827"/>
      <c r="WKX25" s="2867"/>
      <c r="WKY25" s="2866"/>
      <c r="WKZ25" s="2827"/>
      <c r="WLA25" s="2867"/>
      <c r="WLB25" s="2866"/>
      <c r="WLC25" s="2827"/>
      <c r="WLD25" s="2867"/>
      <c r="WLE25" s="2866"/>
      <c r="WLF25" s="2827"/>
      <c r="WLG25" s="2867"/>
      <c r="WLH25" s="2866"/>
      <c r="WLI25" s="2827"/>
      <c r="WLJ25" s="2867"/>
      <c r="WLK25" s="2866"/>
      <c r="WLL25" s="2827"/>
      <c r="WLM25" s="2867"/>
      <c r="WLN25" s="2866"/>
      <c r="WLO25" s="2827"/>
      <c r="WLP25" s="2867"/>
      <c r="WLQ25" s="2866"/>
      <c r="WLR25" s="2827"/>
      <c r="WLS25" s="2867"/>
      <c r="WLT25" s="2866"/>
      <c r="WLU25" s="2827"/>
      <c r="WLV25" s="2867"/>
      <c r="WLW25" s="2866"/>
      <c r="WLX25" s="2827"/>
      <c r="WLY25" s="2867"/>
      <c r="WLZ25" s="2866"/>
      <c r="WMA25" s="2827"/>
      <c r="WMB25" s="2867"/>
      <c r="WMC25" s="2866"/>
      <c r="WMD25" s="2827"/>
      <c r="WME25" s="2867"/>
      <c r="WMF25" s="2866"/>
      <c r="WMG25" s="2827"/>
      <c r="WMH25" s="2867"/>
      <c r="WMI25" s="2866"/>
      <c r="WMJ25" s="2827"/>
      <c r="WMK25" s="2867"/>
      <c r="WML25" s="2866"/>
      <c r="WMM25" s="2827"/>
      <c r="WMN25" s="2867"/>
      <c r="WMO25" s="2866"/>
      <c r="WMP25" s="2827"/>
      <c r="WMQ25" s="2867"/>
      <c r="WMR25" s="2866"/>
      <c r="WMS25" s="2827"/>
      <c r="WMT25" s="2867"/>
      <c r="WMU25" s="2866"/>
      <c r="WMV25" s="2827"/>
      <c r="WMW25" s="2867"/>
      <c r="WMX25" s="2866"/>
      <c r="WMY25" s="2827"/>
      <c r="WMZ25" s="2867"/>
      <c r="WNA25" s="2866"/>
      <c r="WNB25" s="2827"/>
      <c r="WNC25" s="2867"/>
      <c r="WND25" s="2866"/>
      <c r="WNE25" s="2827"/>
      <c r="WNF25" s="2867"/>
      <c r="WNG25" s="2866"/>
      <c r="WNH25" s="2827"/>
      <c r="WNI25" s="2867"/>
      <c r="WNJ25" s="2866"/>
      <c r="WNK25" s="2827"/>
      <c r="WNL25" s="2867"/>
      <c r="WNM25" s="2866"/>
      <c r="WNN25" s="2827"/>
      <c r="WNO25" s="2867"/>
      <c r="WNP25" s="2866"/>
      <c r="WNQ25" s="2827"/>
      <c r="WNR25" s="2867"/>
      <c r="WNS25" s="2866"/>
      <c r="WNT25" s="2827"/>
      <c r="WNU25" s="2867"/>
      <c r="WNV25" s="2866"/>
      <c r="WNW25" s="2827"/>
      <c r="WNX25" s="2867"/>
      <c r="WNY25" s="2866"/>
      <c r="WNZ25" s="2827"/>
      <c r="WOA25" s="2867"/>
      <c r="WOB25" s="2866"/>
      <c r="WOC25" s="2827"/>
      <c r="WOD25" s="2867"/>
      <c r="WOE25" s="2866"/>
      <c r="WOF25" s="2827"/>
      <c r="WOG25" s="2867"/>
      <c r="WOH25" s="2866"/>
      <c r="WOI25" s="2827"/>
      <c r="WOJ25" s="2867"/>
      <c r="WOK25" s="2866"/>
      <c r="WOL25" s="2827"/>
      <c r="WOM25" s="2867"/>
      <c r="WON25" s="2866"/>
      <c r="WOO25" s="2827"/>
      <c r="WOP25" s="2867"/>
      <c r="WOQ25" s="2866"/>
      <c r="WOR25" s="2827"/>
      <c r="WOS25" s="2867"/>
      <c r="WOT25" s="2866"/>
      <c r="WOU25" s="2827"/>
      <c r="WOV25" s="2867"/>
      <c r="WOW25" s="2866"/>
      <c r="WOX25" s="2827"/>
      <c r="WOY25" s="2867"/>
      <c r="WOZ25" s="2866"/>
      <c r="WPA25" s="2827"/>
      <c r="WPB25" s="2867"/>
      <c r="WPC25" s="2866"/>
      <c r="WPD25" s="2827"/>
      <c r="WPE25" s="2867"/>
      <c r="WPF25" s="2866"/>
      <c r="WPG25" s="2827"/>
      <c r="WPH25" s="2867"/>
      <c r="WPI25" s="2866"/>
      <c r="WPJ25" s="2827"/>
      <c r="WPK25" s="2867"/>
      <c r="WPL25" s="2866"/>
      <c r="WPM25" s="2827"/>
      <c r="WPN25" s="2867"/>
      <c r="WPO25" s="2866"/>
      <c r="WPP25" s="2827"/>
      <c r="WPQ25" s="2867"/>
      <c r="WPR25" s="2866"/>
      <c r="WPS25" s="2827"/>
      <c r="WPT25" s="2867"/>
      <c r="WPU25" s="2866"/>
      <c r="WPV25" s="2827"/>
      <c r="WPW25" s="2867"/>
      <c r="WPX25" s="2866"/>
      <c r="WPY25" s="2827"/>
      <c r="WPZ25" s="2867"/>
      <c r="WQA25" s="2866"/>
      <c r="WQB25" s="2827"/>
      <c r="WQC25" s="2867"/>
      <c r="WQD25" s="2866"/>
      <c r="WQE25" s="2827"/>
      <c r="WQF25" s="2867"/>
      <c r="WQG25" s="2866"/>
      <c r="WQH25" s="2827"/>
      <c r="WQI25" s="2867"/>
      <c r="WQJ25" s="2866"/>
      <c r="WQK25" s="2827"/>
      <c r="WQL25" s="2867"/>
      <c r="WQM25" s="2866"/>
      <c r="WQN25" s="2827"/>
      <c r="WQO25" s="2867"/>
      <c r="WQP25" s="2866"/>
      <c r="WQQ25" s="2827"/>
      <c r="WQR25" s="2867"/>
      <c r="WQS25" s="2866"/>
      <c r="WQT25" s="2827"/>
      <c r="WQU25" s="2867"/>
      <c r="WQV25" s="2866"/>
      <c r="WQW25" s="2827"/>
      <c r="WQX25" s="2867"/>
      <c r="WQY25" s="2866"/>
      <c r="WQZ25" s="2827"/>
      <c r="WRA25" s="2867"/>
      <c r="WRB25" s="2866"/>
      <c r="WRC25" s="2827"/>
      <c r="WRD25" s="2867"/>
      <c r="WRE25" s="2866"/>
      <c r="WRF25" s="2827"/>
      <c r="WRG25" s="2867"/>
      <c r="WRH25" s="2866"/>
      <c r="WRI25" s="2827"/>
      <c r="WRJ25" s="2867"/>
      <c r="WRK25" s="2866"/>
      <c r="WRL25" s="2827"/>
      <c r="WRM25" s="2867"/>
      <c r="WRN25" s="2866"/>
      <c r="WRO25" s="2827"/>
      <c r="WRP25" s="2867"/>
      <c r="WRQ25" s="2866"/>
      <c r="WRR25" s="2827"/>
      <c r="WRS25" s="2867"/>
      <c r="WRT25" s="2866"/>
      <c r="WRU25" s="2827"/>
      <c r="WRV25" s="2867"/>
      <c r="WRW25" s="2866"/>
      <c r="WRX25" s="2827"/>
      <c r="WRY25" s="2867"/>
      <c r="WRZ25" s="2866"/>
      <c r="WSA25" s="2827"/>
      <c r="WSB25" s="2867"/>
      <c r="WSC25" s="2866"/>
      <c r="WSD25" s="2827"/>
      <c r="WSE25" s="2867"/>
      <c r="WSF25" s="2866"/>
      <c r="WSG25" s="2827"/>
      <c r="WSH25" s="2867"/>
      <c r="WSI25" s="2866"/>
      <c r="WSJ25" s="2827"/>
      <c r="WSK25" s="2867"/>
      <c r="WSL25" s="2866"/>
      <c r="WSM25" s="2827"/>
      <c r="WSN25" s="2867"/>
      <c r="WSO25" s="2866"/>
      <c r="WSP25" s="2827"/>
      <c r="WSQ25" s="2867"/>
      <c r="WSR25" s="2866"/>
      <c r="WSS25" s="2827"/>
      <c r="WST25" s="2867"/>
      <c r="WSU25" s="2866"/>
      <c r="WSV25" s="2827"/>
      <c r="WSW25" s="2867"/>
      <c r="WSX25" s="2866"/>
      <c r="WSY25" s="2827"/>
      <c r="WSZ25" s="2867"/>
      <c r="WTA25" s="2866"/>
      <c r="WTB25" s="2827"/>
      <c r="WTC25" s="2867"/>
      <c r="WTD25" s="2866"/>
      <c r="WTE25" s="2827"/>
      <c r="WTF25" s="2867"/>
      <c r="WTG25" s="2866"/>
      <c r="WTH25" s="2827"/>
      <c r="WTI25" s="2867"/>
      <c r="WTJ25" s="2866"/>
      <c r="WTK25" s="2827"/>
      <c r="WTL25" s="2867"/>
      <c r="WTM25" s="2866"/>
      <c r="WTN25" s="2827"/>
      <c r="WTO25" s="2867"/>
      <c r="WTP25" s="2866"/>
      <c r="WTQ25" s="2827"/>
      <c r="WTR25" s="2867"/>
      <c r="WTS25" s="2866"/>
      <c r="WTT25" s="2827"/>
      <c r="WTU25" s="2867"/>
      <c r="WTV25" s="2866"/>
      <c r="WTW25" s="2827"/>
      <c r="WTX25" s="2867"/>
      <c r="WTY25" s="2866"/>
      <c r="WTZ25" s="2827"/>
      <c r="WUA25" s="2867"/>
      <c r="WUB25" s="2866"/>
      <c r="WUC25" s="2827"/>
      <c r="WUD25" s="2867"/>
      <c r="WUE25" s="2866"/>
      <c r="WUF25" s="2827"/>
      <c r="WUG25" s="2867"/>
      <c r="WUH25" s="2866"/>
      <c r="WUI25" s="2827"/>
      <c r="WUJ25" s="2867"/>
      <c r="WUK25" s="2866"/>
      <c r="WUL25" s="2827"/>
      <c r="WUM25" s="2867"/>
      <c r="WUN25" s="2866"/>
      <c r="WUO25" s="2827"/>
      <c r="WUP25" s="2867"/>
      <c r="WUQ25" s="2866"/>
      <c r="WUR25" s="2827"/>
      <c r="WUS25" s="2867"/>
      <c r="WUT25" s="2866"/>
      <c r="WUU25" s="2827"/>
      <c r="WUV25" s="2867"/>
      <c r="WUW25" s="2866"/>
      <c r="WUX25" s="2827"/>
      <c r="WUY25" s="2867"/>
      <c r="WUZ25" s="2866"/>
      <c r="WVA25" s="2827"/>
      <c r="WVB25" s="2867"/>
      <c r="WVC25" s="2866"/>
      <c r="WVD25" s="2827"/>
      <c r="WVE25" s="2867"/>
      <c r="WVF25" s="2866"/>
      <c r="WVG25" s="2827"/>
      <c r="WVH25" s="2867"/>
      <c r="WVI25" s="2866"/>
      <c r="WVJ25" s="2827"/>
      <c r="WVK25" s="2867"/>
      <c r="WVL25" s="2866"/>
      <c r="WVM25" s="2827"/>
      <c r="WVN25" s="2867"/>
      <c r="WVO25" s="2866"/>
      <c r="WVP25" s="2827"/>
      <c r="WVQ25" s="2867"/>
      <c r="WVR25" s="2866"/>
      <c r="WVS25" s="2827"/>
      <c r="WVT25" s="2867"/>
      <c r="WVU25" s="2866"/>
      <c r="WVV25" s="2827"/>
      <c r="WVW25" s="2867"/>
      <c r="WVX25" s="2866"/>
      <c r="WVY25" s="2827"/>
      <c r="WVZ25" s="2867"/>
      <c r="WWA25" s="2866"/>
      <c r="WWB25" s="2827"/>
      <c r="WWC25" s="2867"/>
      <c r="WWD25" s="2866"/>
      <c r="WWE25" s="2827"/>
      <c r="WWF25" s="2867"/>
      <c r="WWG25" s="2866"/>
      <c r="WWH25" s="2827"/>
      <c r="WWI25" s="2867"/>
      <c r="WWJ25" s="2866"/>
      <c r="WWK25" s="2827"/>
      <c r="WWL25" s="2867"/>
      <c r="WWM25" s="2866"/>
      <c r="WWN25" s="2827"/>
      <c r="WWO25" s="2867"/>
      <c r="WWP25" s="2866"/>
      <c r="WWQ25" s="2827"/>
      <c r="WWR25" s="2867"/>
      <c r="WWS25" s="2866"/>
      <c r="WWT25" s="2827"/>
      <c r="WWU25" s="2867"/>
      <c r="WWV25" s="2866"/>
      <c r="WWW25" s="2827"/>
      <c r="WWX25" s="2867"/>
      <c r="WWY25" s="2866"/>
      <c r="WWZ25" s="2827"/>
      <c r="WXA25" s="2867"/>
      <c r="WXB25" s="2866"/>
      <c r="WXC25" s="2827"/>
      <c r="WXD25" s="2867"/>
      <c r="WXE25" s="2866"/>
      <c r="WXF25" s="2827"/>
      <c r="WXG25" s="2867"/>
      <c r="WXH25" s="2866"/>
      <c r="WXI25" s="2827"/>
      <c r="WXJ25" s="2867"/>
      <c r="WXK25" s="2866"/>
      <c r="WXL25" s="2827"/>
      <c r="WXM25" s="2867"/>
      <c r="WXN25" s="2866"/>
      <c r="WXO25" s="2827"/>
      <c r="WXP25" s="2867"/>
      <c r="WXQ25" s="2866"/>
      <c r="WXR25" s="2827"/>
      <c r="WXS25" s="2867"/>
      <c r="WXT25" s="2866"/>
      <c r="WXU25" s="2827"/>
      <c r="WXV25" s="2867"/>
      <c r="WXW25" s="2866"/>
      <c r="WXX25" s="2827"/>
      <c r="WXY25" s="2867"/>
      <c r="WXZ25" s="2866"/>
      <c r="WYA25" s="2827"/>
      <c r="WYB25" s="2867"/>
      <c r="WYC25" s="2866"/>
      <c r="WYD25" s="2827"/>
      <c r="WYE25" s="2867"/>
      <c r="WYF25" s="2866"/>
      <c r="WYG25" s="2827"/>
      <c r="WYH25" s="2867"/>
      <c r="WYI25" s="2866"/>
      <c r="WYJ25" s="2827"/>
      <c r="WYK25" s="2867"/>
      <c r="WYL25" s="2866"/>
      <c r="WYM25" s="2827"/>
      <c r="WYN25" s="2867"/>
      <c r="WYO25" s="2866"/>
      <c r="WYP25" s="2827"/>
      <c r="WYQ25" s="2867"/>
      <c r="WYR25" s="2866"/>
      <c r="WYS25" s="2827"/>
      <c r="WYT25" s="2867"/>
      <c r="WYU25" s="2866"/>
      <c r="WYV25" s="2827"/>
      <c r="WYW25" s="2867"/>
      <c r="WYX25" s="2866"/>
      <c r="WYY25" s="2827"/>
      <c r="WYZ25" s="2867"/>
      <c r="WZA25" s="2866"/>
      <c r="WZB25" s="2827"/>
      <c r="WZC25" s="2867"/>
      <c r="WZD25" s="2866"/>
      <c r="WZE25" s="2827"/>
      <c r="WZF25" s="2867"/>
      <c r="WZG25" s="2866"/>
      <c r="WZH25" s="2827"/>
      <c r="WZI25" s="2867"/>
      <c r="WZJ25" s="2866"/>
      <c r="WZK25" s="2827"/>
      <c r="WZL25" s="2867"/>
      <c r="WZM25" s="2866"/>
      <c r="WZN25" s="2827"/>
      <c r="WZO25" s="2867"/>
      <c r="WZP25" s="2866"/>
      <c r="WZQ25" s="2827"/>
      <c r="WZR25" s="2867"/>
      <c r="WZS25" s="2866"/>
      <c r="WZT25" s="2827"/>
      <c r="WZU25" s="2867"/>
      <c r="WZV25" s="2866"/>
      <c r="WZW25" s="2827"/>
      <c r="WZX25" s="2867"/>
      <c r="WZY25" s="2866"/>
      <c r="WZZ25" s="2827"/>
      <c r="XAA25" s="2867"/>
      <c r="XAB25" s="2866"/>
      <c r="XAC25" s="2827"/>
      <c r="XAD25" s="2867"/>
      <c r="XAE25" s="2866"/>
      <c r="XAF25" s="2827"/>
      <c r="XAG25" s="2867"/>
      <c r="XAH25" s="2866"/>
      <c r="XAI25" s="2827"/>
      <c r="XAJ25" s="2867"/>
      <c r="XAK25" s="2866"/>
      <c r="XAL25" s="2827"/>
      <c r="XAM25" s="2867"/>
      <c r="XAN25" s="2866"/>
      <c r="XAO25" s="2827"/>
      <c r="XAP25" s="2867"/>
      <c r="XAQ25" s="2866"/>
      <c r="XAR25" s="2827"/>
      <c r="XAS25" s="2867"/>
      <c r="XAT25" s="2866"/>
      <c r="XAU25" s="2827"/>
      <c r="XAV25" s="2867"/>
      <c r="XAW25" s="2866"/>
      <c r="XAX25" s="2827"/>
      <c r="XAY25" s="2867"/>
      <c r="XAZ25" s="2866"/>
      <c r="XBA25" s="2827"/>
      <c r="XBB25" s="2867"/>
      <c r="XBC25" s="2866"/>
      <c r="XBD25" s="2827"/>
      <c r="XBE25" s="2867"/>
      <c r="XBF25" s="2866"/>
      <c r="XBG25" s="2827"/>
      <c r="XBH25" s="2867"/>
      <c r="XBI25" s="2866"/>
      <c r="XBJ25" s="2827"/>
      <c r="XBK25" s="2867"/>
      <c r="XBL25" s="2866"/>
      <c r="XBM25" s="2827"/>
      <c r="XBN25" s="2867"/>
      <c r="XBO25" s="2866"/>
      <c r="XBP25" s="2827"/>
      <c r="XBQ25" s="2867"/>
      <c r="XBR25" s="2866"/>
      <c r="XBS25" s="2827"/>
      <c r="XBT25" s="2867"/>
      <c r="XBU25" s="2866"/>
      <c r="XBV25" s="2827"/>
      <c r="XBW25" s="2867"/>
      <c r="XBX25" s="2866"/>
      <c r="XBY25" s="2827"/>
      <c r="XBZ25" s="2867"/>
      <c r="XCA25" s="2866"/>
      <c r="XCB25" s="2827"/>
      <c r="XCC25" s="2867"/>
      <c r="XCD25" s="2866"/>
      <c r="XCE25" s="2827"/>
      <c r="XCF25" s="2867"/>
      <c r="XCG25" s="2866"/>
      <c r="XCH25" s="2827"/>
      <c r="XCI25" s="2867"/>
      <c r="XCJ25" s="2866"/>
      <c r="XCK25" s="2827"/>
      <c r="XCL25" s="2867"/>
      <c r="XCM25" s="2866"/>
      <c r="XCN25" s="2827"/>
      <c r="XCO25" s="2867"/>
      <c r="XCP25" s="2866"/>
      <c r="XCQ25" s="2827"/>
      <c r="XCR25" s="2867"/>
      <c r="XCS25" s="2866"/>
      <c r="XCT25" s="2827"/>
      <c r="XCU25" s="2867"/>
      <c r="XCV25" s="2866"/>
      <c r="XCW25" s="2827"/>
      <c r="XCX25" s="2867"/>
      <c r="XCY25" s="2866"/>
      <c r="XCZ25" s="2827"/>
      <c r="XDA25" s="2867"/>
      <c r="XDB25" s="2866"/>
      <c r="XDC25" s="2827"/>
      <c r="XDD25" s="2867"/>
      <c r="XDE25" s="2866"/>
      <c r="XDF25" s="2827"/>
      <c r="XDG25" s="2867"/>
      <c r="XDH25" s="2866"/>
      <c r="XDI25" s="2827"/>
      <c r="XDJ25" s="2867"/>
      <c r="XDK25" s="2866"/>
      <c r="XDL25" s="2827"/>
      <c r="XDM25" s="2867"/>
      <c r="XDN25" s="2866"/>
      <c r="XDO25" s="2827"/>
      <c r="XDP25" s="2867"/>
      <c r="XDQ25" s="2866"/>
      <c r="XDR25" s="2827"/>
      <c r="XDS25" s="2867"/>
      <c r="XDT25" s="2866"/>
      <c r="XDU25" s="2827"/>
      <c r="XDV25" s="2867"/>
      <c r="XDW25" s="2866"/>
      <c r="XDX25" s="2827"/>
      <c r="XDY25" s="2867"/>
      <c r="XDZ25" s="2866"/>
      <c r="XEA25" s="2827"/>
      <c r="XEB25" s="2867"/>
      <c r="XEC25" s="2866"/>
      <c r="XED25" s="2827"/>
      <c r="XEE25" s="2867"/>
      <c r="XEF25" s="2866"/>
      <c r="XEG25" s="2827"/>
      <c r="XEH25" s="2867"/>
      <c r="XEI25" s="2866"/>
      <c r="XEJ25" s="2827"/>
      <c r="XEK25" s="2867"/>
      <c r="XEL25" s="2866"/>
      <c r="XEM25" s="2827"/>
      <c r="XEN25" s="2867"/>
      <c r="XEO25" s="2866"/>
      <c r="XEP25" s="2827"/>
      <c r="XEQ25" s="2867"/>
      <c r="XER25" s="2866"/>
      <c r="XES25" s="2827"/>
      <c r="XET25" s="2867"/>
      <c r="XEU25" s="2866"/>
      <c r="XEV25" s="2827"/>
      <c r="XEW25" s="2867"/>
      <c r="XEX25" s="2866"/>
      <c r="XEY25" s="2827"/>
      <c r="XEZ25" s="2867"/>
      <c r="XFA25" s="2866"/>
      <c r="XFB25" s="2827"/>
      <c r="XFC25" s="2867"/>
      <c r="XFD25" s="142"/>
    </row>
    <row r="26" spans="1:16384" s="88" customFormat="1" x14ac:dyDescent="0.3">
      <c r="A26" s="2799" t="s">
        <v>1643</v>
      </c>
      <c r="B26" s="2800"/>
      <c r="C26" s="2801"/>
    </row>
    <row r="27" spans="1:16384" s="88" customFormat="1" x14ac:dyDescent="0.3">
      <c r="A27" s="2799" t="s">
        <v>1644</v>
      </c>
      <c r="B27" s="2800"/>
      <c r="C27" s="2801"/>
    </row>
    <row r="28" spans="1:16384" s="88" customFormat="1" ht="29.1" customHeight="1" x14ac:dyDescent="0.3">
      <c r="A28" s="2799" t="s">
        <v>1645</v>
      </c>
      <c r="B28" s="2800"/>
      <c r="C28" s="2801"/>
    </row>
    <row r="29" spans="1:16384" s="88" customFormat="1" x14ac:dyDescent="0.3">
      <c r="A29" s="2799" t="s">
        <v>1646</v>
      </c>
      <c r="B29" s="2800"/>
      <c r="C29" s="2801"/>
    </row>
    <row r="30" spans="1:16384" s="88" customFormat="1" x14ac:dyDescent="0.3">
      <c r="A30" s="2799" t="s">
        <v>1647</v>
      </c>
      <c r="B30" s="2800"/>
      <c r="C30" s="2801"/>
    </row>
    <row r="31" spans="1:16384" s="88" customFormat="1" x14ac:dyDescent="0.3">
      <c r="A31" s="2799" t="s">
        <v>1648</v>
      </c>
      <c r="B31" s="2800"/>
      <c r="C31" s="2801"/>
    </row>
    <row r="32" spans="1:16384" s="88" customFormat="1" x14ac:dyDescent="0.3">
      <c r="A32" s="2799" t="s">
        <v>1649</v>
      </c>
      <c r="B32" s="2800"/>
      <c r="C32" s="2801"/>
    </row>
    <row r="33" spans="1:3" ht="7.5" customHeight="1" x14ac:dyDescent="0.25">
      <c r="A33" s="6"/>
      <c r="B33" s="205"/>
      <c r="C33" s="8"/>
    </row>
    <row r="34" spans="1:3" x14ac:dyDescent="0.25">
      <c r="A34" s="28" t="s">
        <v>1249</v>
      </c>
      <c r="B34" s="205"/>
      <c r="C34" s="8"/>
    </row>
    <row r="35" spans="1:3" ht="27.9" customHeight="1" x14ac:dyDescent="0.25">
      <c r="A35" s="2799" t="s">
        <v>1920</v>
      </c>
      <c r="B35" s="2800"/>
      <c r="C35" s="2801"/>
    </row>
    <row r="36" spans="1:3" ht="29.1" customHeight="1" x14ac:dyDescent="0.25">
      <c r="A36" s="2799" t="s">
        <v>1921</v>
      </c>
      <c r="B36" s="2800"/>
      <c r="C36" s="2801"/>
    </row>
    <row r="37" spans="1:3" ht="30.9" customHeight="1" x14ac:dyDescent="0.25">
      <c r="A37" s="2799" t="s">
        <v>1922</v>
      </c>
      <c r="B37" s="2800"/>
      <c r="C37" s="2801"/>
    </row>
    <row r="38" spans="1:3" ht="3.9" customHeight="1" thickBot="1" x14ac:dyDescent="0.3">
      <c r="A38" s="9"/>
      <c r="B38" s="25"/>
      <c r="C38" s="26"/>
    </row>
    <row r="40" spans="1:3" x14ac:dyDescent="0.25">
      <c r="A40" s="191"/>
    </row>
  </sheetData>
  <mergeCells count="5483">
    <mergeCell ref="A19:C19"/>
    <mergeCell ref="A20:C20"/>
    <mergeCell ref="A21:C21"/>
    <mergeCell ref="A22:C22"/>
    <mergeCell ref="A23:C23"/>
    <mergeCell ref="A24:C24"/>
    <mergeCell ref="A3:C3"/>
    <mergeCell ref="A14:C14"/>
    <mergeCell ref="A15:C15"/>
    <mergeCell ref="A16:C16"/>
    <mergeCell ref="A17:C17"/>
    <mergeCell ref="A18:C18"/>
    <mergeCell ref="AK25:AM25"/>
    <mergeCell ref="AN25:AP25"/>
    <mergeCell ref="AQ25:AS25"/>
    <mergeCell ref="AT25:AV25"/>
    <mergeCell ref="AW25:AY25"/>
    <mergeCell ref="AZ25:BB25"/>
    <mergeCell ref="S25:U25"/>
    <mergeCell ref="V25:X25"/>
    <mergeCell ref="Y25:AA25"/>
    <mergeCell ref="AB25:AD25"/>
    <mergeCell ref="AE25:AG25"/>
    <mergeCell ref="AH25:AJ25"/>
    <mergeCell ref="A25:C25"/>
    <mergeCell ref="D25:F25"/>
    <mergeCell ref="G25:I25"/>
    <mergeCell ref="J25:L25"/>
    <mergeCell ref="M25:O25"/>
    <mergeCell ref="P25:R25"/>
    <mergeCell ref="CM25:CO25"/>
    <mergeCell ref="CP25:CR25"/>
    <mergeCell ref="CS25:CU25"/>
    <mergeCell ref="CV25:CX25"/>
    <mergeCell ref="CY25:DA25"/>
    <mergeCell ref="DB25:DD25"/>
    <mergeCell ref="BU25:BW25"/>
    <mergeCell ref="BX25:BZ25"/>
    <mergeCell ref="CA25:CC25"/>
    <mergeCell ref="CD25:CF25"/>
    <mergeCell ref="CG25:CI25"/>
    <mergeCell ref="CJ25:CL25"/>
    <mergeCell ref="BC25:BE25"/>
    <mergeCell ref="BF25:BH25"/>
    <mergeCell ref="BI25:BK25"/>
    <mergeCell ref="BL25:BN25"/>
    <mergeCell ref="BO25:BQ25"/>
    <mergeCell ref="BR25:BT25"/>
    <mergeCell ref="EO25:EQ25"/>
    <mergeCell ref="ER25:ET25"/>
    <mergeCell ref="EU25:EW25"/>
    <mergeCell ref="EX25:EZ25"/>
    <mergeCell ref="FA25:FC25"/>
    <mergeCell ref="FD25:FF25"/>
    <mergeCell ref="DW25:DY25"/>
    <mergeCell ref="DZ25:EB25"/>
    <mergeCell ref="EC25:EE25"/>
    <mergeCell ref="EF25:EH25"/>
    <mergeCell ref="EI25:EK25"/>
    <mergeCell ref="EL25:EN25"/>
    <mergeCell ref="DE25:DG25"/>
    <mergeCell ref="DH25:DJ25"/>
    <mergeCell ref="DK25:DM25"/>
    <mergeCell ref="DN25:DP25"/>
    <mergeCell ref="DQ25:DS25"/>
    <mergeCell ref="DT25:DV25"/>
    <mergeCell ref="GQ25:GS25"/>
    <mergeCell ref="GT25:GV25"/>
    <mergeCell ref="GW25:GY25"/>
    <mergeCell ref="GZ25:HB25"/>
    <mergeCell ref="HC25:HE25"/>
    <mergeCell ref="HF25:HH25"/>
    <mergeCell ref="FY25:GA25"/>
    <mergeCell ref="GB25:GD25"/>
    <mergeCell ref="GE25:GG25"/>
    <mergeCell ref="GH25:GJ25"/>
    <mergeCell ref="GK25:GM25"/>
    <mergeCell ref="GN25:GP25"/>
    <mergeCell ref="FG25:FI25"/>
    <mergeCell ref="FJ25:FL25"/>
    <mergeCell ref="FM25:FO25"/>
    <mergeCell ref="FP25:FR25"/>
    <mergeCell ref="FS25:FU25"/>
    <mergeCell ref="FV25:FX25"/>
    <mergeCell ref="IS25:IU25"/>
    <mergeCell ref="IV25:IX25"/>
    <mergeCell ref="IY25:JA25"/>
    <mergeCell ref="JB25:JD25"/>
    <mergeCell ref="JE25:JG25"/>
    <mergeCell ref="JH25:JJ25"/>
    <mergeCell ref="IA25:IC25"/>
    <mergeCell ref="ID25:IF25"/>
    <mergeCell ref="IG25:II25"/>
    <mergeCell ref="IJ25:IL25"/>
    <mergeCell ref="IM25:IO25"/>
    <mergeCell ref="IP25:IR25"/>
    <mergeCell ref="HI25:HK25"/>
    <mergeCell ref="HL25:HN25"/>
    <mergeCell ref="HO25:HQ25"/>
    <mergeCell ref="HR25:HT25"/>
    <mergeCell ref="HU25:HW25"/>
    <mergeCell ref="HX25:HZ25"/>
    <mergeCell ref="KU25:KW25"/>
    <mergeCell ref="KX25:KZ25"/>
    <mergeCell ref="LA25:LC25"/>
    <mergeCell ref="LD25:LF25"/>
    <mergeCell ref="LG25:LI25"/>
    <mergeCell ref="LJ25:LL25"/>
    <mergeCell ref="KC25:KE25"/>
    <mergeCell ref="KF25:KH25"/>
    <mergeCell ref="KI25:KK25"/>
    <mergeCell ref="KL25:KN25"/>
    <mergeCell ref="KO25:KQ25"/>
    <mergeCell ref="KR25:KT25"/>
    <mergeCell ref="JK25:JM25"/>
    <mergeCell ref="JN25:JP25"/>
    <mergeCell ref="JQ25:JS25"/>
    <mergeCell ref="JT25:JV25"/>
    <mergeCell ref="JW25:JY25"/>
    <mergeCell ref="JZ25:KB25"/>
    <mergeCell ref="MW25:MY25"/>
    <mergeCell ref="MZ25:NB25"/>
    <mergeCell ref="NC25:NE25"/>
    <mergeCell ref="NF25:NH25"/>
    <mergeCell ref="NI25:NK25"/>
    <mergeCell ref="NL25:NN25"/>
    <mergeCell ref="ME25:MG25"/>
    <mergeCell ref="MH25:MJ25"/>
    <mergeCell ref="MK25:MM25"/>
    <mergeCell ref="MN25:MP25"/>
    <mergeCell ref="MQ25:MS25"/>
    <mergeCell ref="MT25:MV25"/>
    <mergeCell ref="LM25:LO25"/>
    <mergeCell ref="LP25:LR25"/>
    <mergeCell ref="LS25:LU25"/>
    <mergeCell ref="LV25:LX25"/>
    <mergeCell ref="LY25:MA25"/>
    <mergeCell ref="MB25:MD25"/>
    <mergeCell ref="OY25:PA25"/>
    <mergeCell ref="PB25:PD25"/>
    <mergeCell ref="PE25:PG25"/>
    <mergeCell ref="PH25:PJ25"/>
    <mergeCell ref="PK25:PM25"/>
    <mergeCell ref="PN25:PP25"/>
    <mergeCell ref="OG25:OI25"/>
    <mergeCell ref="OJ25:OL25"/>
    <mergeCell ref="OM25:OO25"/>
    <mergeCell ref="OP25:OR25"/>
    <mergeCell ref="OS25:OU25"/>
    <mergeCell ref="OV25:OX25"/>
    <mergeCell ref="NO25:NQ25"/>
    <mergeCell ref="NR25:NT25"/>
    <mergeCell ref="NU25:NW25"/>
    <mergeCell ref="NX25:NZ25"/>
    <mergeCell ref="OA25:OC25"/>
    <mergeCell ref="OD25:OF25"/>
    <mergeCell ref="RA25:RC25"/>
    <mergeCell ref="RD25:RF25"/>
    <mergeCell ref="RG25:RI25"/>
    <mergeCell ref="RJ25:RL25"/>
    <mergeCell ref="RM25:RO25"/>
    <mergeCell ref="RP25:RR25"/>
    <mergeCell ref="QI25:QK25"/>
    <mergeCell ref="QL25:QN25"/>
    <mergeCell ref="QO25:QQ25"/>
    <mergeCell ref="QR25:QT25"/>
    <mergeCell ref="QU25:QW25"/>
    <mergeCell ref="QX25:QZ25"/>
    <mergeCell ref="PQ25:PS25"/>
    <mergeCell ref="PT25:PV25"/>
    <mergeCell ref="PW25:PY25"/>
    <mergeCell ref="PZ25:QB25"/>
    <mergeCell ref="QC25:QE25"/>
    <mergeCell ref="QF25:QH25"/>
    <mergeCell ref="TC25:TE25"/>
    <mergeCell ref="TF25:TH25"/>
    <mergeCell ref="TI25:TK25"/>
    <mergeCell ref="TL25:TN25"/>
    <mergeCell ref="TO25:TQ25"/>
    <mergeCell ref="TR25:TT25"/>
    <mergeCell ref="SK25:SM25"/>
    <mergeCell ref="SN25:SP25"/>
    <mergeCell ref="SQ25:SS25"/>
    <mergeCell ref="ST25:SV25"/>
    <mergeCell ref="SW25:SY25"/>
    <mergeCell ref="SZ25:TB25"/>
    <mergeCell ref="RS25:RU25"/>
    <mergeCell ref="RV25:RX25"/>
    <mergeCell ref="RY25:SA25"/>
    <mergeCell ref="SB25:SD25"/>
    <mergeCell ref="SE25:SG25"/>
    <mergeCell ref="SH25:SJ25"/>
    <mergeCell ref="VE25:VG25"/>
    <mergeCell ref="VH25:VJ25"/>
    <mergeCell ref="VK25:VM25"/>
    <mergeCell ref="VN25:VP25"/>
    <mergeCell ref="VQ25:VS25"/>
    <mergeCell ref="VT25:VV25"/>
    <mergeCell ref="UM25:UO25"/>
    <mergeCell ref="UP25:UR25"/>
    <mergeCell ref="US25:UU25"/>
    <mergeCell ref="UV25:UX25"/>
    <mergeCell ref="UY25:VA25"/>
    <mergeCell ref="VB25:VD25"/>
    <mergeCell ref="TU25:TW25"/>
    <mergeCell ref="TX25:TZ25"/>
    <mergeCell ref="UA25:UC25"/>
    <mergeCell ref="UD25:UF25"/>
    <mergeCell ref="UG25:UI25"/>
    <mergeCell ref="UJ25:UL25"/>
    <mergeCell ref="XG25:XI25"/>
    <mergeCell ref="XJ25:XL25"/>
    <mergeCell ref="XM25:XO25"/>
    <mergeCell ref="XP25:XR25"/>
    <mergeCell ref="XS25:XU25"/>
    <mergeCell ref="XV25:XX25"/>
    <mergeCell ref="WO25:WQ25"/>
    <mergeCell ref="WR25:WT25"/>
    <mergeCell ref="WU25:WW25"/>
    <mergeCell ref="WX25:WZ25"/>
    <mergeCell ref="XA25:XC25"/>
    <mergeCell ref="XD25:XF25"/>
    <mergeCell ref="VW25:VY25"/>
    <mergeCell ref="VZ25:WB25"/>
    <mergeCell ref="WC25:WE25"/>
    <mergeCell ref="WF25:WH25"/>
    <mergeCell ref="WI25:WK25"/>
    <mergeCell ref="WL25:WN25"/>
    <mergeCell ref="ZI25:ZK25"/>
    <mergeCell ref="ZL25:ZN25"/>
    <mergeCell ref="ZO25:ZQ25"/>
    <mergeCell ref="ZR25:ZT25"/>
    <mergeCell ref="ZU25:ZW25"/>
    <mergeCell ref="ZX25:ZZ25"/>
    <mergeCell ref="YQ25:YS25"/>
    <mergeCell ref="YT25:YV25"/>
    <mergeCell ref="YW25:YY25"/>
    <mergeCell ref="YZ25:ZB25"/>
    <mergeCell ref="ZC25:ZE25"/>
    <mergeCell ref="ZF25:ZH25"/>
    <mergeCell ref="XY25:YA25"/>
    <mergeCell ref="YB25:YD25"/>
    <mergeCell ref="YE25:YG25"/>
    <mergeCell ref="YH25:YJ25"/>
    <mergeCell ref="YK25:YM25"/>
    <mergeCell ref="YN25:YP25"/>
    <mergeCell ref="ABK25:ABM25"/>
    <mergeCell ref="ABN25:ABP25"/>
    <mergeCell ref="ABQ25:ABS25"/>
    <mergeCell ref="ABT25:ABV25"/>
    <mergeCell ref="ABW25:ABY25"/>
    <mergeCell ref="ABZ25:ACB25"/>
    <mergeCell ref="AAS25:AAU25"/>
    <mergeCell ref="AAV25:AAX25"/>
    <mergeCell ref="AAY25:ABA25"/>
    <mergeCell ref="ABB25:ABD25"/>
    <mergeCell ref="ABE25:ABG25"/>
    <mergeCell ref="ABH25:ABJ25"/>
    <mergeCell ref="AAA25:AAC25"/>
    <mergeCell ref="AAD25:AAF25"/>
    <mergeCell ref="AAG25:AAI25"/>
    <mergeCell ref="AAJ25:AAL25"/>
    <mergeCell ref="AAM25:AAO25"/>
    <mergeCell ref="AAP25:AAR25"/>
    <mergeCell ref="ADM25:ADO25"/>
    <mergeCell ref="ADP25:ADR25"/>
    <mergeCell ref="ADS25:ADU25"/>
    <mergeCell ref="ADV25:ADX25"/>
    <mergeCell ref="ADY25:AEA25"/>
    <mergeCell ref="AEB25:AED25"/>
    <mergeCell ref="ACU25:ACW25"/>
    <mergeCell ref="ACX25:ACZ25"/>
    <mergeCell ref="ADA25:ADC25"/>
    <mergeCell ref="ADD25:ADF25"/>
    <mergeCell ref="ADG25:ADI25"/>
    <mergeCell ref="ADJ25:ADL25"/>
    <mergeCell ref="ACC25:ACE25"/>
    <mergeCell ref="ACF25:ACH25"/>
    <mergeCell ref="ACI25:ACK25"/>
    <mergeCell ref="ACL25:ACN25"/>
    <mergeCell ref="ACO25:ACQ25"/>
    <mergeCell ref="ACR25:ACT25"/>
    <mergeCell ref="AFO25:AFQ25"/>
    <mergeCell ref="AFR25:AFT25"/>
    <mergeCell ref="AFU25:AFW25"/>
    <mergeCell ref="AFX25:AFZ25"/>
    <mergeCell ref="AGA25:AGC25"/>
    <mergeCell ref="AGD25:AGF25"/>
    <mergeCell ref="AEW25:AEY25"/>
    <mergeCell ref="AEZ25:AFB25"/>
    <mergeCell ref="AFC25:AFE25"/>
    <mergeCell ref="AFF25:AFH25"/>
    <mergeCell ref="AFI25:AFK25"/>
    <mergeCell ref="AFL25:AFN25"/>
    <mergeCell ref="AEE25:AEG25"/>
    <mergeCell ref="AEH25:AEJ25"/>
    <mergeCell ref="AEK25:AEM25"/>
    <mergeCell ref="AEN25:AEP25"/>
    <mergeCell ref="AEQ25:AES25"/>
    <mergeCell ref="AET25:AEV25"/>
    <mergeCell ref="AHQ25:AHS25"/>
    <mergeCell ref="AHT25:AHV25"/>
    <mergeCell ref="AHW25:AHY25"/>
    <mergeCell ref="AHZ25:AIB25"/>
    <mergeCell ref="AIC25:AIE25"/>
    <mergeCell ref="AIF25:AIH25"/>
    <mergeCell ref="AGY25:AHA25"/>
    <mergeCell ref="AHB25:AHD25"/>
    <mergeCell ref="AHE25:AHG25"/>
    <mergeCell ref="AHH25:AHJ25"/>
    <mergeCell ref="AHK25:AHM25"/>
    <mergeCell ref="AHN25:AHP25"/>
    <mergeCell ref="AGG25:AGI25"/>
    <mergeCell ref="AGJ25:AGL25"/>
    <mergeCell ref="AGM25:AGO25"/>
    <mergeCell ref="AGP25:AGR25"/>
    <mergeCell ref="AGS25:AGU25"/>
    <mergeCell ref="AGV25:AGX25"/>
    <mergeCell ref="AJS25:AJU25"/>
    <mergeCell ref="AJV25:AJX25"/>
    <mergeCell ref="AJY25:AKA25"/>
    <mergeCell ref="AKB25:AKD25"/>
    <mergeCell ref="AKE25:AKG25"/>
    <mergeCell ref="AKH25:AKJ25"/>
    <mergeCell ref="AJA25:AJC25"/>
    <mergeCell ref="AJD25:AJF25"/>
    <mergeCell ref="AJG25:AJI25"/>
    <mergeCell ref="AJJ25:AJL25"/>
    <mergeCell ref="AJM25:AJO25"/>
    <mergeCell ref="AJP25:AJR25"/>
    <mergeCell ref="AII25:AIK25"/>
    <mergeCell ref="AIL25:AIN25"/>
    <mergeCell ref="AIO25:AIQ25"/>
    <mergeCell ref="AIR25:AIT25"/>
    <mergeCell ref="AIU25:AIW25"/>
    <mergeCell ref="AIX25:AIZ25"/>
    <mergeCell ref="ALU25:ALW25"/>
    <mergeCell ref="ALX25:ALZ25"/>
    <mergeCell ref="AMA25:AMC25"/>
    <mergeCell ref="AMD25:AMF25"/>
    <mergeCell ref="AMG25:AMI25"/>
    <mergeCell ref="AMJ25:AML25"/>
    <mergeCell ref="ALC25:ALE25"/>
    <mergeCell ref="ALF25:ALH25"/>
    <mergeCell ref="ALI25:ALK25"/>
    <mergeCell ref="ALL25:ALN25"/>
    <mergeCell ref="ALO25:ALQ25"/>
    <mergeCell ref="ALR25:ALT25"/>
    <mergeCell ref="AKK25:AKM25"/>
    <mergeCell ref="AKN25:AKP25"/>
    <mergeCell ref="AKQ25:AKS25"/>
    <mergeCell ref="AKT25:AKV25"/>
    <mergeCell ref="AKW25:AKY25"/>
    <mergeCell ref="AKZ25:ALB25"/>
    <mergeCell ref="ANW25:ANY25"/>
    <mergeCell ref="ANZ25:AOB25"/>
    <mergeCell ref="AOC25:AOE25"/>
    <mergeCell ref="AOF25:AOH25"/>
    <mergeCell ref="AOI25:AOK25"/>
    <mergeCell ref="AOL25:AON25"/>
    <mergeCell ref="ANE25:ANG25"/>
    <mergeCell ref="ANH25:ANJ25"/>
    <mergeCell ref="ANK25:ANM25"/>
    <mergeCell ref="ANN25:ANP25"/>
    <mergeCell ref="ANQ25:ANS25"/>
    <mergeCell ref="ANT25:ANV25"/>
    <mergeCell ref="AMM25:AMO25"/>
    <mergeCell ref="AMP25:AMR25"/>
    <mergeCell ref="AMS25:AMU25"/>
    <mergeCell ref="AMV25:AMX25"/>
    <mergeCell ref="AMY25:ANA25"/>
    <mergeCell ref="ANB25:AND25"/>
    <mergeCell ref="APY25:AQA25"/>
    <mergeCell ref="AQB25:AQD25"/>
    <mergeCell ref="AQE25:AQG25"/>
    <mergeCell ref="AQH25:AQJ25"/>
    <mergeCell ref="AQK25:AQM25"/>
    <mergeCell ref="AQN25:AQP25"/>
    <mergeCell ref="APG25:API25"/>
    <mergeCell ref="APJ25:APL25"/>
    <mergeCell ref="APM25:APO25"/>
    <mergeCell ref="APP25:APR25"/>
    <mergeCell ref="APS25:APU25"/>
    <mergeCell ref="APV25:APX25"/>
    <mergeCell ref="AOO25:AOQ25"/>
    <mergeCell ref="AOR25:AOT25"/>
    <mergeCell ref="AOU25:AOW25"/>
    <mergeCell ref="AOX25:AOZ25"/>
    <mergeCell ref="APA25:APC25"/>
    <mergeCell ref="APD25:APF25"/>
    <mergeCell ref="ASA25:ASC25"/>
    <mergeCell ref="ASD25:ASF25"/>
    <mergeCell ref="ASG25:ASI25"/>
    <mergeCell ref="ASJ25:ASL25"/>
    <mergeCell ref="ASM25:ASO25"/>
    <mergeCell ref="ASP25:ASR25"/>
    <mergeCell ref="ARI25:ARK25"/>
    <mergeCell ref="ARL25:ARN25"/>
    <mergeCell ref="ARO25:ARQ25"/>
    <mergeCell ref="ARR25:ART25"/>
    <mergeCell ref="ARU25:ARW25"/>
    <mergeCell ref="ARX25:ARZ25"/>
    <mergeCell ref="AQQ25:AQS25"/>
    <mergeCell ref="AQT25:AQV25"/>
    <mergeCell ref="AQW25:AQY25"/>
    <mergeCell ref="AQZ25:ARB25"/>
    <mergeCell ref="ARC25:ARE25"/>
    <mergeCell ref="ARF25:ARH25"/>
    <mergeCell ref="AUC25:AUE25"/>
    <mergeCell ref="AUF25:AUH25"/>
    <mergeCell ref="AUI25:AUK25"/>
    <mergeCell ref="AUL25:AUN25"/>
    <mergeCell ref="AUO25:AUQ25"/>
    <mergeCell ref="AUR25:AUT25"/>
    <mergeCell ref="ATK25:ATM25"/>
    <mergeCell ref="ATN25:ATP25"/>
    <mergeCell ref="ATQ25:ATS25"/>
    <mergeCell ref="ATT25:ATV25"/>
    <mergeCell ref="ATW25:ATY25"/>
    <mergeCell ref="ATZ25:AUB25"/>
    <mergeCell ref="ASS25:ASU25"/>
    <mergeCell ref="ASV25:ASX25"/>
    <mergeCell ref="ASY25:ATA25"/>
    <mergeCell ref="ATB25:ATD25"/>
    <mergeCell ref="ATE25:ATG25"/>
    <mergeCell ref="ATH25:ATJ25"/>
    <mergeCell ref="AWE25:AWG25"/>
    <mergeCell ref="AWH25:AWJ25"/>
    <mergeCell ref="AWK25:AWM25"/>
    <mergeCell ref="AWN25:AWP25"/>
    <mergeCell ref="AWQ25:AWS25"/>
    <mergeCell ref="AWT25:AWV25"/>
    <mergeCell ref="AVM25:AVO25"/>
    <mergeCell ref="AVP25:AVR25"/>
    <mergeCell ref="AVS25:AVU25"/>
    <mergeCell ref="AVV25:AVX25"/>
    <mergeCell ref="AVY25:AWA25"/>
    <mergeCell ref="AWB25:AWD25"/>
    <mergeCell ref="AUU25:AUW25"/>
    <mergeCell ref="AUX25:AUZ25"/>
    <mergeCell ref="AVA25:AVC25"/>
    <mergeCell ref="AVD25:AVF25"/>
    <mergeCell ref="AVG25:AVI25"/>
    <mergeCell ref="AVJ25:AVL25"/>
    <mergeCell ref="AYG25:AYI25"/>
    <mergeCell ref="AYJ25:AYL25"/>
    <mergeCell ref="AYM25:AYO25"/>
    <mergeCell ref="AYP25:AYR25"/>
    <mergeCell ref="AYS25:AYU25"/>
    <mergeCell ref="AYV25:AYX25"/>
    <mergeCell ref="AXO25:AXQ25"/>
    <mergeCell ref="AXR25:AXT25"/>
    <mergeCell ref="AXU25:AXW25"/>
    <mergeCell ref="AXX25:AXZ25"/>
    <mergeCell ref="AYA25:AYC25"/>
    <mergeCell ref="AYD25:AYF25"/>
    <mergeCell ref="AWW25:AWY25"/>
    <mergeCell ref="AWZ25:AXB25"/>
    <mergeCell ref="AXC25:AXE25"/>
    <mergeCell ref="AXF25:AXH25"/>
    <mergeCell ref="AXI25:AXK25"/>
    <mergeCell ref="AXL25:AXN25"/>
    <mergeCell ref="BAI25:BAK25"/>
    <mergeCell ref="BAL25:BAN25"/>
    <mergeCell ref="BAO25:BAQ25"/>
    <mergeCell ref="BAR25:BAT25"/>
    <mergeCell ref="BAU25:BAW25"/>
    <mergeCell ref="BAX25:BAZ25"/>
    <mergeCell ref="AZQ25:AZS25"/>
    <mergeCell ref="AZT25:AZV25"/>
    <mergeCell ref="AZW25:AZY25"/>
    <mergeCell ref="AZZ25:BAB25"/>
    <mergeCell ref="BAC25:BAE25"/>
    <mergeCell ref="BAF25:BAH25"/>
    <mergeCell ref="AYY25:AZA25"/>
    <mergeCell ref="AZB25:AZD25"/>
    <mergeCell ref="AZE25:AZG25"/>
    <mergeCell ref="AZH25:AZJ25"/>
    <mergeCell ref="AZK25:AZM25"/>
    <mergeCell ref="AZN25:AZP25"/>
    <mergeCell ref="BCK25:BCM25"/>
    <mergeCell ref="BCN25:BCP25"/>
    <mergeCell ref="BCQ25:BCS25"/>
    <mergeCell ref="BCT25:BCV25"/>
    <mergeCell ref="BCW25:BCY25"/>
    <mergeCell ref="BCZ25:BDB25"/>
    <mergeCell ref="BBS25:BBU25"/>
    <mergeCell ref="BBV25:BBX25"/>
    <mergeCell ref="BBY25:BCA25"/>
    <mergeCell ref="BCB25:BCD25"/>
    <mergeCell ref="BCE25:BCG25"/>
    <mergeCell ref="BCH25:BCJ25"/>
    <mergeCell ref="BBA25:BBC25"/>
    <mergeCell ref="BBD25:BBF25"/>
    <mergeCell ref="BBG25:BBI25"/>
    <mergeCell ref="BBJ25:BBL25"/>
    <mergeCell ref="BBM25:BBO25"/>
    <mergeCell ref="BBP25:BBR25"/>
    <mergeCell ref="BEM25:BEO25"/>
    <mergeCell ref="BEP25:BER25"/>
    <mergeCell ref="BES25:BEU25"/>
    <mergeCell ref="BEV25:BEX25"/>
    <mergeCell ref="BEY25:BFA25"/>
    <mergeCell ref="BFB25:BFD25"/>
    <mergeCell ref="BDU25:BDW25"/>
    <mergeCell ref="BDX25:BDZ25"/>
    <mergeCell ref="BEA25:BEC25"/>
    <mergeCell ref="BED25:BEF25"/>
    <mergeCell ref="BEG25:BEI25"/>
    <mergeCell ref="BEJ25:BEL25"/>
    <mergeCell ref="BDC25:BDE25"/>
    <mergeCell ref="BDF25:BDH25"/>
    <mergeCell ref="BDI25:BDK25"/>
    <mergeCell ref="BDL25:BDN25"/>
    <mergeCell ref="BDO25:BDQ25"/>
    <mergeCell ref="BDR25:BDT25"/>
    <mergeCell ref="BGO25:BGQ25"/>
    <mergeCell ref="BGR25:BGT25"/>
    <mergeCell ref="BGU25:BGW25"/>
    <mergeCell ref="BGX25:BGZ25"/>
    <mergeCell ref="BHA25:BHC25"/>
    <mergeCell ref="BHD25:BHF25"/>
    <mergeCell ref="BFW25:BFY25"/>
    <mergeCell ref="BFZ25:BGB25"/>
    <mergeCell ref="BGC25:BGE25"/>
    <mergeCell ref="BGF25:BGH25"/>
    <mergeCell ref="BGI25:BGK25"/>
    <mergeCell ref="BGL25:BGN25"/>
    <mergeCell ref="BFE25:BFG25"/>
    <mergeCell ref="BFH25:BFJ25"/>
    <mergeCell ref="BFK25:BFM25"/>
    <mergeCell ref="BFN25:BFP25"/>
    <mergeCell ref="BFQ25:BFS25"/>
    <mergeCell ref="BFT25:BFV25"/>
    <mergeCell ref="BIQ25:BIS25"/>
    <mergeCell ref="BIT25:BIV25"/>
    <mergeCell ref="BIW25:BIY25"/>
    <mergeCell ref="BIZ25:BJB25"/>
    <mergeCell ref="BJC25:BJE25"/>
    <mergeCell ref="BJF25:BJH25"/>
    <mergeCell ref="BHY25:BIA25"/>
    <mergeCell ref="BIB25:BID25"/>
    <mergeCell ref="BIE25:BIG25"/>
    <mergeCell ref="BIH25:BIJ25"/>
    <mergeCell ref="BIK25:BIM25"/>
    <mergeCell ref="BIN25:BIP25"/>
    <mergeCell ref="BHG25:BHI25"/>
    <mergeCell ref="BHJ25:BHL25"/>
    <mergeCell ref="BHM25:BHO25"/>
    <mergeCell ref="BHP25:BHR25"/>
    <mergeCell ref="BHS25:BHU25"/>
    <mergeCell ref="BHV25:BHX25"/>
    <mergeCell ref="BKS25:BKU25"/>
    <mergeCell ref="BKV25:BKX25"/>
    <mergeCell ref="BKY25:BLA25"/>
    <mergeCell ref="BLB25:BLD25"/>
    <mergeCell ref="BLE25:BLG25"/>
    <mergeCell ref="BLH25:BLJ25"/>
    <mergeCell ref="BKA25:BKC25"/>
    <mergeCell ref="BKD25:BKF25"/>
    <mergeCell ref="BKG25:BKI25"/>
    <mergeCell ref="BKJ25:BKL25"/>
    <mergeCell ref="BKM25:BKO25"/>
    <mergeCell ref="BKP25:BKR25"/>
    <mergeCell ref="BJI25:BJK25"/>
    <mergeCell ref="BJL25:BJN25"/>
    <mergeCell ref="BJO25:BJQ25"/>
    <mergeCell ref="BJR25:BJT25"/>
    <mergeCell ref="BJU25:BJW25"/>
    <mergeCell ref="BJX25:BJZ25"/>
    <mergeCell ref="BMU25:BMW25"/>
    <mergeCell ref="BMX25:BMZ25"/>
    <mergeCell ref="BNA25:BNC25"/>
    <mergeCell ref="BND25:BNF25"/>
    <mergeCell ref="BNG25:BNI25"/>
    <mergeCell ref="BNJ25:BNL25"/>
    <mergeCell ref="BMC25:BME25"/>
    <mergeCell ref="BMF25:BMH25"/>
    <mergeCell ref="BMI25:BMK25"/>
    <mergeCell ref="BML25:BMN25"/>
    <mergeCell ref="BMO25:BMQ25"/>
    <mergeCell ref="BMR25:BMT25"/>
    <mergeCell ref="BLK25:BLM25"/>
    <mergeCell ref="BLN25:BLP25"/>
    <mergeCell ref="BLQ25:BLS25"/>
    <mergeCell ref="BLT25:BLV25"/>
    <mergeCell ref="BLW25:BLY25"/>
    <mergeCell ref="BLZ25:BMB25"/>
    <mergeCell ref="BOW25:BOY25"/>
    <mergeCell ref="BOZ25:BPB25"/>
    <mergeCell ref="BPC25:BPE25"/>
    <mergeCell ref="BPF25:BPH25"/>
    <mergeCell ref="BPI25:BPK25"/>
    <mergeCell ref="BPL25:BPN25"/>
    <mergeCell ref="BOE25:BOG25"/>
    <mergeCell ref="BOH25:BOJ25"/>
    <mergeCell ref="BOK25:BOM25"/>
    <mergeCell ref="BON25:BOP25"/>
    <mergeCell ref="BOQ25:BOS25"/>
    <mergeCell ref="BOT25:BOV25"/>
    <mergeCell ref="BNM25:BNO25"/>
    <mergeCell ref="BNP25:BNR25"/>
    <mergeCell ref="BNS25:BNU25"/>
    <mergeCell ref="BNV25:BNX25"/>
    <mergeCell ref="BNY25:BOA25"/>
    <mergeCell ref="BOB25:BOD25"/>
    <mergeCell ref="BQY25:BRA25"/>
    <mergeCell ref="BRB25:BRD25"/>
    <mergeCell ref="BRE25:BRG25"/>
    <mergeCell ref="BRH25:BRJ25"/>
    <mergeCell ref="BRK25:BRM25"/>
    <mergeCell ref="BRN25:BRP25"/>
    <mergeCell ref="BQG25:BQI25"/>
    <mergeCell ref="BQJ25:BQL25"/>
    <mergeCell ref="BQM25:BQO25"/>
    <mergeCell ref="BQP25:BQR25"/>
    <mergeCell ref="BQS25:BQU25"/>
    <mergeCell ref="BQV25:BQX25"/>
    <mergeCell ref="BPO25:BPQ25"/>
    <mergeCell ref="BPR25:BPT25"/>
    <mergeCell ref="BPU25:BPW25"/>
    <mergeCell ref="BPX25:BPZ25"/>
    <mergeCell ref="BQA25:BQC25"/>
    <mergeCell ref="BQD25:BQF25"/>
    <mergeCell ref="BTA25:BTC25"/>
    <mergeCell ref="BTD25:BTF25"/>
    <mergeCell ref="BTG25:BTI25"/>
    <mergeCell ref="BTJ25:BTL25"/>
    <mergeCell ref="BTM25:BTO25"/>
    <mergeCell ref="BTP25:BTR25"/>
    <mergeCell ref="BSI25:BSK25"/>
    <mergeCell ref="BSL25:BSN25"/>
    <mergeCell ref="BSO25:BSQ25"/>
    <mergeCell ref="BSR25:BST25"/>
    <mergeCell ref="BSU25:BSW25"/>
    <mergeCell ref="BSX25:BSZ25"/>
    <mergeCell ref="BRQ25:BRS25"/>
    <mergeCell ref="BRT25:BRV25"/>
    <mergeCell ref="BRW25:BRY25"/>
    <mergeCell ref="BRZ25:BSB25"/>
    <mergeCell ref="BSC25:BSE25"/>
    <mergeCell ref="BSF25:BSH25"/>
    <mergeCell ref="BVC25:BVE25"/>
    <mergeCell ref="BVF25:BVH25"/>
    <mergeCell ref="BVI25:BVK25"/>
    <mergeCell ref="BVL25:BVN25"/>
    <mergeCell ref="BVO25:BVQ25"/>
    <mergeCell ref="BVR25:BVT25"/>
    <mergeCell ref="BUK25:BUM25"/>
    <mergeCell ref="BUN25:BUP25"/>
    <mergeCell ref="BUQ25:BUS25"/>
    <mergeCell ref="BUT25:BUV25"/>
    <mergeCell ref="BUW25:BUY25"/>
    <mergeCell ref="BUZ25:BVB25"/>
    <mergeCell ref="BTS25:BTU25"/>
    <mergeCell ref="BTV25:BTX25"/>
    <mergeCell ref="BTY25:BUA25"/>
    <mergeCell ref="BUB25:BUD25"/>
    <mergeCell ref="BUE25:BUG25"/>
    <mergeCell ref="BUH25:BUJ25"/>
    <mergeCell ref="BXE25:BXG25"/>
    <mergeCell ref="BXH25:BXJ25"/>
    <mergeCell ref="BXK25:BXM25"/>
    <mergeCell ref="BXN25:BXP25"/>
    <mergeCell ref="BXQ25:BXS25"/>
    <mergeCell ref="BXT25:BXV25"/>
    <mergeCell ref="BWM25:BWO25"/>
    <mergeCell ref="BWP25:BWR25"/>
    <mergeCell ref="BWS25:BWU25"/>
    <mergeCell ref="BWV25:BWX25"/>
    <mergeCell ref="BWY25:BXA25"/>
    <mergeCell ref="BXB25:BXD25"/>
    <mergeCell ref="BVU25:BVW25"/>
    <mergeCell ref="BVX25:BVZ25"/>
    <mergeCell ref="BWA25:BWC25"/>
    <mergeCell ref="BWD25:BWF25"/>
    <mergeCell ref="BWG25:BWI25"/>
    <mergeCell ref="BWJ25:BWL25"/>
    <mergeCell ref="BZG25:BZI25"/>
    <mergeCell ref="BZJ25:BZL25"/>
    <mergeCell ref="BZM25:BZO25"/>
    <mergeCell ref="BZP25:BZR25"/>
    <mergeCell ref="BZS25:BZU25"/>
    <mergeCell ref="BZV25:BZX25"/>
    <mergeCell ref="BYO25:BYQ25"/>
    <mergeCell ref="BYR25:BYT25"/>
    <mergeCell ref="BYU25:BYW25"/>
    <mergeCell ref="BYX25:BYZ25"/>
    <mergeCell ref="BZA25:BZC25"/>
    <mergeCell ref="BZD25:BZF25"/>
    <mergeCell ref="BXW25:BXY25"/>
    <mergeCell ref="BXZ25:BYB25"/>
    <mergeCell ref="BYC25:BYE25"/>
    <mergeCell ref="BYF25:BYH25"/>
    <mergeCell ref="BYI25:BYK25"/>
    <mergeCell ref="BYL25:BYN25"/>
    <mergeCell ref="CBI25:CBK25"/>
    <mergeCell ref="CBL25:CBN25"/>
    <mergeCell ref="CBO25:CBQ25"/>
    <mergeCell ref="CBR25:CBT25"/>
    <mergeCell ref="CBU25:CBW25"/>
    <mergeCell ref="CBX25:CBZ25"/>
    <mergeCell ref="CAQ25:CAS25"/>
    <mergeCell ref="CAT25:CAV25"/>
    <mergeCell ref="CAW25:CAY25"/>
    <mergeCell ref="CAZ25:CBB25"/>
    <mergeCell ref="CBC25:CBE25"/>
    <mergeCell ref="CBF25:CBH25"/>
    <mergeCell ref="BZY25:CAA25"/>
    <mergeCell ref="CAB25:CAD25"/>
    <mergeCell ref="CAE25:CAG25"/>
    <mergeCell ref="CAH25:CAJ25"/>
    <mergeCell ref="CAK25:CAM25"/>
    <mergeCell ref="CAN25:CAP25"/>
    <mergeCell ref="CDK25:CDM25"/>
    <mergeCell ref="CDN25:CDP25"/>
    <mergeCell ref="CDQ25:CDS25"/>
    <mergeCell ref="CDT25:CDV25"/>
    <mergeCell ref="CDW25:CDY25"/>
    <mergeCell ref="CDZ25:CEB25"/>
    <mergeCell ref="CCS25:CCU25"/>
    <mergeCell ref="CCV25:CCX25"/>
    <mergeCell ref="CCY25:CDA25"/>
    <mergeCell ref="CDB25:CDD25"/>
    <mergeCell ref="CDE25:CDG25"/>
    <mergeCell ref="CDH25:CDJ25"/>
    <mergeCell ref="CCA25:CCC25"/>
    <mergeCell ref="CCD25:CCF25"/>
    <mergeCell ref="CCG25:CCI25"/>
    <mergeCell ref="CCJ25:CCL25"/>
    <mergeCell ref="CCM25:CCO25"/>
    <mergeCell ref="CCP25:CCR25"/>
    <mergeCell ref="CFM25:CFO25"/>
    <mergeCell ref="CFP25:CFR25"/>
    <mergeCell ref="CFS25:CFU25"/>
    <mergeCell ref="CFV25:CFX25"/>
    <mergeCell ref="CFY25:CGA25"/>
    <mergeCell ref="CGB25:CGD25"/>
    <mergeCell ref="CEU25:CEW25"/>
    <mergeCell ref="CEX25:CEZ25"/>
    <mergeCell ref="CFA25:CFC25"/>
    <mergeCell ref="CFD25:CFF25"/>
    <mergeCell ref="CFG25:CFI25"/>
    <mergeCell ref="CFJ25:CFL25"/>
    <mergeCell ref="CEC25:CEE25"/>
    <mergeCell ref="CEF25:CEH25"/>
    <mergeCell ref="CEI25:CEK25"/>
    <mergeCell ref="CEL25:CEN25"/>
    <mergeCell ref="CEO25:CEQ25"/>
    <mergeCell ref="CER25:CET25"/>
    <mergeCell ref="CHO25:CHQ25"/>
    <mergeCell ref="CHR25:CHT25"/>
    <mergeCell ref="CHU25:CHW25"/>
    <mergeCell ref="CHX25:CHZ25"/>
    <mergeCell ref="CIA25:CIC25"/>
    <mergeCell ref="CID25:CIF25"/>
    <mergeCell ref="CGW25:CGY25"/>
    <mergeCell ref="CGZ25:CHB25"/>
    <mergeCell ref="CHC25:CHE25"/>
    <mergeCell ref="CHF25:CHH25"/>
    <mergeCell ref="CHI25:CHK25"/>
    <mergeCell ref="CHL25:CHN25"/>
    <mergeCell ref="CGE25:CGG25"/>
    <mergeCell ref="CGH25:CGJ25"/>
    <mergeCell ref="CGK25:CGM25"/>
    <mergeCell ref="CGN25:CGP25"/>
    <mergeCell ref="CGQ25:CGS25"/>
    <mergeCell ref="CGT25:CGV25"/>
    <mergeCell ref="CJQ25:CJS25"/>
    <mergeCell ref="CJT25:CJV25"/>
    <mergeCell ref="CJW25:CJY25"/>
    <mergeCell ref="CJZ25:CKB25"/>
    <mergeCell ref="CKC25:CKE25"/>
    <mergeCell ref="CKF25:CKH25"/>
    <mergeCell ref="CIY25:CJA25"/>
    <mergeCell ref="CJB25:CJD25"/>
    <mergeCell ref="CJE25:CJG25"/>
    <mergeCell ref="CJH25:CJJ25"/>
    <mergeCell ref="CJK25:CJM25"/>
    <mergeCell ref="CJN25:CJP25"/>
    <mergeCell ref="CIG25:CII25"/>
    <mergeCell ref="CIJ25:CIL25"/>
    <mergeCell ref="CIM25:CIO25"/>
    <mergeCell ref="CIP25:CIR25"/>
    <mergeCell ref="CIS25:CIU25"/>
    <mergeCell ref="CIV25:CIX25"/>
    <mergeCell ref="CLS25:CLU25"/>
    <mergeCell ref="CLV25:CLX25"/>
    <mergeCell ref="CLY25:CMA25"/>
    <mergeCell ref="CMB25:CMD25"/>
    <mergeCell ref="CME25:CMG25"/>
    <mergeCell ref="CMH25:CMJ25"/>
    <mergeCell ref="CLA25:CLC25"/>
    <mergeCell ref="CLD25:CLF25"/>
    <mergeCell ref="CLG25:CLI25"/>
    <mergeCell ref="CLJ25:CLL25"/>
    <mergeCell ref="CLM25:CLO25"/>
    <mergeCell ref="CLP25:CLR25"/>
    <mergeCell ref="CKI25:CKK25"/>
    <mergeCell ref="CKL25:CKN25"/>
    <mergeCell ref="CKO25:CKQ25"/>
    <mergeCell ref="CKR25:CKT25"/>
    <mergeCell ref="CKU25:CKW25"/>
    <mergeCell ref="CKX25:CKZ25"/>
    <mergeCell ref="CNU25:CNW25"/>
    <mergeCell ref="CNX25:CNZ25"/>
    <mergeCell ref="COA25:COC25"/>
    <mergeCell ref="COD25:COF25"/>
    <mergeCell ref="COG25:COI25"/>
    <mergeCell ref="COJ25:COL25"/>
    <mergeCell ref="CNC25:CNE25"/>
    <mergeCell ref="CNF25:CNH25"/>
    <mergeCell ref="CNI25:CNK25"/>
    <mergeCell ref="CNL25:CNN25"/>
    <mergeCell ref="CNO25:CNQ25"/>
    <mergeCell ref="CNR25:CNT25"/>
    <mergeCell ref="CMK25:CMM25"/>
    <mergeCell ref="CMN25:CMP25"/>
    <mergeCell ref="CMQ25:CMS25"/>
    <mergeCell ref="CMT25:CMV25"/>
    <mergeCell ref="CMW25:CMY25"/>
    <mergeCell ref="CMZ25:CNB25"/>
    <mergeCell ref="CPW25:CPY25"/>
    <mergeCell ref="CPZ25:CQB25"/>
    <mergeCell ref="CQC25:CQE25"/>
    <mergeCell ref="CQF25:CQH25"/>
    <mergeCell ref="CQI25:CQK25"/>
    <mergeCell ref="CQL25:CQN25"/>
    <mergeCell ref="CPE25:CPG25"/>
    <mergeCell ref="CPH25:CPJ25"/>
    <mergeCell ref="CPK25:CPM25"/>
    <mergeCell ref="CPN25:CPP25"/>
    <mergeCell ref="CPQ25:CPS25"/>
    <mergeCell ref="CPT25:CPV25"/>
    <mergeCell ref="COM25:COO25"/>
    <mergeCell ref="COP25:COR25"/>
    <mergeCell ref="COS25:COU25"/>
    <mergeCell ref="COV25:COX25"/>
    <mergeCell ref="COY25:CPA25"/>
    <mergeCell ref="CPB25:CPD25"/>
    <mergeCell ref="CRY25:CSA25"/>
    <mergeCell ref="CSB25:CSD25"/>
    <mergeCell ref="CSE25:CSG25"/>
    <mergeCell ref="CSH25:CSJ25"/>
    <mergeCell ref="CSK25:CSM25"/>
    <mergeCell ref="CSN25:CSP25"/>
    <mergeCell ref="CRG25:CRI25"/>
    <mergeCell ref="CRJ25:CRL25"/>
    <mergeCell ref="CRM25:CRO25"/>
    <mergeCell ref="CRP25:CRR25"/>
    <mergeCell ref="CRS25:CRU25"/>
    <mergeCell ref="CRV25:CRX25"/>
    <mergeCell ref="CQO25:CQQ25"/>
    <mergeCell ref="CQR25:CQT25"/>
    <mergeCell ref="CQU25:CQW25"/>
    <mergeCell ref="CQX25:CQZ25"/>
    <mergeCell ref="CRA25:CRC25"/>
    <mergeCell ref="CRD25:CRF25"/>
    <mergeCell ref="CUA25:CUC25"/>
    <mergeCell ref="CUD25:CUF25"/>
    <mergeCell ref="CUG25:CUI25"/>
    <mergeCell ref="CUJ25:CUL25"/>
    <mergeCell ref="CUM25:CUO25"/>
    <mergeCell ref="CUP25:CUR25"/>
    <mergeCell ref="CTI25:CTK25"/>
    <mergeCell ref="CTL25:CTN25"/>
    <mergeCell ref="CTO25:CTQ25"/>
    <mergeCell ref="CTR25:CTT25"/>
    <mergeCell ref="CTU25:CTW25"/>
    <mergeCell ref="CTX25:CTZ25"/>
    <mergeCell ref="CSQ25:CSS25"/>
    <mergeCell ref="CST25:CSV25"/>
    <mergeCell ref="CSW25:CSY25"/>
    <mergeCell ref="CSZ25:CTB25"/>
    <mergeCell ref="CTC25:CTE25"/>
    <mergeCell ref="CTF25:CTH25"/>
    <mergeCell ref="CWC25:CWE25"/>
    <mergeCell ref="CWF25:CWH25"/>
    <mergeCell ref="CWI25:CWK25"/>
    <mergeCell ref="CWL25:CWN25"/>
    <mergeCell ref="CWO25:CWQ25"/>
    <mergeCell ref="CWR25:CWT25"/>
    <mergeCell ref="CVK25:CVM25"/>
    <mergeCell ref="CVN25:CVP25"/>
    <mergeCell ref="CVQ25:CVS25"/>
    <mergeCell ref="CVT25:CVV25"/>
    <mergeCell ref="CVW25:CVY25"/>
    <mergeCell ref="CVZ25:CWB25"/>
    <mergeCell ref="CUS25:CUU25"/>
    <mergeCell ref="CUV25:CUX25"/>
    <mergeCell ref="CUY25:CVA25"/>
    <mergeCell ref="CVB25:CVD25"/>
    <mergeCell ref="CVE25:CVG25"/>
    <mergeCell ref="CVH25:CVJ25"/>
    <mergeCell ref="CYE25:CYG25"/>
    <mergeCell ref="CYH25:CYJ25"/>
    <mergeCell ref="CYK25:CYM25"/>
    <mergeCell ref="CYN25:CYP25"/>
    <mergeCell ref="CYQ25:CYS25"/>
    <mergeCell ref="CYT25:CYV25"/>
    <mergeCell ref="CXM25:CXO25"/>
    <mergeCell ref="CXP25:CXR25"/>
    <mergeCell ref="CXS25:CXU25"/>
    <mergeCell ref="CXV25:CXX25"/>
    <mergeCell ref="CXY25:CYA25"/>
    <mergeCell ref="CYB25:CYD25"/>
    <mergeCell ref="CWU25:CWW25"/>
    <mergeCell ref="CWX25:CWZ25"/>
    <mergeCell ref="CXA25:CXC25"/>
    <mergeCell ref="CXD25:CXF25"/>
    <mergeCell ref="CXG25:CXI25"/>
    <mergeCell ref="CXJ25:CXL25"/>
    <mergeCell ref="DAG25:DAI25"/>
    <mergeCell ref="DAJ25:DAL25"/>
    <mergeCell ref="DAM25:DAO25"/>
    <mergeCell ref="DAP25:DAR25"/>
    <mergeCell ref="DAS25:DAU25"/>
    <mergeCell ref="DAV25:DAX25"/>
    <mergeCell ref="CZO25:CZQ25"/>
    <mergeCell ref="CZR25:CZT25"/>
    <mergeCell ref="CZU25:CZW25"/>
    <mergeCell ref="CZX25:CZZ25"/>
    <mergeCell ref="DAA25:DAC25"/>
    <mergeCell ref="DAD25:DAF25"/>
    <mergeCell ref="CYW25:CYY25"/>
    <mergeCell ref="CYZ25:CZB25"/>
    <mergeCell ref="CZC25:CZE25"/>
    <mergeCell ref="CZF25:CZH25"/>
    <mergeCell ref="CZI25:CZK25"/>
    <mergeCell ref="CZL25:CZN25"/>
    <mergeCell ref="DCI25:DCK25"/>
    <mergeCell ref="DCL25:DCN25"/>
    <mergeCell ref="DCO25:DCQ25"/>
    <mergeCell ref="DCR25:DCT25"/>
    <mergeCell ref="DCU25:DCW25"/>
    <mergeCell ref="DCX25:DCZ25"/>
    <mergeCell ref="DBQ25:DBS25"/>
    <mergeCell ref="DBT25:DBV25"/>
    <mergeCell ref="DBW25:DBY25"/>
    <mergeCell ref="DBZ25:DCB25"/>
    <mergeCell ref="DCC25:DCE25"/>
    <mergeCell ref="DCF25:DCH25"/>
    <mergeCell ref="DAY25:DBA25"/>
    <mergeCell ref="DBB25:DBD25"/>
    <mergeCell ref="DBE25:DBG25"/>
    <mergeCell ref="DBH25:DBJ25"/>
    <mergeCell ref="DBK25:DBM25"/>
    <mergeCell ref="DBN25:DBP25"/>
    <mergeCell ref="DEK25:DEM25"/>
    <mergeCell ref="DEN25:DEP25"/>
    <mergeCell ref="DEQ25:DES25"/>
    <mergeCell ref="DET25:DEV25"/>
    <mergeCell ref="DEW25:DEY25"/>
    <mergeCell ref="DEZ25:DFB25"/>
    <mergeCell ref="DDS25:DDU25"/>
    <mergeCell ref="DDV25:DDX25"/>
    <mergeCell ref="DDY25:DEA25"/>
    <mergeCell ref="DEB25:DED25"/>
    <mergeCell ref="DEE25:DEG25"/>
    <mergeCell ref="DEH25:DEJ25"/>
    <mergeCell ref="DDA25:DDC25"/>
    <mergeCell ref="DDD25:DDF25"/>
    <mergeCell ref="DDG25:DDI25"/>
    <mergeCell ref="DDJ25:DDL25"/>
    <mergeCell ref="DDM25:DDO25"/>
    <mergeCell ref="DDP25:DDR25"/>
    <mergeCell ref="DGM25:DGO25"/>
    <mergeCell ref="DGP25:DGR25"/>
    <mergeCell ref="DGS25:DGU25"/>
    <mergeCell ref="DGV25:DGX25"/>
    <mergeCell ref="DGY25:DHA25"/>
    <mergeCell ref="DHB25:DHD25"/>
    <mergeCell ref="DFU25:DFW25"/>
    <mergeCell ref="DFX25:DFZ25"/>
    <mergeCell ref="DGA25:DGC25"/>
    <mergeCell ref="DGD25:DGF25"/>
    <mergeCell ref="DGG25:DGI25"/>
    <mergeCell ref="DGJ25:DGL25"/>
    <mergeCell ref="DFC25:DFE25"/>
    <mergeCell ref="DFF25:DFH25"/>
    <mergeCell ref="DFI25:DFK25"/>
    <mergeCell ref="DFL25:DFN25"/>
    <mergeCell ref="DFO25:DFQ25"/>
    <mergeCell ref="DFR25:DFT25"/>
    <mergeCell ref="DIO25:DIQ25"/>
    <mergeCell ref="DIR25:DIT25"/>
    <mergeCell ref="DIU25:DIW25"/>
    <mergeCell ref="DIX25:DIZ25"/>
    <mergeCell ref="DJA25:DJC25"/>
    <mergeCell ref="DJD25:DJF25"/>
    <mergeCell ref="DHW25:DHY25"/>
    <mergeCell ref="DHZ25:DIB25"/>
    <mergeCell ref="DIC25:DIE25"/>
    <mergeCell ref="DIF25:DIH25"/>
    <mergeCell ref="DII25:DIK25"/>
    <mergeCell ref="DIL25:DIN25"/>
    <mergeCell ref="DHE25:DHG25"/>
    <mergeCell ref="DHH25:DHJ25"/>
    <mergeCell ref="DHK25:DHM25"/>
    <mergeCell ref="DHN25:DHP25"/>
    <mergeCell ref="DHQ25:DHS25"/>
    <mergeCell ref="DHT25:DHV25"/>
    <mergeCell ref="DKQ25:DKS25"/>
    <mergeCell ref="DKT25:DKV25"/>
    <mergeCell ref="DKW25:DKY25"/>
    <mergeCell ref="DKZ25:DLB25"/>
    <mergeCell ref="DLC25:DLE25"/>
    <mergeCell ref="DLF25:DLH25"/>
    <mergeCell ref="DJY25:DKA25"/>
    <mergeCell ref="DKB25:DKD25"/>
    <mergeCell ref="DKE25:DKG25"/>
    <mergeCell ref="DKH25:DKJ25"/>
    <mergeCell ref="DKK25:DKM25"/>
    <mergeCell ref="DKN25:DKP25"/>
    <mergeCell ref="DJG25:DJI25"/>
    <mergeCell ref="DJJ25:DJL25"/>
    <mergeCell ref="DJM25:DJO25"/>
    <mergeCell ref="DJP25:DJR25"/>
    <mergeCell ref="DJS25:DJU25"/>
    <mergeCell ref="DJV25:DJX25"/>
    <mergeCell ref="DMS25:DMU25"/>
    <mergeCell ref="DMV25:DMX25"/>
    <mergeCell ref="DMY25:DNA25"/>
    <mergeCell ref="DNB25:DND25"/>
    <mergeCell ref="DNE25:DNG25"/>
    <mergeCell ref="DNH25:DNJ25"/>
    <mergeCell ref="DMA25:DMC25"/>
    <mergeCell ref="DMD25:DMF25"/>
    <mergeCell ref="DMG25:DMI25"/>
    <mergeCell ref="DMJ25:DML25"/>
    <mergeCell ref="DMM25:DMO25"/>
    <mergeCell ref="DMP25:DMR25"/>
    <mergeCell ref="DLI25:DLK25"/>
    <mergeCell ref="DLL25:DLN25"/>
    <mergeCell ref="DLO25:DLQ25"/>
    <mergeCell ref="DLR25:DLT25"/>
    <mergeCell ref="DLU25:DLW25"/>
    <mergeCell ref="DLX25:DLZ25"/>
    <mergeCell ref="DOU25:DOW25"/>
    <mergeCell ref="DOX25:DOZ25"/>
    <mergeCell ref="DPA25:DPC25"/>
    <mergeCell ref="DPD25:DPF25"/>
    <mergeCell ref="DPG25:DPI25"/>
    <mergeCell ref="DPJ25:DPL25"/>
    <mergeCell ref="DOC25:DOE25"/>
    <mergeCell ref="DOF25:DOH25"/>
    <mergeCell ref="DOI25:DOK25"/>
    <mergeCell ref="DOL25:DON25"/>
    <mergeCell ref="DOO25:DOQ25"/>
    <mergeCell ref="DOR25:DOT25"/>
    <mergeCell ref="DNK25:DNM25"/>
    <mergeCell ref="DNN25:DNP25"/>
    <mergeCell ref="DNQ25:DNS25"/>
    <mergeCell ref="DNT25:DNV25"/>
    <mergeCell ref="DNW25:DNY25"/>
    <mergeCell ref="DNZ25:DOB25"/>
    <mergeCell ref="DQW25:DQY25"/>
    <mergeCell ref="DQZ25:DRB25"/>
    <mergeCell ref="DRC25:DRE25"/>
    <mergeCell ref="DRF25:DRH25"/>
    <mergeCell ref="DRI25:DRK25"/>
    <mergeCell ref="DRL25:DRN25"/>
    <mergeCell ref="DQE25:DQG25"/>
    <mergeCell ref="DQH25:DQJ25"/>
    <mergeCell ref="DQK25:DQM25"/>
    <mergeCell ref="DQN25:DQP25"/>
    <mergeCell ref="DQQ25:DQS25"/>
    <mergeCell ref="DQT25:DQV25"/>
    <mergeCell ref="DPM25:DPO25"/>
    <mergeCell ref="DPP25:DPR25"/>
    <mergeCell ref="DPS25:DPU25"/>
    <mergeCell ref="DPV25:DPX25"/>
    <mergeCell ref="DPY25:DQA25"/>
    <mergeCell ref="DQB25:DQD25"/>
    <mergeCell ref="DSY25:DTA25"/>
    <mergeCell ref="DTB25:DTD25"/>
    <mergeCell ref="DTE25:DTG25"/>
    <mergeCell ref="DTH25:DTJ25"/>
    <mergeCell ref="DTK25:DTM25"/>
    <mergeCell ref="DTN25:DTP25"/>
    <mergeCell ref="DSG25:DSI25"/>
    <mergeCell ref="DSJ25:DSL25"/>
    <mergeCell ref="DSM25:DSO25"/>
    <mergeCell ref="DSP25:DSR25"/>
    <mergeCell ref="DSS25:DSU25"/>
    <mergeCell ref="DSV25:DSX25"/>
    <mergeCell ref="DRO25:DRQ25"/>
    <mergeCell ref="DRR25:DRT25"/>
    <mergeCell ref="DRU25:DRW25"/>
    <mergeCell ref="DRX25:DRZ25"/>
    <mergeCell ref="DSA25:DSC25"/>
    <mergeCell ref="DSD25:DSF25"/>
    <mergeCell ref="DVA25:DVC25"/>
    <mergeCell ref="DVD25:DVF25"/>
    <mergeCell ref="DVG25:DVI25"/>
    <mergeCell ref="DVJ25:DVL25"/>
    <mergeCell ref="DVM25:DVO25"/>
    <mergeCell ref="DVP25:DVR25"/>
    <mergeCell ref="DUI25:DUK25"/>
    <mergeCell ref="DUL25:DUN25"/>
    <mergeCell ref="DUO25:DUQ25"/>
    <mergeCell ref="DUR25:DUT25"/>
    <mergeCell ref="DUU25:DUW25"/>
    <mergeCell ref="DUX25:DUZ25"/>
    <mergeCell ref="DTQ25:DTS25"/>
    <mergeCell ref="DTT25:DTV25"/>
    <mergeCell ref="DTW25:DTY25"/>
    <mergeCell ref="DTZ25:DUB25"/>
    <mergeCell ref="DUC25:DUE25"/>
    <mergeCell ref="DUF25:DUH25"/>
    <mergeCell ref="DXC25:DXE25"/>
    <mergeCell ref="DXF25:DXH25"/>
    <mergeCell ref="DXI25:DXK25"/>
    <mergeCell ref="DXL25:DXN25"/>
    <mergeCell ref="DXO25:DXQ25"/>
    <mergeCell ref="DXR25:DXT25"/>
    <mergeCell ref="DWK25:DWM25"/>
    <mergeCell ref="DWN25:DWP25"/>
    <mergeCell ref="DWQ25:DWS25"/>
    <mergeCell ref="DWT25:DWV25"/>
    <mergeCell ref="DWW25:DWY25"/>
    <mergeCell ref="DWZ25:DXB25"/>
    <mergeCell ref="DVS25:DVU25"/>
    <mergeCell ref="DVV25:DVX25"/>
    <mergeCell ref="DVY25:DWA25"/>
    <mergeCell ref="DWB25:DWD25"/>
    <mergeCell ref="DWE25:DWG25"/>
    <mergeCell ref="DWH25:DWJ25"/>
    <mergeCell ref="DZE25:DZG25"/>
    <mergeCell ref="DZH25:DZJ25"/>
    <mergeCell ref="DZK25:DZM25"/>
    <mergeCell ref="DZN25:DZP25"/>
    <mergeCell ref="DZQ25:DZS25"/>
    <mergeCell ref="DZT25:DZV25"/>
    <mergeCell ref="DYM25:DYO25"/>
    <mergeCell ref="DYP25:DYR25"/>
    <mergeCell ref="DYS25:DYU25"/>
    <mergeCell ref="DYV25:DYX25"/>
    <mergeCell ref="DYY25:DZA25"/>
    <mergeCell ref="DZB25:DZD25"/>
    <mergeCell ref="DXU25:DXW25"/>
    <mergeCell ref="DXX25:DXZ25"/>
    <mergeCell ref="DYA25:DYC25"/>
    <mergeCell ref="DYD25:DYF25"/>
    <mergeCell ref="DYG25:DYI25"/>
    <mergeCell ref="DYJ25:DYL25"/>
    <mergeCell ref="EBG25:EBI25"/>
    <mergeCell ref="EBJ25:EBL25"/>
    <mergeCell ref="EBM25:EBO25"/>
    <mergeCell ref="EBP25:EBR25"/>
    <mergeCell ref="EBS25:EBU25"/>
    <mergeCell ref="EBV25:EBX25"/>
    <mergeCell ref="EAO25:EAQ25"/>
    <mergeCell ref="EAR25:EAT25"/>
    <mergeCell ref="EAU25:EAW25"/>
    <mergeCell ref="EAX25:EAZ25"/>
    <mergeCell ref="EBA25:EBC25"/>
    <mergeCell ref="EBD25:EBF25"/>
    <mergeCell ref="DZW25:DZY25"/>
    <mergeCell ref="DZZ25:EAB25"/>
    <mergeCell ref="EAC25:EAE25"/>
    <mergeCell ref="EAF25:EAH25"/>
    <mergeCell ref="EAI25:EAK25"/>
    <mergeCell ref="EAL25:EAN25"/>
    <mergeCell ref="EDI25:EDK25"/>
    <mergeCell ref="EDL25:EDN25"/>
    <mergeCell ref="EDO25:EDQ25"/>
    <mergeCell ref="EDR25:EDT25"/>
    <mergeCell ref="EDU25:EDW25"/>
    <mergeCell ref="EDX25:EDZ25"/>
    <mergeCell ref="ECQ25:ECS25"/>
    <mergeCell ref="ECT25:ECV25"/>
    <mergeCell ref="ECW25:ECY25"/>
    <mergeCell ref="ECZ25:EDB25"/>
    <mergeCell ref="EDC25:EDE25"/>
    <mergeCell ref="EDF25:EDH25"/>
    <mergeCell ref="EBY25:ECA25"/>
    <mergeCell ref="ECB25:ECD25"/>
    <mergeCell ref="ECE25:ECG25"/>
    <mergeCell ref="ECH25:ECJ25"/>
    <mergeCell ref="ECK25:ECM25"/>
    <mergeCell ref="ECN25:ECP25"/>
    <mergeCell ref="EFK25:EFM25"/>
    <mergeCell ref="EFN25:EFP25"/>
    <mergeCell ref="EFQ25:EFS25"/>
    <mergeCell ref="EFT25:EFV25"/>
    <mergeCell ref="EFW25:EFY25"/>
    <mergeCell ref="EFZ25:EGB25"/>
    <mergeCell ref="EES25:EEU25"/>
    <mergeCell ref="EEV25:EEX25"/>
    <mergeCell ref="EEY25:EFA25"/>
    <mergeCell ref="EFB25:EFD25"/>
    <mergeCell ref="EFE25:EFG25"/>
    <mergeCell ref="EFH25:EFJ25"/>
    <mergeCell ref="EEA25:EEC25"/>
    <mergeCell ref="EED25:EEF25"/>
    <mergeCell ref="EEG25:EEI25"/>
    <mergeCell ref="EEJ25:EEL25"/>
    <mergeCell ref="EEM25:EEO25"/>
    <mergeCell ref="EEP25:EER25"/>
    <mergeCell ref="EHM25:EHO25"/>
    <mergeCell ref="EHP25:EHR25"/>
    <mergeCell ref="EHS25:EHU25"/>
    <mergeCell ref="EHV25:EHX25"/>
    <mergeCell ref="EHY25:EIA25"/>
    <mergeCell ref="EIB25:EID25"/>
    <mergeCell ref="EGU25:EGW25"/>
    <mergeCell ref="EGX25:EGZ25"/>
    <mergeCell ref="EHA25:EHC25"/>
    <mergeCell ref="EHD25:EHF25"/>
    <mergeCell ref="EHG25:EHI25"/>
    <mergeCell ref="EHJ25:EHL25"/>
    <mergeCell ref="EGC25:EGE25"/>
    <mergeCell ref="EGF25:EGH25"/>
    <mergeCell ref="EGI25:EGK25"/>
    <mergeCell ref="EGL25:EGN25"/>
    <mergeCell ref="EGO25:EGQ25"/>
    <mergeCell ref="EGR25:EGT25"/>
    <mergeCell ref="EJO25:EJQ25"/>
    <mergeCell ref="EJR25:EJT25"/>
    <mergeCell ref="EJU25:EJW25"/>
    <mergeCell ref="EJX25:EJZ25"/>
    <mergeCell ref="EKA25:EKC25"/>
    <mergeCell ref="EKD25:EKF25"/>
    <mergeCell ref="EIW25:EIY25"/>
    <mergeCell ref="EIZ25:EJB25"/>
    <mergeCell ref="EJC25:EJE25"/>
    <mergeCell ref="EJF25:EJH25"/>
    <mergeCell ref="EJI25:EJK25"/>
    <mergeCell ref="EJL25:EJN25"/>
    <mergeCell ref="EIE25:EIG25"/>
    <mergeCell ref="EIH25:EIJ25"/>
    <mergeCell ref="EIK25:EIM25"/>
    <mergeCell ref="EIN25:EIP25"/>
    <mergeCell ref="EIQ25:EIS25"/>
    <mergeCell ref="EIT25:EIV25"/>
    <mergeCell ref="ELQ25:ELS25"/>
    <mergeCell ref="ELT25:ELV25"/>
    <mergeCell ref="ELW25:ELY25"/>
    <mergeCell ref="ELZ25:EMB25"/>
    <mergeCell ref="EMC25:EME25"/>
    <mergeCell ref="EMF25:EMH25"/>
    <mergeCell ref="EKY25:ELA25"/>
    <mergeCell ref="ELB25:ELD25"/>
    <mergeCell ref="ELE25:ELG25"/>
    <mergeCell ref="ELH25:ELJ25"/>
    <mergeCell ref="ELK25:ELM25"/>
    <mergeCell ref="ELN25:ELP25"/>
    <mergeCell ref="EKG25:EKI25"/>
    <mergeCell ref="EKJ25:EKL25"/>
    <mergeCell ref="EKM25:EKO25"/>
    <mergeCell ref="EKP25:EKR25"/>
    <mergeCell ref="EKS25:EKU25"/>
    <mergeCell ref="EKV25:EKX25"/>
    <mergeCell ref="ENS25:ENU25"/>
    <mergeCell ref="ENV25:ENX25"/>
    <mergeCell ref="ENY25:EOA25"/>
    <mergeCell ref="EOB25:EOD25"/>
    <mergeCell ref="EOE25:EOG25"/>
    <mergeCell ref="EOH25:EOJ25"/>
    <mergeCell ref="ENA25:ENC25"/>
    <mergeCell ref="END25:ENF25"/>
    <mergeCell ref="ENG25:ENI25"/>
    <mergeCell ref="ENJ25:ENL25"/>
    <mergeCell ref="ENM25:ENO25"/>
    <mergeCell ref="ENP25:ENR25"/>
    <mergeCell ref="EMI25:EMK25"/>
    <mergeCell ref="EML25:EMN25"/>
    <mergeCell ref="EMO25:EMQ25"/>
    <mergeCell ref="EMR25:EMT25"/>
    <mergeCell ref="EMU25:EMW25"/>
    <mergeCell ref="EMX25:EMZ25"/>
    <mergeCell ref="EPU25:EPW25"/>
    <mergeCell ref="EPX25:EPZ25"/>
    <mergeCell ref="EQA25:EQC25"/>
    <mergeCell ref="EQD25:EQF25"/>
    <mergeCell ref="EQG25:EQI25"/>
    <mergeCell ref="EQJ25:EQL25"/>
    <mergeCell ref="EPC25:EPE25"/>
    <mergeCell ref="EPF25:EPH25"/>
    <mergeCell ref="EPI25:EPK25"/>
    <mergeCell ref="EPL25:EPN25"/>
    <mergeCell ref="EPO25:EPQ25"/>
    <mergeCell ref="EPR25:EPT25"/>
    <mergeCell ref="EOK25:EOM25"/>
    <mergeCell ref="EON25:EOP25"/>
    <mergeCell ref="EOQ25:EOS25"/>
    <mergeCell ref="EOT25:EOV25"/>
    <mergeCell ref="EOW25:EOY25"/>
    <mergeCell ref="EOZ25:EPB25"/>
    <mergeCell ref="ERW25:ERY25"/>
    <mergeCell ref="ERZ25:ESB25"/>
    <mergeCell ref="ESC25:ESE25"/>
    <mergeCell ref="ESF25:ESH25"/>
    <mergeCell ref="ESI25:ESK25"/>
    <mergeCell ref="ESL25:ESN25"/>
    <mergeCell ref="ERE25:ERG25"/>
    <mergeCell ref="ERH25:ERJ25"/>
    <mergeCell ref="ERK25:ERM25"/>
    <mergeCell ref="ERN25:ERP25"/>
    <mergeCell ref="ERQ25:ERS25"/>
    <mergeCell ref="ERT25:ERV25"/>
    <mergeCell ref="EQM25:EQO25"/>
    <mergeCell ref="EQP25:EQR25"/>
    <mergeCell ref="EQS25:EQU25"/>
    <mergeCell ref="EQV25:EQX25"/>
    <mergeCell ref="EQY25:ERA25"/>
    <mergeCell ref="ERB25:ERD25"/>
    <mergeCell ref="ETY25:EUA25"/>
    <mergeCell ref="EUB25:EUD25"/>
    <mergeCell ref="EUE25:EUG25"/>
    <mergeCell ref="EUH25:EUJ25"/>
    <mergeCell ref="EUK25:EUM25"/>
    <mergeCell ref="EUN25:EUP25"/>
    <mergeCell ref="ETG25:ETI25"/>
    <mergeCell ref="ETJ25:ETL25"/>
    <mergeCell ref="ETM25:ETO25"/>
    <mergeCell ref="ETP25:ETR25"/>
    <mergeCell ref="ETS25:ETU25"/>
    <mergeCell ref="ETV25:ETX25"/>
    <mergeCell ref="ESO25:ESQ25"/>
    <mergeCell ref="ESR25:EST25"/>
    <mergeCell ref="ESU25:ESW25"/>
    <mergeCell ref="ESX25:ESZ25"/>
    <mergeCell ref="ETA25:ETC25"/>
    <mergeCell ref="ETD25:ETF25"/>
    <mergeCell ref="EWA25:EWC25"/>
    <mergeCell ref="EWD25:EWF25"/>
    <mergeCell ref="EWG25:EWI25"/>
    <mergeCell ref="EWJ25:EWL25"/>
    <mergeCell ref="EWM25:EWO25"/>
    <mergeCell ref="EWP25:EWR25"/>
    <mergeCell ref="EVI25:EVK25"/>
    <mergeCell ref="EVL25:EVN25"/>
    <mergeCell ref="EVO25:EVQ25"/>
    <mergeCell ref="EVR25:EVT25"/>
    <mergeCell ref="EVU25:EVW25"/>
    <mergeCell ref="EVX25:EVZ25"/>
    <mergeCell ref="EUQ25:EUS25"/>
    <mergeCell ref="EUT25:EUV25"/>
    <mergeCell ref="EUW25:EUY25"/>
    <mergeCell ref="EUZ25:EVB25"/>
    <mergeCell ref="EVC25:EVE25"/>
    <mergeCell ref="EVF25:EVH25"/>
    <mergeCell ref="EYC25:EYE25"/>
    <mergeCell ref="EYF25:EYH25"/>
    <mergeCell ref="EYI25:EYK25"/>
    <mergeCell ref="EYL25:EYN25"/>
    <mergeCell ref="EYO25:EYQ25"/>
    <mergeCell ref="EYR25:EYT25"/>
    <mergeCell ref="EXK25:EXM25"/>
    <mergeCell ref="EXN25:EXP25"/>
    <mergeCell ref="EXQ25:EXS25"/>
    <mergeCell ref="EXT25:EXV25"/>
    <mergeCell ref="EXW25:EXY25"/>
    <mergeCell ref="EXZ25:EYB25"/>
    <mergeCell ref="EWS25:EWU25"/>
    <mergeCell ref="EWV25:EWX25"/>
    <mergeCell ref="EWY25:EXA25"/>
    <mergeCell ref="EXB25:EXD25"/>
    <mergeCell ref="EXE25:EXG25"/>
    <mergeCell ref="EXH25:EXJ25"/>
    <mergeCell ref="FAE25:FAG25"/>
    <mergeCell ref="FAH25:FAJ25"/>
    <mergeCell ref="FAK25:FAM25"/>
    <mergeCell ref="FAN25:FAP25"/>
    <mergeCell ref="FAQ25:FAS25"/>
    <mergeCell ref="FAT25:FAV25"/>
    <mergeCell ref="EZM25:EZO25"/>
    <mergeCell ref="EZP25:EZR25"/>
    <mergeCell ref="EZS25:EZU25"/>
    <mergeCell ref="EZV25:EZX25"/>
    <mergeCell ref="EZY25:FAA25"/>
    <mergeCell ref="FAB25:FAD25"/>
    <mergeCell ref="EYU25:EYW25"/>
    <mergeCell ref="EYX25:EYZ25"/>
    <mergeCell ref="EZA25:EZC25"/>
    <mergeCell ref="EZD25:EZF25"/>
    <mergeCell ref="EZG25:EZI25"/>
    <mergeCell ref="EZJ25:EZL25"/>
    <mergeCell ref="FCG25:FCI25"/>
    <mergeCell ref="FCJ25:FCL25"/>
    <mergeCell ref="FCM25:FCO25"/>
    <mergeCell ref="FCP25:FCR25"/>
    <mergeCell ref="FCS25:FCU25"/>
    <mergeCell ref="FCV25:FCX25"/>
    <mergeCell ref="FBO25:FBQ25"/>
    <mergeCell ref="FBR25:FBT25"/>
    <mergeCell ref="FBU25:FBW25"/>
    <mergeCell ref="FBX25:FBZ25"/>
    <mergeCell ref="FCA25:FCC25"/>
    <mergeCell ref="FCD25:FCF25"/>
    <mergeCell ref="FAW25:FAY25"/>
    <mergeCell ref="FAZ25:FBB25"/>
    <mergeCell ref="FBC25:FBE25"/>
    <mergeCell ref="FBF25:FBH25"/>
    <mergeCell ref="FBI25:FBK25"/>
    <mergeCell ref="FBL25:FBN25"/>
    <mergeCell ref="FEI25:FEK25"/>
    <mergeCell ref="FEL25:FEN25"/>
    <mergeCell ref="FEO25:FEQ25"/>
    <mergeCell ref="FER25:FET25"/>
    <mergeCell ref="FEU25:FEW25"/>
    <mergeCell ref="FEX25:FEZ25"/>
    <mergeCell ref="FDQ25:FDS25"/>
    <mergeCell ref="FDT25:FDV25"/>
    <mergeCell ref="FDW25:FDY25"/>
    <mergeCell ref="FDZ25:FEB25"/>
    <mergeCell ref="FEC25:FEE25"/>
    <mergeCell ref="FEF25:FEH25"/>
    <mergeCell ref="FCY25:FDA25"/>
    <mergeCell ref="FDB25:FDD25"/>
    <mergeCell ref="FDE25:FDG25"/>
    <mergeCell ref="FDH25:FDJ25"/>
    <mergeCell ref="FDK25:FDM25"/>
    <mergeCell ref="FDN25:FDP25"/>
    <mergeCell ref="FGK25:FGM25"/>
    <mergeCell ref="FGN25:FGP25"/>
    <mergeCell ref="FGQ25:FGS25"/>
    <mergeCell ref="FGT25:FGV25"/>
    <mergeCell ref="FGW25:FGY25"/>
    <mergeCell ref="FGZ25:FHB25"/>
    <mergeCell ref="FFS25:FFU25"/>
    <mergeCell ref="FFV25:FFX25"/>
    <mergeCell ref="FFY25:FGA25"/>
    <mergeCell ref="FGB25:FGD25"/>
    <mergeCell ref="FGE25:FGG25"/>
    <mergeCell ref="FGH25:FGJ25"/>
    <mergeCell ref="FFA25:FFC25"/>
    <mergeCell ref="FFD25:FFF25"/>
    <mergeCell ref="FFG25:FFI25"/>
    <mergeCell ref="FFJ25:FFL25"/>
    <mergeCell ref="FFM25:FFO25"/>
    <mergeCell ref="FFP25:FFR25"/>
    <mergeCell ref="FIM25:FIO25"/>
    <mergeCell ref="FIP25:FIR25"/>
    <mergeCell ref="FIS25:FIU25"/>
    <mergeCell ref="FIV25:FIX25"/>
    <mergeCell ref="FIY25:FJA25"/>
    <mergeCell ref="FJB25:FJD25"/>
    <mergeCell ref="FHU25:FHW25"/>
    <mergeCell ref="FHX25:FHZ25"/>
    <mergeCell ref="FIA25:FIC25"/>
    <mergeCell ref="FID25:FIF25"/>
    <mergeCell ref="FIG25:FII25"/>
    <mergeCell ref="FIJ25:FIL25"/>
    <mergeCell ref="FHC25:FHE25"/>
    <mergeCell ref="FHF25:FHH25"/>
    <mergeCell ref="FHI25:FHK25"/>
    <mergeCell ref="FHL25:FHN25"/>
    <mergeCell ref="FHO25:FHQ25"/>
    <mergeCell ref="FHR25:FHT25"/>
    <mergeCell ref="FKO25:FKQ25"/>
    <mergeCell ref="FKR25:FKT25"/>
    <mergeCell ref="FKU25:FKW25"/>
    <mergeCell ref="FKX25:FKZ25"/>
    <mergeCell ref="FLA25:FLC25"/>
    <mergeCell ref="FLD25:FLF25"/>
    <mergeCell ref="FJW25:FJY25"/>
    <mergeCell ref="FJZ25:FKB25"/>
    <mergeCell ref="FKC25:FKE25"/>
    <mergeCell ref="FKF25:FKH25"/>
    <mergeCell ref="FKI25:FKK25"/>
    <mergeCell ref="FKL25:FKN25"/>
    <mergeCell ref="FJE25:FJG25"/>
    <mergeCell ref="FJH25:FJJ25"/>
    <mergeCell ref="FJK25:FJM25"/>
    <mergeCell ref="FJN25:FJP25"/>
    <mergeCell ref="FJQ25:FJS25"/>
    <mergeCell ref="FJT25:FJV25"/>
    <mergeCell ref="FMQ25:FMS25"/>
    <mergeCell ref="FMT25:FMV25"/>
    <mergeCell ref="FMW25:FMY25"/>
    <mergeCell ref="FMZ25:FNB25"/>
    <mergeCell ref="FNC25:FNE25"/>
    <mergeCell ref="FNF25:FNH25"/>
    <mergeCell ref="FLY25:FMA25"/>
    <mergeCell ref="FMB25:FMD25"/>
    <mergeCell ref="FME25:FMG25"/>
    <mergeCell ref="FMH25:FMJ25"/>
    <mergeCell ref="FMK25:FMM25"/>
    <mergeCell ref="FMN25:FMP25"/>
    <mergeCell ref="FLG25:FLI25"/>
    <mergeCell ref="FLJ25:FLL25"/>
    <mergeCell ref="FLM25:FLO25"/>
    <mergeCell ref="FLP25:FLR25"/>
    <mergeCell ref="FLS25:FLU25"/>
    <mergeCell ref="FLV25:FLX25"/>
    <mergeCell ref="FOS25:FOU25"/>
    <mergeCell ref="FOV25:FOX25"/>
    <mergeCell ref="FOY25:FPA25"/>
    <mergeCell ref="FPB25:FPD25"/>
    <mergeCell ref="FPE25:FPG25"/>
    <mergeCell ref="FPH25:FPJ25"/>
    <mergeCell ref="FOA25:FOC25"/>
    <mergeCell ref="FOD25:FOF25"/>
    <mergeCell ref="FOG25:FOI25"/>
    <mergeCell ref="FOJ25:FOL25"/>
    <mergeCell ref="FOM25:FOO25"/>
    <mergeCell ref="FOP25:FOR25"/>
    <mergeCell ref="FNI25:FNK25"/>
    <mergeCell ref="FNL25:FNN25"/>
    <mergeCell ref="FNO25:FNQ25"/>
    <mergeCell ref="FNR25:FNT25"/>
    <mergeCell ref="FNU25:FNW25"/>
    <mergeCell ref="FNX25:FNZ25"/>
    <mergeCell ref="FQU25:FQW25"/>
    <mergeCell ref="FQX25:FQZ25"/>
    <mergeCell ref="FRA25:FRC25"/>
    <mergeCell ref="FRD25:FRF25"/>
    <mergeCell ref="FRG25:FRI25"/>
    <mergeCell ref="FRJ25:FRL25"/>
    <mergeCell ref="FQC25:FQE25"/>
    <mergeCell ref="FQF25:FQH25"/>
    <mergeCell ref="FQI25:FQK25"/>
    <mergeCell ref="FQL25:FQN25"/>
    <mergeCell ref="FQO25:FQQ25"/>
    <mergeCell ref="FQR25:FQT25"/>
    <mergeCell ref="FPK25:FPM25"/>
    <mergeCell ref="FPN25:FPP25"/>
    <mergeCell ref="FPQ25:FPS25"/>
    <mergeCell ref="FPT25:FPV25"/>
    <mergeCell ref="FPW25:FPY25"/>
    <mergeCell ref="FPZ25:FQB25"/>
    <mergeCell ref="FSW25:FSY25"/>
    <mergeCell ref="FSZ25:FTB25"/>
    <mergeCell ref="FTC25:FTE25"/>
    <mergeCell ref="FTF25:FTH25"/>
    <mergeCell ref="FTI25:FTK25"/>
    <mergeCell ref="FTL25:FTN25"/>
    <mergeCell ref="FSE25:FSG25"/>
    <mergeCell ref="FSH25:FSJ25"/>
    <mergeCell ref="FSK25:FSM25"/>
    <mergeCell ref="FSN25:FSP25"/>
    <mergeCell ref="FSQ25:FSS25"/>
    <mergeCell ref="FST25:FSV25"/>
    <mergeCell ref="FRM25:FRO25"/>
    <mergeCell ref="FRP25:FRR25"/>
    <mergeCell ref="FRS25:FRU25"/>
    <mergeCell ref="FRV25:FRX25"/>
    <mergeCell ref="FRY25:FSA25"/>
    <mergeCell ref="FSB25:FSD25"/>
    <mergeCell ref="FUY25:FVA25"/>
    <mergeCell ref="FVB25:FVD25"/>
    <mergeCell ref="FVE25:FVG25"/>
    <mergeCell ref="FVH25:FVJ25"/>
    <mergeCell ref="FVK25:FVM25"/>
    <mergeCell ref="FVN25:FVP25"/>
    <mergeCell ref="FUG25:FUI25"/>
    <mergeCell ref="FUJ25:FUL25"/>
    <mergeCell ref="FUM25:FUO25"/>
    <mergeCell ref="FUP25:FUR25"/>
    <mergeCell ref="FUS25:FUU25"/>
    <mergeCell ref="FUV25:FUX25"/>
    <mergeCell ref="FTO25:FTQ25"/>
    <mergeCell ref="FTR25:FTT25"/>
    <mergeCell ref="FTU25:FTW25"/>
    <mergeCell ref="FTX25:FTZ25"/>
    <mergeCell ref="FUA25:FUC25"/>
    <mergeCell ref="FUD25:FUF25"/>
    <mergeCell ref="FXA25:FXC25"/>
    <mergeCell ref="FXD25:FXF25"/>
    <mergeCell ref="FXG25:FXI25"/>
    <mergeCell ref="FXJ25:FXL25"/>
    <mergeCell ref="FXM25:FXO25"/>
    <mergeCell ref="FXP25:FXR25"/>
    <mergeCell ref="FWI25:FWK25"/>
    <mergeCell ref="FWL25:FWN25"/>
    <mergeCell ref="FWO25:FWQ25"/>
    <mergeCell ref="FWR25:FWT25"/>
    <mergeCell ref="FWU25:FWW25"/>
    <mergeCell ref="FWX25:FWZ25"/>
    <mergeCell ref="FVQ25:FVS25"/>
    <mergeCell ref="FVT25:FVV25"/>
    <mergeCell ref="FVW25:FVY25"/>
    <mergeCell ref="FVZ25:FWB25"/>
    <mergeCell ref="FWC25:FWE25"/>
    <mergeCell ref="FWF25:FWH25"/>
    <mergeCell ref="FZC25:FZE25"/>
    <mergeCell ref="FZF25:FZH25"/>
    <mergeCell ref="FZI25:FZK25"/>
    <mergeCell ref="FZL25:FZN25"/>
    <mergeCell ref="FZO25:FZQ25"/>
    <mergeCell ref="FZR25:FZT25"/>
    <mergeCell ref="FYK25:FYM25"/>
    <mergeCell ref="FYN25:FYP25"/>
    <mergeCell ref="FYQ25:FYS25"/>
    <mergeCell ref="FYT25:FYV25"/>
    <mergeCell ref="FYW25:FYY25"/>
    <mergeCell ref="FYZ25:FZB25"/>
    <mergeCell ref="FXS25:FXU25"/>
    <mergeCell ref="FXV25:FXX25"/>
    <mergeCell ref="FXY25:FYA25"/>
    <mergeCell ref="FYB25:FYD25"/>
    <mergeCell ref="FYE25:FYG25"/>
    <mergeCell ref="FYH25:FYJ25"/>
    <mergeCell ref="GBE25:GBG25"/>
    <mergeCell ref="GBH25:GBJ25"/>
    <mergeCell ref="GBK25:GBM25"/>
    <mergeCell ref="GBN25:GBP25"/>
    <mergeCell ref="GBQ25:GBS25"/>
    <mergeCell ref="GBT25:GBV25"/>
    <mergeCell ref="GAM25:GAO25"/>
    <mergeCell ref="GAP25:GAR25"/>
    <mergeCell ref="GAS25:GAU25"/>
    <mergeCell ref="GAV25:GAX25"/>
    <mergeCell ref="GAY25:GBA25"/>
    <mergeCell ref="GBB25:GBD25"/>
    <mergeCell ref="FZU25:FZW25"/>
    <mergeCell ref="FZX25:FZZ25"/>
    <mergeCell ref="GAA25:GAC25"/>
    <mergeCell ref="GAD25:GAF25"/>
    <mergeCell ref="GAG25:GAI25"/>
    <mergeCell ref="GAJ25:GAL25"/>
    <mergeCell ref="GDG25:GDI25"/>
    <mergeCell ref="GDJ25:GDL25"/>
    <mergeCell ref="GDM25:GDO25"/>
    <mergeCell ref="GDP25:GDR25"/>
    <mergeCell ref="GDS25:GDU25"/>
    <mergeCell ref="GDV25:GDX25"/>
    <mergeCell ref="GCO25:GCQ25"/>
    <mergeCell ref="GCR25:GCT25"/>
    <mergeCell ref="GCU25:GCW25"/>
    <mergeCell ref="GCX25:GCZ25"/>
    <mergeCell ref="GDA25:GDC25"/>
    <mergeCell ref="GDD25:GDF25"/>
    <mergeCell ref="GBW25:GBY25"/>
    <mergeCell ref="GBZ25:GCB25"/>
    <mergeCell ref="GCC25:GCE25"/>
    <mergeCell ref="GCF25:GCH25"/>
    <mergeCell ref="GCI25:GCK25"/>
    <mergeCell ref="GCL25:GCN25"/>
    <mergeCell ref="GFI25:GFK25"/>
    <mergeCell ref="GFL25:GFN25"/>
    <mergeCell ref="GFO25:GFQ25"/>
    <mergeCell ref="GFR25:GFT25"/>
    <mergeCell ref="GFU25:GFW25"/>
    <mergeCell ref="GFX25:GFZ25"/>
    <mergeCell ref="GEQ25:GES25"/>
    <mergeCell ref="GET25:GEV25"/>
    <mergeCell ref="GEW25:GEY25"/>
    <mergeCell ref="GEZ25:GFB25"/>
    <mergeCell ref="GFC25:GFE25"/>
    <mergeCell ref="GFF25:GFH25"/>
    <mergeCell ref="GDY25:GEA25"/>
    <mergeCell ref="GEB25:GED25"/>
    <mergeCell ref="GEE25:GEG25"/>
    <mergeCell ref="GEH25:GEJ25"/>
    <mergeCell ref="GEK25:GEM25"/>
    <mergeCell ref="GEN25:GEP25"/>
    <mergeCell ref="GHK25:GHM25"/>
    <mergeCell ref="GHN25:GHP25"/>
    <mergeCell ref="GHQ25:GHS25"/>
    <mergeCell ref="GHT25:GHV25"/>
    <mergeCell ref="GHW25:GHY25"/>
    <mergeCell ref="GHZ25:GIB25"/>
    <mergeCell ref="GGS25:GGU25"/>
    <mergeCell ref="GGV25:GGX25"/>
    <mergeCell ref="GGY25:GHA25"/>
    <mergeCell ref="GHB25:GHD25"/>
    <mergeCell ref="GHE25:GHG25"/>
    <mergeCell ref="GHH25:GHJ25"/>
    <mergeCell ref="GGA25:GGC25"/>
    <mergeCell ref="GGD25:GGF25"/>
    <mergeCell ref="GGG25:GGI25"/>
    <mergeCell ref="GGJ25:GGL25"/>
    <mergeCell ref="GGM25:GGO25"/>
    <mergeCell ref="GGP25:GGR25"/>
    <mergeCell ref="GJM25:GJO25"/>
    <mergeCell ref="GJP25:GJR25"/>
    <mergeCell ref="GJS25:GJU25"/>
    <mergeCell ref="GJV25:GJX25"/>
    <mergeCell ref="GJY25:GKA25"/>
    <mergeCell ref="GKB25:GKD25"/>
    <mergeCell ref="GIU25:GIW25"/>
    <mergeCell ref="GIX25:GIZ25"/>
    <mergeCell ref="GJA25:GJC25"/>
    <mergeCell ref="GJD25:GJF25"/>
    <mergeCell ref="GJG25:GJI25"/>
    <mergeCell ref="GJJ25:GJL25"/>
    <mergeCell ref="GIC25:GIE25"/>
    <mergeCell ref="GIF25:GIH25"/>
    <mergeCell ref="GII25:GIK25"/>
    <mergeCell ref="GIL25:GIN25"/>
    <mergeCell ref="GIO25:GIQ25"/>
    <mergeCell ref="GIR25:GIT25"/>
    <mergeCell ref="GLO25:GLQ25"/>
    <mergeCell ref="GLR25:GLT25"/>
    <mergeCell ref="GLU25:GLW25"/>
    <mergeCell ref="GLX25:GLZ25"/>
    <mergeCell ref="GMA25:GMC25"/>
    <mergeCell ref="GMD25:GMF25"/>
    <mergeCell ref="GKW25:GKY25"/>
    <mergeCell ref="GKZ25:GLB25"/>
    <mergeCell ref="GLC25:GLE25"/>
    <mergeCell ref="GLF25:GLH25"/>
    <mergeCell ref="GLI25:GLK25"/>
    <mergeCell ref="GLL25:GLN25"/>
    <mergeCell ref="GKE25:GKG25"/>
    <mergeCell ref="GKH25:GKJ25"/>
    <mergeCell ref="GKK25:GKM25"/>
    <mergeCell ref="GKN25:GKP25"/>
    <mergeCell ref="GKQ25:GKS25"/>
    <mergeCell ref="GKT25:GKV25"/>
    <mergeCell ref="GNQ25:GNS25"/>
    <mergeCell ref="GNT25:GNV25"/>
    <mergeCell ref="GNW25:GNY25"/>
    <mergeCell ref="GNZ25:GOB25"/>
    <mergeCell ref="GOC25:GOE25"/>
    <mergeCell ref="GOF25:GOH25"/>
    <mergeCell ref="GMY25:GNA25"/>
    <mergeCell ref="GNB25:GND25"/>
    <mergeCell ref="GNE25:GNG25"/>
    <mergeCell ref="GNH25:GNJ25"/>
    <mergeCell ref="GNK25:GNM25"/>
    <mergeCell ref="GNN25:GNP25"/>
    <mergeCell ref="GMG25:GMI25"/>
    <mergeCell ref="GMJ25:GML25"/>
    <mergeCell ref="GMM25:GMO25"/>
    <mergeCell ref="GMP25:GMR25"/>
    <mergeCell ref="GMS25:GMU25"/>
    <mergeCell ref="GMV25:GMX25"/>
    <mergeCell ref="GPS25:GPU25"/>
    <mergeCell ref="GPV25:GPX25"/>
    <mergeCell ref="GPY25:GQA25"/>
    <mergeCell ref="GQB25:GQD25"/>
    <mergeCell ref="GQE25:GQG25"/>
    <mergeCell ref="GQH25:GQJ25"/>
    <mergeCell ref="GPA25:GPC25"/>
    <mergeCell ref="GPD25:GPF25"/>
    <mergeCell ref="GPG25:GPI25"/>
    <mergeCell ref="GPJ25:GPL25"/>
    <mergeCell ref="GPM25:GPO25"/>
    <mergeCell ref="GPP25:GPR25"/>
    <mergeCell ref="GOI25:GOK25"/>
    <mergeCell ref="GOL25:GON25"/>
    <mergeCell ref="GOO25:GOQ25"/>
    <mergeCell ref="GOR25:GOT25"/>
    <mergeCell ref="GOU25:GOW25"/>
    <mergeCell ref="GOX25:GOZ25"/>
    <mergeCell ref="GRU25:GRW25"/>
    <mergeCell ref="GRX25:GRZ25"/>
    <mergeCell ref="GSA25:GSC25"/>
    <mergeCell ref="GSD25:GSF25"/>
    <mergeCell ref="GSG25:GSI25"/>
    <mergeCell ref="GSJ25:GSL25"/>
    <mergeCell ref="GRC25:GRE25"/>
    <mergeCell ref="GRF25:GRH25"/>
    <mergeCell ref="GRI25:GRK25"/>
    <mergeCell ref="GRL25:GRN25"/>
    <mergeCell ref="GRO25:GRQ25"/>
    <mergeCell ref="GRR25:GRT25"/>
    <mergeCell ref="GQK25:GQM25"/>
    <mergeCell ref="GQN25:GQP25"/>
    <mergeCell ref="GQQ25:GQS25"/>
    <mergeCell ref="GQT25:GQV25"/>
    <mergeCell ref="GQW25:GQY25"/>
    <mergeCell ref="GQZ25:GRB25"/>
    <mergeCell ref="GTW25:GTY25"/>
    <mergeCell ref="GTZ25:GUB25"/>
    <mergeCell ref="GUC25:GUE25"/>
    <mergeCell ref="GUF25:GUH25"/>
    <mergeCell ref="GUI25:GUK25"/>
    <mergeCell ref="GUL25:GUN25"/>
    <mergeCell ref="GTE25:GTG25"/>
    <mergeCell ref="GTH25:GTJ25"/>
    <mergeCell ref="GTK25:GTM25"/>
    <mergeCell ref="GTN25:GTP25"/>
    <mergeCell ref="GTQ25:GTS25"/>
    <mergeCell ref="GTT25:GTV25"/>
    <mergeCell ref="GSM25:GSO25"/>
    <mergeCell ref="GSP25:GSR25"/>
    <mergeCell ref="GSS25:GSU25"/>
    <mergeCell ref="GSV25:GSX25"/>
    <mergeCell ref="GSY25:GTA25"/>
    <mergeCell ref="GTB25:GTD25"/>
    <mergeCell ref="GVY25:GWA25"/>
    <mergeCell ref="GWB25:GWD25"/>
    <mergeCell ref="GWE25:GWG25"/>
    <mergeCell ref="GWH25:GWJ25"/>
    <mergeCell ref="GWK25:GWM25"/>
    <mergeCell ref="GWN25:GWP25"/>
    <mergeCell ref="GVG25:GVI25"/>
    <mergeCell ref="GVJ25:GVL25"/>
    <mergeCell ref="GVM25:GVO25"/>
    <mergeCell ref="GVP25:GVR25"/>
    <mergeCell ref="GVS25:GVU25"/>
    <mergeCell ref="GVV25:GVX25"/>
    <mergeCell ref="GUO25:GUQ25"/>
    <mergeCell ref="GUR25:GUT25"/>
    <mergeCell ref="GUU25:GUW25"/>
    <mergeCell ref="GUX25:GUZ25"/>
    <mergeCell ref="GVA25:GVC25"/>
    <mergeCell ref="GVD25:GVF25"/>
    <mergeCell ref="GYA25:GYC25"/>
    <mergeCell ref="GYD25:GYF25"/>
    <mergeCell ref="GYG25:GYI25"/>
    <mergeCell ref="GYJ25:GYL25"/>
    <mergeCell ref="GYM25:GYO25"/>
    <mergeCell ref="GYP25:GYR25"/>
    <mergeCell ref="GXI25:GXK25"/>
    <mergeCell ref="GXL25:GXN25"/>
    <mergeCell ref="GXO25:GXQ25"/>
    <mergeCell ref="GXR25:GXT25"/>
    <mergeCell ref="GXU25:GXW25"/>
    <mergeCell ref="GXX25:GXZ25"/>
    <mergeCell ref="GWQ25:GWS25"/>
    <mergeCell ref="GWT25:GWV25"/>
    <mergeCell ref="GWW25:GWY25"/>
    <mergeCell ref="GWZ25:GXB25"/>
    <mergeCell ref="GXC25:GXE25"/>
    <mergeCell ref="GXF25:GXH25"/>
    <mergeCell ref="HAC25:HAE25"/>
    <mergeCell ref="HAF25:HAH25"/>
    <mergeCell ref="HAI25:HAK25"/>
    <mergeCell ref="HAL25:HAN25"/>
    <mergeCell ref="HAO25:HAQ25"/>
    <mergeCell ref="HAR25:HAT25"/>
    <mergeCell ref="GZK25:GZM25"/>
    <mergeCell ref="GZN25:GZP25"/>
    <mergeCell ref="GZQ25:GZS25"/>
    <mergeCell ref="GZT25:GZV25"/>
    <mergeCell ref="GZW25:GZY25"/>
    <mergeCell ref="GZZ25:HAB25"/>
    <mergeCell ref="GYS25:GYU25"/>
    <mergeCell ref="GYV25:GYX25"/>
    <mergeCell ref="GYY25:GZA25"/>
    <mergeCell ref="GZB25:GZD25"/>
    <mergeCell ref="GZE25:GZG25"/>
    <mergeCell ref="GZH25:GZJ25"/>
    <mergeCell ref="HCE25:HCG25"/>
    <mergeCell ref="HCH25:HCJ25"/>
    <mergeCell ref="HCK25:HCM25"/>
    <mergeCell ref="HCN25:HCP25"/>
    <mergeCell ref="HCQ25:HCS25"/>
    <mergeCell ref="HCT25:HCV25"/>
    <mergeCell ref="HBM25:HBO25"/>
    <mergeCell ref="HBP25:HBR25"/>
    <mergeCell ref="HBS25:HBU25"/>
    <mergeCell ref="HBV25:HBX25"/>
    <mergeCell ref="HBY25:HCA25"/>
    <mergeCell ref="HCB25:HCD25"/>
    <mergeCell ref="HAU25:HAW25"/>
    <mergeCell ref="HAX25:HAZ25"/>
    <mergeCell ref="HBA25:HBC25"/>
    <mergeCell ref="HBD25:HBF25"/>
    <mergeCell ref="HBG25:HBI25"/>
    <mergeCell ref="HBJ25:HBL25"/>
    <mergeCell ref="HEG25:HEI25"/>
    <mergeCell ref="HEJ25:HEL25"/>
    <mergeCell ref="HEM25:HEO25"/>
    <mergeCell ref="HEP25:HER25"/>
    <mergeCell ref="HES25:HEU25"/>
    <mergeCell ref="HEV25:HEX25"/>
    <mergeCell ref="HDO25:HDQ25"/>
    <mergeCell ref="HDR25:HDT25"/>
    <mergeCell ref="HDU25:HDW25"/>
    <mergeCell ref="HDX25:HDZ25"/>
    <mergeCell ref="HEA25:HEC25"/>
    <mergeCell ref="HED25:HEF25"/>
    <mergeCell ref="HCW25:HCY25"/>
    <mergeCell ref="HCZ25:HDB25"/>
    <mergeCell ref="HDC25:HDE25"/>
    <mergeCell ref="HDF25:HDH25"/>
    <mergeCell ref="HDI25:HDK25"/>
    <mergeCell ref="HDL25:HDN25"/>
    <mergeCell ref="HGI25:HGK25"/>
    <mergeCell ref="HGL25:HGN25"/>
    <mergeCell ref="HGO25:HGQ25"/>
    <mergeCell ref="HGR25:HGT25"/>
    <mergeCell ref="HGU25:HGW25"/>
    <mergeCell ref="HGX25:HGZ25"/>
    <mergeCell ref="HFQ25:HFS25"/>
    <mergeCell ref="HFT25:HFV25"/>
    <mergeCell ref="HFW25:HFY25"/>
    <mergeCell ref="HFZ25:HGB25"/>
    <mergeCell ref="HGC25:HGE25"/>
    <mergeCell ref="HGF25:HGH25"/>
    <mergeCell ref="HEY25:HFA25"/>
    <mergeCell ref="HFB25:HFD25"/>
    <mergeCell ref="HFE25:HFG25"/>
    <mergeCell ref="HFH25:HFJ25"/>
    <mergeCell ref="HFK25:HFM25"/>
    <mergeCell ref="HFN25:HFP25"/>
    <mergeCell ref="HIK25:HIM25"/>
    <mergeCell ref="HIN25:HIP25"/>
    <mergeCell ref="HIQ25:HIS25"/>
    <mergeCell ref="HIT25:HIV25"/>
    <mergeCell ref="HIW25:HIY25"/>
    <mergeCell ref="HIZ25:HJB25"/>
    <mergeCell ref="HHS25:HHU25"/>
    <mergeCell ref="HHV25:HHX25"/>
    <mergeCell ref="HHY25:HIA25"/>
    <mergeCell ref="HIB25:HID25"/>
    <mergeCell ref="HIE25:HIG25"/>
    <mergeCell ref="HIH25:HIJ25"/>
    <mergeCell ref="HHA25:HHC25"/>
    <mergeCell ref="HHD25:HHF25"/>
    <mergeCell ref="HHG25:HHI25"/>
    <mergeCell ref="HHJ25:HHL25"/>
    <mergeCell ref="HHM25:HHO25"/>
    <mergeCell ref="HHP25:HHR25"/>
    <mergeCell ref="HKM25:HKO25"/>
    <mergeCell ref="HKP25:HKR25"/>
    <mergeCell ref="HKS25:HKU25"/>
    <mergeCell ref="HKV25:HKX25"/>
    <mergeCell ref="HKY25:HLA25"/>
    <mergeCell ref="HLB25:HLD25"/>
    <mergeCell ref="HJU25:HJW25"/>
    <mergeCell ref="HJX25:HJZ25"/>
    <mergeCell ref="HKA25:HKC25"/>
    <mergeCell ref="HKD25:HKF25"/>
    <mergeCell ref="HKG25:HKI25"/>
    <mergeCell ref="HKJ25:HKL25"/>
    <mergeCell ref="HJC25:HJE25"/>
    <mergeCell ref="HJF25:HJH25"/>
    <mergeCell ref="HJI25:HJK25"/>
    <mergeCell ref="HJL25:HJN25"/>
    <mergeCell ref="HJO25:HJQ25"/>
    <mergeCell ref="HJR25:HJT25"/>
    <mergeCell ref="HMO25:HMQ25"/>
    <mergeCell ref="HMR25:HMT25"/>
    <mergeCell ref="HMU25:HMW25"/>
    <mergeCell ref="HMX25:HMZ25"/>
    <mergeCell ref="HNA25:HNC25"/>
    <mergeCell ref="HND25:HNF25"/>
    <mergeCell ref="HLW25:HLY25"/>
    <mergeCell ref="HLZ25:HMB25"/>
    <mergeCell ref="HMC25:HME25"/>
    <mergeCell ref="HMF25:HMH25"/>
    <mergeCell ref="HMI25:HMK25"/>
    <mergeCell ref="HML25:HMN25"/>
    <mergeCell ref="HLE25:HLG25"/>
    <mergeCell ref="HLH25:HLJ25"/>
    <mergeCell ref="HLK25:HLM25"/>
    <mergeCell ref="HLN25:HLP25"/>
    <mergeCell ref="HLQ25:HLS25"/>
    <mergeCell ref="HLT25:HLV25"/>
    <mergeCell ref="HOQ25:HOS25"/>
    <mergeCell ref="HOT25:HOV25"/>
    <mergeCell ref="HOW25:HOY25"/>
    <mergeCell ref="HOZ25:HPB25"/>
    <mergeCell ref="HPC25:HPE25"/>
    <mergeCell ref="HPF25:HPH25"/>
    <mergeCell ref="HNY25:HOA25"/>
    <mergeCell ref="HOB25:HOD25"/>
    <mergeCell ref="HOE25:HOG25"/>
    <mergeCell ref="HOH25:HOJ25"/>
    <mergeCell ref="HOK25:HOM25"/>
    <mergeCell ref="HON25:HOP25"/>
    <mergeCell ref="HNG25:HNI25"/>
    <mergeCell ref="HNJ25:HNL25"/>
    <mergeCell ref="HNM25:HNO25"/>
    <mergeCell ref="HNP25:HNR25"/>
    <mergeCell ref="HNS25:HNU25"/>
    <mergeCell ref="HNV25:HNX25"/>
    <mergeCell ref="HQS25:HQU25"/>
    <mergeCell ref="HQV25:HQX25"/>
    <mergeCell ref="HQY25:HRA25"/>
    <mergeCell ref="HRB25:HRD25"/>
    <mergeCell ref="HRE25:HRG25"/>
    <mergeCell ref="HRH25:HRJ25"/>
    <mergeCell ref="HQA25:HQC25"/>
    <mergeCell ref="HQD25:HQF25"/>
    <mergeCell ref="HQG25:HQI25"/>
    <mergeCell ref="HQJ25:HQL25"/>
    <mergeCell ref="HQM25:HQO25"/>
    <mergeCell ref="HQP25:HQR25"/>
    <mergeCell ref="HPI25:HPK25"/>
    <mergeCell ref="HPL25:HPN25"/>
    <mergeCell ref="HPO25:HPQ25"/>
    <mergeCell ref="HPR25:HPT25"/>
    <mergeCell ref="HPU25:HPW25"/>
    <mergeCell ref="HPX25:HPZ25"/>
    <mergeCell ref="HSU25:HSW25"/>
    <mergeCell ref="HSX25:HSZ25"/>
    <mergeCell ref="HTA25:HTC25"/>
    <mergeCell ref="HTD25:HTF25"/>
    <mergeCell ref="HTG25:HTI25"/>
    <mergeCell ref="HTJ25:HTL25"/>
    <mergeCell ref="HSC25:HSE25"/>
    <mergeCell ref="HSF25:HSH25"/>
    <mergeCell ref="HSI25:HSK25"/>
    <mergeCell ref="HSL25:HSN25"/>
    <mergeCell ref="HSO25:HSQ25"/>
    <mergeCell ref="HSR25:HST25"/>
    <mergeCell ref="HRK25:HRM25"/>
    <mergeCell ref="HRN25:HRP25"/>
    <mergeCell ref="HRQ25:HRS25"/>
    <mergeCell ref="HRT25:HRV25"/>
    <mergeCell ref="HRW25:HRY25"/>
    <mergeCell ref="HRZ25:HSB25"/>
    <mergeCell ref="HUW25:HUY25"/>
    <mergeCell ref="HUZ25:HVB25"/>
    <mergeCell ref="HVC25:HVE25"/>
    <mergeCell ref="HVF25:HVH25"/>
    <mergeCell ref="HVI25:HVK25"/>
    <mergeCell ref="HVL25:HVN25"/>
    <mergeCell ref="HUE25:HUG25"/>
    <mergeCell ref="HUH25:HUJ25"/>
    <mergeCell ref="HUK25:HUM25"/>
    <mergeCell ref="HUN25:HUP25"/>
    <mergeCell ref="HUQ25:HUS25"/>
    <mergeCell ref="HUT25:HUV25"/>
    <mergeCell ref="HTM25:HTO25"/>
    <mergeCell ref="HTP25:HTR25"/>
    <mergeCell ref="HTS25:HTU25"/>
    <mergeCell ref="HTV25:HTX25"/>
    <mergeCell ref="HTY25:HUA25"/>
    <mergeCell ref="HUB25:HUD25"/>
    <mergeCell ref="HWY25:HXA25"/>
    <mergeCell ref="HXB25:HXD25"/>
    <mergeCell ref="HXE25:HXG25"/>
    <mergeCell ref="HXH25:HXJ25"/>
    <mergeCell ref="HXK25:HXM25"/>
    <mergeCell ref="HXN25:HXP25"/>
    <mergeCell ref="HWG25:HWI25"/>
    <mergeCell ref="HWJ25:HWL25"/>
    <mergeCell ref="HWM25:HWO25"/>
    <mergeCell ref="HWP25:HWR25"/>
    <mergeCell ref="HWS25:HWU25"/>
    <mergeCell ref="HWV25:HWX25"/>
    <mergeCell ref="HVO25:HVQ25"/>
    <mergeCell ref="HVR25:HVT25"/>
    <mergeCell ref="HVU25:HVW25"/>
    <mergeCell ref="HVX25:HVZ25"/>
    <mergeCell ref="HWA25:HWC25"/>
    <mergeCell ref="HWD25:HWF25"/>
    <mergeCell ref="HZA25:HZC25"/>
    <mergeCell ref="HZD25:HZF25"/>
    <mergeCell ref="HZG25:HZI25"/>
    <mergeCell ref="HZJ25:HZL25"/>
    <mergeCell ref="HZM25:HZO25"/>
    <mergeCell ref="HZP25:HZR25"/>
    <mergeCell ref="HYI25:HYK25"/>
    <mergeCell ref="HYL25:HYN25"/>
    <mergeCell ref="HYO25:HYQ25"/>
    <mergeCell ref="HYR25:HYT25"/>
    <mergeCell ref="HYU25:HYW25"/>
    <mergeCell ref="HYX25:HYZ25"/>
    <mergeCell ref="HXQ25:HXS25"/>
    <mergeCell ref="HXT25:HXV25"/>
    <mergeCell ref="HXW25:HXY25"/>
    <mergeCell ref="HXZ25:HYB25"/>
    <mergeCell ref="HYC25:HYE25"/>
    <mergeCell ref="HYF25:HYH25"/>
    <mergeCell ref="IBC25:IBE25"/>
    <mergeCell ref="IBF25:IBH25"/>
    <mergeCell ref="IBI25:IBK25"/>
    <mergeCell ref="IBL25:IBN25"/>
    <mergeCell ref="IBO25:IBQ25"/>
    <mergeCell ref="IBR25:IBT25"/>
    <mergeCell ref="IAK25:IAM25"/>
    <mergeCell ref="IAN25:IAP25"/>
    <mergeCell ref="IAQ25:IAS25"/>
    <mergeCell ref="IAT25:IAV25"/>
    <mergeCell ref="IAW25:IAY25"/>
    <mergeCell ref="IAZ25:IBB25"/>
    <mergeCell ref="HZS25:HZU25"/>
    <mergeCell ref="HZV25:HZX25"/>
    <mergeCell ref="HZY25:IAA25"/>
    <mergeCell ref="IAB25:IAD25"/>
    <mergeCell ref="IAE25:IAG25"/>
    <mergeCell ref="IAH25:IAJ25"/>
    <mergeCell ref="IDE25:IDG25"/>
    <mergeCell ref="IDH25:IDJ25"/>
    <mergeCell ref="IDK25:IDM25"/>
    <mergeCell ref="IDN25:IDP25"/>
    <mergeCell ref="IDQ25:IDS25"/>
    <mergeCell ref="IDT25:IDV25"/>
    <mergeCell ref="ICM25:ICO25"/>
    <mergeCell ref="ICP25:ICR25"/>
    <mergeCell ref="ICS25:ICU25"/>
    <mergeCell ref="ICV25:ICX25"/>
    <mergeCell ref="ICY25:IDA25"/>
    <mergeCell ref="IDB25:IDD25"/>
    <mergeCell ref="IBU25:IBW25"/>
    <mergeCell ref="IBX25:IBZ25"/>
    <mergeCell ref="ICA25:ICC25"/>
    <mergeCell ref="ICD25:ICF25"/>
    <mergeCell ref="ICG25:ICI25"/>
    <mergeCell ref="ICJ25:ICL25"/>
    <mergeCell ref="IFG25:IFI25"/>
    <mergeCell ref="IFJ25:IFL25"/>
    <mergeCell ref="IFM25:IFO25"/>
    <mergeCell ref="IFP25:IFR25"/>
    <mergeCell ref="IFS25:IFU25"/>
    <mergeCell ref="IFV25:IFX25"/>
    <mergeCell ref="IEO25:IEQ25"/>
    <mergeCell ref="IER25:IET25"/>
    <mergeCell ref="IEU25:IEW25"/>
    <mergeCell ref="IEX25:IEZ25"/>
    <mergeCell ref="IFA25:IFC25"/>
    <mergeCell ref="IFD25:IFF25"/>
    <mergeCell ref="IDW25:IDY25"/>
    <mergeCell ref="IDZ25:IEB25"/>
    <mergeCell ref="IEC25:IEE25"/>
    <mergeCell ref="IEF25:IEH25"/>
    <mergeCell ref="IEI25:IEK25"/>
    <mergeCell ref="IEL25:IEN25"/>
    <mergeCell ref="IHI25:IHK25"/>
    <mergeCell ref="IHL25:IHN25"/>
    <mergeCell ref="IHO25:IHQ25"/>
    <mergeCell ref="IHR25:IHT25"/>
    <mergeCell ref="IHU25:IHW25"/>
    <mergeCell ref="IHX25:IHZ25"/>
    <mergeCell ref="IGQ25:IGS25"/>
    <mergeCell ref="IGT25:IGV25"/>
    <mergeCell ref="IGW25:IGY25"/>
    <mergeCell ref="IGZ25:IHB25"/>
    <mergeCell ref="IHC25:IHE25"/>
    <mergeCell ref="IHF25:IHH25"/>
    <mergeCell ref="IFY25:IGA25"/>
    <mergeCell ref="IGB25:IGD25"/>
    <mergeCell ref="IGE25:IGG25"/>
    <mergeCell ref="IGH25:IGJ25"/>
    <mergeCell ref="IGK25:IGM25"/>
    <mergeCell ref="IGN25:IGP25"/>
    <mergeCell ref="IJK25:IJM25"/>
    <mergeCell ref="IJN25:IJP25"/>
    <mergeCell ref="IJQ25:IJS25"/>
    <mergeCell ref="IJT25:IJV25"/>
    <mergeCell ref="IJW25:IJY25"/>
    <mergeCell ref="IJZ25:IKB25"/>
    <mergeCell ref="IIS25:IIU25"/>
    <mergeCell ref="IIV25:IIX25"/>
    <mergeCell ref="IIY25:IJA25"/>
    <mergeCell ref="IJB25:IJD25"/>
    <mergeCell ref="IJE25:IJG25"/>
    <mergeCell ref="IJH25:IJJ25"/>
    <mergeCell ref="IIA25:IIC25"/>
    <mergeCell ref="IID25:IIF25"/>
    <mergeCell ref="IIG25:III25"/>
    <mergeCell ref="IIJ25:IIL25"/>
    <mergeCell ref="IIM25:IIO25"/>
    <mergeCell ref="IIP25:IIR25"/>
    <mergeCell ref="ILM25:ILO25"/>
    <mergeCell ref="ILP25:ILR25"/>
    <mergeCell ref="ILS25:ILU25"/>
    <mergeCell ref="ILV25:ILX25"/>
    <mergeCell ref="ILY25:IMA25"/>
    <mergeCell ref="IMB25:IMD25"/>
    <mergeCell ref="IKU25:IKW25"/>
    <mergeCell ref="IKX25:IKZ25"/>
    <mergeCell ref="ILA25:ILC25"/>
    <mergeCell ref="ILD25:ILF25"/>
    <mergeCell ref="ILG25:ILI25"/>
    <mergeCell ref="ILJ25:ILL25"/>
    <mergeCell ref="IKC25:IKE25"/>
    <mergeCell ref="IKF25:IKH25"/>
    <mergeCell ref="IKI25:IKK25"/>
    <mergeCell ref="IKL25:IKN25"/>
    <mergeCell ref="IKO25:IKQ25"/>
    <mergeCell ref="IKR25:IKT25"/>
    <mergeCell ref="INO25:INQ25"/>
    <mergeCell ref="INR25:INT25"/>
    <mergeCell ref="INU25:INW25"/>
    <mergeCell ref="INX25:INZ25"/>
    <mergeCell ref="IOA25:IOC25"/>
    <mergeCell ref="IOD25:IOF25"/>
    <mergeCell ref="IMW25:IMY25"/>
    <mergeCell ref="IMZ25:INB25"/>
    <mergeCell ref="INC25:INE25"/>
    <mergeCell ref="INF25:INH25"/>
    <mergeCell ref="INI25:INK25"/>
    <mergeCell ref="INL25:INN25"/>
    <mergeCell ref="IME25:IMG25"/>
    <mergeCell ref="IMH25:IMJ25"/>
    <mergeCell ref="IMK25:IMM25"/>
    <mergeCell ref="IMN25:IMP25"/>
    <mergeCell ref="IMQ25:IMS25"/>
    <mergeCell ref="IMT25:IMV25"/>
    <mergeCell ref="IPQ25:IPS25"/>
    <mergeCell ref="IPT25:IPV25"/>
    <mergeCell ref="IPW25:IPY25"/>
    <mergeCell ref="IPZ25:IQB25"/>
    <mergeCell ref="IQC25:IQE25"/>
    <mergeCell ref="IQF25:IQH25"/>
    <mergeCell ref="IOY25:IPA25"/>
    <mergeCell ref="IPB25:IPD25"/>
    <mergeCell ref="IPE25:IPG25"/>
    <mergeCell ref="IPH25:IPJ25"/>
    <mergeCell ref="IPK25:IPM25"/>
    <mergeCell ref="IPN25:IPP25"/>
    <mergeCell ref="IOG25:IOI25"/>
    <mergeCell ref="IOJ25:IOL25"/>
    <mergeCell ref="IOM25:IOO25"/>
    <mergeCell ref="IOP25:IOR25"/>
    <mergeCell ref="IOS25:IOU25"/>
    <mergeCell ref="IOV25:IOX25"/>
    <mergeCell ref="IRS25:IRU25"/>
    <mergeCell ref="IRV25:IRX25"/>
    <mergeCell ref="IRY25:ISA25"/>
    <mergeCell ref="ISB25:ISD25"/>
    <mergeCell ref="ISE25:ISG25"/>
    <mergeCell ref="ISH25:ISJ25"/>
    <mergeCell ref="IRA25:IRC25"/>
    <mergeCell ref="IRD25:IRF25"/>
    <mergeCell ref="IRG25:IRI25"/>
    <mergeCell ref="IRJ25:IRL25"/>
    <mergeCell ref="IRM25:IRO25"/>
    <mergeCell ref="IRP25:IRR25"/>
    <mergeCell ref="IQI25:IQK25"/>
    <mergeCell ref="IQL25:IQN25"/>
    <mergeCell ref="IQO25:IQQ25"/>
    <mergeCell ref="IQR25:IQT25"/>
    <mergeCell ref="IQU25:IQW25"/>
    <mergeCell ref="IQX25:IQZ25"/>
    <mergeCell ref="ITU25:ITW25"/>
    <mergeCell ref="ITX25:ITZ25"/>
    <mergeCell ref="IUA25:IUC25"/>
    <mergeCell ref="IUD25:IUF25"/>
    <mergeCell ref="IUG25:IUI25"/>
    <mergeCell ref="IUJ25:IUL25"/>
    <mergeCell ref="ITC25:ITE25"/>
    <mergeCell ref="ITF25:ITH25"/>
    <mergeCell ref="ITI25:ITK25"/>
    <mergeCell ref="ITL25:ITN25"/>
    <mergeCell ref="ITO25:ITQ25"/>
    <mergeCell ref="ITR25:ITT25"/>
    <mergeCell ref="ISK25:ISM25"/>
    <mergeCell ref="ISN25:ISP25"/>
    <mergeCell ref="ISQ25:ISS25"/>
    <mergeCell ref="IST25:ISV25"/>
    <mergeCell ref="ISW25:ISY25"/>
    <mergeCell ref="ISZ25:ITB25"/>
    <mergeCell ref="IVW25:IVY25"/>
    <mergeCell ref="IVZ25:IWB25"/>
    <mergeCell ref="IWC25:IWE25"/>
    <mergeCell ref="IWF25:IWH25"/>
    <mergeCell ref="IWI25:IWK25"/>
    <mergeCell ref="IWL25:IWN25"/>
    <mergeCell ref="IVE25:IVG25"/>
    <mergeCell ref="IVH25:IVJ25"/>
    <mergeCell ref="IVK25:IVM25"/>
    <mergeCell ref="IVN25:IVP25"/>
    <mergeCell ref="IVQ25:IVS25"/>
    <mergeCell ref="IVT25:IVV25"/>
    <mergeCell ref="IUM25:IUO25"/>
    <mergeCell ref="IUP25:IUR25"/>
    <mergeCell ref="IUS25:IUU25"/>
    <mergeCell ref="IUV25:IUX25"/>
    <mergeCell ref="IUY25:IVA25"/>
    <mergeCell ref="IVB25:IVD25"/>
    <mergeCell ref="IXY25:IYA25"/>
    <mergeCell ref="IYB25:IYD25"/>
    <mergeCell ref="IYE25:IYG25"/>
    <mergeCell ref="IYH25:IYJ25"/>
    <mergeCell ref="IYK25:IYM25"/>
    <mergeCell ref="IYN25:IYP25"/>
    <mergeCell ref="IXG25:IXI25"/>
    <mergeCell ref="IXJ25:IXL25"/>
    <mergeCell ref="IXM25:IXO25"/>
    <mergeCell ref="IXP25:IXR25"/>
    <mergeCell ref="IXS25:IXU25"/>
    <mergeCell ref="IXV25:IXX25"/>
    <mergeCell ref="IWO25:IWQ25"/>
    <mergeCell ref="IWR25:IWT25"/>
    <mergeCell ref="IWU25:IWW25"/>
    <mergeCell ref="IWX25:IWZ25"/>
    <mergeCell ref="IXA25:IXC25"/>
    <mergeCell ref="IXD25:IXF25"/>
    <mergeCell ref="JAA25:JAC25"/>
    <mergeCell ref="JAD25:JAF25"/>
    <mergeCell ref="JAG25:JAI25"/>
    <mergeCell ref="JAJ25:JAL25"/>
    <mergeCell ref="JAM25:JAO25"/>
    <mergeCell ref="JAP25:JAR25"/>
    <mergeCell ref="IZI25:IZK25"/>
    <mergeCell ref="IZL25:IZN25"/>
    <mergeCell ref="IZO25:IZQ25"/>
    <mergeCell ref="IZR25:IZT25"/>
    <mergeCell ref="IZU25:IZW25"/>
    <mergeCell ref="IZX25:IZZ25"/>
    <mergeCell ref="IYQ25:IYS25"/>
    <mergeCell ref="IYT25:IYV25"/>
    <mergeCell ref="IYW25:IYY25"/>
    <mergeCell ref="IYZ25:IZB25"/>
    <mergeCell ref="IZC25:IZE25"/>
    <mergeCell ref="IZF25:IZH25"/>
    <mergeCell ref="JCC25:JCE25"/>
    <mergeCell ref="JCF25:JCH25"/>
    <mergeCell ref="JCI25:JCK25"/>
    <mergeCell ref="JCL25:JCN25"/>
    <mergeCell ref="JCO25:JCQ25"/>
    <mergeCell ref="JCR25:JCT25"/>
    <mergeCell ref="JBK25:JBM25"/>
    <mergeCell ref="JBN25:JBP25"/>
    <mergeCell ref="JBQ25:JBS25"/>
    <mergeCell ref="JBT25:JBV25"/>
    <mergeCell ref="JBW25:JBY25"/>
    <mergeCell ref="JBZ25:JCB25"/>
    <mergeCell ref="JAS25:JAU25"/>
    <mergeCell ref="JAV25:JAX25"/>
    <mergeCell ref="JAY25:JBA25"/>
    <mergeCell ref="JBB25:JBD25"/>
    <mergeCell ref="JBE25:JBG25"/>
    <mergeCell ref="JBH25:JBJ25"/>
    <mergeCell ref="JEE25:JEG25"/>
    <mergeCell ref="JEH25:JEJ25"/>
    <mergeCell ref="JEK25:JEM25"/>
    <mergeCell ref="JEN25:JEP25"/>
    <mergeCell ref="JEQ25:JES25"/>
    <mergeCell ref="JET25:JEV25"/>
    <mergeCell ref="JDM25:JDO25"/>
    <mergeCell ref="JDP25:JDR25"/>
    <mergeCell ref="JDS25:JDU25"/>
    <mergeCell ref="JDV25:JDX25"/>
    <mergeCell ref="JDY25:JEA25"/>
    <mergeCell ref="JEB25:JED25"/>
    <mergeCell ref="JCU25:JCW25"/>
    <mergeCell ref="JCX25:JCZ25"/>
    <mergeCell ref="JDA25:JDC25"/>
    <mergeCell ref="JDD25:JDF25"/>
    <mergeCell ref="JDG25:JDI25"/>
    <mergeCell ref="JDJ25:JDL25"/>
    <mergeCell ref="JGG25:JGI25"/>
    <mergeCell ref="JGJ25:JGL25"/>
    <mergeCell ref="JGM25:JGO25"/>
    <mergeCell ref="JGP25:JGR25"/>
    <mergeCell ref="JGS25:JGU25"/>
    <mergeCell ref="JGV25:JGX25"/>
    <mergeCell ref="JFO25:JFQ25"/>
    <mergeCell ref="JFR25:JFT25"/>
    <mergeCell ref="JFU25:JFW25"/>
    <mergeCell ref="JFX25:JFZ25"/>
    <mergeCell ref="JGA25:JGC25"/>
    <mergeCell ref="JGD25:JGF25"/>
    <mergeCell ref="JEW25:JEY25"/>
    <mergeCell ref="JEZ25:JFB25"/>
    <mergeCell ref="JFC25:JFE25"/>
    <mergeCell ref="JFF25:JFH25"/>
    <mergeCell ref="JFI25:JFK25"/>
    <mergeCell ref="JFL25:JFN25"/>
    <mergeCell ref="JII25:JIK25"/>
    <mergeCell ref="JIL25:JIN25"/>
    <mergeCell ref="JIO25:JIQ25"/>
    <mergeCell ref="JIR25:JIT25"/>
    <mergeCell ref="JIU25:JIW25"/>
    <mergeCell ref="JIX25:JIZ25"/>
    <mergeCell ref="JHQ25:JHS25"/>
    <mergeCell ref="JHT25:JHV25"/>
    <mergeCell ref="JHW25:JHY25"/>
    <mergeCell ref="JHZ25:JIB25"/>
    <mergeCell ref="JIC25:JIE25"/>
    <mergeCell ref="JIF25:JIH25"/>
    <mergeCell ref="JGY25:JHA25"/>
    <mergeCell ref="JHB25:JHD25"/>
    <mergeCell ref="JHE25:JHG25"/>
    <mergeCell ref="JHH25:JHJ25"/>
    <mergeCell ref="JHK25:JHM25"/>
    <mergeCell ref="JHN25:JHP25"/>
    <mergeCell ref="JKK25:JKM25"/>
    <mergeCell ref="JKN25:JKP25"/>
    <mergeCell ref="JKQ25:JKS25"/>
    <mergeCell ref="JKT25:JKV25"/>
    <mergeCell ref="JKW25:JKY25"/>
    <mergeCell ref="JKZ25:JLB25"/>
    <mergeCell ref="JJS25:JJU25"/>
    <mergeCell ref="JJV25:JJX25"/>
    <mergeCell ref="JJY25:JKA25"/>
    <mergeCell ref="JKB25:JKD25"/>
    <mergeCell ref="JKE25:JKG25"/>
    <mergeCell ref="JKH25:JKJ25"/>
    <mergeCell ref="JJA25:JJC25"/>
    <mergeCell ref="JJD25:JJF25"/>
    <mergeCell ref="JJG25:JJI25"/>
    <mergeCell ref="JJJ25:JJL25"/>
    <mergeCell ref="JJM25:JJO25"/>
    <mergeCell ref="JJP25:JJR25"/>
    <mergeCell ref="JMM25:JMO25"/>
    <mergeCell ref="JMP25:JMR25"/>
    <mergeCell ref="JMS25:JMU25"/>
    <mergeCell ref="JMV25:JMX25"/>
    <mergeCell ref="JMY25:JNA25"/>
    <mergeCell ref="JNB25:JND25"/>
    <mergeCell ref="JLU25:JLW25"/>
    <mergeCell ref="JLX25:JLZ25"/>
    <mergeCell ref="JMA25:JMC25"/>
    <mergeCell ref="JMD25:JMF25"/>
    <mergeCell ref="JMG25:JMI25"/>
    <mergeCell ref="JMJ25:JML25"/>
    <mergeCell ref="JLC25:JLE25"/>
    <mergeCell ref="JLF25:JLH25"/>
    <mergeCell ref="JLI25:JLK25"/>
    <mergeCell ref="JLL25:JLN25"/>
    <mergeCell ref="JLO25:JLQ25"/>
    <mergeCell ref="JLR25:JLT25"/>
    <mergeCell ref="JOO25:JOQ25"/>
    <mergeCell ref="JOR25:JOT25"/>
    <mergeCell ref="JOU25:JOW25"/>
    <mergeCell ref="JOX25:JOZ25"/>
    <mergeCell ref="JPA25:JPC25"/>
    <mergeCell ref="JPD25:JPF25"/>
    <mergeCell ref="JNW25:JNY25"/>
    <mergeCell ref="JNZ25:JOB25"/>
    <mergeCell ref="JOC25:JOE25"/>
    <mergeCell ref="JOF25:JOH25"/>
    <mergeCell ref="JOI25:JOK25"/>
    <mergeCell ref="JOL25:JON25"/>
    <mergeCell ref="JNE25:JNG25"/>
    <mergeCell ref="JNH25:JNJ25"/>
    <mergeCell ref="JNK25:JNM25"/>
    <mergeCell ref="JNN25:JNP25"/>
    <mergeCell ref="JNQ25:JNS25"/>
    <mergeCell ref="JNT25:JNV25"/>
    <mergeCell ref="JQQ25:JQS25"/>
    <mergeCell ref="JQT25:JQV25"/>
    <mergeCell ref="JQW25:JQY25"/>
    <mergeCell ref="JQZ25:JRB25"/>
    <mergeCell ref="JRC25:JRE25"/>
    <mergeCell ref="JRF25:JRH25"/>
    <mergeCell ref="JPY25:JQA25"/>
    <mergeCell ref="JQB25:JQD25"/>
    <mergeCell ref="JQE25:JQG25"/>
    <mergeCell ref="JQH25:JQJ25"/>
    <mergeCell ref="JQK25:JQM25"/>
    <mergeCell ref="JQN25:JQP25"/>
    <mergeCell ref="JPG25:JPI25"/>
    <mergeCell ref="JPJ25:JPL25"/>
    <mergeCell ref="JPM25:JPO25"/>
    <mergeCell ref="JPP25:JPR25"/>
    <mergeCell ref="JPS25:JPU25"/>
    <mergeCell ref="JPV25:JPX25"/>
    <mergeCell ref="JSS25:JSU25"/>
    <mergeCell ref="JSV25:JSX25"/>
    <mergeCell ref="JSY25:JTA25"/>
    <mergeCell ref="JTB25:JTD25"/>
    <mergeCell ref="JTE25:JTG25"/>
    <mergeCell ref="JTH25:JTJ25"/>
    <mergeCell ref="JSA25:JSC25"/>
    <mergeCell ref="JSD25:JSF25"/>
    <mergeCell ref="JSG25:JSI25"/>
    <mergeCell ref="JSJ25:JSL25"/>
    <mergeCell ref="JSM25:JSO25"/>
    <mergeCell ref="JSP25:JSR25"/>
    <mergeCell ref="JRI25:JRK25"/>
    <mergeCell ref="JRL25:JRN25"/>
    <mergeCell ref="JRO25:JRQ25"/>
    <mergeCell ref="JRR25:JRT25"/>
    <mergeCell ref="JRU25:JRW25"/>
    <mergeCell ref="JRX25:JRZ25"/>
    <mergeCell ref="JUU25:JUW25"/>
    <mergeCell ref="JUX25:JUZ25"/>
    <mergeCell ref="JVA25:JVC25"/>
    <mergeCell ref="JVD25:JVF25"/>
    <mergeCell ref="JVG25:JVI25"/>
    <mergeCell ref="JVJ25:JVL25"/>
    <mergeCell ref="JUC25:JUE25"/>
    <mergeCell ref="JUF25:JUH25"/>
    <mergeCell ref="JUI25:JUK25"/>
    <mergeCell ref="JUL25:JUN25"/>
    <mergeCell ref="JUO25:JUQ25"/>
    <mergeCell ref="JUR25:JUT25"/>
    <mergeCell ref="JTK25:JTM25"/>
    <mergeCell ref="JTN25:JTP25"/>
    <mergeCell ref="JTQ25:JTS25"/>
    <mergeCell ref="JTT25:JTV25"/>
    <mergeCell ref="JTW25:JTY25"/>
    <mergeCell ref="JTZ25:JUB25"/>
    <mergeCell ref="JWW25:JWY25"/>
    <mergeCell ref="JWZ25:JXB25"/>
    <mergeCell ref="JXC25:JXE25"/>
    <mergeCell ref="JXF25:JXH25"/>
    <mergeCell ref="JXI25:JXK25"/>
    <mergeCell ref="JXL25:JXN25"/>
    <mergeCell ref="JWE25:JWG25"/>
    <mergeCell ref="JWH25:JWJ25"/>
    <mergeCell ref="JWK25:JWM25"/>
    <mergeCell ref="JWN25:JWP25"/>
    <mergeCell ref="JWQ25:JWS25"/>
    <mergeCell ref="JWT25:JWV25"/>
    <mergeCell ref="JVM25:JVO25"/>
    <mergeCell ref="JVP25:JVR25"/>
    <mergeCell ref="JVS25:JVU25"/>
    <mergeCell ref="JVV25:JVX25"/>
    <mergeCell ref="JVY25:JWA25"/>
    <mergeCell ref="JWB25:JWD25"/>
    <mergeCell ref="JYY25:JZA25"/>
    <mergeCell ref="JZB25:JZD25"/>
    <mergeCell ref="JZE25:JZG25"/>
    <mergeCell ref="JZH25:JZJ25"/>
    <mergeCell ref="JZK25:JZM25"/>
    <mergeCell ref="JZN25:JZP25"/>
    <mergeCell ref="JYG25:JYI25"/>
    <mergeCell ref="JYJ25:JYL25"/>
    <mergeCell ref="JYM25:JYO25"/>
    <mergeCell ref="JYP25:JYR25"/>
    <mergeCell ref="JYS25:JYU25"/>
    <mergeCell ref="JYV25:JYX25"/>
    <mergeCell ref="JXO25:JXQ25"/>
    <mergeCell ref="JXR25:JXT25"/>
    <mergeCell ref="JXU25:JXW25"/>
    <mergeCell ref="JXX25:JXZ25"/>
    <mergeCell ref="JYA25:JYC25"/>
    <mergeCell ref="JYD25:JYF25"/>
    <mergeCell ref="KBA25:KBC25"/>
    <mergeCell ref="KBD25:KBF25"/>
    <mergeCell ref="KBG25:KBI25"/>
    <mergeCell ref="KBJ25:KBL25"/>
    <mergeCell ref="KBM25:KBO25"/>
    <mergeCell ref="KBP25:KBR25"/>
    <mergeCell ref="KAI25:KAK25"/>
    <mergeCell ref="KAL25:KAN25"/>
    <mergeCell ref="KAO25:KAQ25"/>
    <mergeCell ref="KAR25:KAT25"/>
    <mergeCell ref="KAU25:KAW25"/>
    <mergeCell ref="KAX25:KAZ25"/>
    <mergeCell ref="JZQ25:JZS25"/>
    <mergeCell ref="JZT25:JZV25"/>
    <mergeCell ref="JZW25:JZY25"/>
    <mergeCell ref="JZZ25:KAB25"/>
    <mergeCell ref="KAC25:KAE25"/>
    <mergeCell ref="KAF25:KAH25"/>
    <mergeCell ref="KDC25:KDE25"/>
    <mergeCell ref="KDF25:KDH25"/>
    <mergeCell ref="KDI25:KDK25"/>
    <mergeCell ref="KDL25:KDN25"/>
    <mergeCell ref="KDO25:KDQ25"/>
    <mergeCell ref="KDR25:KDT25"/>
    <mergeCell ref="KCK25:KCM25"/>
    <mergeCell ref="KCN25:KCP25"/>
    <mergeCell ref="KCQ25:KCS25"/>
    <mergeCell ref="KCT25:KCV25"/>
    <mergeCell ref="KCW25:KCY25"/>
    <mergeCell ref="KCZ25:KDB25"/>
    <mergeCell ref="KBS25:KBU25"/>
    <mergeCell ref="KBV25:KBX25"/>
    <mergeCell ref="KBY25:KCA25"/>
    <mergeCell ref="KCB25:KCD25"/>
    <mergeCell ref="KCE25:KCG25"/>
    <mergeCell ref="KCH25:KCJ25"/>
    <mergeCell ref="KFE25:KFG25"/>
    <mergeCell ref="KFH25:KFJ25"/>
    <mergeCell ref="KFK25:KFM25"/>
    <mergeCell ref="KFN25:KFP25"/>
    <mergeCell ref="KFQ25:KFS25"/>
    <mergeCell ref="KFT25:KFV25"/>
    <mergeCell ref="KEM25:KEO25"/>
    <mergeCell ref="KEP25:KER25"/>
    <mergeCell ref="KES25:KEU25"/>
    <mergeCell ref="KEV25:KEX25"/>
    <mergeCell ref="KEY25:KFA25"/>
    <mergeCell ref="KFB25:KFD25"/>
    <mergeCell ref="KDU25:KDW25"/>
    <mergeCell ref="KDX25:KDZ25"/>
    <mergeCell ref="KEA25:KEC25"/>
    <mergeCell ref="KED25:KEF25"/>
    <mergeCell ref="KEG25:KEI25"/>
    <mergeCell ref="KEJ25:KEL25"/>
    <mergeCell ref="KHG25:KHI25"/>
    <mergeCell ref="KHJ25:KHL25"/>
    <mergeCell ref="KHM25:KHO25"/>
    <mergeCell ref="KHP25:KHR25"/>
    <mergeCell ref="KHS25:KHU25"/>
    <mergeCell ref="KHV25:KHX25"/>
    <mergeCell ref="KGO25:KGQ25"/>
    <mergeCell ref="KGR25:KGT25"/>
    <mergeCell ref="KGU25:KGW25"/>
    <mergeCell ref="KGX25:KGZ25"/>
    <mergeCell ref="KHA25:KHC25"/>
    <mergeCell ref="KHD25:KHF25"/>
    <mergeCell ref="KFW25:KFY25"/>
    <mergeCell ref="KFZ25:KGB25"/>
    <mergeCell ref="KGC25:KGE25"/>
    <mergeCell ref="KGF25:KGH25"/>
    <mergeCell ref="KGI25:KGK25"/>
    <mergeCell ref="KGL25:KGN25"/>
    <mergeCell ref="KJI25:KJK25"/>
    <mergeCell ref="KJL25:KJN25"/>
    <mergeCell ref="KJO25:KJQ25"/>
    <mergeCell ref="KJR25:KJT25"/>
    <mergeCell ref="KJU25:KJW25"/>
    <mergeCell ref="KJX25:KJZ25"/>
    <mergeCell ref="KIQ25:KIS25"/>
    <mergeCell ref="KIT25:KIV25"/>
    <mergeCell ref="KIW25:KIY25"/>
    <mergeCell ref="KIZ25:KJB25"/>
    <mergeCell ref="KJC25:KJE25"/>
    <mergeCell ref="KJF25:KJH25"/>
    <mergeCell ref="KHY25:KIA25"/>
    <mergeCell ref="KIB25:KID25"/>
    <mergeCell ref="KIE25:KIG25"/>
    <mergeCell ref="KIH25:KIJ25"/>
    <mergeCell ref="KIK25:KIM25"/>
    <mergeCell ref="KIN25:KIP25"/>
    <mergeCell ref="KLK25:KLM25"/>
    <mergeCell ref="KLN25:KLP25"/>
    <mergeCell ref="KLQ25:KLS25"/>
    <mergeCell ref="KLT25:KLV25"/>
    <mergeCell ref="KLW25:KLY25"/>
    <mergeCell ref="KLZ25:KMB25"/>
    <mergeCell ref="KKS25:KKU25"/>
    <mergeCell ref="KKV25:KKX25"/>
    <mergeCell ref="KKY25:KLA25"/>
    <mergeCell ref="KLB25:KLD25"/>
    <mergeCell ref="KLE25:KLG25"/>
    <mergeCell ref="KLH25:KLJ25"/>
    <mergeCell ref="KKA25:KKC25"/>
    <mergeCell ref="KKD25:KKF25"/>
    <mergeCell ref="KKG25:KKI25"/>
    <mergeCell ref="KKJ25:KKL25"/>
    <mergeCell ref="KKM25:KKO25"/>
    <mergeCell ref="KKP25:KKR25"/>
    <mergeCell ref="KNM25:KNO25"/>
    <mergeCell ref="KNP25:KNR25"/>
    <mergeCell ref="KNS25:KNU25"/>
    <mergeCell ref="KNV25:KNX25"/>
    <mergeCell ref="KNY25:KOA25"/>
    <mergeCell ref="KOB25:KOD25"/>
    <mergeCell ref="KMU25:KMW25"/>
    <mergeCell ref="KMX25:KMZ25"/>
    <mergeCell ref="KNA25:KNC25"/>
    <mergeCell ref="KND25:KNF25"/>
    <mergeCell ref="KNG25:KNI25"/>
    <mergeCell ref="KNJ25:KNL25"/>
    <mergeCell ref="KMC25:KME25"/>
    <mergeCell ref="KMF25:KMH25"/>
    <mergeCell ref="KMI25:KMK25"/>
    <mergeCell ref="KML25:KMN25"/>
    <mergeCell ref="KMO25:KMQ25"/>
    <mergeCell ref="KMR25:KMT25"/>
    <mergeCell ref="KPO25:KPQ25"/>
    <mergeCell ref="KPR25:KPT25"/>
    <mergeCell ref="KPU25:KPW25"/>
    <mergeCell ref="KPX25:KPZ25"/>
    <mergeCell ref="KQA25:KQC25"/>
    <mergeCell ref="KQD25:KQF25"/>
    <mergeCell ref="KOW25:KOY25"/>
    <mergeCell ref="KOZ25:KPB25"/>
    <mergeCell ref="KPC25:KPE25"/>
    <mergeCell ref="KPF25:KPH25"/>
    <mergeCell ref="KPI25:KPK25"/>
    <mergeCell ref="KPL25:KPN25"/>
    <mergeCell ref="KOE25:KOG25"/>
    <mergeCell ref="KOH25:KOJ25"/>
    <mergeCell ref="KOK25:KOM25"/>
    <mergeCell ref="KON25:KOP25"/>
    <mergeCell ref="KOQ25:KOS25"/>
    <mergeCell ref="KOT25:KOV25"/>
    <mergeCell ref="KRQ25:KRS25"/>
    <mergeCell ref="KRT25:KRV25"/>
    <mergeCell ref="KRW25:KRY25"/>
    <mergeCell ref="KRZ25:KSB25"/>
    <mergeCell ref="KSC25:KSE25"/>
    <mergeCell ref="KSF25:KSH25"/>
    <mergeCell ref="KQY25:KRA25"/>
    <mergeCell ref="KRB25:KRD25"/>
    <mergeCell ref="KRE25:KRG25"/>
    <mergeCell ref="KRH25:KRJ25"/>
    <mergeCell ref="KRK25:KRM25"/>
    <mergeCell ref="KRN25:KRP25"/>
    <mergeCell ref="KQG25:KQI25"/>
    <mergeCell ref="KQJ25:KQL25"/>
    <mergeCell ref="KQM25:KQO25"/>
    <mergeCell ref="KQP25:KQR25"/>
    <mergeCell ref="KQS25:KQU25"/>
    <mergeCell ref="KQV25:KQX25"/>
    <mergeCell ref="KTS25:KTU25"/>
    <mergeCell ref="KTV25:KTX25"/>
    <mergeCell ref="KTY25:KUA25"/>
    <mergeCell ref="KUB25:KUD25"/>
    <mergeCell ref="KUE25:KUG25"/>
    <mergeCell ref="KUH25:KUJ25"/>
    <mergeCell ref="KTA25:KTC25"/>
    <mergeCell ref="KTD25:KTF25"/>
    <mergeCell ref="KTG25:KTI25"/>
    <mergeCell ref="KTJ25:KTL25"/>
    <mergeCell ref="KTM25:KTO25"/>
    <mergeCell ref="KTP25:KTR25"/>
    <mergeCell ref="KSI25:KSK25"/>
    <mergeCell ref="KSL25:KSN25"/>
    <mergeCell ref="KSO25:KSQ25"/>
    <mergeCell ref="KSR25:KST25"/>
    <mergeCell ref="KSU25:KSW25"/>
    <mergeCell ref="KSX25:KSZ25"/>
    <mergeCell ref="KVU25:KVW25"/>
    <mergeCell ref="KVX25:KVZ25"/>
    <mergeCell ref="KWA25:KWC25"/>
    <mergeCell ref="KWD25:KWF25"/>
    <mergeCell ref="KWG25:KWI25"/>
    <mergeCell ref="KWJ25:KWL25"/>
    <mergeCell ref="KVC25:KVE25"/>
    <mergeCell ref="KVF25:KVH25"/>
    <mergeCell ref="KVI25:KVK25"/>
    <mergeCell ref="KVL25:KVN25"/>
    <mergeCell ref="KVO25:KVQ25"/>
    <mergeCell ref="KVR25:KVT25"/>
    <mergeCell ref="KUK25:KUM25"/>
    <mergeCell ref="KUN25:KUP25"/>
    <mergeCell ref="KUQ25:KUS25"/>
    <mergeCell ref="KUT25:KUV25"/>
    <mergeCell ref="KUW25:KUY25"/>
    <mergeCell ref="KUZ25:KVB25"/>
    <mergeCell ref="KXW25:KXY25"/>
    <mergeCell ref="KXZ25:KYB25"/>
    <mergeCell ref="KYC25:KYE25"/>
    <mergeCell ref="KYF25:KYH25"/>
    <mergeCell ref="KYI25:KYK25"/>
    <mergeCell ref="KYL25:KYN25"/>
    <mergeCell ref="KXE25:KXG25"/>
    <mergeCell ref="KXH25:KXJ25"/>
    <mergeCell ref="KXK25:KXM25"/>
    <mergeCell ref="KXN25:KXP25"/>
    <mergeCell ref="KXQ25:KXS25"/>
    <mergeCell ref="KXT25:KXV25"/>
    <mergeCell ref="KWM25:KWO25"/>
    <mergeCell ref="KWP25:KWR25"/>
    <mergeCell ref="KWS25:KWU25"/>
    <mergeCell ref="KWV25:KWX25"/>
    <mergeCell ref="KWY25:KXA25"/>
    <mergeCell ref="KXB25:KXD25"/>
    <mergeCell ref="KZY25:LAA25"/>
    <mergeCell ref="LAB25:LAD25"/>
    <mergeCell ref="LAE25:LAG25"/>
    <mergeCell ref="LAH25:LAJ25"/>
    <mergeCell ref="LAK25:LAM25"/>
    <mergeCell ref="LAN25:LAP25"/>
    <mergeCell ref="KZG25:KZI25"/>
    <mergeCell ref="KZJ25:KZL25"/>
    <mergeCell ref="KZM25:KZO25"/>
    <mergeCell ref="KZP25:KZR25"/>
    <mergeCell ref="KZS25:KZU25"/>
    <mergeCell ref="KZV25:KZX25"/>
    <mergeCell ref="KYO25:KYQ25"/>
    <mergeCell ref="KYR25:KYT25"/>
    <mergeCell ref="KYU25:KYW25"/>
    <mergeCell ref="KYX25:KYZ25"/>
    <mergeCell ref="KZA25:KZC25"/>
    <mergeCell ref="KZD25:KZF25"/>
    <mergeCell ref="LCA25:LCC25"/>
    <mergeCell ref="LCD25:LCF25"/>
    <mergeCell ref="LCG25:LCI25"/>
    <mergeCell ref="LCJ25:LCL25"/>
    <mergeCell ref="LCM25:LCO25"/>
    <mergeCell ref="LCP25:LCR25"/>
    <mergeCell ref="LBI25:LBK25"/>
    <mergeCell ref="LBL25:LBN25"/>
    <mergeCell ref="LBO25:LBQ25"/>
    <mergeCell ref="LBR25:LBT25"/>
    <mergeCell ref="LBU25:LBW25"/>
    <mergeCell ref="LBX25:LBZ25"/>
    <mergeCell ref="LAQ25:LAS25"/>
    <mergeCell ref="LAT25:LAV25"/>
    <mergeCell ref="LAW25:LAY25"/>
    <mergeCell ref="LAZ25:LBB25"/>
    <mergeCell ref="LBC25:LBE25"/>
    <mergeCell ref="LBF25:LBH25"/>
    <mergeCell ref="LEC25:LEE25"/>
    <mergeCell ref="LEF25:LEH25"/>
    <mergeCell ref="LEI25:LEK25"/>
    <mergeCell ref="LEL25:LEN25"/>
    <mergeCell ref="LEO25:LEQ25"/>
    <mergeCell ref="LER25:LET25"/>
    <mergeCell ref="LDK25:LDM25"/>
    <mergeCell ref="LDN25:LDP25"/>
    <mergeCell ref="LDQ25:LDS25"/>
    <mergeCell ref="LDT25:LDV25"/>
    <mergeCell ref="LDW25:LDY25"/>
    <mergeCell ref="LDZ25:LEB25"/>
    <mergeCell ref="LCS25:LCU25"/>
    <mergeCell ref="LCV25:LCX25"/>
    <mergeCell ref="LCY25:LDA25"/>
    <mergeCell ref="LDB25:LDD25"/>
    <mergeCell ref="LDE25:LDG25"/>
    <mergeCell ref="LDH25:LDJ25"/>
    <mergeCell ref="LGE25:LGG25"/>
    <mergeCell ref="LGH25:LGJ25"/>
    <mergeCell ref="LGK25:LGM25"/>
    <mergeCell ref="LGN25:LGP25"/>
    <mergeCell ref="LGQ25:LGS25"/>
    <mergeCell ref="LGT25:LGV25"/>
    <mergeCell ref="LFM25:LFO25"/>
    <mergeCell ref="LFP25:LFR25"/>
    <mergeCell ref="LFS25:LFU25"/>
    <mergeCell ref="LFV25:LFX25"/>
    <mergeCell ref="LFY25:LGA25"/>
    <mergeCell ref="LGB25:LGD25"/>
    <mergeCell ref="LEU25:LEW25"/>
    <mergeCell ref="LEX25:LEZ25"/>
    <mergeCell ref="LFA25:LFC25"/>
    <mergeCell ref="LFD25:LFF25"/>
    <mergeCell ref="LFG25:LFI25"/>
    <mergeCell ref="LFJ25:LFL25"/>
    <mergeCell ref="LIG25:LII25"/>
    <mergeCell ref="LIJ25:LIL25"/>
    <mergeCell ref="LIM25:LIO25"/>
    <mergeCell ref="LIP25:LIR25"/>
    <mergeCell ref="LIS25:LIU25"/>
    <mergeCell ref="LIV25:LIX25"/>
    <mergeCell ref="LHO25:LHQ25"/>
    <mergeCell ref="LHR25:LHT25"/>
    <mergeCell ref="LHU25:LHW25"/>
    <mergeCell ref="LHX25:LHZ25"/>
    <mergeCell ref="LIA25:LIC25"/>
    <mergeCell ref="LID25:LIF25"/>
    <mergeCell ref="LGW25:LGY25"/>
    <mergeCell ref="LGZ25:LHB25"/>
    <mergeCell ref="LHC25:LHE25"/>
    <mergeCell ref="LHF25:LHH25"/>
    <mergeCell ref="LHI25:LHK25"/>
    <mergeCell ref="LHL25:LHN25"/>
    <mergeCell ref="LKI25:LKK25"/>
    <mergeCell ref="LKL25:LKN25"/>
    <mergeCell ref="LKO25:LKQ25"/>
    <mergeCell ref="LKR25:LKT25"/>
    <mergeCell ref="LKU25:LKW25"/>
    <mergeCell ref="LKX25:LKZ25"/>
    <mergeCell ref="LJQ25:LJS25"/>
    <mergeCell ref="LJT25:LJV25"/>
    <mergeCell ref="LJW25:LJY25"/>
    <mergeCell ref="LJZ25:LKB25"/>
    <mergeCell ref="LKC25:LKE25"/>
    <mergeCell ref="LKF25:LKH25"/>
    <mergeCell ref="LIY25:LJA25"/>
    <mergeCell ref="LJB25:LJD25"/>
    <mergeCell ref="LJE25:LJG25"/>
    <mergeCell ref="LJH25:LJJ25"/>
    <mergeCell ref="LJK25:LJM25"/>
    <mergeCell ref="LJN25:LJP25"/>
    <mergeCell ref="LMK25:LMM25"/>
    <mergeCell ref="LMN25:LMP25"/>
    <mergeCell ref="LMQ25:LMS25"/>
    <mergeCell ref="LMT25:LMV25"/>
    <mergeCell ref="LMW25:LMY25"/>
    <mergeCell ref="LMZ25:LNB25"/>
    <mergeCell ref="LLS25:LLU25"/>
    <mergeCell ref="LLV25:LLX25"/>
    <mergeCell ref="LLY25:LMA25"/>
    <mergeCell ref="LMB25:LMD25"/>
    <mergeCell ref="LME25:LMG25"/>
    <mergeCell ref="LMH25:LMJ25"/>
    <mergeCell ref="LLA25:LLC25"/>
    <mergeCell ref="LLD25:LLF25"/>
    <mergeCell ref="LLG25:LLI25"/>
    <mergeCell ref="LLJ25:LLL25"/>
    <mergeCell ref="LLM25:LLO25"/>
    <mergeCell ref="LLP25:LLR25"/>
    <mergeCell ref="LOM25:LOO25"/>
    <mergeCell ref="LOP25:LOR25"/>
    <mergeCell ref="LOS25:LOU25"/>
    <mergeCell ref="LOV25:LOX25"/>
    <mergeCell ref="LOY25:LPA25"/>
    <mergeCell ref="LPB25:LPD25"/>
    <mergeCell ref="LNU25:LNW25"/>
    <mergeCell ref="LNX25:LNZ25"/>
    <mergeCell ref="LOA25:LOC25"/>
    <mergeCell ref="LOD25:LOF25"/>
    <mergeCell ref="LOG25:LOI25"/>
    <mergeCell ref="LOJ25:LOL25"/>
    <mergeCell ref="LNC25:LNE25"/>
    <mergeCell ref="LNF25:LNH25"/>
    <mergeCell ref="LNI25:LNK25"/>
    <mergeCell ref="LNL25:LNN25"/>
    <mergeCell ref="LNO25:LNQ25"/>
    <mergeCell ref="LNR25:LNT25"/>
    <mergeCell ref="LQO25:LQQ25"/>
    <mergeCell ref="LQR25:LQT25"/>
    <mergeCell ref="LQU25:LQW25"/>
    <mergeCell ref="LQX25:LQZ25"/>
    <mergeCell ref="LRA25:LRC25"/>
    <mergeCell ref="LRD25:LRF25"/>
    <mergeCell ref="LPW25:LPY25"/>
    <mergeCell ref="LPZ25:LQB25"/>
    <mergeCell ref="LQC25:LQE25"/>
    <mergeCell ref="LQF25:LQH25"/>
    <mergeCell ref="LQI25:LQK25"/>
    <mergeCell ref="LQL25:LQN25"/>
    <mergeCell ref="LPE25:LPG25"/>
    <mergeCell ref="LPH25:LPJ25"/>
    <mergeCell ref="LPK25:LPM25"/>
    <mergeCell ref="LPN25:LPP25"/>
    <mergeCell ref="LPQ25:LPS25"/>
    <mergeCell ref="LPT25:LPV25"/>
    <mergeCell ref="LSQ25:LSS25"/>
    <mergeCell ref="LST25:LSV25"/>
    <mergeCell ref="LSW25:LSY25"/>
    <mergeCell ref="LSZ25:LTB25"/>
    <mergeCell ref="LTC25:LTE25"/>
    <mergeCell ref="LTF25:LTH25"/>
    <mergeCell ref="LRY25:LSA25"/>
    <mergeCell ref="LSB25:LSD25"/>
    <mergeCell ref="LSE25:LSG25"/>
    <mergeCell ref="LSH25:LSJ25"/>
    <mergeCell ref="LSK25:LSM25"/>
    <mergeCell ref="LSN25:LSP25"/>
    <mergeCell ref="LRG25:LRI25"/>
    <mergeCell ref="LRJ25:LRL25"/>
    <mergeCell ref="LRM25:LRO25"/>
    <mergeCell ref="LRP25:LRR25"/>
    <mergeCell ref="LRS25:LRU25"/>
    <mergeCell ref="LRV25:LRX25"/>
    <mergeCell ref="LUS25:LUU25"/>
    <mergeCell ref="LUV25:LUX25"/>
    <mergeCell ref="LUY25:LVA25"/>
    <mergeCell ref="LVB25:LVD25"/>
    <mergeCell ref="LVE25:LVG25"/>
    <mergeCell ref="LVH25:LVJ25"/>
    <mergeCell ref="LUA25:LUC25"/>
    <mergeCell ref="LUD25:LUF25"/>
    <mergeCell ref="LUG25:LUI25"/>
    <mergeCell ref="LUJ25:LUL25"/>
    <mergeCell ref="LUM25:LUO25"/>
    <mergeCell ref="LUP25:LUR25"/>
    <mergeCell ref="LTI25:LTK25"/>
    <mergeCell ref="LTL25:LTN25"/>
    <mergeCell ref="LTO25:LTQ25"/>
    <mergeCell ref="LTR25:LTT25"/>
    <mergeCell ref="LTU25:LTW25"/>
    <mergeCell ref="LTX25:LTZ25"/>
    <mergeCell ref="LWU25:LWW25"/>
    <mergeCell ref="LWX25:LWZ25"/>
    <mergeCell ref="LXA25:LXC25"/>
    <mergeCell ref="LXD25:LXF25"/>
    <mergeCell ref="LXG25:LXI25"/>
    <mergeCell ref="LXJ25:LXL25"/>
    <mergeCell ref="LWC25:LWE25"/>
    <mergeCell ref="LWF25:LWH25"/>
    <mergeCell ref="LWI25:LWK25"/>
    <mergeCell ref="LWL25:LWN25"/>
    <mergeCell ref="LWO25:LWQ25"/>
    <mergeCell ref="LWR25:LWT25"/>
    <mergeCell ref="LVK25:LVM25"/>
    <mergeCell ref="LVN25:LVP25"/>
    <mergeCell ref="LVQ25:LVS25"/>
    <mergeCell ref="LVT25:LVV25"/>
    <mergeCell ref="LVW25:LVY25"/>
    <mergeCell ref="LVZ25:LWB25"/>
    <mergeCell ref="LYW25:LYY25"/>
    <mergeCell ref="LYZ25:LZB25"/>
    <mergeCell ref="LZC25:LZE25"/>
    <mergeCell ref="LZF25:LZH25"/>
    <mergeCell ref="LZI25:LZK25"/>
    <mergeCell ref="LZL25:LZN25"/>
    <mergeCell ref="LYE25:LYG25"/>
    <mergeCell ref="LYH25:LYJ25"/>
    <mergeCell ref="LYK25:LYM25"/>
    <mergeCell ref="LYN25:LYP25"/>
    <mergeCell ref="LYQ25:LYS25"/>
    <mergeCell ref="LYT25:LYV25"/>
    <mergeCell ref="LXM25:LXO25"/>
    <mergeCell ref="LXP25:LXR25"/>
    <mergeCell ref="LXS25:LXU25"/>
    <mergeCell ref="LXV25:LXX25"/>
    <mergeCell ref="LXY25:LYA25"/>
    <mergeCell ref="LYB25:LYD25"/>
    <mergeCell ref="MAY25:MBA25"/>
    <mergeCell ref="MBB25:MBD25"/>
    <mergeCell ref="MBE25:MBG25"/>
    <mergeCell ref="MBH25:MBJ25"/>
    <mergeCell ref="MBK25:MBM25"/>
    <mergeCell ref="MBN25:MBP25"/>
    <mergeCell ref="MAG25:MAI25"/>
    <mergeCell ref="MAJ25:MAL25"/>
    <mergeCell ref="MAM25:MAO25"/>
    <mergeCell ref="MAP25:MAR25"/>
    <mergeCell ref="MAS25:MAU25"/>
    <mergeCell ref="MAV25:MAX25"/>
    <mergeCell ref="LZO25:LZQ25"/>
    <mergeCell ref="LZR25:LZT25"/>
    <mergeCell ref="LZU25:LZW25"/>
    <mergeCell ref="LZX25:LZZ25"/>
    <mergeCell ref="MAA25:MAC25"/>
    <mergeCell ref="MAD25:MAF25"/>
    <mergeCell ref="MDA25:MDC25"/>
    <mergeCell ref="MDD25:MDF25"/>
    <mergeCell ref="MDG25:MDI25"/>
    <mergeCell ref="MDJ25:MDL25"/>
    <mergeCell ref="MDM25:MDO25"/>
    <mergeCell ref="MDP25:MDR25"/>
    <mergeCell ref="MCI25:MCK25"/>
    <mergeCell ref="MCL25:MCN25"/>
    <mergeCell ref="MCO25:MCQ25"/>
    <mergeCell ref="MCR25:MCT25"/>
    <mergeCell ref="MCU25:MCW25"/>
    <mergeCell ref="MCX25:MCZ25"/>
    <mergeCell ref="MBQ25:MBS25"/>
    <mergeCell ref="MBT25:MBV25"/>
    <mergeCell ref="MBW25:MBY25"/>
    <mergeCell ref="MBZ25:MCB25"/>
    <mergeCell ref="MCC25:MCE25"/>
    <mergeCell ref="MCF25:MCH25"/>
    <mergeCell ref="MFC25:MFE25"/>
    <mergeCell ref="MFF25:MFH25"/>
    <mergeCell ref="MFI25:MFK25"/>
    <mergeCell ref="MFL25:MFN25"/>
    <mergeCell ref="MFO25:MFQ25"/>
    <mergeCell ref="MFR25:MFT25"/>
    <mergeCell ref="MEK25:MEM25"/>
    <mergeCell ref="MEN25:MEP25"/>
    <mergeCell ref="MEQ25:MES25"/>
    <mergeCell ref="MET25:MEV25"/>
    <mergeCell ref="MEW25:MEY25"/>
    <mergeCell ref="MEZ25:MFB25"/>
    <mergeCell ref="MDS25:MDU25"/>
    <mergeCell ref="MDV25:MDX25"/>
    <mergeCell ref="MDY25:MEA25"/>
    <mergeCell ref="MEB25:MED25"/>
    <mergeCell ref="MEE25:MEG25"/>
    <mergeCell ref="MEH25:MEJ25"/>
    <mergeCell ref="MHE25:MHG25"/>
    <mergeCell ref="MHH25:MHJ25"/>
    <mergeCell ref="MHK25:MHM25"/>
    <mergeCell ref="MHN25:MHP25"/>
    <mergeCell ref="MHQ25:MHS25"/>
    <mergeCell ref="MHT25:MHV25"/>
    <mergeCell ref="MGM25:MGO25"/>
    <mergeCell ref="MGP25:MGR25"/>
    <mergeCell ref="MGS25:MGU25"/>
    <mergeCell ref="MGV25:MGX25"/>
    <mergeCell ref="MGY25:MHA25"/>
    <mergeCell ref="MHB25:MHD25"/>
    <mergeCell ref="MFU25:MFW25"/>
    <mergeCell ref="MFX25:MFZ25"/>
    <mergeCell ref="MGA25:MGC25"/>
    <mergeCell ref="MGD25:MGF25"/>
    <mergeCell ref="MGG25:MGI25"/>
    <mergeCell ref="MGJ25:MGL25"/>
    <mergeCell ref="MJG25:MJI25"/>
    <mergeCell ref="MJJ25:MJL25"/>
    <mergeCell ref="MJM25:MJO25"/>
    <mergeCell ref="MJP25:MJR25"/>
    <mergeCell ref="MJS25:MJU25"/>
    <mergeCell ref="MJV25:MJX25"/>
    <mergeCell ref="MIO25:MIQ25"/>
    <mergeCell ref="MIR25:MIT25"/>
    <mergeCell ref="MIU25:MIW25"/>
    <mergeCell ref="MIX25:MIZ25"/>
    <mergeCell ref="MJA25:MJC25"/>
    <mergeCell ref="MJD25:MJF25"/>
    <mergeCell ref="MHW25:MHY25"/>
    <mergeCell ref="MHZ25:MIB25"/>
    <mergeCell ref="MIC25:MIE25"/>
    <mergeCell ref="MIF25:MIH25"/>
    <mergeCell ref="MII25:MIK25"/>
    <mergeCell ref="MIL25:MIN25"/>
    <mergeCell ref="MLI25:MLK25"/>
    <mergeCell ref="MLL25:MLN25"/>
    <mergeCell ref="MLO25:MLQ25"/>
    <mergeCell ref="MLR25:MLT25"/>
    <mergeCell ref="MLU25:MLW25"/>
    <mergeCell ref="MLX25:MLZ25"/>
    <mergeCell ref="MKQ25:MKS25"/>
    <mergeCell ref="MKT25:MKV25"/>
    <mergeCell ref="MKW25:MKY25"/>
    <mergeCell ref="MKZ25:MLB25"/>
    <mergeCell ref="MLC25:MLE25"/>
    <mergeCell ref="MLF25:MLH25"/>
    <mergeCell ref="MJY25:MKA25"/>
    <mergeCell ref="MKB25:MKD25"/>
    <mergeCell ref="MKE25:MKG25"/>
    <mergeCell ref="MKH25:MKJ25"/>
    <mergeCell ref="MKK25:MKM25"/>
    <mergeCell ref="MKN25:MKP25"/>
    <mergeCell ref="MNK25:MNM25"/>
    <mergeCell ref="MNN25:MNP25"/>
    <mergeCell ref="MNQ25:MNS25"/>
    <mergeCell ref="MNT25:MNV25"/>
    <mergeCell ref="MNW25:MNY25"/>
    <mergeCell ref="MNZ25:MOB25"/>
    <mergeCell ref="MMS25:MMU25"/>
    <mergeCell ref="MMV25:MMX25"/>
    <mergeCell ref="MMY25:MNA25"/>
    <mergeCell ref="MNB25:MND25"/>
    <mergeCell ref="MNE25:MNG25"/>
    <mergeCell ref="MNH25:MNJ25"/>
    <mergeCell ref="MMA25:MMC25"/>
    <mergeCell ref="MMD25:MMF25"/>
    <mergeCell ref="MMG25:MMI25"/>
    <mergeCell ref="MMJ25:MML25"/>
    <mergeCell ref="MMM25:MMO25"/>
    <mergeCell ref="MMP25:MMR25"/>
    <mergeCell ref="MPM25:MPO25"/>
    <mergeCell ref="MPP25:MPR25"/>
    <mergeCell ref="MPS25:MPU25"/>
    <mergeCell ref="MPV25:MPX25"/>
    <mergeCell ref="MPY25:MQA25"/>
    <mergeCell ref="MQB25:MQD25"/>
    <mergeCell ref="MOU25:MOW25"/>
    <mergeCell ref="MOX25:MOZ25"/>
    <mergeCell ref="MPA25:MPC25"/>
    <mergeCell ref="MPD25:MPF25"/>
    <mergeCell ref="MPG25:MPI25"/>
    <mergeCell ref="MPJ25:MPL25"/>
    <mergeCell ref="MOC25:MOE25"/>
    <mergeCell ref="MOF25:MOH25"/>
    <mergeCell ref="MOI25:MOK25"/>
    <mergeCell ref="MOL25:MON25"/>
    <mergeCell ref="MOO25:MOQ25"/>
    <mergeCell ref="MOR25:MOT25"/>
    <mergeCell ref="MRO25:MRQ25"/>
    <mergeCell ref="MRR25:MRT25"/>
    <mergeCell ref="MRU25:MRW25"/>
    <mergeCell ref="MRX25:MRZ25"/>
    <mergeCell ref="MSA25:MSC25"/>
    <mergeCell ref="MSD25:MSF25"/>
    <mergeCell ref="MQW25:MQY25"/>
    <mergeCell ref="MQZ25:MRB25"/>
    <mergeCell ref="MRC25:MRE25"/>
    <mergeCell ref="MRF25:MRH25"/>
    <mergeCell ref="MRI25:MRK25"/>
    <mergeCell ref="MRL25:MRN25"/>
    <mergeCell ref="MQE25:MQG25"/>
    <mergeCell ref="MQH25:MQJ25"/>
    <mergeCell ref="MQK25:MQM25"/>
    <mergeCell ref="MQN25:MQP25"/>
    <mergeCell ref="MQQ25:MQS25"/>
    <mergeCell ref="MQT25:MQV25"/>
    <mergeCell ref="MTQ25:MTS25"/>
    <mergeCell ref="MTT25:MTV25"/>
    <mergeCell ref="MTW25:MTY25"/>
    <mergeCell ref="MTZ25:MUB25"/>
    <mergeCell ref="MUC25:MUE25"/>
    <mergeCell ref="MUF25:MUH25"/>
    <mergeCell ref="MSY25:MTA25"/>
    <mergeCell ref="MTB25:MTD25"/>
    <mergeCell ref="MTE25:MTG25"/>
    <mergeCell ref="MTH25:MTJ25"/>
    <mergeCell ref="MTK25:MTM25"/>
    <mergeCell ref="MTN25:MTP25"/>
    <mergeCell ref="MSG25:MSI25"/>
    <mergeCell ref="MSJ25:MSL25"/>
    <mergeCell ref="MSM25:MSO25"/>
    <mergeCell ref="MSP25:MSR25"/>
    <mergeCell ref="MSS25:MSU25"/>
    <mergeCell ref="MSV25:MSX25"/>
    <mergeCell ref="MVS25:MVU25"/>
    <mergeCell ref="MVV25:MVX25"/>
    <mergeCell ref="MVY25:MWA25"/>
    <mergeCell ref="MWB25:MWD25"/>
    <mergeCell ref="MWE25:MWG25"/>
    <mergeCell ref="MWH25:MWJ25"/>
    <mergeCell ref="MVA25:MVC25"/>
    <mergeCell ref="MVD25:MVF25"/>
    <mergeCell ref="MVG25:MVI25"/>
    <mergeCell ref="MVJ25:MVL25"/>
    <mergeCell ref="MVM25:MVO25"/>
    <mergeCell ref="MVP25:MVR25"/>
    <mergeCell ref="MUI25:MUK25"/>
    <mergeCell ref="MUL25:MUN25"/>
    <mergeCell ref="MUO25:MUQ25"/>
    <mergeCell ref="MUR25:MUT25"/>
    <mergeCell ref="MUU25:MUW25"/>
    <mergeCell ref="MUX25:MUZ25"/>
    <mergeCell ref="MXU25:MXW25"/>
    <mergeCell ref="MXX25:MXZ25"/>
    <mergeCell ref="MYA25:MYC25"/>
    <mergeCell ref="MYD25:MYF25"/>
    <mergeCell ref="MYG25:MYI25"/>
    <mergeCell ref="MYJ25:MYL25"/>
    <mergeCell ref="MXC25:MXE25"/>
    <mergeCell ref="MXF25:MXH25"/>
    <mergeCell ref="MXI25:MXK25"/>
    <mergeCell ref="MXL25:MXN25"/>
    <mergeCell ref="MXO25:MXQ25"/>
    <mergeCell ref="MXR25:MXT25"/>
    <mergeCell ref="MWK25:MWM25"/>
    <mergeCell ref="MWN25:MWP25"/>
    <mergeCell ref="MWQ25:MWS25"/>
    <mergeCell ref="MWT25:MWV25"/>
    <mergeCell ref="MWW25:MWY25"/>
    <mergeCell ref="MWZ25:MXB25"/>
    <mergeCell ref="MZW25:MZY25"/>
    <mergeCell ref="MZZ25:NAB25"/>
    <mergeCell ref="NAC25:NAE25"/>
    <mergeCell ref="NAF25:NAH25"/>
    <mergeCell ref="NAI25:NAK25"/>
    <mergeCell ref="NAL25:NAN25"/>
    <mergeCell ref="MZE25:MZG25"/>
    <mergeCell ref="MZH25:MZJ25"/>
    <mergeCell ref="MZK25:MZM25"/>
    <mergeCell ref="MZN25:MZP25"/>
    <mergeCell ref="MZQ25:MZS25"/>
    <mergeCell ref="MZT25:MZV25"/>
    <mergeCell ref="MYM25:MYO25"/>
    <mergeCell ref="MYP25:MYR25"/>
    <mergeCell ref="MYS25:MYU25"/>
    <mergeCell ref="MYV25:MYX25"/>
    <mergeCell ref="MYY25:MZA25"/>
    <mergeCell ref="MZB25:MZD25"/>
    <mergeCell ref="NBY25:NCA25"/>
    <mergeCell ref="NCB25:NCD25"/>
    <mergeCell ref="NCE25:NCG25"/>
    <mergeCell ref="NCH25:NCJ25"/>
    <mergeCell ref="NCK25:NCM25"/>
    <mergeCell ref="NCN25:NCP25"/>
    <mergeCell ref="NBG25:NBI25"/>
    <mergeCell ref="NBJ25:NBL25"/>
    <mergeCell ref="NBM25:NBO25"/>
    <mergeCell ref="NBP25:NBR25"/>
    <mergeCell ref="NBS25:NBU25"/>
    <mergeCell ref="NBV25:NBX25"/>
    <mergeCell ref="NAO25:NAQ25"/>
    <mergeCell ref="NAR25:NAT25"/>
    <mergeCell ref="NAU25:NAW25"/>
    <mergeCell ref="NAX25:NAZ25"/>
    <mergeCell ref="NBA25:NBC25"/>
    <mergeCell ref="NBD25:NBF25"/>
    <mergeCell ref="NEA25:NEC25"/>
    <mergeCell ref="NED25:NEF25"/>
    <mergeCell ref="NEG25:NEI25"/>
    <mergeCell ref="NEJ25:NEL25"/>
    <mergeCell ref="NEM25:NEO25"/>
    <mergeCell ref="NEP25:NER25"/>
    <mergeCell ref="NDI25:NDK25"/>
    <mergeCell ref="NDL25:NDN25"/>
    <mergeCell ref="NDO25:NDQ25"/>
    <mergeCell ref="NDR25:NDT25"/>
    <mergeCell ref="NDU25:NDW25"/>
    <mergeCell ref="NDX25:NDZ25"/>
    <mergeCell ref="NCQ25:NCS25"/>
    <mergeCell ref="NCT25:NCV25"/>
    <mergeCell ref="NCW25:NCY25"/>
    <mergeCell ref="NCZ25:NDB25"/>
    <mergeCell ref="NDC25:NDE25"/>
    <mergeCell ref="NDF25:NDH25"/>
    <mergeCell ref="NGC25:NGE25"/>
    <mergeCell ref="NGF25:NGH25"/>
    <mergeCell ref="NGI25:NGK25"/>
    <mergeCell ref="NGL25:NGN25"/>
    <mergeCell ref="NGO25:NGQ25"/>
    <mergeCell ref="NGR25:NGT25"/>
    <mergeCell ref="NFK25:NFM25"/>
    <mergeCell ref="NFN25:NFP25"/>
    <mergeCell ref="NFQ25:NFS25"/>
    <mergeCell ref="NFT25:NFV25"/>
    <mergeCell ref="NFW25:NFY25"/>
    <mergeCell ref="NFZ25:NGB25"/>
    <mergeCell ref="NES25:NEU25"/>
    <mergeCell ref="NEV25:NEX25"/>
    <mergeCell ref="NEY25:NFA25"/>
    <mergeCell ref="NFB25:NFD25"/>
    <mergeCell ref="NFE25:NFG25"/>
    <mergeCell ref="NFH25:NFJ25"/>
    <mergeCell ref="NIE25:NIG25"/>
    <mergeCell ref="NIH25:NIJ25"/>
    <mergeCell ref="NIK25:NIM25"/>
    <mergeCell ref="NIN25:NIP25"/>
    <mergeCell ref="NIQ25:NIS25"/>
    <mergeCell ref="NIT25:NIV25"/>
    <mergeCell ref="NHM25:NHO25"/>
    <mergeCell ref="NHP25:NHR25"/>
    <mergeCell ref="NHS25:NHU25"/>
    <mergeCell ref="NHV25:NHX25"/>
    <mergeCell ref="NHY25:NIA25"/>
    <mergeCell ref="NIB25:NID25"/>
    <mergeCell ref="NGU25:NGW25"/>
    <mergeCell ref="NGX25:NGZ25"/>
    <mergeCell ref="NHA25:NHC25"/>
    <mergeCell ref="NHD25:NHF25"/>
    <mergeCell ref="NHG25:NHI25"/>
    <mergeCell ref="NHJ25:NHL25"/>
    <mergeCell ref="NKG25:NKI25"/>
    <mergeCell ref="NKJ25:NKL25"/>
    <mergeCell ref="NKM25:NKO25"/>
    <mergeCell ref="NKP25:NKR25"/>
    <mergeCell ref="NKS25:NKU25"/>
    <mergeCell ref="NKV25:NKX25"/>
    <mergeCell ref="NJO25:NJQ25"/>
    <mergeCell ref="NJR25:NJT25"/>
    <mergeCell ref="NJU25:NJW25"/>
    <mergeCell ref="NJX25:NJZ25"/>
    <mergeCell ref="NKA25:NKC25"/>
    <mergeCell ref="NKD25:NKF25"/>
    <mergeCell ref="NIW25:NIY25"/>
    <mergeCell ref="NIZ25:NJB25"/>
    <mergeCell ref="NJC25:NJE25"/>
    <mergeCell ref="NJF25:NJH25"/>
    <mergeCell ref="NJI25:NJK25"/>
    <mergeCell ref="NJL25:NJN25"/>
    <mergeCell ref="NMI25:NMK25"/>
    <mergeCell ref="NML25:NMN25"/>
    <mergeCell ref="NMO25:NMQ25"/>
    <mergeCell ref="NMR25:NMT25"/>
    <mergeCell ref="NMU25:NMW25"/>
    <mergeCell ref="NMX25:NMZ25"/>
    <mergeCell ref="NLQ25:NLS25"/>
    <mergeCell ref="NLT25:NLV25"/>
    <mergeCell ref="NLW25:NLY25"/>
    <mergeCell ref="NLZ25:NMB25"/>
    <mergeCell ref="NMC25:NME25"/>
    <mergeCell ref="NMF25:NMH25"/>
    <mergeCell ref="NKY25:NLA25"/>
    <mergeCell ref="NLB25:NLD25"/>
    <mergeCell ref="NLE25:NLG25"/>
    <mergeCell ref="NLH25:NLJ25"/>
    <mergeCell ref="NLK25:NLM25"/>
    <mergeCell ref="NLN25:NLP25"/>
    <mergeCell ref="NOK25:NOM25"/>
    <mergeCell ref="NON25:NOP25"/>
    <mergeCell ref="NOQ25:NOS25"/>
    <mergeCell ref="NOT25:NOV25"/>
    <mergeCell ref="NOW25:NOY25"/>
    <mergeCell ref="NOZ25:NPB25"/>
    <mergeCell ref="NNS25:NNU25"/>
    <mergeCell ref="NNV25:NNX25"/>
    <mergeCell ref="NNY25:NOA25"/>
    <mergeCell ref="NOB25:NOD25"/>
    <mergeCell ref="NOE25:NOG25"/>
    <mergeCell ref="NOH25:NOJ25"/>
    <mergeCell ref="NNA25:NNC25"/>
    <mergeCell ref="NND25:NNF25"/>
    <mergeCell ref="NNG25:NNI25"/>
    <mergeCell ref="NNJ25:NNL25"/>
    <mergeCell ref="NNM25:NNO25"/>
    <mergeCell ref="NNP25:NNR25"/>
    <mergeCell ref="NQM25:NQO25"/>
    <mergeCell ref="NQP25:NQR25"/>
    <mergeCell ref="NQS25:NQU25"/>
    <mergeCell ref="NQV25:NQX25"/>
    <mergeCell ref="NQY25:NRA25"/>
    <mergeCell ref="NRB25:NRD25"/>
    <mergeCell ref="NPU25:NPW25"/>
    <mergeCell ref="NPX25:NPZ25"/>
    <mergeCell ref="NQA25:NQC25"/>
    <mergeCell ref="NQD25:NQF25"/>
    <mergeCell ref="NQG25:NQI25"/>
    <mergeCell ref="NQJ25:NQL25"/>
    <mergeCell ref="NPC25:NPE25"/>
    <mergeCell ref="NPF25:NPH25"/>
    <mergeCell ref="NPI25:NPK25"/>
    <mergeCell ref="NPL25:NPN25"/>
    <mergeCell ref="NPO25:NPQ25"/>
    <mergeCell ref="NPR25:NPT25"/>
    <mergeCell ref="NSO25:NSQ25"/>
    <mergeCell ref="NSR25:NST25"/>
    <mergeCell ref="NSU25:NSW25"/>
    <mergeCell ref="NSX25:NSZ25"/>
    <mergeCell ref="NTA25:NTC25"/>
    <mergeCell ref="NTD25:NTF25"/>
    <mergeCell ref="NRW25:NRY25"/>
    <mergeCell ref="NRZ25:NSB25"/>
    <mergeCell ref="NSC25:NSE25"/>
    <mergeCell ref="NSF25:NSH25"/>
    <mergeCell ref="NSI25:NSK25"/>
    <mergeCell ref="NSL25:NSN25"/>
    <mergeCell ref="NRE25:NRG25"/>
    <mergeCell ref="NRH25:NRJ25"/>
    <mergeCell ref="NRK25:NRM25"/>
    <mergeCell ref="NRN25:NRP25"/>
    <mergeCell ref="NRQ25:NRS25"/>
    <mergeCell ref="NRT25:NRV25"/>
    <mergeCell ref="NUQ25:NUS25"/>
    <mergeCell ref="NUT25:NUV25"/>
    <mergeCell ref="NUW25:NUY25"/>
    <mergeCell ref="NUZ25:NVB25"/>
    <mergeCell ref="NVC25:NVE25"/>
    <mergeCell ref="NVF25:NVH25"/>
    <mergeCell ref="NTY25:NUA25"/>
    <mergeCell ref="NUB25:NUD25"/>
    <mergeCell ref="NUE25:NUG25"/>
    <mergeCell ref="NUH25:NUJ25"/>
    <mergeCell ref="NUK25:NUM25"/>
    <mergeCell ref="NUN25:NUP25"/>
    <mergeCell ref="NTG25:NTI25"/>
    <mergeCell ref="NTJ25:NTL25"/>
    <mergeCell ref="NTM25:NTO25"/>
    <mergeCell ref="NTP25:NTR25"/>
    <mergeCell ref="NTS25:NTU25"/>
    <mergeCell ref="NTV25:NTX25"/>
    <mergeCell ref="NWS25:NWU25"/>
    <mergeCell ref="NWV25:NWX25"/>
    <mergeCell ref="NWY25:NXA25"/>
    <mergeCell ref="NXB25:NXD25"/>
    <mergeCell ref="NXE25:NXG25"/>
    <mergeCell ref="NXH25:NXJ25"/>
    <mergeCell ref="NWA25:NWC25"/>
    <mergeCell ref="NWD25:NWF25"/>
    <mergeCell ref="NWG25:NWI25"/>
    <mergeCell ref="NWJ25:NWL25"/>
    <mergeCell ref="NWM25:NWO25"/>
    <mergeCell ref="NWP25:NWR25"/>
    <mergeCell ref="NVI25:NVK25"/>
    <mergeCell ref="NVL25:NVN25"/>
    <mergeCell ref="NVO25:NVQ25"/>
    <mergeCell ref="NVR25:NVT25"/>
    <mergeCell ref="NVU25:NVW25"/>
    <mergeCell ref="NVX25:NVZ25"/>
    <mergeCell ref="NYU25:NYW25"/>
    <mergeCell ref="NYX25:NYZ25"/>
    <mergeCell ref="NZA25:NZC25"/>
    <mergeCell ref="NZD25:NZF25"/>
    <mergeCell ref="NZG25:NZI25"/>
    <mergeCell ref="NZJ25:NZL25"/>
    <mergeCell ref="NYC25:NYE25"/>
    <mergeCell ref="NYF25:NYH25"/>
    <mergeCell ref="NYI25:NYK25"/>
    <mergeCell ref="NYL25:NYN25"/>
    <mergeCell ref="NYO25:NYQ25"/>
    <mergeCell ref="NYR25:NYT25"/>
    <mergeCell ref="NXK25:NXM25"/>
    <mergeCell ref="NXN25:NXP25"/>
    <mergeCell ref="NXQ25:NXS25"/>
    <mergeCell ref="NXT25:NXV25"/>
    <mergeCell ref="NXW25:NXY25"/>
    <mergeCell ref="NXZ25:NYB25"/>
    <mergeCell ref="OAW25:OAY25"/>
    <mergeCell ref="OAZ25:OBB25"/>
    <mergeCell ref="OBC25:OBE25"/>
    <mergeCell ref="OBF25:OBH25"/>
    <mergeCell ref="OBI25:OBK25"/>
    <mergeCell ref="OBL25:OBN25"/>
    <mergeCell ref="OAE25:OAG25"/>
    <mergeCell ref="OAH25:OAJ25"/>
    <mergeCell ref="OAK25:OAM25"/>
    <mergeCell ref="OAN25:OAP25"/>
    <mergeCell ref="OAQ25:OAS25"/>
    <mergeCell ref="OAT25:OAV25"/>
    <mergeCell ref="NZM25:NZO25"/>
    <mergeCell ref="NZP25:NZR25"/>
    <mergeCell ref="NZS25:NZU25"/>
    <mergeCell ref="NZV25:NZX25"/>
    <mergeCell ref="NZY25:OAA25"/>
    <mergeCell ref="OAB25:OAD25"/>
    <mergeCell ref="OCY25:ODA25"/>
    <mergeCell ref="ODB25:ODD25"/>
    <mergeCell ref="ODE25:ODG25"/>
    <mergeCell ref="ODH25:ODJ25"/>
    <mergeCell ref="ODK25:ODM25"/>
    <mergeCell ref="ODN25:ODP25"/>
    <mergeCell ref="OCG25:OCI25"/>
    <mergeCell ref="OCJ25:OCL25"/>
    <mergeCell ref="OCM25:OCO25"/>
    <mergeCell ref="OCP25:OCR25"/>
    <mergeCell ref="OCS25:OCU25"/>
    <mergeCell ref="OCV25:OCX25"/>
    <mergeCell ref="OBO25:OBQ25"/>
    <mergeCell ref="OBR25:OBT25"/>
    <mergeCell ref="OBU25:OBW25"/>
    <mergeCell ref="OBX25:OBZ25"/>
    <mergeCell ref="OCA25:OCC25"/>
    <mergeCell ref="OCD25:OCF25"/>
    <mergeCell ref="OFA25:OFC25"/>
    <mergeCell ref="OFD25:OFF25"/>
    <mergeCell ref="OFG25:OFI25"/>
    <mergeCell ref="OFJ25:OFL25"/>
    <mergeCell ref="OFM25:OFO25"/>
    <mergeCell ref="OFP25:OFR25"/>
    <mergeCell ref="OEI25:OEK25"/>
    <mergeCell ref="OEL25:OEN25"/>
    <mergeCell ref="OEO25:OEQ25"/>
    <mergeCell ref="OER25:OET25"/>
    <mergeCell ref="OEU25:OEW25"/>
    <mergeCell ref="OEX25:OEZ25"/>
    <mergeCell ref="ODQ25:ODS25"/>
    <mergeCell ref="ODT25:ODV25"/>
    <mergeCell ref="ODW25:ODY25"/>
    <mergeCell ref="ODZ25:OEB25"/>
    <mergeCell ref="OEC25:OEE25"/>
    <mergeCell ref="OEF25:OEH25"/>
    <mergeCell ref="OHC25:OHE25"/>
    <mergeCell ref="OHF25:OHH25"/>
    <mergeCell ref="OHI25:OHK25"/>
    <mergeCell ref="OHL25:OHN25"/>
    <mergeCell ref="OHO25:OHQ25"/>
    <mergeCell ref="OHR25:OHT25"/>
    <mergeCell ref="OGK25:OGM25"/>
    <mergeCell ref="OGN25:OGP25"/>
    <mergeCell ref="OGQ25:OGS25"/>
    <mergeCell ref="OGT25:OGV25"/>
    <mergeCell ref="OGW25:OGY25"/>
    <mergeCell ref="OGZ25:OHB25"/>
    <mergeCell ref="OFS25:OFU25"/>
    <mergeCell ref="OFV25:OFX25"/>
    <mergeCell ref="OFY25:OGA25"/>
    <mergeCell ref="OGB25:OGD25"/>
    <mergeCell ref="OGE25:OGG25"/>
    <mergeCell ref="OGH25:OGJ25"/>
    <mergeCell ref="OJE25:OJG25"/>
    <mergeCell ref="OJH25:OJJ25"/>
    <mergeCell ref="OJK25:OJM25"/>
    <mergeCell ref="OJN25:OJP25"/>
    <mergeCell ref="OJQ25:OJS25"/>
    <mergeCell ref="OJT25:OJV25"/>
    <mergeCell ref="OIM25:OIO25"/>
    <mergeCell ref="OIP25:OIR25"/>
    <mergeCell ref="OIS25:OIU25"/>
    <mergeCell ref="OIV25:OIX25"/>
    <mergeCell ref="OIY25:OJA25"/>
    <mergeCell ref="OJB25:OJD25"/>
    <mergeCell ref="OHU25:OHW25"/>
    <mergeCell ref="OHX25:OHZ25"/>
    <mergeCell ref="OIA25:OIC25"/>
    <mergeCell ref="OID25:OIF25"/>
    <mergeCell ref="OIG25:OII25"/>
    <mergeCell ref="OIJ25:OIL25"/>
    <mergeCell ref="OLG25:OLI25"/>
    <mergeCell ref="OLJ25:OLL25"/>
    <mergeCell ref="OLM25:OLO25"/>
    <mergeCell ref="OLP25:OLR25"/>
    <mergeCell ref="OLS25:OLU25"/>
    <mergeCell ref="OLV25:OLX25"/>
    <mergeCell ref="OKO25:OKQ25"/>
    <mergeCell ref="OKR25:OKT25"/>
    <mergeCell ref="OKU25:OKW25"/>
    <mergeCell ref="OKX25:OKZ25"/>
    <mergeCell ref="OLA25:OLC25"/>
    <mergeCell ref="OLD25:OLF25"/>
    <mergeCell ref="OJW25:OJY25"/>
    <mergeCell ref="OJZ25:OKB25"/>
    <mergeCell ref="OKC25:OKE25"/>
    <mergeCell ref="OKF25:OKH25"/>
    <mergeCell ref="OKI25:OKK25"/>
    <mergeCell ref="OKL25:OKN25"/>
    <mergeCell ref="ONI25:ONK25"/>
    <mergeCell ref="ONL25:ONN25"/>
    <mergeCell ref="ONO25:ONQ25"/>
    <mergeCell ref="ONR25:ONT25"/>
    <mergeCell ref="ONU25:ONW25"/>
    <mergeCell ref="ONX25:ONZ25"/>
    <mergeCell ref="OMQ25:OMS25"/>
    <mergeCell ref="OMT25:OMV25"/>
    <mergeCell ref="OMW25:OMY25"/>
    <mergeCell ref="OMZ25:ONB25"/>
    <mergeCell ref="ONC25:ONE25"/>
    <mergeCell ref="ONF25:ONH25"/>
    <mergeCell ref="OLY25:OMA25"/>
    <mergeCell ref="OMB25:OMD25"/>
    <mergeCell ref="OME25:OMG25"/>
    <mergeCell ref="OMH25:OMJ25"/>
    <mergeCell ref="OMK25:OMM25"/>
    <mergeCell ref="OMN25:OMP25"/>
    <mergeCell ref="OPK25:OPM25"/>
    <mergeCell ref="OPN25:OPP25"/>
    <mergeCell ref="OPQ25:OPS25"/>
    <mergeCell ref="OPT25:OPV25"/>
    <mergeCell ref="OPW25:OPY25"/>
    <mergeCell ref="OPZ25:OQB25"/>
    <mergeCell ref="OOS25:OOU25"/>
    <mergeCell ref="OOV25:OOX25"/>
    <mergeCell ref="OOY25:OPA25"/>
    <mergeCell ref="OPB25:OPD25"/>
    <mergeCell ref="OPE25:OPG25"/>
    <mergeCell ref="OPH25:OPJ25"/>
    <mergeCell ref="OOA25:OOC25"/>
    <mergeCell ref="OOD25:OOF25"/>
    <mergeCell ref="OOG25:OOI25"/>
    <mergeCell ref="OOJ25:OOL25"/>
    <mergeCell ref="OOM25:OOO25"/>
    <mergeCell ref="OOP25:OOR25"/>
    <mergeCell ref="ORM25:ORO25"/>
    <mergeCell ref="ORP25:ORR25"/>
    <mergeCell ref="ORS25:ORU25"/>
    <mergeCell ref="ORV25:ORX25"/>
    <mergeCell ref="ORY25:OSA25"/>
    <mergeCell ref="OSB25:OSD25"/>
    <mergeCell ref="OQU25:OQW25"/>
    <mergeCell ref="OQX25:OQZ25"/>
    <mergeCell ref="ORA25:ORC25"/>
    <mergeCell ref="ORD25:ORF25"/>
    <mergeCell ref="ORG25:ORI25"/>
    <mergeCell ref="ORJ25:ORL25"/>
    <mergeCell ref="OQC25:OQE25"/>
    <mergeCell ref="OQF25:OQH25"/>
    <mergeCell ref="OQI25:OQK25"/>
    <mergeCell ref="OQL25:OQN25"/>
    <mergeCell ref="OQO25:OQQ25"/>
    <mergeCell ref="OQR25:OQT25"/>
    <mergeCell ref="OTO25:OTQ25"/>
    <mergeCell ref="OTR25:OTT25"/>
    <mergeCell ref="OTU25:OTW25"/>
    <mergeCell ref="OTX25:OTZ25"/>
    <mergeCell ref="OUA25:OUC25"/>
    <mergeCell ref="OUD25:OUF25"/>
    <mergeCell ref="OSW25:OSY25"/>
    <mergeCell ref="OSZ25:OTB25"/>
    <mergeCell ref="OTC25:OTE25"/>
    <mergeCell ref="OTF25:OTH25"/>
    <mergeCell ref="OTI25:OTK25"/>
    <mergeCell ref="OTL25:OTN25"/>
    <mergeCell ref="OSE25:OSG25"/>
    <mergeCell ref="OSH25:OSJ25"/>
    <mergeCell ref="OSK25:OSM25"/>
    <mergeCell ref="OSN25:OSP25"/>
    <mergeCell ref="OSQ25:OSS25"/>
    <mergeCell ref="OST25:OSV25"/>
    <mergeCell ref="OVQ25:OVS25"/>
    <mergeCell ref="OVT25:OVV25"/>
    <mergeCell ref="OVW25:OVY25"/>
    <mergeCell ref="OVZ25:OWB25"/>
    <mergeCell ref="OWC25:OWE25"/>
    <mergeCell ref="OWF25:OWH25"/>
    <mergeCell ref="OUY25:OVA25"/>
    <mergeCell ref="OVB25:OVD25"/>
    <mergeCell ref="OVE25:OVG25"/>
    <mergeCell ref="OVH25:OVJ25"/>
    <mergeCell ref="OVK25:OVM25"/>
    <mergeCell ref="OVN25:OVP25"/>
    <mergeCell ref="OUG25:OUI25"/>
    <mergeCell ref="OUJ25:OUL25"/>
    <mergeCell ref="OUM25:OUO25"/>
    <mergeCell ref="OUP25:OUR25"/>
    <mergeCell ref="OUS25:OUU25"/>
    <mergeCell ref="OUV25:OUX25"/>
    <mergeCell ref="OXS25:OXU25"/>
    <mergeCell ref="OXV25:OXX25"/>
    <mergeCell ref="OXY25:OYA25"/>
    <mergeCell ref="OYB25:OYD25"/>
    <mergeCell ref="OYE25:OYG25"/>
    <mergeCell ref="OYH25:OYJ25"/>
    <mergeCell ref="OXA25:OXC25"/>
    <mergeCell ref="OXD25:OXF25"/>
    <mergeCell ref="OXG25:OXI25"/>
    <mergeCell ref="OXJ25:OXL25"/>
    <mergeCell ref="OXM25:OXO25"/>
    <mergeCell ref="OXP25:OXR25"/>
    <mergeCell ref="OWI25:OWK25"/>
    <mergeCell ref="OWL25:OWN25"/>
    <mergeCell ref="OWO25:OWQ25"/>
    <mergeCell ref="OWR25:OWT25"/>
    <mergeCell ref="OWU25:OWW25"/>
    <mergeCell ref="OWX25:OWZ25"/>
    <mergeCell ref="OZU25:OZW25"/>
    <mergeCell ref="OZX25:OZZ25"/>
    <mergeCell ref="PAA25:PAC25"/>
    <mergeCell ref="PAD25:PAF25"/>
    <mergeCell ref="PAG25:PAI25"/>
    <mergeCell ref="PAJ25:PAL25"/>
    <mergeCell ref="OZC25:OZE25"/>
    <mergeCell ref="OZF25:OZH25"/>
    <mergeCell ref="OZI25:OZK25"/>
    <mergeCell ref="OZL25:OZN25"/>
    <mergeCell ref="OZO25:OZQ25"/>
    <mergeCell ref="OZR25:OZT25"/>
    <mergeCell ref="OYK25:OYM25"/>
    <mergeCell ref="OYN25:OYP25"/>
    <mergeCell ref="OYQ25:OYS25"/>
    <mergeCell ref="OYT25:OYV25"/>
    <mergeCell ref="OYW25:OYY25"/>
    <mergeCell ref="OYZ25:OZB25"/>
    <mergeCell ref="PBW25:PBY25"/>
    <mergeCell ref="PBZ25:PCB25"/>
    <mergeCell ref="PCC25:PCE25"/>
    <mergeCell ref="PCF25:PCH25"/>
    <mergeCell ref="PCI25:PCK25"/>
    <mergeCell ref="PCL25:PCN25"/>
    <mergeCell ref="PBE25:PBG25"/>
    <mergeCell ref="PBH25:PBJ25"/>
    <mergeCell ref="PBK25:PBM25"/>
    <mergeCell ref="PBN25:PBP25"/>
    <mergeCell ref="PBQ25:PBS25"/>
    <mergeCell ref="PBT25:PBV25"/>
    <mergeCell ref="PAM25:PAO25"/>
    <mergeCell ref="PAP25:PAR25"/>
    <mergeCell ref="PAS25:PAU25"/>
    <mergeCell ref="PAV25:PAX25"/>
    <mergeCell ref="PAY25:PBA25"/>
    <mergeCell ref="PBB25:PBD25"/>
    <mergeCell ref="PDY25:PEA25"/>
    <mergeCell ref="PEB25:PED25"/>
    <mergeCell ref="PEE25:PEG25"/>
    <mergeCell ref="PEH25:PEJ25"/>
    <mergeCell ref="PEK25:PEM25"/>
    <mergeCell ref="PEN25:PEP25"/>
    <mergeCell ref="PDG25:PDI25"/>
    <mergeCell ref="PDJ25:PDL25"/>
    <mergeCell ref="PDM25:PDO25"/>
    <mergeCell ref="PDP25:PDR25"/>
    <mergeCell ref="PDS25:PDU25"/>
    <mergeCell ref="PDV25:PDX25"/>
    <mergeCell ref="PCO25:PCQ25"/>
    <mergeCell ref="PCR25:PCT25"/>
    <mergeCell ref="PCU25:PCW25"/>
    <mergeCell ref="PCX25:PCZ25"/>
    <mergeCell ref="PDA25:PDC25"/>
    <mergeCell ref="PDD25:PDF25"/>
    <mergeCell ref="PGA25:PGC25"/>
    <mergeCell ref="PGD25:PGF25"/>
    <mergeCell ref="PGG25:PGI25"/>
    <mergeCell ref="PGJ25:PGL25"/>
    <mergeCell ref="PGM25:PGO25"/>
    <mergeCell ref="PGP25:PGR25"/>
    <mergeCell ref="PFI25:PFK25"/>
    <mergeCell ref="PFL25:PFN25"/>
    <mergeCell ref="PFO25:PFQ25"/>
    <mergeCell ref="PFR25:PFT25"/>
    <mergeCell ref="PFU25:PFW25"/>
    <mergeCell ref="PFX25:PFZ25"/>
    <mergeCell ref="PEQ25:PES25"/>
    <mergeCell ref="PET25:PEV25"/>
    <mergeCell ref="PEW25:PEY25"/>
    <mergeCell ref="PEZ25:PFB25"/>
    <mergeCell ref="PFC25:PFE25"/>
    <mergeCell ref="PFF25:PFH25"/>
    <mergeCell ref="PIC25:PIE25"/>
    <mergeCell ref="PIF25:PIH25"/>
    <mergeCell ref="PII25:PIK25"/>
    <mergeCell ref="PIL25:PIN25"/>
    <mergeCell ref="PIO25:PIQ25"/>
    <mergeCell ref="PIR25:PIT25"/>
    <mergeCell ref="PHK25:PHM25"/>
    <mergeCell ref="PHN25:PHP25"/>
    <mergeCell ref="PHQ25:PHS25"/>
    <mergeCell ref="PHT25:PHV25"/>
    <mergeCell ref="PHW25:PHY25"/>
    <mergeCell ref="PHZ25:PIB25"/>
    <mergeCell ref="PGS25:PGU25"/>
    <mergeCell ref="PGV25:PGX25"/>
    <mergeCell ref="PGY25:PHA25"/>
    <mergeCell ref="PHB25:PHD25"/>
    <mergeCell ref="PHE25:PHG25"/>
    <mergeCell ref="PHH25:PHJ25"/>
    <mergeCell ref="PKE25:PKG25"/>
    <mergeCell ref="PKH25:PKJ25"/>
    <mergeCell ref="PKK25:PKM25"/>
    <mergeCell ref="PKN25:PKP25"/>
    <mergeCell ref="PKQ25:PKS25"/>
    <mergeCell ref="PKT25:PKV25"/>
    <mergeCell ref="PJM25:PJO25"/>
    <mergeCell ref="PJP25:PJR25"/>
    <mergeCell ref="PJS25:PJU25"/>
    <mergeCell ref="PJV25:PJX25"/>
    <mergeCell ref="PJY25:PKA25"/>
    <mergeCell ref="PKB25:PKD25"/>
    <mergeCell ref="PIU25:PIW25"/>
    <mergeCell ref="PIX25:PIZ25"/>
    <mergeCell ref="PJA25:PJC25"/>
    <mergeCell ref="PJD25:PJF25"/>
    <mergeCell ref="PJG25:PJI25"/>
    <mergeCell ref="PJJ25:PJL25"/>
    <mergeCell ref="PMG25:PMI25"/>
    <mergeCell ref="PMJ25:PML25"/>
    <mergeCell ref="PMM25:PMO25"/>
    <mergeCell ref="PMP25:PMR25"/>
    <mergeCell ref="PMS25:PMU25"/>
    <mergeCell ref="PMV25:PMX25"/>
    <mergeCell ref="PLO25:PLQ25"/>
    <mergeCell ref="PLR25:PLT25"/>
    <mergeCell ref="PLU25:PLW25"/>
    <mergeCell ref="PLX25:PLZ25"/>
    <mergeCell ref="PMA25:PMC25"/>
    <mergeCell ref="PMD25:PMF25"/>
    <mergeCell ref="PKW25:PKY25"/>
    <mergeCell ref="PKZ25:PLB25"/>
    <mergeCell ref="PLC25:PLE25"/>
    <mergeCell ref="PLF25:PLH25"/>
    <mergeCell ref="PLI25:PLK25"/>
    <mergeCell ref="PLL25:PLN25"/>
    <mergeCell ref="POI25:POK25"/>
    <mergeCell ref="POL25:PON25"/>
    <mergeCell ref="POO25:POQ25"/>
    <mergeCell ref="POR25:POT25"/>
    <mergeCell ref="POU25:POW25"/>
    <mergeCell ref="POX25:POZ25"/>
    <mergeCell ref="PNQ25:PNS25"/>
    <mergeCell ref="PNT25:PNV25"/>
    <mergeCell ref="PNW25:PNY25"/>
    <mergeCell ref="PNZ25:POB25"/>
    <mergeCell ref="POC25:POE25"/>
    <mergeCell ref="POF25:POH25"/>
    <mergeCell ref="PMY25:PNA25"/>
    <mergeCell ref="PNB25:PND25"/>
    <mergeCell ref="PNE25:PNG25"/>
    <mergeCell ref="PNH25:PNJ25"/>
    <mergeCell ref="PNK25:PNM25"/>
    <mergeCell ref="PNN25:PNP25"/>
    <mergeCell ref="PQK25:PQM25"/>
    <mergeCell ref="PQN25:PQP25"/>
    <mergeCell ref="PQQ25:PQS25"/>
    <mergeCell ref="PQT25:PQV25"/>
    <mergeCell ref="PQW25:PQY25"/>
    <mergeCell ref="PQZ25:PRB25"/>
    <mergeCell ref="PPS25:PPU25"/>
    <mergeCell ref="PPV25:PPX25"/>
    <mergeCell ref="PPY25:PQA25"/>
    <mergeCell ref="PQB25:PQD25"/>
    <mergeCell ref="PQE25:PQG25"/>
    <mergeCell ref="PQH25:PQJ25"/>
    <mergeCell ref="PPA25:PPC25"/>
    <mergeCell ref="PPD25:PPF25"/>
    <mergeCell ref="PPG25:PPI25"/>
    <mergeCell ref="PPJ25:PPL25"/>
    <mergeCell ref="PPM25:PPO25"/>
    <mergeCell ref="PPP25:PPR25"/>
    <mergeCell ref="PSM25:PSO25"/>
    <mergeCell ref="PSP25:PSR25"/>
    <mergeCell ref="PSS25:PSU25"/>
    <mergeCell ref="PSV25:PSX25"/>
    <mergeCell ref="PSY25:PTA25"/>
    <mergeCell ref="PTB25:PTD25"/>
    <mergeCell ref="PRU25:PRW25"/>
    <mergeCell ref="PRX25:PRZ25"/>
    <mergeCell ref="PSA25:PSC25"/>
    <mergeCell ref="PSD25:PSF25"/>
    <mergeCell ref="PSG25:PSI25"/>
    <mergeCell ref="PSJ25:PSL25"/>
    <mergeCell ref="PRC25:PRE25"/>
    <mergeCell ref="PRF25:PRH25"/>
    <mergeCell ref="PRI25:PRK25"/>
    <mergeCell ref="PRL25:PRN25"/>
    <mergeCell ref="PRO25:PRQ25"/>
    <mergeCell ref="PRR25:PRT25"/>
    <mergeCell ref="PUO25:PUQ25"/>
    <mergeCell ref="PUR25:PUT25"/>
    <mergeCell ref="PUU25:PUW25"/>
    <mergeCell ref="PUX25:PUZ25"/>
    <mergeCell ref="PVA25:PVC25"/>
    <mergeCell ref="PVD25:PVF25"/>
    <mergeCell ref="PTW25:PTY25"/>
    <mergeCell ref="PTZ25:PUB25"/>
    <mergeCell ref="PUC25:PUE25"/>
    <mergeCell ref="PUF25:PUH25"/>
    <mergeCell ref="PUI25:PUK25"/>
    <mergeCell ref="PUL25:PUN25"/>
    <mergeCell ref="PTE25:PTG25"/>
    <mergeCell ref="PTH25:PTJ25"/>
    <mergeCell ref="PTK25:PTM25"/>
    <mergeCell ref="PTN25:PTP25"/>
    <mergeCell ref="PTQ25:PTS25"/>
    <mergeCell ref="PTT25:PTV25"/>
    <mergeCell ref="PWQ25:PWS25"/>
    <mergeCell ref="PWT25:PWV25"/>
    <mergeCell ref="PWW25:PWY25"/>
    <mergeCell ref="PWZ25:PXB25"/>
    <mergeCell ref="PXC25:PXE25"/>
    <mergeCell ref="PXF25:PXH25"/>
    <mergeCell ref="PVY25:PWA25"/>
    <mergeCell ref="PWB25:PWD25"/>
    <mergeCell ref="PWE25:PWG25"/>
    <mergeCell ref="PWH25:PWJ25"/>
    <mergeCell ref="PWK25:PWM25"/>
    <mergeCell ref="PWN25:PWP25"/>
    <mergeCell ref="PVG25:PVI25"/>
    <mergeCell ref="PVJ25:PVL25"/>
    <mergeCell ref="PVM25:PVO25"/>
    <mergeCell ref="PVP25:PVR25"/>
    <mergeCell ref="PVS25:PVU25"/>
    <mergeCell ref="PVV25:PVX25"/>
    <mergeCell ref="PYS25:PYU25"/>
    <mergeCell ref="PYV25:PYX25"/>
    <mergeCell ref="PYY25:PZA25"/>
    <mergeCell ref="PZB25:PZD25"/>
    <mergeCell ref="PZE25:PZG25"/>
    <mergeCell ref="PZH25:PZJ25"/>
    <mergeCell ref="PYA25:PYC25"/>
    <mergeCell ref="PYD25:PYF25"/>
    <mergeCell ref="PYG25:PYI25"/>
    <mergeCell ref="PYJ25:PYL25"/>
    <mergeCell ref="PYM25:PYO25"/>
    <mergeCell ref="PYP25:PYR25"/>
    <mergeCell ref="PXI25:PXK25"/>
    <mergeCell ref="PXL25:PXN25"/>
    <mergeCell ref="PXO25:PXQ25"/>
    <mergeCell ref="PXR25:PXT25"/>
    <mergeCell ref="PXU25:PXW25"/>
    <mergeCell ref="PXX25:PXZ25"/>
    <mergeCell ref="QAU25:QAW25"/>
    <mergeCell ref="QAX25:QAZ25"/>
    <mergeCell ref="QBA25:QBC25"/>
    <mergeCell ref="QBD25:QBF25"/>
    <mergeCell ref="QBG25:QBI25"/>
    <mergeCell ref="QBJ25:QBL25"/>
    <mergeCell ref="QAC25:QAE25"/>
    <mergeCell ref="QAF25:QAH25"/>
    <mergeCell ref="QAI25:QAK25"/>
    <mergeCell ref="QAL25:QAN25"/>
    <mergeCell ref="QAO25:QAQ25"/>
    <mergeCell ref="QAR25:QAT25"/>
    <mergeCell ref="PZK25:PZM25"/>
    <mergeCell ref="PZN25:PZP25"/>
    <mergeCell ref="PZQ25:PZS25"/>
    <mergeCell ref="PZT25:PZV25"/>
    <mergeCell ref="PZW25:PZY25"/>
    <mergeCell ref="PZZ25:QAB25"/>
    <mergeCell ref="QCW25:QCY25"/>
    <mergeCell ref="QCZ25:QDB25"/>
    <mergeCell ref="QDC25:QDE25"/>
    <mergeCell ref="QDF25:QDH25"/>
    <mergeCell ref="QDI25:QDK25"/>
    <mergeCell ref="QDL25:QDN25"/>
    <mergeCell ref="QCE25:QCG25"/>
    <mergeCell ref="QCH25:QCJ25"/>
    <mergeCell ref="QCK25:QCM25"/>
    <mergeCell ref="QCN25:QCP25"/>
    <mergeCell ref="QCQ25:QCS25"/>
    <mergeCell ref="QCT25:QCV25"/>
    <mergeCell ref="QBM25:QBO25"/>
    <mergeCell ref="QBP25:QBR25"/>
    <mergeCell ref="QBS25:QBU25"/>
    <mergeCell ref="QBV25:QBX25"/>
    <mergeCell ref="QBY25:QCA25"/>
    <mergeCell ref="QCB25:QCD25"/>
    <mergeCell ref="QEY25:QFA25"/>
    <mergeCell ref="QFB25:QFD25"/>
    <mergeCell ref="QFE25:QFG25"/>
    <mergeCell ref="QFH25:QFJ25"/>
    <mergeCell ref="QFK25:QFM25"/>
    <mergeCell ref="QFN25:QFP25"/>
    <mergeCell ref="QEG25:QEI25"/>
    <mergeCell ref="QEJ25:QEL25"/>
    <mergeCell ref="QEM25:QEO25"/>
    <mergeCell ref="QEP25:QER25"/>
    <mergeCell ref="QES25:QEU25"/>
    <mergeCell ref="QEV25:QEX25"/>
    <mergeCell ref="QDO25:QDQ25"/>
    <mergeCell ref="QDR25:QDT25"/>
    <mergeCell ref="QDU25:QDW25"/>
    <mergeCell ref="QDX25:QDZ25"/>
    <mergeCell ref="QEA25:QEC25"/>
    <mergeCell ref="QED25:QEF25"/>
    <mergeCell ref="QHA25:QHC25"/>
    <mergeCell ref="QHD25:QHF25"/>
    <mergeCell ref="QHG25:QHI25"/>
    <mergeCell ref="QHJ25:QHL25"/>
    <mergeCell ref="QHM25:QHO25"/>
    <mergeCell ref="QHP25:QHR25"/>
    <mergeCell ref="QGI25:QGK25"/>
    <mergeCell ref="QGL25:QGN25"/>
    <mergeCell ref="QGO25:QGQ25"/>
    <mergeCell ref="QGR25:QGT25"/>
    <mergeCell ref="QGU25:QGW25"/>
    <mergeCell ref="QGX25:QGZ25"/>
    <mergeCell ref="QFQ25:QFS25"/>
    <mergeCell ref="QFT25:QFV25"/>
    <mergeCell ref="QFW25:QFY25"/>
    <mergeCell ref="QFZ25:QGB25"/>
    <mergeCell ref="QGC25:QGE25"/>
    <mergeCell ref="QGF25:QGH25"/>
    <mergeCell ref="QJC25:QJE25"/>
    <mergeCell ref="QJF25:QJH25"/>
    <mergeCell ref="QJI25:QJK25"/>
    <mergeCell ref="QJL25:QJN25"/>
    <mergeCell ref="QJO25:QJQ25"/>
    <mergeCell ref="QJR25:QJT25"/>
    <mergeCell ref="QIK25:QIM25"/>
    <mergeCell ref="QIN25:QIP25"/>
    <mergeCell ref="QIQ25:QIS25"/>
    <mergeCell ref="QIT25:QIV25"/>
    <mergeCell ref="QIW25:QIY25"/>
    <mergeCell ref="QIZ25:QJB25"/>
    <mergeCell ref="QHS25:QHU25"/>
    <mergeCell ref="QHV25:QHX25"/>
    <mergeCell ref="QHY25:QIA25"/>
    <mergeCell ref="QIB25:QID25"/>
    <mergeCell ref="QIE25:QIG25"/>
    <mergeCell ref="QIH25:QIJ25"/>
    <mergeCell ref="QLE25:QLG25"/>
    <mergeCell ref="QLH25:QLJ25"/>
    <mergeCell ref="QLK25:QLM25"/>
    <mergeCell ref="QLN25:QLP25"/>
    <mergeCell ref="QLQ25:QLS25"/>
    <mergeCell ref="QLT25:QLV25"/>
    <mergeCell ref="QKM25:QKO25"/>
    <mergeCell ref="QKP25:QKR25"/>
    <mergeCell ref="QKS25:QKU25"/>
    <mergeCell ref="QKV25:QKX25"/>
    <mergeCell ref="QKY25:QLA25"/>
    <mergeCell ref="QLB25:QLD25"/>
    <mergeCell ref="QJU25:QJW25"/>
    <mergeCell ref="QJX25:QJZ25"/>
    <mergeCell ref="QKA25:QKC25"/>
    <mergeCell ref="QKD25:QKF25"/>
    <mergeCell ref="QKG25:QKI25"/>
    <mergeCell ref="QKJ25:QKL25"/>
    <mergeCell ref="QNG25:QNI25"/>
    <mergeCell ref="QNJ25:QNL25"/>
    <mergeCell ref="QNM25:QNO25"/>
    <mergeCell ref="QNP25:QNR25"/>
    <mergeCell ref="QNS25:QNU25"/>
    <mergeCell ref="QNV25:QNX25"/>
    <mergeCell ref="QMO25:QMQ25"/>
    <mergeCell ref="QMR25:QMT25"/>
    <mergeCell ref="QMU25:QMW25"/>
    <mergeCell ref="QMX25:QMZ25"/>
    <mergeCell ref="QNA25:QNC25"/>
    <mergeCell ref="QND25:QNF25"/>
    <mergeCell ref="QLW25:QLY25"/>
    <mergeCell ref="QLZ25:QMB25"/>
    <mergeCell ref="QMC25:QME25"/>
    <mergeCell ref="QMF25:QMH25"/>
    <mergeCell ref="QMI25:QMK25"/>
    <mergeCell ref="QML25:QMN25"/>
    <mergeCell ref="QPI25:QPK25"/>
    <mergeCell ref="QPL25:QPN25"/>
    <mergeCell ref="QPO25:QPQ25"/>
    <mergeCell ref="QPR25:QPT25"/>
    <mergeCell ref="QPU25:QPW25"/>
    <mergeCell ref="QPX25:QPZ25"/>
    <mergeCell ref="QOQ25:QOS25"/>
    <mergeCell ref="QOT25:QOV25"/>
    <mergeCell ref="QOW25:QOY25"/>
    <mergeCell ref="QOZ25:QPB25"/>
    <mergeCell ref="QPC25:QPE25"/>
    <mergeCell ref="QPF25:QPH25"/>
    <mergeCell ref="QNY25:QOA25"/>
    <mergeCell ref="QOB25:QOD25"/>
    <mergeCell ref="QOE25:QOG25"/>
    <mergeCell ref="QOH25:QOJ25"/>
    <mergeCell ref="QOK25:QOM25"/>
    <mergeCell ref="QON25:QOP25"/>
    <mergeCell ref="QRK25:QRM25"/>
    <mergeCell ref="QRN25:QRP25"/>
    <mergeCell ref="QRQ25:QRS25"/>
    <mergeCell ref="QRT25:QRV25"/>
    <mergeCell ref="QRW25:QRY25"/>
    <mergeCell ref="QRZ25:QSB25"/>
    <mergeCell ref="QQS25:QQU25"/>
    <mergeCell ref="QQV25:QQX25"/>
    <mergeCell ref="QQY25:QRA25"/>
    <mergeCell ref="QRB25:QRD25"/>
    <mergeCell ref="QRE25:QRG25"/>
    <mergeCell ref="QRH25:QRJ25"/>
    <mergeCell ref="QQA25:QQC25"/>
    <mergeCell ref="QQD25:QQF25"/>
    <mergeCell ref="QQG25:QQI25"/>
    <mergeCell ref="QQJ25:QQL25"/>
    <mergeCell ref="QQM25:QQO25"/>
    <mergeCell ref="QQP25:QQR25"/>
    <mergeCell ref="QTM25:QTO25"/>
    <mergeCell ref="QTP25:QTR25"/>
    <mergeCell ref="QTS25:QTU25"/>
    <mergeCell ref="QTV25:QTX25"/>
    <mergeCell ref="QTY25:QUA25"/>
    <mergeCell ref="QUB25:QUD25"/>
    <mergeCell ref="QSU25:QSW25"/>
    <mergeCell ref="QSX25:QSZ25"/>
    <mergeCell ref="QTA25:QTC25"/>
    <mergeCell ref="QTD25:QTF25"/>
    <mergeCell ref="QTG25:QTI25"/>
    <mergeCell ref="QTJ25:QTL25"/>
    <mergeCell ref="QSC25:QSE25"/>
    <mergeCell ref="QSF25:QSH25"/>
    <mergeCell ref="QSI25:QSK25"/>
    <mergeCell ref="QSL25:QSN25"/>
    <mergeCell ref="QSO25:QSQ25"/>
    <mergeCell ref="QSR25:QST25"/>
    <mergeCell ref="QVO25:QVQ25"/>
    <mergeCell ref="QVR25:QVT25"/>
    <mergeCell ref="QVU25:QVW25"/>
    <mergeCell ref="QVX25:QVZ25"/>
    <mergeCell ref="QWA25:QWC25"/>
    <mergeCell ref="QWD25:QWF25"/>
    <mergeCell ref="QUW25:QUY25"/>
    <mergeCell ref="QUZ25:QVB25"/>
    <mergeCell ref="QVC25:QVE25"/>
    <mergeCell ref="QVF25:QVH25"/>
    <mergeCell ref="QVI25:QVK25"/>
    <mergeCell ref="QVL25:QVN25"/>
    <mergeCell ref="QUE25:QUG25"/>
    <mergeCell ref="QUH25:QUJ25"/>
    <mergeCell ref="QUK25:QUM25"/>
    <mergeCell ref="QUN25:QUP25"/>
    <mergeCell ref="QUQ25:QUS25"/>
    <mergeCell ref="QUT25:QUV25"/>
    <mergeCell ref="QXQ25:QXS25"/>
    <mergeCell ref="QXT25:QXV25"/>
    <mergeCell ref="QXW25:QXY25"/>
    <mergeCell ref="QXZ25:QYB25"/>
    <mergeCell ref="QYC25:QYE25"/>
    <mergeCell ref="QYF25:QYH25"/>
    <mergeCell ref="QWY25:QXA25"/>
    <mergeCell ref="QXB25:QXD25"/>
    <mergeCell ref="QXE25:QXG25"/>
    <mergeCell ref="QXH25:QXJ25"/>
    <mergeCell ref="QXK25:QXM25"/>
    <mergeCell ref="QXN25:QXP25"/>
    <mergeCell ref="QWG25:QWI25"/>
    <mergeCell ref="QWJ25:QWL25"/>
    <mergeCell ref="QWM25:QWO25"/>
    <mergeCell ref="QWP25:QWR25"/>
    <mergeCell ref="QWS25:QWU25"/>
    <mergeCell ref="QWV25:QWX25"/>
    <mergeCell ref="QZS25:QZU25"/>
    <mergeCell ref="QZV25:QZX25"/>
    <mergeCell ref="QZY25:RAA25"/>
    <mergeCell ref="RAB25:RAD25"/>
    <mergeCell ref="RAE25:RAG25"/>
    <mergeCell ref="RAH25:RAJ25"/>
    <mergeCell ref="QZA25:QZC25"/>
    <mergeCell ref="QZD25:QZF25"/>
    <mergeCell ref="QZG25:QZI25"/>
    <mergeCell ref="QZJ25:QZL25"/>
    <mergeCell ref="QZM25:QZO25"/>
    <mergeCell ref="QZP25:QZR25"/>
    <mergeCell ref="QYI25:QYK25"/>
    <mergeCell ref="QYL25:QYN25"/>
    <mergeCell ref="QYO25:QYQ25"/>
    <mergeCell ref="QYR25:QYT25"/>
    <mergeCell ref="QYU25:QYW25"/>
    <mergeCell ref="QYX25:QYZ25"/>
    <mergeCell ref="RBU25:RBW25"/>
    <mergeCell ref="RBX25:RBZ25"/>
    <mergeCell ref="RCA25:RCC25"/>
    <mergeCell ref="RCD25:RCF25"/>
    <mergeCell ref="RCG25:RCI25"/>
    <mergeCell ref="RCJ25:RCL25"/>
    <mergeCell ref="RBC25:RBE25"/>
    <mergeCell ref="RBF25:RBH25"/>
    <mergeCell ref="RBI25:RBK25"/>
    <mergeCell ref="RBL25:RBN25"/>
    <mergeCell ref="RBO25:RBQ25"/>
    <mergeCell ref="RBR25:RBT25"/>
    <mergeCell ref="RAK25:RAM25"/>
    <mergeCell ref="RAN25:RAP25"/>
    <mergeCell ref="RAQ25:RAS25"/>
    <mergeCell ref="RAT25:RAV25"/>
    <mergeCell ref="RAW25:RAY25"/>
    <mergeCell ref="RAZ25:RBB25"/>
    <mergeCell ref="RDW25:RDY25"/>
    <mergeCell ref="RDZ25:REB25"/>
    <mergeCell ref="REC25:REE25"/>
    <mergeCell ref="REF25:REH25"/>
    <mergeCell ref="REI25:REK25"/>
    <mergeCell ref="REL25:REN25"/>
    <mergeCell ref="RDE25:RDG25"/>
    <mergeCell ref="RDH25:RDJ25"/>
    <mergeCell ref="RDK25:RDM25"/>
    <mergeCell ref="RDN25:RDP25"/>
    <mergeCell ref="RDQ25:RDS25"/>
    <mergeCell ref="RDT25:RDV25"/>
    <mergeCell ref="RCM25:RCO25"/>
    <mergeCell ref="RCP25:RCR25"/>
    <mergeCell ref="RCS25:RCU25"/>
    <mergeCell ref="RCV25:RCX25"/>
    <mergeCell ref="RCY25:RDA25"/>
    <mergeCell ref="RDB25:RDD25"/>
    <mergeCell ref="RFY25:RGA25"/>
    <mergeCell ref="RGB25:RGD25"/>
    <mergeCell ref="RGE25:RGG25"/>
    <mergeCell ref="RGH25:RGJ25"/>
    <mergeCell ref="RGK25:RGM25"/>
    <mergeCell ref="RGN25:RGP25"/>
    <mergeCell ref="RFG25:RFI25"/>
    <mergeCell ref="RFJ25:RFL25"/>
    <mergeCell ref="RFM25:RFO25"/>
    <mergeCell ref="RFP25:RFR25"/>
    <mergeCell ref="RFS25:RFU25"/>
    <mergeCell ref="RFV25:RFX25"/>
    <mergeCell ref="REO25:REQ25"/>
    <mergeCell ref="RER25:RET25"/>
    <mergeCell ref="REU25:REW25"/>
    <mergeCell ref="REX25:REZ25"/>
    <mergeCell ref="RFA25:RFC25"/>
    <mergeCell ref="RFD25:RFF25"/>
    <mergeCell ref="RIA25:RIC25"/>
    <mergeCell ref="RID25:RIF25"/>
    <mergeCell ref="RIG25:RII25"/>
    <mergeCell ref="RIJ25:RIL25"/>
    <mergeCell ref="RIM25:RIO25"/>
    <mergeCell ref="RIP25:RIR25"/>
    <mergeCell ref="RHI25:RHK25"/>
    <mergeCell ref="RHL25:RHN25"/>
    <mergeCell ref="RHO25:RHQ25"/>
    <mergeCell ref="RHR25:RHT25"/>
    <mergeCell ref="RHU25:RHW25"/>
    <mergeCell ref="RHX25:RHZ25"/>
    <mergeCell ref="RGQ25:RGS25"/>
    <mergeCell ref="RGT25:RGV25"/>
    <mergeCell ref="RGW25:RGY25"/>
    <mergeCell ref="RGZ25:RHB25"/>
    <mergeCell ref="RHC25:RHE25"/>
    <mergeCell ref="RHF25:RHH25"/>
    <mergeCell ref="RKC25:RKE25"/>
    <mergeCell ref="RKF25:RKH25"/>
    <mergeCell ref="RKI25:RKK25"/>
    <mergeCell ref="RKL25:RKN25"/>
    <mergeCell ref="RKO25:RKQ25"/>
    <mergeCell ref="RKR25:RKT25"/>
    <mergeCell ref="RJK25:RJM25"/>
    <mergeCell ref="RJN25:RJP25"/>
    <mergeCell ref="RJQ25:RJS25"/>
    <mergeCell ref="RJT25:RJV25"/>
    <mergeCell ref="RJW25:RJY25"/>
    <mergeCell ref="RJZ25:RKB25"/>
    <mergeCell ref="RIS25:RIU25"/>
    <mergeCell ref="RIV25:RIX25"/>
    <mergeCell ref="RIY25:RJA25"/>
    <mergeCell ref="RJB25:RJD25"/>
    <mergeCell ref="RJE25:RJG25"/>
    <mergeCell ref="RJH25:RJJ25"/>
    <mergeCell ref="RME25:RMG25"/>
    <mergeCell ref="RMH25:RMJ25"/>
    <mergeCell ref="RMK25:RMM25"/>
    <mergeCell ref="RMN25:RMP25"/>
    <mergeCell ref="RMQ25:RMS25"/>
    <mergeCell ref="RMT25:RMV25"/>
    <mergeCell ref="RLM25:RLO25"/>
    <mergeCell ref="RLP25:RLR25"/>
    <mergeCell ref="RLS25:RLU25"/>
    <mergeCell ref="RLV25:RLX25"/>
    <mergeCell ref="RLY25:RMA25"/>
    <mergeCell ref="RMB25:RMD25"/>
    <mergeCell ref="RKU25:RKW25"/>
    <mergeCell ref="RKX25:RKZ25"/>
    <mergeCell ref="RLA25:RLC25"/>
    <mergeCell ref="RLD25:RLF25"/>
    <mergeCell ref="RLG25:RLI25"/>
    <mergeCell ref="RLJ25:RLL25"/>
    <mergeCell ref="ROG25:ROI25"/>
    <mergeCell ref="ROJ25:ROL25"/>
    <mergeCell ref="ROM25:ROO25"/>
    <mergeCell ref="ROP25:ROR25"/>
    <mergeCell ref="ROS25:ROU25"/>
    <mergeCell ref="ROV25:ROX25"/>
    <mergeCell ref="RNO25:RNQ25"/>
    <mergeCell ref="RNR25:RNT25"/>
    <mergeCell ref="RNU25:RNW25"/>
    <mergeCell ref="RNX25:RNZ25"/>
    <mergeCell ref="ROA25:ROC25"/>
    <mergeCell ref="ROD25:ROF25"/>
    <mergeCell ref="RMW25:RMY25"/>
    <mergeCell ref="RMZ25:RNB25"/>
    <mergeCell ref="RNC25:RNE25"/>
    <mergeCell ref="RNF25:RNH25"/>
    <mergeCell ref="RNI25:RNK25"/>
    <mergeCell ref="RNL25:RNN25"/>
    <mergeCell ref="RQI25:RQK25"/>
    <mergeCell ref="RQL25:RQN25"/>
    <mergeCell ref="RQO25:RQQ25"/>
    <mergeCell ref="RQR25:RQT25"/>
    <mergeCell ref="RQU25:RQW25"/>
    <mergeCell ref="RQX25:RQZ25"/>
    <mergeCell ref="RPQ25:RPS25"/>
    <mergeCell ref="RPT25:RPV25"/>
    <mergeCell ref="RPW25:RPY25"/>
    <mergeCell ref="RPZ25:RQB25"/>
    <mergeCell ref="RQC25:RQE25"/>
    <mergeCell ref="RQF25:RQH25"/>
    <mergeCell ref="ROY25:RPA25"/>
    <mergeCell ref="RPB25:RPD25"/>
    <mergeCell ref="RPE25:RPG25"/>
    <mergeCell ref="RPH25:RPJ25"/>
    <mergeCell ref="RPK25:RPM25"/>
    <mergeCell ref="RPN25:RPP25"/>
    <mergeCell ref="RSK25:RSM25"/>
    <mergeCell ref="RSN25:RSP25"/>
    <mergeCell ref="RSQ25:RSS25"/>
    <mergeCell ref="RST25:RSV25"/>
    <mergeCell ref="RSW25:RSY25"/>
    <mergeCell ref="RSZ25:RTB25"/>
    <mergeCell ref="RRS25:RRU25"/>
    <mergeCell ref="RRV25:RRX25"/>
    <mergeCell ref="RRY25:RSA25"/>
    <mergeCell ref="RSB25:RSD25"/>
    <mergeCell ref="RSE25:RSG25"/>
    <mergeCell ref="RSH25:RSJ25"/>
    <mergeCell ref="RRA25:RRC25"/>
    <mergeCell ref="RRD25:RRF25"/>
    <mergeCell ref="RRG25:RRI25"/>
    <mergeCell ref="RRJ25:RRL25"/>
    <mergeCell ref="RRM25:RRO25"/>
    <mergeCell ref="RRP25:RRR25"/>
    <mergeCell ref="RUM25:RUO25"/>
    <mergeCell ref="RUP25:RUR25"/>
    <mergeCell ref="RUS25:RUU25"/>
    <mergeCell ref="RUV25:RUX25"/>
    <mergeCell ref="RUY25:RVA25"/>
    <mergeCell ref="RVB25:RVD25"/>
    <mergeCell ref="RTU25:RTW25"/>
    <mergeCell ref="RTX25:RTZ25"/>
    <mergeCell ref="RUA25:RUC25"/>
    <mergeCell ref="RUD25:RUF25"/>
    <mergeCell ref="RUG25:RUI25"/>
    <mergeCell ref="RUJ25:RUL25"/>
    <mergeCell ref="RTC25:RTE25"/>
    <mergeCell ref="RTF25:RTH25"/>
    <mergeCell ref="RTI25:RTK25"/>
    <mergeCell ref="RTL25:RTN25"/>
    <mergeCell ref="RTO25:RTQ25"/>
    <mergeCell ref="RTR25:RTT25"/>
    <mergeCell ref="RWO25:RWQ25"/>
    <mergeCell ref="RWR25:RWT25"/>
    <mergeCell ref="RWU25:RWW25"/>
    <mergeCell ref="RWX25:RWZ25"/>
    <mergeCell ref="RXA25:RXC25"/>
    <mergeCell ref="RXD25:RXF25"/>
    <mergeCell ref="RVW25:RVY25"/>
    <mergeCell ref="RVZ25:RWB25"/>
    <mergeCell ref="RWC25:RWE25"/>
    <mergeCell ref="RWF25:RWH25"/>
    <mergeCell ref="RWI25:RWK25"/>
    <mergeCell ref="RWL25:RWN25"/>
    <mergeCell ref="RVE25:RVG25"/>
    <mergeCell ref="RVH25:RVJ25"/>
    <mergeCell ref="RVK25:RVM25"/>
    <mergeCell ref="RVN25:RVP25"/>
    <mergeCell ref="RVQ25:RVS25"/>
    <mergeCell ref="RVT25:RVV25"/>
    <mergeCell ref="RYQ25:RYS25"/>
    <mergeCell ref="RYT25:RYV25"/>
    <mergeCell ref="RYW25:RYY25"/>
    <mergeCell ref="RYZ25:RZB25"/>
    <mergeCell ref="RZC25:RZE25"/>
    <mergeCell ref="RZF25:RZH25"/>
    <mergeCell ref="RXY25:RYA25"/>
    <mergeCell ref="RYB25:RYD25"/>
    <mergeCell ref="RYE25:RYG25"/>
    <mergeCell ref="RYH25:RYJ25"/>
    <mergeCell ref="RYK25:RYM25"/>
    <mergeCell ref="RYN25:RYP25"/>
    <mergeCell ref="RXG25:RXI25"/>
    <mergeCell ref="RXJ25:RXL25"/>
    <mergeCell ref="RXM25:RXO25"/>
    <mergeCell ref="RXP25:RXR25"/>
    <mergeCell ref="RXS25:RXU25"/>
    <mergeCell ref="RXV25:RXX25"/>
    <mergeCell ref="SAS25:SAU25"/>
    <mergeCell ref="SAV25:SAX25"/>
    <mergeCell ref="SAY25:SBA25"/>
    <mergeCell ref="SBB25:SBD25"/>
    <mergeCell ref="SBE25:SBG25"/>
    <mergeCell ref="SBH25:SBJ25"/>
    <mergeCell ref="SAA25:SAC25"/>
    <mergeCell ref="SAD25:SAF25"/>
    <mergeCell ref="SAG25:SAI25"/>
    <mergeCell ref="SAJ25:SAL25"/>
    <mergeCell ref="SAM25:SAO25"/>
    <mergeCell ref="SAP25:SAR25"/>
    <mergeCell ref="RZI25:RZK25"/>
    <mergeCell ref="RZL25:RZN25"/>
    <mergeCell ref="RZO25:RZQ25"/>
    <mergeCell ref="RZR25:RZT25"/>
    <mergeCell ref="RZU25:RZW25"/>
    <mergeCell ref="RZX25:RZZ25"/>
    <mergeCell ref="SCU25:SCW25"/>
    <mergeCell ref="SCX25:SCZ25"/>
    <mergeCell ref="SDA25:SDC25"/>
    <mergeCell ref="SDD25:SDF25"/>
    <mergeCell ref="SDG25:SDI25"/>
    <mergeCell ref="SDJ25:SDL25"/>
    <mergeCell ref="SCC25:SCE25"/>
    <mergeCell ref="SCF25:SCH25"/>
    <mergeCell ref="SCI25:SCK25"/>
    <mergeCell ref="SCL25:SCN25"/>
    <mergeCell ref="SCO25:SCQ25"/>
    <mergeCell ref="SCR25:SCT25"/>
    <mergeCell ref="SBK25:SBM25"/>
    <mergeCell ref="SBN25:SBP25"/>
    <mergeCell ref="SBQ25:SBS25"/>
    <mergeCell ref="SBT25:SBV25"/>
    <mergeCell ref="SBW25:SBY25"/>
    <mergeCell ref="SBZ25:SCB25"/>
    <mergeCell ref="SEW25:SEY25"/>
    <mergeCell ref="SEZ25:SFB25"/>
    <mergeCell ref="SFC25:SFE25"/>
    <mergeCell ref="SFF25:SFH25"/>
    <mergeCell ref="SFI25:SFK25"/>
    <mergeCell ref="SFL25:SFN25"/>
    <mergeCell ref="SEE25:SEG25"/>
    <mergeCell ref="SEH25:SEJ25"/>
    <mergeCell ref="SEK25:SEM25"/>
    <mergeCell ref="SEN25:SEP25"/>
    <mergeCell ref="SEQ25:SES25"/>
    <mergeCell ref="SET25:SEV25"/>
    <mergeCell ref="SDM25:SDO25"/>
    <mergeCell ref="SDP25:SDR25"/>
    <mergeCell ref="SDS25:SDU25"/>
    <mergeCell ref="SDV25:SDX25"/>
    <mergeCell ref="SDY25:SEA25"/>
    <mergeCell ref="SEB25:SED25"/>
    <mergeCell ref="SGY25:SHA25"/>
    <mergeCell ref="SHB25:SHD25"/>
    <mergeCell ref="SHE25:SHG25"/>
    <mergeCell ref="SHH25:SHJ25"/>
    <mergeCell ref="SHK25:SHM25"/>
    <mergeCell ref="SHN25:SHP25"/>
    <mergeCell ref="SGG25:SGI25"/>
    <mergeCell ref="SGJ25:SGL25"/>
    <mergeCell ref="SGM25:SGO25"/>
    <mergeCell ref="SGP25:SGR25"/>
    <mergeCell ref="SGS25:SGU25"/>
    <mergeCell ref="SGV25:SGX25"/>
    <mergeCell ref="SFO25:SFQ25"/>
    <mergeCell ref="SFR25:SFT25"/>
    <mergeCell ref="SFU25:SFW25"/>
    <mergeCell ref="SFX25:SFZ25"/>
    <mergeCell ref="SGA25:SGC25"/>
    <mergeCell ref="SGD25:SGF25"/>
    <mergeCell ref="SJA25:SJC25"/>
    <mergeCell ref="SJD25:SJF25"/>
    <mergeCell ref="SJG25:SJI25"/>
    <mergeCell ref="SJJ25:SJL25"/>
    <mergeCell ref="SJM25:SJO25"/>
    <mergeCell ref="SJP25:SJR25"/>
    <mergeCell ref="SII25:SIK25"/>
    <mergeCell ref="SIL25:SIN25"/>
    <mergeCell ref="SIO25:SIQ25"/>
    <mergeCell ref="SIR25:SIT25"/>
    <mergeCell ref="SIU25:SIW25"/>
    <mergeCell ref="SIX25:SIZ25"/>
    <mergeCell ref="SHQ25:SHS25"/>
    <mergeCell ref="SHT25:SHV25"/>
    <mergeCell ref="SHW25:SHY25"/>
    <mergeCell ref="SHZ25:SIB25"/>
    <mergeCell ref="SIC25:SIE25"/>
    <mergeCell ref="SIF25:SIH25"/>
    <mergeCell ref="SLC25:SLE25"/>
    <mergeCell ref="SLF25:SLH25"/>
    <mergeCell ref="SLI25:SLK25"/>
    <mergeCell ref="SLL25:SLN25"/>
    <mergeCell ref="SLO25:SLQ25"/>
    <mergeCell ref="SLR25:SLT25"/>
    <mergeCell ref="SKK25:SKM25"/>
    <mergeCell ref="SKN25:SKP25"/>
    <mergeCell ref="SKQ25:SKS25"/>
    <mergeCell ref="SKT25:SKV25"/>
    <mergeCell ref="SKW25:SKY25"/>
    <mergeCell ref="SKZ25:SLB25"/>
    <mergeCell ref="SJS25:SJU25"/>
    <mergeCell ref="SJV25:SJX25"/>
    <mergeCell ref="SJY25:SKA25"/>
    <mergeCell ref="SKB25:SKD25"/>
    <mergeCell ref="SKE25:SKG25"/>
    <mergeCell ref="SKH25:SKJ25"/>
    <mergeCell ref="SNE25:SNG25"/>
    <mergeCell ref="SNH25:SNJ25"/>
    <mergeCell ref="SNK25:SNM25"/>
    <mergeCell ref="SNN25:SNP25"/>
    <mergeCell ref="SNQ25:SNS25"/>
    <mergeCell ref="SNT25:SNV25"/>
    <mergeCell ref="SMM25:SMO25"/>
    <mergeCell ref="SMP25:SMR25"/>
    <mergeCell ref="SMS25:SMU25"/>
    <mergeCell ref="SMV25:SMX25"/>
    <mergeCell ref="SMY25:SNA25"/>
    <mergeCell ref="SNB25:SND25"/>
    <mergeCell ref="SLU25:SLW25"/>
    <mergeCell ref="SLX25:SLZ25"/>
    <mergeCell ref="SMA25:SMC25"/>
    <mergeCell ref="SMD25:SMF25"/>
    <mergeCell ref="SMG25:SMI25"/>
    <mergeCell ref="SMJ25:SML25"/>
    <mergeCell ref="SPG25:SPI25"/>
    <mergeCell ref="SPJ25:SPL25"/>
    <mergeCell ref="SPM25:SPO25"/>
    <mergeCell ref="SPP25:SPR25"/>
    <mergeCell ref="SPS25:SPU25"/>
    <mergeCell ref="SPV25:SPX25"/>
    <mergeCell ref="SOO25:SOQ25"/>
    <mergeCell ref="SOR25:SOT25"/>
    <mergeCell ref="SOU25:SOW25"/>
    <mergeCell ref="SOX25:SOZ25"/>
    <mergeCell ref="SPA25:SPC25"/>
    <mergeCell ref="SPD25:SPF25"/>
    <mergeCell ref="SNW25:SNY25"/>
    <mergeCell ref="SNZ25:SOB25"/>
    <mergeCell ref="SOC25:SOE25"/>
    <mergeCell ref="SOF25:SOH25"/>
    <mergeCell ref="SOI25:SOK25"/>
    <mergeCell ref="SOL25:SON25"/>
    <mergeCell ref="SRI25:SRK25"/>
    <mergeCell ref="SRL25:SRN25"/>
    <mergeCell ref="SRO25:SRQ25"/>
    <mergeCell ref="SRR25:SRT25"/>
    <mergeCell ref="SRU25:SRW25"/>
    <mergeCell ref="SRX25:SRZ25"/>
    <mergeCell ref="SQQ25:SQS25"/>
    <mergeCell ref="SQT25:SQV25"/>
    <mergeCell ref="SQW25:SQY25"/>
    <mergeCell ref="SQZ25:SRB25"/>
    <mergeCell ref="SRC25:SRE25"/>
    <mergeCell ref="SRF25:SRH25"/>
    <mergeCell ref="SPY25:SQA25"/>
    <mergeCell ref="SQB25:SQD25"/>
    <mergeCell ref="SQE25:SQG25"/>
    <mergeCell ref="SQH25:SQJ25"/>
    <mergeCell ref="SQK25:SQM25"/>
    <mergeCell ref="SQN25:SQP25"/>
    <mergeCell ref="STK25:STM25"/>
    <mergeCell ref="STN25:STP25"/>
    <mergeCell ref="STQ25:STS25"/>
    <mergeCell ref="STT25:STV25"/>
    <mergeCell ref="STW25:STY25"/>
    <mergeCell ref="STZ25:SUB25"/>
    <mergeCell ref="SSS25:SSU25"/>
    <mergeCell ref="SSV25:SSX25"/>
    <mergeCell ref="SSY25:STA25"/>
    <mergeCell ref="STB25:STD25"/>
    <mergeCell ref="STE25:STG25"/>
    <mergeCell ref="STH25:STJ25"/>
    <mergeCell ref="SSA25:SSC25"/>
    <mergeCell ref="SSD25:SSF25"/>
    <mergeCell ref="SSG25:SSI25"/>
    <mergeCell ref="SSJ25:SSL25"/>
    <mergeCell ref="SSM25:SSO25"/>
    <mergeCell ref="SSP25:SSR25"/>
    <mergeCell ref="SVM25:SVO25"/>
    <mergeCell ref="SVP25:SVR25"/>
    <mergeCell ref="SVS25:SVU25"/>
    <mergeCell ref="SVV25:SVX25"/>
    <mergeCell ref="SVY25:SWA25"/>
    <mergeCell ref="SWB25:SWD25"/>
    <mergeCell ref="SUU25:SUW25"/>
    <mergeCell ref="SUX25:SUZ25"/>
    <mergeCell ref="SVA25:SVC25"/>
    <mergeCell ref="SVD25:SVF25"/>
    <mergeCell ref="SVG25:SVI25"/>
    <mergeCell ref="SVJ25:SVL25"/>
    <mergeCell ref="SUC25:SUE25"/>
    <mergeCell ref="SUF25:SUH25"/>
    <mergeCell ref="SUI25:SUK25"/>
    <mergeCell ref="SUL25:SUN25"/>
    <mergeCell ref="SUO25:SUQ25"/>
    <mergeCell ref="SUR25:SUT25"/>
    <mergeCell ref="SXO25:SXQ25"/>
    <mergeCell ref="SXR25:SXT25"/>
    <mergeCell ref="SXU25:SXW25"/>
    <mergeCell ref="SXX25:SXZ25"/>
    <mergeCell ref="SYA25:SYC25"/>
    <mergeCell ref="SYD25:SYF25"/>
    <mergeCell ref="SWW25:SWY25"/>
    <mergeCell ref="SWZ25:SXB25"/>
    <mergeCell ref="SXC25:SXE25"/>
    <mergeCell ref="SXF25:SXH25"/>
    <mergeCell ref="SXI25:SXK25"/>
    <mergeCell ref="SXL25:SXN25"/>
    <mergeCell ref="SWE25:SWG25"/>
    <mergeCell ref="SWH25:SWJ25"/>
    <mergeCell ref="SWK25:SWM25"/>
    <mergeCell ref="SWN25:SWP25"/>
    <mergeCell ref="SWQ25:SWS25"/>
    <mergeCell ref="SWT25:SWV25"/>
    <mergeCell ref="SZQ25:SZS25"/>
    <mergeCell ref="SZT25:SZV25"/>
    <mergeCell ref="SZW25:SZY25"/>
    <mergeCell ref="SZZ25:TAB25"/>
    <mergeCell ref="TAC25:TAE25"/>
    <mergeCell ref="TAF25:TAH25"/>
    <mergeCell ref="SYY25:SZA25"/>
    <mergeCell ref="SZB25:SZD25"/>
    <mergeCell ref="SZE25:SZG25"/>
    <mergeCell ref="SZH25:SZJ25"/>
    <mergeCell ref="SZK25:SZM25"/>
    <mergeCell ref="SZN25:SZP25"/>
    <mergeCell ref="SYG25:SYI25"/>
    <mergeCell ref="SYJ25:SYL25"/>
    <mergeCell ref="SYM25:SYO25"/>
    <mergeCell ref="SYP25:SYR25"/>
    <mergeCell ref="SYS25:SYU25"/>
    <mergeCell ref="SYV25:SYX25"/>
    <mergeCell ref="TBS25:TBU25"/>
    <mergeCell ref="TBV25:TBX25"/>
    <mergeCell ref="TBY25:TCA25"/>
    <mergeCell ref="TCB25:TCD25"/>
    <mergeCell ref="TCE25:TCG25"/>
    <mergeCell ref="TCH25:TCJ25"/>
    <mergeCell ref="TBA25:TBC25"/>
    <mergeCell ref="TBD25:TBF25"/>
    <mergeCell ref="TBG25:TBI25"/>
    <mergeCell ref="TBJ25:TBL25"/>
    <mergeCell ref="TBM25:TBO25"/>
    <mergeCell ref="TBP25:TBR25"/>
    <mergeCell ref="TAI25:TAK25"/>
    <mergeCell ref="TAL25:TAN25"/>
    <mergeCell ref="TAO25:TAQ25"/>
    <mergeCell ref="TAR25:TAT25"/>
    <mergeCell ref="TAU25:TAW25"/>
    <mergeCell ref="TAX25:TAZ25"/>
    <mergeCell ref="TDU25:TDW25"/>
    <mergeCell ref="TDX25:TDZ25"/>
    <mergeCell ref="TEA25:TEC25"/>
    <mergeCell ref="TED25:TEF25"/>
    <mergeCell ref="TEG25:TEI25"/>
    <mergeCell ref="TEJ25:TEL25"/>
    <mergeCell ref="TDC25:TDE25"/>
    <mergeCell ref="TDF25:TDH25"/>
    <mergeCell ref="TDI25:TDK25"/>
    <mergeCell ref="TDL25:TDN25"/>
    <mergeCell ref="TDO25:TDQ25"/>
    <mergeCell ref="TDR25:TDT25"/>
    <mergeCell ref="TCK25:TCM25"/>
    <mergeCell ref="TCN25:TCP25"/>
    <mergeCell ref="TCQ25:TCS25"/>
    <mergeCell ref="TCT25:TCV25"/>
    <mergeCell ref="TCW25:TCY25"/>
    <mergeCell ref="TCZ25:TDB25"/>
    <mergeCell ref="TFW25:TFY25"/>
    <mergeCell ref="TFZ25:TGB25"/>
    <mergeCell ref="TGC25:TGE25"/>
    <mergeCell ref="TGF25:TGH25"/>
    <mergeCell ref="TGI25:TGK25"/>
    <mergeCell ref="TGL25:TGN25"/>
    <mergeCell ref="TFE25:TFG25"/>
    <mergeCell ref="TFH25:TFJ25"/>
    <mergeCell ref="TFK25:TFM25"/>
    <mergeCell ref="TFN25:TFP25"/>
    <mergeCell ref="TFQ25:TFS25"/>
    <mergeCell ref="TFT25:TFV25"/>
    <mergeCell ref="TEM25:TEO25"/>
    <mergeCell ref="TEP25:TER25"/>
    <mergeCell ref="TES25:TEU25"/>
    <mergeCell ref="TEV25:TEX25"/>
    <mergeCell ref="TEY25:TFA25"/>
    <mergeCell ref="TFB25:TFD25"/>
    <mergeCell ref="THY25:TIA25"/>
    <mergeCell ref="TIB25:TID25"/>
    <mergeCell ref="TIE25:TIG25"/>
    <mergeCell ref="TIH25:TIJ25"/>
    <mergeCell ref="TIK25:TIM25"/>
    <mergeCell ref="TIN25:TIP25"/>
    <mergeCell ref="THG25:THI25"/>
    <mergeCell ref="THJ25:THL25"/>
    <mergeCell ref="THM25:THO25"/>
    <mergeCell ref="THP25:THR25"/>
    <mergeCell ref="THS25:THU25"/>
    <mergeCell ref="THV25:THX25"/>
    <mergeCell ref="TGO25:TGQ25"/>
    <mergeCell ref="TGR25:TGT25"/>
    <mergeCell ref="TGU25:TGW25"/>
    <mergeCell ref="TGX25:TGZ25"/>
    <mergeCell ref="THA25:THC25"/>
    <mergeCell ref="THD25:THF25"/>
    <mergeCell ref="TKA25:TKC25"/>
    <mergeCell ref="TKD25:TKF25"/>
    <mergeCell ref="TKG25:TKI25"/>
    <mergeCell ref="TKJ25:TKL25"/>
    <mergeCell ref="TKM25:TKO25"/>
    <mergeCell ref="TKP25:TKR25"/>
    <mergeCell ref="TJI25:TJK25"/>
    <mergeCell ref="TJL25:TJN25"/>
    <mergeCell ref="TJO25:TJQ25"/>
    <mergeCell ref="TJR25:TJT25"/>
    <mergeCell ref="TJU25:TJW25"/>
    <mergeCell ref="TJX25:TJZ25"/>
    <mergeCell ref="TIQ25:TIS25"/>
    <mergeCell ref="TIT25:TIV25"/>
    <mergeCell ref="TIW25:TIY25"/>
    <mergeCell ref="TIZ25:TJB25"/>
    <mergeCell ref="TJC25:TJE25"/>
    <mergeCell ref="TJF25:TJH25"/>
    <mergeCell ref="TMC25:TME25"/>
    <mergeCell ref="TMF25:TMH25"/>
    <mergeCell ref="TMI25:TMK25"/>
    <mergeCell ref="TML25:TMN25"/>
    <mergeCell ref="TMO25:TMQ25"/>
    <mergeCell ref="TMR25:TMT25"/>
    <mergeCell ref="TLK25:TLM25"/>
    <mergeCell ref="TLN25:TLP25"/>
    <mergeCell ref="TLQ25:TLS25"/>
    <mergeCell ref="TLT25:TLV25"/>
    <mergeCell ref="TLW25:TLY25"/>
    <mergeCell ref="TLZ25:TMB25"/>
    <mergeCell ref="TKS25:TKU25"/>
    <mergeCell ref="TKV25:TKX25"/>
    <mergeCell ref="TKY25:TLA25"/>
    <mergeCell ref="TLB25:TLD25"/>
    <mergeCell ref="TLE25:TLG25"/>
    <mergeCell ref="TLH25:TLJ25"/>
    <mergeCell ref="TOE25:TOG25"/>
    <mergeCell ref="TOH25:TOJ25"/>
    <mergeCell ref="TOK25:TOM25"/>
    <mergeCell ref="TON25:TOP25"/>
    <mergeCell ref="TOQ25:TOS25"/>
    <mergeCell ref="TOT25:TOV25"/>
    <mergeCell ref="TNM25:TNO25"/>
    <mergeCell ref="TNP25:TNR25"/>
    <mergeCell ref="TNS25:TNU25"/>
    <mergeCell ref="TNV25:TNX25"/>
    <mergeCell ref="TNY25:TOA25"/>
    <mergeCell ref="TOB25:TOD25"/>
    <mergeCell ref="TMU25:TMW25"/>
    <mergeCell ref="TMX25:TMZ25"/>
    <mergeCell ref="TNA25:TNC25"/>
    <mergeCell ref="TND25:TNF25"/>
    <mergeCell ref="TNG25:TNI25"/>
    <mergeCell ref="TNJ25:TNL25"/>
    <mergeCell ref="TQG25:TQI25"/>
    <mergeCell ref="TQJ25:TQL25"/>
    <mergeCell ref="TQM25:TQO25"/>
    <mergeCell ref="TQP25:TQR25"/>
    <mergeCell ref="TQS25:TQU25"/>
    <mergeCell ref="TQV25:TQX25"/>
    <mergeCell ref="TPO25:TPQ25"/>
    <mergeCell ref="TPR25:TPT25"/>
    <mergeCell ref="TPU25:TPW25"/>
    <mergeCell ref="TPX25:TPZ25"/>
    <mergeCell ref="TQA25:TQC25"/>
    <mergeCell ref="TQD25:TQF25"/>
    <mergeCell ref="TOW25:TOY25"/>
    <mergeCell ref="TOZ25:TPB25"/>
    <mergeCell ref="TPC25:TPE25"/>
    <mergeCell ref="TPF25:TPH25"/>
    <mergeCell ref="TPI25:TPK25"/>
    <mergeCell ref="TPL25:TPN25"/>
    <mergeCell ref="TSI25:TSK25"/>
    <mergeCell ref="TSL25:TSN25"/>
    <mergeCell ref="TSO25:TSQ25"/>
    <mergeCell ref="TSR25:TST25"/>
    <mergeCell ref="TSU25:TSW25"/>
    <mergeCell ref="TSX25:TSZ25"/>
    <mergeCell ref="TRQ25:TRS25"/>
    <mergeCell ref="TRT25:TRV25"/>
    <mergeCell ref="TRW25:TRY25"/>
    <mergeCell ref="TRZ25:TSB25"/>
    <mergeCell ref="TSC25:TSE25"/>
    <mergeCell ref="TSF25:TSH25"/>
    <mergeCell ref="TQY25:TRA25"/>
    <mergeCell ref="TRB25:TRD25"/>
    <mergeCell ref="TRE25:TRG25"/>
    <mergeCell ref="TRH25:TRJ25"/>
    <mergeCell ref="TRK25:TRM25"/>
    <mergeCell ref="TRN25:TRP25"/>
    <mergeCell ref="TUK25:TUM25"/>
    <mergeCell ref="TUN25:TUP25"/>
    <mergeCell ref="TUQ25:TUS25"/>
    <mergeCell ref="TUT25:TUV25"/>
    <mergeCell ref="TUW25:TUY25"/>
    <mergeCell ref="TUZ25:TVB25"/>
    <mergeCell ref="TTS25:TTU25"/>
    <mergeCell ref="TTV25:TTX25"/>
    <mergeCell ref="TTY25:TUA25"/>
    <mergeCell ref="TUB25:TUD25"/>
    <mergeCell ref="TUE25:TUG25"/>
    <mergeCell ref="TUH25:TUJ25"/>
    <mergeCell ref="TTA25:TTC25"/>
    <mergeCell ref="TTD25:TTF25"/>
    <mergeCell ref="TTG25:TTI25"/>
    <mergeCell ref="TTJ25:TTL25"/>
    <mergeCell ref="TTM25:TTO25"/>
    <mergeCell ref="TTP25:TTR25"/>
    <mergeCell ref="TWM25:TWO25"/>
    <mergeCell ref="TWP25:TWR25"/>
    <mergeCell ref="TWS25:TWU25"/>
    <mergeCell ref="TWV25:TWX25"/>
    <mergeCell ref="TWY25:TXA25"/>
    <mergeCell ref="TXB25:TXD25"/>
    <mergeCell ref="TVU25:TVW25"/>
    <mergeCell ref="TVX25:TVZ25"/>
    <mergeCell ref="TWA25:TWC25"/>
    <mergeCell ref="TWD25:TWF25"/>
    <mergeCell ref="TWG25:TWI25"/>
    <mergeCell ref="TWJ25:TWL25"/>
    <mergeCell ref="TVC25:TVE25"/>
    <mergeCell ref="TVF25:TVH25"/>
    <mergeCell ref="TVI25:TVK25"/>
    <mergeCell ref="TVL25:TVN25"/>
    <mergeCell ref="TVO25:TVQ25"/>
    <mergeCell ref="TVR25:TVT25"/>
    <mergeCell ref="TYO25:TYQ25"/>
    <mergeCell ref="TYR25:TYT25"/>
    <mergeCell ref="TYU25:TYW25"/>
    <mergeCell ref="TYX25:TYZ25"/>
    <mergeCell ref="TZA25:TZC25"/>
    <mergeCell ref="TZD25:TZF25"/>
    <mergeCell ref="TXW25:TXY25"/>
    <mergeCell ref="TXZ25:TYB25"/>
    <mergeCell ref="TYC25:TYE25"/>
    <mergeCell ref="TYF25:TYH25"/>
    <mergeCell ref="TYI25:TYK25"/>
    <mergeCell ref="TYL25:TYN25"/>
    <mergeCell ref="TXE25:TXG25"/>
    <mergeCell ref="TXH25:TXJ25"/>
    <mergeCell ref="TXK25:TXM25"/>
    <mergeCell ref="TXN25:TXP25"/>
    <mergeCell ref="TXQ25:TXS25"/>
    <mergeCell ref="TXT25:TXV25"/>
    <mergeCell ref="UAQ25:UAS25"/>
    <mergeCell ref="UAT25:UAV25"/>
    <mergeCell ref="UAW25:UAY25"/>
    <mergeCell ref="UAZ25:UBB25"/>
    <mergeCell ref="UBC25:UBE25"/>
    <mergeCell ref="UBF25:UBH25"/>
    <mergeCell ref="TZY25:UAA25"/>
    <mergeCell ref="UAB25:UAD25"/>
    <mergeCell ref="UAE25:UAG25"/>
    <mergeCell ref="UAH25:UAJ25"/>
    <mergeCell ref="UAK25:UAM25"/>
    <mergeCell ref="UAN25:UAP25"/>
    <mergeCell ref="TZG25:TZI25"/>
    <mergeCell ref="TZJ25:TZL25"/>
    <mergeCell ref="TZM25:TZO25"/>
    <mergeCell ref="TZP25:TZR25"/>
    <mergeCell ref="TZS25:TZU25"/>
    <mergeCell ref="TZV25:TZX25"/>
    <mergeCell ref="UCS25:UCU25"/>
    <mergeCell ref="UCV25:UCX25"/>
    <mergeCell ref="UCY25:UDA25"/>
    <mergeCell ref="UDB25:UDD25"/>
    <mergeCell ref="UDE25:UDG25"/>
    <mergeCell ref="UDH25:UDJ25"/>
    <mergeCell ref="UCA25:UCC25"/>
    <mergeCell ref="UCD25:UCF25"/>
    <mergeCell ref="UCG25:UCI25"/>
    <mergeCell ref="UCJ25:UCL25"/>
    <mergeCell ref="UCM25:UCO25"/>
    <mergeCell ref="UCP25:UCR25"/>
    <mergeCell ref="UBI25:UBK25"/>
    <mergeCell ref="UBL25:UBN25"/>
    <mergeCell ref="UBO25:UBQ25"/>
    <mergeCell ref="UBR25:UBT25"/>
    <mergeCell ref="UBU25:UBW25"/>
    <mergeCell ref="UBX25:UBZ25"/>
    <mergeCell ref="UEU25:UEW25"/>
    <mergeCell ref="UEX25:UEZ25"/>
    <mergeCell ref="UFA25:UFC25"/>
    <mergeCell ref="UFD25:UFF25"/>
    <mergeCell ref="UFG25:UFI25"/>
    <mergeCell ref="UFJ25:UFL25"/>
    <mergeCell ref="UEC25:UEE25"/>
    <mergeCell ref="UEF25:UEH25"/>
    <mergeCell ref="UEI25:UEK25"/>
    <mergeCell ref="UEL25:UEN25"/>
    <mergeCell ref="UEO25:UEQ25"/>
    <mergeCell ref="UER25:UET25"/>
    <mergeCell ref="UDK25:UDM25"/>
    <mergeCell ref="UDN25:UDP25"/>
    <mergeCell ref="UDQ25:UDS25"/>
    <mergeCell ref="UDT25:UDV25"/>
    <mergeCell ref="UDW25:UDY25"/>
    <mergeCell ref="UDZ25:UEB25"/>
    <mergeCell ref="UGW25:UGY25"/>
    <mergeCell ref="UGZ25:UHB25"/>
    <mergeCell ref="UHC25:UHE25"/>
    <mergeCell ref="UHF25:UHH25"/>
    <mergeCell ref="UHI25:UHK25"/>
    <mergeCell ref="UHL25:UHN25"/>
    <mergeCell ref="UGE25:UGG25"/>
    <mergeCell ref="UGH25:UGJ25"/>
    <mergeCell ref="UGK25:UGM25"/>
    <mergeCell ref="UGN25:UGP25"/>
    <mergeCell ref="UGQ25:UGS25"/>
    <mergeCell ref="UGT25:UGV25"/>
    <mergeCell ref="UFM25:UFO25"/>
    <mergeCell ref="UFP25:UFR25"/>
    <mergeCell ref="UFS25:UFU25"/>
    <mergeCell ref="UFV25:UFX25"/>
    <mergeCell ref="UFY25:UGA25"/>
    <mergeCell ref="UGB25:UGD25"/>
    <mergeCell ref="UIY25:UJA25"/>
    <mergeCell ref="UJB25:UJD25"/>
    <mergeCell ref="UJE25:UJG25"/>
    <mergeCell ref="UJH25:UJJ25"/>
    <mergeCell ref="UJK25:UJM25"/>
    <mergeCell ref="UJN25:UJP25"/>
    <mergeCell ref="UIG25:UII25"/>
    <mergeCell ref="UIJ25:UIL25"/>
    <mergeCell ref="UIM25:UIO25"/>
    <mergeCell ref="UIP25:UIR25"/>
    <mergeCell ref="UIS25:UIU25"/>
    <mergeCell ref="UIV25:UIX25"/>
    <mergeCell ref="UHO25:UHQ25"/>
    <mergeCell ref="UHR25:UHT25"/>
    <mergeCell ref="UHU25:UHW25"/>
    <mergeCell ref="UHX25:UHZ25"/>
    <mergeCell ref="UIA25:UIC25"/>
    <mergeCell ref="UID25:UIF25"/>
    <mergeCell ref="ULA25:ULC25"/>
    <mergeCell ref="ULD25:ULF25"/>
    <mergeCell ref="ULG25:ULI25"/>
    <mergeCell ref="ULJ25:ULL25"/>
    <mergeCell ref="ULM25:ULO25"/>
    <mergeCell ref="ULP25:ULR25"/>
    <mergeCell ref="UKI25:UKK25"/>
    <mergeCell ref="UKL25:UKN25"/>
    <mergeCell ref="UKO25:UKQ25"/>
    <mergeCell ref="UKR25:UKT25"/>
    <mergeCell ref="UKU25:UKW25"/>
    <mergeCell ref="UKX25:UKZ25"/>
    <mergeCell ref="UJQ25:UJS25"/>
    <mergeCell ref="UJT25:UJV25"/>
    <mergeCell ref="UJW25:UJY25"/>
    <mergeCell ref="UJZ25:UKB25"/>
    <mergeCell ref="UKC25:UKE25"/>
    <mergeCell ref="UKF25:UKH25"/>
    <mergeCell ref="UNC25:UNE25"/>
    <mergeCell ref="UNF25:UNH25"/>
    <mergeCell ref="UNI25:UNK25"/>
    <mergeCell ref="UNL25:UNN25"/>
    <mergeCell ref="UNO25:UNQ25"/>
    <mergeCell ref="UNR25:UNT25"/>
    <mergeCell ref="UMK25:UMM25"/>
    <mergeCell ref="UMN25:UMP25"/>
    <mergeCell ref="UMQ25:UMS25"/>
    <mergeCell ref="UMT25:UMV25"/>
    <mergeCell ref="UMW25:UMY25"/>
    <mergeCell ref="UMZ25:UNB25"/>
    <mergeCell ref="ULS25:ULU25"/>
    <mergeCell ref="ULV25:ULX25"/>
    <mergeCell ref="ULY25:UMA25"/>
    <mergeCell ref="UMB25:UMD25"/>
    <mergeCell ref="UME25:UMG25"/>
    <mergeCell ref="UMH25:UMJ25"/>
    <mergeCell ref="UPE25:UPG25"/>
    <mergeCell ref="UPH25:UPJ25"/>
    <mergeCell ref="UPK25:UPM25"/>
    <mergeCell ref="UPN25:UPP25"/>
    <mergeCell ref="UPQ25:UPS25"/>
    <mergeCell ref="UPT25:UPV25"/>
    <mergeCell ref="UOM25:UOO25"/>
    <mergeCell ref="UOP25:UOR25"/>
    <mergeCell ref="UOS25:UOU25"/>
    <mergeCell ref="UOV25:UOX25"/>
    <mergeCell ref="UOY25:UPA25"/>
    <mergeCell ref="UPB25:UPD25"/>
    <mergeCell ref="UNU25:UNW25"/>
    <mergeCell ref="UNX25:UNZ25"/>
    <mergeCell ref="UOA25:UOC25"/>
    <mergeCell ref="UOD25:UOF25"/>
    <mergeCell ref="UOG25:UOI25"/>
    <mergeCell ref="UOJ25:UOL25"/>
    <mergeCell ref="URG25:URI25"/>
    <mergeCell ref="URJ25:URL25"/>
    <mergeCell ref="URM25:URO25"/>
    <mergeCell ref="URP25:URR25"/>
    <mergeCell ref="URS25:URU25"/>
    <mergeCell ref="URV25:URX25"/>
    <mergeCell ref="UQO25:UQQ25"/>
    <mergeCell ref="UQR25:UQT25"/>
    <mergeCell ref="UQU25:UQW25"/>
    <mergeCell ref="UQX25:UQZ25"/>
    <mergeCell ref="URA25:URC25"/>
    <mergeCell ref="URD25:URF25"/>
    <mergeCell ref="UPW25:UPY25"/>
    <mergeCell ref="UPZ25:UQB25"/>
    <mergeCell ref="UQC25:UQE25"/>
    <mergeCell ref="UQF25:UQH25"/>
    <mergeCell ref="UQI25:UQK25"/>
    <mergeCell ref="UQL25:UQN25"/>
    <mergeCell ref="UTI25:UTK25"/>
    <mergeCell ref="UTL25:UTN25"/>
    <mergeCell ref="UTO25:UTQ25"/>
    <mergeCell ref="UTR25:UTT25"/>
    <mergeCell ref="UTU25:UTW25"/>
    <mergeCell ref="UTX25:UTZ25"/>
    <mergeCell ref="USQ25:USS25"/>
    <mergeCell ref="UST25:USV25"/>
    <mergeCell ref="USW25:USY25"/>
    <mergeCell ref="USZ25:UTB25"/>
    <mergeCell ref="UTC25:UTE25"/>
    <mergeCell ref="UTF25:UTH25"/>
    <mergeCell ref="URY25:USA25"/>
    <mergeCell ref="USB25:USD25"/>
    <mergeCell ref="USE25:USG25"/>
    <mergeCell ref="USH25:USJ25"/>
    <mergeCell ref="USK25:USM25"/>
    <mergeCell ref="USN25:USP25"/>
    <mergeCell ref="UVK25:UVM25"/>
    <mergeCell ref="UVN25:UVP25"/>
    <mergeCell ref="UVQ25:UVS25"/>
    <mergeCell ref="UVT25:UVV25"/>
    <mergeCell ref="UVW25:UVY25"/>
    <mergeCell ref="UVZ25:UWB25"/>
    <mergeCell ref="UUS25:UUU25"/>
    <mergeCell ref="UUV25:UUX25"/>
    <mergeCell ref="UUY25:UVA25"/>
    <mergeCell ref="UVB25:UVD25"/>
    <mergeCell ref="UVE25:UVG25"/>
    <mergeCell ref="UVH25:UVJ25"/>
    <mergeCell ref="UUA25:UUC25"/>
    <mergeCell ref="UUD25:UUF25"/>
    <mergeCell ref="UUG25:UUI25"/>
    <mergeCell ref="UUJ25:UUL25"/>
    <mergeCell ref="UUM25:UUO25"/>
    <mergeCell ref="UUP25:UUR25"/>
    <mergeCell ref="UXM25:UXO25"/>
    <mergeCell ref="UXP25:UXR25"/>
    <mergeCell ref="UXS25:UXU25"/>
    <mergeCell ref="UXV25:UXX25"/>
    <mergeCell ref="UXY25:UYA25"/>
    <mergeCell ref="UYB25:UYD25"/>
    <mergeCell ref="UWU25:UWW25"/>
    <mergeCell ref="UWX25:UWZ25"/>
    <mergeCell ref="UXA25:UXC25"/>
    <mergeCell ref="UXD25:UXF25"/>
    <mergeCell ref="UXG25:UXI25"/>
    <mergeCell ref="UXJ25:UXL25"/>
    <mergeCell ref="UWC25:UWE25"/>
    <mergeCell ref="UWF25:UWH25"/>
    <mergeCell ref="UWI25:UWK25"/>
    <mergeCell ref="UWL25:UWN25"/>
    <mergeCell ref="UWO25:UWQ25"/>
    <mergeCell ref="UWR25:UWT25"/>
    <mergeCell ref="UZO25:UZQ25"/>
    <mergeCell ref="UZR25:UZT25"/>
    <mergeCell ref="UZU25:UZW25"/>
    <mergeCell ref="UZX25:UZZ25"/>
    <mergeCell ref="VAA25:VAC25"/>
    <mergeCell ref="VAD25:VAF25"/>
    <mergeCell ref="UYW25:UYY25"/>
    <mergeCell ref="UYZ25:UZB25"/>
    <mergeCell ref="UZC25:UZE25"/>
    <mergeCell ref="UZF25:UZH25"/>
    <mergeCell ref="UZI25:UZK25"/>
    <mergeCell ref="UZL25:UZN25"/>
    <mergeCell ref="UYE25:UYG25"/>
    <mergeCell ref="UYH25:UYJ25"/>
    <mergeCell ref="UYK25:UYM25"/>
    <mergeCell ref="UYN25:UYP25"/>
    <mergeCell ref="UYQ25:UYS25"/>
    <mergeCell ref="UYT25:UYV25"/>
    <mergeCell ref="VBQ25:VBS25"/>
    <mergeCell ref="VBT25:VBV25"/>
    <mergeCell ref="VBW25:VBY25"/>
    <mergeCell ref="VBZ25:VCB25"/>
    <mergeCell ref="VCC25:VCE25"/>
    <mergeCell ref="VCF25:VCH25"/>
    <mergeCell ref="VAY25:VBA25"/>
    <mergeCell ref="VBB25:VBD25"/>
    <mergeCell ref="VBE25:VBG25"/>
    <mergeCell ref="VBH25:VBJ25"/>
    <mergeCell ref="VBK25:VBM25"/>
    <mergeCell ref="VBN25:VBP25"/>
    <mergeCell ref="VAG25:VAI25"/>
    <mergeCell ref="VAJ25:VAL25"/>
    <mergeCell ref="VAM25:VAO25"/>
    <mergeCell ref="VAP25:VAR25"/>
    <mergeCell ref="VAS25:VAU25"/>
    <mergeCell ref="VAV25:VAX25"/>
    <mergeCell ref="VDS25:VDU25"/>
    <mergeCell ref="VDV25:VDX25"/>
    <mergeCell ref="VDY25:VEA25"/>
    <mergeCell ref="VEB25:VED25"/>
    <mergeCell ref="VEE25:VEG25"/>
    <mergeCell ref="VEH25:VEJ25"/>
    <mergeCell ref="VDA25:VDC25"/>
    <mergeCell ref="VDD25:VDF25"/>
    <mergeCell ref="VDG25:VDI25"/>
    <mergeCell ref="VDJ25:VDL25"/>
    <mergeCell ref="VDM25:VDO25"/>
    <mergeCell ref="VDP25:VDR25"/>
    <mergeCell ref="VCI25:VCK25"/>
    <mergeCell ref="VCL25:VCN25"/>
    <mergeCell ref="VCO25:VCQ25"/>
    <mergeCell ref="VCR25:VCT25"/>
    <mergeCell ref="VCU25:VCW25"/>
    <mergeCell ref="VCX25:VCZ25"/>
    <mergeCell ref="VFU25:VFW25"/>
    <mergeCell ref="VFX25:VFZ25"/>
    <mergeCell ref="VGA25:VGC25"/>
    <mergeCell ref="VGD25:VGF25"/>
    <mergeCell ref="VGG25:VGI25"/>
    <mergeCell ref="VGJ25:VGL25"/>
    <mergeCell ref="VFC25:VFE25"/>
    <mergeCell ref="VFF25:VFH25"/>
    <mergeCell ref="VFI25:VFK25"/>
    <mergeCell ref="VFL25:VFN25"/>
    <mergeCell ref="VFO25:VFQ25"/>
    <mergeCell ref="VFR25:VFT25"/>
    <mergeCell ref="VEK25:VEM25"/>
    <mergeCell ref="VEN25:VEP25"/>
    <mergeCell ref="VEQ25:VES25"/>
    <mergeCell ref="VET25:VEV25"/>
    <mergeCell ref="VEW25:VEY25"/>
    <mergeCell ref="VEZ25:VFB25"/>
    <mergeCell ref="VHW25:VHY25"/>
    <mergeCell ref="VHZ25:VIB25"/>
    <mergeCell ref="VIC25:VIE25"/>
    <mergeCell ref="VIF25:VIH25"/>
    <mergeCell ref="VII25:VIK25"/>
    <mergeCell ref="VIL25:VIN25"/>
    <mergeCell ref="VHE25:VHG25"/>
    <mergeCell ref="VHH25:VHJ25"/>
    <mergeCell ref="VHK25:VHM25"/>
    <mergeCell ref="VHN25:VHP25"/>
    <mergeCell ref="VHQ25:VHS25"/>
    <mergeCell ref="VHT25:VHV25"/>
    <mergeCell ref="VGM25:VGO25"/>
    <mergeCell ref="VGP25:VGR25"/>
    <mergeCell ref="VGS25:VGU25"/>
    <mergeCell ref="VGV25:VGX25"/>
    <mergeCell ref="VGY25:VHA25"/>
    <mergeCell ref="VHB25:VHD25"/>
    <mergeCell ref="VJY25:VKA25"/>
    <mergeCell ref="VKB25:VKD25"/>
    <mergeCell ref="VKE25:VKG25"/>
    <mergeCell ref="VKH25:VKJ25"/>
    <mergeCell ref="VKK25:VKM25"/>
    <mergeCell ref="VKN25:VKP25"/>
    <mergeCell ref="VJG25:VJI25"/>
    <mergeCell ref="VJJ25:VJL25"/>
    <mergeCell ref="VJM25:VJO25"/>
    <mergeCell ref="VJP25:VJR25"/>
    <mergeCell ref="VJS25:VJU25"/>
    <mergeCell ref="VJV25:VJX25"/>
    <mergeCell ref="VIO25:VIQ25"/>
    <mergeCell ref="VIR25:VIT25"/>
    <mergeCell ref="VIU25:VIW25"/>
    <mergeCell ref="VIX25:VIZ25"/>
    <mergeCell ref="VJA25:VJC25"/>
    <mergeCell ref="VJD25:VJF25"/>
    <mergeCell ref="VMA25:VMC25"/>
    <mergeCell ref="VMD25:VMF25"/>
    <mergeCell ref="VMG25:VMI25"/>
    <mergeCell ref="VMJ25:VML25"/>
    <mergeCell ref="VMM25:VMO25"/>
    <mergeCell ref="VMP25:VMR25"/>
    <mergeCell ref="VLI25:VLK25"/>
    <mergeCell ref="VLL25:VLN25"/>
    <mergeCell ref="VLO25:VLQ25"/>
    <mergeCell ref="VLR25:VLT25"/>
    <mergeCell ref="VLU25:VLW25"/>
    <mergeCell ref="VLX25:VLZ25"/>
    <mergeCell ref="VKQ25:VKS25"/>
    <mergeCell ref="VKT25:VKV25"/>
    <mergeCell ref="VKW25:VKY25"/>
    <mergeCell ref="VKZ25:VLB25"/>
    <mergeCell ref="VLC25:VLE25"/>
    <mergeCell ref="VLF25:VLH25"/>
    <mergeCell ref="VOC25:VOE25"/>
    <mergeCell ref="VOF25:VOH25"/>
    <mergeCell ref="VOI25:VOK25"/>
    <mergeCell ref="VOL25:VON25"/>
    <mergeCell ref="VOO25:VOQ25"/>
    <mergeCell ref="VOR25:VOT25"/>
    <mergeCell ref="VNK25:VNM25"/>
    <mergeCell ref="VNN25:VNP25"/>
    <mergeCell ref="VNQ25:VNS25"/>
    <mergeCell ref="VNT25:VNV25"/>
    <mergeCell ref="VNW25:VNY25"/>
    <mergeCell ref="VNZ25:VOB25"/>
    <mergeCell ref="VMS25:VMU25"/>
    <mergeCell ref="VMV25:VMX25"/>
    <mergeCell ref="VMY25:VNA25"/>
    <mergeCell ref="VNB25:VND25"/>
    <mergeCell ref="VNE25:VNG25"/>
    <mergeCell ref="VNH25:VNJ25"/>
    <mergeCell ref="VQE25:VQG25"/>
    <mergeCell ref="VQH25:VQJ25"/>
    <mergeCell ref="VQK25:VQM25"/>
    <mergeCell ref="VQN25:VQP25"/>
    <mergeCell ref="VQQ25:VQS25"/>
    <mergeCell ref="VQT25:VQV25"/>
    <mergeCell ref="VPM25:VPO25"/>
    <mergeCell ref="VPP25:VPR25"/>
    <mergeCell ref="VPS25:VPU25"/>
    <mergeCell ref="VPV25:VPX25"/>
    <mergeCell ref="VPY25:VQA25"/>
    <mergeCell ref="VQB25:VQD25"/>
    <mergeCell ref="VOU25:VOW25"/>
    <mergeCell ref="VOX25:VOZ25"/>
    <mergeCell ref="VPA25:VPC25"/>
    <mergeCell ref="VPD25:VPF25"/>
    <mergeCell ref="VPG25:VPI25"/>
    <mergeCell ref="VPJ25:VPL25"/>
    <mergeCell ref="VSG25:VSI25"/>
    <mergeCell ref="VSJ25:VSL25"/>
    <mergeCell ref="VSM25:VSO25"/>
    <mergeCell ref="VSP25:VSR25"/>
    <mergeCell ref="VSS25:VSU25"/>
    <mergeCell ref="VSV25:VSX25"/>
    <mergeCell ref="VRO25:VRQ25"/>
    <mergeCell ref="VRR25:VRT25"/>
    <mergeCell ref="VRU25:VRW25"/>
    <mergeCell ref="VRX25:VRZ25"/>
    <mergeCell ref="VSA25:VSC25"/>
    <mergeCell ref="VSD25:VSF25"/>
    <mergeCell ref="VQW25:VQY25"/>
    <mergeCell ref="VQZ25:VRB25"/>
    <mergeCell ref="VRC25:VRE25"/>
    <mergeCell ref="VRF25:VRH25"/>
    <mergeCell ref="VRI25:VRK25"/>
    <mergeCell ref="VRL25:VRN25"/>
    <mergeCell ref="VUI25:VUK25"/>
    <mergeCell ref="VUL25:VUN25"/>
    <mergeCell ref="VUO25:VUQ25"/>
    <mergeCell ref="VUR25:VUT25"/>
    <mergeCell ref="VUU25:VUW25"/>
    <mergeCell ref="VUX25:VUZ25"/>
    <mergeCell ref="VTQ25:VTS25"/>
    <mergeCell ref="VTT25:VTV25"/>
    <mergeCell ref="VTW25:VTY25"/>
    <mergeCell ref="VTZ25:VUB25"/>
    <mergeCell ref="VUC25:VUE25"/>
    <mergeCell ref="VUF25:VUH25"/>
    <mergeCell ref="VSY25:VTA25"/>
    <mergeCell ref="VTB25:VTD25"/>
    <mergeCell ref="VTE25:VTG25"/>
    <mergeCell ref="VTH25:VTJ25"/>
    <mergeCell ref="VTK25:VTM25"/>
    <mergeCell ref="VTN25:VTP25"/>
    <mergeCell ref="VWK25:VWM25"/>
    <mergeCell ref="VWN25:VWP25"/>
    <mergeCell ref="VWQ25:VWS25"/>
    <mergeCell ref="VWT25:VWV25"/>
    <mergeCell ref="VWW25:VWY25"/>
    <mergeCell ref="VWZ25:VXB25"/>
    <mergeCell ref="VVS25:VVU25"/>
    <mergeCell ref="VVV25:VVX25"/>
    <mergeCell ref="VVY25:VWA25"/>
    <mergeCell ref="VWB25:VWD25"/>
    <mergeCell ref="VWE25:VWG25"/>
    <mergeCell ref="VWH25:VWJ25"/>
    <mergeCell ref="VVA25:VVC25"/>
    <mergeCell ref="VVD25:VVF25"/>
    <mergeCell ref="VVG25:VVI25"/>
    <mergeCell ref="VVJ25:VVL25"/>
    <mergeCell ref="VVM25:VVO25"/>
    <mergeCell ref="VVP25:VVR25"/>
    <mergeCell ref="VYM25:VYO25"/>
    <mergeCell ref="VYP25:VYR25"/>
    <mergeCell ref="VYS25:VYU25"/>
    <mergeCell ref="VYV25:VYX25"/>
    <mergeCell ref="VYY25:VZA25"/>
    <mergeCell ref="VZB25:VZD25"/>
    <mergeCell ref="VXU25:VXW25"/>
    <mergeCell ref="VXX25:VXZ25"/>
    <mergeCell ref="VYA25:VYC25"/>
    <mergeCell ref="VYD25:VYF25"/>
    <mergeCell ref="VYG25:VYI25"/>
    <mergeCell ref="VYJ25:VYL25"/>
    <mergeCell ref="VXC25:VXE25"/>
    <mergeCell ref="VXF25:VXH25"/>
    <mergeCell ref="VXI25:VXK25"/>
    <mergeCell ref="VXL25:VXN25"/>
    <mergeCell ref="VXO25:VXQ25"/>
    <mergeCell ref="VXR25:VXT25"/>
    <mergeCell ref="WAO25:WAQ25"/>
    <mergeCell ref="WAR25:WAT25"/>
    <mergeCell ref="WAU25:WAW25"/>
    <mergeCell ref="WAX25:WAZ25"/>
    <mergeCell ref="WBA25:WBC25"/>
    <mergeCell ref="WBD25:WBF25"/>
    <mergeCell ref="VZW25:VZY25"/>
    <mergeCell ref="VZZ25:WAB25"/>
    <mergeCell ref="WAC25:WAE25"/>
    <mergeCell ref="WAF25:WAH25"/>
    <mergeCell ref="WAI25:WAK25"/>
    <mergeCell ref="WAL25:WAN25"/>
    <mergeCell ref="VZE25:VZG25"/>
    <mergeCell ref="VZH25:VZJ25"/>
    <mergeCell ref="VZK25:VZM25"/>
    <mergeCell ref="VZN25:VZP25"/>
    <mergeCell ref="VZQ25:VZS25"/>
    <mergeCell ref="VZT25:VZV25"/>
    <mergeCell ref="WCQ25:WCS25"/>
    <mergeCell ref="WCT25:WCV25"/>
    <mergeCell ref="WCW25:WCY25"/>
    <mergeCell ref="WCZ25:WDB25"/>
    <mergeCell ref="WDC25:WDE25"/>
    <mergeCell ref="WDF25:WDH25"/>
    <mergeCell ref="WBY25:WCA25"/>
    <mergeCell ref="WCB25:WCD25"/>
    <mergeCell ref="WCE25:WCG25"/>
    <mergeCell ref="WCH25:WCJ25"/>
    <mergeCell ref="WCK25:WCM25"/>
    <mergeCell ref="WCN25:WCP25"/>
    <mergeCell ref="WBG25:WBI25"/>
    <mergeCell ref="WBJ25:WBL25"/>
    <mergeCell ref="WBM25:WBO25"/>
    <mergeCell ref="WBP25:WBR25"/>
    <mergeCell ref="WBS25:WBU25"/>
    <mergeCell ref="WBV25:WBX25"/>
    <mergeCell ref="WES25:WEU25"/>
    <mergeCell ref="WEV25:WEX25"/>
    <mergeCell ref="WEY25:WFA25"/>
    <mergeCell ref="WFB25:WFD25"/>
    <mergeCell ref="WFE25:WFG25"/>
    <mergeCell ref="WFH25:WFJ25"/>
    <mergeCell ref="WEA25:WEC25"/>
    <mergeCell ref="WED25:WEF25"/>
    <mergeCell ref="WEG25:WEI25"/>
    <mergeCell ref="WEJ25:WEL25"/>
    <mergeCell ref="WEM25:WEO25"/>
    <mergeCell ref="WEP25:WER25"/>
    <mergeCell ref="WDI25:WDK25"/>
    <mergeCell ref="WDL25:WDN25"/>
    <mergeCell ref="WDO25:WDQ25"/>
    <mergeCell ref="WDR25:WDT25"/>
    <mergeCell ref="WDU25:WDW25"/>
    <mergeCell ref="WDX25:WDZ25"/>
    <mergeCell ref="WGU25:WGW25"/>
    <mergeCell ref="WGX25:WGZ25"/>
    <mergeCell ref="WHA25:WHC25"/>
    <mergeCell ref="WHD25:WHF25"/>
    <mergeCell ref="WHG25:WHI25"/>
    <mergeCell ref="WHJ25:WHL25"/>
    <mergeCell ref="WGC25:WGE25"/>
    <mergeCell ref="WGF25:WGH25"/>
    <mergeCell ref="WGI25:WGK25"/>
    <mergeCell ref="WGL25:WGN25"/>
    <mergeCell ref="WGO25:WGQ25"/>
    <mergeCell ref="WGR25:WGT25"/>
    <mergeCell ref="WFK25:WFM25"/>
    <mergeCell ref="WFN25:WFP25"/>
    <mergeCell ref="WFQ25:WFS25"/>
    <mergeCell ref="WFT25:WFV25"/>
    <mergeCell ref="WFW25:WFY25"/>
    <mergeCell ref="WFZ25:WGB25"/>
    <mergeCell ref="WIW25:WIY25"/>
    <mergeCell ref="WIZ25:WJB25"/>
    <mergeCell ref="WJC25:WJE25"/>
    <mergeCell ref="WJF25:WJH25"/>
    <mergeCell ref="WJI25:WJK25"/>
    <mergeCell ref="WJL25:WJN25"/>
    <mergeCell ref="WIE25:WIG25"/>
    <mergeCell ref="WIH25:WIJ25"/>
    <mergeCell ref="WIK25:WIM25"/>
    <mergeCell ref="WIN25:WIP25"/>
    <mergeCell ref="WIQ25:WIS25"/>
    <mergeCell ref="WIT25:WIV25"/>
    <mergeCell ref="WHM25:WHO25"/>
    <mergeCell ref="WHP25:WHR25"/>
    <mergeCell ref="WHS25:WHU25"/>
    <mergeCell ref="WHV25:WHX25"/>
    <mergeCell ref="WHY25:WIA25"/>
    <mergeCell ref="WIB25:WID25"/>
    <mergeCell ref="WKY25:WLA25"/>
    <mergeCell ref="WLB25:WLD25"/>
    <mergeCell ref="WLE25:WLG25"/>
    <mergeCell ref="WLH25:WLJ25"/>
    <mergeCell ref="WLK25:WLM25"/>
    <mergeCell ref="WLN25:WLP25"/>
    <mergeCell ref="WKG25:WKI25"/>
    <mergeCell ref="WKJ25:WKL25"/>
    <mergeCell ref="WKM25:WKO25"/>
    <mergeCell ref="WKP25:WKR25"/>
    <mergeCell ref="WKS25:WKU25"/>
    <mergeCell ref="WKV25:WKX25"/>
    <mergeCell ref="WJO25:WJQ25"/>
    <mergeCell ref="WJR25:WJT25"/>
    <mergeCell ref="WJU25:WJW25"/>
    <mergeCell ref="WJX25:WJZ25"/>
    <mergeCell ref="WKA25:WKC25"/>
    <mergeCell ref="WKD25:WKF25"/>
    <mergeCell ref="WNA25:WNC25"/>
    <mergeCell ref="WND25:WNF25"/>
    <mergeCell ref="WNG25:WNI25"/>
    <mergeCell ref="WNJ25:WNL25"/>
    <mergeCell ref="WNM25:WNO25"/>
    <mergeCell ref="WNP25:WNR25"/>
    <mergeCell ref="WMI25:WMK25"/>
    <mergeCell ref="WML25:WMN25"/>
    <mergeCell ref="WMO25:WMQ25"/>
    <mergeCell ref="WMR25:WMT25"/>
    <mergeCell ref="WMU25:WMW25"/>
    <mergeCell ref="WMX25:WMZ25"/>
    <mergeCell ref="WLQ25:WLS25"/>
    <mergeCell ref="WLT25:WLV25"/>
    <mergeCell ref="WLW25:WLY25"/>
    <mergeCell ref="WLZ25:WMB25"/>
    <mergeCell ref="WMC25:WME25"/>
    <mergeCell ref="WMF25:WMH25"/>
    <mergeCell ref="WPC25:WPE25"/>
    <mergeCell ref="WPF25:WPH25"/>
    <mergeCell ref="WPI25:WPK25"/>
    <mergeCell ref="WPL25:WPN25"/>
    <mergeCell ref="WPO25:WPQ25"/>
    <mergeCell ref="WPR25:WPT25"/>
    <mergeCell ref="WOK25:WOM25"/>
    <mergeCell ref="WON25:WOP25"/>
    <mergeCell ref="WOQ25:WOS25"/>
    <mergeCell ref="WOT25:WOV25"/>
    <mergeCell ref="WOW25:WOY25"/>
    <mergeCell ref="WOZ25:WPB25"/>
    <mergeCell ref="WNS25:WNU25"/>
    <mergeCell ref="WNV25:WNX25"/>
    <mergeCell ref="WNY25:WOA25"/>
    <mergeCell ref="WOB25:WOD25"/>
    <mergeCell ref="WOE25:WOG25"/>
    <mergeCell ref="WOH25:WOJ25"/>
    <mergeCell ref="WRE25:WRG25"/>
    <mergeCell ref="WRH25:WRJ25"/>
    <mergeCell ref="WRK25:WRM25"/>
    <mergeCell ref="WRN25:WRP25"/>
    <mergeCell ref="WRQ25:WRS25"/>
    <mergeCell ref="WRT25:WRV25"/>
    <mergeCell ref="WQM25:WQO25"/>
    <mergeCell ref="WQP25:WQR25"/>
    <mergeCell ref="WQS25:WQU25"/>
    <mergeCell ref="WQV25:WQX25"/>
    <mergeCell ref="WQY25:WRA25"/>
    <mergeCell ref="WRB25:WRD25"/>
    <mergeCell ref="WPU25:WPW25"/>
    <mergeCell ref="WPX25:WPZ25"/>
    <mergeCell ref="WQA25:WQC25"/>
    <mergeCell ref="WQD25:WQF25"/>
    <mergeCell ref="WQG25:WQI25"/>
    <mergeCell ref="WQJ25:WQL25"/>
    <mergeCell ref="WTG25:WTI25"/>
    <mergeCell ref="WTJ25:WTL25"/>
    <mergeCell ref="WTM25:WTO25"/>
    <mergeCell ref="WTP25:WTR25"/>
    <mergeCell ref="WTS25:WTU25"/>
    <mergeCell ref="WTV25:WTX25"/>
    <mergeCell ref="WSO25:WSQ25"/>
    <mergeCell ref="WSR25:WST25"/>
    <mergeCell ref="WSU25:WSW25"/>
    <mergeCell ref="WSX25:WSZ25"/>
    <mergeCell ref="WTA25:WTC25"/>
    <mergeCell ref="WTD25:WTF25"/>
    <mergeCell ref="WRW25:WRY25"/>
    <mergeCell ref="WRZ25:WSB25"/>
    <mergeCell ref="WSC25:WSE25"/>
    <mergeCell ref="WSF25:WSH25"/>
    <mergeCell ref="WSI25:WSK25"/>
    <mergeCell ref="WSL25:WSN25"/>
    <mergeCell ref="WVI25:WVK25"/>
    <mergeCell ref="WVL25:WVN25"/>
    <mergeCell ref="WVO25:WVQ25"/>
    <mergeCell ref="WVR25:WVT25"/>
    <mergeCell ref="WVU25:WVW25"/>
    <mergeCell ref="WVX25:WVZ25"/>
    <mergeCell ref="WUQ25:WUS25"/>
    <mergeCell ref="WUT25:WUV25"/>
    <mergeCell ref="WUW25:WUY25"/>
    <mergeCell ref="WUZ25:WVB25"/>
    <mergeCell ref="WVC25:WVE25"/>
    <mergeCell ref="WVF25:WVH25"/>
    <mergeCell ref="WTY25:WUA25"/>
    <mergeCell ref="WUB25:WUD25"/>
    <mergeCell ref="WUE25:WUG25"/>
    <mergeCell ref="WUH25:WUJ25"/>
    <mergeCell ref="WUK25:WUM25"/>
    <mergeCell ref="WUN25:WUP25"/>
    <mergeCell ref="WXK25:WXM25"/>
    <mergeCell ref="WXN25:WXP25"/>
    <mergeCell ref="WXQ25:WXS25"/>
    <mergeCell ref="WXT25:WXV25"/>
    <mergeCell ref="WXW25:WXY25"/>
    <mergeCell ref="WXZ25:WYB25"/>
    <mergeCell ref="WWS25:WWU25"/>
    <mergeCell ref="WWV25:WWX25"/>
    <mergeCell ref="WWY25:WXA25"/>
    <mergeCell ref="WXB25:WXD25"/>
    <mergeCell ref="WXE25:WXG25"/>
    <mergeCell ref="WXH25:WXJ25"/>
    <mergeCell ref="WWA25:WWC25"/>
    <mergeCell ref="WWD25:WWF25"/>
    <mergeCell ref="WWG25:WWI25"/>
    <mergeCell ref="WWJ25:WWL25"/>
    <mergeCell ref="WWM25:WWO25"/>
    <mergeCell ref="WWP25:WWR25"/>
    <mergeCell ref="WZM25:WZO25"/>
    <mergeCell ref="WZP25:WZR25"/>
    <mergeCell ref="WZS25:WZU25"/>
    <mergeCell ref="WZV25:WZX25"/>
    <mergeCell ref="WZY25:XAA25"/>
    <mergeCell ref="XAB25:XAD25"/>
    <mergeCell ref="WYU25:WYW25"/>
    <mergeCell ref="WYX25:WYZ25"/>
    <mergeCell ref="WZA25:WZC25"/>
    <mergeCell ref="WZD25:WZF25"/>
    <mergeCell ref="WZG25:WZI25"/>
    <mergeCell ref="WZJ25:WZL25"/>
    <mergeCell ref="WYC25:WYE25"/>
    <mergeCell ref="WYF25:WYH25"/>
    <mergeCell ref="WYI25:WYK25"/>
    <mergeCell ref="WYL25:WYN25"/>
    <mergeCell ref="WYO25:WYQ25"/>
    <mergeCell ref="WYR25:WYT25"/>
    <mergeCell ref="XCP25:XCR25"/>
    <mergeCell ref="XCS25:XCU25"/>
    <mergeCell ref="XCV25:XCX25"/>
    <mergeCell ref="XBO25:XBQ25"/>
    <mergeCell ref="XBR25:XBT25"/>
    <mergeCell ref="XBU25:XBW25"/>
    <mergeCell ref="XBX25:XBZ25"/>
    <mergeCell ref="XCA25:XCC25"/>
    <mergeCell ref="XCD25:XCF25"/>
    <mergeCell ref="XAW25:XAY25"/>
    <mergeCell ref="XAZ25:XBB25"/>
    <mergeCell ref="XBC25:XBE25"/>
    <mergeCell ref="XBF25:XBH25"/>
    <mergeCell ref="XBI25:XBK25"/>
    <mergeCell ref="XBL25:XBN25"/>
    <mergeCell ref="XAE25:XAG25"/>
    <mergeCell ref="XAH25:XAJ25"/>
    <mergeCell ref="XAK25:XAM25"/>
    <mergeCell ref="XAN25:XAP25"/>
    <mergeCell ref="XAQ25:XAS25"/>
    <mergeCell ref="XAT25:XAV25"/>
    <mergeCell ref="A36:C36"/>
    <mergeCell ref="XFA25:XFC25"/>
    <mergeCell ref="A26:C26"/>
    <mergeCell ref="A27:C27"/>
    <mergeCell ref="A28:C28"/>
    <mergeCell ref="A37:C37"/>
    <mergeCell ref="A29:C29"/>
    <mergeCell ref="A30:C30"/>
    <mergeCell ref="A31:C31"/>
    <mergeCell ref="A32:C32"/>
    <mergeCell ref="A35:C35"/>
    <mergeCell ref="XEI25:XEK25"/>
    <mergeCell ref="XEL25:XEN25"/>
    <mergeCell ref="XEO25:XEQ25"/>
    <mergeCell ref="XER25:XET25"/>
    <mergeCell ref="XEU25:XEW25"/>
    <mergeCell ref="XEX25:XEZ25"/>
    <mergeCell ref="XDQ25:XDS25"/>
    <mergeCell ref="XDT25:XDV25"/>
    <mergeCell ref="XDW25:XDY25"/>
    <mergeCell ref="XDZ25:XEB25"/>
    <mergeCell ref="XEC25:XEE25"/>
    <mergeCell ref="XEF25:XEH25"/>
    <mergeCell ref="XCY25:XDA25"/>
    <mergeCell ref="XDB25:XDD25"/>
    <mergeCell ref="XDE25:XDG25"/>
    <mergeCell ref="XDH25:XDJ25"/>
    <mergeCell ref="XDK25:XDM25"/>
    <mergeCell ref="XDN25:XDP25"/>
    <mergeCell ref="XCG25:XCI25"/>
    <mergeCell ref="XCJ25:XCL25"/>
    <mergeCell ref="XCM25:XCO25"/>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7B0D-5D8D-49E1-B1D6-F27CCB771DCC}">
  <sheetPr codeName="Sheet52">
    <tabColor theme="9" tint="0.59999389629810485"/>
  </sheetPr>
  <dimension ref="A1:T113"/>
  <sheetViews>
    <sheetView showGridLines="0" zoomScale="70" zoomScaleNormal="70" workbookViewId="0">
      <pane xSplit="1" ySplit="7" topLeftCell="B8" activePane="bottomRight" state="frozen"/>
      <selection pane="topRight" activeCell="B1" sqref="B1"/>
      <selection pane="bottomLeft" activeCell="A4" sqref="A4"/>
      <selection pane="bottomRight" activeCell="O57" sqref="O57"/>
    </sheetView>
  </sheetViews>
  <sheetFormatPr defaultColWidth="8.6640625" defaultRowHeight="15.6" outlineLevelRow="2" x14ac:dyDescent="0.3"/>
  <cols>
    <col min="1" max="1" width="44.33203125" style="211" customWidth="1"/>
    <col min="2" max="12" width="9.88671875" style="211" customWidth="1"/>
    <col min="13" max="13" width="5.88671875" style="211" customWidth="1"/>
    <col min="14" max="14" width="9.88671875" style="211" customWidth="1"/>
    <col min="15" max="16384" width="8.6640625" style="211"/>
  </cols>
  <sheetData>
    <row r="1" spans="1:16" s="345" customFormat="1" outlineLevel="1" x14ac:dyDescent="0.3">
      <c r="A1" s="345" t="s">
        <v>708</v>
      </c>
      <c r="B1" s="345">
        <v>2004</v>
      </c>
      <c r="C1" s="345">
        <v>2003</v>
      </c>
      <c r="D1" s="345">
        <v>2002</v>
      </c>
      <c r="E1" s="345">
        <v>2002</v>
      </c>
      <c r="F1" s="345">
        <v>2001</v>
      </c>
      <c r="G1" s="345">
        <v>1999</v>
      </c>
      <c r="H1" s="345">
        <v>1999</v>
      </c>
      <c r="I1" s="345">
        <v>1998</v>
      </c>
      <c r="J1" s="345">
        <v>1997</v>
      </c>
      <c r="K1" s="345">
        <v>1995</v>
      </c>
      <c r="L1" s="345">
        <v>1995</v>
      </c>
    </row>
    <row r="2" spans="1:16" x14ac:dyDescent="0.3">
      <c r="A2" s="320"/>
      <c r="B2" s="320"/>
      <c r="C2" s="320" t="s">
        <v>849</v>
      </c>
      <c r="D2" s="320"/>
      <c r="E2" s="320"/>
      <c r="F2" s="320"/>
      <c r="G2" s="320"/>
      <c r="H2" s="320"/>
      <c r="I2" s="320"/>
      <c r="J2" s="320"/>
      <c r="K2" s="320"/>
      <c r="L2" s="320"/>
      <c r="M2" s="320"/>
      <c r="N2" s="320"/>
    </row>
    <row r="3" spans="1:16" x14ac:dyDescent="0.3">
      <c r="I3" s="226"/>
      <c r="L3" s="1224"/>
      <c r="M3" s="1224"/>
      <c r="N3" s="1224"/>
    </row>
    <row r="4" spans="1:16" x14ac:dyDescent="0.3">
      <c r="A4" s="152" t="s">
        <v>1650</v>
      </c>
      <c r="I4" s="226"/>
    </row>
    <row r="5" spans="1:16" x14ac:dyDescent="0.3">
      <c r="A5" s="152" t="s">
        <v>1651</v>
      </c>
    </row>
    <row r="6" spans="1:16" ht="8.25" customHeight="1" thickBot="1" x14ac:dyDescent="0.35"/>
    <row r="7" spans="1:16" x14ac:dyDescent="0.3">
      <c r="A7" s="212" t="s">
        <v>1250</v>
      </c>
      <c r="B7" s="501">
        <v>2004</v>
      </c>
      <c r="C7" s="501">
        <v>2003</v>
      </c>
      <c r="D7" s="501">
        <v>2002</v>
      </c>
      <c r="E7" s="501">
        <v>2001</v>
      </c>
      <c r="F7" s="501">
        <v>2000</v>
      </c>
      <c r="G7" s="501">
        <v>1999</v>
      </c>
      <c r="H7" s="501">
        <v>1998</v>
      </c>
      <c r="I7" s="501">
        <v>1997</v>
      </c>
      <c r="J7" s="501">
        <v>1996</v>
      </c>
      <c r="K7" s="501">
        <v>1995</v>
      </c>
      <c r="L7" s="502">
        <v>1994</v>
      </c>
      <c r="M7" s="902"/>
      <c r="N7" s="2791"/>
      <c r="O7" s="612"/>
    </row>
    <row r="8" spans="1:16" outlineLevel="1" x14ac:dyDescent="0.3">
      <c r="A8" s="214" t="s">
        <v>372</v>
      </c>
      <c r="L8" s="223"/>
      <c r="M8" s="220"/>
      <c r="N8" s="397"/>
      <c r="O8" s="612"/>
    </row>
    <row r="9" spans="1:16" outlineLevel="1" x14ac:dyDescent="0.3">
      <c r="A9" s="214" t="s">
        <v>847</v>
      </c>
      <c r="B9" s="746">
        <v>3</v>
      </c>
      <c r="C9" s="746">
        <v>145</v>
      </c>
      <c r="D9" s="746">
        <v>-1393</v>
      </c>
      <c r="E9" s="746">
        <v>-3671</v>
      </c>
      <c r="F9" s="746">
        <v>-1254</v>
      </c>
      <c r="G9" s="746">
        <v>-1184</v>
      </c>
      <c r="H9" s="597"/>
      <c r="I9" s="597"/>
      <c r="J9" s="597"/>
      <c r="K9" s="2879" t="s">
        <v>853</v>
      </c>
      <c r="L9" s="2880"/>
      <c r="M9" s="2417"/>
      <c r="N9" s="2417"/>
      <c r="O9" s="612"/>
    </row>
    <row r="10" spans="1:16" outlineLevel="1" x14ac:dyDescent="0.3">
      <c r="A10" s="214" t="s">
        <v>848</v>
      </c>
      <c r="B10" s="1223">
        <v>417</v>
      </c>
      <c r="C10" s="1223">
        <v>1047</v>
      </c>
      <c r="D10" s="1223">
        <v>534</v>
      </c>
      <c r="E10" s="1223">
        <v>-647</v>
      </c>
      <c r="F10" s="1223">
        <v>-162</v>
      </c>
      <c r="G10" s="1223">
        <v>-256</v>
      </c>
      <c r="H10" s="2408"/>
      <c r="I10" s="2408"/>
      <c r="J10" s="2408"/>
      <c r="K10" s="2881"/>
      <c r="L10" s="2882"/>
      <c r="M10" s="2417"/>
      <c r="N10" s="2420"/>
      <c r="O10" s="2792"/>
      <c r="P10" s="226"/>
    </row>
    <row r="11" spans="1:16" outlineLevel="1" x14ac:dyDescent="0.3">
      <c r="A11" s="214"/>
      <c r="B11" s="1223"/>
      <c r="C11" s="1223"/>
      <c r="D11" s="1223"/>
      <c r="E11" s="1223"/>
      <c r="F11" s="1223"/>
      <c r="G11" s="1223"/>
      <c r="H11" s="1224"/>
      <c r="I11" s="1224"/>
      <c r="J11" s="1224"/>
      <c r="K11" s="2881"/>
      <c r="L11" s="2882"/>
      <c r="M11" s="2417"/>
      <c r="N11" s="2420"/>
      <c r="O11" s="2792"/>
    </row>
    <row r="12" spans="1:16" outlineLevel="2" x14ac:dyDescent="0.3">
      <c r="A12" s="214" t="s">
        <v>841</v>
      </c>
      <c r="B12" s="2871" t="s">
        <v>856</v>
      </c>
      <c r="C12" s="2872"/>
      <c r="D12" s="2872"/>
      <c r="E12" s="2872"/>
      <c r="F12" s="2872"/>
      <c r="G12" s="2873"/>
      <c r="H12" s="1231">
        <v>154</v>
      </c>
      <c r="I12" s="1231">
        <v>283</v>
      </c>
      <c r="J12" s="1231">
        <v>167</v>
      </c>
      <c r="K12" s="2881"/>
      <c r="L12" s="2882"/>
      <c r="M12" s="2417"/>
      <c r="N12" s="2420"/>
      <c r="O12" s="2792"/>
    </row>
    <row r="13" spans="1:16" outlineLevel="2" x14ac:dyDescent="0.3">
      <c r="A13" s="214" t="s">
        <v>842</v>
      </c>
      <c r="B13" s="2874"/>
      <c r="C13" s="2875"/>
      <c r="D13" s="2875"/>
      <c r="E13" s="2875"/>
      <c r="F13" s="2875"/>
      <c r="G13" s="2876"/>
      <c r="H13" s="1232">
        <v>-175</v>
      </c>
      <c r="I13" s="1232">
        <v>-155</v>
      </c>
      <c r="J13" s="1232">
        <v>-174.8</v>
      </c>
      <c r="K13" s="2881"/>
      <c r="L13" s="2882"/>
      <c r="M13" s="2417"/>
      <c r="N13" s="2420"/>
      <c r="O13" s="2792"/>
    </row>
    <row r="14" spans="1:16" ht="18.600000000000001" outlineLevel="1" x14ac:dyDescent="0.3">
      <c r="A14" s="214" t="s">
        <v>1662</v>
      </c>
      <c r="B14" s="1227">
        <f t="shared" ref="B14:G14" si="0">B9+B10</f>
        <v>420</v>
      </c>
      <c r="C14" s="1227">
        <f t="shared" si="0"/>
        <v>1192</v>
      </c>
      <c r="D14" s="1227">
        <f t="shared" si="0"/>
        <v>-859</v>
      </c>
      <c r="E14" s="1227">
        <f t="shared" si="0"/>
        <v>-4318</v>
      </c>
      <c r="F14" s="1227">
        <f t="shared" si="0"/>
        <v>-1416</v>
      </c>
      <c r="G14" s="1227">
        <f t="shared" si="0"/>
        <v>-1440</v>
      </c>
      <c r="H14" s="1227">
        <f>H13+H12</f>
        <v>-21</v>
      </c>
      <c r="I14" s="1227">
        <f t="shared" ref="I14:J14" si="1">I13+I12</f>
        <v>128</v>
      </c>
      <c r="J14" s="1227">
        <f t="shared" si="1"/>
        <v>-7.8000000000000114</v>
      </c>
      <c r="K14" s="2883"/>
      <c r="L14" s="2884"/>
      <c r="M14" s="2417"/>
      <c r="N14" s="2420"/>
      <c r="O14" s="2792"/>
    </row>
    <row r="15" spans="1:16" outlineLevel="1" x14ac:dyDescent="0.3">
      <c r="A15" s="214"/>
      <c r="B15" s="1226"/>
      <c r="C15" s="1226"/>
      <c r="D15" s="1226"/>
      <c r="E15" s="1226"/>
      <c r="F15" s="1227"/>
      <c r="G15" s="1227"/>
      <c r="H15" s="1227"/>
      <c r="I15" s="1227"/>
      <c r="J15" s="1227"/>
      <c r="L15" s="223"/>
      <c r="M15" s="397"/>
      <c r="N15" s="2420"/>
      <c r="O15" s="2792"/>
    </row>
    <row r="16" spans="1:16" outlineLevel="1" x14ac:dyDescent="0.3">
      <c r="A16" s="214" t="s">
        <v>843</v>
      </c>
      <c r="B16" s="1227">
        <v>970</v>
      </c>
      <c r="C16" s="1227">
        <v>452</v>
      </c>
      <c r="D16" s="1227">
        <v>416</v>
      </c>
      <c r="E16" s="1227">
        <v>221</v>
      </c>
      <c r="F16" s="1227">
        <v>-224</v>
      </c>
      <c r="G16" s="1227">
        <v>24</v>
      </c>
      <c r="H16" s="1227">
        <v>269</v>
      </c>
      <c r="I16" s="1227">
        <v>281</v>
      </c>
      <c r="J16" s="1227">
        <v>171.4</v>
      </c>
      <c r="K16" s="2409"/>
      <c r="L16" s="1483"/>
      <c r="M16" s="2405"/>
      <c r="N16" s="2420"/>
      <c r="O16" s="2792"/>
    </row>
    <row r="17" spans="1:15" outlineLevel="1" x14ac:dyDescent="0.3">
      <c r="A17" s="214" t="s">
        <v>851</v>
      </c>
      <c r="B17" s="1227">
        <v>161</v>
      </c>
      <c r="C17" s="1227">
        <v>74</v>
      </c>
      <c r="D17" s="1227">
        <v>32</v>
      </c>
      <c r="E17" s="1227">
        <v>30</v>
      </c>
      <c r="F17" s="1227">
        <v>25</v>
      </c>
      <c r="G17" s="1227">
        <v>22</v>
      </c>
      <c r="H17" s="1227">
        <v>17</v>
      </c>
      <c r="I17" s="1227">
        <v>53</v>
      </c>
      <c r="J17" s="1227">
        <v>58.5</v>
      </c>
      <c r="K17" s="2877" t="s">
        <v>852</v>
      </c>
      <c r="L17" s="2878"/>
      <c r="M17" s="2418"/>
      <c r="N17" s="2420"/>
      <c r="O17" s="2792"/>
    </row>
    <row r="18" spans="1:15" s="152" customFormat="1" outlineLevel="1" x14ac:dyDescent="0.3">
      <c r="A18" s="214" t="s">
        <v>1663</v>
      </c>
      <c r="B18" s="1229">
        <f t="shared" ref="B18:J18" si="2">SUM(B14:B17)</f>
        <v>1551</v>
      </c>
      <c r="C18" s="1229">
        <f t="shared" si="2"/>
        <v>1718</v>
      </c>
      <c r="D18" s="1229">
        <f t="shared" si="2"/>
        <v>-411</v>
      </c>
      <c r="E18" s="1229">
        <f t="shared" si="2"/>
        <v>-4067</v>
      </c>
      <c r="F18" s="1229">
        <f t="shared" si="2"/>
        <v>-1615</v>
      </c>
      <c r="G18" s="1229">
        <f t="shared" si="2"/>
        <v>-1394</v>
      </c>
      <c r="H18" s="1229">
        <f t="shared" si="2"/>
        <v>265</v>
      </c>
      <c r="I18" s="1229">
        <f t="shared" si="2"/>
        <v>462</v>
      </c>
      <c r="J18" s="1230">
        <f t="shared" si="2"/>
        <v>222.1</v>
      </c>
      <c r="K18" s="1236">
        <v>20.5</v>
      </c>
      <c r="L18" s="1237">
        <v>129.9</v>
      </c>
      <c r="M18" s="2419"/>
      <c r="N18" s="2420"/>
      <c r="O18" s="2792"/>
    </row>
    <row r="19" spans="1:15" s="152" customFormat="1" outlineLevel="1" x14ac:dyDescent="0.3">
      <c r="A19" s="213"/>
      <c r="B19" s="1233"/>
      <c r="C19" s="1233"/>
      <c r="D19" s="1233"/>
      <c r="E19" s="1233"/>
      <c r="F19" s="1233"/>
      <c r="G19" s="1233"/>
      <c r="H19" s="1233"/>
      <c r="I19" s="1233"/>
      <c r="J19" s="1234"/>
      <c r="K19" s="1236"/>
      <c r="L19" s="1237"/>
      <c r="M19" s="2419"/>
      <c r="N19" s="2420"/>
      <c r="O19" s="2792"/>
    </row>
    <row r="20" spans="1:15" outlineLevel="1" x14ac:dyDescent="0.3">
      <c r="A20" s="214" t="s">
        <v>1664</v>
      </c>
      <c r="B20" s="1227">
        <v>2824</v>
      </c>
      <c r="C20" s="1227">
        <v>3223</v>
      </c>
      <c r="D20" s="1227">
        <v>3050</v>
      </c>
      <c r="E20" s="1227">
        <v>2824</v>
      </c>
      <c r="F20" s="1227">
        <v>2773</v>
      </c>
      <c r="G20" s="1227">
        <v>2482</v>
      </c>
      <c r="H20" s="1227">
        <v>974</v>
      </c>
      <c r="I20" s="1227">
        <v>882</v>
      </c>
      <c r="J20" s="1227">
        <v>726.2</v>
      </c>
      <c r="K20" s="1227">
        <v>501.6</v>
      </c>
      <c r="L20" s="1238">
        <v>419.4</v>
      </c>
      <c r="M20" s="2441"/>
      <c r="N20" s="2420"/>
      <c r="O20" s="2792"/>
    </row>
    <row r="21" spans="1:15" ht="18.600000000000001" outlineLevel="1" x14ac:dyDescent="0.3">
      <c r="A21" s="214" t="s">
        <v>1652</v>
      </c>
      <c r="B21" s="1227">
        <v>325</v>
      </c>
      <c r="C21" s="1227">
        <v>289</v>
      </c>
      <c r="D21" s="1227">
        <v>229</v>
      </c>
      <c r="E21" s="1227">
        <v>-33</v>
      </c>
      <c r="F21" s="1228"/>
      <c r="G21" s="1228"/>
      <c r="H21" s="1228"/>
      <c r="I21" s="1228"/>
      <c r="J21" s="1228"/>
      <c r="K21" s="1228"/>
      <c r="L21" s="2411"/>
      <c r="M21" s="2441"/>
      <c r="N21" s="2420"/>
      <c r="O21" s="2792"/>
    </row>
    <row r="22" spans="1:15" ht="18.600000000000001" outlineLevel="1" x14ac:dyDescent="0.3">
      <c r="A22" s="214" t="s">
        <v>1653</v>
      </c>
      <c r="B22" s="1227">
        <v>643</v>
      </c>
      <c r="C22" s="1227">
        <v>559</v>
      </c>
      <c r="D22" s="1227">
        <v>516</v>
      </c>
      <c r="E22" s="1227">
        <v>461</v>
      </c>
      <c r="F22" s="1227">
        <v>34</v>
      </c>
      <c r="G22" s="1228"/>
      <c r="H22" s="1228"/>
      <c r="I22" s="1228"/>
      <c r="J22" s="1228"/>
      <c r="K22" s="1228"/>
      <c r="L22" s="2411"/>
      <c r="M22" s="2441"/>
      <c r="N22" s="2420"/>
      <c r="O22" s="2792"/>
    </row>
    <row r="23" spans="1:15" outlineLevel="1" x14ac:dyDescent="0.3">
      <c r="A23" s="214" t="s">
        <v>845</v>
      </c>
      <c r="B23" s="1227">
        <v>584</v>
      </c>
      <c r="C23" s="1227">
        <v>619</v>
      </c>
      <c r="D23" s="1227">
        <v>1016</v>
      </c>
      <c r="E23" s="1227">
        <v>519</v>
      </c>
      <c r="F23" s="1227">
        <v>530</v>
      </c>
      <c r="G23" s="1227">
        <v>125</v>
      </c>
      <c r="H23" s="1227">
        <v>205</v>
      </c>
      <c r="I23" s="1227">
        <v>28</v>
      </c>
      <c r="J23" s="1227">
        <v>23.1</v>
      </c>
      <c r="K23" s="1227">
        <v>20.8</v>
      </c>
      <c r="L23" s="1238">
        <v>22.1</v>
      </c>
      <c r="M23" s="2441"/>
      <c r="N23" s="2420"/>
      <c r="O23" s="2792"/>
    </row>
    <row r="24" spans="1:15" ht="18.600000000000001" outlineLevel="1" x14ac:dyDescent="0.3">
      <c r="A24" s="214" t="s">
        <v>1654</v>
      </c>
      <c r="B24" s="1227">
        <v>191</v>
      </c>
      <c r="C24" s="1227">
        <v>72</v>
      </c>
      <c r="D24" s="1227">
        <v>225</v>
      </c>
      <c r="E24" s="1227">
        <v>186</v>
      </c>
      <c r="F24" s="1227">
        <v>213</v>
      </c>
      <c r="G24" s="1227">
        <v>225</v>
      </c>
      <c r="H24" s="1227">
        <v>181</v>
      </c>
      <c r="I24" s="1227">
        <v>140</v>
      </c>
      <c r="J24" s="1227">
        <v>3.1</v>
      </c>
      <c r="K24" s="1228"/>
      <c r="L24" s="2411"/>
      <c r="M24" s="2441"/>
      <c r="N24" s="2420"/>
      <c r="O24" s="2792"/>
    </row>
    <row r="25" spans="1:15" outlineLevel="1" x14ac:dyDescent="0.3">
      <c r="A25" s="214" t="s">
        <v>850</v>
      </c>
      <c r="B25" s="1227">
        <v>228</v>
      </c>
      <c r="C25" s="1227">
        <v>150</v>
      </c>
      <c r="D25" s="1228"/>
      <c r="E25" s="1228"/>
      <c r="F25" s="1228"/>
      <c r="G25" s="1228"/>
      <c r="H25" s="1228"/>
      <c r="I25" s="1228"/>
      <c r="J25" s="1228"/>
      <c r="K25" s="1228"/>
      <c r="L25" s="2411"/>
      <c r="M25" s="2441"/>
      <c r="N25" s="2420"/>
      <c r="O25" s="2792"/>
    </row>
    <row r="26" spans="1:15" ht="18.600000000000001" outlineLevel="1" x14ac:dyDescent="0.3">
      <c r="A26" s="214" t="s">
        <v>1655</v>
      </c>
      <c r="B26" s="1254">
        <v>237</v>
      </c>
      <c r="C26" s="1254">
        <v>429</v>
      </c>
      <c r="D26" s="1227">
        <v>613</v>
      </c>
      <c r="E26" s="1227">
        <v>565</v>
      </c>
      <c r="F26" s="1227">
        <v>197</v>
      </c>
      <c r="G26" s="1228"/>
      <c r="H26" s="1228"/>
      <c r="I26" s="1228"/>
      <c r="J26" s="1228"/>
      <c r="K26" s="1228"/>
      <c r="L26" s="2411"/>
      <c r="M26" s="2441"/>
      <c r="N26" s="2420"/>
      <c r="O26" s="2792"/>
    </row>
    <row r="27" spans="1:15" s="612" customFormat="1" outlineLevel="1" x14ac:dyDescent="0.3">
      <c r="A27" s="734"/>
      <c r="B27" s="1254"/>
      <c r="C27" s="1254"/>
      <c r="D27" s="1254"/>
      <c r="E27" s="1254"/>
      <c r="F27" s="1254"/>
      <c r="G27" s="1254"/>
      <c r="H27" s="1254"/>
      <c r="I27" s="1254"/>
      <c r="J27" s="1254"/>
      <c r="K27" s="1254"/>
      <c r="L27" s="1255"/>
      <c r="M27" s="2441"/>
      <c r="N27" s="2420"/>
      <c r="O27" s="2792"/>
    </row>
    <row r="28" spans="1:15" ht="18.600000000000001" outlineLevel="1" x14ac:dyDescent="0.3">
      <c r="A28" s="214" t="s">
        <v>1656</v>
      </c>
      <c r="B28" s="2885" t="s">
        <v>1923</v>
      </c>
      <c r="C28" s="2886"/>
      <c r="D28" s="2886"/>
      <c r="E28" s="2886"/>
      <c r="F28" s="2887"/>
      <c r="G28" s="1227">
        <v>79</v>
      </c>
      <c r="H28" s="1227">
        <v>72</v>
      </c>
      <c r="I28" s="1227">
        <v>57</v>
      </c>
      <c r="J28" s="1227">
        <v>43.8</v>
      </c>
      <c r="K28" s="1227">
        <v>29.7</v>
      </c>
      <c r="L28" s="1238">
        <v>17.399999999999999</v>
      </c>
      <c r="M28" s="2441"/>
      <c r="N28" s="2420"/>
      <c r="O28" s="2792"/>
    </row>
    <row r="29" spans="1:15" ht="18.600000000000001" outlineLevel="1" x14ac:dyDescent="0.3">
      <c r="A29" s="214" t="s">
        <v>1657</v>
      </c>
      <c r="B29" s="2888"/>
      <c r="C29" s="2889"/>
      <c r="D29" s="2889"/>
      <c r="E29" s="2889"/>
      <c r="F29" s="2890"/>
      <c r="G29" s="1239">
        <v>51</v>
      </c>
      <c r="H29" s="1239">
        <v>39</v>
      </c>
      <c r="I29" s="1239">
        <v>32</v>
      </c>
      <c r="J29" s="1239">
        <v>27.8</v>
      </c>
      <c r="K29" s="1239">
        <v>33.9</v>
      </c>
      <c r="L29" s="1240">
        <v>0</v>
      </c>
      <c r="M29" s="2441"/>
      <c r="N29" s="2420"/>
      <c r="O29" s="2792"/>
    </row>
    <row r="30" spans="1:15" ht="18.600000000000001" outlineLevel="1" x14ac:dyDescent="0.3">
      <c r="A30" s="214" t="s">
        <v>1670</v>
      </c>
      <c r="B30" s="1227">
        <v>163</v>
      </c>
      <c r="C30" s="1227">
        <v>165</v>
      </c>
      <c r="D30" s="1227">
        <v>166</v>
      </c>
      <c r="E30" s="1227">
        <v>175</v>
      </c>
      <c r="F30" s="1227">
        <v>175</v>
      </c>
      <c r="G30" s="1227">
        <f t="shared" ref="G30:K30" si="3">SUM(G28:G29)</f>
        <v>130</v>
      </c>
      <c r="H30" s="1227">
        <f t="shared" si="3"/>
        <v>111</v>
      </c>
      <c r="I30" s="1227">
        <f t="shared" si="3"/>
        <v>89</v>
      </c>
      <c r="J30" s="1227">
        <f t="shared" si="3"/>
        <v>71.599999999999994</v>
      </c>
      <c r="K30" s="1227">
        <f t="shared" si="3"/>
        <v>63.599999999999994</v>
      </c>
      <c r="L30" s="1238">
        <f>SUM(L28:L29)</f>
        <v>17.399999999999999</v>
      </c>
      <c r="M30" s="2441"/>
      <c r="N30" s="2420"/>
      <c r="O30" s="2792"/>
    </row>
    <row r="31" spans="1:15" s="612" customFormat="1" outlineLevel="1" x14ac:dyDescent="0.3">
      <c r="A31" s="734"/>
      <c r="B31" s="1252"/>
      <c r="C31" s="1252"/>
      <c r="D31" s="1252"/>
      <c r="E31" s="1252"/>
      <c r="F31" s="1252"/>
      <c r="G31" s="1252"/>
      <c r="H31" s="1252"/>
      <c r="I31" s="1252"/>
      <c r="J31" s="1252"/>
      <c r="K31" s="1252"/>
      <c r="L31" s="1253"/>
      <c r="M31" s="1157"/>
      <c r="N31" s="2420"/>
      <c r="O31" s="2792"/>
    </row>
    <row r="32" spans="1:15" ht="18.600000000000001" outlineLevel="1" x14ac:dyDescent="0.3">
      <c r="A32" s="214" t="s">
        <v>1658</v>
      </c>
      <c r="B32" s="1223">
        <v>466</v>
      </c>
      <c r="C32" s="1223">
        <v>436</v>
      </c>
      <c r="D32" s="1223">
        <v>424</v>
      </c>
      <c r="E32" s="1223">
        <v>292</v>
      </c>
      <c r="F32" s="2412"/>
      <c r="G32" s="2412"/>
      <c r="H32" s="2412"/>
      <c r="I32" s="2412"/>
      <c r="J32" s="2412"/>
      <c r="K32" s="2412"/>
      <c r="L32" s="1553"/>
      <c r="M32" s="1157"/>
      <c r="N32" s="2420"/>
      <c r="O32" s="2792"/>
    </row>
    <row r="33" spans="1:16" s="612" customFormat="1" x14ac:dyDescent="0.3">
      <c r="A33" s="734" t="s">
        <v>176</v>
      </c>
      <c r="B33" s="1252"/>
      <c r="C33" s="1252"/>
      <c r="D33" s="1252"/>
      <c r="E33" s="1252"/>
      <c r="F33" s="1252"/>
      <c r="G33" s="1252"/>
      <c r="H33" s="1252"/>
      <c r="I33" s="1252"/>
      <c r="J33" s="1252"/>
      <c r="K33" s="1252"/>
      <c r="L33" s="1253"/>
      <c r="M33" s="1157"/>
      <c r="N33" s="2420"/>
      <c r="O33" s="2792"/>
    </row>
    <row r="34" spans="1:16" s="612" customFormat="1" ht="3" customHeight="1" x14ac:dyDescent="0.3">
      <c r="A34" s="734"/>
      <c r="B34" s="1252"/>
      <c r="C34" s="1252"/>
      <c r="D34" s="1252"/>
      <c r="E34" s="1252"/>
      <c r="F34" s="1252"/>
      <c r="G34" s="1252"/>
      <c r="H34" s="1252"/>
      <c r="I34" s="1252"/>
      <c r="J34" s="1252"/>
      <c r="K34" s="1252"/>
      <c r="L34" s="1253"/>
      <c r="M34" s="1157"/>
      <c r="N34" s="2420"/>
      <c r="O34" s="2792"/>
    </row>
    <row r="35" spans="1:16" x14ac:dyDescent="0.3">
      <c r="A35" s="214" t="s">
        <v>508</v>
      </c>
      <c r="B35" s="2903" t="s">
        <v>1666</v>
      </c>
      <c r="C35" s="2904"/>
      <c r="D35" s="2871" t="s">
        <v>854</v>
      </c>
      <c r="E35" s="2872"/>
      <c r="F35" s="2872"/>
      <c r="G35" s="2872"/>
      <c r="H35" s="2872"/>
      <c r="I35" s="2873"/>
      <c r="J35" s="1223">
        <v>58.5</v>
      </c>
      <c r="K35" s="1223">
        <v>50.2</v>
      </c>
      <c r="L35" s="923">
        <v>42.3</v>
      </c>
      <c r="M35" s="1157"/>
      <c r="N35" s="2420"/>
      <c r="O35" s="2792"/>
    </row>
    <row r="36" spans="1:16" x14ac:dyDescent="0.3">
      <c r="A36" s="214" t="s">
        <v>510</v>
      </c>
      <c r="B36" s="2905"/>
      <c r="C36" s="2906"/>
      <c r="D36" s="2891"/>
      <c r="E36" s="2892"/>
      <c r="F36" s="2892"/>
      <c r="G36" s="2892"/>
      <c r="H36" s="2892"/>
      <c r="I36" s="2893"/>
      <c r="J36" s="1223">
        <v>12.6</v>
      </c>
      <c r="K36" s="1223">
        <v>8.8000000000000007</v>
      </c>
      <c r="L36" s="923">
        <v>24.7</v>
      </c>
      <c r="M36" s="1157"/>
      <c r="N36" s="2420"/>
      <c r="O36" s="2792"/>
    </row>
    <row r="37" spans="1:16" x14ac:dyDescent="0.3">
      <c r="A37" s="214" t="s">
        <v>844</v>
      </c>
      <c r="B37" s="2905"/>
      <c r="C37" s="2906"/>
      <c r="D37" s="2874"/>
      <c r="E37" s="2875"/>
      <c r="F37" s="2875"/>
      <c r="G37" s="2875"/>
      <c r="H37" s="2875"/>
      <c r="I37" s="2876"/>
      <c r="J37" s="1232">
        <v>50.6</v>
      </c>
      <c r="K37" s="1232">
        <v>34.1</v>
      </c>
      <c r="L37" s="1241">
        <v>39.5</v>
      </c>
      <c r="M37" s="1157"/>
      <c r="N37" s="2420"/>
      <c r="O37" s="2792"/>
    </row>
    <row r="38" spans="1:16" ht="18.600000000000001" x14ac:dyDescent="0.3">
      <c r="A38" s="214" t="s">
        <v>1671</v>
      </c>
      <c r="B38" s="2905"/>
      <c r="C38" s="2906"/>
      <c r="D38" s="1223">
        <v>129</v>
      </c>
      <c r="E38" s="1223">
        <v>129</v>
      </c>
      <c r="F38" s="1223">
        <v>122</v>
      </c>
      <c r="G38" s="1223">
        <v>147</v>
      </c>
      <c r="H38" s="1223">
        <v>137</v>
      </c>
      <c r="I38" s="1223">
        <v>119</v>
      </c>
      <c r="J38" s="1223">
        <f>SUM(J35:J37)</f>
        <v>121.69999999999999</v>
      </c>
      <c r="K38" s="1223">
        <f t="shared" ref="K38" si="4">SUM(K35:K37)</f>
        <v>93.1</v>
      </c>
      <c r="L38" s="923">
        <f>SUM(L35:L37)</f>
        <v>106.5</v>
      </c>
      <c r="M38" s="1157"/>
      <c r="N38" s="2420"/>
      <c r="O38" s="2792"/>
      <c r="P38" s="226"/>
    </row>
    <row r="39" spans="1:16" x14ac:dyDescent="0.3">
      <c r="A39" s="214"/>
      <c r="B39" s="2905"/>
      <c r="C39" s="2906"/>
      <c r="D39" s="1225"/>
      <c r="E39" s="1225"/>
      <c r="F39" s="1225"/>
      <c r="G39" s="1225"/>
      <c r="H39" s="1225"/>
      <c r="I39" s="1225"/>
      <c r="J39" s="1225"/>
      <c r="K39" s="1225"/>
      <c r="L39" s="1235"/>
      <c r="M39" s="1721"/>
      <c r="N39" s="2420"/>
      <c r="O39" s="2792"/>
    </row>
    <row r="40" spans="1:16" x14ac:dyDescent="0.3">
      <c r="A40" s="214" t="s">
        <v>374</v>
      </c>
      <c r="B40" s="2905"/>
      <c r="C40" s="2906"/>
      <c r="D40" s="2894" t="s">
        <v>1666</v>
      </c>
      <c r="E40" s="2895"/>
      <c r="F40" s="2896"/>
      <c r="G40" s="1223">
        <v>55</v>
      </c>
      <c r="H40" s="1223">
        <v>53</v>
      </c>
      <c r="I40" s="1223">
        <v>56</v>
      </c>
      <c r="J40" s="1223">
        <v>50.4</v>
      </c>
      <c r="K40" s="1223">
        <v>46.8</v>
      </c>
      <c r="L40" s="923">
        <v>54.2</v>
      </c>
      <c r="M40" s="1157"/>
      <c r="N40" s="2420"/>
      <c r="O40" s="2792"/>
    </row>
    <row r="41" spans="1:16" x14ac:dyDescent="0.3">
      <c r="A41" s="214" t="s">
        <v>840</v>
      </c>
      <c r="B41" s="2905"/>
      <c r="C41" s="2906"/>
      <c r="D41" s="2897"/>
      <c r="E41" s="2898"/>
      <c r="F41" s="2899"/>
      <c r="G41" s="1223">
        <v>17</v>
      </c>
      <c r="H41" s="1223">
        <v>33</v>
      </c>
      <c r="I41" s="1223">
        <v>49</v>
      </c>
      <c r="J41" s="1223">
        <v>61.6</v>
      </c>
      <c r="K41" s="1223">
        <v>58.4</v>
      </c>
      <c r="L41" s="923">
        <v>85.5</v>
      </c>
      <c r="M41" s="1157"/>
      <c r="N41" s="2420"/>
      <c r="O41" s="2792"/>
    </row>
    <row r="42" spans="1:16" x14ac:dyDescent="0.3">
      <c r="A42" s="214" t="s">
        <v>846</v>
      </c>
      <c r="B42" s="2905"/>
      <c r="C42" s="2906"/>
      <c r="D42" s="2897"/>
      <c r="E42" s="2898"/>
      <c r="F42" s="2899"/>
      <c r="G42" s="1223">
        <v>56</v>
      </c>
      <c r="H42" s="1223">
        <v>58</v>
      </c>
      <c r="I42" s="2412"/>
      <c r="J42" s="2412"/>
      <c r="K42" s="2412"/>
      <c r="L42" s="1553"/>
      <c r="M42" s="1157"/>
      <c r="N42" s="2420"/>
      <c r="O42" s="2792"/>
    </row>
    <row r="43" spans="1:16" x14ac:dyDescent="0.3">
      <c r="A43" s="214" t="s">
        <v>375</v>
      </c>
      <c r="B43" s="2905"/>
      <c r="C43" s="2906"/>
      <c r="D43" s="2900"/>
      <c r="E43" s="2901"/>
      <c r="F43" s="2902"/>
      <c r="G43" s="1223">
        <v>74</v>
      </c>
      <c r="H43" s="1223">
        <v>62</v>
      </c>
      <c r="I43" s="1223">
        <v>59</v>
      </c>
      <c r="J43" s="1223">
        <v>51.9</v>
      </c>
      <c r="K43" s="1223">
        <v>50.2</v>
      </c>
      <c r="L43" s="923">
        <v>47.5</v>
      </c>
      <c r="M43" s="1157"/>
      <c r="N43" s="2420"/>
      <c r="O43" s="2792"/>
    </row>
    <row r="44" spans="1:16" x14ac:dyDescent="0.3">
      <c r="A44" s="214" t="s">
        <v>1667</v>
      </c>
      <c r="B44" s="2907"/>
      <c r="C44" s="2908"/>
      <c r="D44" s="1232">
        <v>256</v>
      </c>
      <c r="E44" s="1232">
        <v>212</v>
      </c>
      <c r="F44" s="1232">
        <v>221</v>
      </c>
      <c r="G44" s="2413"/>
      <c r="H44" s="2413"/>
      <c r="I44" s="2413"/>
      <c r="J44" s="2413"/>
      <c r="K44" s="2413"/>
      <c r="L44" s="2414"/>
      <c r="M44" s="1157"/>
      <c r="N44" s="2420"/>
      <c r="O44" s="2792"/>
    </row>
    <row r="45" spans="1:16" ht="18.600000000000001" x14ac:dyDescent="0.3">
      <c r="A45" s="214" t="s">
        <v>1672</v>
      </c>
      <c r="B45" s="1223">
        <v>465</v>
      </c>
      <c r="C45" s="1223">
        <v>486</v>
      </c>
      <c r="D45" s="1223">
        <f>SUM(D38:D44)</f>
        <v>385</v>
      </c>
      <c r="E45" s="1223">
        <f t="shared" ref="E45:K45" si="5">SUM(E38:E44)</f>
        <v>341</v>
      </c>
      <c r="F45" s="1223">
        <f t="shared" si="5"/>
        <v>343</v>
      </c>
      <c r="G45" s="1223">
        <f t="shared" si="5"/>
        <v>349</v>
      </c>
      <c r="H45" s="1223">
        <f t="shared" si="5"/>
        <v>343</v>
      </c>
      <c r="I45" s="1223">
        <f t="shared" si="5"/>
        <v>283</v>
      </c>
      <c r="J45" s="1223">
        <f t="shared" si="5"/>
        <v>285.59999999999997</v>
      </c>
      <c r="K45" s="1223">
        <f t="shared" si="5"/>
        <v>248.5</v>
      </c>
      <c r="L45" s="923">
        <f>SUM(L38:L44)</f>
        <v>293.7</v>
      </c>
      <c r="M45" s="1157"/>
      <c r="N45" s="2420"/>
      <c r="O45" s="2792"/>
    </row>
    <row r="46" spans="1:16" s="612" customFormat="1" x14ac:dyDescent="0.3">
      <c r="A46" s="734"/>
      <c r="B46" s="1252"/>
      <c r="C46" s="1252"/>
      <c r="D46" s="1252"/>
      <c r="E46" s="1252"/>
      <c r="F46" s="1252"/>
      <c r="G46" s="1252"/>
      <c r="H46" s="1252"/>
      <c r="I46" s="1252"/>
      <c r="J46" s="1252"/>
      <c r="K46" s="1252"/>
      <c r="L46" s="1253"/>
      <c r="M46" s="1157"/>
      <c r="N46" s="2420"/>
      <c r="O46" s="2792"/>
    </row>
    <row r="47" spans="1:16" ht="18.600000000000001" x14ac:dyDescent="0.3">
      <c r="A47" s="214" t="s">
        <v>1668</v>
      </c>
      <c r="B47" s="1258" t="s">
        <v>1665</v>
      </c>
      <c r="C47" s="1223">
        <v>-177</v>
      </c>
      <c r="D47" s="1223">
        <v>-119</v>
      </c>
      <c r="E47" s="1223">
        <v>-726</v>
      </c>
      <c r="F47" s="1223">
        <v>-881</v>
      </c>
      <c r="G47" s="1223">
        <v>-739</v>
      </c>
      <c r="H47" s="1223">
        <v>-123</v>
      </c>
      <c r="I47" s="1223">
        <v>-101</v>
      </c>
      <c r="J47" s="1223">
        <v>-75.7</v>
      </c>
      <c r="K47" s="1223">
        <v>-27</v>
      </c>
      <c r="L47" s="923">
        <v>-22.6</v>
      </c>
      <c r="M47" s="1157"/>
      <c r="N47" s="2420"/>
      <c r="O47" s="2792"/>
    </row>
    <row r="48" spans="1:16" ht="18.600000000000001" x14ac:dyDescent="0.3">
      <c r="A48" s="214" t="s">
        <v>1659</v>
      </c>
      <c r="B48" s="1223">
        <v>-92</v>
      </c>
      <c r="C48" s="1223">
        <v>-94</v>
      </c>
      <c r="D48" s="1223">
        <v>-86</v>
      </c>
      <c r="E48" s="1223">
        <v>-92</v>
      </c>
      <c r="F48" s="1223">
        <v>-92</v>
      </c>
      <c r="G48" s="1223">
        <v>-109</v>
      </c>
      <c r="H48" s="1223">
        <v>-100</v>
      </c>
      <c r="I48" s="1223">
        <v>-107</v>
      </c>
      <c r="J48" s="1223">
        <v>-94.3</v>
      </c>
      <c r="K48" s="1223">
        <v>-56</v>
      </c>
      <c r="L48" s="923">
        <v>-60.1</v>
      </c>
      <c r="M48" s="1157"/>
      <c r="N48" s="2420"/>
      <c r="O48" s="2792"/>
    </row>
    <row r="49" spans="1:15" ht="18.600000000000001" x14ac:dyDescent="0.3">
      <c r="A49" s="214" t="s">
        <v>1669</v>
      </c>
      <c r="B49" s="2869" t="s">
        <v>855</v>
      </c>
      <c r="C49" s="2870"/>
      <c r="D49" s="1223">
        <v>-17</v>
      </c>
      <c r="E49" s="1223">
        <v>-17</v>
      </c>
      <c r="F49" s="1223">
        <v>-17</v>
      </c>
      <c r="G49" s="1223">
        <v>-17</v>
      </c>
      <c r="H49" s="1223">
        <v>-17</v>
      </c>
      <c r="I49" s="1223">
        <v>-15</v>
      </c>
      <c r="J49" s="1223">
        <v>-13.3</v>
      </c>
      <c r="K49" s="1223">
        <v>-11.6</v>
      </c>
      <c r="L49" s="923">
        <v>-10.4</v>
      </c>
      <c r="M49" s="1157"/>
      <c r="N49" s="2420"/>
      <c r="O49" s="2792"/>
    </row>
    <row r="50" spans="1:15" s="285" customFormat="1" hidden="1" outlineLevel="1" x14ac:dyDescent="0.3">
      <c r="A50" s="214" t="s">
        <v>511</v>
      </c>
      <c r="B50" s="1242"/>
      <c r="C50" s="1242"/>
      <c r="D50" s="1242"/>
      <c r="E50" s="1242"/>
      <c r="F50" s="1242"/>
      <c r="G50" s="1242"/>
      <c r="H50" s="1242"/>
      <c r="I50" s="1242"/>
      <c r="J50" s="1242"/>
      <c r="K50" s="1243">
        <v>37.4</v>
      </c>
      <c r="L50" s="1244">
        <v>35.700000000000003</v>
      </c>
      <c r="M50" s="1721"/>
      <c r="N50" s="2420"/>
      <c r="O50" s="2792"/>
    </row>
    <row r="51" spans="1:15" s="285" customFormat="1" hidden="1" outlineLevel="1" x14ac:dyDescent="0.3">
      <c r="A51" s="214" t="s">
        <v>839</v>
      </c>
      <c r="B51" s="1245"/>
      <c r="C51" s="1245"/>
      <c r="D51" s="1245"/>
      <c r="E51" s="1245"/>
      <c r="F51" s="1245"/>
      <c r="G51" s="1245"/>
      <c r="H51" s="1245"/>
      <c r="I51" s="1245"/>
      <c r="J51" s="1245"/>
      <c r="K51" s="1246">
        <v>16.899999999999999</v>
      </c>
      <c r="L51" s="1247">
        <v>14.3</v>
      </c>
      <c r="M51" s="1721"/>
      <c r="N51" s="2420"/>
      <c r="O51" s="2792"/>
    </row>
    <row r="52" spans="1:15" ht="18.600000000000001" collapsed="1" x14ac:dyDescent="0.3">
      <c r="A52" s="214" t="s">
        <v>1660</v>
      </c>
      <c r="B52" s="1223">
        <v>-138</v>
      </c>
      <c r="C52" s="1223">
        <v>24</v>
      </c>
      <c r="D52" s="1223">
        <v>19</v>
      </c>
      <c r="E52" s="1223">
        <v>25</v>
      </c>
      <c r="F52" s="1223">
        <v>39</v>
      </c>
      <c r="G52" s="1223">
        <v>33</v>
      </c>
      <c r="H52" s="1223">
        <v>60</v>
      </c>
      <c r="I52" s="1223">
        <v>60</v>
      </c>
      <c r="J52" s="1223">
        <v>73</v>
      </c>
      <c r="K52" s="1223">
        <f>K50+K51</f>
        <v>54.3</v>
      </c>
      <c r="L52" s="923">
        <f>L50+L51</f>
        <v>50</v>
      </c>
      <c r="M52" s="1157"/>
      <c r="N52" s="2420"/>
      <c r="O52" s="2792"/>
    </row>
    <row r="53" spans="1:15" x14ac:dyDescent="0.3">
      <c r="A53" s="213" t="s">
        <v>1516</v>
      </c>
      <c r="B53" s="1248">
        <f>B18+B20+B21+B22+B23+B24+B25+B26+B30+B32+B45+B48+B52</f>
        <v>7447</v>
      </c>
      <c r="C53" s="1248">
        <f>C18+C20+C21+C22+C23+C24+C25+C26+C30+C32+C45+C47+C48+C52</f>
        <v>7899</v>
      </c>
      <c r="D53" s="1248">
        <f>D18+D20+D21+D22+D23+D24+D26+D30+D32+D45+D47+D48+D49+D52</f>
        <v>6010</v>
      </c>
      <c r="E53" s="1248">
        <f t="shared" ref="E53:K53" si="6">E18+E20+E21+E22+E23+E24+E26+E30+E32+E45+E47+E48+E49+E52</f>
        <v>453</v>
      </c>
      <c r="F53" s="1248">
        <f t="shared" si="6"/>
        <v>1699</v>
      </c>
      <c r="G53" s="1248">
        <f t="shared" si="6"/>
        <v>1085</v>
      </c>
      <c r="H53" s="1248">
        <f>H18+H20+H21+H22+H23+H24+H26+H30+H32+H45+H47+H48+H49+H52</f>
        <v>1899</v>
      </c>
      <c r="I53" s="1248">
        <f t="shared" si="6"/>
        <v>1721</v>
      </c>
      <c r="J53" s="1248">
        <f t="shared" si="6"/>
        <v>1221.4000000000001</v>
      </c>
      <c r="K53" s="1248">
        <f t="shared" si="6"/>
        <v>814.69999999999993</v>
      </c>
      <c r="L53" s="1249">
        <f>L18+L20+L21+L22+L23+L24+L26+L30+L32+L45+L47+L48+L49+L52</f>
        <v>839.4</v>
      </c>
      <c r="M53" s="2442"/>
      <c r="N53" s="2420"/>
      <c r="O53" s="2792"/>
    </row>
    <row r="54" spans="1:15" x14ac:dyDescent="0.3">
      <c r="A54" s="214" t="s">
        <v>381</v>
      </c>
      <c r="B54" s="1223">
        <v>3489</v>
      </c>
      <c r="C54" s="1223">
        <v>4121</v>
      </c>
      <c r="D54" s="1223">
        <v>603</v>
      </c>
      <c r="E54" s="1223">
        <v>1320</v>
      </c>
      <c r="F54" s="1223">
        <v>3955</v>
      </c>
      <c r="G54" s="1223">
        <v>1365</v>
      </c>
      <c r="H54" s="1223">
        <v>2415</v>
      </c>
      <c r="I54" s="1223">
        <v>1106</v>
      </c>
      <c r="J54" s="1223">
        <v>2484.5</v>
      </c>
      <c r="K54" s="1223">
        <v>194.1</v>
      </c>
      <c r="L54" s="923">
        <v>91.3</v>
      </c>
      <c r="M54" s="1157"/>
      <c r="N54" s="2420"/>
      <c r="O54" s="226"/>
    </row>
    <row r="55" spans="1:15" x14ac:dyDescent="0.3">
      <c r="A55" s="214" t="s">
        <v>513</v>
      </c>
      <c r="B55" s="1223">
        <v>0</v>
      </c>
      <c r="C55" s="1223">
        <v>0</v>
      </c>
      <c r="D55" s="1223">
        <v>0</v>
      </c>
      <c r="E55" s="1223">
        <v>0</v>
      </c>
      <c r="F55" s="1223">
        <v>0</v>
      </c>
      <c r="G55" s="1223">
        <v>0</v>
      </c>
      <c r="H55" s="1223">
        <v>0</v>
      </c>
      <c r="I55" s="1223">
        <v>0</v>
      </c>
      <c r="J55" s="1223">
        <v>0</v>
      </c>
      <c r="K55" s="1223">
        <v>0</v>
      </c>
      <c r="L55" s="923">
        <v>-268.5</v>
      </c>
      <c r="M55" s="1157"/>
      <c r="N55" s="2420"/>
      <c r="O55" s="226"/>
    </row>
    <row r="56" spans="1:15" x14ac:dyDescent="0.3">
      <c r="A56" s="213" t="s">
        <v>514</v>
      </c>
      <c r="B56" s="1248">
        <f t="shared" ref="B56:L56" si="7">SUM(B53:B55)</f>
        <v>10936</v>
      </c>
      <c r="C56" s="1248">
        <f t="shared" si="7"/>
        <v>12020</v>
      </c>
      <c r="D56" s="1248">
        <f t="shared" si="7"/>
        <v>6613</v>
      </c>
      <c r="E56" s="1248">
        <f t="shared" si="7"/>
        <v>1773</v>
      </c>
      <c r="F56" s="1248">
        <f t="shared" si="7"/>
        <v>5654</v>
      </c>
      <c r="G56" s="1248">
        <f t="shared" si="7"/>
        <v>2450</v>
      </c>
      <c r="H56" s="1248">
        <f t="shared" si="7"/>
        <v>4314</v>
      </c>
      <c r="I56" s="1248">
        <f t="shared" si="7"/>
        <v>2827</v>
      </c>
      <c r="J56" s="1248">
        <f t="shared" si="7"/>
        <v>3705.9</v>
      </c>
      <c r="K56" s="1248">
        <f t="shared" si="7"/>
        <v>1008.8</v>
      </c>
      <c r="L56" s="1249">
        <f t="shared" si="7"/>
        <v>662.19999999999993</v>
      </c>
      <c r="M56" s="2442"/>
      <c r="N56" s="2420"/>
      <c r="O56" s="226"/>
    </row>
    <row r="57" spans="1:15" ht="18.600000000000001" x14ac:dyDescent="0.3">
      <c r="A57" s="214" t="s">
        <v>1661</v>
      </c>
      <c r="B57" s="1223">
        <f t="shared" ref="B57:C57" si="8">B58-B56</f>
        <v>-3628</v>
      </c>
      <c r="C57" s="1223">
        <f t="shared" si="8"/>
        <v>-3869</v>
      </c>
      <c r="D57" s="1223">
        <f t="shared" ref="D57:E57" si="9">D58-D56</f>
        <v>-2327</v>
      </c>
      <c r="E57" s="1223">
        <f t="shared" si="9"/>
        <v>-978</v>
      </c>
      <c r="F57" s="1223">
        <f t="shared" ref="F57:G57" si="10">F58-F56</f>
        <v>-2326</v>
      </c>
      <c r="G57" s="1223">
        <f t="shared" si="10"/>
        <v>-893</v>
      </c>
      <c r="H57" s="1223">
        <f t="shared" ref="H57:I57" si="11">H58-H56</f>
        <v>-1484</v>
      </c>
      <c r="I57" s="1223">
        <f t="shared" si="11"/>
        <v>-926</v>
      </c>
      <c r="J57" s="1223">
        <f t="shared" ref="J57:K57" si="12">J58-J56</f>
        <v>-1217.3000000000002</v>
      </c>
      <c r="K57" s="1223">
        <f t="shared" si="12"/>
        <v>-283.59999999999991</v>
      </c>
      <c r="L57" s="923">
        <f t="shared" ref="L57" si="13">L58-L56</f>
        <v>-167.39999999999992</v>
      </c>
      <c r="M57" s="1157"/>
      <c r="N57" s="922"/>
    </row>
    <row r="58" spans="1:15" ht="16.2" thickBot="1" x14ac:dyDescent="0.35">
      <c r="A58" s="213" t="s">
        <v>507</v>
      </c>
      <c r="B58" s="1250">
        <v>7308</v>
      </c>
      <c r="C58" s="1250">
        <v>8151</v>
      </c>
      <c r="D58" s="1250">
        <v>4286</v>
      </c>
      <c r="E58" s="1250">
        <v>795</v>
      </c>
      <c r="F58" s="1250">
        <v>3328</v>
      </c>
      <c r="G58" s="1250">
        <v>1557</v>
      </c>
      <c r="H58" s="1250">
        <v>2830</v>
      </c>
      <c r="I58" s="1250">
        <v>1901</v>
      </c>
      <c r="J58" s="1250">
        <v>2488.6</v>
      </c>
      <c r="K58" s="1250">
        <v>725.2</v>
      </c>
      <c r="L58" s="1251">
        <v>494.8</v>
      </c>
      <c r="M58" s="1256"/>
      <c r="N58" s="1256"/>
    </row>
    <row r="59" spans="1:15" ht="3.75" customHeight="1" thickTop="1" x14ac:dyDescent="0.3">
      <c r="A59" s="213"/>
      <c r="B59" s="1256"/>
      <c r="C59" s="1256"/>
      <c r="D59" s="1256"/>
      <c r="E59" s="1256"/>
      <c r="F59" s="1256"/>
      <c r="G59" s="1256"/>
      <c r="H59" s="1256"/>
      <c r="I59" s="1256"/>
      <c r="J59" s="1256"/>
      <c r="K59" s="1256"/>
      <c r="L59" s="1257"/>
      <c r="M59" s="1256"/>
      <c r="N59" s="1256"/>
    </row>
    <row r="60" spans="1:15" x14ac:dyDescent="0.3">
      <c r="A60" s="214"/>
      <c r="B60" s="278"/>
      <c r="C60" s="278"/>
      <c r="F60" s="278"/>
      <c r="G60" s="278"/>
      <c r="H60" s="278"/>
      <c r="L60" s="223"/>
      <c r="M60" s="220"/>
      <c r="N60" s="220"/>
    </row>
    <row r="61" spans="1:15" ht="60.75" customHeight="1" x14ac:dyDescent="0.3">
      <c r="A61" s="2799" t="s">
        <v>3763</v>
      </c>
      <c r="B61" s="2827"/>
      <c r="C61" s="2827"/>
      <c r="D61" s="2827"/>
      <c r="E61" s="2827"/>
      <c r="F61" s="2827"/>
      <c r="G61" s="2827"/>
      <c r="H61" s="2827"/>
      <c r="I61" s="2827"/>
      <c r="J61" s="2827"/>
      <c r="K61" s="2827"/>
      <c r="L61" s="2801"/>
      <c r="M61" s="2404"/>
      <c r="N61" s="2327"/>
    </row>
    <row r="62" spans="1:15" ht="10.5" customHeight="1" x14ac:dyDescent="0.3">
      <c r="A62" s="1163"/>
      <c r="B62" s="1166"/>
      <c r="C62" s="1166"/>
      <c r="D62" s="1166"/>
      <c r="E62" s="1166"/>
      <c r="F62" s="1166"/>
      <c r="G62" s="1166"/>
      <c r="H62" s="1166"/>
      <c r="I62" s="1166"/>
      <c r="J62" s="1166"/>
      <c r="K62" s="1166"/>
      <c r="L62" s="1164"/>
      <c r="M62" s="2404"/>
      <c r="N62" s="2327"/>
    </row>
    <row r="63" spans="1:15" x14ac:dyDescent="0.3">
      <c r="A63" s="1163" t="s">
        <v>1398</v>
      </c>
      <c r="B63" s="1166"/>
      <c r="C63" s="1166"/>
      <c r="D63" s="1166"/>
      <c r="E63" s="1166"/>
      <c r="F63" s="1166"/>
      <c r="G63" s="1166"/>
      <c r="H63" s="1166"/>
      <c r="I63" s="1166"/>
      <c r="J63" s="1166"/>
      <c r="K63" s="1166"/>
      <c r="L63" s="1164"/>
      <c r="M63" s="2404"/>
      <c r="N63" s="2327"/>
    </row>
    <row r="64" spans="1:15" ht="30" customHeight="1" x14ac:dyDescent="0.3">
      <c r="A64" s="2799" t="s">
        <v>1925</v>
      </c>
      <c r="B64" s="2827"/>
      <c r="C64" s="2827"/>
      <c r="D64" s="2827"/>
      <c r="E64" s="2827"/>
      <c r="F64" s="2827"/>
      <c r="G64" s="2827"/>
      <c r="H64" s="2827"/>
      <c r="I64" s="2827"/>
      <c r="J64" s="2827"/>
      <c r="K64" s="2827"/>
      <c r="L64" s="2801"/>
      <c r="M64" s="2404"/>
      <c r="N64" s="2327"/>
    </row>
    <row r="65" spans="1:20" ht="33.75" customHeight="1" x14ac:dyDescent="0.3">
      <c r="A65" s="2799" t="s">
        <v>1932</v>
      </c>
      <c r="B65" s="2800"/>
      <c r="C65" s="2800"/>
      <c r="D65" s="2800"/>
      <c r="E65" s="2800"/>
      <c r="F65" s="2800"/>
      <c r="G65" s="2800"/>
      <c r="H65" s="2800"/>
      <c r="I65" s="2800"/>
      <c r="J65" s="2800"/>
      <c r="K65" s="2800"/>
      <c r="L65" s="2801"/>
      <c r="M65" s="2404"/>
      <c r="N65" s="2327"/>
    </row>
    <row r="66" spans="1:20" x14ac:dyDescent="0.3">
      <c r="A66" s="2799" t="s">
        <v>1939</v>
      </c>
      <c r="B66" s="2827"/>
      <c r="C66" s="2827"/>
      <c r="D66" s="2827"/>
      <c r="E66" s="2827"/>
      <c r="F66" s="2827"/>
      <c r="G66" s="2827"/>
      <c r="H66" s="2827"/>
      <c r="I66" s="2827"/>
      <c r="J66" s="2827"/>
      <c r="K66" s="2827"/>
      <c r="L66" s="2801"/>
      <c r="M66" s="2404"/>
      <c r="N66" s="2327"/>
    </row>
    <row r="67" spans="1:20" x14ac:dyDescent="0.3">
      <c r="A67" s="2799" t="s">
        <v>1926</v>
      </c>
      <c r="B67" s="2827"/>
      <c r="C67" s="2827"/>
      <c r="D67" s="2827"/>
      <c r="E67" s="2827"/>
      <c r="F67" s="2827"/>
      <c r="G67" s="2827"/>
      <c r="H67" s="2827"/>
      <c r="I67" s="2827"/>
      <c r="J67" s="2827"/>
      <c r="K67" s="2827"/>
      <c r="L67" s="2801"/>
      <c r="M67" s="2404"/>
      <c r="N67" s="2327"/>
    </row>
    <row r="68" spans="1:20" ht="46.5" customHeight="1" x14ac:dyDescent="0.3">
      <c r="A68" s="2799" t="s">
        <v>1933</v>
      </c>
      <c r="B68" s="2827"/>
      <c r="C68" s="2827"/>
      <c r="D68" s="2827"/>
      <c r="E68" s="2827"/>
      <c r="F68" s="2827"/>
      <c r="G68" s="2827"/>
      <c r="H68" s="2827"/>
      <c r="I68" s="2827"/>
      <c r="J68" s="2827"/>
      <c r="K68" s="2827"/>
      <c r="L68" s="2801"/>
      <c r="M68" s="2404"/>
      <c r="N68" s="2327"/>
    </row>
    <row r="69" spans="1:20" x14ac:dyDescent="0.3">
      <c r="A69" s="6" t="s">
        <v>2195</v>
      </c>
      <c r="B69" s="1"/>
      <c r="C69" s="1"/>
      <c r="D69" s="1"/>
      <c r="E69" s="1"/>
      <c r="F69" s="1"/>
      <c r="G69" s="1"/>
      <c r="H69" s="1"/>
      <c r="I69" s="1"/>
      <c r="J69" s="1"/>
      <c r="K69" s="1"/>
      <c r="L69" s="8"/>
      <c r="M69" s="205"/>
      <c r="N69" s="205"/>
    </row>
    <row r="70" spans="1:20" x14ac:dyDescent="0.3">
      <c r="A70" s="6" t="s">
        <v>1927</v>
      </c>
      <c r="B70" s="1"/>
      <c r="C70" s="1"/>
      <c r="D70" s="1"/>
      <c r="E70" s="1"/>
      <c r="F70" s="1"/>
      <c r="G70" s="1"/>
      <c r="H70" s="1"/>
      <c r="I70" s="1"/>
      <c r="J70" s="1"/>
      <c r="K70" s="1"/>
      <c r="L70" s="8"/>
      <c r="M70" s="205"/>
      <c r="N70" s="205"/>
    </row>
    <row r="71" spans="1:20" x14ac:dyDescent="0.3">
      <c r="A71" s="1165" t="s">
        <v>1934</v>
      </c>
      <c r="B71" s="1"/>
      <c r="C71" s="1"/>
      <c r="D71" s="1"/>
      <c r="E71" s="1"/>
      <c r="F71" s="1"/>
      <c r="G71" s="1"/>
      <c r="H71" s="1"/>
      <c r="I71" s="1"/>
      <c r="J71" s="1"/>
      <c r="K71" s="1"/>
      <c r="L71" s="8"/>
      <c r="M71" s="205"/>
      <c r="N71" s="205"/>
    </row>
    <row r="72" spans="1:20" x14ac:dyDescent="0.3">
      <c r="A72" s="1165" t="s">
        <v>1928</v>
      </c>
      <c r="B72" s="1"/>
      <c r="C72" s="1"/>
      <c r="D72" s="1"/>
      <c r="E72" s="1"/>
      <c r="F72" s="1"/>
      <c r="G72" s="1"/>
      <c r="H72" s="1"/>
      <c r="I72" s="1"/>
      <c r="J72" s="1"/>
      <c r="K72" s="1"/>
      <c r="L72" s="8"/>
      <c r="M72" s="205"/>
      <c r="N72" s="205"/>
    </row>
    <row r="73" spans="1:20" x14ac:dyDescent="0.3">
      <c r="A73" s="1165" t="s">
        <v>1935</v>
      </c>
      <c r="B73" s="1"/>
      <c r="C73" s="1"/>
      <c r="D73" s="1"/>
      <c r="E73" s="1"/>
      <c r="F73" s="1"/>
      <c r="G73" s="1"/>
      <c r="H73" s="1"/>
      <c r="I73" s="1"/>
      <c r="J73" s="1"/>
      <c r="K73" s="1"/>
      <c r="L73" s="8"/>
      <c r="M73" s="205"/>
      <c r="N73" s="205"/>
    </row>
    <row r="74" spans="1:20" ht="45" customHeight="1" x14ac:dyDescent="0.3">
      <c r="A74" s="2799" t="s">
        <v>1936</v>
      </c>
      <c r="B74" s="2827"/>
      <c r="C74" s="2827"/>
      <c r="D74" s="2827"/>
      <c r="E74" s="2827"/>
      <c r="F74" s="2827"/>
      <c r="G74" s="2827"/>
      <c r="H74" s="2827"/>
      <c r="I74" s="2827"/>
      <c r="J74" s="2827"/>
      <c r="K74" s="2827"/>
      <c r="L74" s="2801"/>
      <c r="M74" s="2404"/>
      <c r="N74" s="2327"/>
      <c r="T74" s="211" t="s">
        <v>176</v>
      </c>
    </row>
    <row r="75" spans="1:20" ht="30" customHeight="1" x14ac:dyDescent="0.3">
      <c r="A75" s="2799" t="s">
        <v>1937</v>
      </c>
      <c r="B75" s="2800"/>
      <c r="C75" s="2800"/>
      <c r="D75" s="2800"/>
      <c r="E75" s="2800"/>
      <c r="F75" s="2800"/>
      <c r="G75" s="2800"/>
      <c r="H75" s="2800"/>
      <c r="I75" s="2800"/>
      <c r="J75" s="2800"/>
      <c r="K75" s="2800"/>
      <c r="L75" s="2801"/>
      <c r="M75" s="2404"/>
      <c r="N75" s="2327"/>
    </row>
    <row r="76" spans="1:20" x14ac:dyDescent="0.3">
      <c r="A76" s="6" t="s">
        <v>1929</v>
      </c>
      <c r="B76" s="1"/>
      <c r="C76" s="1"/>
      <c r="D76" s="1"/>
      <c r="E76" s="1"/>
      <c r="F76" s="1"/>
      <c r="G76" s="1"/>
      <c r="H76" s="1"/>
      <c r="I76" s="1"/>
      <c r="J76" s="1"/>
      <c r="K76" s="1"/>
      <c r="L76" s="8"/>
      <c r="M76" s="205"/>
      <c r="N76" s="205"/>
    </row>
    <row r="77" spans="1:20" x14ac:dyDescent="0.3">
      <c r="A77" s="6" t="s">
        <v>1930</v>
      </c>
      <c r="B77" s="1"/>
      <c r="C77" s="1"/>
      <c r="D77" s="1"/>
      <c r="E77" s="1"/>
      <c r="F77" s="1"/>
      <c r="G77" s="1"/>
      <c r="H77" s="1"/>
      <c r="I77" s="1"/>
      <c r="J77" s="1"/>
      <c r="K77" s="1"/>
      <c r="L77" s="8"/>
      <c r="M77" s="205"/>
      <c r="N77" s="205"/>
    </row>
    <row r="78" spans="1:20" ht="29.4" customHeight="1" x14ac:dyDescent="0.3">
      <c r="A78" s="2799" t="s">
        <v>1938</v>
      </c>
      <c r="B78" s="2827"/>
      <c r="C78" s="2827"/>
      <c r="D78" s="2827"/>
      <c r="E78" s="2827"/>
      <c r="F78" s="2827"/>
      <c r="G78" s="2827"/>
      <c r="H78" s="2827"/>
      <c r="I78" s="2827"/>
      <c r="J78" s="2827"/>
      <c r="K78" s="2827"/>
      <c r="L78" s="2801"/>
      <c r="M78" s="2404"/>
      <c r="N78" s="2327"/>
    </row>
    <row r="79" spans="1:20" x14ac:dyDescent="0.3">
      <c r="A79" s="6" t="s">
        <v>1931</v>
      </c>
      <c r="B79" s="1"/>
      <c r="C79" s="1"/>
      <c r="D79" s="1"/>
      <c r="E79" s="1"/>
      <c r="F79" s="1"/>
      <c r="G79" s="1"/>
      <c r="H79" s="1"/>
      <c r="I79" s="1"/>
      <c r="J79" s="1"/>
      <c r="K79" s="1"/>
      <c r="L79" s="8"/>
      <c r="M79" s="205"/>
      <c r="N79" s="205"/>
    </row>
    <row r="80" spans="1:20" ht="6.6" customHeight="1" thickBot="1" x14ac:dyDescent="0.35">
      <c r="A80" s="9"/>
      <c r="B80" s="25"/>
      <c r="C80" s="25"/>
      <c r="D80" s="25"/>
      <c r="E80" s="25"/>
      <c r="F80" s="25"/>
      <c r="G80" s="25"/>
      <c r="H80" s="25"/>
      <c r="I80" s="25"/>
      <c r="J80" s="25"/>
      <c r="K80" s="25"/>
      <c r="L80" s="26"/>
      <c r="M80" s="205"/>
      <c r="N80" s="205"/>
    </row>
    <row r="81" spans="1:14" x14ac:dyDescent="0.3">
      <c r="A81" s="12" t="s">
        <v>1924</v>
      </c>
      <c r="B81" s="1"/>
      <c r="C81" s="1"/>
      <c r="D81" s="1"/>
      <c r="E81" s="1"/>
      <c r="F81" s="1"/>
      <c r="G81" s="1"/>
      <c r="H81" s="1"/>
      <c r="I81" s="1"/>
      <c r="J81" s="1"/>
      <c r="K81" s="1"/>
      <c r="L81" s="1"/>
      <c r="M81" s="1"/>
      <c r="N81" s="1"/>
    </row>
    <row r="83" spans="1:14" x14ac:dyDescent="0.3">
      <c r="B83" s="278"/>
      <c r="C83" s="278"/>
    </row>
    <row r="84" spans="1:14" x14ac:dyDescent="0.3">
      <c r="A84" s="211" t="s">
        <v>944</v>
      </c>
      <c r="B84" s="278">
        <f t="shared" ref="B84:L84" si="14">B18</f>
        <v>1551</v>
      </c>
      <c r="C84" s="278">
        <f t="shared" si="14"/>
        <v>1718</v>
      </c>
      <c r="D84" s="278">
        <f t="shared" si="14"/>
        <v>-411</v>
      </c>
      <c r="E84" s="278">
        <f t="shared" si="14"/>
        <v>-4067</v>
      </c>
      <c r="F84" s="278">
        <f t="shared" si="14"/>
        <v>-1615</v>
      </c>
      <c r="G84" s="278">
        <f t="shared" si="14"/>
        <v>-1394</v>
      </c>
      <c r="H84" s="278">
        <f t="shared" si="14"/>
        <v>265</v>
      </c>
      <c r="I84" s="278">
        <f t="shared" si="14"/>
        <v>462</v>
      </c>
      <c r="J84" s="278">
        <f t="shared" si="14"/>
        <v>222.1</v>
      </c>
      <c r="K84" s="278">
        <f t="shared" si="14"/>
        <v>20.5</v>
      </c>
      <c r="L84" s="278">
        <f t="shared" si="14"/>
        <v>129.9</v>
      </c>
      <c r="M84" s="278"/>
      <c r="N84" s="278"/>
    </row>
    <row r="85" spans="1:14" x14ac:dyDescent="0.3">
      <c r="A85" s="211" t="s">
        <v>945</v>
      </c>
      <c r="B85" s="278">
        <f t="shared" ref="B85:L85" si="15">B20</f>
        <v>2824</v>
      </c>
      <c r="C85" s="278">
        <f t="shared" si="15"/>
        <v>3223</v>
      </c>
      <c r="D85" s="278">
        <f t="shared" si="15"/>
        <v>3050</v>
      </c>
      <c r="E85" s="278">
        <f t="shared" si="15"/>
        <v>2824</v>
      </c>
      <c r="F85" s="278">
        <f t="shared" si="15"/>
        <v>2773</v>
      </c>
      <c r="G85" s="278">
        <f t="shared" si="15"/>
        <v>2482</v>
      </c>
      <c r="H85" s="278">
        <f t="shared" si="15"/>
        <v>974</v>
      </c>
      <c r="I85" s="278">
        <f t="shared" si="15"/>
        <v>882</v>
      </c>
      <c r="J85" s="278">
        <f t="shared" si="15"/>
        <v>726.2</v>
      </c>
      <c r="K85" s="278">
        <f t="shared" si="15"/>
        <v>501.6</v>
      </c>
      <c r="L85" s="278">
        <f t="shared" si="15"/>
        <v>419.4</v>
      </c>
      <c r="M85" s="278"/>
      <c r="N85" s="278"/>
    </row>
    <row r="86" spans="1:14" x14ac:dyDescent="0.3">
      <c r="A86" s="211" t="s">
        <v>954</v>
      </c>
      <c r="B86" s="278">
        <f t="shared" ref="B86:L86" si="16">B21+B22+B23+B24+B25+B26+B30+B32+B45</f>
        <v>3302</v>
      </c>
      <c r="C86" s="278">
        <f t="shared" si="16"/>
        <v>3205</v>
      </c>
      <c r="D86" s="278">
        <f t="shared" si="16"/>
        <v>3574</v>
      </c>
      <c r="E86" s="278">
        <f t="shared" si="16"/>
        <v>2506</v>
      </c>
      <c r="F86" s="278">
        <f t="shared" si="16"/>
        <v>1492</v>
      </c>
      <c r="G86" s="278">
        <f t="shared" si="16"/>
        <v>829</v>
      </c>
      <c r="H86" s="278">
        <f t="shared" si="16"/>
        <v>840</v>
      </c>
      <c r="I86" s="278">
        <f t="shared" si="16"/>
        <v>540</v>
      </c>
      <c r="J86" s="278">
        <f t="shared" si="16"/>
        <v>383.4</v>
      </c>
      <c r="K86" s="278">
        <f t="shared" si="16"/>
        <v>332.9</v>
      </c>
      <c r="L86" s="278">
        <f t="shared" si="16"/>
        <v>333.2</v>
      </c>
      <c r="M86" s="278"/>
      <c r="N86" s="278"/>
    </row>
    <row r="87" spans="1:14" x14ac:dyDescent="0.3">
      <c r="A87" s="211" t="s">
        <v>293</v>
      </c>
      <c r="B87" s="278">
        <f t="shared" ref="B87:L87" si="17">B48</f>
        <v>-92</v>
      </c>
      <c r="C87" s="278">
        <f t="shared" si="17"/>
        <v>-94</v>
      </c>
      <c r="D87" s="278">
        <f t="shared" si="17"/>
        <v>-86</v>
      </c>
      <c r="E87" s="278">
        <f t="shared" si="17"/>
        <v>-92</v>
      </c>
      <c r="F87" s="278">
        <f t="shared" si="17"/>
        <v>-92</v>
      </c>
      <c r="G87" s="278">
        <f t="shared" si="17"/>
        <v>-109</v>
      </c>
      <c r="H87" s="278">
        <f t="shared" si="17"/>
        <v>-100</v>
      </c>
      <c r="I87" s="278">
        <f t="shared" si="17"/>
        <v>-107</v>
      </c>
      <c r="J87" s="278">
        <f t="shared" si="17"/>
        <v>-94.3</v>
      </c>
      <c r="K87" s="278">
        <f t="shared" si="17"/>
        <v>-56</v>
      </c>
      <c r="L87" s="278">
        <f t="shared" si="17"/>
        <v>-60.1</v>
      </c>
      <c r="M87" s="278"/>
      <c r="N87" s="278"/>
    </row>
    <row r="88" spans="1:14" x14ac:dyDescent="0.3">
      <c r="A88" s="211" t="s">
        <v>15</v>
      </c>
      <c r="B88" s="278">
        <f t="shared" ref="B88:L88" si="18">B53-SUM(B84:B87)</f>
        <v>-138</v>
      </c>
      <c r="C88" s="278">
        <f t="shared" si="18"/>
        <v>-153</v>
      </c>
      <c r="D88" s="278">
        <f t="shared" si="18"/>
        <v>-117</v>
      </c>
      <c r="E88" s="278">
        <f t="shared" si="18"/>
        <v>-718</v>
      </c>
      <c r="F88" s="278">
        <f t="shared" si="18"/>
        <v>-859</v>
      </c>
      <c r="G88" s="278">
        <f t="shared" si="18"/>
        <v>-723</v>
      </c>
      <c r="H88" s="278">
        <f t="shared" si="18"/>
        <v>-80</v>
      </c>
      <c r="I88" s="278">
        <f t="shared" si="18"/>
        <v>-56</v>
      </c>
      <c r="J88" s="278">
        <f t="shared" si="18"/>
        <v>-16</v>
      </c>
      <c r="K88" s="278">
        <f t="shared" si="18"/>
        <v>15.699999999999932</v>
      </c>
      <c r="L88" s="278">
        <f t="shared" si="18"/>
        <v>17</v>
      </c>
      <c r="M88" s="278"/>
      <c r="N88" s="278"/>
    </row>
    <row r="89" spans="1:14" x14ac:dyDescent="0.3">
      <c r="A89" s="211" t="s">
        <v>955</v>
      </c>
      <c r="B89" s="905">
        <f>SUM(B84:B88)</f>
        <v>7447</v>
      </c>
      <c r="C89" s="905">
        <f>SUM(C84:C88)</f>
        <v>7899</v>
      </c>
      <c r="D89" s="905">
        <f t="shared" ref="D89:L89" si="19">SUM(D84:D88)</f>
        <v>6010</v>
      </c>
      <c r="E89" s="905">
        <f t="shared" si="19"/>
        <v>453</v>
      </c>
      <c r="F89" s="905">
        <f t="shared" si="19"/>
        <v>1699</v>
      </c>
      <c r="G89" s="905">
        <f t="shared" si="19"/>
        <v>1085</v>
      </c>
      <c r="H89" s="905">
        <f t="shared" si="19"/>
        <v>1899</v>
      </c>
      <c r="I89" s="905">
        <f t="shared" si="19"/>
        <v>1721</v>
      </c>
      <c r="J89" s="905">
        <f t="shared" si="19"/>
        <v>1221.4000000000001</v>
      </c>
      <c r="K89" s="905">
        <f t="shared" si="19"/>
        <v>814.69999999999993</v>
      </c>
      <c r="L89" s="905">
        <f t="shared" si="19"/>
        <v>839.4</v>
      </c>
      <c r="M89" s="398"/>
      <c r="N89" s="398"/>
    </row>
    <row r="91" spans="1:14" s="309" customFormat="1" x14ac:dyDescent="0.3">
      <c r="A91" s="309" t="s">
        <v>20</v>
      </c>
      <c r="B91" s="1218">
        <f t="shared" ref="B91:L91" si="20">B89-B53</f>
        <v>0</v>
      </c>
      <c r="C91" s="1218">
        <f t="shared" si="20"/>
        <v>0</v>
      </c>
      <c r="D91" s="1218">
        <f t="shared" si="20"/>
        <v>0</v>
      </c>
      <c r="E91" s="1218">
        <f t="shared" si="20"/>
        <v>0</v>
      </c>
      <c r="F91" s="1218">
        <f t="shared" si="20"/>
        <v>0</v>
      </c>
      <c r="G91" s="1218">
        <f t="shared" si="20"/>
        <v>0</v>
      </c>
      <c r="H91" s="1218">
        <f t="shared" si="20"/>
        <v>0</v>
      </c>
      <c r="I91" s="1218">
        <f t="shared" si="20"/>
        <v>0</v>
      </c>
      <c r="J91" s="1218">
        <f t="shared" si="20"/>
        <v>0</v>
      </c>
      <c r="K91" s="1218">
        <f t="shared" si="20"/>
        <v>0</v>
      </c>
      <c r="L91" s="1218">
        <f t="shared" si="20"/>
        <v>0</v>
      </c>
      <c r="M91" s="1218"/>
      <c r="N91" s="1218"/>
    </row>
    <row r="94" spans="1:14" s="345" customFormat="1" ht="16.2" outlineLevel="1" thickBot="1" x14ac:dyDescent="0.35">
      <c r="A94" s="345" t="s">
        <v>708</v>
      </c>
      <c r="C94" s="345">
        <v>2003</v>
      </c>
      <c r="D94" s="345">
        <v>2003</v>
      </c>
    </row>
    <row r="95" spans="1:14" x14ac:dyDescent="0.3">
      <c r="A95" s="453" t="s">
        <v>956</v>
      </c>
      <c r="B95" s="359">
        <v>2004</v>
      </c>
      <c r="C95" s="359">
        <v>2003</v>
      </c>
      <c r="D95" s="359">
        <v>2002</v>
      </c>
      <c r="E95" s="359">
        <v>2001</v>
      </c>
      <c r="F95" s="359">
        <v>2000</v>
      </c>
      <c r="G95" s="359">
        <v>1999</v>
      </c>
      <c r="H95" s="359">
        <v>1998</v>
      </c>
      <c r="I95" s="359">
        <v>1997</v>
      </c>
      <c r="J95" s="359">
        <v>1996</v>
      </c>
      <c r="K95" s="359">
        <v>1995</v>
      </c>
      <c r="L95" s="360">
        <v>1994</v>
      </c>
      <c r="M95" s="1070"/>
      <c r="N95" s="1070"/>
    </row>
    <row r="96" spans="1:14" x14ac:dyDescent="0.3">
      <c r="A96" s="214" t="s">
        <v>944</v>
      </c>
      <c r="B96" s="252">
        <v>1008</v>
      </c>
      <c r="C96" s="252">
        <v>1114</v>
      </c>
      <c r="D96" s="252">
        <v>-284</v>
      </c>
      <c r="E96" s="252">
        <v>-2654</v>
      </c>
      <c r="F96" s="356"/>
      <c r="G96" s="356"/>
      <c r="H96" s="356"/>
      <c r="I96" s="356"/>
      <c r="J96" s="356"/>
      <c r="K96" s="356"/>
      <c r="L96" s="1219"/>
      <c r="M96" s="1812"/>
      <c r="N96" s="1812"/>
    </row>
    <row r="97" spans="1:14" x14ac:dyDescent="0.3">
      <c r="A97" s="214" t="s">
        <v>945</v>
      </c>
      <c r="B97" s="230">
        <v>2045</v>
      </c>
      <c r="C97" s="230">
        <v>2276</v>
      </c>
      <c r="D97" s="230">
        <v>2096</v>
      </c>
      <c r="E97" s="230">
        <v>1968</v>
      </c>
      <c r="F97" s="356"/>
      <c r="G97" s="356"/>
      <c r="H97" s="356"/>
      <c r="I97" s="356"/>
      <c r="J97" s="356"/>
      <c r="K97" s="356"/>
      <c r="L97" s="1219"/>
      <c r="M97" s="1812"/>
      <c r="N97" s="1812"/>
    </row>
    <row r="98" spans="1:14" x14ac:dyDescent="0.3">
      <c r="A98" s="214" t="s">
        <v>954</v>
      </c>
      <c r="B98" s="230">
        <v>1913</v>
      </c>
      <c r="C98" s="230">
        <v>1745</v>
      </c>
      <c r="D98" s="230">
        <v>1668</v>
      </c>
      <c r="E98" s="230">
        <v>1082</v>
      </c>
      <c r="F98" s="356"/>
      <c r="G98" s="356"/>
      <c r="H98" s="356"/>
      <c r="I98" s="356"/>
      <c r="J98" s="356"/>
      <c r="K98" s="356"/>
      <c r="L98" s="1219"/>
      <c r="M98" s="1812"/>
      <c r="N98" s="1812"/>
    </row>
    <row r="99" spans="1:14" x14ac:dyDescent="0.3">
      <c r="A99" s="214" t="s">
        <v>957</v>
      </c>
      <c r="B99" s="230">
        <v>237</v>
      </c>
      <c r="C99" s="230">
        <v>429</v>
      </c>
      <c r="D99" s="230">
        <v>359</v>
      </c>
      <c r="E99" s="230">
        <v>134</v>
      </c>
      <c r="F99" s="356"/>
      <c r="G99" s="356"/>
      <c r="H99" s="356"/>
      <c r="I99" s="356"/>
      <c r="J99" s="356"/>
      <c r="K99" s="356"/>
      <c r="L99" s="1219"/>
      <c r="M99" s="1812"/>
      <c r="N99" s="1812"/>
    </row>
    <row r="100" spans="1:14" x14ac:dyDescent="0.3">
      <c r="A100" s="214" t="s">
        <v>962</v>
      </c>
      <c r="B100" s="230">
        <v>-59</v>
      </c>
      <c r="C100" s="230">
        <v>-59</v>
      </c>
      <c r="D100" s="230">
        <v>-55</v>
      </c>
      <c r="E100" s="230">
        <v>-60</v>
      </c>
      <c r="F100" s="356"/>
      <c r="G100" s="356"/>
      <c r="H100" s="356"/>
      <c r="I100" s="356"/>
      <c r="J100" s="356"/>
      <c r="K100" s="356"/>
      <c r="L100" s="1219"/>
      <c r="M100" s="1812"/>
      <c r="N100" s="1812"/>
    </row>
    <row r="101" spans="1:14" x14ac:dyDescent="0.3">
      <c r="A101" s="214" t="s">
        <v>961</v>
      </c>
      <c r="B101" s="231"/>
      <c r="C101" s="230">
        <v>-104</v>
      </c>
      <c r="D101" s="230">
        <v>-65</v>
      </c>
      <c r="E101" s="230">
        <v>-603</v>
      </c>
      <c r="F101" s="356"/>
      <c r="G101" s="356"/>
      <c r="H101" s="356"/>
      <c r="I101" s="356"/>
      <c r="J101" s="356"/>
      <c r="K101" s="356"/>
      <c r="L101" s="1219"/>
      <c r="M101" s="1812"/>
      <c r="N101" s="1812"/>
    </row>
    <row r="102" spans="1:14" x14ac:dyDescent="0.3">
      <c r="A102" s="214" t="s">
        <v>15</v>
      </c>
      <c r="B102" s="230">
        <v>-95</v>
      </c>
      <c r="C102" s="230">
        <v>21</v>
      </c>
      <c r="D102" s="230">
        <v>1</v>
      </c>
      <c r="E102" s="230">
        <v>5</v>
      </c>
      <c r="F102" s="356"/>
      <c r="G102" s="356"/>
      <c r="H102" s="356"/>
      <c r="I102" s="356"/>
      <c r="J102" s="356"/>
      <c r="K102" s="356"/>
      <c r="L102" s="1219"/>
      <c r="M102" s="1812"/>
      <c r="N102" s="1812"/>
    </row>
    <row r="103" spans="1:14" x14ac:dyDescent="0.3">
      <c r="A103" s="214" t="s">
        <v>958</v>
      </c>
      <c r="B103" s="472">
        <f>SUM(B96:B102)</f>
        <v>5049</v>
      </c>
      <c r="C103" s="472">
        <f>SUM(C96:C102)</f>
        <v>5422</v>
      </c>
      <c r="D103" s="472">
        <f>SUM(D96:D102)</f>
        <v>3720</v>
      </c>
      <c r="E103" s="472">
        <f>SUM(E96:E102)</f>
        <v>-128</v>
      </c>
      <c r="F103" s="356"/>
      <c r="G103" s="356"/>
      <c r="H103" s="356"/>
      <c r="I103" s="356"/>
      <c r="J103" s="356"/>
      <c r="K103" s="356"/>
      <c r="L103" s="1219"/>
      <c r="M103" s="1812"/>
      <c r="N103" s="1812"/>
    </row>
    <row r="104" spans="1:14" x14ac:dyDescent="0.3">
      <c r="A104" s="214" t="s">
        <v>959</v>
      </c>
      <c r="B104" s="230">
        <v>2259</v>
      </c>
      <c r="C104" s="230">
        <v>2729</v>
      </c>
      <c r="D104" s="230">
        <v>566</v>
      </c>
      <c r="E104" s="230">
        <v>923</v>
      </c>
      <c r="F104" s="356"/>
      <c r="G104" s="356"/>
      <c r="H104" s="356"/>
      <c r="I104" s="356"/>
      <c r="J104" s="356"/>
      <c r="K104" s="356"/>
      <c r="L104" s="1219"/>
      <c r="M104" s="1812"/>
      <c r="N104" s="1812"/>
    </row>
    <row r="105" spans="1:14" ht="16.2" thickBot="1" x14ac:dyDescent="0.35">
      <c r="A105" s="224" t="s">
        <v>960</v>
      </c>
      <c r="B105" s="1220">
        <f>B103+B104</f>
        <v>7308</v>
      </c>
      <c r="C105" s="1220">
        <f>C103+C104</f>
        <v>8151</v>
      </c>
      <c r="D105" s="1220">
        <f>D103+D104</f>
        <v>4286</v>
      </c>
      <c r="E105" s="1220">
        <f>E103+E104</f>
        <v>795</v>
      </c>
      <c r="F105" s="1221"/>
      <c r="G105" s="1221"/>
      <c r="H105" s="1221"/>
      <c r="I105" s="1221"/>
      <c r="J105" s="1221"/>
      <c r="K105" s="1221"/>
      <c r="L105" s="1222"/>
      <c r="M105" s="1812"/>
      <c r="N105" s="1812"/>
    </row>
    <row r="107" spans="1:14" s="309" customFormat="1" outlineLevel="1" x14ac:dyDescent="0.3">
      <c r="A107" s="309" t="s">
        <v>20</v>
      </c>
      <c r="B107" s="1218">
        <f t="shared" ref="B107:L107" si="21">B105-B58</f>
        <v>0</v>
      </c>
      <c r="C107" s="1218">
        <f t="shared" si="21"/>
        <v>0</v>
      </c>
      <c r="D107" s="1218">
        <f t="shared" si="21"/>
        <v>0</v>
      </c>
      <c r="E107" s="1218">
        <f t="shared" si="21"/>
        <v>0</v>
      </c>
      <c r="F107" s="1218">
        <f t="shared" si="21"/>
        <v>-3328</v>
      </c>
      <c r="G107" s="1218">
        <f t="shared" si="21"/>
        <v>-1557</v>
      </c>
      <c r="H107" s="1218">
        <f t="shared" si="21"/>
        <v>-2830</v>
      </c>
      <c r="I107" s="1218">
        <f t="shared" si="21"/>
        <v>-1901</v>
      </c>
      <c r="J107" s="1218">
        <f t="shared" si="21"/>
        <v>-2488.6</v>
      </c>
      <c r="K107" s="1218">
        <f t="shared" si="21"/>
        <v>-725.2</v>
      </c>
      <c r="L107" s="1218">
        <f t="shared" si="21"/>
        <v>-494.8</v>
      </c>
      <c r="M107" s="1218"/>
      <c r="N107" s="1218"/>
    </row>
    <row r="113" spans="1:12" x14ac:dyDescent="0.3">
      <c r="A113" s="211" t="s">
        <v>3756</v>
      </c>
      <c r="B113" s="226">
        <f t="shared" ref="B113:H113" si="22">(B18+B20)/B53</f>
        <v>0.58748489324560227</v>
      </c>
      <c r="C113" s="226">
        <f t="shared" si="22"/>
        <v>0.62552221800227881</v>
      </c>
      <c r="D113" s="226">
        <f t="shared" si="22"/>
        <v>0.43910149750415972</v>
      </c>
      <c r="E113" s="226">
        <f t="shared" si="22"/>
        <v>-2.7439293598233996</v>
      </c>
      <c r="F113" s="226">
        <f t="shared" si="22"/>
        <v>0.68157739846968801</v>
      </c>
      <c r="G113" s="226">
        <f>(G18+G20)/G53</f>
        <v>1.0027649769585254</v>
      </c>
      <c r="H113" s="226">
        <f t="shared" si="22"/>
        <v>0.65244865718799372</v>
      </c>
      <c r="I113" s="226">
        <f>(I18+I20)/I53</f>
        <v>0.78094131319000581</v>
      </c>
      <c r="J113" s="226">
        <f>(J18+J20)/J53</f>
        <v>0.77640412641231371</v>
      </c>
      <c r="K113" s="226">
        <f>(K18+K20)/K53</f>
        <v>0.64084939241438577</v>
      </c>
      <c r="L113" s="226">
        <f>(L18+L20)/L53</f>
        <v>0.65439599714081487</v>
      </c>
    </row>
  </sheetData>
  <mergeCells count="17">
    <mergeCell ref="B49:C49"/>
    <mergeCell ref="B12:G13"/>
    <mergeCell ref="K17:L17"/>
    <mergeCell ref="A61:L61"/>
    <mergeCell ref="A67:L67"/>
    <mergeCell ref="A64:L64"/>
    <mergeCell ref="A66:L66"/>
    <mergeCell ref="K9:L14"/>
    <mergeCell ref="B28:F29"/>
    <mergeCell ref="D35:I37"/>
    <mergeCell ref="D40:F43"/>
    <mergeCell ref="B35:C44"/>
    <mergeCell ref="A74:L74"/>
    <mergeCell ref="A68:L68"/>
    <mergeCell ref="A65:L65"/>
    <mergeCell ref="A75:L75"/>
    <mergeCell ref="A78:L78"/>
  </mergeCells>
  <pageMargins left="0.7" right="0.7" top="0.75" bottom="0.75" header="0.3" footer="0.3"/>
  <pageSetup orientation="portrait" r:id="rId1"/>
  <ignoredErrors>
    <ignoredError sqref="J38:L38 G18 G30:K30 B103:E103" formulaRange="1"/>
  </ignoredError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5625-B1BF-4C86-B5B6-1EB95DDA4962}">
  <sheetPr>
    <tabColor theme="9" tint="0.59999389629810485"/>
  </sheetPr>
  <dimension ref="A1:B30"/>
  <sheetViews>
    <sheetView showGridLines="0" zoomScale="85" zoomScaleNormal="85" workbookViewId="0">
      <selection activeCell="R24" sqref="R24"/>
    </sheetView>
  </sheetViews>
  <sheetFormatPr defaultColWidth="9.109375" defaultRowHeight="15.6" x14ac:dyDescent="0.3"/>
  <cols>
    <col min="1" max="1" width="39.33203125" style="211" customWidth="1"/>
    <col min="2" max="2" width="10.6640625" style="211" customWidth="1"/>
    <col min="3" max="16384" width="9.109375" style="211"/>
  </cols>
  <sheetData>
    <row r="1" spans="1:2" x14ac:dyDescent="0.3">
      <c r="A1" s="459" t="s">
        <v>1673</v>
      </c>
    </row>
    <row r="2" spans="1:2" x14ac:dyDescent="0.3">
      <c r="A2" s="152" t="s">
        <v>3071</v>
      </c>
    </row>
    <row r="3" spans="1:2" ht="7.5" customHeight="1" thickBot="1" x14ac:dyDescent="0.35"/>
    <row r="4" spans="1:2" x14ac:dyDescent="0.3">
      <c r="A4" s="803" t="s">
        <v>3070</v>
      </c>
      <c r="B4" s="389"/>
    </row>
    <row r="5" spans="1:2" x14ac:dyDescent="0.3">
      <c r="A5" s="221" t="s">
        <v>3069</v>
      </c>
      <c r="B5" s="223"/>
    </row>
    <row r="6" spans="1:2" x14ac:dyDescent="0.3">
      <c r="A6" s="214" t="s">
        <v>3068</v>
      </c>
      <c r="B6" s="1327">
        <v>2.33</v>
      </c>
    </row>
    <row r="7" spans="1:2" x14ac:dyDescent="0.3">
      <c r="A7" s="214" t="s">
        <v>3067</v>
      </c>
      <c r="B7" s="2416">
        <f>B6/0.49</f>
        <v>4.7551020408163271</v>
      </c>
    </row>
    <row r="8" spans="1:2" x14ac:dyDescent="0.3">
      <c r="A8" s="214"/>
      <c r="B8" s="223"/>
    </row>
    <row r="9" spans="1:2" x14ac:dyDescent="0.3">
      <c r="A9" s="214" t="s">
        <v>3066</v>
      </c>
      <c r="B9" s="2416">
        <v>1.8680000000000001</v>
      </c>
    </row>
    <row r="10" spans="1:2" x14ac:dyDescent="0.3">
      <c r="A10" s="214" t="s">
        <v>3065</v>
      </c>
      <c r="B10" s="349">
        <f>B7/B9</f>
        <v>2.5455578376961063</v>
      </c>
    </row>
    <row r="11" spans="1:2" x14ac:dyDescent="0.3">
      <c r="A11" s="214"/>
      <c r="B11" s="223"/>
    </row>
    <row r="12" spans="1:2" x14ac:dyDescent="0.3">
      <c r="A12" s="214" t="s">
        <v>916</v>
      </c>
      <c r="B12" s="2416">
        <v>3</v>
      </c>
    </row>
    <row r="13" spans="1:2" x14ac:dyDescent="0.3">
      <c r="A13" s="214" t="s">
        <v>3064</v>
      </c>
      <c r="B13" s="349">
        <f>B9+B12</f>
        <v>4.8680000000000003</v>
      </c>
    </row>
    <row r="14" spans="1:2" x14ac:dyDescent="0.3">
      <c r="A14" s="214" t="s">
        <v>3747</v>
      </c>
      <c r="B14" s="2684">
        <f>B7/B13</f>
        <v>0.97680814314221998</v>
      </c>
    </row>
    <row r="15" spans="1:2" ht="4.5" customHeight="1" x14ac:dyDescent="0.3">
      <c r="A15" s="214"/>
      <c r="B15" s="349"/>
    </row>
    <row r="16" spans="1:2" ht="4.5" customHeight="1" x14ac:dyDescent="0.3">
      <c r="A16" s="1155"/>
      <c r="B16" s="1279"/>
    </row>
    <row r="17" spans="1:2" ht="4.5" customHeight="1" x14ac:dyDescent="0.3">
      <c r="A17" s="214"/>
      <c r="B17" s="223"/>
    </row>
    <row r="18" spans="1:2" x14ac:dyDescent="0.3">
      <c r="A18" s="2415" t="s">
        <v>3063</v>
      </c>
      <c r="B18" s="223"/>
    </row>
    <row r="19" spans="1:2" x14ac:dyDescent="0.3">
      <c r="A19" s="221" t="s">
        <v>1250</v>
      </c>
      <c r="B19" s="223"/>
    </row>
    <row r="20" spans="1:2" x14ac:dyDescent="0.3">
      <c r="A20" s="214" t="s">
        <v>3062</v>
      </c>
      <c r="B20" s="1325">
        <v>3000</v>
      </c>
    </row>
    <row r="21" spans="1:2" x14ac:dyDescent="0.3">
      <c r="A21" s="214" t="s">
        <v>3061</v>
      </c>
      <c r="B21" s="912">
        <v>0.96</v>
      </c>
    </row>
    <row r="22" spans="1:2" x14ac:dyDescent="0.3">
      <c r="A22" s="214" t="s">
        <v>1091</v>
      </c>
      <c r="B22" s="1624">
        <f>B20*(1-B21)</f>
        <v>120.00000000000011</v>
      </c>
    </row>
    <row r="23" spans="1:2" x14ac:dyDescent="0.3">
      <c r="A23" s="214"/>
      <c r="B23" s="223"/>
    </row>
    <row r="24" spans="1:2" x14ac:dyDescent="0.3">
      <c r="A24" s="214" t="s">
        <v>3060</v>
      </c>
      <c r="B24" s="1624">
        <v>226.8</v>
      </c>
    </row>
    <row r="25" spans="1:2" x14ac:dyDescent="0.3">
      <c r="A25" s="214" t="s">
        <v>3059</v>
      </c>
      <c r="B25" s="1624">
        <f>B22+B24</f>
        <v>346.80000000000013</v>
      </c>
    </row>
    <row r="26" spans="1:2" x14ac:dyDescent="0.3">
      <c r="A26" s="214"/>
      <c r="B26" s="223"/>
    </row>
    <row r="27" spans="1:2" x14ac:dyDescent="0.3">
      <c r="A27" s="214" t="s">
        <v>3058</v>
      </c>
      <c r="B27" s="1624">
        <f>B7*1000</f>
        <v>4755.1020408163267</v>
      </c>
    </row>
    <row r="28" spans="1:2" ht="16.2" thickBot="1" x14ac:dyDescent="0.35">
      <c r="A28" s="224" t="s">
        <v>3057</v>
      </c>
      <c r="B28" s="366">
        <f>B25/B27</f>
        <v>7.2932188841201742E-2</v>
      </c>
    </row>
    <row r="29" spans="1:2" x14ac:dyDescent="0.3">
      <c r="A29" s="2809" t="s">
        <v>3748</v>
      </c>
      <c r="B29" s="2809"/>
    </row>
    <row r="30" spans="1:2" x14ac:dyDescent="0.3">
      <c r="A30" s="2810"/>
      <c r="B30" s="2810"/>
    </row>
  </sheetData>
  <mergeCells count="1">
    <mergeCell ref="A29:B30"/>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CE8-5F39-466D-8F3C-D09148FA8C8F}">
  <sheetPr>
    <tabColor theme="9" tint="0.59999389629810485"/>
  </sheetPr>
  <dimension ref="A1:F31"/>
  <sheetViews>
    <sheetView showGridLines="0" zoomScale="130" zoomScaleNormal="130" workbookViewId="0">
      <selection activeCell="J21" sqref="J21"/>
    </sheetView>
  </sheetViews>
  <sheetFormatPr defaultColWidth="9.109375" defaultRowHeight="15.6" x14ac:dyDescent="0.3"/>
  <cols>
    <col min="1" max="1" width="27.88671875" style="211" customWidth="1"/>
    <col min="2" max="16384" width="9.109375" style="211"/>
  </cols>
  <sheetData>
    <row r="1" spans="1:4" x14ac:dyDescent="0.3">
      <c r="A1" s="459" t="s">
        <v>1673</v>
      </c>
    </row>
    <row r="2" spans="1:4" x14ac:dyDescent="0.3">
      <c r="A2" s="152" t="s">
        <v>1699</v>
      </c>
    </row>
    <row r="3" spans="1:4" ht="8.25" customHeight="1" thickBot="1" x14ac:dyDescent="0.35"/>
    <row r="4" spans="1:4" x14ac:dyDescent="0.3">
      <c r="A4" s="212"/>
      <c r="B4" s="712">
        <v>1995</v>
      </c>
      <c r="C4" s="712">
        <v>1994</v>
      </c>
      <c r="D4" s="713">
        <v>1993</v>
      </c>
    </row>
    <row r="5" spans="1:4" x14ac:dyDescent="0.3">
      <c r="A5" s="214" t="s">
        <v>1704</v>
      </c>
      <c r="B5" s="518">
        <v>325.79300000000001</v>
      </c>
      <c r="C5" s="518">
        <v>301.29899999999998</v>
      </c>
      <c r="D5" s="1325">
        <v>297.096</v>
      </c>
    </row>
    <row r="6" spans="1:4" x14ac:dyDescent="0.3">
      <c r="A6" s="214" t="s">
        <v>1527</v>
      </c>
      <c r="B6" s="1326">
        <f>B5/B31</f>
        <v>0.76296607678769868</v>
      </c>
      <c r="C6" s="1326">
        <f>C5/C31</f>
        <v>0.75687862520441818</v>
      </c>
      <c r="D6" s="1327">
        <f>D5/D31</f>
        <v>0.78989474131994764</v>
      </c>
    </row>
    <row r="7" spans="1:4" x14ac:dyDescent="0.3">
      <c r="A7" s="214" t="s">
        <v>1993</v>
      </c>
      <c r="B7" s="917">
        <f>116.665/B5</f>
        <v>0.35809547780339052</v>
      </c>
      <c r="C7" s="917">
        <f>106.985/C5</f>
        <v>0.35507917384392251</v>
      </c>
      <c r="D7" s="918">
        <f>101.184/D5</f>
        <v>0.34057678326197593</v>
      </c>
    </row>
    <row r="8" spans="1:4" x14ac:dyDescent="0.3">
      <c r="A8" s="214" t="s">
        <v>1563</v>
      </c>
      <c r="B8" s="917">
        <f>B6*B7</f>
        <v>0.27321470181506929</v>
      </c>
      <c r="C8" s="917">
        <f t="shared" ref="C8:D8" si="0">C6*C7</f>
        <v>0.26875183693770865</v>
      </c>
      <c r="D8" s="918">
        <f t="shared" si="0"/>
        <v>0.26901981011429837</v>
      </c>
    </row>
    <row r="9" spans="1:4" ht="4.5" customHeight="1" x14ac:dyDescent="0.3">
      <c r="A9" s="214"/>
      <c r="B9" s="220"/>
      <c r="C9" s="220"/>
      <c r="D9" s="223"/>
    </row>
    <row r="10" spans="1:4" ht="4.5" customHeight="1" x14ac:dyDescent="0.3">
      <c r="A10" s="1155"/>
      <c r="B10" s="684"/>
      <c r="C10" s="684"/>
      <c r="D10" s="1279"/>
    </row>
    <row r="11" spans="1:4" ht="4.5" customHeight="1" x14ac:dyDescent="0.3">
      <c r="A11" s="214"/>
      <c r="B11" s="220"/>
      <c r="C11" s="220"/>
      <c r="D11" s="223"/>
    </row>
    <row r="12" spans="1:4" x14ac:dyDescent="0.3">
      <c r="A12" s="214" t="s">
        <v>1730</v>
      </c>
      <c r="B12" s="518">
        <v>1500</v>
      </c>
      <c r="C12" s="220"/>
      <c r="D12" s="223"/>
    </row>
    <row r="13" spans="1:4" x14ac:dyDescent="0.3">
      <c r="A13" s="214" t="s">
        <v>1731</v>
      </c>
      <c r="B13" s="521">
        <f>B27</f>
        <v>39.813000000000002</v>
      </c>
      <c r="C13" s="220"/>
      <c r="D13" s="223"/>
    </row>
    <row r="14" spans="1:4" x14ac:dyDescent="0.3">
      <c r="A14" s="214" t="s">
        <v>1707</v>
      </c>
      <c r="B14" s="926">
        <v>-194</v>
      </c>
      <c r="C14" s="220"/>
      <c r="D14" s="223"/>
    </row>
    <row r="15" spans="1:4" x14ac:dyDescent="0.3">
      <c r="A15" s="214" t="s">
        <v>1708</v>
      </c>
      <c r="B15" s="1328">
        <f>SUM(B12:B14)</f>
        <v>1345.8130000000001</v>
      </c>
      <c r="C15" s="220"/>
      <c r="D15" s="223"/>
    </row>
    <row r="16" spans="1:4" ht="4.5" customHeight="1" x14ac:dyDescent="0.3">
      <c r="A16" s="214"/>
      <c r="B16" s="220"/>
      <c r="C16" s="220"/>
      <c r="D16" s="223"/>
    </row>
    <row r="17" spans="1:6" ht="4.5" customHeight="1" x14ac:dyDescent="0.3">
      <c r="A17" s="1155"/>
      <c r="B17" s="684"/>
      <c r="C17" s="684"/>
      <c r="D17" s="1279"/>
    </row>
    <row r="18" spans="1:6" ht="4.5" customHeight="1" x14ac:dyDescent="0.3">
      <c r="A18" s="214"/>
      <c r="B18" s="220"/>
      <c r="C18" s="220"/>
      <c r="D18" s="223"/>
    </row>
    <row r="19" spans="1:6" x14ac:dyDescent="0.3">
      <c r="A19" s="214" t="s">
        <v>1705</v>
      </c>
      <c r="B19" s="2711">
        <f>B15/B31</f>
        <v>3.1517241460064618</v>
      </c>
      <c r="C19" s="220"/>
      <c r="D19" s="223"/>
    </row>
    <row r="20" spans="1:6" ht="16.2" thickBot="1" x14ac:dyDescent="0.35">
      <c r="A20" s="224" t="s">
        <v>1706</v>
      </c>
      <c r="B20" s="232">
        <f>B8/B19</f>
        <v>8.6687377815491448E-2</v>
      </c>
      <c r="C20" s="218"/>
      <c r="D20" s="219"/>
    </row>
    <row r="21" spans="1:6" ht="45" customHeight="1" x14ac:dyDescent="0.3">
      <c r="A21" s="2805" t="s">
        <v>2196</v>
      </c>
      <c r="B21" s="2805"/>
      <c r="C21" s="2805"/>
      <c r="D21" s="2805"/>
    </row>
    <row r="22" spans="1:6" x14ac:dyDescent="0.3">
      <c r="A22" s="2782"/>
      <c r="E22" s="211" t="s">
        <v>176</v>
      </c>
    </row>
    <row r="25" spans="1:6" x14ac:dyDescent="0.3">
      <c r="A25" s="211" t="s">
        <v>1155</v>
      </c>
    </row>
    <row r="26" spans="1:6" x14ac:dyDescent="0.3">
      <c r="A26" s="211" t="s">
        <v>746</v>
      </c>
      <c r="B26" s="211">
        <v>603.00099999999998</v>
      </c>
      <c r="C26" s="211">
        <v>560.404</v>
      </c>
      <c r="D26" s="211">
        <v>526.43299999999999</v>
      </c>
      <c r="E26" s="211">
        <v>564.40899999999999</v>
      </c>
    </row>
    <row r="27" spans="1:6" x14ac:dyDescent="0.3">
      <c r="A27" s="211" t="s">
        <v>333</v>
      </c>
      <c r="B27" s="211">
        <f>38.054+1.759</f>
        <v>39.813000000000002</v>
      </c>
      <c r="C27" s="211">
        <f>39.813</f>
        <v>39.813000000000002</v>
      </c>
      <c r="D27" s="211">
        <f>41.572+1.819</f>
        <v>43.391000000000005</v>
      </c>
      <c r="E27" s="211">
        <f>44.63+28.693</f>
        <v>73.323000000000008</v>
      </c>
      <c r="F27" s="1328"/>
    </row>
    <row r="28" spans="1:6" x14ac:dyDescent="0.3">
      <c r="A28" s="211" t="s">
        <v>1700</v>
      </c>
      <c r="B28" s="211">
        <f>-194.084</f>
        <v>-194.084</v>
      </c>
      <c r="C28" s="211">
        <v>-194.93</v>
      </c>
      <c r="D28" s="211">
        <f>-178.949</f>
        <v>-178.94900000000001</v>
      </c>
      <c r="E28" s="211">
        <f>-276.365</f>
        <v>-276.36500000000001</v>
      </c>
    </row>
    <row r="29" spans="1:6" x14ac:dyDescent="0.3">
      <c r="A29" s="211" t="s">
        <v>1701</v>
      </c>
      <c r="B29" s="211">
        <f>SUM(B26:B28)</f>
        <v>448.72999999999996</v>
      </c>
      <c r="C29" s="211">
        <f>SUM(C26:C28)</f>
        <v>405.28699999999998</v>
      </c>
      <c r="D29" s="211">
        <f t="shared" ref="D29:E29" si="1">SUM(D26:D28)</f>
        <v>390.87499999999994</v>
      </c>
      <c r="E29" s="211">
        <f t="shared" si="1"/>
        <v>361.36699999999996</v>
      </c>
    </row>
    <row r="31" spans="1:6" x14ac:dyDescent="0.3">
      <c r="A31" s="211" t="s">
        <v>1702</v>
      </c>
      <c r="B31" s="211">
        <f>AVERAGE(B29:C29)</f>
        <v>427.00849999999997</v>
      </c>
      <c r="C31" s="211">
        <f t="shared" ref="C31:D31" si="2">AVERAGE(C29:D29)</f>
        <v>398.08099999999996</v>
      </c>
      <c r="D31" s="211">
        <f t="shared" si="2"/>
        <v>376.12099999999998</v>
      </c>
    </row>
  </sheetData>
  <mergeCells count="1">
    <mergeCell ref="A21:D21"/>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829DF-B2FB-4B99-98AE-1114DAB51C6D}">
  <sheetPr codeName="Sheet50">
    <tabColor theme="9" tint="0.59999389629810485"/>
  </sheetPr>
  <dimension ref="A1:F28"/>
  <sheetViews>
    <sheetView topLeftCell="A9" zoomScaleNormal="100" workbookViewId="0">
      <selection activeCell="P30" sqref="P30"/>
    </sheetView>
  </sheetViews>
  <sheetFormatPr defaultColWidth="8.6640625" defaultRowHeight="13.8" x14ac:dyDescent="0.25"/>
  <cols>
    <col min="1" max="1" width="32.33203125" style="1" bestFit="1" customWidth="1"/>
    <col min="2" max="2" width="17.109375" style="1" bestFit="1" customWidth="1"/>
    <col min="3" max="3" width="17.88671875" style="1" bestFit="1" customWidth="1"/>
    <col min="4" max="4" width="9.33203125" style="1" bestFit="1" customWidth="1"/>
    <col min="5" max="16384" width="8.6640625" style="1"/>
  </cols>
  <sheetData>
    <row r="1" spans="1:4" x14ac:dyDescent="0.25">
      <c r="A1" s="1" t="s">
        <v>894</v>
      </c>
      <c r="B1" s="119">
        <f>B13-B12-B11</f>
        <v>10428.5</v>
      </c>
      <c r="C1" s="119">
        <f>C13-C12-C11</f>
        <v>10140.200000000001</v>
      </c>
      <c r="D1" s="119">
        <f>C1-B1</f>
        <v>-288.29999999999927</v>
      </c>
    </row>
    <row r="2" spans="1:4" ht="14.4" thickBot="1" x14ac:dyDescent="0.3"/>
    <row r="3" spans="1:4" x14ac:dyDescent="0.25">
      <c r="A3" s="23" t="s">
        <v>882</v>
      </c>
      <c r="B3" s="62"/>
      <c r="C3" s="62"/>
      <c r="D3" s="63"/>
    </row>
    <row r="4" spans="1:4" x14ac:dyDescent="0.25">
      <c r="A4" s="6"/>
      <c r="D4" s="8"/>
    </row>
    <row r="5" spans="1:4" x14ac:dyDescent="0.25">
      <c r="A5" s="6"/>
      <c r="B5" s="1" t="s">
        <v>883</v>
      </c>
      <c r="C5" s="1" t="s">
        <v>884</v>
      </c>
      <c r="D5" s="8" t="s">
        <v>649</v>
      </c>
    </row>
    <row r="6" spans="1:4" x14ac:dyDescent="0.25">
      <c r="A6" s="6" t="s">
        <v>396</v>
      </c>
      <c r="B6" s="116">
        <v>6.9</v>
      </c>
      <c r="C6" s="116">
        <v>6.9</v>
      </c>
      <c r="D6" s="148">
        <f>C6-B6</f>
        <v>0</v>
      </c>
    </row>
    <row r="7" spans="1:4" x14ac:dyDescent="0.25">
      <c r="A7" s="6" t="s">
        <v>885</v>
      </c>
      <c r="B7" s="116">
        <v>656.1</v>
      </c>
      <c r="C7" s="116">
        <v>656.1</v>
      </c>
      <c r="D7" s="148">
        <f t="shared" ref="D7:D13" si="0">C7-B7</f>
        <v>0</v>
      </c>
    </row>
    <row r="8" spans="1:4" x14ac:dyDescent="0.25">
      <c r="A8" s="6" t="s">
        <v>887</v>
      </c>
      <c r="B8" s="116">
        <v>4390.3999999999996</v>
      </c>
      <c r="C8" s="116">
        <v>5196.2</v>
      </c>
      <c r="D8" s="148">
        <f t="shared" si="0"/>
        <v>805.80000000000018</v>
      </c>
    </row>
    <row r="9" spans="1:4" x14ac:dyDescent="0.25">
      <c r="A9" s="6" t="s">
        <v>477</v>
      </c>
      <c r="B9" s="116">
        <v>-37.6</v>
      </c>
      <c r="C9" s="116">
        <v>-37.6</v>
      </c>
      <c r="D9" s="148">
        <f t="shared" si="0"/>
        <v>0</v>
      </c>
    </row>
    <row r="10" spans="1:4" x14ac:dyDescent="0.25">
      <c r="A10" s="6" t="s">
        <v>886</v>
      </c>
      <c r="B10" s="116">
        <v>5412.7</v>
      </c>
      <c r="C10" s="116">
        <v>4318.6000000000004</v>
      </c>
      <c r="D10" s="148">
        <f t="shared" si="0"/>
        <v>-1094.0999999999995</v>
      </c>
    </row>
    <row r="11" spans="1:4" x14ac:dyDescent="0.25">
      <c r="A11" s="6" t="s">
        <v>784</v>
      </c>
      <c r="B11" s="116">
        <f>1481.1-519.5-9.9</f>
        <v>951.69999999999993</v>
      </c>
      <c r="C11" s="116">
        <f>1486.5-518.3-9.9</f>
        <v>958.30000000000007</v>
      </c>
      <c r="D11" s="148">
        <f t="shared" si="0"/>
        <v>6.6000000000001364</v>
      </c>
    </row>
    <row r="12" spans="1:4" x14ac:dyDescent="0.25">
      <c r="A12" s="6" t="s">
        <v>301</v>
      </c>
      <c r="B12" s="116">
        <v>494.8</v>
      </c>
      <c r="C12" s="116">
        <v>553</v>
      </c>
      <c r="D12" s="148">
        <f t="shared" si="0"/>
        <v>58.199999999999989</v>
      </c>
    </row>
    <row r="13" spans="1:4" ht="14.4" thickBot="1" x14ac:dyDescent="0.3">
      <c r="A13" s="58" t="s">
        <v>892</v>
      </c>
      <c r="B13" s="149">
        <f>SUM(B6:B12)</f>
        <v>11875</v>
      </c>
      <c r="C13" s="149">
        <f>SUM(C6:C12)</f>
        <v>11651.5</v>
      </c>
      <c r="D13" s="150">
        <f t="shared" si="0"/>
        <v>-223.5</v>
      </c>
    </row>
    <row r="15" spans="1:4" ht="14.4" thickBot="1" x14ac:dyDescent="0.3">
      <c r="C15" s="119"/>
    </row>
    <row r="16" spans="1:4" x14ac:dyDescent="0.25">
      <c r="A16" s="23" t="s">
        <v>888</v>
      </c>
      <c r="B16" s="62"/>
      <c r="C16" s="62"/>
      <c r="D16" s="63"/>
    </row>
    <row r="17" spans="1:6" x14ac:dyDescent="0.25">
      <c r="A17" s="6"/>
      <c r="D17" s="8"/>
    </row>
    <row r="18" spans="1:6" x14ac:dyDescent="0.25">
      <c r="A18" s="6"/>
      <c r="B18" s="1" t="s">
        <v>883</v>
      </c>
      <c r="C18" s="1" t="s">
        <v>884</v>
      </c>
      <c r="D18" s="8" t="s">
        <v>649</v>
      </c>
    </row>
    <row r="19" spans="1:6" x14ac:dyDescent="0.25">
      <c r="A19" s="6" t="s">
        <v>396</v>
      </c>
      <c r="B19" s="116">
        <v>6.9</v>
      </c>
      <c r="C19" s="116">
        <v>6.9</v>
      </c>
      <c r="D19" s="148">
        <f>C19-B19</f>
        <v>0</v>
      </c>
    </row>
    <row r="20" spans="1:6" x14ac:dyDescent="0.25">
      <c r="A20" s="6" t="s">
        <v>885</v>
      </c>
      <c r="B20" s="116">
        <v>656.1</v>
      </c>
      <c r="C20" s="116">
        <v>656.1</v>
      </c>
      <c r="D20" s="148">
        <f t="shared" ref="D20:D28" si="1">C20-B20</f>
        <v>0</v>
      </c>
    </row>
    <row r="21" spans="1:6" x14ac:dyDescent="0.25">
      <c r="A21" s="6" t="s">
        <v>889</v>
      </c>
      <c r="B21" s="116">
        <v>345.6</v>
      </c>
      <c r="C21" s="116">
        <v>345.6</v>
      </c>
      <c r="D21" s="148"/>
    </row>
    <row r="22" spans="1:6" x14ac:dyDescent="0.25">
      <c r="A22" s="6" t="s">
        <v>890</v>
      </c>
      <c r="B22" s="116">
        <v>2.9</v>
      </c>
      <c r="C22" s="116">
        <v>2.9</v>
      </c>
      <c r="D22" s="148"/>
    </row>
    <row r="23" spans="1:6" x14ac:dyDescent="0.25">
      <c r="A23" s="6" t="s">
        <v>477</v>
      </c>
      <c r="B23" s="116">
        <v>-37.6</v>
      </c>
      <c r="C23" s="116">
        <v>-37.6</v>
      </c>
      <c r="D23" s="148">
        <f>C23-B23</f>
        <v>0</v>
      </c>
    </row>
    <row r="24" spans="1:6" x14ac:dyDescent="0.25">
      <c r="A24" s="6" t="s">
        <v>887</v>
      </c>
      <c r="B24" s="116">
        <v>4885.2</v>
      </c>
      <c r="C24" s="116">
        <v>5749.2</v>
      </c>
      <c r="D24" s="148">
        <f t="shared" si="1"/>
        <v>864</v>
      </c>
    </row>
    <row r="25" spans="1:6" x14ac:dyDescent="0.25">
      <c r="A25" s="6" t="s">
        <v>886</v>
      </c>
      <c r="B25" s="116">
        <v>6364.4</v>
      </c>
      <c r="C25" s="116">
        <v>5276.9</v>
      </c>
      <c r="D25" s="148">
        <f t="shared" si="1"/>
        <v>-1087.5</v>
      </c>
    </row>
    <row r="26" spans="1:6" x14ac:dyDescent="0.25">
      <c r="A26" s="6" t="s">
        <v>784</v>
      </c>
      <c r="B26" s="116">
        <f>6660.3-2334.8-57.1</f>
        <v>4268.3999999999996</v>
      </c>
      <c r="C26" s="116">
        <f>6177.1-2176.2-57.1</f>
        <v>3943.8000000000006</v>
      </c>
      <c r="D26" s="148">
        <f t="shared" si="1"/>
        <v>-324.599999999999</v>
      </c>
    </row>
    <row r="27" spans="1:6" x14ac:dyDescent="0.25">
      <c r="A27" s="6" t="s">
        <v>301</v>
      </c>
      <c r="B27" s="116">
        <v>725.2</v>
      </c>
      <c r="C27" s="116">
        <v>794.9</v>
      </c>
      <c r="D27" s="148">
        <f t="shared" si="1"/>
        <v>69.699999999999932</v>
      </c>
    </row>
    <row r="28" spans="1:6" ht="14.4" thickBot="1" x14ac:dyDescent="0.3">
      <c r="A28" s="58" t="s">
        <v>893</v>
      </c>
      <c r="B28" s="149">
        <f>SUM(B19:B27)</f>
        <v>17217.100000000002</v>
      </c>
      <c r="C28" s="149">
        <f>SUM(C19:C27)</f>
        <v>16738.7</v>
      </c>
      <c r="D28" s="151">
        <f t="shared" si="1"/>
        <v>-478.40000000000146</v>
      </c>
      <c r="F28" s="1" t="s">
        <v>891</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526BB-6763-4BAB-91B5-E7ED443F27A6}">
  <sheetPr>
    <tabColor theme="9" tint="0.59999389629810485"/>
  </sheetPr>
  <dimension ref="A1:K35"/>
  <sheetViews>
    <sheetView showGridLines="0" workbookViewId="0">
      <selection activeCell="L31" sqref="L31"/>
    </sheetView>
  </sheetViews>
  <sheetFormatPr defaultRowHeight="14.4" outlineLevelRow="1" x14ac:dyDescent="0.3"/>
  <cols>
    <col min="1" max="1" width="51.109375" customWidth="1"/>
    <col min="2" max="2" width="9.109375" bestFit="1" customWidth="1"/>
    <col min="4" max="4" width="1.44140625" customWidth="1"/>
  </cols>
  <sheetData>
    <row r="1" spans="1:4" s="1" customFormat="1" ht="15.6" x14ac:dyDescent="0.3">
      <c r="A1" s="459" t="s">
        <v>1673</v>
      </c>
      <c r="B1" s="211"/>
      <c r="C1" s="211"/>
      <c r="D1" s="211"/>
    </row>
    <row r="2" spans="1:4" s="1" customFormat="1" ht="15.6" x14ac:dyDescent="0.3">
      <c r="A2" s="152" t="s">
        <v>1698</v>
      </c>
      <c r="B2" s="211"/>
      <c r="C2" s="211"/>
      <c r="D2" s="211"/>
    </row>
    <row r="3" spans="1:4" s="1" customFormat="1" ht="8.25" customHeight="1" thickBot="1" x14ac:dyDescent="0.35">
      <c r="A3" s="211"/>
      <c r="B3" s="211"/>
      <c r="C3" s="211"/>
      <c r="D3" s="211"/>
    </row>
    <row r="4" spans="1:4" s="1" customFormat="1" ht="15.6" x14ac:dyDescent="0.3">
      <c r="A4" s="212" t="s">
        <v>1692</v>
      </c>
      <c r="B4" s="712">
        <v>1996</v>
      </c>
      <c r="C4" s="712">
        <v>1995</v>
      </c>
      <c r="D4" s="713"/>
    </row>
    <row r="5" spans="1:4" s="1" customFormat="1" ht="15.6" x14ac:dyDescent="0.3">
      <c r="A5" s="214" t="s">
        <v>394</v>
      </c>
      <c r="B5" s="1316">
        <v>28500</v>
      </c>
      <c r="C5" s="1316">
        <v>22088</v>
      </c>
      <c r="D5" s="1161"/>
    </row>
    <row r="6" spans="1:4" s="1" customFormat="1" ht="15.6" x14ac:dyDescent="0.3">
      <c r="A6" s="282" t="s">
        <v>1048</v>
      </c>
      <c r="B6" s="1319">
        <v>421.39</v>
      </c>
      <c r="C6" s="1319">
        <v>258.2</v>
      </c>
      <c r="D6" s="1320"/>
    </row>
    <row r="7" spans="1:4" s="1" customFormat="1" ht="15.6" x14ac:dyDescent="0.3">
      <c r="A7" s="282" t="s">
        <v>1693</v>
      </c>
      <c r="B7" s="1317">
        <f>B5+(10*B6)</f>
        <v>32713.9</v>
      </c>
      <c r="C7" s="1317">
        <f>C5+(10*C6)</f>
        <v>24670</v>
      </c>
      <c r="D7" s="1318"/>
    </row>
    <row r="8" spans="1:4" s="1" customFormat="1" ht="34.200000000000003" hidden="1" outlineLevel="1" x14ac:dyDescent="0.3">
      <c r="A8" s="1307" t="s">
        <v>1690</v>
      </c>
      <c r="B8" s="1305"/>
      <c r="C8" s="1305"/>
      <c r="D8" s="1309"/>
    </row>
    <row r="9" spans="1:4" s="1" customFormat="1" ht="15.6" hidden="1" outlineLevel="1" x14ac:dyDescent="0.3">
      <c r="A9" s="1307" t="s">
        <v>941</v>
      </c>
      <c r="B9" s="1305"/>
      <c r="C9" s="1305"/>
      <c r="D9" s="1309"/>
    </row>
    <row r="10" spans="1:4" s="1" customFormat="1" ht="15.6" hidden="1" outlineLevel="1" x14ac:dyDescent="0.3">
      <c r="A10" s="1307" t="s">
        <v>942</v>
      </c>
      <c r="B10" s="1310">
        <f>B7/C7-1</f>
        <v>0.3260599918929874</v>
      </c>
      <c r="C10" s="1310" t="e">
        <f>C7/D7-1</f>
        <v>#DIV/0!</v>
      </c>
      <c r="D10" s="1311"/>
    </row>
    <row r="11" spans="1:4" s="1" customFormat="1" ht="15.6" hidden="1" outlineLevel="1" x14ac:dyDescent="0.3">
      <c r="A11" s="1307" t="s">
        <v>936</v>
      </c>
      <c r="B11" s="1308">
        <f>B17/B7</f>
        <v>1.0423703685589305</v>
      </c>
      <c r="C11" s="1308">
        <f>C17/C7</f>
        <v>1.3011755168220511</v>
      </c>
      <c r="D11" s="1312"/>
    </row>
    <row r="12" spans="1:4" s="1" customFormat="1" ht="15.6" hidden="1" outlineLevel="1" x14ac:dyDescent="0.3">
      <c r="A12" s="214"/>
      <c r="B12" s="286"/>
      <c r="C12" s="286"/>
      <c r="D12" s="1107"/>
    </row>
    <row r="13" spans="1:4" s="1" customFormat="1" ht="15.6" hidden="1" outlineLevel="1" x14ac:dyDescent="0.3">
      <c r="A13" s="214"/>
      <c r="B13" s="211"/>
      <c r="C13" s="211"/>
      <c r="D13" s="223"/>
    </row>
    <row r="14" spans="1:4" s="1" customFormat="1" ht="4.5" customHeight="1" collapsed="1" x14ac:dyDescent="0.3">
      <c r="A14" s="214"/>
      <c r="B14" s="604"/>
      <c r="C14" s="604"/>
      <c r="D14" s="461"/>
    </row>
    <row r="15" spans="1:4" s="1" customFormat="1" ht="4.5" customHeight="1" x14ac:dyDescent="0.3">
      <c r="A15" s="1155"/>
      <c r="B15" s="1323"/>
      <c r="C15" s="1323"/>
      <c r="D15" s="1324"/>
    </row>
    <row r="16" spans="1:4" s="1" customFormat="1" ht="4.5" customHeight="1" x14ac:dyDescent="0.3">
      <c r="A16" s="214"/>
      <c r="B16" s="604"/>
      <c r="C16" s="604"/>
      <c r="D16" s="461"/>
    </row>
    <row r="17" spans="1:4" s="1" customFormat="1" ht="15.6" x14ac:dyDescent="0.3">
      <c r="A17" s="214" t="s">
        <v>927</v>
      </c>
      <c r="B17" s="1317">
        <v>34100</v>
      </c>
      <c r="C17" s="1317">
        <v>32100</v>
      </c>
      <c r="D17" s="1318"/>
    </row>
    <row r="18" spans="1:4" s="1" customFormat="1" ht="15.6" x14ac:dyDescent="0.3">
      <c r="A18" s="214" t="s">
        <v>1691</v>
      </c>
      <c r="B18" s="1317">
        <v>19011</v>
      </c>
      <c r="C18" s="1317">
        <v>14025</v>
      </c>
      <c r="D18" s="1318"/>
    </row>
    <row r="19" spans="1:4" s="1" customFormat="1" ht="4.5" customHeight="1" collapsed="1" x14ac:dyDescent="0.3">
      <c r="A19" s="214"/>
      <c r="B19" s="604"/>
      <c r="C19" s="604"/>
      <c r="D19" s="461"/>
    </row>
    <row r="20" spans="1:4" s="1" customFormat="1" ht="4.5" customHeight="1" x14ac:dyDescent="0.3">
      <c r="A20" s="1155"/>
      <c r="B20" s="1323"/>
      <c r="C20" s="1323"/>
      <c r="D20" s="1324"/>
    </row>
    <row r="21" spans="1:4" s="1" customFormat="1" ht="4.5" customHeight="1" x14ac:dyDescent="0.3">
      <c r="A21" s="214"/>
      <c r="B21" s="604"/>
      <c r="C21" s="604"/>
      <c r="D21" s="461"/>
    </row>
    <row r="22" spans="1:4" s="1" customFormat="1" ht="15.6" x14ac:dyDescent="0.3">
      <c r="A22" s="214" t="s">
        <v>1694</v>
      </c>
      <c r="B22" s="2710">
        <f>B17/B7</f>
        <v>1.0423703685589305</v>
      </c>
      <c r="C22" s="2710">
        <f>C17/C7</f>
        <v>1.3011755168220511</v>
      </c>
      <c r="D22" s="349"/>
    </row>
    <row r="23" spans="1:4" s="1" customFormat="1" ht="15.6" x14ac:dyDescent="0.3">
      <c r="A23" s="214" t="s">
        <v>1695</v>
      </c>
      <c r="B23" s="2710">
        <f>B17/B18</f>
        <v>1.7936983851454422</v>
      </c>
      <c r="C23" s="2710">
        <f>C17/C18</f>
        <v>2.2887700534759357</v>
      </c>
      <c r="D23" s="349"/>
    </row>
    <row r="24" spans="1:4" s="1" customFormat="1" ht="15.6" x14ac:dyDescent="0.3">
      <c r="A24" s="214" t="s">
        <v>1696</v>
      </c>
      <c r="B24" s="2710">
        <f>B7/B18</f>
        <v>1.7207879648624482</v>
      </c>
      <c r="C24" s="2710">
        <f>C7/C18</f>
        <v>1.7590017825311943</v>
      </c>
      <c r="D24" s="349"/>
    </row>
    <row r="25" spans="1:4" s="1" customFormat="1" ht="4.5" customHeight="1" collapsed="1" x14ac:dyDescent="0.3">
      <c r="A25" s="214"/>
      <c r="B25" s="604"/>
      <c r="C25" s="604"/>
      <c r="D25" s="461"/>
    </row>
    <row r="26" spans="1:4" s="1" customFormat="1" ht="4.5" customHeight="1" x14ac:dyDescent="0.3">
      <c r="A26" s="1155"/>
      <c r="B26" s="1323"/>
      <c r="C26" s="1323"/>
      <c r="D26" s="1324"/>
    </row>
    <row r="27" spans="1:4" s="1" customFormat="1" ht="4.5" customHeight="1" x14ac:dyDescent="0.3">
      <c r="A27" s="214"/>
      <c r="B27" s="604"/>
      <c r="C27" s="604"/>
      <c r="D27" s="461"/>
    </row>
    <row r="28" spans="1:4" s="1" customFormat="1" ht="15.6" x14ac:dyDescent="0.3">
      <c r="A28" s="214" t="s">
        <v>937</v>
      </c>
      <c r="B28" s="226">
        <v>0.3260599918929874</v>
      </c>
      <c r="C28" s="226"/>
      <c r="D28" s="461"/>
    </row>
    <row r="29" spans="1:4" s="1" customFormat="1" ht="16.2" thickBot="1" x14ac:dyDescent="0.35">
      <c r="A29" s="224" t="s">
        <v>928</v>
      </c>
      <c r="B29" s="1314">
        <v>6.230529595015577E-2</v>
      </c>
      <c r="C29" s="1314"/>
      <c r="D29" s="1315"/>
    </row>
    <row r="30" spans="1:4" s="1" customFormat="1" ht="26.25" customHeight="1" x14ac:dyDescent="0.25">
      <c r="A30" s="2909" t="s">
        <v>3073</v>
      </c>
      <c r="B30" s="2909"/>
      <c r="C30" s="2909"/>
      <c r="D30" s="2909"/>
    </row>
    <row r="31" spans="1:4" x14ac:dyDescent="0.3">
      <c r="A31" s="904"/>
      <c r="B31" s="904"/>
      <c r="C31" s="904"/>
      <c r="D31" s="904"/>
    </row>
    <row r="35" spans="1:11" x14ac:dyDescent="0.3">
      <c r="A35" t="s">
        <v>176</v>
      </c>
      <c r="K35" t="s">
        <v>176</v>
      </c>
    </row>
  </sheetData>
  <mergeCells count="1">
    <mergeCell ref="A30:D30"/>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DD68F-27CA-4358-AD4E-395BE25AE730}">
  <sheetPr>
    <tabColor theme="9" tint="0.59999389629810485"/>
  </sheetPr>
  <dimension ref="A1:O76"/>
  <sheetViews>
    <sheetView showGridLines="0" zoomScaleNormal="100" workbookViewId="0">
      <selection activeCell="J24" sqref="J24"/>
    </sheetView>
  </sheetViews>
  <sheetFormatPr defaultColWidth="9.109375" defaultRowHeight="15.6" outlineLevelRow="1" x14ac:dyDescent="0.3"/>
  <cols>
    <col min="1" max="1" width="21.33203125" style="211" customWidth="1"/>
    <col min="2" max="3" width="13.109375" style="211" customWidth="1"/>
    <col min="4" max="6" width="9.109375" style="211"/>
    <col min="7" max="7" width="39.5546875" style="211" customWidth="1"/>
    <col min="8" max="8" width="9.109375" style="211"/>
    <col min="9" max="9" width="8.5546875" style="211" bestFit="1" customWidth="1"/>
    <col min="10" max="12" width="9.109375" style="211"/>
    <col min="13" max="13" width="50" style="211" customWidth="1"/>
    <col min="14" max="14" width="12.6640625" style="211" bestFit="1" customWidth="1"/>
    <col min="15" max="16384" width="9.109375" style="211"/>
  </cols>
  <sheetData>
    <row r="1" spans="1:9" x14ac:dyDescent="0.3">
      <c r="A1" s="459" t="s">
        <v>1673</v>
      </c>
    </row>
    <row r="2" spans="1:9" ht="31.5" customHeight="1" x14ac:dyDescent="0.3">
      <c r="A2" s="2911" t="s">
        <v>3085</v>
      </c>
      <c r="B2" s="2911"/>
      <c r="C2" s="2911"/>
    </row>
    <row r="3" spans="1:9" ht="8.25" customHeight="1" thickBot="1" x14ac:dyDescent="0.35"/>
    <row r="4" spans="1:9" x14ac:dyDescent="0.3">
      <c r="A4" s="453"/>
      <c r="B4" s="501" t="s">
        <v>3084</v>
      </c>
      <c r="C4" s="502" t="s">
        <v>2791</v>
      </c>
    </row>
    <row r="5" spans="1:9" x14ac:dyDescent="0.3">
      <c r="A5" s="221" t="s">
        <v>1250</v>
      </c>
      <c r="C5" s="223"/>
    </row>
    <row r="6" spans="1:9" x14ac:dyDescent="0.3">
      <c r="A6" s="214" t="s">
        <v>975</v>
      </c>
      <c r="B6" s="2429">
        <v>410.9</v>
      </c>
      <c r="C6" s="1544">
        <v>269.2</v>
      </c>
      <c r="E6" s="211">
        <f>B6/C6</f>
        <v>1.526374442793462</v>
      </c>
    </row>
    <row r="7" spans="1:9" x14ac:dyDescent="0.3">
      <c r="A7" s="214" t="s">
        <v>461</v>
      </c>
      <c r="B7" s="215">
        <v>1679.2</v>
      </c>
      <c r="C7" s="260">
        <v>88.1</v>
      </c>
      <c r="E7" s="211">
        <f>B7/C7</f>
        <v>19.060158910329172</v>
      </c>
    </row>
    <row r="8" spans="1:9" x14ac:dyDescent="0.3">
      <c r="A8" s="214" t="s">
        <v>241</v>
      </c>
      <c r="B8" s="1620">
        <v>0.28899999999999998</v>
      </c>
      <c r="C8" s="912">
        <v>0.214</v>
      </c>
    </row>
    <row r="9" spans="1:9" ht="4.5" customHeight="1" x14ac:dyDescent="0.3">
      <c r="A9" s="214"/>
      <c r="C9" s="223"/>
    </row>
    <row r="10" spans="1:9" ht="4.5" customHeight="1" x14ac:dyDescent="0.3">
      <c r="A10" s="1155"/>
      <c r="B10" s="597"/>
      <c r="C10" s="1279"/>
    </row>
    <row r="11" spans="1:9" ht="4.5" customHeight="1" x14ac:dyDescent="0.3">
      <c r="A11" s="214"/>
      <c r="C11" s="223"/>
    </row>
    <row r="12" spans="1:9" x14ac:dyDescent="0.3">
      <c r="A12" s="214" t="s">
        <v>3083</v>
      </c>
      <c r="B12" s="729">
        <f>B6/B7</f>
        <v>0.24469985707479749</v>
      </c>
      <c r="C12" s="349">
        <f>C6/C7</f>
        <v>3.0556186152099887</v>
      </c>
      <c r="F12" s="211" t="s">
        <v>176</v>
      </c>
    </row>
    <row r="13" spans="1:9" ht="16.2" thickBot="1" x14ac:dyDescent="0.35">
      <c r="A13" s="224" t="s">
        <v>2664</v>
      </c>
      <c r="B13" s="1314">
        <f>B8*B12</f>
        <v>7.0718258694616468E-2</v>
      </c>
      <c r="C13" s="2002">
        <f>C8*C12</f>
        <v>0.65390238365493758</v>
      </c>
    </row>
    <row r="14" spans="1:9" x14ac:dyDescent="0.3">
      <c r="A14" s="2910" t="s">
        <v>3751</v>
      </c>
      <c r="B14" s="2910"/>
      <c r="C14" s="2910"/>
    </row>
    <row r="15" spans="1:9" x14ac:dyDescent="0.3">
      <c r="A15" s="2910"/>
      <c r="B15" s="2910"/>
      <c r="C15" s="2910"/>
    </row>
    <row r="16" spans="1:9" x14ac:dyDescent="0.3">
      <c r="I16" s="211" t="s">
        <v>176</v>
      </c>
    </row>
    <row r="21" spans="7:9" x14ac:dyDescent="0.3">
      <c r="G21" s="459" t="s">
        <v>1673</v>
      </c>
    </row>
    <row r="22" spans="7:9" x14ac:dyDescent="0.3">
      <c r="G22" s="152" t="s">
        <v>2877</v>
      </c>
    </row>
    <row r="23" spans="7:9" ht="8.25" customHeight="1" thickBot="1" x14ac:dyDescent="0.35"/>
    <row r="24" spans="7:9" x14ac:dyDescent="0.3">
      <c r="G24" s="212" t="s">
        <v>3082</v>
      </c>
      <c r="H24" s="501">
        <v>1997</v>
      </c>
      <c r="I24" s="2428" t="s">
        <v>3081</v>
      </c>
    </row>
    <row r="25" spans="7:9" x14ac:dyDescent="0.3">
      <c r="G25" s="214" t="s">
        <v>1164</v>
      </c>
      <c r="H25" s="2216">
        <v>4414000</v>
      </c>
      <c r="I25" s="1953">
        <f t="shared" ref="I25:I34" si="0">H25/$H$34</f>
        <v>0.12177324354372829</v>
      </c>
    </row>
    <row r="26" spans="7:9" x14ac:dyDescent="0.3">
      <c r="G26" s="214" t="s">
        <v>1012</v>
      </c>
      <c r="H26" s="2169">
        <v>13337500</v>
      </c>
      <c r="I26" s="1953">
        <f t="shared" si="0"/>
        <v>0.36795438055380064</v>
      </c>
    </row>
    <row r="27" spans="7:9" x14ac:dyDescent="0.3">
      <c r="G27" s="214" t="s">
        <v>3080</v>
      </c>
      <c r="H27" s="2169">
        <v>2134800</v>
      </c>
      <c r="I27" s="1953">
        <f t="shared" si="0"/>
        <v>5.8894771254452007E-2</v>
      </c>
    </row>
    <row r="28" spans="7:9" x14ac:dyDescent="0.3">
      <c r="G28" s="214" t="s">
        <v>3042</v>
      </c>
      <c r="H28" s="2169">
        <v>2683100</v>
      </c>
      <c r="I28" s="1953">
        <f t="shared" si="0"/>
        <v>7.4021248244716217E-2</v>
      </c>
    </row>
    <row r="29" spans="7:9" x14ac:dyDescent="0.3">
      <c r="G29" s="214" t="s">
        <v>1013</v>
      </c>
      <c r="H29" s="2169">
        <v>4821000</v>
      </c>
      <c r="I29" s="1953">
        <f t="shared" si="0"/>
        <v>0.13300154216681334</v>
      </c>
    </row>
    <row r="30" spans="7:9" x14ac:dyDescent="0.3">
      <c r="G30" s="214" t="s">
        <v>3079</v>
      </c>
      <c r="H30" s="2169">
        <v>1278600</v>
      </c>
      <c r="I30" s="1953">
        <f t="shared" si="0"/>
        <v>3.5273962210016087E-2</v>
      </c>
    </row>
    <row r="31" spans="7:9" x14ac:dyDescent="0.3">
      <c r="G31" s="214" t="s">
        <v>3039</v>
      </c>
      <c r="H31" s="2166">
        <v>840600</v>
      </c>
      <c r="I31" s="1953">
        <f t="shared" si="0"/>
        <v>2.3190436910479836E-2</v>
      </c>
    </row>
    <row r="32" spans="7:9" x14ac:dyDescent="0.3">
      <c r="G32" s="214" t="s">
        <v>1014</v>
      </c>
      <c r="H32" s="2166">
        <v>2270900</v>
      </c>
      <c r="I32" s="1953">
        <f t="shared" si="0"/>
        <v>6.2649492243645799E-2</v>
      </c>
    </row>
    <row r="33" spans="7:15" x14ac:dyDescent="0.3">
      <c r="G33" s="214" t="s">
        <v>1162</v>
      </c>
      <c r="H33" s="2166">
        <v>4467200</v>
      </c>
      <c r="I33" s="1953">
        <f t="shared" si="0"/>
        <v>0.12324092287234777</v>
      </c>
    </row>
    <row r="34" spans="7:15" x14ac:dyDescent="0.3">
      <c r="G34" s="214"/>
      <c r="H34" s="2427">
        <f>SUM(H25:H33)</f>
        <v>36247700</v>
      </c>
      <c r="I34" s="1953">
        <f t="shared" si="0"/>
        <v>1</v>
      </c>
    </row>
    <row r="35" spans="7:15" ht="12" customHeight="1" x14ac:dyDescent="0.3">
      <c r="G35" s="214"/>
      <c r="H35" s="2162"/>
      <c r="I35" s="223"/>
    </row>
    <row r="36" spans="7:15" x14ac:dyDescent="0.3">
      <c r="G36" s="6" t="s">
        <v>998</v>
      </c>
      <c r="H36" s="2162"/>
      <c r="I36" s="223"/>
    </row>
    <row r="37" spans="7:15" x14ac:dyDescent="0.3">
      <c r="G37" s="6" t="s">
        <v>3078</v>
      </c>
      <c r="H37" s="2162"/>
      <c r="I37" s="223"/>
    </row>
    <row r="38" spans="7:15" x14ac:dyDescent="0.3">
      <c r="G38" s="6" t="s">
        <v>3077</v>
      </c>
      <c r="H38" s="2162"/>
      <c r="I38" s="223"/>
    </row>
    <row r="39" spans="7:15" ht="16.2" thickBot="1" x14ac:dyDescent="0.35">
      <c r="G39" s="2802"/>
      <c r="H39" s="2803"/>
      <c r="I39" s="219"/>
    </row>
    <row r="40" spans="7:15" ht="3" customHeight="1" x14ac:dyDescent="0.3">
      <c r="G40" s="2811" t="s">
        <v>3076</v>
      </c>
      <c r="H40" s="2811"/>
      <c r="I40" s="2811"/>
    </row>
    <row r="41" spans="7:15" ht="30" customHeight="1" x14ac:dyDescent="0.3">
      <c r="G41" s="2805"/>
      <c r="H41" s="2805"/>
      <c r="I41" s="2805"/>
    </row>
    <row r="44" spans="7:15" x14ac:dyDescent="0.3">
      <c r="M44" s="211" t="s">
        <v>176</v>
      </c>
    </row>
    <row r="46" spans="7:15" s="1" customFormat="1" x14ac:dyDescent="0.3">
      <c r="M46" s="459" t="s">
        <v>1673</v>
      </c>
      <c r="N46" s="211"/>
      <c r="O46" s="211"/>
    </row>
    <row r="47" spans="7:15" s="1" customFormat="1" x14ac:dyDescent="0.3">
      <c r="M47" s="152" t="s">
        <v>1698</v>
      </c>
      <c r="N47" s="211"/>
      <c r="O47" s="211"/>
    </row>
    <row r="48" spans="7:15" s="1" customFormat="1" ht="7.2" customHeight="1" thickBot="1" x14ac:dyDescent="0.35">
      <c r="M48" s="211"/>
      <c r="N48" s="211"/>
      <c r="O48" s="211"/>
    </row>
    <row r="49" spans="13:15" s="1" customFormat="1" x14ac:dyDescent="0.3">
      <c r="M49" s="212" t="s">
        <v>3075</v>
      </c>
      <c r="N49" s="712">
        <v>1997</v>
      </c>
      <c r="O49" s="713">
        <v>1996</v>
      </c>
    </row>
    <row r="50" spans="13:15" s="1" customFormat="1" x14ac:dyDescent="0.3">
      <c r="M50" s="214" t="s">
        <v>394</v>
      </c>
      <c r="N50" s="1160">
        <v>38043</v>
      </c>
      <c r="O50" s="1161">
        <v>28500</v>
      </c>
    </row>
    <row r="51" spans="13:15" s="1" customFormat="1" x14ac:dyDescent="0.3">
      <c r="M51" s="282" t="s">
        <v>1048</v>
      </c>
      <c r="N51" s="1319">
        <v>717.82</v>
      </c>
      <c r="O51" s="1320">
        <v>421.39</v>
      </c>
    </row>
    <row r="52" spans="13:15" s="1" customFormat="1" ht="31.2" x14ac:dyDescent="0.3">
      <c r="M52" s="282" t="s">
        <v>1693</v>
      </c>
      <c r="N52" s="1160">
        <f>N50+(10*N51)</f>
        <v>45221.2</v>
      </c>
      <c r="O52" s="1161">
        <f>O50+(10*O51)</f>
        <v>32713.9</v>
      </c>
    </row>
    <row r="53" spans="13:15" s="1" customFormat="1" ht="34.200000000000003" hidden="1" outlineLevel="1" x14ac:dyDescent="0.3">
      <c r="M53" s="1307" t="s">
        <v>1690</v>
      </c>
      <c r="N53" s="2426"/>
      <c r="O53" s="1309"/>
    </row>
    <row r="54" spans="13:15" s="1" customFormat="1" hidden="1" outlineLevel="1" x14ac:dyDescent="0.3">
      <c r="M54" s="1307" t="s">
        <v>941</v>
      </c>
      <c r="N54" s="2426"/>
      <c r="O54" s="1309"/>
    </row>
    <row r="55" spans="13:15" s="1" customFormat="1" hidden="1" outlineLevel="1" x14ac:dyDescent="0.3">
      <c r="M55" s="1307" t="s">
        <v>942</v>
      </c>
      <c r="N55" s="2425">
        <f>N52/O52-1</f>
        <v>0.38232372172073625</v>
      </c>
      <c r="O55" s="1311" t="e">
        <f>O52/#REF!-1</f>
        <v>#REF!</v>
      </c>
    </row>
    <row r="56" spans="13:15" s="1" customFormat="1" hidden="1" outlineLevel="1" x14ac:dyDescent="0.3">
      <c r="M56" s="1307" t="s">
        <v>936</v>
      </c>
      <c r="N56" s="2424">
        <f>N62/N52</f>
        <v>1.0172220109152346</v>
      </c>
      <c r="O56" s="1312">
        <f>O62/O52</f>
        <v>1.0423703685589305</v>
      </c>
    </row>
    <row r="57" spans="13:15" s="1" customFormat="1" hidden="1" outlineLevel="1" x14ac:dyDescent="0.3">
      <c r="M57" s="214"/>
      <c r="N57" s="1070"/>
      <c r="O57" s="1107"/>
    </row>
    <row r="58" spans="13:15" s="1" customFormat="1" hidden="1" outlineLevel="1" x14ac:dyDescent="0.3">
      <c r="M58" s="214"/>
      <c r="N58" s="220"/>
      <c r="O58" s="223"/>
    </row>
    <row r="59" spans="13:15" s="1" customFormat="1" ht="4.5" customHeight="1" collapsed="1" x14ac:dyDescent="0.3">
      <c r="M59" s="214"/>
      <c r="N59" s="460"/>
      <c r="O59" s="461"/>
    </row>
    <row r="60" spans="13:15" s="1" customFormat="1" ht="4.5" customHeight="1" x14ac:dyDescent="0.3">
      <c r="M60" s="1155"/>
      <c r="N60" s="1653"/>
      <c r="O60" s="1324"/>
    </row>
    <row r="61" spans="13:15" s="1" customFormat="1" ht="4.5" customHeight="1" x14ac:dyDescent="0.3">
      <c r="M61" s="214"/>
      <c r="N61" s="460"/>
      <c r="O61" s="461"/>
    </row>
    <row r="62" spans="13:15" s="1" customFormat="1" x14ac:dyDescent="0.3">
      <c r="M62" s="214" t="s">
        <v>927</v>
      </c>
      <c r="N62" s="1160">
        <v>46000</v>
      </c>
      <c r="O62" s="1161">
        <v>34100</v>
      </c>
    </row>
    <row r="63" spans="13:15" s="1" customFormat="1" x14ac:dyDescent="0.3">
      <c r="M63" s="214" t="s">
        <v>1691</v>
      </c>
      <c r="N63" s="1321">
        <v>25488</v>
      </c>
      <c r="O63" s="1318">
        <v>19011</v>
      </c>
    </row>
    <row r="64" spans="13:15" s="1" customFormat="1" ht="4.5" customHeight="1" collapsed="1" x14ac:dyDescent="0.3">
      <c r="M64" s="214"/>
      <c r="N64" s="460"/>
      <c r="O64" s="461"/>
    </row>
    <row r="65" spans="13:15" s="1" customFormat="1" ht="4.5" customHeight="1" x14ac:dyDescent="0.3">
      <c r="M65" s="1155"/>
      <c r="N65" s="1653"/>
      <c r="O65" s="1324"/>
    </row>
    <row r="66" spans="13:15" s="1" customFormat="1" ht="4.5" customHeight="1" x14ac:dyDescent="0.3">
      <c r="M66" s="214"/>
      <c r="N66" s="460"/>
      <c r="O66" s="461"/>
    </row>
    <row r="67" spans="13:15" s="1" customFormat="1" x14ac:dyDescent="0.3">
      <c r="M67" s="214" t="s">
        <v>1694</v>
      </c>
      <c r="N67" s="2711">
        <f>N62/N52</f>
        <v>1.0172220109152346</v>
      </c>
      <c r="O67" s="2709">
        <f>O62/O52</f>
        <v>1.0423703685589305</v>
      </c>
    </row>
    <row r="68" spans="13:15" s="1" customFormat="1" x14ac:dyDescent="0.3">
      <c r="M68" s="214" t="s">
        <v>1695</v>
      </c>
      <c r="N68" s="2711">
        <f>N62/N63</f>
        <v>1.8047708725674827</v>
      </c>
      <c r="O68" s="2709">
        <f>O62/O63</f>
        <v>1.7936983851454422</v>
      </c>
    </row>
    <row r="69" spans="13:15" s="1" customFormat="1" x14ac:dyDescent="0.3">
      <c r="M69" s="214" t="s">
        <v>1696</v>
      </c>
      <c r="N69" s="2711">
        <f>N52/N63</f>
        <v>1.774215317011927</v>
      </c>
      <c r="O69" s="2709">
        <f>O52/O63</f>
        <v>1.7207879648624482</v>
      </c>
    </row>
    <row r="70" spans="13:15" s="1" customFormat="1" ht="4.5" customHeight="1" collapsed="1" x14ac:dyDescent="0.3">
      <c r="M70" s="214"/>
      <c r="N70" s="460"/>
      <c r="O70" s="461"/>
    </row>
    <row r="71" spans="13:15" s="1" customFormat="1" ht="4.5" customHeight="1" x14ac:dyDescent="0.3">
      <c r="M71" s="1155"/>
      <c r="N71" s="1653"/>
      <c r="O71" s="1324"/>
    </row>
    <row r="72" spans="13:15" s="1" customFormat="1" ht="4.5" customHeight="1" x14ac:dyDescent="0.3">
      <c r="M72" s="214"/>
      <c r="N72" s="460"/>
      <c r="O72" s="461"/>
    </row>
    <row r="73" spans="13:15" s="1" customFormat="1" x14ac:dyDescent="0.3">
      <c r="M73" s="214" t="s">
        <v>937</v>
      </c>
      <c r="N73" s="508">
        <f>N52/O52-1</f>
        <v>0.38232372172073625</v>
      </c>
      <c r="O73" s="2717"/>
    </row>
    <row r="74" spans="13:15" s="1" customFormat="1" ht="16.2" thickBot="1" x14ac:dyDescent="0.35">
      <c r="M74" s="224" t="s">
        <v>928</v>
      </c>
      <c r="N74" s="1314">
        <f>N62/O62-1</f>
        <v>0.34897360703812308</v>
      </c>
      <c r="O74" s="2718"/>
    </row>
    <row r="75" spans="13:15" s="1" customFormat="1" ht="13.8" x14ac:dyDescent="0.25">
      <c r="M75" s="12" t="s">
        <v>3074</v>
      </c>
    </row>
    <row r="76" spans="13:15" s="1" customFormat="1" ht="13.8" x14ac:dyDescent="0.25"/>
  </sheetData>
  <mergeCells count="4">
    <mergeCell ref="A14:C15"/>
    <mergeCell ref="A2:C2"/>
    <mergeCell ref="G39:H39"/>
    <mergeCell ref="G40:I41"/>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D697-1D8D-4C88-A7E3-705D4C667656}">
  <sheetPr>
    <tabColor theme="9" tint="0.59999389629810485"/>
  </sheetPr>
  <dimension ref="A1:F34"/>
  <sheetViews>
    <sheetView showGridLines="0" zoomScale="115" zoomScaleNormal="115" workbookViewId="0">
      <selection activeCell="L19" sqref="L19"/>
    </sheetView>
  </sheetViews>
  <sheetFormatPr defaultColWidth="9.109375" defaultRowHeight="15.6" x14ac:dyDescent="0.3"/>
  <cols>
    <col min="1" max="1" width="27.88671875" style="211" customWidth="1"/>
    <col min="2" max="16384" width="9.109375" style="211"/>
  </cols>
  <sheetData>
    <row r="1" spans="1:5" x14ac:dyDescent="0.3">
      <c r="A1" s="459" t="s">
        <v>1673</v>
      </c>
    </row>
    <row r="2" spans="1:5" x14ac:dyDescent="0.3">
      <c r="A2" s="152" t="s">
        <v>1709</v>
      </c>
    </row>
    <row r="3" spans="1:5" ht="8.25" customHeight="1" thickBot="1" x14ac:dyDescent="0.35"/>
    <row r="4" spans="1:5" x14ac:dyDescent="0.3">
      <c r="A4" s="212" t="s">
        <v>1250</v>
      </c>
      <c r="B4" s="712">
        <v>1996</v>
      </c>
      <c r="C4" s="712">
        <v>1995</v>
      </c>
      <c r="D4" s="713">
        <v>1994</v>
      </c>
    </row>
    <row r="5" spans="1:5" x14ac:dyDescent="0.3">
      <c r="A5" s="214" t="s">
        <v>975</v>
      </c>
      <c r="B5" s="518">
        <v>411.50700000000001</v>
      </c>
      <c r="C5" s="518">
        <v>371.97500000000002</v>
      </c>
      <c r="D5" s="1325">
        <v>340.83199999999999</v>
      </c>
    </row>
    <row r="6" spans="1:5" x14ac:dyDescent="0.3">
      <c r="A6" s="214" t="s">
        <v>1703</v>
      </c>
      <c r="B6" s="1326">
        <f>B5/B34</f>
        <v>2.3916969135138748</v>
      </c>
      <c r="C6" s="1326">
        <f>C5/C34</f>
        <v>2.273929057203552</v>
      </c>
      <c r="D6" s="1327">
        <f>D5/D34</f>
        <v>2.308440458935562</v>
      </c>
    </row>
    <row r="7" spans="1:5" x14ac:dyDescent="0.3">
      <c r="A7" s="214" t="s">
        <v>570</v>
      </c>
      <c r="B7" s="917">
        <f>55.301/B5</f>
        <v>0.13438653534447775</v>
      </c>
      <c r="C7" s="917">
        <f>52.597/C5</f>
        <v>0.14139928758653134</v>
      </c>
      <c r="D7" s="918">
        <f>50.353/D5</f>
        <v>0.14773554126373112</v>
      </c>
    </row>
    <row r="8" spans="1:5" x14ac:dyDescent="0.3">
      <c r="A8" s="214" t="s">
        <v>1563</v>
      </c>
      <c r="B8" s="917">
        <f>B6*B7</f>
        <v>0.32141186180121067</v>
      </c>
      <c r="C8" s="917">
        <f t="shared" ref="C8:D8" si="0">C6*C7</f>
        <v>0.32153194871089513</v>
      </c>
      <c r="D8" s="918">
        <f t="shared" si="0"/>
        <v>0.34103870067594111</v>
      </c>
    </row>
    <row r="9" spans="1:5" ht="4.5" customHeight="1" x14ac:dyDescent="0.3">
      <c r="A9" s="214"/>
      <c r="B9" s="220"/>
      <c r="C9" s="220"/>
      <c r="D9" s="223"/>
    </row>
    <row r="10" spans="1:5" ht="4.5" customHeight="1" x14ac:dyDescent="0.3">
      <c r="A10" s="1155"/>
      <c r="B10" s="684"/>
      <c r="C10" s="684"/>
      <c r="D10" s="1279"/>
    </row>
    <row r="11" spans="1:5" ht="4.5" customHeight="1" x14ac:dyDescent="0.3">
      <c r="A11" s="214"/>
      <c r="B11" s="220"/>
      <c r="C11" s="220"/>
      <c r="D11" s="223"/>
    </row>
    <row r="12" spans="1:5" ht="18.600000000000001" x14ac:dyDescent="0.3">
      <c r="A12" s="214" t="s">
        <v>1732</v>
      </c>
      <c r="B12" s="518">
        <v>587.79999999999995</v>
      </c>
      <c r="C12" s="220"/>
      <c r="D12" s="223"/>
    </row>
    <row r="13" spans="1:5" x14ac:dyDescent="0.3">
      <c r="A13" s="214" t="s">
        <v>1731</v>
      </c>
      <c r="B13" s="521">
        <f>B31</f>
        <v>3.5430000000000001</v>
      </c>
      <c r="C13" s="220"/>
      <c r="D13" s="223"/>
    </row>
    <row r="14" spans="1:5" x14ac:dyDescent="0.3">
      <c r="A14" s="214" t="s">
        <v>1708</v>
      </c>
      <c r="B14" s="1345">
        <f>B12+B13</f>
        <v>591.34299999999996</v>
      </c>
      <c r="C14" s="220"/>
      <c r="D14" s="223"/>
      <c r="E14" s="211" t="s">
        <v>176</v>
      </c>
    </row>
    <row r="15" spans="1:5" ht="4.5" customHeight="1" x14ac:dyDescent="0.3">
      <c r="A15" s="214"/>
      <c r="B15" s="220"/>
      <c r="C15" s="220"/>
      <c r="D15" s="223"/>
    </row>
    <row r="16" spans="1:5" ht="4.5" customHeight="1" x14ac:dyDescent="0.3">
      <c r="A16" s="1155"/>
      <c r="B16" s="684"/>
      <c r="C16" s="684"/>
      <c r="D16" s="1279"/>
    </row>
    <row r="17" spans="1:6" ht="4.5" customHeight="1" x14ac:dyDescent="0.3">
      <c r="A17" s="214"/>
      <c r="B17" s="220"/>
      <c r="C17" s="220"/>
      <c r="D17" s="223"/>
    </row>
    <row r="18" spans="1:6" x14ac:dyDescent="0.3">
      <c r="A18" s="214" t="s">
        <v>1705</v>
      </c>
      <c r="B18" s="2711">
        <f>B14/B32</f>
        <v>3.4449907662551769</v>
      </c>
      <c r="C18" s="220"/>
      <c r="D18" s="223"/>
    </row>
    <row r="19" spans="1:6" x14ac:dyDescent="0.3">
      <c r="A19" s="214" t="s">
        <v>1706</v>
      </c>
      <c r="B19" s="464">
        <f>B8/B18</f>
        <v>9.3298323162298746E-2</v>
      </c>
      <c r="C19" s="220"/>
      <c r="D19" s="223"/>
    </row>
    <row r="20" spans="1:6" ht="4.5" customHeight="1" x14ac:dyDescent="0.3">
      <c r="A20" s="214"/>
      <c r="B20" s="220"/>
      <c r="C20" s="220"/>
      <c r="D20" s="223"/>
    </row>
    <row r="21" spans="1:6" ht="4.5" customHeight="1" x14ac:dyDescent="0.3">
      <c r="A21" s="1155"/>
      <c r="B21" s="684"/>
      <c r="C21" s="684"/>
      <c r="D21" s="1279"/>
    </row>
    <row r="22" spans="1:6" ht="4.5" customHeight="1" x14ac:dyDescent="0.3">
      <c r="A22" s="214"/>
      <c r="B22" s="220"/>
      <c r="C22" s="220"/>
      <c r="D22" s="223"/>
    </row>
    <row r="23" spans="1:6" x14ac:dyDescent="0.3">
      <c r="A23" s="6" t="s">
        <v>1405</v>
      </c>
      <c r="B23" s="201"/>
      <c r="C23" s="205"/>
      <c r="D23" s="8"/>
    </row>
    <row r="24" spans="1:6" ht="45" customHeight="1" thickBot="1" x14ac:dyDescent="0.35">
      <c r="A24" s="2912" t="s">
        <v>1940</v>
      </c>
      <c r="B24" s="2913"/>
      <c r="C24" s="2913"/>
      <c r="D24" s="2914"/>
      <c r="F24" s="211" t="s">
        <v>176</v>
      </c>
    </row>
    <row r="25" spans="1:6" ht="45" customHeight="1" x14ac:dyDescent="0.3">
      <c r="A25" s="2805" t="s">
        <v>1941</v>
      </c>
      <c r="B25" s="2805"/>
      <c r="C25" s="2805"/>
      <c r="D25" s="2805"/>
    </row>
    <row r="29" spans="1:6" x14ac:dyDescent="0.3">
      <c r="A29" s="211" t="s">
        <v>1155</v>
      </c>
    </row>
    <row r="30" spans="1:6" x14ac:dyDescent="0.3">
      <c r="A30" s="211" t="s">
        <v>746</v>
      </c>
      <c r="B30" s="211">
        <v>168.11</v>
      </c>
      <c r="C30" s="211">
        <v>147.69999999999999</v>
      </c>
      <c r="D30" s="211">
        <v>131.36099999999999</v>
      </c>
      <c r="E30" s="211">
        <v>116.685</v>
      </c>
    </row>
    <row r="31" spans="1:6" x14ac:dyDescent="0.3">
      <c r="A31" s="211" t="s">
        <v>333</v>
      </c>
      <c r="B31" s="211">
        <v>3.5430000000000001</v>
      </c>
      <c r="C31" s="211">
        <v>24.76</v>
      </c>
      <c r="D31" s="211">
        <v>23.344000000000001</v>
      </c>
      <c r="E31" s="211">
        <v>23.902000000000001</v>
      </c>
    </row>
    <row r="32" spans="1:6" x14ac:dyDescent="0.3">
      <c r="A32" s="211" t="s">
        <v>1701</v>
      </c>
      <c r="B32" s="211">
        <f>SUM(B30:B31)</f>
        <v>171.65300000000002</v>
      </c>
      <c r="C32" s="211">
        <f>SUM(C30:C31)</f>
        <v>172.45999999999998</v>
      </c>
      <c r="D32" s="211">
        <f>SUM(D30:D31)</f>
        <v>154.70499999999998</v>
      </c>
      <c r="E32" s="211">
        <f>SUM(E30:E31)</f>
        <v>140.58699999999999</v>
      </c>
    </row>
    <row r="34" spans="1:4" x14ac:dyDescent="0.3">
      <c r="A34" s="211" t="s">
        <v>1702</v>
      </c>
      <c r="B34" s="211">
        <f>AVERAGE(B32:C32)</f>
        <v>172.0565</v>
      </c>
      <c r="C34" s="211">
        <f t="shared" ref="C34:D34" si="1">AVERAGE(C32:D32)</f>
        <v>163.58249999999998</v>
      </c>
      <c r="D34" s="211">
        <f t="shared" si="1"/>
        <v>147.64599999999999</v>
      </c>
    </row>
  </sheetData>
  <mergeCells count="2">
    <mergeCell ref="A25:D25"/>
    <mergeCell ref="A24:D24"/>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E33C-347C-4221-80C6-20D9EF5AB261}">
  <sheetPr>
    <tabColor theme="9" tint="0.59999389629810485"/>
  </sheetPr>
  <dimension ref="A2:G32"/>
  <sheetViews>
    <sheetView showGridLines="0" zoomScaleNormal="100" workbookViewId="0">
      <selection activeCell="M36" sqref="M36"/>
    </sheetView>
  </sheetViews>
  <sheetFormatPr defaultColWidth="9.109375" defaultRowHeight="15.6" outlineLevelRow="1" x14ac:dyDescent="0.3"/>
  <cols>
    <col min="1" max="1" width="52.21875" style="211" customWidth="1"/>
    <col min="2" max="3" width="9" style="211" bestFit="1" customWidth="1"/>
    <col min="4" max="4" width="9" style="211" customWidth="1"/>
    <col min="5" max="16384" width="9.109375" style="211"/>
  </cols>
  <sheetData>
    <row r="2" spans="1:5" s="1" customFormat="1" x14ac:dyDescent="0.3">
      <c r="A2" s="459" t="s">
        <v>1673</v>
      </c>
      <c r="B2" s="459"/>
      <c r="C2" s="211"/>
      <c r="D2" s="211"/>
      <c r="E2" s="211"/>
    </row>
    <row r="3" spans="1:5" s="1" customFormat="1" x14ac:dyDescent="0.3">
      <c r="A3" s="152" t="s">
        <v>1698</v>
      </c>
      <c r="B3" s="152"/>
      <c r="C3" s="211"/>
      <c r="D3" s="211"/>
      <c r="E3" s="211"/>
    </row>
    <row r="4" spans="1:5" s="1" customFormat="1" ht="7.2" customHeight="1" thickBot="1" x14ac:dyDescent="0.35">
      <c r="A4" s="211"/>
      <c r="B4" s="211"/>
      <c r="C4" s="211"/>
      <c r="D4" s="220"/>
      <c r="E4" s="211"/>
    </row>
    <row r="5" spans="1:5" s="1" customFormat="1" x14ac:dyDescent="0.3">
      <c r="A5" s="212" t="s">
        <v>3075</v>
      </c>
      <c r="B5" s="712">
        <v>1998</v>
      </c>
      <c r="C5" s="713">
        <v>1997</v>
      </c>
      <c r="D5" s="2723"/>
      <c r="E5" s="2430">
        <v>1996</v>
      </c>
    </row>
    <row r="6" spans="1:5" s="1" customFormat="1" x14ac:dyDescent="0.3">
      <c r="A6" s="214" t="s">
        <v>394</v>
      </c>
      <c r="B6" s="1160">
        <v>47647</v>
      </c>
      <c r="C6" s="1161">
        <v>38043</v>
      </c>
      <c r="D6" s="2719"/>
      <c r="E6" s="2431">
        <v>28500</v>
      </c>
    </row>
    <row r="7" spans="1:5" s="1" customFormat="1" x14ac:dyDescent="0.3">
      <c r="A7" s="282" t="s">
        <v>1048</v>
      </c>
      <c r="B7" s="1319">
        <v>474.45</v>
      </c>
      <c r="C7" s="1320">
        <v>717.82</v>
      </c>
      <c r="D7" s="2724"/>
      <c r="E7" s="2432">
        <v>421.39</v>
      </c>
    </row>
    <row r="8" spans="1:5" s="1" customFormat="1" x14ac:dyDescent="0.3">
      <c r="A8" s="282" t="s">
        <v>1693</v>
      </c>
      <c r="B8" s="1160">
        <f>B6+(10*B7)</f>
        <v>52391.5</v>
      </c>
      <c r="C8" s="1161">
        <f>C6+(10*C7)</f>
        <v>45221.2</v>
      </c>
      <c r="D8" s="2719"/>
      <c r="E8" s="2431">
        <f>E6+(10*E7)</f>
        <v>32713.9</v>
      </c>
    </row>
    <row r="9" spans="1:5" s="1" customFormat="1" ht="34.200000000000003" hidden="1" outlineLevel="1" x14ac:dyDescent="0.3">
      <c r="A9" s="1307" t="s">
        <v>1690</v>
      </c>
      <c r="B9" s="2426"/>
      <c r="C9" s="1309"/>
      <c r="D9" s="2720"/>
      <c r="E9" s="2433"/>
    </row>
    <row r="10" spans="1:5" s="1" customFormat="1" hidden="1" outlineLevel="1" x14ac:dyDescent="0.3">
      <c r="A10" s="1307" t="s">
        <v>941</v>
      </c>
      <c r="B10" s="2426"/>
      <c r="C10" s="1309"/>
      <c r="D10" s="2720"/>
      <c r="E10" s="2433"/>
    </row>
    <row r="11" spans="1:5" s="1" customFormat="1" hidden="1" outlineLevel="1" x14ac:dyDescent="0.3">
      <c r="A11" s="1307" t="s">
        <v>942</v>
      </c>
      <c r="B11" s="2425">
        <f>B8/C8-1</f>
        <v>0.15856058662751105</v>
      </c>
      <c r="C11" s="1311">
        <f>C8/E8-1</f>
        <v>0.38232372172073625</v>
      </c>
      <c r="D11" s="890"/>
      <c r="E11" s="2434" t="e">
        <f>E8/#REF!-1</f>
        <v>#REF!</v>
      </c>
    </row>
    <row r="12" spans="1:5" s="1" customFormat="1" hidden="1" outlineLevel="1" x14ac:dyDescent="0.3">
      <c r="A12" s="1307" t="s">
        <v>936</v>
      </c>
      <c r="B12" s="2424">
        <f>B18/B8</f>
        <v>1.3360945954973613</v>
      </c>
      <c r="C12" s="1312">
        <f>C18/C8</f>
        <v>1.0172220109152346</v>
      </c>
      <c r="D12" s="2460"/>
      <c r="E12" s="2435">
        <f>E18/E8</f>
        <v>1.0423703685589305</v>
      </c>
    </row>
    <row r="13" spans="1:5" s="1" customFormat="1" hidden="1" outlineLevel="1" x14ac:dyDescent="0.3">
      <c r="A13" s="214"/>
      <c r="B13" s="1070"/>
      <c r="C13" s="1107"/>
      <c r="D13" s="2721"/>
      <c r="E13" s="2436"/>
    </row>
    <row r="14" spans="1:5" s="1" customFormat="1" hidden="1" outlineLevel="1" x14ac:dyDescent="0.3">
      <c r="A14" s="214"/>
      <c r="B14" s="220"/>
      <c r="C14" s="223"/>
      <c r="D14" s="1281"/>
      <c r="E14" s="1569"/>
    </row>
    <row r="15" spans="1:5" s="1" customFormat="1" ht="4.5" customHeight="1" collapsed="1" x14ac:dyDescent="0.3">
      <c r="A15" s="214"/>
      <c r="B15" s="460"/>
      <c r="C15" s="461"/>
      <c r="D15" s="2720"/>
      <c r="E15" s="2433"/>
    </row>
    <row r="16" spans="1:5" s="1" customFormat="1" ht="4.5" customHeight="1" x14ac:dyDescent="0.3">
      <c r="A16" s="1155"/>
      <c r="B16" s="1653"/>
      <c r="C16" s="1324"/>
      <c r="D16" s="2720"/>
      <c r="E16" s="2433"/>
    </row>
    <row r="17" spans="1:7" s="1" customFormat="1" ht="4.5" customHeight="1" x14ac:dyDescent="0.3">
      <c r="A17" s="214"/>
      <c r="B17" s="460"/>
      <c r="C17" s="461"/>
      <c r="D17" s="2720"/>
      <c r="E17" s="2433"/>
    </row>
    <row r="18" spans="1:7" s="1" customFormat="1" x14ac:dyDescent="0.3">
      <c r="A18" s="214" t="s">
        <v>927</v>
      </c>
      <c r="B18" s="1160">
        <v>70000</v>
      </c>
      <c r="C18" s="1161">
        <v>46000</v>
      </c>
      <c r="D18" s="2719"/>
      <c r="E18" s="2431">
        <v>34100</v>
      </c>
    </row>
    <row r="19" spans="1:7" s="1" customFormat="1" x14ac:dyDescent="0.3">
      <c r="A19" s="214" t="s">
        <v>1691</v>
      </c>
      <c r="B19" s="1321">
        <v>37801</v>
      </c>
      <c r="C19" s="1318">
        <v>25488</v>
      </c>
      <c r="D19" s="2722"/>
      <c r="E19" s="2437">
        <v>19011</v>
      </c>
    </row>
    <row r="20" spans="1:7" s="1" customFormat="1" ht="4.5" customHeight="1" collapsed="1" x14ac:dyDescent="0.3">
      <c r="A20" s="214"/>
      <c r="B20" s="460"/>
      <c r="C20" s="461"/>
      <c r="D20" s="2720"/>
      <c r="E20" s="2433"/>
    </row>
    <row r="21" spans="1:7" s="1" customFormat="1" ht="4.5" customHeight="1" x14ac:dyDescent="0.3">
      <c r="A21" s="1155"/>
      <c r="B21" s="1653"/>
      <c r="C21" s="1324"/>
      <c r="D21" s="2720"/>
      <c r="E21" s="2433"/>
    </row>
    <row r="22" spans="1:7" s="1" customFormat="1" ht="4.5" customHeight="1" x14ac:dyDescent="0.3">
      <c r="A22" s="214"/>
      <c r="B22" s="460"/>
      <c r="C22" s="461"/>
      <c r="D22" s="2720"/>
      <c r="E22" s="2433"/>
    </row>
    <row r="23" spans="1:7" s="1" customFormat="1" x14ac:dyDescent="0.3">
      <c r="A23" s="214" t="s">
        <v>1694</v>
      </c>
      <c r="B23" s="2711">
        <f>B18/B8</f>
        <v>1.3360945954973613</v>
      </c>
      <c r="C23" s="2709">
        <f>C18/C8</f>
        <v>1.0172220109152346</v>
      </c>
      <c r="D23" s="2105"/>
      <c r="E23" s="2438">
        <f>E18/E8</f>
        <v>1.0423703685589305</v>
      </c>
    </row>
    <row r="24" spans="1:7" s="1" customFormat="1" x14ac:dyDescent="0.3">
      <c r="A24" s="214" t="s">
        <v>1695</v>
      </c>
      <c r="B24" s="2711">
        <f>B18/B19</f>
        <v>1.8518028623581386</v>
      </c>
      <c r="C24" s="2709">
        <f>C18/C19</f>
        <v>1.8047708725674827</v>
      </c>
      <c r="D24" s="2105"/>
      <c r="E24" s="2438">
        <f>E18/E19</f>
        <v>1.7936983851454422</v>
      </c>
    </row>
    <row r="25" spans="1:7" s="1" customFormat="1" x14ac:dyDescent="0.3">
      <c r="A25" s="214" t="s">
        <v>1696</v>
      </c>
      <c r="B25" s="2711">
        <f>B8/B19</f>
        <v>1.3859818523319489</v>
      </c>
      <c r="C25" s="2709">
        <f>C8/C19</f>
        <v>1.774215317011927</v>
      </c>
      <c r="D25" s="2105"/>
      <c r="E25" s="2438">
        <f>E8/E19</f>
        <v>1.7207879648624482</v>
      </c>
      <c r="G25" s="1">
        <f>B25/C25</f>
        <v>0.78118018655490606</v>
      </c>
    </row>
    <row r="26" spans="1:7" s="1" customFormat="1" ht="4.5" customHeight="1" collapsed="1" x14ac:dyDescent="0.3">
      <c r="A26" s="214"/>
      <c r="B26" s="460"/>
      <c r="C26" s="461"/>
      <c r="D26" s="2720"/>
      <c r="E26" s="2433"/>
    </row>
    <row r="27" spans="1:7" s="1" customFormat="1" ht="4.5" customHeight="1" x14ac:dyDescent="0.3">
      <c r="A27" s="1155"/>
      <c r="B27" s="1653"/>
      <c r="C27" s="1324"/>
      <c r="D27" s="2720"/>
      <c r="E27" s="2433"/>
    </row>
    <row r="28" spans="1:7" s="1" customFormat="1" ht="4.5" customHeight="1" x14ac:dyDescent="0.3">
      <c r="A28" s="214"/>
      <c r="B28" s="460"/>
      <c r="C28" s="461"/>
      <c r="D28" s="2720"/>
      <c r="E28" s="2433"/>
    </row>
    <row r="29" spans="1:7" s="1" customFormat="1" x14ac:dyDescent="0.3">
      <c r="A29" s="214" t="s">
        <v>937</v>
      </c>
      <c r="B29" s="508">
        <f>B8/C8-1</f>
        <v>0.15856058662751105</v>
      </c>
      <c r="C29" s="2717"/>
      <c r="D29" s="1610"/>
      <c r="E29" s="2439"/>
    </row>
    <row r="30" spans="1:7" s="1" customFormat="1" ht="16.2" thickBot="1" x14ac:dyDescent="0.35">
      <c r="A30" s="224" t="s">
        <v>928</v>
      </c>
      <c r="B30" s="1314">
        <f>B18/C18-1</f>
        <v>0.52173913043478271</v>
      </c>
      <c r="C30" s="2718"/>
      <c r="D30" s="2725"/>
      <c r="E30" s="2440"/>
    </row>
    <row r="31" spans="1:7" s="1" customFormat="1" ht="13.8" x14ac:dyDescent="0.25">
      <c r="A31" s="12" t="s">
        <v>3086</v>
      </c>
      <c r="B31" s="12"/>
    </row>
    <row r="32" spans="1:7" s="1" customFormat="1" ht="13.8" x14ac:dyDescent="0.2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229</vt:i4>
      </vt:variant>
    </vt:vector>
  </HeadingPairs>
  <TitlesOfParts>
    <vt:vector size="229" baseType="lpstr">
      <vt:lpstr>WELCOME!</vt:lpstr>
      <vt:lpstr>1. 1930s - Spindles</vt:lpstr>
      <vt:lpstr>1. 1930s - Select Data</vt:lpstr>
      <vt:lpstr>1. 1940s</vt:lpstr>
      <vt:lpstr>1. 1950s</vt:lpstr>
      <vt:lpstr>1. Spindles 1940-50-55</vt:lpstr>
      <vt:lpstr>1. Concl. - Active Spindle &amp; %</vt:lpstr>
      <vt:lpstr>1. BFSA </vt:lpstr>
      <vt:lpstr>1. Timeline</vt:lpstr>
      <vt:lpstr>1. Financials</vt:lpstr>
      <vt:lpstr>2. Lead Page</vt:lpstr>
      <vt:lpstr>2. 1954</vt:lpstr>
      <vt:lpstr>2. 1958</vt:lpstr>
      <vt:lpstr>2. 1964 Decade in Review</vt:lpstr>
      <vt:lpstr>2. Financials</vt:lpstr>
      <vt:lpstr>3. Lead Page</vt:lpstr>
      <vt:lpstr>3. 1969-insurance</vt:lpstr>
      <vt:lpstr>3. 1969 bank</vt:lpstr>
      <vt:lpstr>3. 1970</vt:lpstr>
      <vt:lpstr>3. 1971</vt:lpstr>
      <vt:lpstr>3. 1972</vt:lpstr>
      <vt:lpstr>3. 1973</vt:lpstr>
      <vt:lpstr>3. 1973 year-end illustration</vt:lpstr>
      <vt:lpstr>3. 1974</vt:lpstr>
      <vt:lpstr>3. 65-74 Conclusion</vt:lpstr>
      <vt:lpstr>3. Stock price data</vt:lpstr>
      <vt:lpstr>3. "Summary Table"</vt:lpstr>
      <vt:lpstr>3. Financials</vt:lpstr>
      <vt:lpstr>3. Insurance Detail</vt:lpstr>
      <vt:lpstr>3. Insurance</vt:lpstr>
      <vt:lpstr>3. Insurance 1970 Acc Change</vt:lpstr>
      <vt:lpstr>3. Banking</vt:lpstr>
      <vt:lpstr>4. Lead Page </vt:lpstr>
      <vt:lpstr>4. Summary Table</vt:lpstr>
      <vt:lpstr>4. 1975</vt:lpstr>
      <vt:lpstr>4. 1976</vt:lpstr>
      <vt:lpstr>4. 1977</vt:lpstr>
      <vt:lpstr>4. Diversifed Merger</vt:lpstr>
      <vt:lpstr>4. 1978</vt:lpstr>
      <vt:lpstr>4. Blue Chip summary</vt:lpstr>
      <vt:lpstr>4. Blue Chip</vt:lpstr>
      <vt:lpstr>4. 1978-Cont'd</vt:lpstr>
      <vt:lpstr>4. Wesco</vt:lpstr>
      <vt:lpstr>4. Buffalo News</vt:lpstr>
      <vt:lpstr>4. 1979</vt:lpstr>
      <vt:lpstr>4. 1981</vt:lpstr>
      <vt:lpstr>4. 1982</vt:lpstr>
      <vt:lpstr>4. 1983</vt:lpstr>
      <vt:lpstr>4. 1983 TOTAL earnings</vt:lpstr>
      <vt:lpstr>4. 1984 TOTAL earnings</vt:lpstr>
      <vt:lpstr>4. See's</vt:lpstr>
      <vt:lpstr>4. 1984</vt:lpstr>
      <vt:lpstr>4. Equity Reconciliation</vt:lpstr>
      <vt:lpstr>4. Stock price data</vt:lpstr>
      <vt:lpstr>4. 75-84 Conclusion</vt:lpstr>
      <vt:lpstr>4. Financials</vt:lpstr>
      <vt:lpstr>4. Insurance Fin'ls </vt:lpstr>
      <vt:lpstr>4. Insurance Detail</vt:lpstr>
      <vt:lpstr>4. Banking</vt:lpstr>
      <vt:lpstr>5. Lead Page</vt:lpstr>
      <vt:lpstr>5. "Summary Table"</vt:lpstr>
      <vt:lpstr>5. 1985</vt:lpstr>
      <vt:lpstr>5. 1985 equity port.</vt:lpstr>
      <vt:lpstr>5. Scott Fetzer</vt:lpstr>
      <vt:lpstr>5. Fechheimer</vt:lpstr>
      <vt:lpstr>5. 1986 equity</vt:lpstr>
      <vt:lpstr>5. 1988 equity</vt:lpstr>
      <vt:lpstr>5. Coke</vt:lpstr>
      <vt:lpstr>5. 1989 equity</vt:lpstr>
      <vt:lpstr>5. 1989 Valuation-Conversion</vt:lpstr>
      <vt:lpstr>5. '65-'89 equity rec. </vt:lpstr>
      <vt:lpstr>5. 25-year summary</vt:lpstr>
      <vt:lpstr>5. 1990</vt:lpstr>
      <vt:lpstr>5. 1991</vt:lpstr>
      <vt:lpstr>5. 1992</vt:lpstr>
      <vt:lpstr>5. 1993</vt:lpstr>
      <vt:lpstr>5. 1994</vt:lpstr>
      <vt:lpstr>5. 1994 Look-thru earnings</vt:lpstr>
      <vt:lpstr>5. '65-'94 equity rec.</vt:lpstr>
      <vt:lpstr>5. 1985-94 Conclusion</vt:lpstr>
      <vt:lpstr>5. Stock price data</vt:lpstr>
      <vt:lpstr>5. Select Parent Fin'l Data</vt:lpstr>
      <vt:lpstr>5. Equity Reconc.</vt:lpstr>
      <vt:lpstr>5. Zero Coupon</vt:lpstr>
      <vt:lpstr>5. Insurance Detail</vt:lpstr>
      <vt:lpstr>5. Insurance</vt:lpstr>
      <vt:lpstr>5. Manuf., Pub., Retail</vt:lpstr>
      <vt:lpstr>5. Finance</vt:lpstr>
      <vt:lpstr>5. 1987 Finance detail</vt:lpstr>
      <vt:lpstr>5. Non-Op</vt:lpstr>
      <vt:lpstr>6. Lead Page</vt:lpstr>
      <vt:lpstr>6. "Summary Table"</vt:lpstr>
      <vt:lpstr>6. 1995</vt:lpstr>
      <vt:lpstr>6. FlightSafety</vt:lpstr>
      <vt:lpstr>6. GEICO effect on equity</vt:lpstr>
      <vt:lpstr>6. 1996</vt:lpstr>
      <vt:lpstr>6. 1997</vt:lpstr>
      <vt:lpstr>6. Dairy Queen</vt:lpstr>
      <vt:lpstr>6. 1998</vt:lpstr>
      <vt:lpstr>6. General Re</vt:lpstr>
      <vt:lpstr>6. 1998 equities</vt:lpstr>
      <vt:lpstr>6. '99 Invest. Gain</vt:lpstr>
      <vt:lpstr>6. MidAmer.</vt:lpstr>
      <vt:lpstr>6. CORT</vt:lpstr>
      <vt:lpstr>6. Justin</vt:lpstr>
      <vt:lpstr>6.  Shaw</vt:lpstr>
      <vt:lpstr>6. Johns Manville</vt:lpstr>
      <vt:lpstr>6. 2000</vt:lpstr>
      <vt:lpstr>6. XTRA</vt:lpstr>
      <vt:lpstr>6. 2002</vt:lpstr>
      <vt:lpstr>6. Clayton</vt:lpstr>
      <vt:lpstr>6. '65-'04 equity rec.</vt:lpstr>
      <vt:lpstr>6. Equity portfolio 94-04</vt:lpstr>
      <vt:lpstr>6. Conclusion 94-04</vt:lpstr>
      <vt:lpstr>6. Stock price data</vt:lpstr>
      <vt:lpstr>6. Select Parent Fin'l Data</vt:lpstr>
      <vt:lpstr>6. Equity Reconc.</vt:lpstr>
      <vt:lpstr>6. Insurance</vt:lpstr>
      <vt:lpstr>6. Insurance Summary</vt:lpstr>
      <vt:lpstr>6. Insurance Detail</vt:lpstr>
      <vt:lpstr>6. Finance Liab.</vt:lpstr>
      <vt:lpstr>6. Loss Dev. Table</vt:lpstr>
      <vt:lpstr>6. Float Breakdown</vt:lpstr>
      <vt:lpstr>6. Manuf., Pub., Ret 94-00</vt:lpstr>
      <vt:lpstr>6. Manf., Serv, Ret. 02-04</vt:lpstr>
      <vt:lpstr>6. Float&gt;Equity</vt:lpstr>
      <vt:lpstr>6. Finance</vt:lpstr>
      <vt:lpstr>6. Non-Op</vt:lpstr>
      <vt:lpstr>6. BRK Valuation</vt:lpstr>
      <vt:lpstr>6. FOL</vt:lpstr>
      <vt:lpstr>6. Mclane</vt:lpstr>
      <vt:lpstr>7. Lead Page</vt:lpstr>
      <vt:lpstr>7. Pre-tax earnings summary</vt:lpstr>
      <vt:lpstr>7. After Tax Earnings summary</vt:lpstr>
      <vt:lpstr>7. 2005</vt:lpstr>
      <vt:lpstr>7. 2007</vt:lpstr>
      <vt:lpstr>7. 2007 UW gain per sh.</vt:lpstr>
      <vt:lpstr>7. 2008</vt:lpstr>
      <vt:lpstr>7. Marmon</vt:lpstr>
      <vt:lpstr>7. 2009</vt:lpstr>
      <vt:lpstr>7. BNSF</vt:lpstr>
      <vt:lpstr>7. 2010</vt:lpstr>
      <vt:lpstr>7. 2011 Valuation</vt:lpstr>
      <vt:lpstr>7. Lubrizol</vt:lpstr>
      <vt:lpstr>7. 2011</vt:lpstr>
      <vt:lpstr>7. Equities Calc.</vt:lpstr>
      <vt:lpstr>7. 2012 Valuation</vt:lpstr>
      <vt:lpstr>7. 2013 Valuation</vt:lpstr>
      <vt:lpstr>7. 2013 Heinz pie chart</vt:lpstr>
      <vt:lpstr>7. Heinz</vt:lpstr>
      <vt:lpstr>7. 2013 Float shrink</vt:lpstr>
      <vt:lpstr>7. 2013</vt:lpstr>
      <vt:lpstr>7. NV Energy</vt:lpstr>
      <vt:lpstr>7. 2013 KO Dilution</vt:lpstr>
      <vt:lpstr>7. 2014</vt:lpstr>
      <vt:lpstr>7. Equity portfolio '04-'14</vt:lpstr>
      <vt:lpstr>7. '65-'14 equity rec.</vt:lpstr>
      <vt:lpstr>7. Stock price data</vt:lpstr>
      <vt:lpstr>7. Select Parent Fin'l Data</vt:lpstr>
      <vt:lpstr>7. Equity Reconc. '04-'14</vt:lpstr>
      <vt:lpstr>7. Major Capital Alloc.</vt:lpstr>
      <vt:lpstr>7. Insurance Summary</vt:lpstr>
      <vt:lpstr>7. Insurance Detail</vt:lpstr>
      <vt:lpstr>7. Float Breakdown</vt:lpstr>
      <vt:lpstr>7. Loss Dev. Table</vt:lpstr>
      <vt:lpstr>7. Utilities</vt:lpstr>
      <vt:lpstr>7. Manf., Serv, Retail</vt:lpstr>
      <vt:lpstr>7. Fin. &amp; Fin'l Prod.</vt:lpstr>
      <vt:lpstr>7. Deferred Taxes</vt:lpstr>
      <vt:lpstr>7. Equity portfolio</vt:lpstr>
      <vt:lpstr>7. Equity portfolio 07-08</vt:lpstr>
      <vt:lpstr>7. Conclusion - Float</vt:lpstr>
      <vt:lpstr>8. BV &amp; S&amp;P increase</vt:lpstr>
      <vt:lpstr>8. Employees</vt:lpstr>
      <vt:lpstr>8. Float-Cost</vt:lpstr>
      <vt:lpstr>Part 8</vt:lpstr>
      <vt:lpstr>Part 8.1</vt:lpstr>
      <vt:lpstr>Part 8.2</vt:lpstr>
      <vt:lpstr>8.3</vt:lpstr>
      <vt:lpstr>8. Stock price data</vt:lpstr>
      <vt:lpstr>9. Lead Page</vt:lpstr>
      <vt:lpstr>9. Pre-tax earnings summary</vt:lpstr>
      <vt:lpstr>9. After Tax Earnings</vt:lpstr>
      <vt:lpstr>9. 2015</vt:lpstr>
      <vt:lpstr>9. 2015 MSR</vt:lpstr>
      <vt:lpstr>9. Kraft Heinz</vt:lpstr>
      <vt:lpstr>9. 2015 Kraft pie chart</vt:lpstr>
      <vt:lpstr>9. 2016</vt:lpstr>
      <vt:lpstr>9. Precision Castparts</vt:lpstr>
      <vt:lpstr>9. 2016.2 MSR</vt:lpstr>
      <vt:lpstr>9. 2016. Equity port. '15-'16</vt:lpstr>
      <vt:lpstr>9. 2015 Q4 13F filing</vt:lpstr>
      <vt:lpstr>9. 2016 Q4 13F filing</vt:lpstr>
      <vt:lpstr>2017</vt:lpstr>
      <vt:lpstr>2017 AIG deal</vt:lpstr>
      <vt:lpstr>9. 2017 MSR</vt:lpstr>
      <vt:lpstr>9. Apple</vt:lpstr>
      <vt:lpstr>2018 - repurchases</vt:lpstr>
      <vt:lpstr>9. 2018 Valuation</vt:lpstr>
      <vt:lpstr>9. 2018</vt:lpstr>
      <vt:lpstr>9. 2018 MSR</vt:lpstr>
      <vt:lpstr>9. 2018 KHC</vt:lpstr>
      <vt:lpstr>9. 2019 Valuation</vt:lpstr>
      <vt:lpstr>9. 2019 BHE Ownership Hist</vt:lpstr>
      <vt:lpstr>9. 2019 Retro Economics</vt:lpstr>
      <vt:lpstr>9. 2019 MSR</vt:lpstr>
      <vt:lpstr>9. Stock price data</vt:lpstr>
      <vt:lpstr>9. BRK-A Price Hist.</vt:lpstr>
      <vt:lpstr>9. Select Parent Fin'l Data</vt:lpstr>
      <vt:lpstr>9. Equity portfolio '14-'19</vt:lpstr>
      <vt:lpstr>9. Equity recon. '14-'19</vt:lpstr>
      <vt:lpstr>9. Insurance For Years</vt:lpstr>
      <vt:lpstr>9. Float Breakdown</vt:lpstr>
      <vt:lpstr>9. MSR Breakdown</vt:lpstr>
      <vt:lpstr>9. '65-'19 equity rec.</vt:lpstr>
      <vt:lpstr>9. Major Capital Alloc.</vt:lpstr>
      <vt:lpstr>9. Manf., Serv, Retail</vt:lpstr>
      <vt:lpstr>9. Utilities</vt:lpstr>
      <vt:lpstr>9. Deferred Taxes</vt:lpstr>
      <vt:lpstr>10. WGC Float shrink</vt:lpstr>
      <vt:lpstr>Textron</vt:lpstr>
      <vt:lpstr>Litton</vt:lpstr>
      <vt:lpstr>LTV</vt:lpstr>
      <vt:lpstr>G&amp;W</vt:lpstr>
      <vt:lpstr>ITT</vt:lpstr>
      <vt:lpstr>Teledyne</vt:lpstr>
      <vt:lpstr>Conglomerate Overview</vt:lpstr>
      <vt:lpstr>Berkshire shares out</vt:lpstr>
      <vt:lpstr>Pages Calculation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dc:creator>
  <cp:lastModifiedBy>Adam Mead</cp:lastModifiedBy>
  <cp:lastPrinted>2020-05-26T12:30:14Z</cp:lastPrinted>
  <dcterms:created xsi:type="dcterms:W3CDTF">2016-11-10T22:03:12Z</dcterms:created>
  <dcterms:modified xsi:type="dcterms:W3CDTF">2021-06-04T16:17:05Z</dcterms:modified>
</cp:coreProperties>
</file>